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499B53F-7F42-4CCE-B992-E2C6C35FBDB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ummary DAR and Regions" sheetId="1" r:id="rId1"/>
    <sheet name="Conso list" sheetId="2" r:id="rId2"/>
    <sheet name="DARCO" sheetId="3" r:id="rId3"/>
    <sheet name="CAR" sheetId="4" r:id="rId4"/>
    <sheet name="R-I" sheetId="5" r:id="rId5"/>
    <sheet name="R-II" sheetId="6" r:id="rId6"/>
    <sheet name="R-III" sheetId="7" r:id="rId7"/>
    <sheet name="R-IVA" sheetId="8" r:id="rId8"/>
    <sheet name="R-IVB" sheetId="9" r:id="rId9"/>
    <sheet name="R-V" sheetId="10" r:id="rId10"/>
    <sheet name="R-VI" sheetId="11" r:id="rId11"/>
    <sheet name="NIR" sheetId="12" r:id="rId12"/>
    <sheet name="R-VII" sheetId="13" r:id="rId13"/>
    <sheet name="R-VIII" sheetId="14" r:id="rId14"/>
    <sheet name="R-IX" sheetId="15" r:id="rId15"/>
    <sheet name="R-XI" sheetId="16" r:id="rId16"/>
    <sheet name="R-X" sheetId="17" r:id="rId17"/>
    <sheet name="R-XII" sheetId="18" r:id="rId18"/>
    <sheet name="CARAGA" sheetId="19" r:id="rId19"/>
    <sheet name="DENR" sheetId="20" r:id="rId20"/>
    <sheet name="LRA" sheetId="21" r:id="rId21"/>
  </sheets>
  <definedNames>
    <definedName name="_xlnm._FilterDatabase" localSheetId="3" hidden="1">CAR!$A$2:$AB$250</definedName>
    <definedName name="_xlnm._FilterDatabase" localSheetId="18" hidden="1">CARAGA!$A$2:$AE$241</definedName>
    <definedName name="_xlnm._FilterDatabase" localSheetId="1" hidden="1">'Conso list'!$A$2:$Z$4510</definedName>
    <definedName name="_xlnm._FilterDatabase" localSheetId="2" hidden="1">DARCO!$A$2:$N$732</definedName>
    <definedName name="_xlnm._FilterDatabase" localSheetId="19" hidden="1">DENR!$A$2:$N$45</definedName>
    <definedName name="_xlnm._FilterDatabase" localSheetId="20" hidden="1">LRA!$A$2:$AB$15</definedName>
    <definedName name="_xlnm._FilterDatabase" localSheetId="11" hidden="1">NIR!$A$2:$M$191</definedName>
    <definedName name="_xlnm._FilterDatabase" localSheetId="4" hidden="1">'R-I'!$A$2:$Z$189</definedName>
    <definedName name="_xlnm._FilterDatabase" localSheetId="5" hidden="1">'R-II'!$A$2:$AF$252</definedName>
    <definedName name="_xlnm._FilterDatabase" localSheetId="6" hidden="1">'R-III'!$A$2:$Z$243</definedName>
    <definedName name="_xlnm._FilterDatabase" localSheetId="7" hidden="1">'R-IVA'!$A$2:$Z$212</definedName>
    <definedName name="_xlnm._FilterDatabase" localSheetId="8" hidden="1">'R-IVB'!$A$2:$N$176</definedName>
    <definedName name="_xlnm._FilterDatabase" localSheetId="14" hidden="1">'R-IX'!$A$2:$N$210</definedName>
    <definedName name="_xlnm._FilterDatabase" localSheetId="9" hidden="1">'R-V'!$A$2:$AE$334</definedName>
    <definedName name="_xlnm._FilterDatabase" localSheetId="10" hidden="1">'R-VI'!$A$2:$N$261</definedName>
    <definedName name="_xlnm._FilterDatabase" localSheetId="12" hidden="1">'R-VII'!$A$2:$N$113</definedName>
    <definedName name="_xlnm._FilterDatabase" localSheetId="13" hidden="1">'R-VIII'!$A$2:$AF$364</definedName>
    <definedName name="_xlnm._FilterDatabase" localSheetId="16" hidden="1">'R-X'!$A$2:$AE$243</definedName>
    <definedName name="_xlnm._FilterDatabase" localSheetId="15" hidden="1">'R-XI'!$A$2:$Z$262</definedName>
    <definedName name="_xlnm._FilterDatabase" localSheetId="17" hidden="1">'R-XII'!$A$2:$N$274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04" i="3" l="1"/>
  <c r="F4507" i="2"/>
  <c r="C4507" i="2"/>
  <c r="B4507" i="2"/>
  <c r="A4507" i="2"/>
  <c r="F4506" i="2"/>
  <c r="C4506" i="2"/>
  <c r="B4506" i="2"/>
  <c r="A4506" i="2"/>
  <c r="F4505" i="2"/>
  <c r="C4505" i="2"/>
  <c r="B4505" i="2"/>
  <c r="A4505" i="2"/>
  <c r="F4504" i="2"/>
  <c r="C4504" i="2"/>
  <c r="B4504" i="2"/>
  <c r="A4504" i="2"/>
  <c r="F4503" i="2"/>
  <c r="C4503" i="2"/>
  <c r="B4503" i="2"/>
  <c r="A4503" i="2"/>
  <c r="L4502" i="2"/>
  <c r="F4502" i="2"/>
  <c r="C4502" i="2"/>
  <c r="B4502" i="2"/>
  <c r="A4502" i="2"/>
  <c r="L4501" i="2"/>
  <c r="F4501" i="2"/>
  <c r="C4501" i="2"/>
  <c r="B4501" i="2"/>
  <c r="A4501" i="2"/>
  <c r="L4500" i="2"/>
  <c r="F4500" i="2"/>
  <c r="C4500" i="2"/>
  <c r="B4500" i="2"/>
  <c r="A4500" i="2"/>
  <c r="L4499" i="2"/>
  <c r="F4499" i="2"/>
  <c r="C4499" i="2"/>
  <c r="B4499" i="2"/>
  <c r="A4499" i="2"/>
  <c r="L4498" i="2"/>
  <c r="F4498" i="2"/>
  <c r="C4498" i="2"/>
  <c r="B4498" i="2"/>
  <c r="A4498" i="2"/>
  <c r="L4497" i="2"/>
  <c r="F4497" i="2"/>
  <c r="C4497" i="2"/>
  <c r="B4497" i="2"/>
  <c r="A4497" i="2"/>
  <c r="L4496" i="2"/>
  <c r="F4496" i="2"/>
  <c r="C4496" i="2"/>
  <c r="B4496" i="2"/>
  <c r="A4496" i="2"/>
  <c r="L4495" i="2"/>
  <c r="F4495" i="2"/>
  <c r="C4495" i="2"/>
  <c r="B4495" i="2"/>
  <c r="A4495" i="2"/>
  <c r="M4494" i="2"/>
  <c r="L4494" i="2"/>
  <c r="J4494" i="2"/>
  <c r="I4494" i="2"/>
  <c r="H4494" i="2"/>
  <c r="F4494" i="2"/>
  <c r="D4494" i="2"/>
  <c r="C4494" i="2"/>
  <c r="B4494" i="2"/>
  <c r="A4494" i="2"/>
  <c r="M4493" i="2"/>
  <c r="L4493" i="2"/>
  <c r="J4493" i="2"/>
  <c r="I4493" i="2"/>
  <c r="H4493" i="2"/>
  <c r="G4493" i="2"/>
  <c r="F4493" i="2"/>
  <c r="C4493" i="2"/>
  <c r="B4493" i="2"/>
  <c r="A4493" i="2"/>
  <c r="M4492" i="2"/>
  <c r="L4492" i="2"/>
  <c r="J4492" i="2"/>
  <c r="I4492" i="2"/>
  <c r="H4492" i="2"/>
  <c r="G4492" i="2"/>
  <c r="F4492" i="2"/>
  <c r="C4492" i="2"/>
  <c r="B4492" i="2"/>
  <c r="A4492" i="2"/>
  <c r="M4491" i="2"/>
  <c r="L4491" i="2"/>
  <c r="J4491" i="2"/>
  <c r="I4491" i="2"/>
  <c r="H4491" i="2"/>
  <c r="G4491" i="2"/>
  <c r="F4491" i="2"/>
  <c r="C4491" i="2"/>
  <c r="B4491" i="2"/>
  <c r="A4491" i="2"/>
  <c r="M4490" i="2"/>
  <c r="L4490" i="2"/>
  <c r="J4490" i="2"/>
  <c r="I4490" i="2"/>
  <c r="H4490" i="2"/>
  <c r="G4490" i="2"/>
  <c r="F4490" i="2"/>
  <c r="C4490" i="2"/>
  <c r="B4490" i="2"/>
  <c r="A4490" i="2"/>
  <c r="M4489" i="2"/>
  <c r="L4489" i="2"/>
  <c r="J4489" i="2"/>
  <c r="I4489" i="2"/>
  <c r="H4489" i="2"/>
  <c r="G4489" i="2"/>
  <c r="F4489" i="2"/>
  <c r="C4489" i="2"/>
  <c r="B4489" i="2"/>
  <c r="A4489" i="2"/>
  <c r="M4488" i="2"/>
  <c r="L4488" i="2"/>
  <c r="J4488" i="2"/>
  <c r="I4488" i="2"/>
  <c r="H4488" i="2"/>
  <c r="G4488" i="2"/>
  <c r="F4488" i="2"/>
  <c r="C4488" i="2"/>
  <c r="B4488" i="2"/>
  <c r="A4488" i="2"/>
  <c r="M4487" i="2"/>
  <c r="L4487" i="2"/>
  <c r="J4487" i="2"/>
  <c r="I4487" i="2"/>
  <c r="H4487" i="2"/>
  <c r="G4487" i="2"/>
  <c r="F4487" i="2"/>
  <c r="C4487" i="2"/>
  <c r="B4487" i="2"/>
  <c r="A4487" i="2"/>
  <c r="M4486" i="2"/>
  <c r="L4486" i="2"/>
  <c r="J4486" i="2"/>
  <c r="I4486" i="2"/>
  <c r="H4486" i="2"/>
  <c r="G4486" i="2"/>
  <c r="F4486" i="2"/>
  <c r="C4486" i="2"/>
  <c r="B4486" i="2"/>
  <c r="A4486" i="2"/>
  <c r="M4485" i="2"/>
  <c r="L4485" i="2"/>
  <c r="J4485" i="2"/>
  <c r="I4485" i="2"/>
  <c r="H4485" i="2"/>
  <c r="G4485" i="2"/>
  <c r="F4485" i="2"/>
  <c r="C4485" i="2"/>
  <c r="B4485" i="2"/>
  <c r="A4485" i="2"/>
  <c r="M4484" i="2"/>
  <c r="L4484" i="2"/>
  <c r="J4484" i="2"/>
  <c r="I4484" i="2"/>
  <c r="H4484" i="2"/>
  <c r="G4484" i="2"/>
  <c r="F4484" i="2"/>
  <c r="C4484" i="2"/>
  <c r="B4484" i="2"/>
  <c r="A4484" i="2"/>
  <c r="M4483" i="2"/>
  <c r="L4483" i="2"/>
  <c r="J4483" i="2"/>
  <c r="I4483" i="2"/>
  <c r="H4483" i="2"/>
  <c r="G4483" i="2"/>
  <c r="F4483" i="2"/>
  <c r="C4483" i="2"/>
  <c r="B4483" i="2"/>
  <c r="A4483" i="2"/>
  <c r="M4482" i="2"/>
  <c r="L4482" i="2"/>
  <c r="J4482" i="2"/>
  <c r="I4482" i="2"/>
  <c r="H4482" i="2"/>
  <c r="G4482" i="2"/>
  <c r="F4482" i="2"/>
  <c r="C4482" i="2"/>
  <c r="B4482" i="2"/>
  <c r="A4482" i="2"/>
  <c r="M4481" i="2"/>
  <c r="L4481" i="2"/>
  <c r="J4481" i="2"/>
  <c r="I4481" i="2"/>
  <c r="H4481" i="2"/>
  <c r="G4481" i="2"/>
  <c r="F4481" i="2"/>
  <c r="C4481" i="2"/>
  <c r="B4481" i="2"/>
  <c r="A4481" i="2"/>
  <c r="M4480" i="2"/>
  <c r="G4480" i="2"/>
  <c r="F4480" i="2"/>
  <c r="C4480" i="2"/>
  <c r="B4480" i="2"/>
  <c r="A4480" i="2"/>
  <c r="M4479" i="2"/>
  <c r="G4479" i="2"/>
  <c r="F4479" i="2"/>
  <c r="C4479" i="2"/>
  <c r="B4479" i="2"/>
  <c r="A4479" i="2"/>
  <c r="M4478" i="2"/>
  <c r="G4478" i="2"/>
  <c r="F4478" i="2"/>
  <c r="C4478" i="2"/>
  <c r="B4478" i="2"/>
  <c r="A4478" i="2"/>
  <c r="M4477" i="2"/>
  <c r="G4477" i="2"/>
  <c r="F4477" i="2"/>
  <c r="C4477" i="2"/>
  <c r="B4477" i="2"/>
  <c r="A4477" i="2"/>
  <c r="M4476" i="2"/>
  <c r="G4476" i="2"/>
  <c r="F4476" i="2"/>
  <c r="C4476" i="2"/>
  <c r="B4476" i="2"/>
  <c r="A4476" i="2"/>
  <c r="M4475" i="2"/>
  <c r="G4475" i="2"/>
  <c r="F4475" i="2"/>
  <c r="C4475" i="2"/>
  <c r="B4475" i="2"/>
  <c r="A4475" i="2"/>
  <c r="M4474" i="2"/>
  <c r="G4474" i="2"/>
  <c r="F4474" i="2"/>
  <c r="C4474" i="2"/>
  <c r="B4474" i="2"/>
  <c r="A4474" i="2"/>
  <c r="M4473" i="2"/>
  <c r="G4473" i="2"/>
  <c r="F4473" i="2"/>
  <c r="C4473" i="2"/>
  <c r="B4473" i="2"/>
  <c r="A4473" i="2"/>
  <c r="M4472" i="2"/>
  <c r="G4472" i="2"/>
  <c r="F4472" i="2"/>
  <c r="C4472" i="2"/>
  <c r="B4472" i="2"/>
  <c r="A4472" i="2"/>
  <c r="M4471" i="2"/>
  <c r="G4471" i="2"/>
  <c r="F4471" i="2"/>
  <c r="C4471" i="2"/>
  <c r="B4471" i="2"/>
  <c r="A4471" i="2"/>
  <c r="M4470" i="2"/>
  <c r="L4470" i="2"/>
  <c r="J4470" i="2"/>
  <c r="I4470" i="2"/>
  <c r="H4470" i="2"/>
  <c r="G4470" i="2"/>
  <c r="F4470" i="2"/>
  <c r="C4470" i="2"/>
  <c r="B4470" i="2"/>
  <c r="A4470" i="2"/>
  <c r="M4469" i="2"/>
  <c r="L4469" i="2"/>
  <c r="J4469" i="2"/>
  <c r="I4469" i="2"/>
  <c r="H4469" i="2"/>
  <c r="G4469" i="2"/>
  <c r="F4469" i="2"/>
  <c r="C4469" i="2"/>
  <c r="B4469" i="2"/>
  <c r="A4469" i="2"/>
  <c r="M4468" i="2"/>
  <c r="L4468" i="2"/>
  <c r="J4468" i="2"/>
  <c r="I4468" i="2"/>
  <c r="H4468" i="2"/>
  <c r="F4468" i="2"/>
  <c r="C4468" i="2"/>
  <c r="B4468" i="2"/>
  <c r="A4468" i="2"/>
  <c r="M4467" i="2"/>
  <c r="L4467" i="2"/>
  <c r="J4467" i="2"/>
  <c r="I4467" i="2"/>
  <c r="H4467" i="2"/>
  <c r="F4467" i="2"/>
  <c r="C4467" i="2"/>
  <c r="B4467" i="2"/>
  <c r="A4467" i="2"/>
  <c r="M4466" i="2"/>
  <c r="L4466" i="2"/>
  <c r="J4466" i="2"/>
  <c r="I4466" i="2"/>
  <c r="H4466" i="2"/>
  <c r="F4466" i="2"/>
  <c r="C4466" i="2"/>
  <c r="B4466" i="2"/>
  <c r="A4466" i="2"/>
  <c r="M4465" i="2"/>
  <c r="L4465" i="2"/>
  <c r="J4465" i="2"/>
  <c r="I4465" i="2"/>
  <c r="H4465" i="2"/>
  <c r="F4465" i="2"/>
  <c r="C4465" i="2"/>
  <c r="B4465" i="2"/>
  <c r="A4465" i="2"/>
  <c r="M4464" i="2"/>
  <c r="L4464" i="2"/>
  <c r="J4464" i="2"/>
  <c r="I4464" i="2"/>
  <c r="H4464" i="2"/>
  <c r="F4464" i="2"/>
  <c r="C4464" i="2"/>
  <c r="B4464" i="2"/>
  <c r="A4464" i="2"/>
  <c r="M4463" i="2"/>
  <c r="L4463" i="2"/>
  <c r="J4463" i="2"/>
  <c r="I4463" i="2"/>
  <c r="H4463" i="2"/>
  <c r="F4463" i="2"/>
  <c r="C4463" i="2"/>
  <c r="B4463" i="2"/>
  <c r="A4463" i="2"/>
  <c r="M4462" i="2"/>
  <c r="L4462" i="2"/>
  <c r="J4462" i="2"/>
  <c r="I4462" i="2"/>
  <c r="H4462" i="2"/>
  <c r="F4462" i="2"/>
  <c r="C4462" i="2"/>
  <c r="B4462" i="2"/>
  <c r="A4462" i="2"/>
  <c r="M4461" i="2"/>
  <c r="L4461" i="2"/>
  <c r="J4461" i="2"/>
  <c r="I4461" i="2"/>
  <c r="H4461" i="2"/>
  <c r="F4461" i="2"/>
  <c r="C4461" i="2"/>
  <c r="B4461" i="2"/>
  <c r="A4461" i="2"/>
  <c r="M4460" i="2"/>
  <c r="L4460" i="2"/>
  <c r="J4460" i="2"/>
  <c r="I4460" i="2"/>
  <c r="H4460" i="2"/>
  <c r="F4460" i="2"/>
  <c r="C4460" i="2"/>
  <c r="B4460" i="2"/>
  <c r="A4460" i="2"/>
  <c r="M4459" i="2"/>
  <c r="L4459" i="2"/>
  <c r="J4459" i="2"/>
  <c r="I4459" i="2"/>
  <c r="H4459" i="2"/>
  <c r="F4459" i="2"/>
  <c r="C4459" i="2"/>
  <c r="B4459" i="2"/>
  <c r="A4459" i="2"/>
  <c r="M4458" i="2"/>
  <c r="L4458" i="2"/>
  <c r="J4458" i="2"/>
  <c r="I4458" i="2"/>
  <c r="H4458" i="2"/>
  <c r="F4458" i="2"/>
  <c r="C4458" i="2"/>
  <c r="B4458" i="2"/>
  <c r="A4458" i="2"/>
  <c r="M4457" i="2"/>
  <c r="L4457" i="2"/>
  <c r="J4457" i="2"/>
  <c r="I4457" i="2"/>
  <c r="H4457" i="2"/>
  <c r="F4457" i="2"/>
  <c r="C4457" i="2"/>
  <c r="B4457" i="2"/>
  <c r="A4457" i="2"/>
  <c r="M4456" i="2"/>
  <c r="L4456" i="2"/>
  <c r="J4456" i="2"/>
  <c r="I4456" i="2"/>
  <c r="H4456" i="2"/>
  <c r="F4456" i="2"/>
  <c r="C4456" i="2"/>
  <c r="B4456" i="2"/>
  <c r="A4456" i="2"/>
  <c r="M4455" i="2"/>
  <c r="L4455" i="2"/>
  <c r="J4455" i="2"/>
  <c r="I4455" i="2"/>
  <c r="H4455" i="2"/>
  <c r="F4455" i="2"/>
  <c r="C4455" i="2"/>
  <c r="B4455" i="2"/>
  <c r="A4455" i="2"/>
  <c r="M4454" i="2"/>
  <c r="L4454" i="2"/>
  <c r="J4454" i="2"/>
  <c r="I4454" i="2"/>
  <c r="H4454" i="2"/>
  <c r="F4454" i="2"/>
  <c r="C4454" i="2"/>
  <c r="B4454" i="2"/>
  <c r="A4454" i="2"/>
  <c r="M4453" i="2"/>
  <c r="L4453" i="2"/>
  <c r="J4453" i="2"/>
  <c r="I4453" i="2"/>
  <c r="H4453" i="2"/>
  <c r="F4453" i="2"/>
  <c r="C4453" i="2"/>
  <c r="B4453" i="2"/>
  <c r="A4453" i="2"/>
  <c r="M4452" i="2"/>
  <c r="L4452" i="2"/>
  <c r="J4452" i="2"/>
  <c r="I4452" i="2"/>
  <c r="H4452" i="2"/>
  <c r="F4452" i="2"/>
  <c r="C4452" i="2"/>
  <c r="B4452" i="2"/>
  <c r="A4452" i="2"/>
  <c r="N4451" i="2"/>
  <c r="M4451" i="2"/>
  <c r="J4451" i="2"/>
  <c r="I4451" i="2"/>
  <c r="G4451" i="2"/>
  <c r="F4451" i="2"/>
  <c r="D4451" i="2"/>
  <c r="C4451" i="2"/>
  <c r="A4451" i="2"/>
  <c r="N4450" i="2"/>
  <c r="M4450" i="2"/>
  <c r="L4450" i="2"/>
  <c r="K4450" i="2"/>
  <c r="I4450" i="2"/>
  <c r="H4450" i="2"/>
  <c r="G4450" i="2"/>
  <c r="F4450" i="2"/>
  <c r="D4450" i="2"/>
  <c r="C4450" i="2"/>
  <c r="B4450" i="2"/>
  <c r="A4450" i="2"/>
  <c r="N4449" i="2"/>
  <c r="M4449" i="2"/>
  <c r="L4449" i="2"/>
  <c r="K4449" i="2"/>
  <c r="I4449" i="2"/>
  <c r="H4449" i="2"/>
  <c r="G4449" i="2"/>
  <c r="F4449" i="2"/>
  <c r="D4449" i="2"/>
  <c r="C4449" i="2"/>
  <c r="B4449" i="2"/>
  <c r="A4449" i="2"/>
  <c r="M4448" i="2"/>
  <c r="L4448" i="2"/>
  <c r="K4448" i="2"/>
  <c r="J4448" i="2"/>
  <c r="I4448" i="2"/>
  <c r="H4448" i="2"/>
  <c r="G4448" i="2"/>
  <c r="F4448" i="2"/>
  <c r="D4448" i="2"/>
  <c r="C4448" i="2"/>
  <c r="B4448" i="2"/>
  <c r="A4448" i="2"/>
  <c r="M4447" i="2"/>
  <c r="L4447" i="2"/>
  <c r="K4447" i="2"/>
  <c r="J4447" i="2"/>
  <c r="I4447" i="2"/>
  <c r="H4447" i="2"/>
  <c r="G4447" i="2"/>
  <c r="F4447" i="2"/>
  <c r="D4447" i="2"/>
  <c r="C4447" i="2"/>
  <c r="B4447" i="2"/>
  <c r="A4447" i="2"/>
  <c r="M4446" i="2"/>
  <c r="L4446" i="2"/>
  <c r="K4446" i="2"/>
  <c r="J4446" i="2"/>
  <c r="I4446" i="2"/>
  <c r="H4446" i="2"/>
  <c r="G4446" i="2"/>
  <c r="F4446" i="2"/>
  <c r="D4446" i="2"/>
  <c r="C4446" i="2"/>
  <c r="B4446" i="2"/>
  <c r="A4446" i="2"/>
  <c r="M4445" i="2"/>
  <c r="L4445" i="2"/>
  <c r="K4445" i="2"/>
  <c r="J4445" i="2"/>
  <c r="I4445" i="2"/>
  <c r="H4445" i="2"/>
  <c r="G4445" i="2"/>
  <c r="F4445" i="2"/>
  <c r="D4445" i="2"/>
  <c r="C4445" i="2"/>
  <c r="B4445" i="2"/>
  <c r="A4445" i="2"/>
  <c r="M4444" i="2"/>
  <c r="L4444" i="2"/>
  <c r="K4444" i="2"/>
  <c r="J4444" i="2"/>
  <c r="I4444" i="2"/>
  <c r="H4444" i="2"/>
  <c r="G4444" i="2"/>
  <c r="F4444" i="2"/>
  <c r="D4444" i="2"/>
  <c r="C4444" i="2"/>
  <c r="B4444" i="2"/>
  <c r="A4444" i="2"/>
  <c r="M4443" i="2"/>
  <c r="L4443" i="2"/>
  <c r="K4443" i="2"/>
  <c r="J4443" i="2"/>
  <c r="I4443" i="2"/>
  <c r="H4443" i="2"/>
  <c r="G4443" i="2"/>
  <c r="F4443" i="2"/>
  <c r="D4443" i="2"/>
  <c r="C4443" i="2"/>
  <c r="B4443" i="2"/>
  <c r="A4443" i="2"/>
  <c r="N4442" i="2"/>
  <c r="M4442" i="2"/>
  <c r="L4442" i="2"/>
  <c r="K4442" i="2"/>
  <c r="J4442" i="2"/>
  <c r="I4442" i="2"/>
  <c r="H4442" i="2"/>
  <c r="G4442" i="2"/>
  <c r="F4442" i="2"/>
  <c r="D4442" i="2"/>
  <c r="C4442" i="2"/>
  <c r="B4442" i="2"/>
  <c r="A4442" i="2"/>
  <c r="M4441" i="2"/>
  <c r="L4441" i="2"/>
  <c r="K4441" i="2"/>
  <c r="J4441" i="2"/>
  <c r="I4441" i="2"/>
  <c r="H4441" i="2"/>
  <c r="G4441" i="2"/>
  <c r="F4441" i="2"/>
  <c r="D4441" i="2"/>
  <c r="C4441" i="2"/>
  <c r="B4441" i="2"/>
  <c r="A4441" i="2"/>
  <c r="M4440" i="2"/>
  <c r="L4440" i="2"/>
  <c r="K4440" i="2"/>
  <c r="J4440" i="2"/>
  <c r="I4440" i="2"/>
  <c r="H4440" i="2"/>
  <c r="G4440" i="2"/>
  <c r="F4440" i="2"/>
  <c r="D4440" i="2"/>
  <c r="C4440" i="2"/>
  <c r="B4440" i="2"/>
  <c r="A4440" i="2"/>
  <c r="M4439" i="2"/>
  <c r="L4439" i="2"/>
  <c r="K4439" i="2"/>
  <c r="J4439" i="2"/>
  <c r="I4439" i="2"/>
  <c r="H4439" i="2"/>
  <c r="G4439" i="2"/>
  <c r="F4439" i="2"/>
  <c r="D4439" i="2"/>
  <c r="C4439" i="2"/>
  <c r="B4439" i="2"/>
  <c r="A4439" i="2"/>
  <c r="M4438" i="2"/>
  <c r="L4438" i="2"/>
  <c r="K4438" i="2"/>
  <c r="J4438" i="2"/>
  <c r="I4438" i="2"/>
  <c r="H4438" i="2"/>
  <c r="G4438" i="2"/>
  <c r="F4438" i="2"/>
  <c r="D4438" i="2"/>
  <c r="C4438" i="2"/>
  <c r="B4438" i="2"/>
  <c r="A4438" i="2"/>
  <c r="M4437" i="2"/>
  <c r="L4437" i="2"/>
  <c r="K4437" i="2"/>
  <c r="J4437" i="2"/>
  <c r="I4437" i="2"/>
  <c r="H4437" i="2"/>
  <c r="G4437" i="2"/>
  <c r="F4437" i="2"/>
  <c r="D4437" i="2"/>
  <c r="C4437" i="2"/>
  <c r="B4437" i="2"/>
  <c r="A4437" i="2"/>
  <c r="N4436" i="2"/>
  <c r="M4436" i="2"/>
  <c r="L4436" i="2"/>
  <c r="K4436" i="2"/>
  <c r="J4436" i="2"/>
  <c r="I4436" i="2"/>
  <c r="H4436" i="2"/>
  <c r="G4436" i="2"/>
  <c r="F4436" i="2"/>
  <c r="D4436" i="2"/>
  <c r="C4436" i="2"/>
  <c r="B4436" i="2"/>
  <c r="A4436" i="2"/>
  <c r="M4435" i="2"/>
  <c r="L4435" i="2"/>
  <c r="K4435" i="2"/>
  <c r="J4435" i="2"/>
  <c r="I4435" i="2"/>
  <c r="H4435" i="2"/>
  <c r="G4435" i="2"/>
  <c r="F4435" i="2"/>
  <c r="D4435" i="2"/>
  <c r="C4435" i="2"/>
  <c r="B4435" i="2"/>
  <c r="A4435" i="2"/>
  <c r="M4434" i="2"/>
  <c r="L4434" i="2"/>
  <c r="K4434" i="2"/>
  <c r="J4434" i="2"/>
  <c r="I4434" i="2"/>
  <c r="H4434" i="2"/>
  <c r="G4434" i="2"/>
  <c r="F4434" i="2"/>
  <c r="D4434" i="2"/>
  <c r="C4434" i="2"/>
  <c r="B4434" i="2"/>
  <c r="A4434" i="2"/>
  <c r="M4433" i="2"/>
  <c r="L4433" i="2"/>
  <c r="K4433" i="2"/>
  <c r="J4433" i="2"/>
  <c r="I4433" i="2"/>
  <c r="H4433" i="2"/>
  <c r="G4433" i="2"/>
  <c r="F4433" i="2"/>
  <c r="D4433" i="2"/>
  <c r="C4433" i="2"/>
  <c r="B4433" i="2"/>
  <c r="A4433" i="2"/>
  <c r="M4432" i="2"/>
  <c r="L4432" i="2"/>
  <c r="K4432" i="2"/>
  <c r="J4432" i="2"/>
  <c r="I4432" i="2"/>
  <c r="H4432" i="2"/>
  <c r="G4432" i="2"/>
  <c r="F4432" i="2"/>
  <c r="D4432" i="2"/>
  <c r="C4432" i="2"/>
  <c r="B4432" i="2"/>
  <c r="A4432" i="2"/>
  <c r="M4431" i="2"/>
  <c r="L4431" i="2"/>
  <c r="K4431" i="2"/>
  <c r="J4431" i="2"/>
  <c r="I4431" i="2"/>
  <c r="H4431" i="2"/>
  <c r="G4431" i="2"/>
  <c r="F4431" i="2"/>
  <c r="D4431" i="2"/>
  <c r="C4431" i="2"/>
  <c r="B4431" i="2"/>
  <c r="A4431" i="2"/>
  <c r="M4430" i="2"/>
  <c r="L4430" i="2"/>
  <c r="K4430" i="2"/>
  <c r="J4430" i="2"/>
  <c r="I4430" i="2"/>
  <c r="H4430" i="2"/>
  <c r="G4430" i="2"/>
  <c r="F4430" i="2"/>
  <c r="D4430" i="2"/>
  <c r="C4430" i="2"/>
  <c r="B4430" i="2"/>
  <c r="A4430" i="2"/>
  <c r="M4429" i="2"/>
  <c r="L4429" i="2"/>
  <c r="K4429" i="2"/>
  <c r="J4429" i="2"/>
  <c r="I4429" i="2"/>
  <c r="H4429" i="2"/>
  <c r="G4429" i="2"/>
  <c r="F4429" i="2"/>
  <c r="D4429" i="2"/>
  <c r="C4429" i="2"/>
  <c r="B4429" i="2"/>
  <c r="A4429" i="2"/>
  <c r="M4428" i="2"/>
  <c r="L4428" i="2"/>
  <c r="K4428" i="2"/>
  <c r="J4428" i="2"/>
  <c r="I4428" i="2"/>
  <c r="H4428" i="2"/>
  <c r="G4428" i="2"/>
  <c r="F4428" i="2"/>
  <c r="D4428" i="2"/>
  <c r="C4428" i="2"/>
  <c r="B4428" i="2"/>
  <c r="A4428" i="2"/>
  <c r="M4427" i="2"/>
  <c r="L4427" i="2"/>
  <c r="K4427" i="2"/>
  <c r="J4427" i="2"/>
  <c r="I4427" i="2"/>
  <c r="H4427" i="2"/>
  <c r="G4427" i="2"/>
  <c r="F4427" i="2"/>
  <c r="D4427" i="2"/>
  <c r="C4427" i="2"/>
  <c r="B4427" i="2"/>
  <c r="A4427" i="2"/>
  <c r="M4426" i="2"/>
  <c r="L4426" i="2"/>
  <c r="K4426" i="2"/>
  <c r="J4426" i="2"/>
  <c r="I4426" i="2"/>
  <c r="H4426" i="2"/>
  <c r="G4426" i="2"/>
  <c r="F4426" i="2"/>
  <c r="D4426" i="2"/>
  <c r="C4426" i="2"/>
  <c r="B4426" i="2"/>
  <c r="A4426" i="2"/>
  <c r="M4425" i="2"/>
  <c r="L4425" i="2"/>
  <c r="K4425" i="2"/>
  <c r="J4425" i="2"/>
  <c r="I4425" i="2"/>
  <c r="H4425" i="2"/>
  <c r="G4425" i="2"/>
  <c r="F4425" i="2"/>
  <c r="D4425" i="2"/>
  <c r="C4425" i="2"/>
  <c r="B4425" i="2"/>
  <c r="A4425" i="2"/>
  <c r="M4424" i="2"/>
  <c r="L4424" i="2"/>
  <c r="K4424" i="2"/>
  <c r="J4424" i="2"/>
  <c r="I4424" i="2"/>
  <c r="H4424" i="2"/>
  <c r="G4424" i="2"/>
  <c r="F4424" i="2"/>
  <c r="D4424" i="2"/>
  <c r="C4424" i="2"/>
  <c r="B4424" i="2"/>
  <c r="A4424" i="2"/>
  <c r="M4423" i="2"/>
  <c r="L4423" i="2"/>
  <c r="K4423" i="2"/>
  <c r="J4423" i="2"/>
  <c r="I4423" i="2"/>
  <c r="H4423" i="2"/>
  <c r="G4423" i="2"/>
  <c r="F4423" i="2"/>
  <c r="D4423" i="2"/>
  <c r="C4423" i="2"/>
  <c r="B4423" i="2"/>
  <c r="A4423" i="2"/>
  <c r="M4422" i="2"/>
  <c r="L4422" i="2"/>
  <c r="K4422" i="2"/>
  <c r="J4422" i="2"/>
  <c r="I4422" i="2"/>
  <c r="H4422" i="2"/>
  <c r="G4422" i="2"/>
  <c r="F4422" i="2"/>
  <c r="D4422" i="2"/>
  <c r="C4422" i="2"/>
  <c r="B4422" i="2"/>
  <c r="A4422" i="2"/>
  <c r="M4421" i="2"/>
  <c r="L4421" i="2"/>
  <c r="K4421" i="2"/>
  <c r="J4421" i="2"/>
  <c r="I4421" i="2"/>
  <c r="H4421" i="2"/>
  <c r="G4421" i="2"/>
  <c r="F4421" i="2"/>
  <c r="D4421" i="2"/>
  <c r="C4421" i="2"/>
  <c r="B4421" i="2"/>
  <c r="A4421" i="2"/>
  <c r="M4420" i="2"/>
  <c r="L4420" i="2"/>
  <c r="K4420" i="2"/>
  <c r="J4420" i="2"/>
  <c r="I4420" i="2"/>
  <c r="H4420" i="2"/>
  <c r="G4420" i="2"/>
  <c r="F4420" i="2"/>
  <c r="D4420" i="2"/>
  <c r="C4420" i="2"/>
  <c r="B4420" i="2"/>
  <c r="A4420" i="2"/>
  <c r="M4419" i="2"/>
  <c r="L4419" i="2"/>
  <c r="K4419" i="2"/>
  <c r="J4419" i="2"/>
  <c r="I4419" i="2"/>
  <c r="H4419" i="2"/>
  <c r="G4419" i="2"/>
  <c r="F4419" i="2"/>
  <c r="D4419" i="2"/>
  <c r="C4419" i="2"/>
  <c r="B4419" i="2"/>
  <c r="A4419" i="2"/>
  <c r="M4418" i="2"/>
  <c r="L4418" i="2"/>
  <c r="K4418" i="2"/>
  <c r="J4418" i="2"/>
  <c r="I4418" i="2"/>
  <c r="H4418" i="2"/>
  <c r="G4418" i="2"/>
  <c r="F4418" i="2"/>
  <c r="D4418" i="2"/>
  <c r="C4418" i="2"/>
  <c r="B4418" i="2"/>
  <c r="A4418" i="2"/>
  <c r="M4417" i="2"/>
  <c r="L4417" i="2"/>
  <c r="K4417" i="2"/>
  <c r="J4417" i="2"/>
  <c r="I4417" i="2"/>
  <c r="H4417" i="2"/>
  <c r="G4417" i="2"/>
  <c r="F4417" i="2"/>
  <c r="D4417" i="2"/>
  <c r="C4417" i="2"/>
  <c r="B4417" i="2"/>
  <c r="A4417" i="2"/>
  <c r="M4416" i="2"/>
  <c r="L4416" i="2"/>
  <c r="K4416" i="2"/>
  <c r="J4416" i="2"/>
  <c r="I4416" i="2"/>
  <c r="H4416" i="2"/>
  <c r="G4416" i="2"/>
  <c r="F4416" i="2"/>
  <c r="D4416" i="2"/>
  <c r="C4416" i="2"/>
  <c r="B4416" i="2"/>
  <c r="A4416" i="2"/>
  <c r="M4415" i="2"/>
  <c r="L4415" i="2"/>
  <c r="K4415" i="2"/>
  <c r="J4415" i="2"/>
  <c r="I4415" i="2"/>
  <c r="H4415" i="2"/>
  <c r="G4415" i="2"/>
  <c r="F4415" i="2"/>
  <c r="D4415" i="2"/>
  <c r="C4415" i="2"/>
  <c r="B4415" i="2"/>
  <c r="A4415" i="2"/>
  <c r="M4414" i="2"/>
  <c r="L4414" i="2"/>
  <c r="K4414" i="2"/>
  <c r="J4414" i="2"/>
  <c r="I4414" i="2"/>
  <c r="H4414" i="2"/>
  <c r="G4414" i="2"/>
  <c r="F4414" i="2"/>
  <c r="D4414" i="2"/>
  <c r="C4414" i="2"/>
  <c r="B4414" i="2"/>
  <c r="A4414" i="2"/>
  <c r="M4413" i="2"/>
  <c r="L4413" i="2"/>
  <c r="K4413" i="2"/>
  <c r="J4413" i="2"/>
  <c r="I4413" i="2"/>
  <c r="H4413" i="2"/>
  <c r="G4413" i="2"/>
  <c r="F4413" i="2"/>
  <c r="D4413" i="2"/>
  <c r="C4413" i="2"/>
  <c r="B4413" i="2"/>
  <c r="A4413" i="2"/>
  <c r="M4412" i="2"/>
  <c r="L4412" i="2"/>
  <c r="K4412" i="2"/>
  <c r="J4412" i="2"/>
  <c r="I4412" i="2"/>
  <c r="H4412" i="2"/>
  <c r="G4412" i="2"/>
  <c r="F4412" i="2"/>
  <c r="D4412" i="2"/>
  <c r="C4412" i="2"/>
  <c r="B4412" i="2"/>
  <c r="A4412" i="2"/>
  <c r="M4411" i="2"/>
  <c r="L4411" i="2"/>
  <c r="K4411" i="2"/>
  <c r="J4411" i="2"/>
  <c r="I4411" i="2"/>
  <c r="H4411" i="2"/>
  <c r="G4411" i="2"/>
  <c r="F4411" i="2"/>
  <c r="D4411" i="2"/>
  <c r="C4411" i="2"/>
  <c r="B4411" i="2"/>
  <c r="A4411" i="2"/>
  <c r="M4410" i="2"/>
  <c r="L4410" i="2"/>
  <c r="K4410" i="2"/>
  <c r="J4410" i="2"/>
  <c r="I4410" i="2"/>
  <c r="H4410" i="2"/>
  <c r="G4410" i="2"/>
  <c r="F4410" i="2"/>
  <c r="D4410" i="2"/>
  <c r="C4410" i="2"/>
  <c r="B4410" i="2"/>
  <c r="A4410" i="2"/>
  <c r="M4409" i="2"/>
  <c r="L4409" i="2"/>
  <c r="K4409" i="2"/>
  <c r="J4409" i="2"/>
  <c r="I4409" i="2"/>
  <c r="H4409" i="2"/>
  <c r="G4409" i="2"/>
  <c r="F4409" i="2"/>
  <c r="D4409" i="2"/>
  <c r="C4409" i="2"/>
  <c r="B4409" i="2"/>
  <c r="A4409" i="2"/>
  <c r="M4408" i="2"/>
  <c r="L4408" i="2"/>
  <c r="K4408" i="2"/>
  <c r="J4408" i="2"/>
  <c r="I4408" i="2"/>
  <c r="H4408" i="2"/>
  <c r="G4408" i="2"/>
  <c r="F4408" i="2"/>
  <c r="D4408" i="2"/>
  <c r="C4408" i="2"/>
  <c r="B4408" i="2"/>
  <c r="A4408" i="2"/>
  <c r="M4407" i="2"/>
  <c r="L4407" i="2"/>
  <c r="K4407" i="2"/>
  <c r="J4407" i="2"/>
  <c r="I4407" i="2"/>
  <c r="H4407" i="2"/>
  <c r="G4407" i="2"/>
  <c r="F4407" i="2"/>
  <c r="D4407" i="2"/>
  <c r="C4407" i="2"/>
  <c r="B4407" i="2"/>
  <c r="A4407" i="2"/>
  <c r="M4406" i="2"/>
  <c r="L4406" i="2"/>
  <c r="K4406" i="2"/>
  <c r="J4406" i="2"/>
  <c r="I4406" i="2"/>
  <c r="H4406" i="2"/>
  <c r="G4406" i="2"/>
  <c r="F4406" i="2"/>
  <c r="D4406" i="2"/>
  <c r="C4406" i="2"/>
  <c r="B4406" i="2"/>
  <c r="A4406" i="2"/>
  <c r="M4405" i="2"/>
  <c r="L4405" i="2"/>
  <c r="K4405" i="2"/>
  <c r="J4405" i="2"/>
  <c r="I4405" i="2"/>
  <c r="H4405" i="2"/>
  <c r="G4405" i="2"/>
  <c r="F4405" i="2"/>
  <c r="D4405" i="2"/>
  <c r="C4405" i="2"/>
  <c r="B4405" i="2"/>
  <c r="A4405" i="2"/>
  <c r="M4404" i="2"/>
  <c r="L4404" i="2"/>
  <c r="K4404" i="2"/>
  <c r="J4404" i="2"/>
  <c r="I4404" i="2"/>
  <c r="H4404" i="2"/>
  <c r="G4404" i="2"/>
  <c r="F4404" i="2"/>
  <c r="D4404" i="2"/>
  <c r="C4404" i="2"/>
  <c r="B4404" i="2"/>
  <c r="A4404" i="2"/>
  <c r="M4403" i="2"/>
  <c r="L4403" i="2"/>
  <c r="K4403" i="2"/>
  <c r="J4403" i="2"/>
  <c r="I4403" i="2"/>
  <c r="H4403" i="2"/>
  <c r="G4403" i="2"/>
  <c r="F4403" i="2"/>
  <c r="D4403" i="2"/>
  <c r="C4403" i="2"/>
  <c r="B4403" i="2"/>
  <c r="A4403" i="2"/>
  <c r="M4402" i="2"/>
  <c r="L4402" i="2"/>
  <c r="K4402" i="2"/>
  <c r="J4402" i="2"/>
  <c r="I4402" i="2"/>
  <c r="H4402" i="2"/>
  <c r="G4402" i="2"/>
  <c r="F4402" i="2"/>
  <c r="D4402" i="2"/>
  <c r="C4402" i="2"/>
  <c r="B4402" i="2"/>
  <c r="A4402" i="2"/>
  <c r="M4401" i="2"/>
  <c r="L4401" i="2"/>
  <c r="K4401" i="2"/>
  <c r="J4401" i="2"/>
  <c r="I4401" i="2"/>
  <c r="H4401" i="2"/>
  <c r="G4401" i="2"/>
  <c r="F4401" i="2"/>
  <c r="D4401" i="2"/>
  <c r="C4401" i="2"/>
  <c r="B4401" i="2"/>
  <c r="A4401" i="2"/>
  <c r="M4400" i="2"/>
  <c r="L4400" i="2"/>
  <c r="K4400" i="2"/>
  <c r="J4400" i="2"/>
  <c r="I4400" i="2"/>
  <c r="H4400" i="2"/>
  <c r="G4400" i="2"/>
  <c r="F4400" i="2"/>
  <c r="D4400" i="2"/>
  <c r="C4400" i="2"/>
  <c r="B4400" i="2"/>
  <c r="A4400" i="2"/>
  <c r="M4399" i="2"/>
  <c r="L4399" i="2"/>
  <c r="K4399" i="2"/>
  <c r="J4399" i="2"/>
  <c r="I4399" i="2"/>
  <c r="H4399" i="2"/>
  <c r="G4399" i="2"/>
  <c r="F4399" i="2"/>
  <c r="D4399" i="2"/>
  <c r="C4399" i="2"/>
  <c r="B4399" i="2"/>
  <c r="A4399" i="2"/>
  <c r="M4398" i="2"/>
  <c r="L4398" i="2"/>
  <c r="K4398" i="2"/>
  <c r="J4398" i="2"/>
  <c r="I4398" i="2"/>
  <c r="H4398" i="2"/>
  <c r="G4398" i="2"/>
  <c r="F4398" i="2"/>
  <c r="D4398" i="2"/>
  <c r="C4398" i="2"/>
  <c r="B4398" i="2"/>
  <c r="A4398" i="2"/>
  <c r="M4397" i="2"/>
  <c r="L4397" i="2"/>
  <c r="K4397" i="2"/>
  <c r="J4397" i="2"/>
  <c r="I4397" i="2"/>
  <c r="H4397" i="2"/>
  <c r="G4397" i="2"/>
  <c r="F4397" i="2"/>
  <c r="D4397" i="2"/>
  <c r="C4397" i="2"/>
  <c r="B4397" i="2"/>
  <c r="A4397" i="2"/>
  <c r="M4396" i="2"/>
  <c r="L4396" i="2"/>
  <c r="K4396" i="2"/>
  <c r="J4396" i="2"/>
  <c r="I4396" i="2"/>
  <c r="H4396" i="2"/>
  <c r="G4396" i="2"/>
  <c r="F4396" i="2"/>
  <c r="D4396" i="2"/>
  <c r="C4396" i="2"/>
  <c r="B4396" i="2"/>
  <c r="A4396" i="2"/>
  <c r="M4395" i="2"/>
  <c r="L4395" i="2"/>
  <c r="K4395" i="2"/>
  <c r="J4395" i="2"/>
  <c r="I4395" i="2"/>
  <c r="H4395" i="2"/>
  <c r="G4395" i="2"/>
  <c r="F4395" i="2"/>
  <c r="D4395" i="2"/>
  <c r="C4395" i="2"/>
  <c r="B4395" i="2"/>
  <c r="A4395" i="2"/>
  <c r="M4394" i="2"/>
  <c r="L4394" i="2"/>
  <c r="K4394" i="2"/>
  <c r="J4394" i="2"/>
  <c r="I4394" i="2"/>
  <c r="H4394" i="2"/>
  <c r="G4394" i="2"/>
  <c r="F4394" i="2"/>
  <c r="D4394" i="2"/>
  <c r="C4394" i="2"/>
  <c r="B4394" i="2"/>
  <c r="A4394" i="2"/>
  <c r="M4393" i="2"/>
  <c r="L4393" i="2"/>
  <c r="K4393" i="2"/>
  <c r="J4393" i="2"/>
  <c r="I4393" i="2"/>
  <c r="H4393" i="2"/>
  <c r="G4393" i="2"/>
  <c r="F4393" i="2"/>
  <c r="D4393" i="2"/>
  <c r="C4393" i="2"/>
  <c r="B4393" i="2"/>
  <c r="A4393" i="2"/>
  <c r="M4392" i="2"/>
  <c r="L4392" i="2"/>
  <c r="K4392" i="2"/>
  <c r="J4392" i="2"/>
  <c r="I4392" i="2"/>
  <c r="H4392" i="2"/>
  <c r="G4392" i="2"/>
  <c r="F4392" i="2"/>
  <c r="D4392" i="2"/>
  <c r="C4392" i="2"/>
  <c r="B4392" i="2"/>
  <c r="A4392" i="2"/>
  <c r="M4391" i="2"/>
  <c r="L4391" i="2"/>
  <c r="K4391" i="2"/>
  <c r="J4391" i="2"/>
  <c r="I4391" i="2"/>
  <c r="H4391" i="2"/>
  <c r="G4391" i="2"/>
  <c r="F4391" i="2"/>
  <c r="D4391" i="2"/>
  <c r="C4391" i="2"/>
  <c r="B4391" i="2"/>
  <c r="A4391" i="2"/>
  <c r="M4390" i="2"/>
  <c r="L4390" i="2"/>
  <c r="K4390" i="2"/>
  <c r="J4390" i="2"/>
  <c r="I4390" i="2"/>
  <c r="H4390" i="2"/>
  <c r="G4390" i="2"/>
  <c r="F4390" i="2"/>
  <c r="D4390" i="2"/>
  <c r="C4390" i="2"/>
  <c r="B4390" i="2"/>
  <c r="A4390" i="2"/>
  <c r="M4389" i="2"/>
  <c r="L4389" i="2"/>
  <c r="K4389" i="2"/>
  <c r="J4389" i="2"/>
  <c r="I4389" i="2"/>
  <c r="H4389" i="2"/>
  <c r="G4389" i="2"/>
  <c r="F4389" i="2"/>
  <c r="D4389" i="2"/>
  <c r="C4389" i="2"/>
  <c r="B4389" i="2"/>
  <c r="A4389" i="2"/>
  <c r="N4388" i="2"/>
  <c r="M4388" i="2"/>
  <c r="L4388" i="2"/>
  <c r="K4388" i="2"/>
  <c r="J4388" i="2"/>
  <c r="I4388" i="2"/>
  <c r="H4388" i="2"/>
  <c r="G4388" i="2"/>
  <c r="F4388" i="2"/>
  <c r="D4388" i="2"/>
  <c r="C4388" i="2"/>
  <c r="B4388" i="2"/>
  <c r="A4388" i="2"/>
  <c r="M4387" i="2"/>
  <c r="L4387" i="2"/>
  <c r="K4387" i="2"/>
  <c r="J4387" i="2"/>
  <c r="I4387" i="2"/>
  <c r="H4387" i="2"/>
  <c r="G4387" i="2"/>
  <c r="F4387" i="2"/>
  <c r="D4387" i="2"/>
  <c r="C4387" i="2"/>
  <c r="B4387" i="2"/>
  <c r="A4387" i="2"/>
  <c r="M4386" i="2"/>
  <c r="L4386" i="2"/>
  <c r="K4386" i="2"/>
  <c r="J4386" i="2"/>
  <c r="I4386" i="2"/>
  <c r="H4386" i="2"/>
  <c r="G4386" i="2"/>
  <c r="F4386" i="2"/>
  <c r="D4386" i="2"/>
  <c r="C4386" i="2"/>
  <c r="B4386" i="2"/>
  <c r="A4386" i="2"/>
  <c r="M4385" i="2"/>
  <c r="L4385" i="2"/>
  <c r="K4385" i="2"/>
  <c r="J4385" i="2"/>
  <c r="I4385" i="2"/>
  <c r="H4385" i="2"/>
  <c r="G4385" i="2"/>
  <c r="F4385" i="2"/>
  <c r="D4385" i="2"/>
  <c r="C4385" i="2"/>
  <c r="B4385" i="2"/>
  <c r="A4385" i="2"/>
  <c r="N4384" i="2"/>
  <c r="M4384" i="2"/>
  <c r="L4384" i="2"/>
  <c r="K4384" i="2"/>
  <c r="J4384" i="2"/>
  <c r="I4384" i="2"/>
  <c r="H4384" i="2"/>
  <c r="G4384" i="2"/>
  <c r="F4384" i="2"/>
  <c r="D4384" i="2"/>
  <c r="C4384" i="2"/>
  <c r="B4384" i="2"/>
  <c r="A4384" i="2"/>
  <c r="M4383" i="2"/>
  <c r="L4383" i="2"/>
  <c r="K4383" i="2"/>
  <c r="J4383" i="2"/>
  <c r="I4383" i="2"/>
  <c r="H4383" i="2"/>
  <c r="G4383" i="2"/>
  <c r="F4383" i="2"/>
  <c r="D4383" i="2"/>
  <c r="C4383" i="2"/>
  <c r="B4383" i="2"/>
  <c r="A4383" i="2"/>
  <c r="M4382" i="2"/>
  <c r="L4382" i="2"/>
  <c r="K4382" i="2"/>
  <c r="J4382" i="2"/>
  <c r="I4382" i="2"/>
  <c r="H4382" i="2"/>
  <c r="G4382" i="2"/>
  <c r="F4382" i="2"/>
  <c r="D4382" i="2"/>
  <c r="C4382" i="2"/>
  <c r="B4382" i="2"/>
  <c r="A4382" i="2"/>
  <c r="M4381" i="2"/>
  <c r="L4381" i="2"/>
  <c r="K4381" i="2"/>
  <c r="J4381" i="2"/>
  <c r="I4381" i="2"/>
  <c r="H4381" i="2"/>
  <c r="F4381" i="2"/>
  <c r="E4381" i="2"/>
  <c r="D4381" i="2"/>
  <c r="C4381" i="2"/>
  <c r="B4381" i="2"/>
  <c r="A4381" i="2"/>
  <c r="M4380" i="2"/>
  <c r="L4380" i="2"/>
  <c r="K4380" i="2"/>
  <c r="J4380" i="2"/>
  <c r="I4380" i="2"/>
  <c r="H4380" i="2"/>
  <c r="F4380" i="2"/>
  <c r="E4380" i="2"/>
  <c r="D4380" i="2"/>
  <c r="C4380" i="2"/>
  <c r="B4380" i="2"/>
  <c r="A4380" i="2"/>
  <c r="M4379" i="2"/>
  <c r="L4379" i="2"/>
  <c r="K4379" i="2"/>
  <c r="J4379" i="2"/>
  <c r="I4379" i="2"/>
  <c r="H4379" i="2"/>
  <c r="F4379" i="2"/>
  <c r="E4379" i="2"/>
  <c r="D4379" i="2"/>
  <c r="C4379" i="2"/>
  <c r="B4379" i="2"/>
  <c r="A4379" i="2"/>
  <c r="M4378" i="2"/>
  <c r="L4378" i="2"/>
  <c r="K4378" i="2"/>
  <c r="J4378" i="2"/>
  <c r="I4378" i="2"/>
  <c r="H4378" i="2"/>
  <c r="F4378" i="2"/>
  <c r="E4378" i="2"/>
  <c r="D4378" i="2"/>
  <c r="C4378" i="2"/>
  <c r="B4378" i="2"/>
  <c r="A4378" i="2"/>
  <c r="M4377" i="2"/>
  <c r="L4377" i="2"/>
  <c r="K4377" i="2"/>
  <c r="J4377" i="2"/>
  <c r="I4377" i="2"/>
  <c r="H4377" i="2"/>
  <c r="F4377" i="2"/>
  <c r="E4377" i="2"/>
  <c r="D4377" i="2"/>
  <c r="C4377" i="2"/>
  <c r="B4377" i="2"/>
  <c r="A4377" i="2"/>
  <c r="M4376" i="2"/>
  <c r="L4376" i="2"/>
  <c r="K4376" i="2"/>
  <c r="J4376" i="2"/>
  <c r="I4376" i="2"/>
  <c r="H4376" i="2"/>
  <c r="F4376" i="2"/>
  <c r="E4376" i="2"/>
  <c r="D4376" i="2"/>
  <c r="C4376" i="2"/>
  <c r="B4376" i="2"/>
  <c r="A4376" i="2"/>
  <c r="M4375" i="2"/>
  <c r="L4375" i="2"/>
  <c r="K4375" i="2"/>
  <c r="J4375" i="2"/>
  <c r="I4375" i="2"/>
  <c r="H4375" i="2"/>
  <c r="F4375" i="2"/>
  <c r="E4375" i="2"/>
  <c r="D4375" i="2"/>
  <c r="C4375" i="2"/>
  <c r="B4375" i="2"/>
  <c r="A4375" i="2"/>
  <c r="M4374" i="2"/>
  <c r="L4374" i="2"/>
  <c r="K4374" i="2"/>
  <c r="J4374" i="2"/>
  <c r="I4374" i="2"/>
  <c r="H4374" i="2"/>
  <c r="F4374" i="2"/>
  <c r="E4374" i="2"/>
  <c r="D4374" i="2"/>
  <c r="C4374" i="2"/>
  <c r="B4374" i="2"/>
  <c r="A4374" i="2"/>
  <c r="M4373" i="2"/>
  <c r="L4373" i="2"/>
  <c r="K4373" i="2"/>
  <c r="J4373" i="2"/>
  <c r="I4373" i="2"/>
  <c r="H4373" i="2"/>
  <c r="F4373" i="2"/>
  <c r="E4373" i="2"/>
  <c r="D4373" i="2"/>
  <c r="C4373" i="2"/>
  <c r="B4373" i="2"/>
  <c r="A4373" i="2"/>
  <c r="M4372" i="2"/>
  <c r="L4372" i="2"/>
  <c r="K4372" i="2"/>
  <c r="J4372" i="2"/>
  <c r="I4372" i="2"/>
  <c r="H4372" i="2"/>
  <c r="F4372" i="2"/>
  <c r="E4372" i="2"/>
  <c r="D4372" i="2"/>
  <c r="C4372" i="2"/>
  <c r="B4372" i="2"/>
  <c r="A4372" i="2"/>
  <c r="M4371" i="2"/>
  <c r="L4371" i="2"/>
  <c r="K4371" i="2"/>
  <c r="J4371" i="2"/>
  <c r="I4371" i="2"/>
  <c r="H4371" i="2"/>
  <c r="F4371" i="2"/>
  <c r="E4371" i="2"/>
  <c r="D4371" i="2"/>
  <c r="C4371" i="2"/>
  <c r="B4371" i="2"/>
  <c r="A4371" i="2"/>
  <c r="M4370" i="2"/>
  <c r="L4370" i="2"/>
  <c r="K4370" i="2"/>
  <c r="J4370" i="2"/>
  <c r="I4370" i="2"/>
  <c r="H4370" i="2"/>
  <c r="G4370" i="2"/>
  <c r="F4370" i="2"/>
  <c r="E4370" i="2"/>
  <c r="D4370" i="2"/>
  <c r="C4370" i="2"/>
  <c r="B4370" i="2"/>
  <c r="A4370" i="2"/>
  <c r="M4369" i="2"/>
  <c r="L4369" i="2"/>
  <c r="K4369" i="2"/>
  <c r="J4369" i="2"/>
  <c r="I4369" i="2"/>
  <c r="H4369" i="2"/>
  <c r="G4369" i="2"/>
  <c r="F4369" i="2"/>
  <c r="E4369" i="2"/>
  <c r="D4369" i="2"/>
  <c r="C4369" i="2"/>
  <c r="B4369" i="2"/>
  <c r="A4369" i="2"/>
  <c r="M4368" i="2"/>
  <c r="L4368" i="2"/>
  <c r="K4368" i="2"/>
  <c r="J4368" i="2"/>
  <c r="I4368" i="2"/>
  <c r="H4368" i="2"/>
  <c r="G4368" i="2"/>
  <c r="F4368" i="2"/>
  <c r="E4368" i="2"/>
  <c r="D4368" i="2"/>
  <c r="C4368" i="2"/>
  <c r="B4368" i="2"/>
  <c r="A4368" i="2"/>
  <c r="M4367" i="2"/>
  <c r="L4367" i="2"/>
  <c r="K4367" i="2"/>
  <c r="J4367" i="2"/>
  <c r="I4367" i="2"/>
  <c r="H4367" i="2"/>
  <c r="F4367" i="2"/>
  <c r="E4367" i="2"/>
  <c r="D4367" i="2"/>
  <c r="C4367" i="2"/>
  <c r="B4367" i="2"/>
  <c r="A4367" i="2"/>
  <c r="M4366" i="2"/>
  <c r="L4366" i="2"/>
  <c r="K4366" i="2"/>
  <c r="J4366" i="2"/>
  <c r="I4366" i="2"/>
  <c r="H4366" i="2"/>
  <c r="F4366" i="2"/>
  <c r="E4366" i="2"/>
  <c r="D4366" i="2"/>
  <c r="C4366" i="2"/>
  <c r="B4366" i="2"/>
  <c r="A4366" i="2"/>
  <c r="M4365" i="2"/>
  <c r="L4365" i="2"/>
  <c r="K4365" i="2"/>
  <c r="J4365" i="2"/>
  <c r="I4365" i="2"/>
  <c r="H4365" i="2"/>
  <c r="F4365" i="2"/>
  <c r="E4365" i="2"/>
  <c r="D4365" i="2"/>
  <c r="C4365" i="2"/>
  <c r="B4365" i="2"/>
  <c r="A4365" i="2"/>
  <c r="M4364" i="2"/>
  <c r="L4364" i="2"/>
  <c r="K4364" i="2"/>
  <c r="J4364" i="2"/>
  <c r="I4364" i="2"/>
  <c r="H4364" i="2"/>
  <c r="F4364" i="2"/>
  <c r="E4364" i="2"/>
  <c r="D4364" i="2"/>
  <c r="C4364" i="2"/>
  <c r="B4364" i="2"/>
  <c r="A4364" i="2"/>
  <c r="M4363" i="2"/>
  <c r="L4363" i="2"/>
  <c r="K4363" i="2"/>
  <c r="J4363" i="2"/>
  <c r="I4363" i="2"/>
  <c r="H4363" i="2"/>
  <c r="F4363" i="2"/>
  <c r="E4363" i="2"/>
  <c r="D4363" i="2"/>
  <c r="C4363" i="2"/>
  <c r="B4363" i="2"/>
  <c r="A4363" i="2"/>
  <c r="M4362" i="2"/>
  <c r="L4362" i="2"/>
  <c r="K4362" i="2"/>
  <c r="J4362" i="2"/>
  <c r="I4362" i="2"/>
  <c r="H4362" i="2"/>
  <c r="F4362" i="2"/>
  <c r="E4362" i="2"/>
  <c r="D4362" i="2"/>
  <c r="C4362" i="2"/>
  <c r="B4362" i="2"/>
  <c r="A4362" i="2"/>
  <c r="M4361" i="2"/>
  <c r="L4361" i="2"/>
  <c r="K4361" i="2"/>
  <c r="J4361" i="2"/>
  <c r="I4361" i="2"/>
  <c r="H4361" i="2"/>
  <c r="G4361" i="2"/>
  <c r="F4361" i="2"/>
  <c r="E4361" i="2"/>
  <c r="D4361" i="2"/>
  <c r="C4361" i="2"/>
  <c r="B4361" i="2"/>
  <c r="A4361" i="2"/>
  <c r="M4360" i="2"/>
  <c r="L4360" i="2"/>
  <c r="K4360" i="2"/>
  <c r="J4360" i="2"/>
  <c r="I4360" i="2"/>
  <c r="H4360" i="2"/>
  <c r="G4360" i="2"/>
  <c r="F4360" i="2"/>
  <c r="E4360" i="2"/>
  <c r="D4360" i="2"/>
  <c r="C4360" i="2"/>
  <c r="B4360" i="2"/>
  <c r="A4360" i="2"/>
  <c r="M4359" i="2"/>
  <c r="L4359" i="2"/>
  <c r="K4359" i="2"/>
  <c r="J4359" i="2"/>
  <c r="I4359" i="2"/>
  <c r="H4359" i="2"/>
  <c r="F4359" i="2"/>
  <c r="E4359" i="2"/>
  <c r="D4359" i="2"/>
  <c r="C4359" i="2"/>
  <c r="B4359" i="2"/>
  <c r="A4359" i="2"/>
  <c r="M4358" i="2"/>
  <c r="L4358" i="2"/>
  <c r="K4358" i="2"/>
  <c r="J4358" i="2"/>
  <c r="I4358" i="2"/>
  <c r="H4358" i="2"/>
  <c r="G4358" i="2"/>
  <c r="F4358" i="2"/>
  <c r="E4358" i="2"/>
  <c r="D4358" i="2"/>
  <c r="C4358" i="2"/>
  <c r="B4358" i="2"/>
  <c r="A4358" i="2"/>
  <c r="M4357" i="2"/>
  <c r="L4357" i="2"/>
  <c r="K4357" i="2"/>
  <c r="J4357" i="2"/>
  <c r="I4357" i="2"/>
  <c r="H4357" i="2"/>
  <c r="G4357" i="2"/>
  <c r="F4357" i="2"/>
  <c r="E4357" i="2"/>
  <c r="D4357" i="2"/>
  <c r="C4357" i="2"/>
  <c r="B4357" i="2"/>
  <c r="A4357" i="2"/>
  <c r="L4356" i="2"/>
  <c r="K4356" i="2"/>
  <c r="J4356" i="2"/>
  <c r="I4356" i="2"/>
  <c r="H4356" i="2"/>
  <c r="F4356" i="2"/>
  <c r="E4356" i="2"/>
  <c r="D4356" i="2"/>
  <c r="C4356" i="2"/>
  <c r="B4356" i="2"/>
  <c r="A4356" i="2"/>
  <c r="M4355" i="2"/>
  <c r="L4355" i="2"/>
  <c r="K4355" i="2"/>
  <c r="I4355" i="2"/>
  <c r="H4355" i="2"/>
  <c r="F4355" i="2"/>
  <c r="E4355" i="2"/>
  <c r="D4355" i="2"/>
  <c r="C4355" i="2"/>
  <c r="B4355" i="2"/>
  <c r="A4355" i="2"/>
  <c r="M4354" i="2"/>
  <c r="L4354" i="2"/>
  <c r="K4354" i="2"/>
  <c r="J4354" i="2"/>
  <c r="I4354" i="2"/>
  <c r="H4354" i="2"/>
  <c r="G4354" i="2"/>
  <c r="F4354" i="2"/>
  <c r="E4354" i="2"/>
  <c r="D4354" i="2"/>
  <c r="C4354" i="2"/>
  <c r="B4354" i="2"/>
  <c r="A4354" i="2"/>
  <c r="M4353" i="2"/>
  <c r="L4353" i="2"/>
  <c r="K4353" i="2"/>
  <c r="J4353" i="2"/>
  <c r="I4353" i="2"/>
  <c r="H4353" i="2"/>
  <c r="G4353" i="2"/>
  <c r="F4353" i="2"/>
  <c r="E4353" i="2"/>
  <c r="D4353" i="2"/>
  <c r="C4353" i="2"/>
  <c r="B4353" i="2"/>
  <c r="A4353" i="2"/>
  <c r="M4352" i="2"/>
  <c r="L4352" i="2"/>
  <c r="K4352" i="2"/>
  <c r="J4352" i="2"/>
  <c r="I4352" i="2"/>
  <c r="H4352" i="2"/>
  <c r="G4352" i="2"/>
  <c r="F4352" i="2"/>
  <c r="E4352" i="2"/>
  <c r="D4352" i="2"/>
  <c r="C4352" i="2"/>
  <c r="B4352" i="2"/>
  <c r="A4352" i="2"/>
  <c r="M4351" i="2"/>
  <c r="L4351" i="2"/>
  <c r="K4351" i="2"/>
  <c r="J4351" i="2"/>
  <c r="I4351" i="2"/>
  <c r="H4351" i="2"/>
  <c r="F4351" i="2"/>
  <c r="E4351" i="2"/>
  <c r="D4351" i="2"/>
  <c r="C4351" i="2"/>
  <c r="B4351" i="2"/>
  <c r="A4351" i="2"/>
  <c r="M4350" i="2"/>
  <c r="L4350" i="2"/>
  <c r="K4350" i="2"/>
  <c r="J4350" i="2"/>
  <c r="I4350" i="2"/>
  <c r="H4350" i="2"/>
  <c r="F4350" i="2"/>
  <c r="E4350" i="2"/>
  <c r="D4350" i="2"/>
  <c r="C4350" i="2"/>
  <c r="B4350" i="2"/>
  <c r="A4350" i="2"/>
  <c r="M4349" i="2"/>
  <c r="L4349" i="2"/>
  <c r="K4349" i="2"/>
  <c r="J4349" i="2"/>
  <c r="I4349" i="2"/>
  <c r="H4349" i="2"/>
  <c r="F4349" i="2"/>
  <c r="E4349" i="2"/>
  <c r="D4349" i="2"/>
  <c r="C4349" i="2"/>
  <c r="B4349" i="2"/>
  <c r="A4349" i="2"/>
  <c r="M4348" i="2"/>
  <c r="L4348" i="2"/>
  <c r="K4348" i="2"/>
  <c r="J4348" i="2"/>
  <c r="I4348" i="2"/>
  <c r="H4348" i="2"/>
  <c r="F4348" i="2"/>
  <c r="E4348" i="2"/>
  <c r="D4348" i="2"/>
  <c r="C4348" i="2"/>
  <c r="B4348" i="2"/>
  <c r="A4348" i="2"/>
  <c r="N4347" i="2"/>
  <c r="M4347" i="2"/>
  <c r="L4347" i="2"/>
  <c r="K4347" i="2"/>
  <c r="J4347" i="2"/>
  <c r="I4347" i="2"/>
  <c r="H4347" i="2"/>
  <c r="F4347" i="2"/>
  <c r="E4347" i="2"/>
  <c r="D4347" i="2"/>
  <c r="C4347" i="2"/>
  <c r="B4347" i="2"/>
  <c r="A4347" i="2"/>
  <c r="M4346" i="2"/>
  <c r="L4346" i="2"/>
  <c r="K4346" i="2"/>
  <c r="J4346" i="2"/>
  <c r="I4346" i="2"/>
  <c r="H4346" i="2"/>
  <c r="F4346" i="2"/>
  <c r="E4346" i="2"/>
  <c r="D4346" i="2"/>
  <c r="C4346" i="2"/>
  <c r="B4346" i="2"/>
  <c r="A4346" i="2"/>
  <c r="N4345" i="2"/>
  <c r="M4345" i="2"/>
  <c r="L4345" i="2"/>
  <c r="K4345" i="2"/>
  <c r="J4345" i="2"/>
  <c r="I4345" i="2"/>
  <c r="H4345" i="2"/>
  <c r="F4345" i="2"/>
  <c r="E4345" i="2"/>
  <c r="D4345" i="2"/>
  <c r="C4345" i="2"/>
  <c r="B4345" i="2"/>
  <c r="A4345" i="2"/>
  <c r="M4344" i="2"/>
  <c r="L4344" i="2"/>
  <c r="K4344" i="2"/>
  <c r="J4344" i="2"/>
  <c r="I4344" i="2"/>
  <c r="H4344" i="2"/>
  <c r="G4344" i="2"/>
  <c r="F4344" i="2"/>
  <c r="E4344" i="2"/>
  <c r="D4344" i="2"/>
  <c r="C4344" i="2"/>
  <c r="B4344" i="2"/>
  <c r="A4344" i="2"/>
  <c r="M4343" i="2"/>
  <c r="L4343" i="2"/>
  <c r="K4343" i="2"/>
  <c r="J4343" i="2"/>
  <c r="I4343" i="2"/>
  <c r="H4343" i="2"/>
  <c r="G4343" i="2"/>
  <c r="F4343" i="2"/>
  <c r="E4343" i="2"/>
  <c r="D4343" i="2"/>
  <c r="C4343" i="2"/>
  <c r="B4343" i="2"/>
  <c r="A4343" i="2"/>
  <c r="M4342" i="2"/>
  <c r="L4342" i="2"/>
  <c r="K4342" i="2"/>
  <c r="J4342" i="2"/>
  <c r="I4342" i="2"/>
  <c r="H4342" i="2"/>
  <c r="G4342" i="2"/>
  <c r="F4342" i="2"/>
  <c r="E4342" i="2"/>
  <c r="D4342" i="2"/>
  <c r="C4342" i="2"/>
  <c r="B4342" i="2"/>
  <c r="A4342" i="2"/>
  <c r="N4341" i="2"/>
  <c r="M4341" i="2"/>
  <c r="L4341" i="2"/>
  <c r="K4341" i="2"/>
  <c r="J4341" i="2"/>
  <c r="I4341" i="2"/>
  <c r="H4341" i="2"/>
  <c r="G4341" i="2"/>
  <c r="F4341" i="2"/>
  <c r="E4341" i="2"/>
  <c r="D4341" i="2"/>
  <c r="C4341" i="2"/>
  <c r="B4341" i="2"/>
  <c r="A4341" i="2"/>
  <c r="N4340" i="2"/>
  <c r="M4340" i="2"/>
  <c r="L4340" i="2"/>
  <c r="K4340" i="2"/>
  <c r="J4340" i="2"/>
  <c r="I4340" i="2"/>
  <c r="H4340" i="2"/>
  <c r="G4340" i="2"/>
  <c r="F4340" i="2"/>
  <c r="E4340" i="2"/>
  <c r="D4340" i="2"/>
  <c r="C4340" i="2"/>
  <c r="B4340" i="2"/>
  <c r="A4340" i="2"/>
  <c r="N4339" i="2"/>
  <c r="M4339" i="2"/>
  <c r="L4339" i="2"/>
  <c r="K4339" i="2"/>
  <c r="J4339" i="2"/>
  <c r="I4339" i="2"/>
  <c r="H4339" i="2"/>
  <c r="G4339" i="2"/>
  <c r="F4339" i="2"/>
  <c r="E4339" i="2"/>
  <c r="D4339" i="2"/>
  <c r="C4339" i="2"/>
  <c r="B4339" i="2"/>
  <c r="A4339" i="2"/>
  <c r="N4338" i="2"/>
  <c r="M4338" i="2"/>
  <c r="L4338" i="2"/>
  <c r="K4338" i="2"/>
  <c r="J4338" i="2"/>
  <c r="I4338" i="2"/>
  <c r="H4338" i="2"/>
  <c r="G4338" i="2"/>
  <c r="F4338" i="2"/>
  <c r="E4338" i="2"/>
  <c r="D4338" i="2"/>
  <c r="C4338" i="2"/>
  <c r="B4338" i="2"/>
  <c r="A4338" i="2"/>
  <c r="M4337" i="2"/>
  <c r="L4337" i="2"/>
  <c r="K4337" i="2"/>
  <c r="J4337" i="2"/>
  <c r="I4337" i="2"/>
  <c r="H4337" i="2"/>
  <c r="G4337" i="2"/>
  <c r="F4337" i="2"/>
  <c r="E4337" i="2"/>
  <c r="D4337" i="2"/>
  <c r="C4337" i="2"/>
  <c r="B4337" i="2"/>
  <c r="A4337" i="2"/>
  <c r="M4336" i="2"/>
  <c r="L4336" i="2"/>
  <c r="K4336" i="2"/>
  <c r="J4336" i="2"/>
  <c r="I4336" i="2"/>
  <c r="H4336" i="2"/>
  <c r="G4336" i="2"/>
  <c r="F4336" i="2"/>
  <c r="E4336" i="2"/>
  <c r="D4336" i="2"/>
  <c r="C4336" i="2"/>
  <c r="B4336" i="2"/>
  <c r="A4336" i="2"/>
  <c r="M4335" i="2"/>
  <c r="L4335" i="2"/>
  <c r="K4335" i="2"/>
  <c r="J4335" i="2"/>
  <c r="I4335" i="2"/>
  <c r="H4335" i="2"/>
  <c r="G4335" i="2"/>
  <c r="F4335" i="2"/>
  <c r="E4335" i="2"/>
  <c r="D4335" i="2"/>
  <c r="C4335" i="2"/>
  <c r="B4335" i="2"/>
  <c r="A4335" i="2"/>
  <c r="M4334" i="2"/>
  <c r="L4334" i="2"/>
  <c r="K4334" i="2"/>
  <c r="J4334" i="2"/>
  <c r="I4334" i="2"/>
  <c r="H4334" i="2"/>
  <c r="G4334" i="2"/>
  <c r="F4334" i="2"/>
  <c r="E4334" i="2"/>
  <c r="D4334" i="2"/>
  <c r="C4334" i="2"/>
  <c r="B4334" i="2"/>
  <c r="A4334" i="2"/>
  <c r="N4333" i="2"/>
  <c r="M4333" i="2"/>
  <c r="L4333" i="2"/>
  <c r="K4333" i="2"/>
  <c r="J4333" i="2"/>
  <c r="I4333" i="2"/>
  <c r="H4333" i="2"/>
  <c r="G4333" i="2"/>
  <c r="F4333" i="2"/>
  <c r="E4333" i="2"/>
  <c r="D4333" i="2"/>
  <c r="C4333" i="2"/>
  <c r="B4333" i="2"/>
  <c r="A4333" i="2"/>
  <c r="M4332" i="2"/>
  <c r="L4332" i="2"/>
  <c r="K4332" i="2"/>
  <c r="J4332" i="2"/>
  <c r="I4332" i="2"/>
  <c r="H4332" i="2"/>
  <c r="G4332" i="2"/>
  <c r="F4332" i="2"/>
  <c r="E4332" i="2"/>
  <c r="D4332" i="2"/>
  <c r="C4332" i="2"/>
  <c r="B4332" i="2"/>
  <c r="A4332" i="2"/>
  <c r="N4331" i="2"/>
  <c r="M4331" i="2"/>
  <c r="L4331" i="2"/>
  <c r="K4331" i="2"/>
  <c r="J4331" i="2"/>
  <c r="I4331" i="2"/>
  <c r="H4331" i="2"/>
  <c r="G4331" i="2"/>
  <c r="F4331" i="2"/>
  <c r="E4331" i="2"/>
  <c r="D4331" i="2"/>
  <c r="C4331" i="2"/>
  <c r="B4331" i="2"/>
  <c r="A4331" i="2"/>
  <c r="M4330" i="2"/>
  <c r="L4330" i="2"/>
  <c r="K4330" i="2"/>
  <c r="J4330" i="2"/>
  <c r="I4330" i="2"/>
  <c r="H4330" i="2"/>
  <c r="G4330" i="2"/>
  <c r="F4330" i="2"/>
  <c r="E4330" i="2"/>
  <c r="D4330" i="2"/>
  <c r="C4330" i="2"/>
  <c r="B4330" i="2"/>
  <c r="A4330" i="2"/>
  <c r="M4329" i="2"/>
  <c r="L4329" i="2"/>
  <c r="K4329" i="2"/>
  <c r="J4329" i="2"/>
  <c r="I4329" i="2"/>
  <c r="H4329" i="2"/>
  <c r="G4329" i="2"/>
  <c r="F4329" i="2"/>
  <c r="E4329" i="2"/>
  <c r="D4329" i="2"/>
  <c r="C4329" i="2"/>
  <c r="B4329" i="2"/>
  <c r="A4329" i="2"/>
  <c r="L4328" i="2"/>
  <c r="J4328" i="2"/>
  <c r="I4328" i="2"/>
  <c r="H4328" i="2"/>
  <c r="F4328" i="2"/>
  <c r="E4328" i="2"/>
  <c r="D4328" i="2"/>
  <c r="C4328" i="2"/>
  <c r="B4328" i="2"/>
  <c r="A4328" i="2"/>
  <c r="M4327" i="2"/>
  <c r="L4327" i="2"/>
  <c r="K4327" i="2"/>
  <c r="J4327" i="2"/>
  <c r="I4327" i="2"/>
  <c r="H4327" i="2"/>
  <c r="F4327" i="2"/>
  <c r="E4327" i="2"/>
  <c r="D4327" i="2"/>
  <c r="C4327" i="2"/>
  <c r="B4327" i="2"/>
  <c r="A4327" i="2"/>
  <c r="M4326" i="2"/>
  <c r="L4326" i="2"/>
  <c r="K4326" i="2"/>
  <c r="J4326" i="2"/>
  <c r="I4326" i="2"/>
  <c r="H4326" i="2"/>
  <c r="F4326" i="2"/>
  <c r="E4326" i="2"/>
  <c r="D4326" i="2"/>
  <c r="C4326" i="2"/>
  <c r="B4326" i="2"/>
  <c r="A4326" i="2"/>
  <c r="M4325" i="2"/>
  <c r="L4325" i="2"/>
  <c r="K4325" i="2"/>
  <c r="J4325" i="2"/>
  <c r="I4325" i="2"/>
  <c r="H4325" i="2"/>
  <c r="F4325" i="2"/>
  <c r="E4325" i="2"/>
  <c r="D4325" i="2"/>
  <c r="C4325" i="2"/>
  <c r="B4325" i="2"/>
  <c r="A4325" i="2"/>
  <c r="M4324" i="2"/>
  <c r="L4324" i="2"/>
  <c r="K4324" i="2"/>
  <c r="J4324" i="2"/>
  <c r="I4324" i="2"/>
  <c r="H4324" i="2"/>
  <c r="F4324" i="2"/>
  <c r="E4324" i="2"/>
  <c r="D4324" i="2"/>
  <c r="C4324" i="2"/>
  <c r="B4324" i="2"/>
  <c r="A4324" i="2"/>
  <c r="M4323" i="2"/>
  <c r="L4323" i="2"/>
  <c r="K4323" i="2"/>
  <c r="J4323" i="2"/>
  <c r="I4323" i="2"/>
  <c r="H4323" i="2"/>
  <c r="F4323" i="2"/>
  <c r="E4323" i="2"/>
  <c r="D4323" i="2"/>
  <c r="C4323" i="2"/>
  <c r="B4323" i="2"/>
  <c r="A4323" i="2"/>
  <c r="M4322" i="2"/>
  <c r="L4322" i="2"/>
  <c r="K4322" i="2"/>
  <c r="J4322" i="2"/>
  <c r="I4322" i="2"/>
  <c r="H4322" i="2"/>
  <c r="F4322" i="2"/>
  <c r="E4322" i="2"/>
  <c r="D4322" i="2"/>
  <c r="C4322" i="2"/>
  <c r="B4322" i="2"/>
  <c r="A4322" i="2"/>
  <c r="M4321" i="2"/>
  <c r="L4321" i="2"/>
  <c r="K4321" i="2"/>
  <c r="J4321" i="2"/>
  <c r="I4321" i="2"/>
  <c r="H4321" i="2"/>
  <c r="F4321" i="2"/>
  <c r="E4321" i="2"/>
  <c r="D4321" i="2"/>
  <c r="C4321" i="2"/>
  <c r="B4321" i="2"/>
  <c r="A4321" i="2"/>
  <c r="M4320" i="2"/>
  <c r="L4320" i="2"/>
  <c r="K4320" i="2"/>
  <c r="J4320" i="2"/>
  <c r="I4320" i="2"/>
  <c r="H4320" i="2"/>
  <c r="F4320" i="2"/>
  <c r="E4320" i="2"/>
  <c r="D4320" i="2"/>
  <c r="C4320" i="2"/>
  <c r="B4320" i="2"/>
  <c r="A4320" i="2"/>
  <c r="M4319" i="2"/>
  <c r="L4319" i="2"/>
  <c r="K4319" i="2"/>
  <c r="J4319" i="2"/>
  <c r="I4319" i="2"/>
  <c r="H4319" i="2"/>
  <c r="F4319" i="2"/>
  <c r="E4319" i="2"/>
  <c r="D4319" i="2"/>
  <c r="C4319" i="2"/>
  <c r="B4319" i="2"/>
  <c r="A4319" i="2"/>
  <c r="M4318" i="2"/>
  <c r="L4318" i="2"/>
  <c r="K4318" i="2"/>
  <c r="J4318" i="2"/>
  <c r="I4318" i="2"/>
  <c r="H4318" i="2"/>
  <c r="F4318" i="2"/>
  <c r="E4318" i="2"/>
  <c r="D4318" i="2"/>
  <c r="C4318" i="2"/>
  <c r="B4318" i="2"/>
  <c r="A4318" i="2"/>
  <c r="M4317" i="2"/>
  <c r="L4317" i="2"/>
  <c r="K4317" i="2"/>
  <c r="J4317" i="2"/>
  <c r="I4317" i="2"/>
  <c r="H4317" i="2"/>
  <c r="F4317" i="2"/>
  <c r="E4317" i="2"/>
  <c r="D4317" i="2"/>
  <c r="C4317" i="2"/>
  <c r="B4317" i="2"/>
  <c r="A4317" i="2"/>
  <c r="M4316" i="2"/>
  <c r="L4316" i="2"/>
  <c r="K4316" i="2"/>
  <c r="J4316" i="2"/>
  <c r="I4316" i="2"/>
  <c r="H4316" i="2"/>
  <c r="F4316" i="2"/>
  <c r="E4316" i="2"/>
  <c r="D4316" i="2"/>
  <c r="C4316" i="2"/>
  <c r="B4316" i="2"/>
  <c r="A4316" i="2"/>
  <c r="M4315" i="2"/>
  <c r="L4315" i="2"/>
  <c r="K4315" i="2"/>
  <c r="J4315" i="2"/>
  <c r="I4315" i="2"/>
  <c r="H4315" i="2"/>
  <c r="F4315" i="2"/>
  <c r="E4315" i="2"/>
  <c r="D4315" i="2"/>
  <c r="C4315" i="2"/>
  <c r="B4315" i="2"/>
  <c r="A4315" i="2"/>
  <c r="M4314" i="2"/>
  <c r="L4314" i="2"/>
  <c r="K4314" i="2"/>
  <c r="J4314" i="2"/>
  <c r="I4314" i="2"/>
  <c r="H4314" i="2"/>
  <c r="F4314" i="2"/>
  <c r="E4314" i="2"/>
  <c r="D4314" i="2"/>
  <c r="C4314" i="2"/>
  <c r="B4314" i="2"/>
  <c r="A4314" i="2"/>
  <c r="M4313" i="2"/>
  <c r="L4313" i="2"/>
  <c r="K4313" i="2"/>
  <c r="J4313" i="2"/>
  <c r="I4313" i="2"/>
  <c r="H4313" i="2"/>
  <c r="F4313" i="2"/>
  <c r="E4313" i="2"/>
  <c r="D4313" i="2"/>
  <c r="C4313" i="2"/>
  <c r="B4313" i="2"/>
  <c r="A4313" i="2"/>
  <c r="M4312" i="2"/>
  <c r="L4312" i="2"/>
  <c r="K4312" i="2"/>
  <c r="J4312" i="2"/>
  <c r="I4312" i="2"/>
  <c r="H4312" i="2"/>
  <c r="F4312" i="2"/>
  <c r="E4312" i="2"/>
  <c r="D4312" i="2"/>
  <c r="C4312" i="2"/>
  <c r="B4312" i="2"/>
  <c r="A4312" i="2"/>
  <c r="L4311" i="2"/>
  <c r="J4311" i="2"/>
  <c r="I4311" i="2"/>
  <c r="H4311" i="2"/>
  <c r="F4311" i="2"/>
  <c r="E4311" i="2"/>
  <c r="D4311" i="2"/>
  <c r="C4311" i="2"/>
  <c r="B4311" i="2"/>
  <c r="A4311" i="2"/>
  <c r="M4310" i="2"/>
  <c r="L4310" i="2"/>
  <c r="K4310" i="2"/>
  <c r="J4310" i="2"/>
  <c r="I4310" i="2"/>
  <c r="H4310" i="2"/>
  <c r="G4310" i="2"/>
  <c r="F4310" i="2"/>
  <c r="E4310" i="2"/>
  <c r="D4310" i="2"/>
  <c r="C4310" i="2"/>
  <c r="B4310" i="2"/>
  <c r="A4310" i="2"/>
  <c r="M4309" i="2"/>
  <c r="L4309" i="2"/>
  <c r="K4309" i="2"/>
  <c r="J4309" i="2"/>
  <c r="I4309" i="2"/>
  <c r="H4309" i="2"/>
  <c r="G4309" i="2"/>
  <c r="F4309" i="2"/>
  <c r="E4309" i="2"/>
  <c r="D4309" i="2"/>
  <c r="C4309" i="2"/>
  <c r="B4309" i="2"/>
  <c r="A4309" i="2"/>
  <c r="M4308" i="2"/>
  <c r="L4308" i="2"/>
  <c r="K4308" i="2"/>
  <c r="J4308" i="2"/>
  <c r="I4308" i="2"/>
  <c r="H4308" i="2"/>
  <c r="G4308" i="2"/>
  <c r="F4308" i="2"/>
  <c r="E4308" i="2"/>
  <c r="D4308" i="2"/>
  <c r="C4308" i="2"/>
  <c r="B4308" i="2"/>
  <c r="A4308" i="2"/>
  <c r="M4307" i="2"/>
  <c r="L4307" i="2"/>
  <c r="K4307" i="2"/>
  <c r="J4307" i="2"/>
  <c r="I4307" i="2"/>
  <c r="H4307" i="2"/>
  <c r="G4307" i="2"/>
  <c r="F4307" i="2"/>
  <c r="E4307" i="2"/>
  <c r="D4307" i="2"/>
  <c r="C4307" i="2"/>
  <c r="B4307" i="2"/>
  <c r="A4307" i="2"/>
  <c r="M4306" i="2"/>
  <c r="L4306" i="2"/>
  <c r="K4306" i="2"/>
  <c r="J4306" i="2"/>
  <c r="I4306" i="2"/>
  <c r="H4306" i="2"/>
  <c r="G4306" i="2"/>
  <c r="F4306" i="2"/>
  <c r="E4306" i="2"/>
  <c r="D4306" i="2"/>
  <c r="C4306" i="2"/>
  <c r="B4306" i="2"/>
  <c r="A4306" i="2"/>
  <c r="M4305" i="2"/>
  <c r="L4305" i="2"/>
  <c r="K4305" i="2"/>
  <c r="J4305" i="2"/>
  <c r="I4305" i="2"/>
  <c r="H4305" i="2"/>
  <c r="G4305" i="2"/>
  <c r="F4305" i="2"/>
  <c r="E4305" i="2"/>
  <c r="D4305" i="2"/>
  <c r="C4305" i="2"/>
  <c r="B4305" i="2"/>
  <c r="A4305" i="2"/>
  <c r="M4304" i="2"/>
  <c r="L4304" i="2"/>
  <c r="K4304" i="2"/>
  <c r="J4304" i="2"/>
  <c r="I4304" i="2"/>
  <c r="H4304" i="2"/>
  <c r="G4304" i="2"/>
  <c r="F4304" i="2"/>
  <c r="E4304" i="2"/>
  <c r="D4304" i="2"/>
  <c r="C4304" i="2"/>
  <c r="B4304" i="2"/>
  <c r="A4304" i="2"/>
  <c r="M4303" i="2"/>
  <c r="L4303" i="2"/>
  <c r="K4303" i="2"/>
  <c r="J4303" i="2"/>
  <c r="I4303" i="2"/>
  <c r="H4303" i="2"/>
  <c r="G4303" i="2"/>
  <c r="F4303" i="2"/>
  <c r="E4303" i="2"/>
  <c r="D4303" i="2"/>
  <c r="C4303" i="2"/>
  <c r="B4303" i="2"/>
  <c r="A4303" i="2"/>
  <c r="M4302" i="2"/>
  <c r="L4302" i="2"/>
  <c r="K4302" i="2"/>
  <c r="J4302" i="2"/>
  <c r="I4302" i="2"/>
  <c r="H4302" i="2"/>
  <c r="G4302" i="2"/>
  <c r="F4302" i="2"/>
  <c r="E4302" i="2"/>
  <c r="D4302" i="2"/>
  <c r="C4302" i="2"/>
  <c r="B4302" i="2"/>
  <c r="A4302" i="2"/>
  <c r="M4301" i="2"/>
  <c r="L4301" i="2"/>
  <c r="K4301" i="2"/>
  <c r="J4301" i="2"/>
  <c r="I4301" i="2"/>
  <c r="H4301" i="2"/>
  <c r="G4301" i="2"/>
  <c r="F4301" i="2"/>
  <c r="E4301" i="2"/>
  <c r="D4301" i="2"/>
  <c r="C4301" i="2"/>
  <c r="B4301" i="2"/>
  <c r="A4301" i="2"/>
  <c r="M4300" i="2"/>
  <c r="L4300" i="2"/>
  <c r="K4300" i="2"/>
  <c r="J4300" i="2"/>
  <c r="I4300" i="2"/>
  <c r="H4300" i="2"/>
  <c r="G4300" i="2"/>
  <c r="F4300" i="2"/>
  <c r="E4300" i="2"/>
  <c r="D4300" i="2"/>
  <c r="C4300" i="2"/>
  <c r="B4300" i="2"/>
  <c r="A4300" i="2"/>
  <c r="M4299" i="2"/>
  <c r="L4299" i="2"/>
  <c r="K4299" i="2"/>
  <c r="J4299" i="2"/>
  <c r="I4299" i="2"/>
  <c r="H4299" i="2"/>
  <c r="G4299" i="2"/>
  <c r="F4299" i="2"/>
  <c r="E4299" i="2"/>
  <c r="D4299" i="2"/>
  <c r="C4299" i="2"/>
  <c r="B4299" i="2"/>
  <c r="A4299" i="2"/>
  <c r="M4298" i="2"/>
  <c r="L4298" i="2"/>
  <c r="K4298" i="2"/>
  <c r="J4298" i="2"/>
  <c r="I4298" i="2"/>
  <c r="H4298" i="2"/>
  <c r="G4298" i="2"/>
  <c r="F4298" i="2"/>
  <c r="E4298" i="2"/>
  <c r="D4298" i="2"/>
  <c r="C4298" i="2"/>
  <c r="B4298" i="2"/>
  <c r="A4298" i="2"/>
  <c r="M4297" i="2"/>
  <c r="L4297" i="2"/>
  <c r="K4297" i="2"/>
  <c r="J4297" i="2"/>
  <c r="I4297" i="2"/>
  <c r="H4297" i="2"/>
  <c r="G4297" i="2"/>
  <c r="F4297" i="2"/>
  <c r="E4297" i="2"/>
  <c r="D4297" i="2"/>
  <c r="C4297" i="2"/>
  <c r="B4297" i="2"/>
  <c r="A4297" i="2"/>
  <c r="M4296" i="2"/>
  <c r="L4296" i="2"/>
  <c r="K4296" i="2"/>
  <c r="J4296" i="2"/>
  <c r="I4296" i="2"/>
  <c r="H4296" i="2"/>
  <c r="G4296" i="2"/>
  <c r="F4296" i="2"/>
  <c r="E4296" i="2"/>
  <c r="D4296" i="2"/>
  <c r="C4296" i="2"/>
  <c r="B4296" i="2"/>
  <c r="A4296" i="2"/>
  <c r="M4295" i="2"/>
  <c r="L4295" i="2"/>
  <c r="K4295" i="2"/>
  <c r="J4295" i="2"/>
  <c r="I4295" i="2"/>
  <c r="H4295" i="2"/>
  <c r="G4295" i="2"/>
  <c r="F4295" i="2"/>
  <c r="E4295" i="2"/>
  <c r="D4295" i="2"/>
  <c r="C4295" i="2"/>
  <c r="B4295" i="2"/>
  <c r="A4295" i="2"/>
  <c r="M4294" i="2"/>
  <c r="L4294" i="2"/>
  <c r="K4294" i="2"/>
  <c r="I4294" i="2"/>
  <c r="H4294" i="2"/>
  <c r="G4294" i="2"/>
  <c r="F4294" i="2"/>
  <c r="E4294" i="2"/>
  <c r="D4294" i="2"/>
  <c r="C4294" i="2"/>
  <c r="B4294" i="2"/>
  <c r="A4294" i="2"/>
  <c r="M4293" i="2"/>
  <c r="L4293" i="2"/>
  <c r="K4293" i="2"/>
  <c r="J4293" i="2"/>
  <c r="I4293" i="2"/>
  <c r="H4293" i="2"/>
  <c r="G4293" i="2"/>
  <c r="F4293" i="2"/>
  <c r="E4293" i="2"/>
  <c r="D4293" i="2"/>
  <c r="C4293" i="2"/>
  <c r="B4293" i="2"/>
  <c r="A4293" i="2"/>
  <c r="M4292" i="2"/>
  <c r="L4292" i="2"/>
  <c r="K4292" i="2"/>
  <c r="J4292" i="2"/>
  <c r="I4292" i="2"/>
  <c r="H4292" i="2"/>
  <c r="G4292" i="2"/>
  <c r="F4292" i="2"/>
  <c r="E4292" i="2"/>
  <c r="D4292" i="2"/>
  <c r="C4292" i="2"/>
  <c r="B4292" i="2"/>
  <c r="A4292" i="2"/>
  <c r="M4291" i="2"/>
  <c r="L4291" i="2"/>
  <c r="K4291" i="2"/>
  <c r="J4291" i="2"/>
  <c r="I4291" i="2"/>
  <c r="H4291" i="2"/>
  <c r="G4291" i="2"/>
  <c r="F4291" i="2"/>
  <c r="E4291" i="2"/>
  <c r="D4291" i="2"/>
  <c r="C4291" i="2"/>
  <c r="B4291" i="2"/>
  <c r="A4291" i="2"/>
  <c r="M4290" i="2"/>
  <c r="L4290" i="2"/>
  <c r="K4290" i="2"/>
  <c r="J4290" i="2"/>
  <c r="I4290" i="2"/>
  <c r="H4290" i="2"/>
  <c r="G4290" i="2"/>
  <c r="F4290" i="2"/>
  <c r="E4290" i="2"/>
  <c r="D4290" i="2"/>
  <c r="C4290" i="2"/>
  <c r="B4290" i="2"/>
  <c r="A4290" i="2"/>
  <c r="M4289" i="2"/>
  <c r="L4289" i="2"/>
  <c r="K4289" i="2"/>
  <c r="J4289" i="2"/>
  <c r="I4289" i="2"/>
  <c r="H4289" i="2"/>
  <c r="G4289" i="2"/>
  <c r="F4289" i="2"/>
  <c r="E4289" i="2"/>
  <c r="D4289" i="2"/>
  <c r="C4289" i="2"/>
  <c r="B4289" i="2"/>
  <c r="A4289" i="2"/>
  <c r="M4288" i="2"/>
  <c r="L4288" i="2"/>
  <c r="K4288" i="2"/>
  <c r="J4288" i="2"/>
  <c r="I4288" i="2"/>
  <c r="H4288" i="2"/>
  <c r="F4288" i="2"/>
  <c r="E4288" i="2"/>
  <c r="D4288" i="2"/>
  <c r="C4288" i="2"/>
  <c r="B4288" i="2"/>
  <c r="A4288" i="2"/>
  <c r="M4287" i="2"/>
  <c r="L4287" i="2"/>
  <c r="K4287" i="2"/>
  <c r="J4287" i="2"/>
  <c r="I4287" i="2"/>
  <c r="H4287" i="2"/>
  <c r="F4287" i="2"/>
  <c r="E4287" i="2"/>
  <c r="D4287" i="2"/>
  <c r="C4287" i="2"/>
  <c r="B4287" i="2"/>
  <c r="A4287" i="2"/>
  <c r="M4286" i="2"/>
  <c r="L4286" i="2"/>
  <c r="K4286" i="2"/>
  <c r="J4286" i="2"/>
  <c r="I4286" i="2"/>
  <c r="H4286" i="2"/>
  <c r="F4286" i="2"/>
  <c r="E4286" i="2"/>
  <c r="D4286" i="2"/>
  <c r="C4286" i="2"/>
  <c r="B4286" i="2"/>
  <c r="A4286" i="2"/>
  <c r="M4285" i="2"/>
  <c r="L4285" i="2"/>
  <c r="K4285" i="2"/>
  <c r="J4285" i="2"/>
  <c r="I4285" i="2"/>
  <c r="H4285" i="2"/>
  <c r="F4285" i="2"/>
  <c r="E4285" i="2"/>
  <c r="D4285" i="2"/>
  <c r="C4285" i="2"/>
  <c r="B4285" i="2"/>
  <c r="A4285" i="2"/>
  <c r="M4284" i="2"/>
  <c r="L4284" i="2"/>
  <c r="K4284" i="2"/>
  <c r="J4284" i="2"/>
  <c r="I4284" i="2"/>
  <c r="H4284" i="2"/>
  <c r="F4284" i="2"/>
  <c r="E4284" i="2"/>
  <c r="D4284" i="2"/>
  <c r="C4284" i="2"/>
  <c r="B4284" i="2"/>
  <c r="A4284" i="2"/>
  <c r="M4283" i="2"/>
  <c r="L4283" i="2"/>
  <c r="K4283" i="2"/>
  <c r="J4283" i="2"/>
  <c r="I4283" i="2"/>
  <c r="H4283" i="2"/>
  <c r="F4283" i="2"/>
  <c r="E4283" i="2"/>
  <c r="D4283" i="2"/>
  <c r="C4283" i="2"/>
  <c r="B4283" i="2"/>
  <c r="A4283" i="2"/>
  <c r="M4282" i="2"/>
  <c r="L4282" i="2"/>
  <c r="K4282" i="2"/>
  <c r="J4282" i="2"/>
  <c r="I4282" i="2"/>
  <c r="H4282" i="2"/>
  <c r="F4282" i="2"/>
  <c r="E4282" i="2"/>
  <c r="D4282" i="2"/>
  <c r="C4282" i="2"/>
  <c r="B4282" i="2"/>
  <c r="A4282" i="2"/>
  <c r="M4281" i="2"/>
  <c r="L4281" i="2"/>
  <c r="K4281" i="2"/>
  <c r="J4281" i="2"/>
  <c r="I4281" i="2"/>
  <c r="H4281" i="2"/>
  <c r="F4281" i="2"/>
  <c r="E4281" i="2"/>
  <c r="D4281" i="2"/>
  <c r="C4281" i="2"/>
  <c r="B4281" i="2"/>
  <c r="A4281" i="2"/>
  <c r="M4280" i="2"/>
  <c r="L4280" i="2"/>
  <c r="K4280" i="2"/>
  <c r="J4280" i="2"/>
  <c r="I4280" i="2"/>
  <c r="H4280" i="2"/>
  <c r="F4280" i="2"/>
  <c r="E4280" i="2"/>
  <c r="D4280" i="2"/>
  <c r="C4280" i="2"/>
  <c r="B4280" i="2"/>
  <c r="A4280" i="2"/>
  <c r="M4279" i="2"/>
  <c r="L4279" i="2"/>
  <c r="K4279" i="2"/>
  <c r="J4279" i="2"/>
  <c r="I4279" i="2"/>
  <c r="H4279" i="2"/>
  <c r="F4279" i="2"/>
  <c r="E4279" i="2"/>
  <c r="D4279" i="2"/>
  <c r="C4279" i="2"/>
  <c r="B4279" i="2"/>
  <c r="A4279" i="2"/>
  <c r="M4278" i="2"/>
  <c r="L4278" i="2"/>
  <c r="K4278" i="2"/>
  <c r="J4278" i="2"/>
  <c r="I4278" i="2"/>
  <c r="H4278" i="2"/>
  <c r="F4278" i="2"/>
  <c r="E4278" i="2"/>
  <c r="D4278" i="2"/>
  <c r="C4278" i="2"/>
  <c r="B4278" i="2"/>
  <c r="A4278" i="2"/>
  <c r="M4277" i="2"/>
  <c r="L4277" i="2"/>
  <c r="K4277" i="2"/>
  <c r="J4277" i="2"/>
  <c r="I4277" i="2"/>
  <c r="H4277" i="2"/>
  <c r="F4277" i="2"/>
  <c r="E4277" i="2"/>
  <c r="D4277" i="2"/>
  <c r="C4277" i="2"/>
  <c r="B4277" i="2"/>
  <c r="A4277" i="2"/>
  <c r="M4276" i="2"/>
  <c r="L4276" i="2"/>
  <c r="K4276" i="2"/>
  <c r="J4276" i="2"/>
  <c r="I4276" i="2"/>
  <c r="H4276" i="2"/>
  <c r="F4276" i="2"/>
  <c r="E4276" i="2"/>
  <c r="D4276" i="2"/>
  <c r="C4276" i="2"/>
  <c r="B4276" i="2"/>
  <c r="A4276" i="2"/>
  <c r="M4275" i="2"/>
  <c r="L4275" i="2"/>
  <c r="K4275" i="2"/>
  <c r="J4275" i="2"/>
  <c r="I4275" i="2"/>
  <c r="H4275" i="2"/>
  <c r="F4275" i="2"/>
  <c r="E4275" i="2"/>
  <c r="D4275" i="2"/>
  <c r="C4275" i="2"/>
  <c r="B4275" i="2"/>
  <c r="A4275" i="2"/>
  <c r="M4274" i="2"/>
  <c r="L4274" i="2"/>
  <c r="K4274" i="2"/>
  <c r="J4274" i="2"/>
  <c r="I4274" i="2"/>
  <c r="H4274" i="2"/>
  <c r="F4274" i="2"/>
  <c r="E4274" i="2"/>
  <c r="D4274" i="2"/>
  <c r="C4274" i="2"/>
  <c r="B4274" i="2"/>
  <c r="A4274" i="2"/>
  <c r="M4273" i="2"/>
  <c r="L4273" i="2"/>
  <c r="K4273" i="2"/>
  <c r="J4273" i="2"/>
  <c r="I4273" i="2"/>
  <c r="H4273" i="2"/>
  <c r="F4273" i="2"/>
  <c r="E4273" i="2"/>
  <c r="D4273" i="2"/>
  <c r="C4273" i="2"/>
  <c r="B4273" i="2"/>
  <c r="A4273" i="2"/>
  <c r="M4272" i="2"/>
  <c r="L4272" i="2"/>
  <c r="K4272" i="2"/>
  <c r="J4272" i="2"/>
  <c r="I4272" i="2"/>
  <c r="H4272" i="2"/>
  <c r="F4272" i="2"/>
  <c r="E4272" i="2"/>
  <c r="D4272" i="2"/>
  <c r="C4272" i="2"/>
  <c r="B4272" i="2"/>
  <c r="A4272" i="2"/>
  <c r="M4271" i="2"/>
  <c r="L4271" i="2"/>
  <c r="K4271" i="2"/>
  <c r="J4271" i="2"/>
  <c r="I4271" i="2"/>
  <c r="H4271" i="2"/>
  <c r="F4271" i="2"/>
  <c r="E4271" i="2"/>
  <c r="D4271" i="2"/>
  <c r="C4271" i="2"/>
  <c r="B4271" i="2"/>
  <c r="A4271" i="2"/>
  <c r="M4270" i="2"/>
  <c r="L4270" i="2"/>
  <c r="K4270" i="2"/>
  <c r="J4270" i="2"/>
  <c r="I4270" i="2"/>
  <c r="H4270" i="2"/>
  <c r="F4270" i="2"/>
  <c r="E4270" i="2"/>
  <c r="D4270" i="2"/>
  <c r="C4270" i="2"/>
  <c r="B4270" i="2"/>
  <c r="A4270" i="2"/>
  <c r="M4269" i="2"/>
  <c r="L4269" i="2"/>
  <c r="K4269" i="2"/>
  <c r="I4269" i="2"/>
  <c r="H4269" i="2"/>
  <c r="F4269" i="2"/>
  <c r="E4269" i="2"/>
  <c r="D4269" i="2"/>
  <c r="C4269" i="2"/>
  <c r="B4269" i="2"/>
  <c r="A4269" i="2"/>
  <c r="M4268" i="2"/>
  <c r="L4268" i="2"/>
  <c r="K4268" i="2"/>
  <c r="I4268" i="2"/>
  <c r="H4268" i="2"/>
  <c r="F4268" i="2"/>
  <c r="E4268" i="2"/>
  <c r="D4268" i="2"/>
  <c r="C4268" i="2"/>
  <c r="B4268" i="2"/>
  <c r="A4268" i="2"/>
  <c r="L4267" i="2"/>
  <c r="J4267" i="2"/>
  <c r="I4267" i="2"/>
  <c r="H4267" i="2"/>
  <c r="F4267" i="2"/>
  <c r="E4267" i="2"/>
  <c r="D4267" i="2"/>
  <c r="C4267" i="2"/>
  <c r="B4267" i="2"/>
  <c r="A4267" i="2"/>
  <c r="M4266" i="2"/>
  <c r="L4266" i="2"/>
  <c r="K4266" i="2"/>
  <c r="J4266" i="2"/>
  <c r="I4266" i="2"/>
  <c r="H4266" i="2"/>
  <c r="F4266" i="2"/>
  <c r="E4266" i="2"/>
  <c r="D4266" i="2"/>
  <c r="C4266" i="2"/>
  <c r="B4266" i="2"/>
  <c r="A4266" i="2"/>
  <c r="M4265" i="2"/>
  <c r="L4265" i="2"/>
  <c r="K4265" i="2"/>
  <c r="J4265" i="2"/>
  <c r="I4265" i="2"/>
  <c r="H4265" i="2"/>
  <c r="G4265" i="2"/>
  <c r="F4265" i="2"/>
  <c r="E4265" i="2"/>
  <c r="D4265" i="2"/>
  <c r="C4265" i="2"/>
  <c r="B4265" i="2"/>
  <c r="A4265" i="2"/>
  <c r="M4264" i="2"/>
  <c r="L4264" i="2"/>
  <c r="K4264" i="2"/>
  <c r="J4264" i="2"/>
  <c r="I4264" i="2"/>
  <c r="H4264" i="2"/>
  <c r="G4264" i="2"/>
  <c r="F4264" i="2"/>
  <c r="E4264" i="2"/>
  <c r="D4264" i="2"/>
  <c r="C4264" i="2"/>
  <c r="B4264" i="2"/>
  <c r="A4264" i="2"/>
  <c r="M4263" i="2"/>
  <c r="L4263" i="2"/>
  <c r="K4263" i="2"/>
  <c r="J4263" i="2"/>
  <c r="I4263" i="2"/>
  <c r="H4263" i="2"/>
  <c r="G4263" i="2"/>
  <c r="F4263" i="2"/>
  <c r="E4263" i="2"/>
  <c r="D4263" i="2"/>
  <c r="C4263" i="2"/>
  <c r="B4263" i="2"/>
  <c r="A4263" i="2"/>
  <c r="M4262" i="2"/>
  <c r="L4262" i="2"/>
  <c r="K4262" i="2"/>
  <c r="J4262" i="2"/>
  <c r="I4262" i="2"/>
  <c r="H4262" i="2"/>
  <c r="G4262" i="2"/>
  <c r="F4262" i="2"/>
  <c r="E4262" i="2"/>
  <c r="D4262" i="2"/>
  <c r="C4262" i="2"/>
  <c r="B4262" i="2"/>
  <c r="A4262" i="2"/>
  <c r="M4261" i="2"/>
  <c r="L4261" i="2"/>
  <c r="K4261" i="2"/>
  <c r="J4261" i="2"/>
  <c r="I4261" i="2"/>
  <c r="H4261" i="2"/>
  <c r="G4261" i="2"/>
  <c r="F4261" i="2"/>
  <c r="E4261" i="2"/>
  <c r="D4261" i="2"/>
  <c r="C4261" i="2"/>
  <c r="B4261" i="2"/>
  <c r="A4261" i="2"/>
  <c r="M4260" i="2"/>
  <c r="L4260" i="2"/>
  <c r="K4260" i="2"/>
  <c r="J4260" i="2"/>
  <c r="I4260" i="2"/>
  <c r="H4260" i="2"/>
  <c r="G4260" i="2"/>
  <c r="F4260" i="2"/>
  <c r="E4260" i="2"/>
  <c r="D4260" i="2"/>
  <c r="C4260" i="2"/>
  <c r="B4260" i="2"/>
  <c r="A4260" i="2"/>
  <c r="M4259" i="2"/>
  <c r="L4259" i="2"/>
  <c r="K4259" i="2"/>
  <c r="J4259" i="2"/>
  <c r="I4259" i="2"/>
  <c r="H4259" i="2"/>
  <c r="G4259" i="2"/>
  <c r="F4259" i="2"/>
  <c r="E4259" i="2"/>
  <c r="D4259" i="2"/>
  <c r="C4259" i="2"/>
  <c r="B4259" i="2"/>
  <c r="A4259" i="2"/>
  <c r="N4258" i="2"/>
  <c r="M4258" i="2"/>
  <c r="L4258" i="2"/>
  <c r="K4258" i="2"/>
  <c r="J4258" i="2"/>
  <c r="I4258" i="2"/>
  <c r="H4258" i="2"/>
  <c r="G4258" i="2"/>
  <c r="F4258" i="2"/>
  <c r="E4258" i="2"/>
  <c r="D4258" i="2"/>
  <c r="C4258" i="2"/>
  <c r="B4258" i="2"/>
  <c r="A4258" i="2"/>
  <c r="N4257" i="2"/>
  <c r="M4257" i="2"/>
  <c r="L4257" i="2"/>
  <c r="K4257" i="2"/>
  <c r="J4257" i="2"/>
  <c r="I4257" i="2"/>
  <c r="H4257" i="2"/>
  <c r="G4257" i="2"/>
  <c r="F4257" i="2"/>
  <c r="E4257" i="2"/>
  <c r="D4257" i="2"/>
  <c r="C4257" i="2"/>
  <c r="B4257" i="2"/>
  <c r="A4257" i="2"/>
  <c r="M4256" i="2"/>
  <c r="L4256" i="2"/>
  <c r="K4256" i="2"/>
  <c r="J4256" i="2"/>
  <c r="I4256" i="2"/>
  <c r="H4256" i="2"/>
  <c r="G4256" i="2"/>
  <c r="F4256" i="2"/>
  <c r="E4256" i="2"/>
  <c r="D4256" i="2"/>
  <c r="C4256" i="2"/>
  <c r="B4256" i="2"/>
  <c r="A4256" i="2"/>
  <c r="M4255" i="2"/>
  <c r="L4255" i="2"/>
  <c r="K4255" i="2"/>
  <c r="J4255" i="2"/>
  <c r="I4255" i="2"/>
  <c r="H4255" i="2"/>
  <c r="G4255" i="2"/>
  <c r="F4255" i="2"/>
  <c r="E4255" i="2"/>
  <c r="C4255" i="2"/>
  <c r="B4255" i="2"/>
  <c r="A4255" i="2"/>
  <c r="M4254" i="2"/>
  <c r="L4254" i="2"/>
  <c r="K4254" i="2"/>
  <c r="J4254" i="2"/>
  <c r="I4254" i="2"/>
  <c r="H4254" i="2"/>
  <c r="G4254" i="2"/>
  <c r="F4254" i="2"/>
  <c r="E4254" i="2"/>
  <c r="D4254" i="2"/>
  <c r="C4254" i="2"/>
  <c r="B4254" i="2"/>
  <c r="A4254" i="2"/>
  <c r="N4253" i="2"/>
  <c r="M4253" i="2"/>
  <c r="L4253" i="2"/>
  <c r="K4253" i="2"/>
  <c r="J4253" i="2"/>
  <c r="I4253" i="2"/>
  <c r="H4253" i="2"/>
  <c r="G4253" i="2"/>
  <c r="F4253" i="2"/>
  <c r="E4253" i="2"/>
  <c r="D4253" i="2"/>
  <c r="C4253" i="2"/>
  <c r="B4253" i="2"/>
  <c r="A4253" i="2"/>
  <c r="M4252" i="2"/>
  <c r="L4252" i="2"/>
  <c r="K4252" i="2"/>
  <c r="J4252" i="2"/>
  <c r="I4252" i="2"/>
  <c r="H4252" i="2"/>
  <c r="G4252" i="2"/>
  <c r="F4252" i="2"/>
  <c r="E4252" i="2"/>
  <c r="D4252" i="2"/>
  <c r="C4252" i="2"/>
  <c r="B4252" i="2"/>
  <c r="A4252" i="2"/>
  <c r="M4251" i="2"/>
  <c r="L4251" i="2"/>
  <c r="K4251" i="2"/>
  <c r="J4251" i="2"/>
  <c r="I4251" i="2"/>
  <c r="H4251" i="2"/>
  <c r="G4251" i="2"/>
  <c r="F4251" i="2"/>
  <c r="E4251" i="2"/>
  <c r="D4251" i="2"/>
  <c r="C4251" i="2"/>
  <c r="B4251" i="2"/>
  <c r="A4251" i="2"/>
  <c r="M4250" i="2"/>
  <c r="L4250" i="2"/>
  <c r="K4250" i="2"/>
  <c r="J4250" i="2"/>
  <c r="I4250" i="2"/>
  <c r="H4250" i="2"/>
  <c r="G4250" i="2"/>
  <c r="F4250" i="2"/>
  <c r="E4250" i="2"/>
  <c r="D4250" i="2"/>
  <c r="C4250" i="2"/>
  <c r="B4250" i="2"/>
  <c r="A4250" i="2"/>
  <c r="M4249" i="2"/>
  <c r="L4249" i="2"/>
  <c r="K4249" i="2"/>
  <c r="J4249" i="2"/>
  <c r="I4249" i="2"/>
  <c r="H4249" i="2"/>
  <c r="G4249" i="2"/>
  <c r="F4249" i="2"/>
  <c r="E4249" i="2"/>
  <c r="D4249" i="2"/>
  <c r="C4249" i="2"/>
  <c r="B4249" i="2"/>
  <c r="A4249" i="2"/>
  <c r="N4248" i="2"/>
  <c r="M4248" i="2"/>
  <c r="L4248" i="2"/>
  <c r="K4248" i="2"/>
  <c r="J4248" i="2"/>
  <c r="I4248" i="2"/>
  <c r="H4248" i="2"/>
  <c r="G4248" i="2"/>
  <c r="F4248" i="2"/>
  <c r="E4248" i="2"/>
  <c r="D4248" i="2"/>
  <c r="C4248" i="2"/>
  <c r="B4248" i="2"/>
  <c r="A4248" i="2"/>
  <c r="N4247" i="2"/>
  <c r="M4247" i="2"/>
  <c r="L4247" i="2"/>
  <c r="K4247" i="2"/>
  <c r="J4247" i="2"/>
  <c r="I4247" i="2"/>
  <c r="H4247" i="2"/>
  <c r="G4247" i="2"/>
  <c r="F4247" i="2"/>
  <c r="E4247" i="2"/>
  <c r="D4247" i="2"/>
  <c r="C4247" i="2"/>
  <c r="B4247" i="2"/>
  <c r="A4247" i="2"/>
  <c r="N4246" i="2"/>
  <c r="M4246" i="2"/>
  <c r="L4246" i="2"/>
  <c r="K4246" i="2"/>
  <c r="J4246" i="2"/>
  <c r="I4246" i="2"/>
  <c r="H4246" i="2"/>
  <c r="G4246" i="2"/>
  <c r="F4246" i="2"/>
  <c r="E4246" i="2"/>
  <c r="D4246" i="2"/>
  <c r="C4246" i="2"/>
  <c r="B4246" i="2"/>
  <c r="A4246" i="2"/>
  <c r="M4245" i="2"/>
  <c r="L4245" i="2"/>
  <c r="K4245" i="2"/>
  <c r="J4245" i="2"/>
  <c r="I4245" i="2"/>
  <c r="H4245" i="2"/>
  <c r="G4245" i="2"/>
  <c r="F4245" i="2"/>
  <c r="E4245" i="2"/>
  <c r="D4245" i="2"/>
  <c r="C4245" i="2"/>
  <c r="B4245" i="2"/>
  <c r="A4245" i="2"/>
  <c r="N4244" i="2"/>
  <c r="M4244" i="2"/>
  <c r="L4244" i="2"/>
  <c r="K4244" i="2"/>
  <c r="J4244" i="2"/>
  <c r="I4244" i="2"/>
  <c r="H4244" i="2"/>
  <c r="G4244" i="2"/>
  <c r="F4244" i="2"/>
  <c r="E4244" i="2"/>
  <c r="D4244" i="2"/>
  <c r="C4244" i="2"/>
  <c r="B4244" i="2"/>
  <c r="A4244" i="2"/>
  <c r="M4243" i="2"/>
  <c r="L4243" i="2"/>
  <c r="K4243" i="2"/>
  <c r="J4243" i="2"/>
  <c r="I4243" i="2"/>
  <c r="H4243" i="2"/>
  <c r="G4243" i="2"/>
  <c r="F4243" i="2"/>
  <c r="E4243" i="2"/>
  <c r="D4243" i="2"/>
  <c r="C4243" i="2"/>
  <c r="B4243" i="2"/>
  <c r="A4243" i="2"/>
  <c r="M4242" i="2"/>
  <c r="L4242" i="2"/>
  <c r="K4242" i="2"/>
  <c r="J4242" i="2"/>
  <c r="I4242" i="2"/>
  <c r="H4242" i="2"/>
  <c r="G4242" i="2"/>
  <c r="F4242" i="2"/>
  <c r="E4242" i="2"/>
  <c r="D4242" i="2"/>
  <c r="C4242" i="2"/>
  <c r="B4242" i="2"/>
  <c r="A4242" i="2"/>
  <c r="M4241" i="2"/>
  <c r="L4241" i="2"/>
  <c r="K4241" i="2"/>
  <c r="J4241" i="2"/>
  <c r="I4241" i="2"/>
  <c r="H4241" i="2"/>
  <c r="G4241" i="2"/>
  <c r="F4241" i="2"/>
  <c r="E4241" i="2"/>
  <c r="D4241" i="2"/>
  <c r="C4241" i="2"/>
  <c r="B4241" i="2"/>
  <c r="A4241" i="2"/>
  <c r="M4240" i="2"/>
  <c r="L4240" i="2"/>
  <c r="K4240" i="2"/>
  <c r="J4240" i="2"/>
  <c r="I4240" i="2"/>
  <c r="H4240" i="2"/>
  <c r="G4240" i="2"/>
  <c r="F4240" i="2"/>
  <c r="E4240" i="2"/>
  <c r="D4240" i="2"/>
  <c r="C4240" i="2"/>
  <c r="B4240" i="2"/>
  <c r="A4240" i="2"/>
  <c r="M4239" i="2"/>
  <c r="L4239" i="2"/>
  <c r="K4239" i="2"/>
  <c r="J4239" i="2"/>
  <c r="I4239" i="2"/>
  <c r="H4239" i="2"/>
  <c r="G4239" i="2"/>
  <c r="F4239" i="2"/>
  <c r="E4239" i="2"/>
  <c r="D4239" i="2"/>
  <c r="C4239" i="2"/>
  <c r="B4239" i="2"/>
  <c r="A4239" i="2"/>
  <c r="M4238" i="2"/>
  <c r="L4238" i="2"/>
  <c r="K4238" i="2"/>
  <c r="J4238" i="2"/>
  <c r="I4238" i="2"/>
  <c r="H4238" i="2"/>
  <c r="G4238" i="2"/>
  <c r="F4238" i="2"/>
  <c r="E4238" i="2"/>
  <c r="D4238" i="2"/>
  <c r="C4238" i="2"/>
  <c r="B4238" i="2"/>
  <c r="A4238" i="2"/>
  <c r="M4237" i="2"/>
  <c r="L4237" i="2"/>
  <c r="K4237" i="2"/>
  <c r="J4237" i="2"/>
  <c r="I4237" i="2"/>
  <c r="H4237" i="2"/>
  <c r="G4237" i="2"/>
  <c r="F4237" i="2"/>
  <c r="E4237" i="2"/>
  <c r="D4237" i="2"/>
  <c r="C4237" i="2"/>
  <c r="B4237" i="2"/>
  <c r="A4237" i="2"/>
  <c r="M4236" i="2"/>
  <c r="L4236" i="2"/>
  <c r="K4236" i="2"/>
  <c r="J4236" i="2"/>
  <c r="I4236" i="2"/>
  <c r="H4236" i="2"/>
  <c r="G4236" i="2"/>
  <c r="F4236" i="2"/>
  <c r="E4236" i="2"/>
  <c r="D4236" i="2"/>
  <c r="C4236" i="2"/>
  <c r="B4236" i="2"/>
  <c r="A4236" i="2"/>
  <c r="M4235" i="2"/>
  <c r="L4235" i="2"/>
  <c r="K4235" i="2"/>
  <c r="J4235" i="2"/>
  <c r="I4235" i="2"/>
  <c r="H4235" i="2"/>
  <c r="G4235" i="2"/>
  <c r="F4235" i="2"/>
  <c r="E4235" i="2"/>
  <c r="D4235" i="2"/>
  <c r="C4235" i="2"/>
  <c r="B4235" i="2"/>
  <c r="A4235" i="2"/>
  <c r="M4234" i="2"/>
  <c r="L4234" i="2"/>
  <c r="K4234" i="2"/>
  <c r="J4234" i="2"/>
  <c r="I4234" i="2"/>
  <c r="H4234" i="2"/>
  <c r="G4234" i="2"/>
  <c r="F4234" i="2"/>
  <c r="E4234" i="2"/>
  <c r="D4234" i="2"/>
  <c r="C4234" i="2"/>
  <c r="B4234" i="2"/>
  <c r="A4234" i="2"/>
  <c r="M4233" i="2"/>
  <c r="L4233" i="2"/>
  <c r="K4233" i="2"/>
  <c r="J4233" i="2"/>
  <c r="I4233" i="2"/>
  <c r="H4233" i="2"/>
  <c r="G4233" i="2"/>
  <c r="F4233" i="2"/>
  <c r="E4233" i="2"/>
  <c r="D4233" i="2"/>
  <c r="C4233" i="2"/>
  <c r="B4233" i="2"/>
  <c r="A4233" i="2"/>
  <c r="N4232" i="2"/>
  <c r="M4232" i="2"/>
  <c r="L4232" i="2"/>
  <c r="K4232" i="2"/>
  <c r="J4232" i="2"/>
  <c r="I4232" i="2"/>
  <c r="H4232" i="2"/>
  <c r="G4232" i="2"/>
  <c r="F4232" i="2"/>
  <c r="E4232" i="2"/>
  <c r="D4232" i="2"/>
  <c r="C4232" i="2"/>
  <c r="B4232" i="2"/>
  <c r="A4232" i="2"/>
  <c r="M4231" i="2"/>
  <c r="L4231" i="2"/>
  <c r="K4231" i="2"/>
  <c r="J4231" i="2"/>
  <c r="I4231" i="2"/>
  <c r="H4231" i="2"/>
  <c r="G4231" i="2"/>
  <c r="F4231" i="2"/>
  <c r="E4231" i="2"/>
  <c r="D4231" i="2"/>
  <c r="C4231" i="2"/>
  <c r="B4231" i="2"/>
  <c r="A4231" i="2"/>
  <c r="M4230" i="2"/>
  <c r="L4230" i="2"/>
  <c r="K4230" i="2"/>
  <c r="J4230" i="2"/>
  <c r="I4230" i="2"/>
  <c r="H4230" i="2"/>
  <c r="G4230" i="2"/>
  <c r="F4230" i="2"/>
  <c r="E4230" i="2"/>
  <c r="D4230" i="2"/>
  <c r="C4230" i="2"/>
  <c r="B4230" i="2"/>
  <c r="A4230" i="2"/>
  <c r="M4229" i="2"/>
  <c r="L4229" i="2"/>
  <c r="K4229" i="2"/>
  <c r="J4229" i="2"/>
  <c r="I4229" i="2"/>
  <c r="H4229" i="2"/>
  <c r="G4229" i="2"/>
  <c r="F4229" i="2"/>
  <c r="E4229" i="2"/>
  <c r="D4229" i="2"/>
  <c r="C4229" i="2"/>
  <c r="B4229" i="2"/>
  <c r="A4229" i="2"/>
  <c r="M4228" i="2"/>
  <c r="L4228" i="2"/>
  <c r="K4228" i="2"/>
  <c r="I4228" i="2"/>
  <c r="H4228" i="2"/>
  <c r="G4228" i="2"/>
  <c r="F4228" i="2"/>
  <c r="E4228" i="2"/>
  <c r="D4228" i="2"/>
  <c r="C4228" i="2"/>
  <c r="B4228" i="2"/>
  <c r="A4228" i="2"/>
  <c r="M4227" i="2"/>
  <c r="L4227" i="2"/>
  <c r="K4227" i="2"/>
  <c r="J4227" i="2"/>
  <c r="I4227" i="2"/>
  <c r="H4227" i="2"/>
  <c r="G4227" i="2"/>
  <c r="F4227" i="2"/>
  <c r="E4227" i="2"/>
  <c r="D4227" i="2"/>
  <c r="C4227" i="2"/>
  <c r="B4227" i="2"/>
  <c r="A4227" i="2"/>
  <c r="M4226" i="2"/>
  <c r="L4226" i="2"/>
  <c r="K4226" i="2"/>
  <c r="J4226" i="2"/>
  <c r="I4226" i="2"/>
  <c r="H4226" i="2"/>
  <c r="G4226" i="2"/>
  <c r="F4226" i="2"/>
  <c r="E4226" i="2"/>
  <c r="D4226" i="2"/>
  <c r="C4226" i="2"/>
  <c r="B4226" i="2"/>
  <c r="A4226" i="2"/>
  <c r="M4225" i="2"/>
  <c r="L4225" i="2"/>
  <c r="K4225" i="2"/>
  <c r="J4225" i="2"/>
  <c r="I4225" i="2"/>
  <c r="H4225" i="2"/>
  <c r="G4225" i="2"/>
  <c r="F4225" i="2"/>
  <c r="E4225" i="2"/>
  <c r="D4225" i="2"/>
  <c r="C4225" i="2"/>
  <c r="B4225" i="2"/>
  <c r="A4225" i="2"/>
  <c r="M4224" i="2"/>
  <c r="L4224" i="2"/>
  <c r="K4224" i="2"/>
  <c r="J4224" i="2"/>
  <c r="I4224" i="2"/>
  <c r="H4224" i="2"/>
  <c r="G4224" i="2"/>
  <c r="F4224" i="2"/>
  <c r="E4224" i="2"/>
  <c r="D4224" i="2"/>
  <c r="C4224" i="2"/>
  <c r="B4224" i="2"/>
  <c r="A4224" i="2"/>
  <c r="M4223" i="2"/>
  <c r="L4223" i="2"/>
  <c r="K4223" i="2"/>
  <c r="J4223" i="2"/>
  <c r="I4223" i="2"/>
  <c r="H4223" i="2"/>
  <c r="G4223" i="2"/>
  <c r="F4223" i="2"/>
  <c r="E4223" i="2"/>
  <c r="D4223" i="2"/>
  <c r="C4223" i="2"/>
  <c r="B4223" i="2"/>
  <c r="A4223" i="2"/>
  <c r="M4222" i="2"/>
  <c r="L4222" i="2"/>
  <c r="K4222" i="2"/>
  <c r="J4222" i="2"/>
  <c r="I4222" i="2"/>
  <c r="H4222" i="2"/>
  <c r="G4222" i="2"/>
  <c r="F4222" i="2"/>
  <c r="E4222" i="2"/>
  <c r="D4222" i="2"/>
  <c r="C4222" i="2"/>
  <c r="B4222" i="2"/>
  <c r="A4222" i="2"/>
  <c r="M4221" i="2"/>
  <c r="L4221" i="2"/>
  <c r="K4221" i="2"/>
  <c r="J4221" i="2"/>
  <c r="I4221" i="2"/>
  <c r="H4221" i="2"/>
  <c r="G4221" i="2"/>
  <c r="F4221" i="2"/>
  <c r="E4221" i="2"/>
  <c r="D4221" i="2"/>
  <c r="C4221" i="2"/>
  <c r="B4221" i="2"/>
  <c r="A4221" i="2"/>
  <c r="M4220" i="2"/>
  <c r="L4220" i="2"/>
  <c r="K4220" i="2"/>
  <c r="J4220" i="2"/>
  <c r="I4220" i="2"/>
  <c r="H4220" i="2"/>
  <c r="G4220" i="2"/>
  <c r="F4220" i="2"/>
  <c r="E4220" i="2"/>
  <c r="D4220" i="2"/>
  <c r="C4220" i="2"/>
  <c r="B4220" i="2"/>
  <c r="A4220" i="2"/>
  <c r="M4219" i="2"/>
  <c r="L4219" i="2"/>
  <c r="K4219" i="2"/>
  <c r="J4219" i="2"/>
  <c r="I4219" i="2"/>
  <c r="H4219" i="2"/>
  <c r="G4219" i="2"/>
  <c r="F4219" i="2"/>
  <c r="E4219" i="2"/>
  <c r="D4219" i="2"/>
  <c r="C4219" i="2"/>
  <c r="B4219" i="2"/>
  <c r="A4219" i="2"/>
  <c r="M4218" i="2"/>
  <c r="L4218" i="2"/>
  <c r="K4218" i="2"/>
  <c r="J4218" i="2"/>
  <c r="I4218" i="2"/>
  <c r="H4218" i="2"/>
  <c r="G4218" i="2"/>
  <c r="F4218" i="2"/>
  <c r="E4218" i="2"/>
  <c r="D4218" i="2"/>
  <c r="C4218" i="2"/>
  <c r="B4218" i="2"/>
  <c r="A4218" i="2"/>
  <c r="M4217" i="2"/>
  <c r="L4217" i="2"/>
  <c r="K4217" i="2"/>
  <c r="J4217" i="2"/>
  <c r="I4217" i="2"/>
  <c r="H4217" i="2"/>
  <c r="G4217" i="2"/>
  <c r="F4217" i="2"/>
  <c r="E4217" i="2"/>
  <c r="D4217" i="2"/>
  <c r="C4217" i="2"/>
  <c r="B4217" i="2"/>
  <c r="A4217" i="2"/>
  <c r="N4216" i="2"/>
  <c r="M4216" i="2"/>
  <c r="L4216" i="2"/>
  <c r="K4216" i="2"/>
  <c r="J4216" i="2"/>
  <c r="I4216" i="2"/>
  <c r="H4216" i="2"/>
  <c r="G4216" i="2"/>
  <c r="F4216" i="2"/>
  <c r="E4216" i="2"/>
  <c r="D4216" i="2"/>
  <c r="C4216" i="2"/>
  <c r="B4216" i="2"/>
  <c r="A4216" i="2"/>
  <c r="M4215" i="2"/>
  <c r="L4215" i="2"/>
  <c r="K4215" i="2"/>
  <c r="J4215" i="2"/>
  <c r="I4215" i="2"/>
  <c r="H4215" i="2"/>
  <c r="G4215" i="2"/>
  <c r="F4215" i="2"/>
  <c r="E4215" i="2"/>
  <c r="D4215" i="2"/>
  <c r="C4215" i="2"/>
  <c r="B4215" i="2"/>
  <c r="A4215" i="2"/>
  <c r="M4214" i="2"/>
  <c r="L4214" i="2"/>
  <c r="K4214" i="2"/>
  <c r="J4214" i="2"/>
  <c r="I4214" i="2"/>
  <c r="H4214" i="2"/>
  <c r="G4214" i="2"/>
  <c r="F4214" i="2"/>
  <c r="E4214" i="2"/>
  <c r="C4214" i="2"/>
  <c r="B4214" i="2"/>
  <c r="A4214" i="2"/>
  <c r="M4213" i="2"/>
  <c r="L4213" i="2"/>
  <c r="K4213" i="2"/>
  <c r="J4213" i="2"/>
  <c r="I4213" i="2"/>
  <c r="H4213" i="2"/>
  <c r="G4213" i="2"/>
  <c r="F4213" i="2"/>
  <c r="E4213" i="2"/>
  <c r="C4213" i="2"/>
  <c r="B4213" i="2"/>
  <c r="A4213" i="2"/>
  <c r="M4212" i="2"/>
  <c r="J4212" i="2"/>
  <c r="G4212" i="2"/>
  <c r="F4212" i="2"/>
  <c r="C4212" i="2"/>
  <c r="A4212" i="2"/>
  <c r="N4211" i="2"/>
  <c r="M4211" i="2"/>
  <c r="L4211" i="2"/>
  <c r="K4211" i="2"/>
  <c r="J4211" i="2"/>
  <c r="I4211" i="2"/>
  <c r="H4211" i="2"/>
  <c r="G4211" i="2"/>
  <c r="F4211" i="2"/>
  <c r="D4211" i="2"/>
  <c r="C4211" i="2"/>
  <c r="B4211" i="2"/>
  <c r="A4211" i="2"/>
  <c r="N4210" i="2"/>
  <c r="M4210" i="2"/>
  <c r="L4210" i="2"/>
  <c r="K4210" i="2"/>
  <c r="J4210" i="2"/>
  <c r="I4210" i="2"/>
  <c r="H4210" i="2"/>
  <c r="G4210" i="2"/>
  <c r="F4210" i="2"/>
  <c r="D4210" i="2"/>
  <c r="C4210" i="2"/>
  <c r="B4210" i="2"/>
  <c r="A4210" i="2"/>
  <c r="N4209" i="2"/>
  <c r="M4209" i="2"/>
  <c r="L4209" i="2"/>
  <c r="K4209" i="2"/>
  <c r="J4209" i="2"/>
  <c r="I4209" i="2"/>
  <c r="H4209" i="2"/>
  <c r="G4209" i="2"/>
  <c r="F4209" i="2"/>
  <c r="D4209" i="2"/>
  <c r="C4209" i="2"/>
  <c r="B4209" i="2"/>
  <c r="A4209" i="2"/>
  <c r="N4208" i="2"/>
  <c r="M4208" i="2"/>
  <c r="L4208" i="2"/>
  <c r="K4208" i="2"/>
  <c r="J4208" i="2"/>
  <c r="I4208" i="2"/>
  <c r="H4208" i="2"/>
  <c r="G4208" i="2"/>
  <c r="F4208" i="2"/>
  <c r="D4208" i="2"/>
  <c r="C4208" i="2"/>
  <c r="B4208" i="2"/>
  <c r="A4208" i="2"/>
  <c r="N4207" i="2"/>
  <c r="M4207" i="2"/>
  <c r="L4207" i="2"/>
  <c r="K4207" i="2"/>
  <c r="J4207" i="2"/>
  <c r="I4207" i="2"/>
  <c r="H4207" i="2"/>
  <c r="G4207" i="2"/>
  <c r="F4207" i="2"/>
  <c r="D4207" i="2"/>
  <c r="C4207" i="2"/>
  <c r="B4207" i="2"/>
  <c r="A4207" i="2"/>
  <c r="N4206" i="2"/>
  <c r="M4206" i="2"/>
  <c r="L4206" i="2"/>
  <c r="K4206" i="2"/>
  <c r="J4206" i="2"/>
  <c r="I4206" i="2"/>
  <c r="H4206" i="2"/>
  <c r="G4206" i="2"/>
  <c r="F4206" i="2"/>
  <c r="D4206" i="2"/>
  <c r="C4206" i="2"/>
  <c r="B4206" i="2"/>
  <c r="A4206" i="2"/>
  <c r="M4205" i="2"/>
  <c r="L4205" i="2"/>
  <c r="K4205" i="2"/>
  <c r="J4205" i="2"/>
  <c r="I4205" i="2"/>
  <c r="H4205" i="2"/>
  <c r="G4205" i="2"/>
  <c r="F4205" i="2"/>
  <c r="D4205" i="2"/>
  <c r="C4205" i="2"/>
  <c r="B4205" i="2"/>
  <c r="A4205" i="2"/>
  <c r="M4204" i="2"/>
  <c r="L4204" i="2"/>
  <c r="K4204" i="2"/>
  <c r="J4204" i="2"/>
  <c r="I4204" i="2"/>
  <c r="H4204" i="2"/>
  <c r="G4204" i="2"/>
  <c r="F4204" i="2"/>
  <c r="D4204" i="2"/>
  <c r="C4204" i="2"/>
  <c r="B4204" i="2"/>
  <c r="A4204" i="2"/>
  <c r="M4203" i="2"/>
  <c r="L4203" i="2"/>
  <c r="K4203" i="2"/>
  <c r="J4203" i="2"/>
  <c r="I4203" i="2"/>
  <c r="H4203" i="2"/>
  <c r="G4203" i="2"/>
  <c r="F4203" i="2"/>
  <c r="D4203" i="2"/>
  <c r="C4203" i="2"/>
  <c r="B4203" i="2"/>
  <c r="A4203" i="2"/>
  <c r="M4202" i="2"/>
  <c r="L4202" i="2"/>
  <c r="K4202" i="2"/>
  <c r="J4202" i="2"/>
  <c r="I4202" i="2"/>
  <c r="H4202" i="2"/>
  <c r="G4202" i="2"/>
  <c r="F4202" i="2"/>
  <c r="D4202" i="2"/>
  <c r="C4202" i="2"/>
  <c r="B4202" i="2"/>
  <c r="A4202" i="2"/>
  <c r="M4201" i="2"/>
  <c r="L4201" i="2"/>
  <c r="K4201" i="2"/>
  <c r="J4201" i="2"/>
  <c r="I4201" i="2"/>
  <c r="H4201" i="2"/>
  <c r="G4201" i="2"/>
  <c r="F4201" i="2"/>
  <c r="D4201" i="2"/>
  <c r="C4201" i="2"/>
  <c r="B4201" i="2"/>
  <c r="A4201" i="2"/>
  <c r="M4200" i="2"/>
  <c r="L4200" i="2"/>
  <c r="K4200" i="2"/>
  <c r="J4200" i="2"/>
  <c r="I4200" i="2"/>
  <c r="H4200" i="2"/>
  <c r="G4200" i="2"/>
  <c r="F4200" i="2"/>
  <c r="D4200" i="2"/>
  <c r="C4200" i="2"/>
  <c r="B4200" i="2"/>
  <c r="A4200" i="2"/>
  <c r="M4199" i="2"/>
  <c r="L4199" i="2"/>
  <c r="K4199" i="2"/>
  <c r="J4199" i="2"/>
  <c r="I4199" i="2"/>
  <c r="H4199" i="2"/>
  <c r="G4199" i="2"/>
  <c r="F4199" i="2"/>
  <c r="D4199" i="2"/>
  <c r="C4199" i="2"/>
  <c r="B4199" i="2"/>
  <c r="A4199" i="2"/>
  <c r="M4198" i="2"/>
  <c r="L4198" i="2"/>
  <c r="K4198" i="2"/>
  <c r="J4198" i="2"/>
  <c r="I4198" i="2"/>
  <c r="H4198" i="2"/>
  <c r="G4198" i="2"/>
  <c r="F4198" i="2"/>
  <c r="D4198" i="2"/>
  <c r="C4198" i="2"/>
  <c r="B4198" i="2"/>
  <c r="A4198" i="2"/>
  <c r="M4197" i="2"/>
  <c r="L4197" i="2"/>
  <c r="K4197" i="2"/>
  <c r="J4197" i="2"/>
  <c r="I4197" i="2"/>
  <c r="H4197" i="2"/>
  <c r="G4197" i="2"/>
  <c r="F4197" i="2"/>
  <c r="D4197" i="2"/>
  <c r="C4197" i="2"/>
  <c r="B4197" i="2"/>
  <c r="A4197" i="2"/>
  <c r="M4196" i="2"/>
  <c r="L4196" i="2"/>
  <c r="K4196" i="2"/>
  <c r="J4196" i="2"/>
  <c r="I4196" i="2"/>
  <c r="H4196" i="2"/>
  <c r="G4196" i="2"/>
  <c r="F4196" i="2"/>
  <c r="D4196" i="2"/>
  <c r="C4196" i="2"/>
  <c r="B4196" i="2"/>
  <c r="A4196" i="2"/>
  <c r="M4195" i="2"/>
  <c r="L4195" i="2"/>
  <c r="K4195" i="2"/>
  <c r="J4195" i="2"/>
  <c r="I4195" i="2"/>
  <c r="H4195" i="2"/>
  <c r="G4195" i="2"/>
  <c r="F4195" i="2"/>
  <c r="D4195" i="2"/>
  <c r="C4195" i="2"/>
  <c r="B4195" i="2"/>
  <c r="A4195" i="2"/>
  <c r="M4194" i="2"/>
  <c r="L4194" i="2"/>
  <c r="K4194" i="2"/>
  <c r="J4194" i="2"/>
  <c r="I4194" i="2"/>
  <c r="H4194" i="2"/>
  <c r="G4194" i="2"/>
  <c r="F4194" i="2"/>
  <c r="D4194" i="2"/>
  <c r="C4194" i="2"/>
  <c r="B4194" i="2"/>
  <c r="A4194" i="2"/>
  <c r="M4193" i="2"/>
  <c r="L4193" i="2"/>
  <c r="K4193" i="2"/>
  <c r="J4193" i="2"/>
  <c r="I4193" i="2"/>
  <c r="H4193" i="2"/>
  <c r="G4193" i="2"/>
  <c r="F4193" i="2"/>
  <c r="D4193" i="2"/>
  <c r="C4193" i="2"/>
  <c r="B4193" i="2"/>
  <c r="A4193" i="2"/>
  <c r="M4192" i="2"/>
  <c r="L4192" i="2"/>
  <c r="K4192" i="2"/>
  <c r="J4192" i="2"/>
  <c r="I4192" i="2"/>
  <c r="H4192" i="2"/>
  <c r="G4192" i="2"/>
  <c r="F4192" i="2"/>
  <c r="D4192" i="2"/>
  <c r="C4192" i="2"/>
  <c r="B4192" i="2"/>
  <c r="A4192" i="2"/>
  <c r="M4191" i="2"/>
  <c r="L4191" i="2"/>
  <c r="K4191" i="2"/>
  <c r="J4191" i="2"/>
  <c r="I4191" i="2"/>
  <c r="H4191" i="2"/>
  <c r="G4191" i="2"/>
  <c r="F4191" i="2"/>
  <c r="D4191" i="2"/>
  <c r="C4191" i="2"/>
  <c r="B4191" i="2"/>
  <c r="A4191" i="2"/>
  <c r="M4190" i="2"/>
  <c r="L4190" i="2"/>
  <c r="K4190" i="2"/>
  <c r="J4190" i="2"/>
  <c r="I4190" i="2"/>
  <c r="H4190" i="2"/>
  <c r="G4190" i="2"/>
  <c r="F4190" i="2"/>
  <c r="D4190" i="2"/>
  <c r="C4190" i="2"/>
  <c r="B4190" i="2"/>
  <c r="A4190" i="2"/>
  <c r="M4189" i="2"/>
  <c r="L4189" i="2"/>
  <c r="K4189" i="2"/>
  <c r="J4189" i="2"/>
  <c r="I4189" i="2"/>
  <c r="H4189" i="2"/>
  <c r="G4189" i="2"/>
  <c r="F4189" i="2"/>
  <c r="D4189" i="2"/>
  <c r="C4189" i="2"/>
  <c r="B4189" i="2"/>
  <c r="A4189" i="2"/>
  <c r="M4188" i="2"/>
  <c r="L4188" i="2"/>
  <c r="K4188" i="2"/>
  <c r="J4188" i="2"/>
  <c r="I4188" i="2"/>
  <c r="H4188" i="2"/>
  <c r="G4188" i="2"/>
  <c r="F4188" i="2"/>
  <c r="D4188" i="2"/>
  <c r="C4188" i="2"/>
  <c r="B4188" i="2"/>
  <c r="A4188" i="2"/>
  <c r="M4187" i="2"/>
  <c r="L4187" i="2"/>
  <c r="K4187" i="2"/>
  <c r="J4187" i="2"/>
  <c r="I4187" i="2"/>
  <c r="H4187" i="2"/>
  <c r="G4187" i="2"/>
  <c r="F4187" i="2"/>
  <c r="D4187" i="2"/>
  <c r="C4187" i="2"/>
  <c r="B4187" i="2"/>
  <c r="A4187" i="2"/>
  <c r="M4186" i="2"/>
  <c r="L4186" i="2"/>
  <c r="K4186" i="2"/>
  <c r="J4186" i="2"/>
  <c r="I4186" i="2"/>
  <c r="H4186" i="2"/>
  <c r="G4186" i="2"/>
  <c r="F4186" i="2"/>
  <c r="D4186" i="2"/>
  <c r="C4186" i="2"/>
  <c r="B4186" i="2"/>
  <c r="A4186" i="2"/>
  <c r="M4185" i="2"/>
  <c r="L4185" i="2"/>
  <c r="K4185" i="2"/>
  <c r="J4185" i="2"/>
  <c r="I4185" i="2"/>
  <c r="H4185" i="2"/>
  <c r="G4185" i="2"/>
  <c r="F4185" i="2"/>
  <c r="D4185" i="2"/>
  <c r="C4185" i="2"/>
  <c r="B4185" i="2"/>
  <c r="A4185" i="2"/>
  <c r="M4184" i="2"/>
  <c r="L4184" i="2"/>
  <c r="K4184" i="2"/>
  <c r="J4184" i="2"/>
  <c r="I4184" i="2"/>
  <c r="H4184" i="2"/>
  <c r="G4184" i="2"/>
  <c r="F4184" i="2"/>
  <c r="D4184" i="2"/>
  <c r="C4184" i="2"/>
  <c r="B4184" i="2"/>
  <c r="A4184" i="2"/>
  <c r="M4183" i="2"/>
  <c r="L4183" i="2"/>
  <c r="K4183" i="2"/>
  <c r="J4183" i="2"/>
  <c r="I4183" i="2"/>
  <c r="H4183" i="2"/>
  <c r="G4183" i="2"/>
  <c r="F4183" i="2"/>
  <c r="D4183" i="2"/>
  <c r="C4183" i="2"/>
  <c r="B4183" i="2"/>
  <c r="A4183" i="2"/>
  <c r="M4182" i="2"/>
  <c r="L4182" i="2"/>
  <c r="K4182" i="2"/>
  <c r="J4182" i="2"/>
  <c r="I4182" i="2"/>
  <c r="H4182" i="2"/>
  <c r="G4182" i="2"/>
  <c r="F4182" i="2"/>
  <c r="D4182" i="2"/>
  <c r="C4182" i="2"/>
  <c r="B4182" i="2"/>
  <c r="A4182" i="2"/>
  <c r="M4181" i="2"/>
  <c r="L4181" i="2"/>
  <c r="K4181" i="2"/>
  <c r="J4181" i="2"/>
  <c r="I4181" i="2"/>
  <c r="H4181" i="2"/>
  <c r="G4181" i="2"/>
  <c r="F4181" i="2"/>
  <c r="D4181" i="2"/>
  <c r="C4181" i="2"/>
  <c r="B4181" i="2"/>
  <c r="A4181" i="2"/>
  <c r="M4180" i="2"/>
  <c r="L4180" i="2"/>
  <c r="K4180" i="2"/>
  <c r="J4180" i="2"/>
  <c r="I4180" i="2"/>
  <c r="H4180" i="2"/>
  <c r="G4180" i="2"/>
  <c r="F4180" i="2"/>
  <c r="D4180" i="2"/>
  <c r="C4180" i="2"/>
  <c r="B4180" i="2"/>
  <c r="A4180" i="2"/>
  <c r="M4179" i="2"/>
  <c r="L4179" i="2"/>
  <c r="K4179" i="2"/>
  <c r="J4179" i="2"/>
  <c r="I4179" i="2"/>
  <c r="H4179" i="2"/>
  <c r="G4179" i="2"/>
  <c r="F4179" i="2"/>
  <c r="D4179" i="2"/>
  <c r="C4179" i="2"/>
  <c r="B4179" i="2"/>
  <c r="A4179" i="2"/>
  <c r="M4178" i="2"/>
  <c r="L4178" i="2"/>
  <c r="K4178" i="2"/>
  <c r="J4178" i="2"/>
  <c r="I4178" i="2"/>
  <c r="H4178" i="2"/>
  <c r="G4178" i="2"/>
  <c r="F4178" i="2"/>
  <c r="D4178" i="2"/>
  <c r="C4178" i="2"/>
  <c r="B4178" i="2"/>
  <c r="A4178" i="2"/>
  <c r="M4177" i="2"/>
  <c r="L4177" i="2"/>
  <c r="K4177" i="2"/>
  <c r="J4177" i="2"/>
  <c r="I4177" i="2"/>
  <c r="H4177" i="2"/>
  <c r="G4177" i="2"/>
  <c r="F4177" i="2"/>
  <c r="D4177" i="2"/>
  <c r="C4177" i="2"/>
  <c r="B4177" i="2"/>
  <c r="A4177" i="2"/>
  <c r="M4176" i="2"/>
  <c r="L4176" i="2"/>
  <c r="K4176" i="2"/>
  <c r="J4176" i="2"/>
  <c r="I4176" i="2"/>
  <c r="H4176" i="2"/>
  <c r="G4176" i="2"/>
  <c r="F4176" i="2"/>
  <c r="D4176" i="2"/>
  <c r="C4176" i="2"/>
  <c r="B4176" i="2"/>
  <c r="A4176" i="2"/>
  <c r="M4175" i="2"/>
  <c r="L4175" i="2"/>
  <c r="K4175" i="2"/>
  <c r="J4175" i="2"/>
  <c r="I4175" i="2"/>
  <c r="H4175" i="2"/>
  <c r="G4175" i="2"/>
  <c r="F4175" i="2"/>
  <c r="D4175" i="2"/>
  <c r="C4175" i="2"/>
  <c r="B4175" i="2"/>
  <c r="A4175" i="2"/>
  <c r="M4174" i="2"/>
  <c r="L4174" i="2"/>
  <c r="K4174" i="2"/>
  <c r="J4174" i="2"/>
  <c r="I4174" i="2"/>
  <c r="H4174" i="2"/>
  <c r="G4174" i="2"/>
  <c r="F4174" i="2"/>
  <c r="D4174" i="2"/>
  <c r="C4174" i="2"/>
  <c r="B4174" i="2"/>
  <c r="A4174" i="2"/>
  <c r="M4173" i="2"/>
  <c r="L4173" i="2"/>
  <c r="K4173" i="2"/>
  <c r="J4173" i="2"/>
  <c r="I4173" i="2"/>
  <c r="H4173" i="2"/>
  <c r="G4173" i="2"/>
  <c r="F4173" i="2"/>
  <c r="D4173" i="2"/>
  <c r="C4173" i="2"/>
  <c r="B4173" i="2"/>
  <c r="A4173" i="2"/>
  <c r="M4172" i="2"/>
  <c r="L4172" i="2"/>
  <c r="K4172" i="2"/>
  <c r="J4172" i="2"/>
  <c r="I4172" i="2"/>
  <c r="H4172" i="2"/>
  <c r="G4172" i="2"/>
  <c r="F4172" i="2"/>
  <c r="D4172" i="2"/>
  <c r="C4172" i="2"/>
  <c r="B4172" i="2"/>
  <c r="A4172" i="2"/>
  <c r="M4171" i="2"/>
  <c r="L4171" i="2"/>
  <c r="K4171" i="2"/>
  <c r="J4171" i="2"/>
  <c r="I4171" i="2"/>
  <c r="H4171" i="2"/>
  <c r="G4171" i="2"/>
  <c r="F4171" i="2"/>
  <c r="D4171" i="2"/>
  <c r="C4171" i="2"/>
  <c r="B4171" i="2"/>
  <c r="A4171" i="2"/>
  <c r="M4170" i="2"/>
  <c r="L4170" i="2"/>
  <c r="K4170" i="2"/>
  <c r="J4170" i="2"/>
  <c r="I4170" i="2"/>
  <c r="H4170" i="2"/>
  <c r="G4170" i="2"/>
  <c r="F4170" i="2"/>
  <c r="D4170" i="2"/>
  <c r="C4170" i="2"/>
  <c r="B4170" i="2"/>
  <c r="A4170" i="2"/>
  <c r="M4169" i="2"/>
  <c r="L4169" i="2"/>
  <c r="K4169" i="2"/>
  <c r="J4169" i="2"/>
  <c r="I4169" i="2"/>
  <c r="H4169" i="2"/>
  <c r="G4169" i="2"/>
  <c r="F4169" i="2"/>
  <c r="D4169" i="2"/>
  <c r="C4169" i="2"/>
  <c r="B4169" i="2"/>
  <c r="A4169" i="2"/>
  <c r="M4168" i="2"/>
  <c r="L4168" i="2"/>
  <c r="K4168" i="2"/>
  <c r="J4168" i="2"/>
  <c r="I4168" i="2"/>
  <c r="H4168" i="2"/>
  <c r="G4168" i="2"/>
  <c r="F4168" i="2"/>
  <c r="D4168" i="2"/>
  <c r="C4168" i="2"/>
  <c r="B4168" i="2"/>
  <c r="A4168" i="2"/>
  <c r="M4167" i="2"/>
  <c r="L4167" i="2"/>
  <c r="K4167" i="2"/>
  <c r="J4167" i="2"/>
  <c r="I4167" i="2"/>
  <c r="H4167" i="2"/>
  <c r="G4167" i="2"/>
  <c r="F4167" i="2"/>
  <c r="D4167" i="2"/>
  <c r="C4167" i="2"/>
  <c r="B4167" i="2"/>
  <c r="A4167" i="2"/>
  <c r="M4166" i="2"/>
  <c r="L4166" i="2"/>
  <c r="K4166" i="2"/>
  <c r="J4166" i="2"/>
  <c r="I4166" i="2"/>
  <c r="H4166" i="2"/>
  <c r="G4166" i="2"/>
  <c r="F4166" i="2"/>
  <c r="D4166" i="2"/>
  <c r="C4166" i="2"/>
  <c r="B4166" i="2"/>
  <c r="A4166" i="2"/>
  <c r="M4165" i="2"/>
  <c r="L4165" i="2"/>
  <c r="K4165" i="2"/>
  <c r="J4165" i="2"/>
  <c r="I4165" i="2"/>
  <c r="H4165" i="2"/>
  <c r="G4165" i="2"/>
  <c r="F4165" i="2"/>
  <c r="D4165" i="2"/>
  <c r="C4165" i="2"/>
  <c r="B4165" i="2"/>
  <c r="A4165" i="2"/>
  <c r="M4164" i="2"/>
  <c r="L4164" i="2"/>
  <c r="K4164" i="2"/>
  <c r="J4164" i="2"/>
  <c r="I4164" i="2"/>
  <c r="H4164" i="2"/>
  <c r="G4164" i="2"/>
  <c r="F4164" i="2"/>
  <c r="D4164" i="2"/>
  <c r="C4164" i="2"/>
  <c r="B4164" i="2"/>
  <c r="A4164" i="2"/>
  <c r="M4163" i="2"/>
  <c r="L4163" i="2"/>
  <c r="K4163" i="2"/>
  <c r="J4163" i="2"/>
  <c r="I4163" i="2"/>
  <c r="H4163" i="2"/>
  <c r="G4163" i="2"/>
  <c r="F4163" i="2"/>
  <c r="D4163" i="2"/>
  <c r="C4163" i="2"/>
  <c r="B4163" i="2"/>
  <c r="A4163" i="2"/>
  <c r="N4162" i="2"/>
  <c r="M4162" i="2"/>
  <c r="L4162" i="2"/>
  <c r="K4162" i="2"/>
  <c r="J4162" i="2"/>
  <c r="I4162" i="2"/>
  <c r="H4162" i="2"/>
  <c r="G4162" i="2"/>
  <c r="F4162" i="2"/>
  <c r="D4162" i="2"/>
  <c r="C4162" i="2"/>
  <c r="B4162" i="2"/>
  <c r="A4162" i="2"/>
  <c r="M4161" i="2"/>
  <c r="L4161" i="2"/>
  <c r="K4161" i="2"/>
  <c r="J4161" i="2"/>
  <c r="I4161" i="2"/>
  <c r="H4161" i="2"/>
  <c r="G4161" i="2"/>
  <c r="F4161" i="2"/>
  <c r="D4161" i="2"/>
  <c r="C4161" i="2"/>
  <c r="B4161" i="2"/>
  <c r="A4161" i="2"/>
  <c r="M4160" i="2"/>
  <c r="L4160" i="2"/>
  <c r="K4160" i="2"/>
  <c r="J4160" i="2"/>
  <c r="I4160" i="2"/>
  <c r="H4160" i="2"/>
  <c r="G4160" i="2"/>
  <c r="F4160" i="2"/>
  <c r="D4160" i="2"/>
  <c r="C4160" i="2"/>
  <c r="B4160" i="2"/>
  <c r="A4160" i="2"/>
  <c r="M4159" i="2"/>
  <c r="L4159" i="2"/>
  <c r="K4159" i="2"/>
  <c r="J4159" i="2"/>
  <c r="I4159" i="2"/>
  <c r="H4159" i="2"/>
  <c r="G4159" i="2"/>
  <c r="F4159" i="2"/>
  <c r="D4159" i="2"/>
  <c r="C4159" i="2"/>
  <c r="B4159" i="2"/>
  <c r="A4159" i="2"/>
  <c r="M4158" i="2"/>
  <c r="L4158" i="2"/>
  <c r="K4158" i="2"/>
  <c r="J4158" i="2"/>
  <c r="I4158" i="2"/>
  <c r="H4158" i="2"/>
  <c r="G4158" i="2"/>
  <c r="F4158" i="2"/>
  <c r="D4158" i="2"/>
  <c r="C4158" i="2"/>
  <c r="B4158" i="2"/>
  <c r="A4158" i="2"/>
  <c r="M4157" i="2"/>
  <c r="L4157" i="2"/>
  <c r="K4157" i="2"/>
  <c r="J4157" i="2"/>
  <c r="I4157" i="2"/>
  <c r="H4157" i="2"/>
  <c r="G4157" i="2"/>
  <c r="F4157" i="2"/>
  <c r="D4157" i="2"/>
  <c r="C4157" i="2"/>
  <c r="B4157" i="2"/>
  <c r="A4157" i="2"/>
  <c r="M4156" i="2"/>
  <c r="L4156" i="2"/>
  <c r="K4156" i="2"/>
  <c r="J4156" i="2"/>
  <c r="I4156" i="2"/>
  <c r="H4156" i="2"/>
  <c r="G4156" i="2"/>
  <c r="F4156" i="2"/>
  <c r="D4156" i="2"/>
  <c r="C4156" i="2"/>
  <c r="B4156" i="2"/>
  <c r="A4156" i="2"/>
  <c r="M4155" i="2"/>
  <c r="L4155" i="2"/>
  <c r="K4155" i="2"/>
  <c r="J4155" i="2"/>
  <c r="I4155" i="2"/>
  <c r="H4155" i="2"/>
  <c r="G4155" i="2"/>
  <c r="F4155" i="2"/>
  <c r="D4155" i="2"/>
  <c r="C4155" i="2"/>
  <c r="B4155" i="2"/>
  <c r="A4155" i="2"/>
  <c r="M4154" i="2"/>
  <c r="L4154" i="2"/>
  <c r="K4154" i="2"/>
  <c r="J4154" i="2"/>
  <c r="I4154" i="2"/>
  <c r="H4154" i="2"/>
  <c r="G4154" i="2"/>
  <c r="F4154" i="2"/>
  <c r="D4154" i="2"/>
  <c r="C4154" i="2"/>
  <c r="B4154" i="2"/>
  <c r="A4154" i="2"/>
  <c r="M4153" i="2"/>
  <c r="L4153" i="2"/>
  <c r="K4153" i="2"/>
  <c r="J4153" i="2"/>
  <c r="I4153" i="2"/>
  <c r="H4153" i="2"/>
  <c r="G4153" i="2"/>
  <c r="F4153" i="2"/>
  <c r="D4153" i="2"/>
  <c r="C4153" i="2"/>
  <c r="B4153" i="2"/>
  <c r="A4153" i="2"/>
  <c r="M4152" i="2"/>
  <c r="L4152" i="2"/>
  <c r="K4152" i="2"/>
  <c r="J4152" i="2"/>
  <c r="I4152" i="2"/>
  <c r="H4152" i="2"/>
  <c r="G4152" i="2"/>
  <c r="F4152" i="2"/>
  <c r="D4152" i="2"/>
  <c r="C4152" i="2"/>
  <c r="B4152" i="2"/>
  <c r="A4152" i="2"/>
  <c r="M4151" i="2"/>
  <c r="L4151" i="2"/>
  <c r="K4151" i="2"/>
  <c r="J4151" i="2"/>
  <c r="I4151" i="2"/>
  <c r="H4151" i="2"/>
  <c r="G4151" i="2"/>
  <c r="F4151" i="2"/>
  <c r="D4151" i="2"/>
  <c r="C4151" i="2"/>
  <c r="B4151" i="2"/>
  <c r="A4151" i="2"/>
  <c r="M4150" i="2"/>
  <c r="L4150" i="2"/>
  <c r="K4150" i="2"/>
  <c r="J4150" i="2"/>
  <c r="I4150" i="2"/>
  <c r="H4150" i="2"/>
  <c r="G4150" i="2"/>
  <c r="F4150" i="2"/>
  <c r="D4150" i="2"/>
  <c r="C4150" i="2"/>
  <c r="B4150" i="2"/>
  <c r="A4150" i="2"/>
  <c r="M4149" i="2"/>
  <c r="L4149" i="2"/>
  <c r="K4149" i="2"/>
  <c r="J4149" i="2"/>
  <c r="I4149" i="2"/>
  <c r="H4149" i="2"/>
  <c r="G4149" i="2"/>
  <c r="F4149" i="2"/>
  <c r="D4149" i="2"/>
  <c r="C4149" i="2"/>
  <c r="B4149" i="2"/>
  <c r="A4149" i="2"/>
  <c r="M4148" i="2"/>
  <c r="L4148" i="2"/>
  <c r="K4148" i="2"/>
  <c r="J4148" i="2"/>
  <c r="I4148" i="2"/>
  <c r="H4148" i="2"/>
  <c r="G4148" i="2"/>
  <c r="F4148" i="2"/>
  <c r="D4148" i="2"/>
  <c r="C4148" i="2"/>
  <c r="B4148" i="2"/>
  <c r="A4148" i="2"/>
  <c r="M4147" i="2"/>
  <c r="L4147" i="2"/>
  <c r="K4147" i="2"/>
  <c r="J4147" i="2"/>
  <c r="I4147" i="2"/>
  <c r="H4147" i="2"/>
  <c r="G4147" i="2"/>
  <c r="F4147" i="2"/>
  <c r="D4147" i="2"/>
  <c r="C4147" i="2"/>
  <c r="B4147" i="2"/>
  <c r="A4147" i="2"/>
  <c r="M4146" i="2"/>
  <c r="L4146" i="2"/>
  <c r="K4146" i="2"/>
  <c r="J4146" i="2"/>
  <c r="I4146" i="2"/>
  <c r="H4146" i="2"/>
  <c r="G4146" i="2"/>
  <c r="F4146" i="2"/>
  <c r="D4146" i="2"/>
  <c r="C4146" i="2"/>
  <c r="B4146" i="2"/>
  <c r="A4146" i="2"/>
  <c r="M4145" i="2"/>
  <c r="L4145" i="2"/>
  <c r="K4145" i="2"/>
  <c r="J4145" i="2"/>
  <c r="I4145" i="2"/>
  <c r="H4145" i="2"/>
  <c r="G4145" i="2"/>
  <c r="F4145" i="2"/>
  <c r="D4145" i="2"/>
  <c r="C4145" i="2"/>
  <c r="B4145" i="2"/>
  <c r="A4145" i="2"/>
  <c r="M4144" i="2"/>
  <c r="L4144" i="2"/>
  <c r="K4144" i="2"/>
  <c r="J4144" i="2"/>
  <c r="I4144" i="2"/>
  <c r="H4144" i="2"/>
  <c r="G4144" i="2"/>
  <c r="F4144" i="2"/>
  <c r="D4144" i="2"/>
  <c r="C4144" i="2"/>
  <c r="B4144" i="2"/>
  <c r="A4144" i="2"/>
  <c r="M4143" i="2"/>
  <c r="L4143" i="2"/>
  <c r="K4143" i="2"/>
  <c r="J4143" i="2"/>
  <c r="I4143" i="2"/>
  <c r="H4143" i="2"/>
  <c r="G4143" i="2"/>
  <c r="F4143" i="2"/>
  <c r="D4143" i="2"/>
  <c r="C4143" i="2"/>
  <c r="B4143" i="2"/>
  <c r="A4143" i="2"/>
  <c r="M4142" i="2"/>
  <c r="L4142" i="2"/>
  <c r="K4142" i="2"/>
  <c r="J4142" i="2"/>
  <c r="I4142" i="2"/>
  <c r="H4142" i="2"/>
  <c r="G4142" i="2"/>
  <c r="F4142" i="2"/>
  <c r="D4142" i="2"/>
  <c r="C4142" i="2"/>
  <c r="B4142" i="2"/>
  <c r="A4142" i="2"/>
  <c r="M4141" i="2"/>
  <c r="L4141" i="2"/>
  <c r="K4141" i="2"/>
  <c r="J4141" i="2"/>
  <c r="I4141" i="2"/>
  <c r="H4141" i="2"/>
  <c r="G4141" i="2"/>
  <c r="F4141" i="2"/>
  <c r="D4141" i="2"/>
  <c r="C4141" i="2"/>
  <c r="B4141" i="2"/>
  <c r="A4141" i="2"/>
  <c r="M4140" i="2"/>
  <c r="L4140" i="2"/>
  <c r="K4140" i="2"/>
  <c r="J4140" i="2"/>
  <c r="I4140" i="2"/>
  <c r="H4140" i="2"/>
  <c r="G4140" i="2"/>
  <c r="F4140" i="2"/>
  <c r="D4140" i="2"/>
  <c r="C4140" i="2"/>
  <c r="B4140" i="2"/>
  <c r="A4140" i="2"/>
  <c r="M4139" i="2"/>
  <c r="L4139" i="2"/>
  <c r="K4139" i="2"/>
  <c r="J4139" i="2"/>
  <c r="I4139" i="2"/>
  <c r="H4139" i="2"/>
  <c r="G4139" i="2"/>
  <c r="F4139" i="2"/>
  <c r="D4139" i="2"/>
  <c r="C4139" i="2"/>
  <c r="B4139" i="2"/>
  <c r="A4139" i="2"/>
  <c r="M4138" i="2"/>
  <c r="L4138" i="2"/>
  <c r="K4138" i="2"/>
  <c r="J4138" i="2"/>
  <c r="I4138" i="2"/>
  <c r="H4138" i="2"/>
  <c r="G4138" i="2"/>
  <c r="F4138" i="2"/>
  <c r="D4138" i="2"/>
  <c r="C4138" i="2"/>
  <c r="B4138" i="2"/>
  <c r="A4138" i="2"/>
  <c r="M4137" i="2"/>
  <c r="L4137" i="2"/>
  <c r="K4137" i="2"/>
  <c r="J4137" i="2"/>
  <c r="I4137" i="2"/>
  <c r="H4137" i="2"/>
  <c r="G4137" i="2"/>
  <c r="F4137" i="2"/>
  <c r="D4137" i="2"/>
  <c r="C4137" i="2"/>
  <c r="B4137" i="2"/>
  <c r="A4137" i="2"/>
  <c r="M4136" i="2"/>
  <c r="L4136" i="2"/>
  <c r="K4136" i="2"/>
  <c r="J4136" i="2"/>
  <c r="I4136" i="2"/>
  <c r="H4136" i="2"/>
  <c r="G4136" i="2"/>
  <c r="F4136" i="2"/>
  <c r="D4136" i="2"/>
  <c r="C4136" i="2"/>
  <c r="B4136" i="2"/>
  <c r="A4136" i="2"/>
  <c r="M4135" i="2"/>
  <c r="L4135" i="2"/>
  <c r="K4135" i="2"/>
  <c r="J4135" i="2"/>
  <c r="I4135" i="2"/>
  <c r="H4135" i="2"/>
  <c r="G4135" i="2"/>
  <c r="F4135" i="2"/>
  <c r="D4135" i="2"/>
  <c r="C4135" i="2"/>
  <c r="B4135" i="2"/>
  <c r="A4135" i="2"/>
  <c r="M4134" i="2"/>
  <c r="L4134" i="2"/>
  <c r="K4134" i="2"/>
  <c r="J4134" i="2"/>
  <c r="I4134" i="2"/>
  <c r="H4134" i="2"/>
  <c r="G4134" i="2"/>
  <c r="F4134" i="2"/>
  <c r="D4134" i="2"/>
  <c r="C4134" i="2"/>
  <c r="B4134" i="2"/>
  <c r="A4134" i="2"/>
  <c r="M4133" i="2"/>
  <c r="L4133" i="2"/>
  <c r="K4133" i="2"/>
  <c r="J4133" i="2"/>
  <c r="I4133" i="2"/>
  <c r="H4133" i="2"/>
  <c r="G4133" i="2"/>
  <c r="F4133" i="2"/>
  <c r="D4133" i="2"/>
  <c r="C4133" i="2"/>
  <c r="B4133" i="2"/>
  <c r="A4133" i="2"/>
  <c r="M4132" i="2"/>
  <c r="L4132" i="2"/>
  <c r="K4132" i="2"/>
  <c r="J4132" i="2"/>
  <c r="I4132" i="2"/>
  <c r="H4132" i="2"/>
  <c r="G4132" i="2"/>
  <c r="F4132" i="2"/>
  <c r="D4132" i="2"/>
  <c r="C4132" i="2"/>
  <c r="B4132" i="2"/>
  <c r="A4132" i="2"/>
  <c r="M4131" i="2"/>
  <c r="L4131" i="2"/>
  <c r="K4131" i="2"/>
  <c r="J4131" i="2"/>
  <c r="I4131" i="2"/>
  <c r="H4131" i="2"/>
  <c r="G4131" i="2"/>
  <c r="F4131" i="2"/>
  <c r="D4131" i="2"/>
  <c r="C4131" i="2"/>
  <c r="B4131" i="2"/>
  <c r="A4131" i="2"/>
  <c r="M4130" i="2"/>
  <c r="L4130" i="2"/>
  <c r="K4130" i="2"/>
  <c r="J4130" i="2"/>
  <c r="I4130" i="2"/>
  <c r="H4130" i="2"/>
  <c r="G4130" i="2"/>
  <c r="F4130" i="2"/>
  <c r="D4130" i="2"/>
  <c r="C4130" i="2"/>
  <c r="B4130" i="2"/>
  <c r="A4130" i="2"/>
  <c r="M4129" i="2"/>
  <c r="L4129" i="2"/>
  <c r="K4129" i="2"/>
  <c r="J4129" i="2"/>
  <c r="I4129" i="2"/>
  <c r="H4129" i="2"/>
  <c r="G4129" i="2"/>
  <c r="F4129" i="2"/>
  <c r="D4129" i="2"/>
  <c r="C4129" i="2"/>
  <c r="B4129" i="2"/>
  <c r="A4129" i="2"/>
  <c r="M4128" i="2"/>
  <c r="L4128" i="2"/>
  <c r="K4128" i="2"/>
  <c r="J4128" i="2"/>
  <c r="I4128" i="2"/>
  <c r="H4128" i="2"/>
  <c r="G4128" i="2"/>
  <c r="F4128" i="2"/>
  <c r="D4128" i="2"/>
  <c r="C4128" i="2"/>
  <c r="B4128" i="2"/>
  <c r="A4128" i="2"/>
  <c r="M4127" i="2"/>
  <c r="L4127" i="2"/>
  <c r="K4127" i="2"/>
  <c r="J4127" i="2"/>
  <c r="I4127" i="2"/>
  <c r="H4127" i="2"/>
  <c r="G4127" i="2"/>
  <c r="F4127" i="2"/>
  <c r="D4127" i="2"/>
  <c r="C4127" i="2"/>
  <c r="B4127" i="2"/>
  <c r="A4127" i="2"/>
  <c r="M4126" i="2"/>
  <c r="L4126" i="2"/>
  <c r="K4126" i="2"/>
  <c r="J4126" i="2"/>
  <c r="I4126" i="2"/>
  <c r="H4126" i="2"/>
  <c r="G4126" i="2"/>
  <c r="F4126" i="2"/>
  <c r="D4126" i="2"/>
  <c r="C4126" i="2"/>
  <c r="B4126" i="2"/>
  <c r="A4126" i="2"/>
  <c r="M4125" i="2"/>
  <c r="L4125" i="2"/>
  <c r="K4125" i="2"/>
  <c r="J4125" i="2"/>
  <c r="I4125" i="2"/>
  <c r="H4125" i="2"/>
  <c r="G4125" i="2"/>
  <c r="F4125" i="2"/>
  <c r="D4125" i="2"/>
  <c r="C4125" i="2"/>
  <c r="B4125" i="2"/>
  <c r="A4125" i="2"/>
  <c r="M4124" i="2"/>
  <c r="L4124" i="2"/>
  <c r="K4124" i="2"/>
  <c r="J4124" i="2"/>
  <c r="I4124" i="2"/>
  <c r="H4124" i="2"/>
  <c r="G4124" i="2"/>
  <c r="F4124" i="2"/>
  <c r="D4124" i="2"/>
  <c r="C4124" i="2"/>
  <c r="B4124" i="2"/>
  <c r="A4124" i="2"/>
  <c r="M4123" i="2"/>
  <c r="L4123" i="2"/>
  <c r="K4123" i="2"/>
  <c r="J4123" i="2"/>
  <c r="I4123" i="2"/>
  <c r="H4123" i="2"/>
  <c r="G4123" i="2"/>
  <c r="F4123" i="2"/>
  <c r="D4123" i="2"/>
  <c r="C4123" i="2"/>
  <c r="B4123" i="2"/>
  <c r="A4123" i="2"/>
  <c r="M4122" i="2"/>
  <c r="L4122" i="2"/>
  <c r="K4122" i="2"/>
  <c r="J4122" i="2"/>
  <c r="I4122" i="2"/>
  <c r="H4122" i="2"/>
  <c r="G4122" i="2"/>
  <c r="F4122" i="2"/>
  <c r="D4122" i="2"/>
  <c r="C4122" i="2"/>
  <c r="B4122" i="2"/>
  <c r="A4122" i="2"/>
  <c r="M4121" i="2"/>
  <c r="L4121" i="2"/>
  <c r="K4121" i="2"/>
  <c r="J4121" i="2"/>
  <c r="I4121" i="2"/>
  <c r="H4121" i="2"/>
  <c r="G4121" i="2"/>
  <c r="F4121" i="2"/>
  <c r="D4121" i="2"/>
  <c r="C4121" i="2"/>
  <c r="B4121" i="2"/>
  <c r="A4121" i="2"/>
  <c r="M4120" i="2"/>
  <c r="L4120" i="2"/>
  <c r="K4120" i="2"/>
  <c r="J4120" i="2"/>
  <c r="I4120" i="2"/>
  <c r="H4120" i="2"/>
  <c r="G4120" i="2"/>
  <c r="F4120" i="2"/>
  <c r="D4120" i="2"/>
  <c r="C4120" i="2"/>
  <c r="B4120" i="2"/>
  <c r="A4120" i="2"/>
  <c r="M4119" i="2"/>
  <c r="L4119" i="2"/>
  <c r="K4119" i="2"/>
  <c r="J4119" i="2"/>
  <c r="I4119" i="2"/>
  <c r="H4119" i="2"/>
  <c r="G4119" i="2"/>
  <c r="F4119" i="2"/>
  <c r="D4119" i="2"/>
  <c r="C4119" i="2"/>
  <c r="B4119" i="2"/>
  <c r="A4119" i="2"/>
  <c r="M4118" i="2"/>
  <c r="L4118" i="2"/>
  <c r="K4118" i="2"/>
  <c r="J4118" i="2"/>
  <c r="I4118" i="2"/>
  <c r="H4118" i="2"/>
  <c r="G4118" i="2"/>
  <c r="F4118" i="2"/>
  <c r="D4118" i="2"/>
  <c r="C4118" i="2"/>
  <c r="B4118" i="2"/>
  <c r="A4118" i="2"/>
  <c r="M4117" i="2"/>
  <c r="L4117" i="2"/>
  <c r="K4117" i="2"/>
  <c r="J4117" i="2"/>
  <c r="I4117" i="2"/>
  <c r="H4117" i="2"/>
  <c r="F4117" i="2"/>
  <c r="D4117" i="2"/>
  <c r="C4117" i="2"/>
  <c r="B4117" i="2"/>
  <c r="A4117" i="2"/>
  <c r="M4116" i="2"/>
  <c r="L4116" i="2"/>
  <c r="K4116" i="2"/>
  <c r="J4116" i="2"/>
  <c r="I4116" i="2"/>
  <c r="H4116" i="2"/>
  <c r="F4116" i="2"/>
  <c r="D4116" i="2"/>
  <c r="C4116" i="2"/>
  <c r="B4116" i="2"/>
  <c r="A4116" i="2"/>
  <c r="M4115" i="2"/>
  <c r="L4115" i="2"/>
  <c r="K4115" i="2"/>
  <c r="J4115" i="2"/>
  <c r="I4115" i="2"/>
  <c r="H4115" i="2"/>
  <c r="F4115" i="2"/>
  <c r="E4115" i="2"/>
  <c r="D4115" i="2"/>
  <c r="C4115" i="2"/>
  <c r="B4115" i="2"/>
  <c r="A4115" i="2"/>
  <c r="M4114" i="2"/>
  <c r="L4114" i="2"/>
  <c r="K4114" i="2"/>
  <c r="J4114" i="2"/>
  <c r="I4114" i="2"/>
  <c r="H4114" i="2"/>
  <c r="F4114" i="2"/>
  <c r="E4114" i="2"/>
  <c r="D4114" i="2"/>
  <c r="C4114" i="2"/>
  <c r="B4114" i="2"/>
  <c r="A4114" i="2"/>
  <c r="M4113" i="2"/>
  <c r="L4113" i="2"/>
  <c r="K4113" i="2"/>
  <c r="J4113" i="2"/>
  <c r="I4113" i="2"/>
  <c r="H4113" i="2"/>
  <c r="F4113" i="2"/>
  <c r="E4113" i="2"/>
  <c r="D4113" i="2"/>
  <c r="C4113" i="2"/>
  <c r="B4113" i="2"/>
  <c r="A4113" i="2"/>
  <c r="M4112" i="2"/>
  <c r="L4112" i="2"/>
  <c r="K4112" i="2"/>
  <c r="J4112" i="2"/>
  <c r="I4112" i="2"/>
  <c r="H4112" i="2"/>
  <c r="F4112" i="2"/>
  <c r="E4112" i="2"/>
  <c r="D4112" i="2"/>
  <c r="C4112" i="2"/>
  <c r="B4112" i="2"/>
  <c r="A4112" i="2"/>
  <c r="M4111" i="2"/>
  <c r="L4111" i="2"/>
  <c r="K4111" i="2"/>
  <c r="I4111" i="2"/>
  <c r="H4111" i="2"/>
  <c r="F4111" i="2"/>
  <c r="E4111" i="2"/>
  <c r="D4111" i="2"/>
  <c r="C4111" i="2"/>
  <c r="B4111" i="2"/>
  <c r="A4111" i="2"/>
  <c r="M4110" i="2"/>
  <c r="L4110" i="2"/>
  <c r="K4110" i="2"/>
  <c r="I4110" i="2"/>
  <c r="H4110" i="2"/>
  <c r="F4110" i="2"/>
  <c r="E4110" i="2"/>
  <c r="D4110" i="2"/>
  <c r="C4110" i="2"/>
  <c r="B4110" i="2"/>
  <c r="A4110" i="2"/>
  <c r="M4109" i="2"/>
  <c r="L4109" i="2"/>
  <c r="K4109" i="2"/>
  <c r="I4109" i="2"/>
  <c r="H4109" i="2"/>
  <c r="F4109" i="2"/>
  <c r="E4109" i="2"/>
  <c r="D4109" i="2"/>
  <c r="C4109" i="2"/>
  <c r="B4109" i="2"/>
  <c r="A4109" i="2"/>
  <c r="M4108" i="2"/>
  <c r="L4108" i="2"/>
  <c r="K4108" i="2"/>
  <c r="I4108" i="2"/>
  <c r="H4108" i="2"/>
  <c r="F4108" i="2"/>
  <c r="E4108" i="2"/>
  <c r="D4108" i="2"/>
  <c r="C4108" i="2"/>
  <c r="B4108" i="2"/>
  <c r="A4108" i="2"/>
  <c r="M4107" i="2"/>
  <c r="L4107" i="2"/>
  <c r="K4107" i="2"/>
  <c r="J4107" i="2"/>
  <c r="I4107" i="2"/>
  <c r="H4107" i="2"/>
  <c r="F4107" i="2"/>
  <c r="E4107" i="2"/>
  <c r="D4107" i="2"/>
  <c r="C4107" i="2"/>
  <c r="B4107" i="2"/>
  <c r="A4107" i="2"/>
  <c r="M4106" i="2"/>
  <c r="L4106" i="2"/>
  <c r="K4106" i="2"/>
  <c r="J4106" i="2"/>
  <c r="I4106" i="2"/>
  <c r="H4106" i="2"/>
  <c r="F4106" i="2"/>
  <c r="E4106" i="2"/>
  <c r="D4106" i="2"/>
  <c r="C4106" i="2"/>
  <c r="B4106" i="2"/>
  <c r="A4106" i="2"/>
  <c r="M4105" i="2"/>
  <c r="L4105" i="2"/>
  <c r="K4105" i="2"/>
  <c r="J4105" i="2"/>
  <c r="I4105" i="2"/>
  <c r="H4105" i="2"/>
  <c r="F4105" i="2"/>
  <c r="E4105" i="2"/>
  <c r="D4105" i="2"/>
  <c r="C4105" i="2"/>
  <c r="B4105" i="2"/>
  <c r="A4105" i="2"/>
  <c r="M4104" i="2"/>
  <c r="L4104" i="2"/>
  <c r="K4104" i="2"/>
  <c r="J4104" i="2"/>
  <c r="I4104" i="2"/>
  <c r="H4104" i="2"/>
  <c r="F4104" i="2"/>
  <c r="E4104" i="2"/>
  <c r="D4104" i="2"/>
  <c r="C4104" i="2"/>
  <c r="B4104" i="2"/>
  <c r="A4104" i="2"/>
  <c r="M4103" i="2"/>
  <c r="L4103" i="2"/>
  <c r="K4103" i="2"/>
  <c r="J4103" i="2"/>
  <c r="I4103" i="2"/>
  <c r="H4103" i="2"/>
  <c r="F4103" i="2"/>
  <c r="E4103" i="2"/>
  <c r="D4103" i="2"/>
  <c r="C4103" i="2"/>
  <c r="B4103" i="2"/>
  <c r="A4103" i="2"/>
  <c r="M4102" i="2"/>
  <c r="L4102" i="2"/>
  <c r="K4102" i="2"/>
  <c r="J4102" i="2"/>
  <c r="I4102" i="2"/>
  <c r="H4102" i="2"/>
  <c r="F4102" i="2"/>
  <c r="E4102" i="2"/>
  <c r="D4102" i="2"/>
  <c r="C4102" i="2"/>
  <c r="B4102" i="2"/>
  <c r="A4102" i="2"/>
  <c r="M4101" i="2"/>
  <c r="L4101" i="2"/>
  <c r="K4101" i="2"/>
  <c r="J4101" i="2"/>
  <c r="I4101" i="2"/>
  <c r="H4101" i="2"/>
  <c r="F4101" i="2"/>
  <c r="E4101" i="2"/>
  <c r="D4101" i="2"/>
  <c r="C4101" i="2"/>
  <c r="B4101" i="2"/>
  <c r="A4101" i="2"/>
  <c r="M4100" i="2"/>
  <c r="L4100" i="2"/>
  <c r="K4100" i="2"/>
  <c r="J4100" i="2"/>
  <c r="I4100" i="2"/>
  <c r="H4100" i="2"/>
  <c r="F4100" i="2"/>
  <c r="D4100" i="2"/>
  <c r="C4100" i="2"/>
  <c r="B4100" i="2"/>
  <c r="A4100" i="2"/>
  <c r="M4099" i="2"/>
  <c r="L4099" i="2"/>
  <c r="K4099" i="2"/>
  <c r="J4099" i="2"/>
  <c r="I4099" i="2"/>
  <c r="H4099" i="2"/>
  <c r="F4099" i="2"/>
  <c r="D4099" i="2"/>
  <c r="C4099" i="2"/>
  <c r="B4099" i="2"/>
  <c r="A4099" i="2"/>
  <c r="M4098" i="2"/>
  <c r="L4098" i="2"/>
  <c r="K4098" i="2"/>
  <c r="J4098" i="2"/>
  <c r="I4098" i="2"/>
  <c r="H4098" i="2"/>
  <c r="F4098" i="2"/>
  <c r="D4098" i="2"/>
  <c r="C4098" i="2"/>
  <c r="B4098" i="2"/>
  <c r="A4098" i="2"/>
  <c r="M4097" i="2"/>
  <c r="L4097" i="2"/>
  <c r="K4097" i="2"/>
  <c r="J4097" i="2"/>
  <c r="I4097" i="2"/>
  <c r="H4097" i="2"/>
  <c r="F4097" i="2"/>
  <c r="D4097" i="2"/>
  <c r="C4097" i="2"/>
  <c r="B4097" i="2"/>
  <c r="A4097" i="2"/>
  <c r="M4096" i="2"/>
  <c r="L4096" i="2"/>
  <c r="K4096" i="2"/>
  <c r="J4096" i="2"/>
  <c r="I4096" i="2"/>
  <c r="H4096" i="2"/>
  <c r="F4096" i="2"/>
  <c r="E4096" i="2"/>
  <c r="D4096" i="2"/>
  <c r="C4096" i="2"/>
  <c r="B4096" i="2"/>
  <c r="A4096" i="2"/>
  <c r="M4095" i="2"/>
  <c r="L4095" i="2"/>
  <c r="K4095" i="2"/>
  <c r="J4095" i="2"/>
  <c r="I4095" i="2"/>
  <c r="H4095" i="2"/>
  <c r="F4095" i="2"/>
  <c r="E4095" i="2"/>
  <c r="D4095" i="2"/>
  <c r="C4095" i="2"/>
  <c r="B4095" i="2"/>
  <c r="A4095" i="2"/>
  <c r="M4094" i="2"/>
  <c r="L4094" i="2"/>
  <c r="K4094" i="2"/>
  <c r="J4094" i="2"/>
  <c r="I4094" i="2"/>
  <c r="H4094" i="2"/>
  <c r="F4094" i="2"/>
  <c r="E4094" i="2"/>
  <c r="D4094" i="2"/>
  <c r="C4094" i="2"/>
  <c r="B4094" i="2"/>
  <c r="A4094" i="2"/>
  <c r="M4093" i="2"/>
  <c r="L4093" i="2"/>
  <c r="K4093" i="2"/>
  <c r="J4093" i="2"/>
  <c r="I4093" i="2"/>
  <c r="H4093" i="2"/>
  <c r="F4093" i="2"/>
  <c r="E4093" i="2"/>
  <c r="D4093" i="2"/>
  <c r="C4093" i="2"/>
  <c r="B4093" i="2"/>
  <c r="A4093" i="2"/>
  <c r="M4092" i="2"/>
  <c r="L4092" i="2"/>
  <c r="K4092" i="2"/>
  <c r="J4092" i="2"/>
  <c r="I4092" i="2"/>
  <c r="H4092" i="2"/>
  <c r="G4092" i="2"/>
  <c r="F4092" i="2"/>
  <c r="E4092" i="2"/>
  <c r="D4092" i="2"/>
  <c r="C4092" i="2"/>
  <c r="B4092" i="2"/>
  <c r="A4092" i="2"/>
  <c r="M4091" i="2"/>
  <c r="L4091" i="2"/>
  <c r="K4091" i="2"/>
  <c r="J4091" i="2"/>
  <c r="I4091" i="2"/>
  <c r="H4091" i="2"/>
  <c r="G4091" i="2"/>
  <c r="F4091" i="2"/>
  <c r="E4091" i="2"/>
  <c r="D4091" i="2"/>
  <c r="C4091" i="2"/>
  <c r="B4091" i="2"/>
  <c r="A4091" i="2"/>
  <c r="M4090" i="2"/>
  <c r="L4090" i="2"/>
  <c r="K4090" i="2"/>
  <c r="J4090" i="2"/>
  <c r="I4090" i="2"/>
  <c r="H4090" i="2"/>
  <c r="G4090" i="2"/>
  <c r="F4090" i="2"/>
  <c r="E4090" i="2"/>
  <c r="D4090" i="2"/>
  <c r="C4090" i="2"/>
  <c r="B4090" i="2"/>
  <c r="A4090" i="2"/>
  <c r="M4089" i="2"/>
  <c r="L4089" i="2"/>
  <c r="K4089" i="2"/>
  <c r="J4089" i="2"/>
  <c r="I4089" i="2"/>
  <c r="H4089" i="2"/>
  <c r="G4089" i="2"/>
  <c r="F4089" i="2"/>
  <c r="E4089" i="2"/>
  <c r="D4089" i="2"/>
  <c r="C4089" i="2"/>
  <c r="B4089" i="2"/>
  <c r="A4089" i="2"/>
  <c r="M4088" i="2"/>
  <c r="L4088" i="2"/>
  <c r="K4088" i="2"/>
  <c r="J4088" i="2"/>
  <c r="I4088" i="2"/>
  <c r="H4088" i="2"/>
  <c r="F4088" i="2"/>
  <c r="E4088" i="2"/>
  <c r="D4088" i="2"/>
  <c r="C4088" i="2"/>
  <c r="B4088" i="2"/>
  <c r="A4088" i="2"/>
  <c r="M4087" i="2"/>
  <c r="L4087" i="2"/>
  <c r="K4087" i="2"/>
  <c r="J4087" i="2"/>
  <c r="I4087" i="2"/>
  <c r="H4087" i="2"/>
  <c r="F4087" i="2"/>
  <c r="E4087" i="2"/>
  <c r="D4087" i="2"/>
  <c r="C4087" i="2"/>
  <c r="B4087" i="2"/>
  <c r="A4087" i="2"/>
  <c r="M4086" i="2"/>
  <c r="L4086" i="2"/>
  <c r="K4086" i="2"/>
  <c r="J4086" i="2"/>
  <c r="I4086" i="2"/>
  <c r="H4086" i="2"/>
  <c r="F4086" i="2"/>
  <c r="E4086" i="2"/>
  <c r="D4086" i="2"/>
  <c r="C4086" i="2"/>
  <c r="B4086" i="2"/>
  <c r="A4086" i="2"/>
  <c r="M4085" i="2"/>
  <c r="L4085" i="2"/>
  <c r="K4085" i="2"/>
  <c r="J4085" i="2"/>
  <c r="I4085" i="2"/>
  <c r="H4085" i="2"/>
  <c r="F4085" i="2"/>
  <c r="E4085" i="2"/>
  <c r="D4085" i="2"/>
  <c r="C4085" i="2"/>
  <c r="B4085" i="2"/>
  <c r="A4085" i="2"/>
  <c r="M4084" i="2"/>
  <c r="L4084" i="2"/>
  <c r="K4084" i="2"/>
  <c r="J4084" i="2"/>
  <c r="I4084" i="2"/>
  <c r="H4084" i="2"/>
  <c r="F4084" i="2"/>
  <c r="E4084" i="2"/>
  <c r="D4084" i="2"/>
  <c r="C4084" i="2"/>
  <c r="B4084" i="2"/>
  <c r="A4084" i="2"/>
  <c r="M4083" i="2"/>
  <c r="L4083" i="2"/>
  <c r="K4083" i="2"/>
  <c r="J4083" i="2"/>
  <c r="I4083" i="2"/>
  <c r="H4083" i="2"/>
  <c r="F4083" i="2"/>
  <c r="E4083" i="2"/>
  <c r="D4083" i="2"/>
  <c r="C4083" i="2"/>
  <c r="B4083" i="2"/>
  <c r="A4083" i="2"/>
  <c r="M4082" i="2"/>
  <c r="L4082" i="2"/>
  <c r="K4082" i="2"/>
  <c r="J4082" i="2"/>
  <c r="I4082" i="2"/>
  <c r="H4082" i="2"/>
  <c r="F4082" i="2"/>
  <c r="E4082" i="2"/>
  <c r="D4082" i="2"/>
  <c r="C4082" i="2"/>
  <c r="B4082" i="2"/>
  <c r="A4082" i="2"/>
  <c r="M4081" i="2"/>
  <c r="L4081" i="2"/>
  <c r="K4081" i="2"/>
  <c r="J4081" i="2"/>
  <c r="I4081" i="2"/>
  <c r="H4081" i="2"/>
  <c r="G4081" i="2"/>
  <c r="F4081" i="2"/>
  <c r="E4081" i="2"/>
  <c r="D4081" i="2"/>
  <c r="C4081" i="2"/>
  <c r="B4081" i="2"/>
  <c r="A4081" i="2"/>
  <c r="M4080" i="2"/>
  <c r="L4080" i="2"/>
  <c r="K4080" i="2"/>
  <c r="J4080" i="2"/>
  <c r="I4080" i="2"/>
  <c r="H4080" i="2"/>
  <c r="F4080" i="2"/>
  <c r="E4080" i="2"/>
  <c r="D4080" i="2"/>
  <c r="C4080" i="2"/>
  <c r="B4080" i="2"/>
  <c r="A4080" i="2"/>
  <c r="M4079" i="2"/>
  <c r="L4079" i="2"/>
  <c r="K4079" i="2"/>
  <c r="J4079" i="2"/>
  <c r="I4079" i="2"/>
  <c r="H4079" i="2"/>
  <c r="F4079" i="2"/>
  <c r="E4079" i="2"/>
  <c r="D4079" i="2"/>
  <c r="C4079" i="2"/>
  <c r="B4079" i="2"/>
  <c r="A4079" i="2"/>
  <c r="N4078" i="2"/>
  <c r="M4078" i="2"/>
  <c r="L4078" i="2"/>
  <c r="K4078" i="2"/>
  <c r="J4078" i="2"/>
  <c r="I4078" i="2"/>
  <c r="H4078" i="2"/>
  <c r="G4078" i="2"/>
  <c r="F4078" i="2"/>
  <c r="E4078" i="2"/>
  <c r="D4078" i="2"/>
  <c r="C4078" i="2"/>
  <c r="B4078" i="2"/>
  <c r="A4078" i="2"/>
  <c r="M4077" i="2"/>
  <c r="L4077" i="2"/>
  <c r="K4077" i="2"/>
  <c r="J4077" i="2"/>
  <c r="I4077" i="2"/>
  <c r="H4077" i="2"/>
  <c r="G4077" i="2"/>
  <c r="F4077" i="2"/>
  <c r="E4077" i="2"/>
  <c r="D4077" i="2"/>
  <c r="C4077" i="2"/>
  <c r="B4077" i="2"/>
  <c r="A4077" i="2"/>
  <c r="M4076" i="2"/>
  <c r="L4076" i="2"/>
  <c r="K4076" i="2"/>
  <c r="J4076" i="2"/>
  <c r="I4076" i="2"/>
  <c r="H4076" i="2"/>
  <c r="G4076" i="2"/>
  <c r="F4076" i="2"/>
  <c r="E4076" i="2"/>
  <c r="D4076" i="2"/>
  <c r="C4076" i="2"/>
  <c r="B4076" i="2"/>
  <c r="A4076" i="2"/>
  <c r="M4075" i="2"/>
  <c r="L4075" i="2"/>
  <c r="K4075" i="2"/>
  <c r="J4075" i="2"/>
  <c r="I4075" i="2"/>
  <c r="H4075" i="2"/>
  <c r="G4075" i="2"/>
  <c r="F4075" i="2"/>
  <c r="E4075" i="2"/>
  <c r="D4075" i="2"/>
  <c r="C4075" i="2"/>
  <c r="B4075" i="2"/>
  <c r="A4075" i="2"/>
  <c r="M4074" i="2"/>
  <c r="L4074" i="2"/>
  <c r="K4074" i="2"/>
  <c r="J4074" i="2"/>
  <c r="I4074" i="2"/>
  <c r="H4074" i="2"/>
  <c r="G4074" i="2"/>
  <c r="E4074" i="2"/>
  <c r="D4074" i="2"/>
  <c r="C4074" i="2"/>
  <c r="B4074" i="2"/>
  <c r="A4074" i="2"/>
  <c r="M4073" i="2"/>
  <c r="L4073" i="2"/>
  <c r="K4073" i="2"/>
  <c r="J4073" i="2"/>
  <c r="I4073" i="2"/>
  <c r="H4073" i="2"/>
  <c r="G4073" i="2"/>
  <c r="E4073" i="2"/>
  <c r="D4073" i="2"/>
  <c r="C4073" i="2"/>
  <c r="B4073" i="2"/>
  <c r="A4073" i="2"/>
  <c r="M4072" i="2"/>
  <c r="L4072" i="2"/>
  <c r="K4072" i="2"/>
  <c r="J4072" i="2"/>
  <c r="I4072" i="2"/>
  <c r="H4072" i="2"/>
  <c r="G4072" i="2"/>
  <c r="E4072" i="2"/>
  <c r="D4072" i="2"/>
  <c r="C4072" i="2"/>
  <c r="B4072" i="2"/>
  <c r="A4072" i="2"/>
  <c r="M4071" i="2"/>
  <c r="L4071" i="2"/>
  <c r="K4071" i="2"/>
  <c r="J4071" i="2"/>
  <c r="I4071" i="2"/>
  <c r="H4071" i="2"/>
  <c r="G4071" i="2"/>
  <c r="E4071" i="2"/>
  <c r="D4071" i="2"/>
  <c r="C4071" i="2"/>
  <c r="B4071" i="2"/>
  <c r="A4071" i="2"/>
  <c r="M4070" i="2"/>
  <c r="L4070" i="2"/>
  <c r="K4070" i="2"/>
  <c r="J4070" i="2"/>
  <c r="I4070" i="2"/>
  <c r="H4070" i="2"/>
  <c r="F4070" i="2"/>
  <c r="E4070" i="2"/>
  <c r="D4070" i="2"/>
  <c r="C4070" i="2"/>
  <c r="B4070" i="2"/>
  <c r="A4070" i="2"/>
  <c r="M4069" i="2"/>
  <c r="L4069" i="2"/>
  <c r="K4069" i="2"/>
  <c r="J4069" i="2"/>
  <c r="I4069" i="2"/>
  <c r="H4069" i="2"/>
  <c r="F4069" i="2"/>
  <c r="E4069" i="2"/>
  <c r="D4069" i="2"/>
  <c r="C4069" i="2"/>
  <c r="B4069" i="2"/>
  <c r="A4069" i="2"/>
  <c r="M4068" i="2"/>
  <c r="L4068" i="2"/>
  <c r="K4068" i="2"/>
  <c r="J4068" i="2"/>
  <c r="I4068" i="2"/>
  <c r="H4068" i="2"/>
  <c r="F4068" i="2"/>
  <c r="E4068" i="2"/>
  <c r="D4068" i="2"/>
  <c r="C4068" i="2"/>
  <c r="B4068" i="2"/>
  <c r="A4068" i="2"/>
  <c r="M4067" i="2"/>
  <c r="L4067" i="2"/>
  <c r="K4067" i="2"/>
  <c r="J4067" i="2"/>
  <c r="I4067" i="2"/>
  <c r="H4067" i="2"/>
  <c r="F4067" i="2"/>
  <c r="E4067" i="2"/>
  <c r="D4067" i="2"/>
  <c r="C4067" i="2"/>
  <c r="B4067" i="2"/>
  <c r="A4067" i="2"/>
  <c r="M4066" i="2"/>
  <c r="L4066" i="2"/>
  <c r="K4066" i="2"/>
  <c r="J4066" i="2"/>
  <c r="I4066" i="2"/>
  <c r="H4066" i="2"/>
  <c r="G4066" i="2"/>
  <c r="F4066" i="2"/>
  <c r="E4066" i="2"/>
  <c r="D4066" i="2"/>
  <c r="C4066" i="2"/>
  <c r="B4066" i="2"/>
  <c r="A4066" i="2"/>
  <c r="M4065" i="2"/>
  <c r="L4065" i="2"/>
  <c r="K4065" i="2"/>
  <c r="J4065" i="2"/>
  <c r="I4065" i="2"/>
  <c r="H4065" i="2"/>
  <c r="G4065" i="2"/>
  <c r="F4065" i="2"/>
  <c r="E4065" i="2"/>
  <c r="D4065" i="2"/>
  <c r="C4065" i="2"/>
  <c r="B4065" i="2"/>
  <c r="A4065" i="2"/>
  <c r="M4064" i="2"/>
  <c r="L4064" i="2"/>
  <c r="K4064" i="2"/>
  <c r="J4064" i="2"/>
  <c r="I4064" i="2"/>
  <c r="H4064" i="2"/>
  <c r="G4064" i="2"/>
  <c r="F4064" i="2"/>
  <c r="E4064" i="2"/>
  <c r="D4064" i="2"/>
  <c r="C4064" i="2"/>
  <c r="B4064" i="2"/>
  <c r="A4064" i="2"/>
  <c r="M4063" i="2"/>
  <c r="L4063" i="2"/>
  <c r="K4063" i="2"/>
  <c r="J4063" i="2"/>
  <c r="I4063" i="2"/>
  <c r="H4063" i="2"/>
  <c r="G4063" i="2"/>
  <c r="F4063" i="2"/>
  <c r="E4063" i="2"/>
  <c r="D4063" i="2"/>
  <c r="C4063" i="2"/>
  <c r="B4063" i="2"/>
  <c r="A4063" i="2"/>
  <c r="M4062" i="2"/>
  <c r="L4062" i="2"/>
  <c r="K4062" i="2"/>
  <c r="J4062" i="2"/>
  <c r="I4062" i="2"/>
  <c r="H4062" i="2"/>
  <c r="G4062" i="2"/>
  <c r="F4062" i="2"/>
  <c r="E4062" i="2"/>
  <c r="D4062" i="2"/>
  <c r="C4062" i="2"/>
  <c r="B4062" i="2"/>
  <c r="A4062" i="2"/>
  <c r="M4061" i="2"/>
  <c r="L4061" i="2"/>
  <c r="K4061" i="2"/>
  <c r="J4061" i="2"/>
  <c r="I4061" i="2"/>
  <c r="H4061" i="2"/>
  <c r="G4061" i="2"/>
  <c r="F4061" i="2"/>
  <c r="E4061" i="2"/>
  <c r="D4061" i="2"/>
  <c r="C4061" i="2"/>
  <c r="B4061" i="2"/>
  <c r="A4061" i="2"/>
  <c r="M4060" i="2"/>
  <c r="L4060" i="2"/>
  <c r="K4060" i="2"/>
  <c r="J4060" i="2"/>
  <c r="I4060" i="2"/>
  <c r="H4060" i="2"/>
  <c r="G4060" i="2"/>
  <c r="F4060" i="2"/>
  <c r="E4060" i="2"/>
  <c r="D4060" i="2"/>
  <c r="C4060" i="2"/>
  <c r="B4060" i="2"/>
  <c r="A4060" i="2"/>
  <c r="M4059" i="2"/>
  <c r="L4059" i="2"/>
  <c r="K4059" i="2"/>
  <c r="J4059" i="2"/>
  <c r="I4059" i="2"/>
  <c r="H4059" i="2"/>
  <c r="G4059" i="2"/>
  <c r="F4059" i="2"/>
  <c r="E4059" i="2"/>
  <c r="D4059" i="2"/>
  <c r="C4059" i="2"/>
  <c r="B4059" i="2"/>
  <c r="A4059" i="2"/>
  <c r="M4058" i="2"/>
  <c r="L4058" i="2"/>
  <c r="K4058" i="2"/>
  <c r="J4058" i="2"/>
  <c r="I4058" i="2"/>
  <c r="H4058" i="2"/>
  <c r="G4058" i="2"/>
  <c r="F4058" i="2"/>
  <c r="E4058" i="2"/>
  <c r="D4058" i="2"/>
  <c r="C4058" i="2"/>
  <c r="B4058" i="2"/>
  <c r="A4058" i="2"/>
  <c r="M4057" i="2"/>
  <c r="L4057" i="2"/>
  <c r="K4057" i="2"/>
  <c r="J4057" i="2"/>
  <c r="I4057" i="2"/>
  <c r="H4057" i="2"/>
  <c r="G4057" i="2"/>
  <c r="F4057" i="2"/>
  <c r="E4057" i="2"/>
  <c r="D4057" i="2"/>
  <c r="C4057" i="2"/>
  <c r="B4057" i="2"/>
  <c r="A4057" i="2"/>
  <c r="M4056" i="2"/>
  <c r="L4056" i="2"/>
  <c r="K4056" i="2"/>
  <c r="J4056" i="2"/>
  <c r="I4056" i="2"/>
  <c r="H4056" i="2"/>
  <c r="G4056" i="2"/>
  <c r="F4056" i="2"/>
  <c r="E4056" i="2"/>
  <c r="D4056" i="2"/>
  <c r="C4056" i="2"/>
  <c r="B4056" i="2"/>
  <c r="A4056" i="2"/>
  <c r="M4055" i="2"/>
  <c r="L4055" i="2"/>
  <c r="K4055" i="2"/>
  <c r="J4055" i="2"/>
  <c r="I4055" i="2"/>
  <c r="H4055" i="2"/>
  <c r="G4055" i="2"/>
  <c r="F4055" i="2"/>
  <c r="E4055" i="2"/>
  <c r="D4055" i="2"/>
  <c r="C4055" i="2"/>
  <c r="B4055" i="2"/>
  <c r="A4055" i="2"/>
  <c r="M4054" i="2"/>
  <c r="L4054" i="2"/>
  <c r="K4054" i="2"/>
  <c r="J4054" i="2"/>
  <c r="I4054" i="2"/>
  <c r="H4054" i="2"/>
  <c r="G4054" i="2"/>
  <c r="F4054" i="2"/>
  <c r="E4054" i="2"/>
  <c r="D4054" i="2"/>
  <c r="C4054" i="2"/>
  <c r="B4054" i="2"/>
  <c r="A4054" i="2"/>
  <c r="M4053" i="2"/>
  <c r="L4053" i="2"/>
  <c r="K4053" i="2"/>
  <c r="J4053" i="2"/>
  <c r="I4053" i="2"/>
  <c r="H4053" i="2"/>
  <c r="G4053" i="2"/>
  <c r="F4053" i="2"/>
  <c r="E4053" i="2"/>
  <c r="D4053" i="2"/>
  <c r="C4053" i="2"/>
  <c r="B4053" i="2"/>
  <c r="A4053" i="2"/>
  <c r="M4052" i="2"/>
  <c r="L4052" i="2"/>
  <c r="K4052" i="2"/>
  <c r="J4052" i="2"/>
  <c r="I4052" i="2"/>
  <c r="H4052" i="2"/>
  <c r="G4052" i="2"/>
  <c r="F4052" i="2"/>
  <c r="E4052" i="2"/>
  <c r="D4052" i="2"/>
  <c r="C4052" i="2"/>
  <c r="B4052" i="2"/>
  <c r="A4052" i="2"/>
  <c r="M4051" i="2"/>
  <c r="L4051" i="2"/>
  <c r="K4051" i="2"/>
  <c r="J4051" i="2"/>
  <c r="I4051" i="2"/>
  <c r="H4051" i="2"/>
  <c r="G4051" i="2"/>
  <c r="F4051" i="2"/>
  <c r="E4051" i="2"/>
  <c r="D4051" i="2"/>
  <c r="C4051" i="2"/>
  <c r="B4051" i="2"/>
  <c r="A4051" i="2"/>
  <c r="M4050" i="2"/>
  <c r="L4050" i="2"/>
  <c r="K4050" i="2"/>
  <c r="J4050" i="2"/>
  <c r="I4050" i="2"/>
  <c r="H4050" i="2"/>
  <c r="G4050" i="2"/>
  <c r="F4050" i="2"/>
  <c r="E4050" i="2"/>
  <c r="D4050" i="2"/>
  <c r="C4050" i="2"/>
  <c r="B4050" i="2"/>
  <c r="A4050" i="2"/>
  <c r="M4049" i="2"/>
  <c r="L4049" i="2"/>
  <c r="K4049" i="2"/>
  <c r="J4049" i="2"/>
  <c r="I4049" i="2"/>
  <c r="H4049" i="2"/>
  <c r="G4049" i="2"/>
  <c r="F4049" i="2"/>
  <c r="E4049" i="2"/>
  <c r="C4049" i="2"/>
  <c r="B4049" i="2"/>
  <c r="A4049" i="2"/>
  <c r="M4048" i="2"/>
  <c r="L4048" i="2"/>
  <c r="K4048" i="2"/>
  <c r="J4048" i="2"/>
  <c r="I4048" i="2"/>
  <c r="H4048" i="2"/>
  <c r="G4048" i="2"/>
  <c r="E4048" i="2"/>
  <c r="D4048" i="2"/>
  <c r="C4048" i="2"/>
  <c r="B4048" i="2"/>
  <c r="A4048" i="2"/>
  <c r="M4047" i="2"/>
  <c r="L4047" i="2"/>
  <c r="K4047" i="2"/>
  <c r="J4047" i="2"/>
  <c r="I4047" i="2"/>
  <c r="H4047" i="2"/>
  <c r="G4047" i="2"/>
  <c r="E4047" i="2"/>
  <c r="D4047" i="2"/>
  <c r="C4047" i="2"/>
  <c r="B4047" i="2"/>
  <c r="A4047" i="2"/>
  <c r="M4046" i="2"/>
  <c r="L4046" i="2"/>
  <c r="K4046" i="2"/>
  <c r="J4046" i="2"/>
  <c r="I4046" i="2"/>
  <c r="H4046" i="2"/>
  <c r="G4046" i="2"/>
  <c r="E4046" i="2"/>
  <c r="D4046" i="2"/>
  <c r="C4046" i="2"/>
  <c r="B4046" i="2"/>
  <c r="A4046" i="2"/>
  <c r="M4045" i="2"/>
  <c r="L4045" i="2"/>
  <c r="K4045" i="2"/>
  <c r="J4045" i="2"/>
  <c r="I4045" i="2"/>
  <c r="H4045" i="2"/>
  <c r="G4045" i="2"/>
  <c r="E4045" i="2"/>
  <c r="D4045" i="2"/>
  <c r="C4045" i="2"/>
  <c r="B4045" i="2"/>
  <c r="A4045" i="2"/>
  <c r="M4044" i="2"/>
  <c r="L4044" i="2"/>
  <c r="K4044" i="2"/>
  <c r="J4044" i="2"/>
  <c r="I4044" i="2"/>
  <c r="H4044" i="2"/>
  <c r="G4044" i="2"/>
  <c r="E4044" i="2"/>
  <c r="D4044" i="2"/>
  <c r="C4044" i="2"/>
  <c r="B4044" i="2"/>
  <c r="A4044" i="2"/>
  <c r="M4043" i="2"/>
  <c r="L4043" i="2"/>
  <c r="K4043" i="2"/>
  <c r="J4043" i="2"/>
  <c r="I4043" i="2"/>
  <c r="H4043" i="2"/>
  <c r="F4043" i="2"/>
  <c r="E4043" i="2"/>
  <c r="D4043" i="2"/>
  <c r="C4043" i="2"/>
  <c r="B4043" i="2"/>
  <c r="A4043" i="2"/>
  <c r="M4042" i="2"/>
  <c r="L4042" i="2"/>
  <c r="K4042" i="2"/>
  <c r="J4042" i="2"/>
  <c r="I4042" i="2"/>
  <c r="H4042" i="2"/>
  <c r="F4042" i="2"/>
  <c r="E4042" i="2"/>
  <c r="D4042" i="2"/>
  <c r="C4042" i="2"/>
  <c r="B4042" i="2"/>
  <c r="A4042" i="2"/>
  <c r="M4041" i="2"/>
  <c r="L4041" i="2"/>
  <c r="K4041" i="2"/>
  <c r="J4041" i="2"/>
  <c r="I4041" i="2"/>
  <c r="H4041" i="2"/>
  <c r="F4041" i="2"/>
  <c r="E4041" i="2"/>
  <c r="D4041" i="2"/>
  <c r="C4041" i="2"/>
  <c r="B4041" i="2"/>
  <c r="A4041" i="2"/>
  <c r="M4040" i="2"/>
  <c r="L4040" i="2"/>
  <c r="K4040" i="2"/>
  <c r="J4040" i="2"/>
  <c r="I4040" i="2"/>
  <c r="H4040" i="2"/>
  <c r="F4040" i="2"/>
  <c r="E4040" i="2"/>
  <c r="D4040" i="2"/>
  <c r="C4040" i="2"/>
  <c r="B4040" i="2"/>
  <c r="A4040" i="2"/>
  <c r="M4039" i="2"/>
  <c r="L4039" i="2"/>
  <c r="K4039" i="2"/>
  <c r="J4039" i="2"/>
  <c r="I4039" i="2"/>
  <c r="H4039" i="2"/>
  <c r="F4039" i="2"/>
  <c r="E4039" i="2"/>
  <c r="D4039" i="2"/>
  <c r="C4039" i="2"/>
  <c r="B4039" i="2"/>
  <c r="A4039" i="2"/>
  <c r="M4038" i="2"/>
  <c r="L4038" i="2"/>
  <c r="K4038" i="2"/>
  <c r="J4038" i="2"/>
  <c r="I4038" i="2"/>
  <c r="H4038" i="2"/>
  <c r="G4038" i="2"/>
  <c r="F4038" i="2"/>
  <c r="E4038" i="2"/>
  <c r="D4038" i="2"/>
  <c r="C4038" i="2"/>
  <c r="B4038" i="2"/>
  <c r="A4038" i="2"/>
  <c r="M4037" i="2"/>
  <c r="L4037" i="2"/>
  <c r="K4037" i="2"/>
  <c r="J4037" i="2"/>
  <c r="I4037" i="2"/>
  <c r="H4037" i="2"/>
  <c r="G4037" i="2"/>
  <c r="F4037" i="2"/>
  <c r="E4037" i="2"/>
  <c r="D4037" i="2"/>
  <c r="C4037" i="2"/>
  <c r="B4037" i="2"/>
  <c r="A4037" i="2"/>
  <c r="M4036" i="2"/>
  <c r="L4036" i="2"/>
  <c r="K4036" i="2"/>
  <c r="J4036" i="2"/>
  <c r="I4036" i="2"/>
  <c r="H4036" i="2"/>
  <c r="F4036" i="2"/>
  <c r="E4036" i="2"/>
  <c r="C4036" i="2"/>
  <c r="B4036" i="2"/>
  <c r="A4036" i="2"/>
  <c r="M4035" i="2"/>
  <c r="L4035" i="2"/>
  <c r="K4035" i="2"/>
  <c r="J4035" i="2"/>
  <c r="I4035" i="2"/>
  <c r="H4035" i="2"/>
  <c r="G4035" i="2"/>
  <c r="F4035" i="2"/>
  <c r="E4035" i="2"/>
  <c r="D4035" i="2"/>
  <c r="C4035" i="2"/>
  <c r="B4035" i="2"/>
  <c r="A4035" i="2"/>
  <c r="M4034" i="2"/>
  <c r="L4034" i="2"/>
  <c r="K4034" i="2"/>
  <c r="J4034" i="2"/>
  <c r="I4034" i="2"/>
  <c r="H4034" i="2"/>
  <c r="G4034" i="2"/>
  <c r="F4034" i="2"/>
  <c r="E4034" i="2"/>
  <c r="D4034" i="2"/>
  <c r="C4034" i="2"/>
  <c r="B4034" i="2"/>
  <c r="A4034" i="2"/>
  <c r="M4033" i="2"/>
  <c r="L4033" i="2"/>
  <c r="K4033" i="2"/>
  <c r="J4033" i="2"/>
  <c r="I4033" i="2"/>
  <c r="H4033" i="2"/>
  <c r="G4033" i="2"/>
  <c r="F4033" i="2"/>
  <c r="E4033" i="2"/>
  <c r="D4033" i="2"/>
  <c r="C4033" i="2"/>
  <c r="B4033" i="2"/>
  <c r="A4033" i="2"/>
  <c r="M4032" i="2"/>
  <c r="L4032" i="2"/>
  <c r="K4032" i="2"/>
  <c r="I4032" i="2"/>
  <c r="H4032" i="2"/>
  <c r="F4032" i="2"/>
  <c r="E4032" i="2"/>
  <c r="D4032" i="2"/>
  <c r="C4032" i="2"/>
  <c r="B4032" i="2"/>
  <c r="A4032" i="2"/>
  <c r="M4031" i="2"/>
  <c r="L4031" i="2"/>
  <c r="K4031" i="2"/>
  <c r="I4031" i="2"/>
  <c r="H4031" i="2"/>
  <c r="G4031" i="2"/>
  <c r="F4031" i="2"/>
  <c r="E4031" i="2"/>
  <c r="D4031" i="2"/>
  <c r="C4031" i="2"/>
  <c r="B4031" i="2"/>
  <c r="A4031" i="2"/>
  <c r="M4030" i="2"/>
  <c r="L4030" i="2"/>
  <c r="J4030" i="2"/>
  <c r="I4030" i="2"/>
  <c r="H4030" i="2"/>
  <c r="F4030" i="2"/>
  <c r="E4030" i="2"/>
  <c r="D4030" i="2"/>
  <c r="C4030" i="2"/>
  <c r="B4030" i="2"/>
  <c r="A4030" i="2"/>
  <c r="M4029" i="2"/>
  <c r="L4029" i="2"/>
  <c r="K4029" i="2"/>
  <c r="J4029" i="2"/>
  <c r="I4029" i="2"/>
  <c r="H4029" i="2"/>
  <c r="F4029" i="2"/>
  <c r="E4029" i="2"/>
  <c r="D4029" i="2"/>
  <c r="C4029" i="2"/>
  <c r="B4029" i="2"/>
  <c r="A4029" i="2"/>
  <c r="M4028" i="2"/>
  <c r="L4028" i="2"/>
  <c r="K4028" i="2"/>
  <c r="J4028" i="2"/>
  <c r="I4028" i="2"/>
  <c r="H4028" i="2"/>
  <c r="G4028" i="2"/>
  <c r="F4028" i="2"/>
  <c r="E4028" i="2"/>
  <c r="D4028" i="2"/>
  <c r="C4028" i="2"/>
  <c r="B4028" i="2"/>
  <c r="A4028" i="2"/>
  <c r="M4027" i="2"/>
  <c r="L4027" i="2"/>
  <c r="K4027" i="2"/>
  <c r="J4027" i="2"/>
  <c r="I4027" i="2"/>
  <c r="H4027" i="2"/>
  <c r="G4027" i="2"/>
  <c r="F4027" i="2"/>
  <c r="E4027" i="2"/>
  <c r="D4027" i="2"/>
  <c r="C4027" i="2"/>
  <c r="B4027" i="2"/>
  <c r="A4027" i="2"/>
  <c r="M4026" i="2"/>
  <c r="L4026" i="2"/>
  <c r="K4026" i="2"/>
  <c r="J4026" i="2"/>
  <c r="I4026" i="2"/>
  <c r="H4026" i="2"/>
  <c r="G4026" i="2"/>
  <c r="F4026" i="2"/>
  <c r="E4026" i="2"/>
  <c r="D4026" i="2"/>
  <c r="C4026" i="2"/>
  <c r="B4026" i="2"/>
  <c r="A4026" i="2"/>
  <c r="N4025" i="2"/>
  <c r="M4025" i="2"/>
  <c r="L4025" i="2"/>
  <c r="K4025" i="2"/>
  <c r="J4025" i="2"/>
  <c r="I4025" i="2"/>
  <c r="H4025" i="2"/>
  <c r="G4025" i="2"/>
  <c r="F4025" i="2"/>
  <c r="E4025" i="2"/>
  <c r="D4025" i="2"/>
  <c r="C4025" i="2"/>
  <c r="B4025" i="2"/>
  <c r="A4025" i="2"/>
  <c r="M4024" i="2"/>
  <c r="L4024" i="2"/>
  <c r="K4024" i="2"/>
  <c r="J4024" i="2"/>
  <c r="I4024" i="2"/>
  <c r="H4024" i="2"/>
  <c r="G4024" i="2"/>
  <c r="F4024" i="2"/>
  <c r="E4024" i="2"/>
  <c r="D4024" i="2"/>
  <c r="C4024" i="2"/>
  <c r="B4024" i="2"/>
  <c r="A4024" i="2"/>
  <c r="N4023" i="2"/>
  <c r="M4023" i="2"/>
  <c r="L4023" i="2"/>
  <c r="K4023" i="2"/>
  <c r="J4023" i="2"/>
  <c r="I4023" i="2"/>
  <c r="H4023" i="2"/>
  <c r="G4023" i="2"/>
  <c r="F4023" i="2"/>
  <c r="E4023" i="2"/>
  <c r="D4023" i="2"/>
  <c r="C4023" i="2"/>
  <c r="B4023" i="2"/>
  <c r="A4023" i="2"/>
  <c r="M4022" i="2"/>
  <c r="L4022" i="2"/>
  <c r="K4022" i="2"/>
  <c r="J4022" i="2"/>
  <c r="I4022" i="2"/>
  <c r="H4022" i="2"/>
  <c r="G4022" i="2"/>
  <c r="F4022" i="2"/>
  <c r="E4022" i="2"/>
  <c r="D4022" i="2"/>
  <c r="C4022" i="2"/>
  <c r="B4022" i="2"/>
  <c r="A4022" i="2"/>
  <c r="M4021" i="2"/>
  <c r="L4021" i="2"/>
  <c r="K4021" i="2"/>
  <c r="J4021" i="2"/>
  <c r="I4021" i="2"/>
  <c r="H4021" i="2"/>
  <c r="G4021" i="2"/>
  <c r="F4021" i="2"/>
  <c r="E4021" i="2"/>
  <c r="D4021" i="2"/>
  <c r="C4021" i="2"/>
  <c r="B4021" i="2"/>
  <c r="A4021" i="2"/>
  <c r="M4020" i="2"/>
  <c r="L4020" i="2"/>
  <c r="K4020" i="2"/>
  <c r="J4020" i="2"/>
  <c r="I4020" i="2"/>
  <c r="H4020" i="2"/>
  <c r="G4020" i="2"/>
  <c r="F4020" i="2"/>
  <c r="E4020" i="2"/>
  <c r="D4020" i="2"/>
  <c r="C4020" i="2"/>
  <c r="B4020" i="2"/>
  <c r="A4020" i="2"/>
  <c r="M4019" i="2"/>
  <c r="L4019" i="2"/>
  <c r="K4019" i="2"/>
  <c r="J4019" i="2"/>
  <c r="I4019" i="2"/>
  <c r="H4019" i="2"/>
  <c r="G4019" i="2"/>
  <c r="F4019" i="2"/>
  <c r="E4019" i="2"/>
  <c r="D4019" i="2"/>
  <c r="C4019" i="2"/>
  <c r="B4019" i="2"/>
  <c r="A4019" i="2"/>
  <c r="M4018" i="2"/>
  <c r="L4018" i="2"/>
  <c r="K4018" i="2"/>
  <c r="J4018" i="2"/>
  <c r="I4018" i="2"/>
  <c r="H4018" i="2"/>
  <c r="G4018" i="2"/>
  <c r="F4018" i="2"/>
  <c r="E4018" i="2"/>
  <c r="D4018" i="2"/>
  <c r="C4018" i="2"/>
  <c r="B4018" i="2"/>
  <c r="A4018" i="2"/>
  <c r="M4017" i="2"/>
  <c r="L4017" i="2"/>
  <c r="K4017" i="2"/>
  <c r="J4017" i="2"/>
  <c r="I4017" i="2"/>
  <c r="H4017" i="2"/>
  <c r="G4017" i="2"/>
  <c r="F4017" i="2"/>
  <c r="E4017" i="2"/>
  <c r="D4017" i="2"/>
  <c r="C4017" i="2"/>
  <c r="B4017" i="2"/>
  <c r="A4017" i="2"/>
  <c r="M4016" i="2"/>
  <c r="L4016" i="2"/>
  <c r="K4016" i="2"/>
  <c r="J4016" i="2"/>
  <c r="I4016" i="2"/>
  <c r="H4016" i="2"/>
  <c r="G4016" i="2"/>
  <c r="F4016" i="2"/>
  <c r="E4016" i="2"/>
  <c r="D4016" i="2"/>
  <c r="C4016" i="2"/>
  <c r="B4016" i="2"/>
  <c r="A4016" i="2"/>
  <c r="N4015" i="2"/>
  <c r="M4015" i="2"/>
  <c r="L4015" i="2"/>
  <c r="K4015" i="2"/>
  <c r="J4015" i="2"/>
  <c r="I4015" i="2"/>
  <c r="H4015" i="2"/>
  <c r="G4015" i="2"/>
  <c r="F4015" i="2"/>
  <c r="E4015" i="2"/>
  <c r="D4015" i="2"/>
  <c r="C4015" i="2"/>
  <c r="B4015" i="2"/>
  <c r="A4015" i="2"/>
  <c r="N4014" i="2"/>
  <c r="M4014" i="2"/>
  <c r="L4014" i="2"/>
  <c r="K4014" i="2"/>
  <c r="J4014" i="2"/>
  <c r="I4014" i="2"/>
  <c r="H4014" i="2"/>
  <c r="G4014" i="2"/>
  <c r="F4014" i="2"/>
  <c r="E4014" i="2"/>
  <c r="D4014" i="2"/>
  <c r="C4014" i="2"/>
  <c r="B4014" i="2"/>
  <c r="A4014" i="2"/>
  <c r="M4013" i="2"/>
  <c r="L4013" i="2"/>
  <c r="K4013" i="2"/>
  <c r="J4013" i="2"/>
  <c r="I4013" i="2"/>
  <c r="H4013" i="2"/>
  <c r="G4013" i="2"/>
  <c r="F4013" i="2"/>
  <c r="E4013" i="2"/>
  <c r="D4013" i="2"/>
  <c r="C4013" i="2"/>
  <c r="B4013" i="2"/>
  <c r="A4013" i="2"/>
  <c r="M4012" i="2"/>
  <c r="L4012" i="2"/>
  <c r="K4012" i="2"/>
  <c r="J4012" i="2"/>
  <c r="I4012" i="2"/>
  <c r="H4012" i="2"/>
  <c r="G4012" i="2"/>
  <c r="F4012" i="2"/>
  <c r="E4012" i="2"/>
  <c r="D4012" i="2"/>
  <c r="C4012" i="2"/>
  <c r="B4012" i="2"/>
  <c r="A4012" i="2"/>
  <c r="M4011" i="2"/>
  <c r="L4011" i="2"/>
  <c r="K4011" i="2"/>
  <c r="J4011" i="2"/>
  <c r="I4011" i="2"/>
  <c r="H4011" i="2"/>
  <c r="G4011" i="2"/>
  <c r="F4011" i="2"/>
  <c r="E4011" i="2"/>
  <c r="D4011" i="2"/>
  <c r="C4011" i="2"/>
  <c r="B4011" i="2"/>
  <c r="A4011" i="2"/>
  <c r="M4010" i="2"/>
  <c r="L4010" i="2"/>
  <c r="K4010" i="2"/>
  <c r="J4010" i="2"/>
  <c r="I4010" i="2"/>
  <c r="H4010" i="2"/>
  <c r="G4010" i="2"/>
  <c r="F4010" i="2"/>
  <c r="E4010" i="2"/>
  <c r="D4010" i="2"/>
  <c r="C4010" i="2"/>
  <c r="B4010" i="2"/>
  <c r="A4010" i="2"/>
  <c r="M4009" i="2"/>
  <c r="L4009" i="2"/>
  <c r="K4009" i="2"/>
  <c r="J4009" i="2"/>
  <c r="I4009" i="2"/>
  <c r="H4009" i="2"/>
  <c r="G4009" i="2"/>
  <c r="F4009" i="2"/>
  <c r="E4009" i="2"/>
  <c r="D4009" i="2"/>
  <c r="C4009" i="2"/>
  <c r="B4009" i="2"/>
  <c r="A4009" i="2"/>
  <c r="M4008" i="2"/>
  <c r="L4008" i="2"/>
  <c r="K4008" i="2"/>
  <c r="J4008" i="2"/>
  <c r="I4008" i="2"/>
  <c r="H4008" i="2"/>
  <c r="G4008" i="2"/>
  <c r="F4008" i="2"/>
  <c r="E4008" i="2"/>
  <c r="D4008" i="2"/>
  <c r="C4008" i="2"/>
  <c r="B4008" i="2"/>
  <c r="A4008" i="2"/>
  <c r="M4007" i="2"/>
  <c r="L4007" i="2"/>
  <c r="K4007" i="2"/>
  <c r="J4007" i="2"/>
  <c r="I4007" i="2"/>
  <c r="H4007" i="2"/>
  <c r="G4007" i="2"/>
  <c r="F4007" i="2"/>
  <c r="E4007" i="2"/>
  <c r="D4007" i="2"/>
  <c r="C4007" i="2"/>
  <c r="B4007" i="2"/>
  <c r="A4007" i="2"/>
  <c r="M4006" i="2"/>
  <c r="L4006" i="2"/>
  <c r="K4006" i="2"/>
  <c r="J4006" i="2"/>
  <c r="I4006" i="2"/>
  <c r="H4006" i="2"/>
  <c r="G4006" i="2"/>
  <c r="F4006" i="2"/>
  <c r="E4006" i="2"/>
  <c r="D4006" i="2"/>
  <c r="C4006" i="2"/>
  <c r="B4006" i="2"/>
  <c r="A4006" i="2"/>
  <c r="M4005" i="2"/>
  <c r="L4005" i="2"/>
  <c r="K4005" i="2"/>
  <c r="J4005" i="2"/>
  <c r="I4005" i="2"/>
  <c r="H4005" i="2"/>
  <c r="G4005" i="2"/>
  <c r="F4005" i="2"/>
  <c r="E4005" i="2"/>
  <c r="D4005" i="2"/>
  <c r="C4005" i="2"/>
  <c r="B4005" i="2"/>
  <c r="A4005" i="2"/>
  <c r="M4004" i="2"/>
  <c r="L4004" i="2"/>
  <c r="K4004" i="2"/>
  <c r="J4004" i="2"/>
  <c r="I4004" i="2"/>
  <c r="H4004" i="2"/>
  <c r="G4004" i="2"/>
  <c r="F4004" i="2"/>
  <c r="E4004" i="2"/>
  <c r="D4004" i="2"/>
  <c r="C4004" i="2"/>
  <c r="B4004" i="2"/>
  <c r="A4004" i="2"/>
  <c r="M4003" i="2"/>
  <c r="L4003" i="2"/>
  <c r="K4003" i="2"/>
  <c r="J4003" i="2"/>
  <c r="I4003" i="2"/>
  <c r="H4003" i="2"/>
  <c r="G4003" i="2"/>
  <c r="F4003" i="2"/>
  <c r="E4003" i="2"/>
  <c r="D4003" i="2"/>
  <c r="C4003" i="2"/>
  <c r="B4003" i="2"/>
  <c r="A4003" i="2"/>
  <c r="M4002" i="2"/>
  <c r="L4002" i="2"/>
  <c r="K4002" i="2"/>
  <c r="J4002" i="2"/>
  <c r="I4002" i="2"/>
  <c r="H4002" i="2"/>
  <c r="G4002" i="2"/>
  <c r="F4002" i="2"/>
  <c r="E4002" i="2"/>
  <c r="D4002" i="2"/>
  <c r="C4002" i="2"/>
  <c r="B4002" i="2"/>
  <c r="A4002" i="2"/>
  <c r="M4001" i="2"/>
  <c r="L4001" i="2"/>
  <c r="K4001" i="2"/>
  <c r="J4001" i="2"/>
  <c r="I4001" i="2"/>
  <c r="H4001" i="2"/>
  <c r="G4001" i="2"/>
  <c r="F4001" i="2"/>
  <c r="E4001" i="2"/>
  <c r="D4001" i="2"/>
  <c r="C4001" i="2"/>
  <c r="B4001" i="2"/>
  <c r="A4001" i="2"/>
  <c r="M4000" i="2"/>
  <c r="L4000" i="2"/>
  <c r="K4000" i="2"/>
  <c r="J4000" i="2"/>
  <c r="I4000" i="2"/>
  <c r="H4000" i="2"/>
  <c r="G4000" i="2"/>
  <c r="F4000" i="2"/>
  <c r="E4000" i="2"/>
  <c r="D4000" i="2"/>
  <c r="C4000" i="2"/>
  <c r="B4000" i="2"/>
  <c r="A4000" i="2"/>
  <c r="M3999" i="2"/>
  <c r="L3999" i="2"/>
  <c r="K3999" i="2"/>
  <c r="J3999" i="2"/>
  <c r="I3999" i="2"/>
  <c r="H3999" i="2"/>
  <c r="G3999" i="2"/>
  <c r="F3999" i="2"/>
  <c r="E3999" i="2"/>
  <c r="D3999" i="2"/>
  <c r="C3999" i="2"/>
  <c r="B3999" i="2"/>
  <c r="A3999" i="2"/>
  <c r="M3998" i="2"/>
  <c r="L3998" i="2"/>
  <c r="K3998" i="2"/>
  <c r="J3998" i="2"/>
  <c r="I3998" i="2"/>
  <c r="H3998" i="2"/>
  <c r="G3998" i="2"/>
  <c r="F3998" i="2"/>
  <c r="E3998" i="2"/>
  <c r="D3998" i="2"/>
  <c r="C3998" i="2"/>
  <c r="B3998" i="2"/>
  <c r="A3998" i="2"/>
  <c r="M3997" i="2"/>
  <c r="L3997" i="2"/>
  <c r="K3997" i="2"/>
  <c r="J3997" i="2"/>
  <c r="I3997" i="2"/>
  <c r="H3997" i="2"/>
  <c r="G3997" i="2"/>
  <c r="F3997" i="2"/>
  <c r="E3997" i="2"/>
  <c r="D3997" i="2"/>
  <c r="C3997" i="2"/>
  <c r="B3997" i="2"/>
  <c r="A3997" i="2"/>
  <c r="M3996" i="2"/>
  <c r="L3996" i="2"/>
  <c r="K3996" i="2"/>
  <c r="J3996" i="2"/>
  <c r="I3996" i="2"/>
  <c r="H3996" i="2"/>
  <c r="G3996" i="2"/>
  <c r="F3996" i="2"/>
  <c r="E3996" i="2"/>
  <c r="D3996" i="2"/>
  <c r="C3996" i="2"/>
  <c r="B3996" i="2"/>
  <c r="A3996" i="2"/>
  <c r="M3995" i="2"/>
  <c r="L3995" i="2"/>
  <c r="K3995" i="2"/>
  <c r="J3995" i="2"/>
  <c r="I3995" i="2"/>
  <c r="H3995" i="2"/>
  <c r="G3995" i="2"/>
  <c r="F3995" i="2"/>
  <c r="E3995" i="2"/>
  <c r="D3995" i="2"/>
  <c r="C3995" i="2"/>
  <c r="B3995" i="2"/>
  <c r="A3995" i="2"/>
  <c r="M3994" i="2"/>
  <c r="L3994" i="2"/>
  <c r="K3994" i="2"/>
  <c r="J3994" i="2"/>
  <c r="I3994" i="2"/>
  <c r="H3994" i="2"/>
  <c r="G3994" i="2"/>
  <c r="F3994" i="2"/>
  <c r="E3994" i="2"/>
  <c r="D3994" i="2"/>
  <c r="C3994" i="2"/>
  <c r="B3994" i="2"/>
  <c r="A3994" i="2"/>
  <c r="M3993" i="2"/>
  <c r="L3993" i="2"/>
  <c r="K3993" i="2"/>
  <c r="J3993" i="2"/>
  <c r="I3993" i="2"/>
  <c r="H3993" i="2"/>
  <c r="G3993" i="2"/>
  <c r="F3993" i="2"/>
  <c r="E3993" i="2"/>
  <c r="D3993" i="2"/>
  <c r="C3993" i="2"/>
  <c r="B3993" i="2"/>
  <c r="A3993" i="2"/>
  <c r="M3992" i="2"/>
  <c r="L3992" i="2"/>
  <c r="K3992" i="2"/>
  <c r="J3992" i="2"/>
  <c r="I3992" i="2"/>
  <c r="H3992" i="2"/>
  <c r="G3992" i="2"/>
  <c r="F3992" i="2"/>
  <c r="E3992" i="2"/>
  <c r="D3992" i="2"/>
  <c r="C3992" i="2"/>
  <c r="B3992" i="2"/>
  <c r="A3992" i="2"/>
  <c r="M3991" i="2"/>
  <c r="L3991" i="2"/>
  <c r="K3991" i="2"/>
  <c r="J3991" i="2"/>
  <c r="I3991" i="2"/>
  <c r="H3991" i="2"/>
  <c r="G3991" i="2"/>
  <c r="F3991" i="2"/>
  <c r="E3991" i="2"/>
  <c r="D3991" i="2"/>
  <c r="C3991" i="2"/>
  <c r="B3991" i="2"/>
  <c r="A3991" i="2"/>
  <c r="M3990" i="2"/>
  <c r="L3990" i="2"/>
  <c r="K3990" i="2"/>
  <c r="J3990" i="2"/>
  <c r="I3990" i="2"/>
  <c r="H3990" i="2"/>
  <c r="G3990" i="2"/>
  <c r="F3990" i="2"/>
  <c r="E3990" i="2"/>
  <c r="D3990" i="2"/>
  <c r="C3990" i="2"/>
  <c r="B3990" i="2"/>
  <c r="A3990" i="2"/>
  <c r="M3989" i="2"/>
  <c r="L3989" i="2"/>
  <c r="K3989" i="2"/>
  <c r="J3989" i="2"/>
  <c r="I3989" i="2"/>
  <c r="H3989" i="2"/>
  <c r="G3989" i="2"/>
  <c r="F3989" i="2"/>
  <c r="E3989" i="2"/>
  <c r="D3989" i="2"/>
  <c r="C3989" i="2"/>
  <c r="B3989" i="2"/>
  <c r="A3989" i="2"/>
  <c r="M3988" i="2"/>
  <c r="L3988" i="2"/>
  <c r="K3988" i="2"/>
  <c r="J3988" i="2"/>
  <c r="I3988" i="2"/>
  <c r="H3988" i="2"/>
  <c r="G3988" i="2"/>
  <c r="F3988" i="2"/>
  <c r="E3988" i="2"/>
  <c r="D3988" i="2"/>
  <c r="C3988" i="2"/>
  <c r="B3988" i="2"/>
  <c r="A3988" i="2"/>
  <c r="M3987" i="2"/>
  <c r="L3987" i="2"/>
  <c r="K3987" i="2"/>
  <c r="J3987" i="2"/>
  <c r="I3987" i="2"/>
  <c r="H3987" i="2"/>
  <c r="G3987" i="2"/>
  <c r="F3987" i="2"/>
  <c r="E3987" i="2"/>
  <c r="D3987" i="2"/>
  <c r="C3987" i="2"/>
  <c r="B3987" i="2"/>
  <c r="A3987" i="2"/>
  <c r="M3986" i="2"/>
  <c r="L3986" i="2"/>
  <c r="K3986" i="2"/>
  <c r="J3986" i="2"/>
  <c r="I3986" i="2"/>
  <c r="H3986" i="2"/>
  <c r="G3986" i="2"/>
  <c r="F3986" i="2"/>
  <c r="E3986" i="2"/>
  <c r="D3986" i="2"/>
  <c r="C3986" i="2"/>
  <c r="B3986" i="2"/>
  <c r="A3986" i="2"/>
  <c r="M3985" i="2"/>
  <c r="L3985" i="2"/>
  <c r="K3985" i="2"/>
  <c r="J3985" i="2"/>
  <c r="I3985" i="2"/>
  <c r="H3985" i="2"/>
  <c r="G3985" i="2"/>
  <c r="F3985" i="2"/>
  <c r="E3985" i="2"/>
  <c r="D3985" i="2"/>
  <c r="C3985" i="2"/>
  <c r="B3985" i="2"/>
  <c r="A3985" i="2"/>
  <c r="M3984" i="2"/>
  <c r="L3984" i="2"/>
  <c r="K3984" i="2"/>
  <c r="J3984" i="2"/>
  <c r="I3984" i="2"/>
  <c r="H3984" i="2"/>
  <c r="G3984" i="2"/>
  <c r="F3984" i="2"/>
  <c r="E3984" i="2"/>
  <c r="D3984" i="2"/>
  <c r="C3984" i="2"/>
  <c r="B3984" i="2"/>
  <c r="A3984" i="2"/>
  <c r="M3983" i="2"/>
  <c r="L3983" i="2"/>
  <c r="K3983" i="2"/>
  <c r="J3983" i="2"/>
  <c r="I3983" i="2"/>
  <c r="H3983" i="2"/>
  <c r="G3983" i="2"/>
  <c r="F3983" i="2"/>
  <c r="E3983" i="2"/>
  <c r="D3983" i="2"/>
  <c r="C3983" i="2"/>
  <c r="B3983" i="2"/>
  <c r="A3983" i="2"/>
  <c r="M3982" i="2"/>
  <c r="L3982" i="2"/>
  <c r="K3982" i="2"/>
  <c r="J3982" i="2"/>
  <c r="I3982" i="2"/>
  <c r="H3982" i="2"/>
  <c r="G3982" i="2"/>
  <c r="F3982" i="2"/>
  <c r="E3982" i="2"/>
  <c r="D3982" i="2"/>
  <c r="C3982" i="2"/>
  <c r="B3982" i="2"/>
  <c r="A3982" i="2"/>
  <c r="M3981" i="2"/>
  <c r="L3981" i="2"/>
  <c r="K3981" i="2"/>
  <c r="J3981" i="2"/>
  <c r="I3981" i="2"/>
  <c r="H3981" i="2"/>
  <c r="G3981" i="2"/>
  <c r="F3981" i="2"/>
  <c r="E3981" i="2"/>
  <c r="D3981" i="2"/>
  <c r="C3981" i="2"/>
  <c r="B3981" i="2"/>
  <c r="A3981" i="2"/>
  <c r="M3980" i="2"/>
  <c r="L3980" i="2"/>
  <c r="K3980" i="2"/>
  <c r="J3980" i="2"/>
  <c r="I3980" i="2"/>
  <c r="H3980" i="2"/>
  <c r="G3980" i="2"/>
  <c r="F3980" i="2"/>
  <c r="E3980" i="2"/>
  <c r="D3980" i="2"/>
  <c r="C3980" i="2"/>
  <c r="B3980" i="2"/>
  <c r="A3980" i="2"/>
  <c r="M3979" i="2"/>
  <c r="L3979" i="2"/>
  <c r="K3979" i="2"/>
  <c r="J3979" i="2"/>
  <c r="I3979" i="2"/>
  <c r="H3979" i="2"/>
  <c r="G3979" i="2"/>
  <c r="F3979" i="2"/>
  <c r="E3979" i="2"/>
  <c r="D3979" i="2"/>
  <c r="C3979" i="2"/>
  <c r="B3979" i="2"/>
  <c r="A3979" i="2"/>
  <c r="M3978" i="2"/>
  <c r="L3978" i="2"/>
  <c r="K3978" i="2"/>
  <c r="J3978" i="2"/>
  <c r="I3978" i="2"/>
  <c r="H3978" i="2"/>
  <c r="G3978" i="2"/>
  <c r="F3978" i="2"/>
  <c r="E3978" i="2"/>
  <c r="D3978" i="2"/>
  <c r="C3978" i="2"/>
  <c r="B3978" i="2"/>
  <c r="A3978" i="2"/>
  <c r="M3977" i="2"/>
  <c r="L3977" i="2"/>
  <c r="K3977" i="2"/>
  <c r="J3977" i="2"/>
  <c r="I3977" i="2"/>
  <c r="H3977" i="2"/>
  <c r="G3977" i="2"/>
  <c r="F3977" i="2"/>
  <c r="E3977" i="2"/>
  <c r="D3977" i="2"/>
  <c r="C3977" i="2"/>
  <c r="B3977" i="2"/>
  <c r="A3977" i="2"/>
  <c r="M3976" i="2"/>
  <c r="L3976" i="2"/>
  <c r="K3976" i="2"/>
  <c r="J3976" i="2"/>
  <c r="I3976" i="2"/>
  <c r="H3976" i="2"/>
  <c r="G3976" i="2"/>
  <c r="F3976" i="2"/>
  <c r="E3976" i="2"/>
  <c r="D3976" i="2"/>
  <c r="C3976" i="2"/>
  <c r="B3976" i="2"/>
  <c r="A3976" i="2"/>
  <c r="M3975" i="2"/>
  <c r="L3975" i="2"/>
  <c r="K3975" i="2"/>
  <c r="J3975" i="2"/>
  <c r="I3975" i="2"/>
  <c r="H3975" i="2"/>
  <c r="G3975" i="2"/>
  <c r="F3975" i="2"/>
  <c r="E3975" i="2"/>
  <c r="D3975" i="2"/>
  <c r="C3975" i="2"/>
  <c r="B3975" i="2"/>
  <c r="A3975" i="2"/>
  <c r="M3974" i="2"/>
  <c r="L3974" i="2"/>
  <c r="K3974" i="2"/>
  <c r="J3974" i="2"/>
  <c r="I3974" i="2"/>
  <c r="H3974" i="2"/>
  <c r="G3974" i="2"/>
  <c r="F3974" i="2"/>
  <c r="E3974" i="2"/>
  <c r="D3974" i="2"/>
  <c r="C3974" i="2"/>
  <c r="B3974" i="2"/>
  <c r="A3974" i="2"/>
  <c r="M3973" i="2"/>
  <c r="L3973" i="2"/>
  <c r="K3973" i="2"/>
  <c r="J3973" i="2"/>
  <c r="I3973" i="2"/>
  <c r="H3973" i="2"/>
  <c r="G3973" i="2"/>
  <c r="F3973" i="2"/>
  <c r="E3973" i="2"/>
  <c r="D3973" i="2"/>
  <c r="C3973" i="2"/>
  <c r="B3973" i="2"/>
  <c r="A3973" i="2"/>
  <c r="M3972" i="2"/>
  <c r="L3972" i="2"/>
  <c r="K3972" i="2"/>
  <c r="J3972" i="2"/>
  <c r="I3972" i="2"/>
  <c r="H3972" i="2"/>
  <c r="G3972" i="2"/>
  <c r="F3972" i="2"/>
  <c r="E3972" i="2"/>
  <c r="D3972" i="2"/>
  <c r="C3972" i="2"/>
  <c r="B3972" i="2"/>
  <c r="A3972" i="2"/>
  <c r="M3971" i="2"/>
  <c r="L3971" i="2"/>
  <c r="K3971" i="2"/>
  <c r="J3971" i="2"/>
  <c r="I3971" i="2"/>
  <c r="H3971" i="2"/>
  <c r="G3971" i="2"/>
  <c r="F3971" i="2"/>
  <c r="E3971" i="2"/>
  <c r="D3971" i="2"/>
  <c r="C3971" i="2"/>
  <c r="B3971" i="2"/>
  <c r="A3971" i="2"/>
  <c r="M3970" i="2"/>
  <c r="L3970" i="2"/>
  <c r="K3970" i="2"/>
  <c r="J3970" i="2"/>
  <c r="I3970" i="2"/>
  <c r="H3970" i="2"/>
  <c r="G3970" i="2"/>
  <c r="F3970" i="2"/>
  <c r="E3970" i="2"/>
  <c r="D3970" i="2"/>
  <c r="C3970" i="2"/>
  <c r="B3970" i="2"/>
  <c r="A3970" i="2"/>
  <c r="M3969" i="2"/>
  <c r="L3969" i="2"/>
  <c r="K3969" i="2"/>
  <c r="J3969" i="2"/>
  <c r="I3969" i="2"/>
  <c r="H3969" i="2"/>
  <c r="G3969" i="2"/>
  <c r="F3969" i="2"/>
  <c r="E3969" i="2"/>
  <c r="D3969" i="2"/>
  <c r="C3969" i="2"/>
  <c r="B3969" i="2"/>
  <c r="A3969" i="2"/>
  <c r="M3968" i="2"/>
  <c r="L3968" i="2"/>
  <c r="K3968" i="2"/>
  <c r="J3968" i="2"/>
  <c r="I3968" i="2"/>
  <c r="H3968" i="2"/>
  <c r="G3968" i="2"/>
  <c r="F3968" i="2"/>
  <c r="E3968" i="2"/>
  <c r="D3968" i="2"/>
  <c r="C3968" i="2"/>
  <c r="B3968" i="2"/>
  <c r="A3968" i="2"/>
  <c r="M3967" i="2"/>
  <c r="L3967" i="2"/>
  <c r="K3967" i="2"/>
  <c r="J3967" i="2"/>
  <c r="I3967" i="2"/>
  <c r="H3967" i="2"/>
  <c r="G3967" i="2"/>
  <c r="F3967" i="2"/>
  <c r="E3967" i="2"/>
  <c r="D3967" i="2"/>
  <c r="C3967" i="2"/>
  <c r="B3967" i="2"/>
  <c r="A3967" i="2"/>
  <c r="M3966" i="2"/>
  <c r="L3966" i="2"/>
  <c r="K3966" i="2"/>
  <c r="J3966" i="2"/>
  <c r="I3966" i="2"/>
  <c r="H3966" i="2"/>
  <c r="G3966" i="2"/>
  <c r="F3966" i="2"/>
  <c r="E3966" i="2"/>
  <c r="D3966" i="2"/>
  <c r="C3966" i="2"/>
  <c r="B3966" i="2"/>
  <c r="A3966" i="2"/>
  <c r="M3965" i="2"/>
  <c r="L3965" i="2"/>
  <c r="K3965" i="2"/>
  <c r="J3965" i="2"/>
  <c r="I3965" i="2"/>
  <c r="H3965" i="2"/>
  <c r="G3965" i="2"/>
  <c r="F3965" i="2"/>
  <c r="E3965" i="2"/>
  <c r="D3965" i="2"/>
  <c r="C3965" i="2"/>
  <c r="B3965" i="2"/>
  <c r="A3965" i="2"/>
  <c r="M3964" i="2"/>
  <c r="L3964" i="2"/>
  <c r="K3964" i="2"/>
  <c r="J3964" i="2"/>
  <c r="I3964" i="2"/>
  <c r="H3964" i="2"/>
  <c r="G3964" i="2"/>
  <c r="F3964" i="2"/>
  <c r="E3964" i="2"/>
  <c r="D3964" i="2"/>
  <c r="C3964" i="2"/>
  <c r="B3964" i="2"/>
  <c r="A3964" i="2"/>
  <c r="M3963" i="2"/>
  <c r="L3963" i="2"/>
  <c r="K3963" i="2"/>
  <c r="J3963" i="2"/>
  <c r="I3963" i="2"/>
  <c r="H3963" i="2"/>
  <c r="G3963" i="2"/>
  <c r="F3963" i="2"/>
  <c r="E3963" i="2"/>
  <c r="D3963" i="2"/>
  <c r="C3963" i="2"/>
  <c r="B3963" i="2"/>
  <c r="A3963" i="2"/>
  <c r="M3962" i="2"/>
  <c r="L3962" i="2"/>
  <c r="K3962" i="2"/>
  <c r="J3962" i="2"/>
  <c r="I3962" i="2"/>
  <c r="H3962" i="2"/>
  <c r="G3962" i="2"/>
  <c r="F3962" i="2"/>
  <c r="E3962" i="2"/>
  <c r="D3962" i="2"/>
  <c r="C3962" i="2"/>
  <c r="B3962" i="2"/>
  <c r="A3962" i="2"/>
  <c r="M3961" i="2"/>
  <c r="L3961" i="2"/>
  <c r="K3961" i="2"/>
  <c r="J3961" i="2"/>
  <c r="I3961" i="2"/>
  <c r="H3961" i="2"/>
  <c r="G3961" i="2"/>
  <c r="F3961" i="2"/>
  <c r="E3961" i="2"/>
  <c r="D3961" i="2"/>
  <c r="C3961" i="2"/>
  <c r="B3961" i="2"/>
  <c r="A3961" i="2"/>
  <c r="M3960" i="2"/>
  <c r="L3960" i="2"/>
  <c r="K3960" i="2"/>
  <c r="J3960" i="2"/>
  <c r="I3960" i="2"/>
  <c r="H3960" i="2"/>
  <c r="G3960" i="2"/>
  <c r="F3960" i="2"/>
  <c r="E3960" i="2"/>
  <c r="D3960" i="2"/>
  <c r="C3960" i="2"/>
  <c r="B3960" i="2"/>
  <c r="A3960" i="2"/>
  <c r="M3959" i="2"/>
  <c r="L3959" i="2"/>
  <c r="K3959" i="2"/>
  <c r="J3959" i="2"/>
  <c r="I3959" i="2"/>
  <c r="H3959" i="2"/>
  <c r="G3959" i="2"/>
  <c r="F3959" i="2"/>
  <c r="E3959" i="2"/>
  <c r="D3959" i="2"/>
  <c r="C3959" i="2"/>
  <c r="B3959" i="2"/>
  <c r="A3959" i="2"/>
  <c r="M3958" i="2"/>
  <c r="L3958" i="2"/>
  <c r="K3958" i="2"/>
  <c r="J3958" i="2"/>
  <c r="I3958" i="2"/>
  <c r="H3958" i="2"/>
  <c r="G3958" i="2"/>
  <c r="F3958" i="2"/>
  <c r="E3958" i="2"/>
  <c r="D3958" i="2"/>
  <c r="C3958" i="2"/>
  <c r="B3958" i="2"/>
  <c r="A3958" i="2"/>
  <c r="M3957" i="2"/>
  <c r="L3957" i="2"/>
  <c r="K3957" i="2"/>
  <c r="J3957" i="2"/>
  <c r="I3957" i="2"/>
  <c r="H3957" i="2"/>
  <c r="G3957" i="2"/>
  <c r="F3957" i="2"/>
  <c r="E3957" i="2"/>
  <c r="D3957" i="2"/>
  <c r="C3957" i="2"/>
  <c r="B3957" i="2"/>
  <c r="A3957" i="2"/>
  <c r="M3956" i="2"/>
  <c r="L3956" i="2"/>
  <c r="K3956" i="2"/>
  <c r="J3956" i="2"/>
  <c r="I3956" i="2"/>
  <c r="H3956" i="2"/>
  <c r="G3956" i="2"/>
  <c r="F3956" i="2"/>
  <c r="E3956" i="2"/>
  <c r="D3956" i="2"/>
  <c r="C3956" i="2"/>
  <c r="B3956" i="2"/>
  <c r="A3956" i="2"/>
  <c r="M3955" i="2"/>
  <c r="L3955" i="2"/>
  <c r="K3955" i="2"/>
  <c r="J3955" i="2"/>
  <c r="I3955" i="2"/>
  <c r="H3955" i="2"/>
  <c r="G3955" i="2"/>
  <c r="F3955" i="2"/>
  <c r="E3955" i="2"/>
  <c r="D3955" i="2"/>
  <c r="C3955" i="2"/>
  <c r="B3955" i="2"/>
  <c r="A3955" i="2"/>
  <c r="M3954" i="2"/>
  <c r="L3954" i="2"/>
  <c r="K3954" i="2"/>
  <c r="J3954" i="2"/>
  <c r="I3954" i="2"/>
  <c r="H3954" i="2"/>
  <c r="G3954" i="2"/>
  <c r="F3954" i="2"/>
  <c r="E3954" i="2"/>
  <c r="D3954" i="2"/>
  <c r="C3954" i="2"/>
  <c r="B3954" i="2"/>
  <c r="A3954" i="2"/>
  <c r="M3953" i="2"/>
  <c r="L3953" i="2"/>
  <c r="K3953" i="2"/>
  <c r="J3953" i="2"/>
  <c r="I3953" i="2"/>
  <c r="H3953" i="2"/>
  <c r="G3953" i="2"/>
  <c r="F3953" i="2"/>
  <c r="E3953" i="2"/>
  <c r="D3953" i="2"/>
  <c r="C3953" i="2"/>
  <c r="B3953" i="2"/>
  <c r="A3953" i="2"/>
  <c r="M3952" i="2"/>
  <c r="L3952" i="2"/>
  <c r="K3952" i="2"/>
  <c r="J3952" i="2"/>
  <c r="I3952" i="2"/>
  <c r="H3952" i="2"/>
  <c r="G3952" i="2"/>
  <c r="F3952" i="2"/>
  <c r="E3952" i="2"/>
  <c r="D3952" i="2"/>
  <c r="C3952" i="2"/>
  <c r="B3952" i="2"/>
  <c r="A3952" i="2"/>
  <c r="M3951" i="2"/>
  <c r="L3951" i="2"/>
  <c r="K3951" i="2"/>
  <c r="J3951" i="2"/>
  <c r="I3951" i="2"/>
  <c r="H3951" i="2"/>
  <c r="G3951" i="2"/>
  <c r="F3951" i="2"/>
  <c r="E3951" i="2"/>
  <c r="D3951" i="2"/>
  <c r="C3951" i="2"/>
  <c r="B3951" i="2"/>
  <c r="A3951" i="2"/>
  <c r="M3950" i="2"/>
  <c r="L3950" i="2"/>
  <c r="K3950" i="2"/>
  <c r="J3950" i="2"/>
  <c r="I3950" i="2"/>
  <c r="H3950" i="2"/>
  <c r="G3950" i="2"/>
  <c r="F3950" i="2"/>
  <c r="E3950" i="2"/>
  <c r="D3950" i="2"/>
  <c r="C3950" i="2"/>
  <c r="B3950" i="2"/>
  <c r="A3950" i="2"/>
  <c r="M3949" i="2"/>
  <c r="L3949" i="2"/>
  <c r="K3949" i="2"/>
  <c r="J3949" i="2"/>
  <c r="I3949" i="2"/>
  <c r="H3949" i="2"/>
  <c r="G3949" i="2"/>
  <c r="F3949" i="2"/>
  <c r="E3949" i="2"/>
  <c r="D3949" i="2"/>
  <c r="C3949" i="2"/>
  <c r="B3949" i="2"/>
  <c r="A3949" i="2"/>
  <c r="M3948" i="2"/>
  <c r="L3948" i="2"/>
  <c r="K3948" i="2"/>
  <c r="J3948" i="2"/>
  <c r="I3948" i="2"/>
  <c r="H3948" i="2"/>
  <c r="F3948" i="2"/>
  <c r="E3948" i="2"/>
  <c r="D3948" i="2"/>
  <c r="C3948" i="2"/>
  <c r="B3948" i="2"/>
  <c r="A3948" i="2"/>
  <c r="M3947" i="2"/>
  <c r="L3947" i="2"/>
  <c r="K3947" i="2"/>
  <c r="J3947" i="2"/>
  <c r="I3947" i="2"/>
  <c r="H3947" i="2"/>
  <c r="F3947" i="2"/>
  <c r="E3947" i="2"/>
  <c r="D3947" i="2"/>
  <c r="C3947" i="2"/>
  <c r="B3947" i="2"/>
  <c r="A3947" i="2"/>
  <c r="M3946" i="2"/>
  <c r="L3946" i="2"/>
  <c r="K3946" i="2"/>
  <c r="J3946" i="2"/>
  <c r="I3946" i="2"/>
  <c r="H3946" i="2"/>
  <c r="F3946" i="2"/>
  <c r="E3946" i="2"/>
  <c r="D3946" i="2"/>
  <c r="C3946" i="2"/>
  <c r="B3946" i="2"/>
  <c r="A3946" i="2"/>
  <c r="M3945" i="2"/>
  <c r="L3945" i="2"/>
  <c r="K3945" i="2"/>
  <c r="J3945" i="2"/>
  <c r="I3945" i="2"/>
  <c r="H3945" i="2"/>
  <c r="F3945" i="2"/>
  <c r="E3945" i="2"/>
  <c r="D3945" i="2"/>
  <c r="C3945" i="2"/>
  <c r="B3945" i="2"/>
  <c r="A3945" i="2"/>
  <c r="M3944" i="2"/>
  <c r="L3944" i="2"/>
  <c r="K3944" i="2"/>
  <c r="J3944" i="2"/>
  <c r="I3944" i="2"/>
  <c r="H3944" i="2"/>
  <c r="F3944" i="2"/>
  <c r="E3944" i="2"/>
  <c r="D3944" i="2"/>
  <c r="C3944" i="2"/>
  <c r="B3944" i="2"/>
  <c r="A3944" i="2"/>
  <c r="M3943" i="2"/>
  <c r="L3943" i="2"/>
  <c r="K3943" i="2"/>
  <c r="J3943" i="2"/>
  <c r="I3943" i="2"/>
  <c r="H3943" i="2"/>
  <c r="F3943" i="2"/>
  <c r="E3943" i="2"/>
  <c r="D3943" i="2"/>
  <c r="C3943" i="2"/>
  <c r="B3943" i="2"/>
  <c r="A3943" i="2"/>
  <c r="M3942" i="2"/>
  <c r="L3942" i="2"/>
  <c r="K3942" i="2"/>
  <c r="J3942" i="2"/>
  <c r="I3942" i="2"/>
  <c r="H3942" i="2"/>
  <c r="G3942" i="2"/>
  <c r="F3942" i="2"/>
  <c r="E3942" i="2"/>
  <c r="D3942" i="2"/>
  <c r="C3942" i="2"/>
  <c r="B3942" i="2"/>
  <c r="A3942" i="2"/>
  <c r="M3941" i="2"/>
  <c r="L3941" i="2"/>
  <c r="K3941" i="2"/>
  <c r="J3941" i="2"/>
  <c r="I3941" i="2"/>
  <c r="H3941" i="2"/>
  <c r="G3941" i="2"/>
  <c r="F3941" i="2"/>
  <c r="E3941" i="2"/>
  <c r="D3941" i="2"/>
  <c r="C3941" i="2"/>
  <c r="B3941" i="2"/>
  <c r="A3941" i="2"/>
  <c r="F3940" i="2"/>
  <c r="D3940" i="2"/>
  <c r="C3940" i="2"/>
  <c r="A3940" i="2"/>
  <c r="F3939" i="2"/>
  <c r="D3939" i="2"/>
  <c r="C3939" i="2"/>
  <c r="A3939" i="2"/>
  <c r="F3938" i="2"/>
  <c r="D3938" i="2"/>
  <c r="C3938" i="2"/>
  <c r="A3938" i="2"/>
  <c r="F3937" i="2"/>
  <c r="D3937" i="2"/>
  <c r="C3937" i="2"/>
  <c r="A3937" i="2"/>
  <c r="F3936" i="2"/>
  <c r="D3936" i="2"/>
  <c r="C3936" i="2"/>
  <c r="A3936" i="2"/>
  <c r="F3935" i="2"/>
  <c r="D3935" i="2"/>
  <c r="C3935" i="2"/>
  <c r="A3935" i="2"/>
  <c r="F3934" i="2"/>
  <c r="D3934" i="2"/>
  <c r="C3934" i="2"/>
  <c r="A3934" i="2"/>
  <c r="F3933" i="2"/>
  <c r="D3933" i="2"/>
  <c r="C3933" i="2"/>
  <c r="A3933" i="2"/>
  <c r="F3932" i="2"/>
  <c r="D3932" i="2"/>
  <c r="C3932" i="2"/>
  <c r="A3932" i="2"/>
  <c r="F3931" i="2"/>
  <c r="D3931" i="2"/>
  <c r="C3931" i="2"/>
  <c r="A3931" i="2"/>
  <c r="N3930" i="2"/>
  <c r="M3930" i="2"/>
  <c r="L3930" i="2"/>
  <c r="K3930" i="2"/>
  <c r="J3930" i="2"/>
  <c r="I3930" i="2"/>
  <c r="H3930" i="2"/>
  <c r="G3930" i="2"/>
  <c r="F3930" i="2"/>
  <c r="E3930" i="2"/>
  <c r="D3930" i="2"/>
  <c r="C3930" i="2"/>
  <c r="B3930" i="2"/>
  <c r="A3930" i="2"/>
  <c r="N3929" i="2"/>
  <c r="M3929" i="2"/>
  <c r="L3929" i="2"/>
  <c r="K3929" i="2"/>
  <c r="J3929" i="2"/>
  <c r="I3929" i="2"/>
  <c r="H3929" i="2"/>
  <c r="G3929" i="2"/>
  <c r="F3929" i="2"/>
  <c r="E3929" i="2"/>
  <c r="D3929" i="2"/>
  <c r="C3929" i="2"/>
  <c r="B3929" i="2"/>
  <c r="A3929" i="2"/>
  <c r="N3928" i="2"/>
  <c r="M3928" i="2"/>
  <c r="L3928" i="2"/>
  <c r="K3928" i="2"/>
  <c r="J3928" i="2"/>
  <c r="I3928" i="2"/>
  <c r="H3928" i="2"/>
  <c r="G3928" i="2"/>
  <c r="F3928" i="2"/>
  <c r="E3928" i="2"/>
  <c r="D3928" i="2"/>
  <c r="C3928" i="2"/>
  <c r="B3928" i="2"/>
  <c r="A3928" i="2"/>
  <c r="N3927" i="2"/>
  <c r="M3927" i="2"/>
  <c r="L3927" i="2"/>
  <c r="K3927" i="2"/>
  <c r="J3927" i="2"/>
  <c r="I3927" i="2"/>
  <c r="H3927" i="2"/>
  <c r="G3927" i="2"/>
  <c r="F3927" i="2"/>
  <c r="E3927" i="2"/>
  <c r="D3927" i="2"/>
  <c r="C3927" i="2"/>
  <c r="B3927" i="2"/>
  <c r="A3927" i="2"/>
  <c r="N3926" i="2"/>
  <c r="M3926" i="2"/>
  <c r="L3926" i="2"/>
  <c r="K3926" i="2"/>
  <c r="J3926" i="2"/>
  <c r="I3926" i="2"/>
  <c r="H3926" i="2"/>
  <c r="G3926" i="2"/>
  <c r="F3926" i="2"/>
  <c r="E3926" i="2"/>
  <c r="D3926" i="2"/>
  <c r="C3926" i="2"/>
  <c r="B3926" i="2"/>
  <c r="A3926" i="2"/>
  <c r="N3925" i="2"/>
  <c r="M3925" i="2"/>
  <c r="L3925" i="2"/>
  <c r="K3925" i="2"/>
  <c r="J3925" i="2"/>
  <c r="I3925" i="2"/>
  <c r="H3925" i="2"/>
  <c r="G3925" i="2"/>
  <c r="F3925" i="2"/>
  <c r="E3925" i="2"/>
  <c r="D3925" i="2"/>
  <c r="C3925" i="2"/>
  <c r="B3925" i="2"/>
  <c r="A3925" i="2"/>
  <c r="N3924" i="2"/>
  <c r="M3924" i="2"/>
  <c r="L3924" i="2"/>
  <c r="K3924" i="2"/>
  <c r="J3924" i="2"/>
  <c r="I3924" i="2"/>
  <c r="H3924" i="2"/>
  <c r="G3924" i="2"/>
  <c r="F3924" i="2"/>
  <c r="E3924" i="2"/>
  <c r="D3924" i="2"/>
  <c r="C3924" i="2"/>
  <c r="B3924" i="2"/>
  <c r="A3924" i="2"/>
  <c r="N3923" i="2"/>
  <c r="M3923" i="2"/>
  <c r="L3923" i="2"/>
  <c r="K3923" i="2"/>
  <c r="J3923" i="2"/>
  <c r="I3923" i="2"/>
  <c r="H3923" i="2"/>
  <c r="G3923" i="2"/>
  <c r="F3923" i="2"/>
  <c r="E3923" i="2"/>
  <c r="D3923" i="2"/>
  <c r="C3923" i="2"/>
  <c r="B3923" i="2"/>
  <c r="A3923" i="2"/>
  <c r="N3922" i="2"/>
  <c r="M3922" i="2"/>
  <c r="L3922" i="2"/>
  <c r="K3922" i="2"/>
  <c r="J3922" i="2"/>
  <c r="I3922" i="2"/>
  <c r="H3922" i="2"/>
  <c r="G3922" i="2"/>
  <c r="F3922" i="2"/>
  <c r="E3922" i="2"/>
  <c r="D3922" i="2"/>
  <c r="C3922" i="2"/>
  <c r="B3922" i="2"/>
  <c r="A3922" i="2"/>
  <c r="N3921" i="2"/>
  <c r="M3921" i="2"/>
  <c r="K3921" i="2"/>
  <c r="J3921" i="2"/>
  <c r="I3921" i="2"/>
  <c r="H3921" i="2"/>
  <c r="G3921" i="2"/>
  <c r="F3921" i="2"/>
  <c r="E3921" i="2"/>
  <c r="D3921" i="2"/>
  <c r="C3921" i="2"/>
  <c r="B3921" i="2"/>
  <c r="A3921" i="2"/>
  <c r="N3920" i="2"/>
  <c r="M3920" i="2"/>
  <c r="L3920" i="2"/>
  <c r="K3920" i="2"/>
  <c r="J3920" i="2"/>
  <c r="I3920" i="2"/>
  <c r="H3920" i="2"/>
  <c r="G3920" i="2"/>
  <c r="F3920" i="2"/>
  <c r="E3920" i="2"/>
  <c r="D3920" i="2"/>
  <c r="C3920" i="2"/>
  <c r="B3920" i="2"/>
  <c r="A3920" i="2"/>
  <c r="N3919" i="2"/>
  <c r="M3919" i="2"/>
  <c r="J3919" i="2"/>
  <c r="G3919" i="2"/>
  <c r="F3919" i="2"/>
  <c r="E3919" i="2"/>
  <c r="D3919" i="2"/>
  <c r="C3919" i="2"/>
  <c r="B3919" i="2"/>
  <c r="A3919" i="2"/>
  <c r="N3918" i="2"/>
  <c r="M3918" i="2"/>
  <c r="L3918" i="2"/>
  <c r="K3918" i="2"/>
  <c r="J3918" i="2"/>
  <c r="I3918" i="2"/>
  <c r="H3918" i="2"/>
  <c r="G3918" i="2"/>
  <c r="F3918" i="2"/>
  <c r="E3918" i="2"/>
  <c r="D3918" i="2"/>
  <c r="C3918" i="2"/>
  <c r="B3918" i="2"/>
  <c r="A3918" i="2"/>
  <c r="N3917" i="2"/>
  <c r="M3917" i="2"/>
  <c r="L3917" i="2"/>
  <c r="K3917" i="2"/>
  <c r="J3917" i="2"/>
  <c r="I3917" i="2"/>
  <c r="H3917" i="2"/>
  <c r="G3917" i="2"/>
  <c r="F3917" i="2"/>
  <c r="E3917" i="2"/>
  <c r="D3917" i="2"/>
  <c r="C3917" i="2"/>
  <c r="B3917" i="2"/>
  <c r="A3917" i="2"/>
  <c r="N3916" i="2"/>
  <c r="M3916" i="2"/>
  <c r="L3916" i="2"/>
  <c r="K3916" i="2"/>
  <c r="J3916" i="2"/>
  <c r="I3916" i="2"/>
  <c r="H3916" i="2"/>
  <c r="G3916" i="2"/>
  <c r="F3916" i="2"/>
  <c r="E3916" i="2"/>
  <c r="D3916" i="2"/>
  <c r="C3916" i="2"/>
  <c r="B3916" i="2"/>
  <c r="A3916" i="2"/>
  <c r="N3915" i="2"/>
  <c r="M3915" i="2"/>
  <c r="L3915" i="2"/>
  <c r="K3915" i="2"/>
  <c r="J3915" i="2"/>
  <c r="I3915" i="2"/>
  <c r="H3915" i="2"/>
  <c r="G3915" i="2"/>
  <c r="F3915" i="2"/>
  <c r="E3915" i="2"/>
  <c r="D3915" i="2"/>
  <c r="C3915" i="2"/>
  <c r="B3915" i="2"/>
  <c r="A3915" i="2"/>
  <c r="N3914" i="2"/>
  <c r="M3914" i="2"/>
  <c r="L3914" i="2"/>
  <c r="K3914" i="2"/>
  <c r="J3914" i="2"/>
  <c r="I3914" i="2"/>
  <c r="H3914" i="2"/>
  <c r="G3914" i="2"/>
  <c r="F3914" i="2"/>
  <c r="E3914" i="2"/>
  <c r="D3914" i="2"/>
  <c r="C3914" i="2"/>
  <c r="B3914" i="2"/>
  <c r="A3914" i="2"/>
  <c r="N3913" i="2"/>
  <c r="M3913" i="2"/>
  <c r="L3913" i="2"/>
  <c r="K3913" i="2"/>
  <c r="J3913" i="2"/>
  <c r="I3913" i="2"/>
  <c r="H3913" i="2"/>
  <c r="G3913" i="2"/>
  <c r="F3913" i="2"/>
  <c r="E3913" i="2"/>
  <c r="D3913" i="2"/>
  <c r="C3913" i="2"/>
  <c r="B3913" i="2"/>
  <c r="A3913" i="2"/>
  <c r="N3912" i="2"/>
  <c r="M3912" i="2"/>
  <c r="L3912" i="2"/>
  <c r="K3912" i="2"/>
  <c r="J3912" i="2"/>
  <c r="I3912" i="2"/>
  <c r="H3912" i="2"/>
  <c r="G3912" i="2"/>
  <c r="F3912" i="2"/>
  <c r="E3912" i="2"/>
  <c r="D3912" i="2"/>
  <c r="C3912" i="2"/>
  <c r="B3912" i="2"/>
  <c r="A3912" i="2"/>
  <c r="M3911" i="2"/>
  <c r="L3911" i="2"/>
  <c r="K3911" i="2"/>
  <c r="J3911" i="2"/>
  <c r="I3911" i="2"/>
  <c r="H3911" i="2"/>
  <c r="G3911" i="2"/>
  <c r="F3911" i="2"/>
  <c r="E3911" i="2"/>
  <c r="D3911" i="2"/>
  <c r="C3911" i="2"/>
  <c r="B3911" i="2"/>
  <c r="A3911" i="2"/>
  <c r="M3910" i="2"/>
  <c r="L3910" i="2"/>
  <c r="K3910" i="2"/>
  <c r="J3910" i="2"/>
  <c r="I3910" i="2"/>
  <c r="H3910" i="2"/>
  <c r="G3910" i="2"/>
  <c r="F3910" i="2"/>
  <c r="E3910" i="2"/>
  <c r="D3910" i="2"/>
  <c r="C3910" i="2"/>
  <c r="B3910" i="2"/>
  <c r="A3910" i="2"/>
  <c r="M3909" i="2"/>
  <c r="L3909" i="2"/>
  <c r="K3909" i="2"/>
  <c r="J3909" i="2"/>
  <c r="I3909" i="2"/>
  <c r="H3909" i="2"/>
  <c r="G3909" i="2"/>
  <c r="F3909" i="2"/>
  <c r="E3909" i="2"/>
  <c r="D3909" i="2"/>
  <c r="C3909" i="2"/>
  <c r="B3909" i="2"/>
  <c r="A3909" i="2"/>
  <c r="M3908" i="2"/>
  <c r="L3908" i="2"/>
  <c r="K3908" i="2"/>
  <c r="J3908" i="2"/>
  <c r="I3908" i="2"/>
  <c r="H3908" i="2"/>
  <c r="G3908" i="2"/>
  <c r="F3908" i="2"/>
  <c r="E3908" i="2"/>
  <c r="D3908" i="2"/>
  <c r="C3908" i="2"/>
  <c r="B3908" i="2"/>
  <c r="A3908" i="2"/>
  <c r="M3907" i="2"/>
  <c r="L3907" i="2"/>
  <c r="K3907" i="2"/>
  <c r="J3907" i="2"/>
  <c r="I3907" i="2"/>
  <c r="H3907" i="2"/>
  <c r="G3907" i="2"/>
  <c r="F3907" i="2"/>
  <c r="E3907" i="2"/>
  <c r="D3907" i="2"/>
  <c r="C3907" i="2"/>
  <c r="B3907" i="2"/>
  <c r="A3907" i="2"/>
  <c r="M3906" i="2"/>
  <c r="L3906" i="2"/>
  <c r="K3906" i="2"/>
  <c r="J3906" i="2"/>
  <c r="I3906" i="2"/>
  <c r="H3906" i="2"/>
  <c r="G3906" i="2"/>
  <c r="F3906" i="2"/>
  <c r="E3906" i="2"/>
  <c r="D3906" i="2"/>
  <c r="C3906" i="2"/>
  <c r="B3906" i="2"/>
  <c r="A3906" i="2"/>
  <c r="M3905" i="2"/>
  <c r="L3905" i="2"/>
  <c r="K3905" i="2"/>
  <c r="J3905" i="2"/>
  <c r="I3905" i="2"/>
  <c r="H3905" i="2"/>
  <c r="G3905" i="2"/>
  <c r="F3905" i="2"/>
  <c r="E3905" i="2"/>
  <c r="D3905" i="2"/>
  <c r="C3905" i="2"/>
  <c r="B3905" i="2"/>
  <c r="A3905" i="2"/>
  <c r="M3904" i="2"/>
  <c r="L3904" i="2"/>
  <c r="K3904" i="2"/>
  <c r="J3904" i="2"/>
  <c r="I3904" i="2"/>
  <c r="H3904" i="2"/>
  <c r="G3904" i="2"/>
  <c r="F3904" i="2"/>
  <c r="E3904" i="2"/>
  <c r="D3904" i="2"/>
  <c r="C3904" i="2"/>
  <c r="B3904" i="2"/>
  <c r="A3904" i="2"/>
  <c r="M3903" i="2"/>
  <c r="L3903" i="2"/>
  <c r="K3903" i="2"/>
  <c r="J3903" i="2"/>
  <c r="I3903" i="2"/>
  <c r="H3903" i="2"/>
  <c r="G3903" i="2"/>
  <c r="F3903" i="2"/>
  <c r="E3903" i="2"/>
  <c r="D3903" i="2"/>
  <c r="C3903" i="2"/>
  <c r="B3903" i="2"/>
  <c r="A3903" i="2"/>
  <c r="M3902" i="2"/>
  <c r="L3902" i="2"/>
  <c r="K3902" i="2"/>
  <c r="J3902" i="2"/>
  <c r="I3902" i="2"/>
  <c r="H3902" i="2"/>
  <c r="G3902" i="2"/>
  <c r="F3902" i="2"/>
  <c r="E3902" i="2"/>
  <c r="D3902" i="2"/>
  <c r="C3902" i="2"/>
  <c r="B3902" i="2"/>
  <c r="A3902" i="2"/>
  <c r="M3901" i="2"/>
  <c r="L3901" i="2"/>
  <c r="K3901" i="2"/>
  <c r="J3901" i="2"/>
  <c r="I3901" i="2"/>
  <c r="H3901" i="2"/>
  <c r="G3901" i="2"/>
  <c r="F3901" i="2"/>
  <c r="E3901" i="2"/>
  <c r="D3901" i="2"/>
  <c r="C3901" i="2"/>
  <c r="B3901" i="2"/>
  <c r="A3901" i="2"/>
  <c r="M3900" i="2"/>
  <c r="L3900" i="2"/>
  <c r="K3900" i="2"/>
  <c r="J3900" i="2"/>
  <c r="I3900" i="2"/>
  <c r="H3900" i="2"/>
  <c r="G3900" i="2"/>
  <c r="F3900" i="2"/>
  <c r="E3900" i="2"/>
  <c r="D3900" i="2"/>
  <c r="C3900" i="2"/>
  <c r="B3900" i="2"/>
  <c r="A3900" i="2"/>
  <c r="M3899" i="2"/>
  <c r="L3899" i="2"/>
  <c r="K3899" i="2"/>
  <c r="J3899" i="2"/>
  <c r="I3899" i="2"/>
  <c r="H3899" i="2"/>
  <c r="G3899" i="2"/>
  <c r="F3899" i="2"/>
  <c r="E3899" i="2"/>
  <c r="D3899" i="2"/>
  <c r="C3899" i="2"/>
  <c r="B3899" i="2"/>
  <c r="A3899" i="2"/>
  <c r="N3898" i="2"/>
  <c r="M3898" i="2"/>
  <c r="K3898" i="2"/>
  <c r="J3898" i="2"/>
  <c r="H3898" i="2"/>
  <c r="G3898" i="2"/>
  <c r="F3898" i="2"/>
  <c r="E3898" i="2"/>
  <c r="D3898" i="2"/>
  <c r="C3898" i="2"/>
  <c r="B3898" i="2"/>
  <c r="A3898" i="2"/>
  <c r="M3897" i="2"/>
  <c r="L3897" i="2"/>
  <c r="K3897" i="2"/>
  <c r="J3897" i="2"/>
  <c r="I3897" i="2"/>
  <c r="H3897" i="2"/>
  <c r="G3897" i="2"/>
  <c r="F3897" i="2"/>
  <c r="E3897" i="2"/>
  <c r="D3897" i="2"/>
  <c r="C3897" i="2"/>
  <c r="B3897" i="2"/>
  <c r="A3897" i="2"/>
  <c r="M3896" i="2"/>
  <c r="L3896" i="2"/>
  <c r="K3896" i="2"/>
  <c r="J3896" i="2"/>
  <c r="I3896" i="2"/>
  <c r="H3896" i="2"/>
  <c r="G3896" i="2"/>
  <c r="F3896" i="2"/>
  <c r="E3896" i="2"/>
  <c r="D3896" i="2"/>
  <c r="C3896" i="2"/>
  <c r="B3896" i="2"/>
  <c r="A3896" i="2"/>
  <c r="M3895" i="2"/>
  <c r="L3895" i="2"/>
  <c r="K3895" i="2"/>
  <c r="J3895" i="2"/>
  <c r="I3895" i="2"/>
  <c r="H3895" i="2"/>
  <c r="G3895" i="2"/>
  <c r="F3895" i="2"/>
  <c r="E3895" i="2"/>
  <c r="D3895" i="2"/>
  <c r="C3895" i="2"/>
  <c r="B3895" i="2"/>
  <c r="A3895" i="2"/>
  <c r="M3894" i="2"/>
  <c r="L3894" i="2"/>
  <c r="K3894" i="2"/>
  <c r="J3894" i="2"/>
  <c r="I3894" i="2"/>
  <c r="H3894" i="2"/>
  <c r="G3894" i="2"/>
  <c r="F3894" i="2"/>
  <c r="E3894" i="2"/>
  <c r="D3894" i="2"/>
  <c r="C3894" i="2"/>
  <c r="B3894" i="2"/>
  <c r="A3894" i="2"/>
  <c r="M3893" i="2"/>
  <c r="L3893" i="2"/>
  <c r="K3893" i="2"/>
  <c r="J3893" i="2"/>
  <c r="I3893" i="2"/>
  <c r="H3893" i="2"/>
  <c r="G3893" i="2"/>
  <c r="F3893" i="2"/>
  <c r="E3893" i="2"/>
  <c r="D3893" i="2"/>
  <c r="C3893" i="2"/>
  <c r="B3893" i="2"/>
  <c r="A3893" i="2"/>
  <c r="M3892" i="2"/>
  <c r="L3892" i="2"/>
  <c r="K3892" i="2"/>
  <c r="J3892" i="2"/>
  <c r="I3892" i="2"/>
  <c r="H3892" i="2"/>
  <c r="G3892" i="2"/>
  <c r="F3892" i="2"/>
  <c r="E3892" i="2"/>
  <c r="D3892" i="2"/>
  <c r="C3892" i="2"/>
  <c r="B3892" i="2"/>
  <c r="A3892" i="2"/>
  <c r="M3891" i="2"/>
  <c r="L3891" i="2"/>
  <c r="K3891" i="2"/>
  <c r="J3891" i="2"/>
  <c r="I3891" i="2"/>
  <c r="H3891" i="2"/>
  <c r="G3891" i="2"/>
  <c r="F3891" i="2"/>
  <c r="E3891" i="2"/>
  <c r="D3891" i="2"/>
  <c r="C3891" i="2"/>
  <c r="B3891" i="2"/>
  <c r="A3891" i="2"/>
  <c r="M3890" i="2"/>
  <c r="L3890" i="2"/>
  <c r="K3890" i="2"/>
  <c r="J3890" i="2"/>
  <c r="I3890" i="2"/>
  <c r="H3890" i="2"/>
  <c r="G3890" i="2"/>
  <c r="F3890" i="2"/>
  <c r="E3890" i="2"/>
  <c r="D3890" i="2"/>
  <c r="C3890" i="2"/>
  <c r="B3890" i="2"/>
  <c r="A3890" i="2"/>
  <c r="M3889" i="2"/>
  <c r="L3889" i="2"/>
  <c r="K3889" i="2"/>
  <c r="J3889" i="2"/>
  <c r="I3889" i="2"/>
  <c r="H3889" i="2"/>
  <c r="G3889" i="2"/>
  <c r="F3889" i="2"/>
  <c r="E3889" i="2"/>
  <c r="D3889" i="2"/>
  <c r="C3889" i="2"/>
  <c r="B3889" i="2"/>
  <c r="A3889" i="2"/>
  <c r="M3888" i="2"/>
  <c r="L3888" i="2"/>
  <c r="K3888" i="2"/>
  <c r="J3888" i="2"/>
  <c r="I3888" i="2"/>
  <c r="H3888" i="2"/>
  <c r="G3888" i="2"/>
  <c r="F3888" i="2"/>
  <c r="E3888" i="2"/>
  <c r="D3888" i="2"/>
  <c r="C3888" i="2"/>
  <c r="B3888" i="2"/>
  <c r="A3888" i="2"/>
  <c r="M3887" i="2"/>
  <c r="L3887" i="2"/>
  <c r="K3887" i="2"/>
  <c r="J3887" i="2"/>
  <c r="I3887" i="2"/>
  <c r="H3887" i="2"/>
  <c r="G3887" i="2"/>
  <c r="F3887" i="2"/>
  <c r="E3887" i="2"/>
  <c r="D3887" i="2"/>
  <c r="C3887" i="2"/>
  <c r="B3887" i="2"/>
  <c r="A3887" i="2"/>
  <c r="M3886" i="2"/>
  <c r="L3886" i="2"/>
  <c r="K3886" i="2"/>
  <c r="J3886" i="2"/>
  <c r="I3886" i="2"/>
  <c r="H3886" i="2"/>
  <c r="G3886" i="2"/>
  <c r="F3886" i="2"/>
  <c r="E3886" i="2"/>
  <c r="D3886" i="2"/>
  <c r="C3886" i="2"/>
  <c r="B3886" i="2"/>
  <c r="A3886" i="2"/>
  <c r="M3885" i="2"/>
  <c r="L3885" i="2"/>
  <c r="K3885" i="2"/>
  <c r="J3885" i="2"/>
  <c r="I3885" i="2"/>
  <c r="H3885" i="2"/>
  <c r="G3885" i="2"/>
  <c r="F3885" i="2"/>
  <c r="E3885" i="2"/>
  <c r="D3885" i="2"/>
  <c r="C3885" i="2"/>
  <c r="B3885" i="2"/>
  <c r="A3885" i="2"/>
  <c r="M3884" i="2"/>
  <c r="L3884" i="2"/>
  <c r="K3884" i="2"/>
  <c r="J3884" i="2"/>
  <c r="I3884" i="2"/>
  <c r="H3884" i="2"/>
  <c r="G3884" i="2"/>
  <c r="F3884" i="2"/>
  <c r="E3884" i="2"/>
  <c r="D3884" i="2"/>
  <c r="C3884" i="2"/>
  <c r="B3884" i="2"/>
  <c r="A3884" i="2"/>
  <c r="M3883" i="2"/>
  <c r="L3883" i="2"/>
  <c r="K3883" i="2"/>
  <c r="J3883" i="2"/>
  <c r="I3883" i="2"/>
  <c r="H3883" i="2"/>
  <c r="G3883" i="2"/>
  <c r="F3883" i="2"/>
  <c r="E3883" i="2"/>
  <c r="D3883" i="2"/>
  <c r="C3883" i="2"/>
  <c r="B3883" i="2"/>
  <c r="A3883" i="2"/>
  <c r="M3882" i="2"/>
  <c r="L3882" i="2"/>
  <c r="K3882" i="2"/>
  <c r="J3882" i="2"/>
  <c r="I3882" i="2"/>
  <c r="H3882" i="2"/>
  <c r="G3882" i="2"/>
  <c r="F3882" i="2"/>
  <c r="E3882" i="2"/>
  <c r="D3882" i="2"/>
  <c r="C3882" i="2"/>
  <c r="B3882" i="2"/>
  <c r="A3882" i="2"/>
  <c r="M3881" i="2"/>
  <c r="L3881" i="2"/>
  <c r="K3881" i="2"/>
  <c r="J3881" i="2"/>
  <c r="I3881" i="2"/>
  <c r="H3881" i="2"/>
  <c r="G3881" i="2"/>
  <c r="F3881" i="2"/>
  <c r="E3881" i="2"/>
  <c r="D3881" i="2"/>
  <c r="C3881" i="2"/>
  <c r="B3881" i="2"/>
  <c r="A3881" i="2"/>
  <c r="M3880" i="2"/>
  <c r="L3880" i="2"/>
  <c r="K3880" i="2"/>
  <c r="J3880" i="2"/>
  <c r="I3880" i="2"/>
  <c r="H3880" i="2"/>
  <c r="G3880" i="2"/>
  <c r="F3880" i="2"/>
  <c r="E3880" i="2"/>
  <c r="D3880" i="2"/>
  <c r="C3880" i="2"/>
  <c r="B3880" i="2"/>
  <c r="A3880" i="2"/>
  <c r="M3879" i="2"/>
  <c r="L3879" i="2"/>
  <c r="K3879" i="2"/>
  <c r="J3879" i="2"/>
  <c r="I3879" i="2"/>
  <c r="H3879" i="2"/>
  <c r="G3879" i="2"/>
  <c r="F3879" i="2"/>
  <c r="E3879" i="2"/>
  <c r="D3879" i="2"/>
  <c r="C3879" i="2"/>
  <c r="B3879" i="2"/>
  <c r="A3879" i="2"/>
  <c r="M3878" i="2"/>
  <c r="L3878" i="2"/>
  <c r="K3878" i="2"/>
  <c r="J3878" i="2"/>
  <c r="I3878" i="2"/>
  <c r="H3878" i="2"/>
  <c r="G3878" i="2"/>
  <c r="F3878" i="2"/>
  <c r="E3878" i="2"/>
  <c r="D3878" i="2"/>
  <c r="C3878" i="2"/>
  <c r="B3878" i="2"/>
  <c r="A3878" i="2"/>
  <c r="M3877" i="2"/>
  <c r="L3877" i="2"/>
  <c r="K3877" i="2"/>
  <c r="J3877" i="2"/>
  <c r="I3877" i="2"/>
  <c r="H3877" i="2"/>
  <c r="G3877" i="2"/>
  <c r="F3877" i="2"/>
  <c r="E3877" i="2"/>
  <c r="D3877" i="2"/>
  <c r="C3877" i="2"/>
  <c r="B3877" i="2"/>
  <c r="A3877" i="2"/>
  <c r="M3876" i="2"/>
  <c r="L3876" i="2"/>
  <c r="K3876" i="2"/>
  <c r="J3876" i="2"/>
  <c r="I3876" i="2"/>
  <c r="H3876" i="2"/>
  <c r="G3876" i="2"/>
  <c r="F3876" i="2"/>
  <c r="E3876" i="2"/>
  <c r="D3876" i="2"/>
  <c r="C3876" i="2"/>
  <c r="B3876" i="2"/>
  <c r="A3876" i="2"/>
  <c r="M3875" i="2"/>
  <c r="L3875" i="2"/>
  <c r="K3875" i="2"/>
  <c r="J3875" i="2"/>
  <c r="I3875" i="2"/>
  <c r="H3875" i="2"/>
  <c r="G3875" i="2"/>
  <c r="F3875" i="2"/>
  <c r="E3875" i="2"/>
  <c r="D3875" i="2"/>
  <c r="C3875" i="2"/>
  <c r="B3875" i="2"/>
  <c r="A3875" i="2"/>
  <c r="M3874" i="2"/>
  <c r="L3874" i="2"/>
  <c r="K3874" i="2"/>
  <c r="J3874" i="2"/>
  <c r="I3874" i="2"/>
  <c r="H3874" i="2"/>
  <c r="G3874" i="2"/>
  <c r="F3874" i="2"/>
  <c r="E3874" i="2"/>
  <c r="D3874" i="2"/>
  <c r="C3874" i="2"/>
  <c r="B3874" i="2"/>
  <c r="A3874" i="2"/>
  <c r="M3873" i="2"/>
  <c r="L3873" i="2"/>
  <c r="K3873" i="2"/>
  <c r="J3873" i="2"/>
  <c r="I3873" i="2"/>
  <c r="H3873" i="2"/>
  <c r="G3873" i="2"/>
  <c r="F3873" i="2"/>
  <c r="E3873" i="2"/>
  <c r="D3873" i="2"/>
  <c r="C3873" i="2"/>
  <c r="B3873" i="2"/>
  <c r="A3873" i="2"/>
  <c r="M3872" i="2"/>
  <c r="L3872" i="2"/>
  <c r="K3872" i="2"/>
  <c r="J3872" i="2"/>
  <c r="I3872" i="2"/>
  <c r="H3872" i="2"/>
  <c r="G3872" i="2"/>
  <c r="F3872" i="2"/>
  <c r="E3872" i="2"/>
  <c r="D3872" i="2"/>
  <c r="C3872" i="2"/>
  <c r="B3872" i="2"/>
  <c r="A3872" i="2"/>
  <c r="M3871" i="2"/>
  <c r="L3871" i="2"/>
  <c r="K3871" i="2"/>
  <c r="J3871" i="2"/>
  <c r="I3871" i="2"/>
  <c r="H3871" i="2"/>
  <c r="G3871" i="2"/>
  <c r="F3871" i="2"/>
  <c r="E3871" i="2"/>
  <c r="D3871" i="2"/>
  <c r="C3871" i="2"/>
  <c r="B3871" i="2"/>
  <c r="A3871" i="2"/>
  <c r="M3870" i="2"/>
  <c r="L3870" i="2"/>
  <c r="K3870" i="2"/>
  <c r="J3870" i="2"/>
  <c r="I3870" i="2"/>
  <c r="H3870" i="2"/>
  <c r="G3870" i="2"/>
  <c r="F3870" i="2"/>
  <c r="E3870" i="2"/>
  <c r="D3870" i="2"/>
  <c r="C3870" i="2"/>
  <c r="B3870" i="2"/>
  <c r="A3870" i="2"/>
  <c r="M3869" i="2"/>
  <c r="L3869" i="2"/>
  <c r="K3869" i="2"/>
  <c r="J3869" i="2"/>
  <c r="I3869" i="2"/>
  <c r="H3869" i="2"/>
  <c r="G3869" i="2"/>
  <c r="F3869" i="2"/>
  <c r="E3869" i="2"/>
  <c r="D3869" i="2"/>
  <c r="C3869" i="2"/>
  <c r="B3869" i="2"/>
  <c r="A3869" i="2"/>
  <c r="M3868" i="2"/>
  <c r="L3868" i="2"/>
  <c r="K3868" i="2"/>
  <c r="J3868" i="2"/>
  <c r="I3868" i="2"/>
  <c r="H3868" i="2"/>
  <c r="G3868" i="2"/>
  <c r="F3868" i="2"/>
  <c r="E3868" i="2"/>
  <c r="D3868" i="2"/>
  <c r="C3868" i="2"/>
  <c r="B3868" i="2"/>
  <c r="A3868" i="2"/>
  <c r="M3867" i="2"/>
  <c r="L3867" i="2"/>
  <c r="K3867" i="2"/>
  <c r="J3867" i="2"/>
  <c r="I3867" i="2"/>
  <c r="H3867" i="2"/>
  <c r="G3867" i="2"/>
  <c r="F3867" i="2"/>
  <c r="E3867" i="2"/>
  <c r="D3867" i="2"/>
  <c r="C3867" i="2"/>
  <c r="B3867" i="2"/>
  <c r="A3867" i="2"/>
  <c r="M3866" i="2"/>
  <c r="L3866" i="2"/>
  <c r="K3866" i="2"/>
  <c r="J3866" i="2"/>
  <c r="I3866" i="2"/>
  <c r="H3866" i="2"/>
  <c r="G3866" i="2"/>
  <c r="F3866" i="2"/>
  <c r="E3866" i="2"/>
  <c r="D3866" i="2"/>
  <c r="C3866" i="2"/>
  <c r="B3866" i="2"/>
  <c r="A3866" i="2"/>
  <c r="M3865" i="2"/>
  <c r="L3865" i="2"/>
  <c r="K3865" i="2"/>
  <c r="J3865" i="2"/>
  <c r="I3865" i="2"/>
  <c r="H3865" i="2"/>
  <c r="G3865" i="2"/>
  <c r="F3865" i="2"/>
  <c r="E3865" i="2"/>
  <c r="D3865" i="2"/>
  <c r="C3865" i="2"/>
  <c r="B3865" i="2"/>
  <c r="A3865" i="2"/>
  <c r="M3864" i="2"/>
  <c r="L3864" i="2"/>
  <c r="K3864" i="2"/>
  <c r="J3864" i="2"/>
  <c r="I3864" i="2"/>
  <c r="H3864" i="2"/>
  <c r="G3864" i="2"/>
  <c r="F3864" i="2"/>
  <c r="E3864" i="2"/>
  <c r="D3864" i="2"/>
  <c r="C3864" i="2"/>
  <c r="B3864" i="2"/>
  <c r="A3864" i="2"/>
  <c r="M3863" i="2"/>
  <c r="L3863" i="2"/>
  <c r="K3863" i="2"/>
  <c r="J3863" i="2"/>
  <c r="I3863" i="2"/>
  <c r="H3863" i="2"/>
  <c r="F3863" i="2"/>
  <c r="E3863" i="2"/>
  <c r="D3863" i="2"/>
  <c r="C3863" i="2"/>
  <c r="B3863" i="2"/>
  <c r="A3863" i="2"/>
  <c r="M3862" i="2"/>
  <c r="L3862" i="2"/>
  <c r="K3862" i="2"/>
  <c r="J3862" i="2"/>
  <c r="I3862" i="2"/>
  <c r="H3862" i="2"/>
  <c r="F3862" i="2"/>
  <c r="E3862" i="2"/>
  <c r="D3862" i="2"/>
  <c r="C3862" i="2"/>
  <c r="B3862" i="2"/>
  <c r="A3862" i="2"/>
  <c r="M3861" i="2"/>
  <c r="L3861" i="2"/>
  <c r="K3861" i="2"/>
  <c r="J3861" i="2"/>
  <c r="I3861" i="2"/>
  <c r="H3861" i="2"/>
  <c r="F3861" i="2"/>
  <c r="E3861" i="2"/>
  <c r="D3861" i="2"/>
  <c r="C3861" i="2"/>
  <c r="B3861" i="2"/>
  <c r="A3861" i="2"/>
  <c r="M3860" i="2"/>
  <c r="L3860" i="2"/>
  <c r="K3860" i="2"/>
  <c r="J3860" i="2"/>
  <c r="I3860" i="2"/>
  <c r="H3860" i="2"/>
  <c r="F3860" i="2"/>
  <c r="E3860" i="2"/>
  <c r="D3860" i="2"/>
  <c r="C3860" i="2"/>
  <c r="B3860" i="2"/>
  <c r="A3860" i="2"/>
  <c r="M3859" i="2"/>
  <c r="L3859" i="2"/>
  <c r="K3859" i="2"/>
  <c r="J3859" i="2"/>
  <c r="I3859" i="2"/>
  <c r="H3859" i="2"/>
  <c r="F3859" i="2"/>
  <c r="E3859" i="2"/>
  <c r="D3859" i="2"/>
  <c r="C3859" i="2"/>
  <c r="B3859" i="2"/>
  <c r="A3859" i="2"/>
  <c r="M3858" i="2"/>
  <c r="L3858" i="2"/>
  <c r="K3858" i="2"/>
  <c r="J3858" i="2"/>
  <c r="I3858" i="2"/>
  <c r="H3858" i="2"/>
  <c r="F3858" i="2"/>
  <c r="E3858" i="2"/>
  <c r="D3858" i="2"/>
  <c r="C3858" i="2"/>
  <c r="B3858" i="2"/>
  <c r="A3858" i="2"/>
  <c r="M3857" i="2"/>
  <c r="L3857" i="2"/>
  <c r="K3857" i="2"/>
  <c r="J3857" i="2"/>
  <c r="I3857" i="2"/>
  <c r="H3857" i="2"/>
  <c r="F3857" i="2"/>
  <c r="E3857" i="2"/>
  <c r="D3857" i="2"/>
  <c r="C3857" i="2"/>
  <c r="B3857" i="2"/>
  <c r="A3857" i="2"/>
  <c r="M3856" i="2"/>
  <c r="L3856" i="2"/>
  <c r="K3856" i="2"/>
  <c r="J3856" i="2"/>
  <c r="I3856" i="2"/>
  <c r="H3856" i="2"/>
  <c r="F3856" i="2"/>
  <c r="E3856" i="2"/>
  <c r="D3856" i="2"/>
  <c r="C3856" i="2"/>
  <c r="B3856" i="2"/>
  <c r="A3856" i="2"/>
  <c r="M3855" i="2"/>
  <c r="L3855" i="2"/>
  <c r="K3855" i="2"/>
  <c r="J3855" i="2"/>
  <c r="I3855" i="2"/>
  <c r="H3855" i="2"/>
  <c r="F3855" i="2"/>
  <c r="E3855" i="2"/>
  <c r="D3855" i="2"/>
  <c r="C3855" i="2"/>
  <c r="B3855" i="2"/>
  <c r="A3855" i="2"/>
  <c r="M3854" i="2"/>
  <c r="L3854" i="2"/>
  <c r="K3854" i="2"/>
  <c r="J3854" i="2"/>
  <c r="I3854" i="2"/>
  <c r="H3854" i="2"/>
  <c r="F3854" i="2"/>
  <c r="E3854" i="2"/>
  <c r="D3854" i="2"/>
  <c r="C3854" i="2"/>
  <c r="B3854" i="2"/>
  <c r="A3854" i="2"/>
  <c r="M3853" i="2"/>
  <c r="L3853" i="2"/>
  <c r="K3853" i="2"/>
  <c r="J3853" i="2"/>
  <c r="I3853" i="2"/>
  <c r="H3853" i="2"/>
  <c r="F3853" i="2"/>
  <c r="E3853" i="2"/>
  <c r="D3853" i="2"/>
  <c r="C3853" i="2"/>
  <c r="B3853" i="2"/>
  <c r="A3853" i="2"/>
  <c r="M3852" i="2"/>
  <c r="L3852" i="2"/>
  <c r="K3852" i="2"/>
  <c r="J3852" i="2"/>
  <c r="I3852" i="2"/>
  <c r="H3852" i="2"/>
  <c r="F3852" i="2"/>
  <c r="E3852" i="2"/>
  <c r="D3852" i="2"/>
  <c r="C3852" i="2"/>
  <c r="B3852" i="2"/>
  <c r="A3852" i="2"/>
  <c r="M3851" i="2"/>
  <c r="L3851" i="2"/>
  <c r="K3851" i="2"/>
  <c r="J3851" i="2"/>
  <c r="I3851" i="2"/>
  <c r="H3851" i="2"/>
  <c r="F3851" i="2"/>
  <c r="E3851" i="2"/>
  <c r="D3851" i="2"/>
  <c r="C3851" i="2"/>
  <c r="B3851" i="2"/>
  <c r="A3851" i="2"/>
  <c r="M3850" i="2"/>
  <c r="L3850" i="2"/>
  <c r="K3850" i="2"/>
  <c r="J3850" i="2"/>
  <c r="I3850" i="2"/>
  <c r="H3850" i="2"/>
  <c r="F3850" i="2"/>
  <c r="E3850" i="2"/>
  <c r="D3850" i="2"/>
  <c r="C3850" i="2"/>
  <c r="B3850" i="2"/>
  <c r="A3850" i="2"/>
  <c r="M3849" i="2"/>
  <c r="L3849" i="2"/>
  <c r="K3849" i="2"/>
  <c r="J3849" i="2"/>
  <c r="I3849" i="2"/>
  <c r="H3849" i="2"/>
  <c r="F3849" i="2"/>
  <c r="E3849" i="2"/>
  <c r="D3849" i="2"/>
  <c r="C3849" i="2"/>
  <c r="B3849" i="2"/>
  <c r="A3849" i="2"/>
  <c r="M3848" i="2"/>
  <c r="L3848" i="2"/>
  <c r="K3848" i="2"/>
  <c r="J3848" i="2"/>
  <c r="I3848" i="2"/>
  <c r="H3848" i="2"/>
  <c r="F3848" i="2"/>
  <c r="E3848" i="2"/>
  <c r="D3848" i="2"/>
  <c r="C3848" i="2"/>
  <c r="B3848" i="2"/>
  <c r="A3848" i="2"/>
  <c r="M3847" i="2"/>
  <c r="L3847" i="2"/>
  <c r="K3847" i="2"/>
  <c r="J3847" i="2"/>
  <c r="I3847" i="2"/>
  <c r="H3847" i="2"/>
  <c r="F3847" i="2"/>
  <c r="E3847" i="2"/>
  <c r="D3847" i="2"/>
  <c r="C3847" i="2"/>
  <c r="B3847" i="2"/>
  <c r="A3847" i="2"/>
  <c r="M3846" i="2"/>
  <c r="L3846" i="2"/>
  <c r="K3846" i="2"/>
  <c r="J3846" i="2"/>
  <c r="I3846" i="2"/>
  <c r="H3846" i="2"/>
  <c r="F3846" i="2"/>
  <c r="E3846" i="2"/>
  <c r="D3846" i="2"/>
  <c r="C3846" i="2"/>
  <c r="B3846" i="2"/>
  <c r="A3846" i="2"/>
  <c r="M3845" i="2"/>
  <c r="L3845" i="2"/>
  <c r="K3845" i="2"/>
  <c r="J3845" i="2"/>
  <c r="I3845" i="2"/>
  <c r="H3845" i="2"/>
  <c r="F3845" i="2"/>
  <c r="E3845" i="2"/>
  <c r="D3845" i="2"/>
  <c r="C3845" i="2"/>
  <c r="B3845" i="2"/>
  <c r="A3845" i="2"/>
  <c r="M3844" i="2"/>
  <c r="L3844" i="2"/>
  <c r="K3844" i="2"/>
  <c r="J3844" i="2"/>
  <c r="I3844" i="2"/>
  <c r="H3844" i="2"/>
  <c r="F3844" i="2"/>
  <c r="E3844" i="2"/>
  <c r="D3844" i="2"/>
  <c r="C3844" i="2"/>
  <c r="B3844" i="2"/>
  <c r="A3844" i="2"/>
  <c r="M3843" i="2"/>
  <c r="L3843" i="2"/>
  <c r="K3843" i="2"/>
  <c r="J3843" i="2"/>
  <c r="I3843" i="2"/>
  <c r="H3843" i="2"/>
  <c r="F3843" i="2"/>
  <c r="E3843" i="2"/>
  <c r="D3843" i="2"/>
  <c r="C3843" i="2"/>
  <c r="B3843" i="2"/>
  <c r="A3843" i="2"/>
  <c r="M3842" i="2"/>
  <c r="L3842" i="2"/>
  <c r="K3842" i="2"/>
  <c r="J3842" i="2"/>
  <c r="I3842" i="2"/>
  <c r="H3842" i="2"/>
  <c r="F3842" i="2"/>
  <c r="E3842" i="2"/>
  <c r="D3842" i="2"/>
  <c r="C3842" i="2"/>
  <c r="B3842" i="2"/>
  <c r="A3842" i="2"/>
  <c r="M3841" i="2"/>
  <c r="L3841" i="2"/>
  <c r="K3841" i="2"/>
  <c r="J3841" i="2"/>
  <c r="I3841" i="2"/>
  <c r="H3841" i="2"/>
  <c r="F3841" i="2"/>
  <c r="E3841" i="2"/>
  <c r="D3841" i="2"/>
  <c r="C3841" i="2"/>
  <c r="B3841" i="2"/>
  <c r="A3841" i="2"/>
  <c r="N3840" i="2"/>
  <c r="M3840" i="2"/>
  <c r="L3840" i="2"/>
  <c r="K3840" i="2"/>
  <c r="J3840" i="2"/>
  <c r="I3840" i="2"/>
  <c r="H3840" i="2"/>
  <c r="G3840" i="2"/>
  <c r="F3840" i="2"/>
  <c r="D3840" i="2"/>
  <c r="C3840" i="2"/>
  <c r="B3840" i="2"/>
  <c r="A3840" i="2"/>
  <c r="N3839" i="2"/>
  <c r="M3839" i="2"/>
  <c r="L3839" i="2"/>
  <c r="K3839" i="2"/>
  <c r="J3839" i="2"/>
  <c r="I3839" i="2"/>
  <c r="H3839" i="2"/>
  <c r="G3839" i="2"/>
  <c r="F3839" i="2"/>
  <c r="D3839" i="2"/>
  <c r="C3839" i="2"/>
  <c r="B3839" i="2"/>
  <c r="A3839" i="2"/>
  <c r="N3838" i="2"/>
  <c r="M3838" i="2"/>
  <c r="L3838" i="2"/>
  <c r="K3838" i="2"/>
  <c r="J3838" i="2"/>
  <c r="I3838" i="2"/>
  <c r="H3838" i="2"/>
  <c r="G3838" i="2"/>
  <c r="F3838" i="2"/>
  <c r="D3838" i="2"/>
  <c r="C3838" i="2"/>
  <c r="B3838" i="2"/>
  <c r="A3838" i="2"/>
  <c r="N3837" i="2"/>
  <c r="M3837" i="2"/>
  <c r="L3837" i="2"/>
  <c r="K3837" i="2"/>
  <c r="J3837" i="2"/>
  <c r="I3837" i="2"/>
  <c r="H3837" i="2"/>
  <c r="G3837" i="2"/>
  <c r="F3837" i="2"/>
  <c r="D3837" i="2"/>
  <c r="C3837" i="2"/>
  <c r="B3837" i="2"/>
  <c r="A3837" i="2"/>
  <c r="N3836" i="2"/>
  <c r="M3836" i="2"/>
  <c r="L3836" i="2"/>
  <c r="K3836" i="2"/>
  <c r="J3836" i="2"/>
  <c r="I3836" i="2"/>
  <c r="H3836" i="2"/>
  <c r="G3836" i="2"/>
  <c r="F3836" i="2"/>
  <c r="D3836" i="2"/>
  <c r="C3836" i="2"/>
  <c r="B3836" i="2"/>
  <c r="A3836" i="2"/>
  <c r="N3835" i="2"/>
  <c r="M3835" i="2"/>
  <c r="L3835" i="2"/>
  <c r="K3835" i="2"/>
  <c r="J3835" i="2"/>
  <c r="I3835" i="2"/>
  <c r="H3835" i="2"/>
  <c r="G3835" i="2"/>
  <c r="F3835" i="2"/>
  <c r="D3835" i="2"/>
  <c r="C3835" i="2"/>
  <c r="B3835" i="2"/>
  <c r="A3835" i="2"/>
  <c r="N3834" i="2"/>
  <c r="M3834" i="2"/>
  <c r="L3834" i="2"/>
  <c r="K3834" i="2"/>
  <c r="J3834" i="2"/>
  <c r="I3834" i="2"/>
  <c r="H3834" i="2"/>
  <c r="G3834" i="2"/>
  <c r="F3834" i="2"/>
  <c r="D3834" i="2"/>
  <c r="C3834" i="2"/>
  <c r="B3834" i="2"/>
  <c r="A3834" i="2"/>
  <c r="N3833" i="2"/>
  <c r="M3833" i="2"/>
  <c r="L3833" i="2"/>
  <c r="K3833" i="2"/>
  <c r="J3833" i="2"/>
  <c r="I3833" i="2"/>
  <c r="H3833" i="2"/>
  <c r="G3833" i="2"/>
  <c r="F3833" i="2"/>
  <c r="D3833" i="2"/>
  <c r="C3833" i="2"/>
  <c r="B3833" i="2"/>
  <c r="A3833" i="2"/>
  <c r="N3832" i="2"/>
  <c r="M3832" i="2"/>
  <c r="L3832" i="2"/>
  <c r="K3832" i="2"/>
  <c r="J3832" i="2"/>
  <c r="I3832" i="2"/>
  <c r="H3832" i="2"/>
  <c r="G3832" i="2"/>
  <c r="F3832" i="2"/>
  <c r="D3832" i="2"/>
  <c r="C3832" i="2"/>
  <c r="B3832" i="2"/>
  <c r="A3832" i="2"/>
  <c r="N3831" i="2"/>
  <c r="M3831" i="2"/>
  <c r="L3831" i="2"/>
  <c r="K3831" i="2"/>
  <c r="J3831" i="2"/>
  <c r="I3831" i="2"/>
  <c r="H3831" i="2"/>
  <c r="G3831" i="2"/>
  <c r="F3831" i="2"/>
  <c r="D3831" i="2"/>
  <c r="C3831" i="2"/>
  <c r="B3831" i="2"/>
  <c r="A3831" i="2"/>
  <c r="N3830" i="2"/>
  <c r="M3830" i="2"/>
  <c r="L3830" i="2"/>
  <c r="K3830" i="2"/>
  <c r="J3830" i="2"/>
  <c r="I3830" i="2"/>
  <c r="H3830" i="2"/>
  <c r="G3830" i="2"/>
  <c r="F3830" i="2"/>
  <c r="D3830" i="2"/>
  <c r="C3830" i="2"/>
  <c r="B3830" i="2"/>
  <c r="A3830" i="2"/>
  <c r="N3829" i="2"/>
  <c r="M3829" i="2"/>
  <c r="L3829" i="2"/>
  <c r="K3829" i="2"/>
  <c r="J3829" i="2"/>
  <c r="I3829" i="2"/>
  <c r="H3829" i="2"/>
  <c r="G3829" i="2"/>
  <c r="F3829" i="2"/>
  <c r="D3829" i="2"/>
  <c r="C3829" i="2"/>
  <c r="B3829" i="2"/>
  <c r="A3829" i="2"/>
  <c r="M3828" i="2"/>
  <c r="L3828" i="2"/>
  <c r="K3828" i="2"/>
  <c r="J3828" i="2"/>
  <c r="I3828" i="2"/>
  <c r="H3828" i="2"/>
  <c r="G3828" i="2"/>
  <c r="F3828" i="2"/>
  <c r="D3828" i="2"/>
  <c r="C3828" i="2"/>
  <c r="B3828" i="2"/>
  <c r="A3828" i="2"/>
  <c r="M3827" i="2"/>
  <c r="L3827" i="2"/>
  <c r="K3827" i="2"/>
  <c r="J3827" i="2"/>
  <c r="I3827" i="2"/>
  <c r="H3827" i="2"/>
  <c r="G3827" i="2"/>
  <c r="F3827" i="2"/>
  <c r="D3827" i="2"/>
  <c r="C3827" i="2"/>
  <c r="B3827" i="2"/>
  <c r="A3827" i="2"/>
  <c r="M3826" i="2"/>
  <c r="L3826" i="2"/>
  <c r="K3826" i="2"/>
  <c r="J3826" i="2"/>
  <c r="I3826" i="2"/>
  <c r="H3826" i="2"/>
  <c r="G3826" i="2"/>
  <c r="F3826" i="2"/>
  <c r="D3826" i="2"/>
  <c r="C3826" i="2"/>
  <c r="B3826" i="2"/>
  <c r="A3826" i="2"/>
  <c r="M3825" i="2"/>
  <c r="L3825" i="2"/>
  <c r="K3825" i="2"/>
  <c r="J3825" i="2"/>
  <c r="I3825" i="2"/>
  <c r="H3825" i="2"/>
  <c r="G3825" i="2"/>
  <c r="F3825" i="2"/>
  <c r="D3825" i="2"/>
  <c r="C3825" i="2"/>
  <c r="B3825" i="2"/>
  <c r="A3825" i="2"/>
  <c r="M3824" i="2"/>
  <c r="L3824" i="2"/>
  <c r="K3824" i="2"/>
  <c r="J3824" i="2"/>
  <c r="I3824" i="2"/>
  <c r="H3824" i="2"/>
  <c r="G3824" i="2"/>
  <c r="F3824" i="2"/>
  <c r="D3824" i="2"/>
  <c r="C3824" i="2"/>
  <c r="B3824" i="2"/>
  <c r="A3824" i="2"/>
  <c r="M3823" i="2"/>
  <c r="L3823" i="2"/>
  <c r="K3823" i="2"/>
  <c r="J3823" i="2"/>
  <c r="I3823" i="2"/>
  <c r="H3823" i="2"/>
  <c r="G3823" i="2"/>
  <c r="F3823" i="2"/>
  <c r="D3823" i="2"/>
  <c r="C3823" i="2"/>
  <c r="B3823" i="2"/>
  <c r="A3823" i="2"/>
  <c r="M3822" i="2"/>
  <c r="L3822" i="2"/>
  <c r="K3822" i="2"/>
  <c r="J3822" i="2"/>
  <c r="I3822" i="2"/>
  <c r="H3822" i="2"/>
  <c r="G3822" i="2"/>
  <c r="F3822" i="2"/>
  <c r="D3822" i="2"/>
  <c r="C3822" i="2"/>
  <c r="B3822" i="2"/>
  <c r="A3822" i="2"/>
  <c r="M3821" i="2"/>
  <c r="L3821" i="2"/>
  <c r="K3821" i="2"/>
  <c r="J3821" i="2"/>
  <c r="I3821" i="2"/>
  <c r="H3821" i="2"/>
  <c r="G3821" i="2"/>
  <c r="F3821" i="2"/>
  <c r="D3821" i="2"/>
  <c r="C3821" i="2"/>
  <c r="B3821" i="2"/>
  <c r="A3821" i="2"/>
  <c r="M3820" i="2"/>
  <c r="L3820" i="2"/>
  <c r="K3820" i="2"/>
  <c r="J3820" i="2"/>
  <c r="I3820" i="2"/>
  <c r="H3820" i="2"/>
  <c r="G3820" i="2"/>
  <c r="F3820" i="2"/>
  <c r="D3820" i="2"/>
  <c r="C3820" i="2"/>
  <c r="B3820" i="2"/>
  <c r="A3820" i="2"/>
  <c r="L3819" i="2"/>
  <c r="K3819" i="2"/>
  <c r="J3819" i="2"/>
  <c r="I3819" i="2"/>
  <c r="H3819" i="2"/>
  <c r="G3819" i="2"/>
  <c r="F3819" i="2"/>
  <c r="D3819" i="2"/>
  <c r="C3819" i="2"/>
  <c r="B3819" i="2"/>
  <c r="A3819" i="2"/>
  <c r="L3818" i="2"/>
  <c r="K3818" i="2"/>
  <c r="J3818" i="2"/>
  <c r="I3818" i="2"/>
  <c r="H3818" i="2"/>
  <c r="G3818" i="2"/>
  <c r="F3818" i="2"/>
  <c r="D3818" i="2"/>
  <c r="C3818" i="2"/>
  <c r="B3818" i="2"/>
  <c r="A3818" i="2"/>
  <c r="N3817" i="2"/>
  <c r="M3817" i="2"/>
  <c r="L3817" i="2"/>
  <c r="K3817" i="2"/>
  <c r="J3817" i="2"/>
  <c r="I3817" i="2"/>
  <c r="H3817" i="2"/>
  <c r="G3817" i="2"/>
  <c r="F3817" i="2"/>
  <c r="D3817" i="2"/>
  <c r="C3817" i="2"/>
  <c r="B3817" i="2"/>
  <c r="A3817" i="2"/>
  <c r="N3816" i="2"/>
  <c r="M3816" i="2"/>
  <c r="L3816" i="2"/>
  <c r="K3816" i="2"/>
  <c r="J3816" i="2"/>
  <c r="I3816" i="2"/>
  <c r="H3816" i="2"/>
  <c r="G3816" i="2"/>
  <c r="F3816" i="2"/>
  <c r="D3816" i="2"/>
  <c r="C3816" i="2"/>
  <c r="B3816" i="2"/>
  <c r="A3816" i="2"/>
  <c r="N3815" i="2"/>
  <c r="M3815" i="2"/>
  <c r="L3815" i="2"/>
  <c r="K3815" i="2"/>
  <c r="J3815" i="2"/>
  <c r="I3815" i="2"/>
  <c r="H3815" i="2"/>
  <c r="G3815" i="2"/>
  <c r="F3815" i="2"/>
  <c r="D3815" i="2"/>
  <c r="C3815" i="2"/>
  <c r="B3815" i="2"/>
  <c r="A3815" i="2"/>
  <c r="N3814" i="2"/>
  <c r="M3814" i="2"/>
  <c r="L3814" i="2"/>
  <c r="K3814" i="2"/>
  <c r="J3814" i="2"/>
  <c r="I3814" i="2"/>
  <c r="H3814" i="2"/>
  <c r="G3814" i="2"/>
  <c r="F3814" i="2"/>
  <c r="D3814" i="2"/>
  <c r="C3814" i="2"/>
  <c r="B3814" i="2"/>
  <c r="A3814" i="2"/>
  <c r="N3813" i="2"/>
  <c r="M3813" i="2"/>
  <c r="L3813" i="2"/>
  <c r="K3813" i="2"/>
  <c r="J3813" i="2"/>
  <c r="I3813" i="2"/>
  <c r="H3813" i="2"/>
  <c r="F3813" i="2"/>
  <c r="D3813" i="2"/>
  <c r="C3813" i="2"/>
  <c r="B3813" i="2"/>
  <c r="A3813" i="2"/>
  <c r="M3812" i="2"/>
  <c r="L3812" i="2"/>
  <c r="K3812" i="2"/>
  <c r="J3812" i="2"/>
  <c r="I3812" i="2"/>
  <c r="H3812" i="2"/>
  <c r="G3812" i="2"/>
  <c r="F3812" i="2"/>
  <c r="D3812" i="2"/>
  <c r="C3812" i="2"/>
  <c r="B3812" i="2"/>
  <c r="A3812" i="2"/>
  <c r="M3811" i="2"/>
  <c r="L3811" i="2"/>
  <c r="K3811" i="2"/>
  <c r="J3811" i="2"/>
  <c r="I3811" i="2"/>
  <c r="H3811" i="2"/>
  <c r="G3811" i="2"/>
  <c r="F3811" i="2"/>
  <c r="D3811" i="2"/>
  <c r="C3811" i="2"/>
  <c r="B3811" i="2"/>
  <c r="A3811" i="2"/>
  <c r="N3810" i="2"/>
  <c r="M3810" i="2"/>
  <c r="L3810" i="2"/>
  <c r="K3810" i="2"/>
  <c r="J3810" i="2"/>
  <c r="I3810" i="2"/>
  <c r="H3810" i="2"/>
  <c r="G3810" i="2"/>
  <c r="F3810" i="2"/>
  <c r="D3810" i="2"/>
  <c r="C3810" i="2"/>
  <c r="B3810" i="2"/>
  <c r="A3810" i="2"/>
  <c r="M3809" i="2"/>
  <c r="L3809" i="2"/>
  <c r="K3809" i="2"/>
  <c r="J3809" i="2"/>
  <c r="I3809" i="2"/>
  <c r="H3809" i="2"/>
  <c r="G3809" i="2"/>
  <c r="F3809" i="2"/>
  <c r="D3809" i="2"/>
  <c r="C3809" i="2"/>
  <c r="B3809" i="2"/>
  <c r="A3809" i="2"/>
  <c r="M3808" i="2"/>
  <c r="L3808" i="2"/>
  <c r="K3808" i="2"/>
  <c r="J3808" i="2"/>
  <c r="I3808" i="2"/>
  <c r="H3808" i="2"/>
  <c r="G3808" i="2"/>
  <c r="F3808" i="2"/>
  <c r="D3808" i="2"/>
  <c r="C3808" i="2"/>
  <c r="B3808" i="2"/>
  <c r="A3808" i="2"/>
  <c r="M3807" i="2"/>
  <c r="L3807" i="2"/>
  <c r="K3807" i="2"/>
  <c r="J3807" i="2"/>
  <c r="I3807" i="2"/>
  <c r="H3807" i="2"/>
  <c r="G3807" i="2"/>
  <c r="F3807" i="2"/>
  <c r="D3807" i="2"/>
  <c r="C3807" i="2"/>
  <c r="B3807" i="2"/>
  <c r="A3807" i="2"/>
  <c r="M3806" i="2"/>
  <c r="L3806" i="2"/>
  <c r="K3806" i="2"/>
  <c r="J3806" i="2"/>
  <c r="I3806" i="2"/>
  <c r="H3806" i="2"/>
  <c r="G3806" i="2"/>
  <c r="F3806" i="2"/>
  <c r="D3806" i="2"/>
  <c r="C3806" i="2"/>
  <c r="B3806" i="2"/>
  <c r="A3806" i="2"/>
  <c r="M3805" i="2"/>
  <c r="L3805" i="2"/>
  <c r="J3805" i="2"/>
  <c r="I3805" i="2"/>
  <c r="H3805" i="2"/>
  <c r="F3805" i="2"/>
  <c r="D3805" i="2"/>
  <c r="C3805" i="2"/>
  <c r="B3805" i="2"/>
  <c r="A3805" i="2"/>
  <c r="M3804" i="2"/>
  <c r="L3804" i="2"/>
  <c r="J3804" i="2"/>
  <c r="I3804" i="2"/>
  <c r="H3804" i="2"/>
  <c r="F3804" i="2"/>
  <c r="D3804" i="2"/>
  <c r="C3804" i="2"/>
  <c r="B3804" i="2"/>
  <c r="A3804" i="2"/>
  <c r="M3803" i="2"/>
  <c r="L3803" i="2"/>
  <c r="J3803" i="2"/>
  <c r="I3803" i="2"/>
  <c r="H3803" i="2"/>
  <c r="F3803" i="2"/>
  <c r="D3803" i="2"/>
  <c r="C3803" i="2"/>
  <c r="B3803" i="2"/>
  <c r="A3803" i="2"/>
  <c r="M3802" i="2"/>
  <c r="L3802" i="2"/>
  <c r="K3802" i="2"/>
  <c r="J3802" i="2"/>
  <c r="I3802" i="2"/>
  <c r="H3802" i="2"/>
  <c r="F3802" i="2"/>
  <c r="D3802" i="2"/>
  <c r="C3802" i="2"/>
  <c r="B3802" i="2"/>
  <c r="A3802" i="2"/>
  <c r="M3801" i="2"/>
  <c r="L3801" i="2"/>
  <c r="K3801" i="2"/>
  <c r="J3801" i="2"/>
  <c r="I3801" i="2"/>
  <c r="H3801" i="2"/>
  <c r="G3801" i="2"/>
  <c r="F3801" i="2"/>
  <c r="D3801" i="2"/>
  <c r="C3801" i="2"/>
  <c r="B3801" i="2"/>
  <c r="A3801" i="2"/>
  <c r="M3800" i="2"/>
  <c r="L3800" i="2"/>
  <c r="K3800" i="2"/>
  <c r="J3800" i="2"/>
  <c r="I3800" i="2"/>
  <c r="H3800" i="2"/>
  <c r="G3800" i="2"/>
  <c r="F3800" i="2"/>
  <c r="D3800" i="2"/>
  <c r="C3800" i="2"/>
  <c r="B3800" i="2"/>
  <c r="A3800" i="2"/>
  <c r="M3799" i="2"/>
  <c r="L3799" i="2"/>
  <c r="K3799" i="2"/>
  <c r="J3799" i="2"/>
  <c r="I3799" i="2"/>
  <c r="H3799" i="2"/>
  <c r="G3799" i="2"/>
  <c r="F3799" i="2"/>
  <c r="D3799" i="2"/>
  <c r="C3799" i="2"/>
  <c r="B3799" i="2"/>
  <c r="A3799" i="2"/>
  <c r="M3798" i="2"/>
  <c r="L3798" i="2"/>
  <c r="K3798" i="2"/>
  <c r="J3798" i="2"/>
  <c r="I3798" i="2"/>
  <c r="H3798" i="2"/>
  <c r="G3798" i="2"/>
  <c r="F3798" i="2"/>
  <c r="D3798" i="2"/>
  <c r="C3798" i="2"/>
  <c r="B3798" i="2"/>
  <c r="A3798" i="2"/>
  <c r="M3797" i="2"/>
  <c r="L3797" i="2"/>
  <c r="K3797" i="2"/>
  <c r="J3797" i="2"/>
  <c r="I3797" i="2"/>
  <c r="H3797" i="2"/>
  <c r="F3797" i="2"/>
  <c r="D3797" i="2"/>
  <c r="C3797" i="2"/>
  <c r="B3797" i="2"/>
  <c r="A3797" i="2"/>
  <c r="M3796" i="2"/>
  <c r="L3796" i="2"/>
  <c r="K3796" i="2"/>
  <c r="J3796" i="2"/>
  <c r="I3796" i="2"/>
  <c r="H3796" i="2"/>
  <c r="F3796" i="2"/>
  <c r="D3796" i="2"/>
  <c r="C3796" i="2"/>
  <c r="B3796" i="2"/>
  <c r="A3796" i="2"/>
  <c r="M3795" i="2"/>
  <c r="L3795" i="2"/>
  <c r="K3795" i="2"/>
  <c r="J3795" i="2"/>
  <c r="I3795" i="2"/>
  <c r="H3795" i="2"/>
  <c r="F3795" i="2"/>
  <c r="D3795" i="2"/>
  <c r="C3795" i="2"/>
  <c r="B3795" i="2"/>
  <c r="A3795" i="2"/>
  <c r="M3794" i="2"/>
  <c r="L3794" i="2"/>
  <c r="K3794" i="2"/>
  <c r="J3794" i="2"/>
  <c r="I3794" i="2"/>
  <c r="H3794" i="2"/>
  <c r="F3794" i="2"/>
  <c r="D3794" i="2"/>
  <c r="C3794" i="2"/>
  <c r="B3794" i="2"/>
  <c r="A3794" i="2"/>
  <c r="M3793" i="2"/>
  <c r="L3793" i="2"/>
  <c r="K3793" i="2"/>
  <c r="J3793" i="2"/>
  <c r="I3793" i="2"/>
  <c r="H3793" i="2"/>
  <c r="G3793" i="2"/>
  <c r="F3793" i="2"/>
  <c r="D3793" i="2"/>
  <c r="C3793" i="2"/>
  <c r="B3793" i="2"/>
  <c r="A3793" i="2"/>
  <c r="M3792" i="2"/>
  <c r="L3792" i="2"/>
  <c r="K3792" i="2"/>
  <c r="J3792" i="2"/>
  <c r="I3792" i="2"/>
  <c r="H3792" i="2"/>
  <c r="G3792" i="2"/>
  <c r="F3792" i="2"/>
  <c r="D3792" i="2"/>
  <c r="C3792" i="2"/>
  <c r="B3792" i="2"/>
  <c r="A3792" i="2"/>
  <c r="M3791" i="2"/>
  <c r="L3791" i="2"/>
  <c r="K3791" i="2"/>
  <c r="J3791" i="2"/>
  <c r="I3791" i="2"/>
  <c r="H3791" i="2"/>
  <c r="G3791" i="2"/>
  <c r="F3791" i="2"/>
  <c r="D3791" i="2"/>
  <c r="C3791" i="2"/>
  <c r="B3791" i="2"/>
  <c r="A3791" i="2"/>
  <c r="M3790" i="2"/>
  <c r="L3790" i="2"/>
  <c r="K3790" i="2"/>
  <c r="J3790" i="2"/>
  <c r="I3790" i="2"/>
  <c r="H3790" i="2"/>
  <c r="G3790" i="2"/>
  <c r="F3790" i="2"/>
  <c r="D3790" i="2"/>
  <c r="C3790" i="2"/>
  <c r="B3790" i="2"/>
  <c r="A3790" i="2"/>
  <c r="M3789" i="2"/>
  <c r="L3789" i="2"/>
  <c r="K3789" i="2"/>
  <c r="J3789" i="2"/>
  <c r="I3789" i="2"/>
  <c r="H3789" i="2"/>
  <c r="G3789" i="2"/>
  <c r="F3789" i="2"/>
  <c r="D3789" i="2"/>
  <c r="C3789" i="2"/>
  <c r="B3789" i="2"/>
  <c r="A3789" i="2"/>
  <c r="M3788" i="2"/>
  <c r="L3788" i="2"/>
  <c r="K3788" i="2"/>
  <c r="J3788" i="2"/>
  <c r="I3788" i="2"/>
  <c r="H3788" i="2"/>
  <c r="G3788" i="2"/>
  <c r="F3788" i="2"/>
  <c r="D3788" i="2"/>
  <c r="C3788" i="2"/>
  <c r="B3788" i="2"/>
  <c r="A3788" i="2"/>
  <c r="M3787" i="2"/>
  <c r="L3787" i="2"/>
  <c r="K3787" i="2"/>
  <c r="J3787" i="2"/>
  <c r="I3787" i="2"/>
  <c r="H3787" i="2"/>
  <c r="G3787" i="2"/>
  <c r="F3787" i="2"/>
  <c r="D3787" i="2"/>
  <c r="C3787" i="2"/>
  <c r="B3787" i="2"/>
  <c r="A3787" i="2"/>
  <c r="M3786" i="2"/>
  <c r="L3786" i="2"/>
  <c r="K3786" i="2"/>
  <c r="J3786" i="2"/>
  <c r="I3786" i="2"/>
  <c r="H3786" i="2"/>
  <c r="G3786" i="2"/>
  <c r="F3786" i="2"/>
  <c r="D3786" i="2"/>
  <c r="C3786" i="2"/>
  <c r="B3786" i="2"/>
  <c r="A3786" i="2"/>
  <c r="M3785" i="2"/>
  <c r="L3785" i="2"/>
  <c r="K3785" i="2"/>
  <c r="J3785" i="2"/>
  <c r="I3785" i="2"/>
  <c r="H3785" i="2"/>
  <c r="G3785" i="2"/>
  <c r="F3785" i="2"/>
  <c r="D3785" i="2"/>
  <c r="C3785" i="2"/>
  <c r="B3785" i="2"/>
  <c r="A3785" i="2"/>
  <c r="M3784" i="2"/>
  <c r="L3784" i="2"/>
  <c r="K3784" i="2"/>
  <c r="J3784" i="2"/>
  <c r="I3784" i="2"/>
  <c r="H3784" i="2"/>
  <c r="G3784" i="2"/>
  <c r="F3784" i="2"/>
  <c r="D3784" i="2"/>
  <c r="C3784" i="2"/>
  <c r="B3784" i="2"/>
  <c r="A3784" i="2"/>
  <c r="M3783" i="2"/>
  <c r="L3783" i="2"/>
  <c r="K3783" i="2"/>
  <c r="J3783" i="2"/>
  <c r="I3783" i="2"/>
  <c r="H3783" i="2"/>
  <c r="G3783" i="2"/>
  <c r="F3783" i="2"/>
  <c r="D3783" i="2"/>
  <c r="C3783" i="2"/>
  <c r="B3783" i="2"/>
  <c r="A3783" i="2"/>
  <c r="M3782" i="2"/>
  <c r="L3782" i="2"/>
  <c r="K3782" i="2"/>
  <c r="J3782" i="2"/>
  <c r="I3782" i="2"/>
  <c r="H3782" i="2"/>
  <c r="G3782" i="2"/>
  <c r="F3782" i="2"/>
  <c r="D3782" i="2"/>
  <c r="C3782" i="2"/>
  <c r="B3782" i="2"/>
  <c r="A3782" i="2"/>
  <c r="M3781" i="2"/>
  <c r="L3781" i="2"/>
  <c r="K3781" i="2"/>
  <c r="J3781" i="2"/>
  <c r="I3781" i="2"/>
  <c r="H3781" i="2"/>
  <c r="G3781" i="2"/>
  <c r="F3781" i="2"/>
  <c r="D3781" i="2"/>
  <c r="C3781" i="2"/>
  <c r="B3781" i="2"/>
  <c r="A3781" i="2"/>
  <c r="M3780" i="2"/>
  <c r="L3780" i="2"/>
  <c r="J3780" i="2"/>
  <c r="I3780" i="2"/>
  <c r="H3780" i="2"/>
  <c r="F3780" i="2"/>
  <c r="D3780" i="2"/>
  <c r="C3780" i="2"/>
  <c r="B3780" i="2"/>
  <c r="A3780" i="2"/>
  <c r="M3779" i="2"/>
  <c r="L3779" i="2"/>
  <c r="K3779" i="2"/>
  <c r="J3779" i="2"/>
  <c r="I3779" i="2"/>
  <c r="H3779" i="2"/>
  <c r="F3779" i="2"/>
  <c r="D3779" i="2"/>
  <c r="C3779" i="2"/>
  <c r="B3779" i="2"/>
  <c r="A3779" i="2"/>
  <c r="M3778" i="2"/>
  <c r="L3778" i="2"/>
  <c r="K3778" i="2"/>
  <c r="J3778" i="2"/>
  <c r="I3778" i="2"/>
  <c r="H3778" i="2"/>
  <c r="F3778" i="2"/>
  <c r="D3778" i="2"/>
  <c r="C3778" i="2"/>
  <c r="B3778" i="2"/>
  <c r="A3778" i="2"/>
  <c r="M3777" i="2"/>
  <c r="L3777" i="2"/>
  <c r="K3777" i="2"/>
  <c r="J3777" i="2"/>
  <c r="I3777" i="2"/>
  <c r="H3777" i="2"/>
  <c r="F3777" i="2"/>
  <c r="D3777" i="2"/>
  <c r="C3777" i="2"/>
  <c r="B3777" i="2"/>
  <c r="A3777" i="2"/>
  <c r="M3776" i="2"/>
  <c r="L3776" i="2"/>
  <c r="K3776" i="2"/>
  <c r="J3776" i="2"/>
  <c r="I3776" i="2"/>
  <c r="H3776" i="2"/>
  <c r="F3776" i="2"/>
  <c r="D3776" i="2"/>
  <c r="C3776" i="2"/>
  <c r="B3776" i="2"/>
  <c r="A3776" i="2"/>
  <c r="M3775" i="2"/>
  <c r="L3775" i="2"/>
  <c r="K3775" i="2"/>
  <c r="J3775" i="2"/>
  <c r="I3775" i="2"/>
  <c r="H3775" i="2"/>
  <c r="F3775" i="2"/>
  <c r="D3775" i="2"/>
  <c r="C3775" i="2"/>
  <c r="B3775" i="2"/>
  <c r="A3775" i="2"/>
  <c r="M3774" i="2"/>
  <c r="L3774" i="2"/>
  <c r="K3774" i="2"/>
  <c r="J3774" i="2"/>
  <c r="I3774" i="2"/>
  <c r="H3774" i="2"/>
  <c r="G3774" i="2"/>
  <c r="F3774" i="2"/>
  <c r="D3774" i="2"/>
  <c r="C3774" i="2"/>
  <c r="B3774" i="2"/>
  <c r="A3774" i="2"/>
  <c r="M3773" i="2"/>
  <c r="L3773" i="2"/>
  <c r="K3773" i="2"/>
  <c r="J3773" i="2"/>
  <c r="I3773" i="2"/>
  <c r="H3773" i="2"/>
  <c r="G3773" i="2"/>
  <c r="F3773" i="2"/>
  <c r="D3773" i="2"/>
  <c r="C3773" i="2"/>
  <c r="B3773" i="2"/>
  <c r="A3773" i="2"/>
  <c r="M3772" i="2"/>
  <c r="L3772" i="2"/>
  <c r="K3772" i="2"/>
  <c r="J3772" i="2"/>
  <c r="I3772" i="2"/>
  <c r="H3772" i="2"/>
  <c r="G3772" i="2"/>
  <c r="F3772" i="2"/>
  <c r="D3772" i="2"/>
  <c r="C3772" i="2"/>
  <c r="B3772" i="2"/>
  <c r="A3772" i="2"/>
  <c r="M3771" i="2"/>
  <c r="L3771" i="2"/>
  <c r="K3771" i="2"/>
  <c r="J3771" i="2"/>
  <c r="I3771" i="2"/>
  <c r="H3771" i="2"/>
  <c r="G3771" i="2"/>
  <c r="F3771" i="2"/>
  <c r="D3771" i="2"/>
  <c r="C3771" i="2"/>
  <c r="B3771" i="2"/>
  <c r="A3771" i="2"/>
  <c r="M3770" i="2"/>
  <c r="L3770" i="2"/>
  <c r="K3770" i="2"/>
  <c r="J3770" i="2"/>
  <c r="I3770" i="2"/>
  <c r="H3770" i="2"/>
  <c r="G3770" i="2"/>
  <c r="F3770" i="2"/>
  <c r="D3770" i="2"/>
  <c r="C3770" i="2"/>
  <c r="B3770" i="2"/>
  <c r="A3770" i="2"/>
  <c r="M3769" i="2"/>
  <c r="L3769" i="2"/>
  <c r="K3769" i="2"/>
  <c r="J3769" i="2"/>
  <c r="I3769" i="2"/>
  <c r="H3769" i="2"/>
  <c r="G3769" i="2"/>
  <c r="F3769" i="2"/>
  <c r="D3769" i="2"/>
  <c r="C3769" i="2"/>
  <c r="B3769" i="2"/>
  <c r="A3769" i="2"/>
  <c r="M3768" i="2"/>
  <c r="L3768" i="2"/>
  <c r="K3768" i="2"/>
  <c r="J3768" i="2"/>
  <c r="I3768" i="2"/>
  <c r="H3768" i="2"/>
  <c r="G3768" i="2"/>
  <c r="F3768" i="2"/>
  <c r="D3768" i="2"/>
  <c r="C3768" i="2"/>
  <c r="B3768" i="2"/>
  <c r="A3768" i="2"/>
  <c r="M3767" i="2"/>
  <c r="L3767" i="2"/>
  <c r="K3767" i="2"/>
  <c r="J3767" i="2"/>
  <c r="I3767" i="2"/>
  <c r="H3767" i="2"/>
  <c r="G3767" i="2"/>
  <c r="F3767" i="2"/>
  <c r="D3767" i="2"/>
  <c r="C3767" i="2"/>
  <c r="B3767" i="2"/>
  <c r="A3767" i="2"/>
  <c r="M3766" i="2"/>
  <c r="L3766" i="2"/>
  <c r="K3766" i="2"/>
  <c r="J3766" i="2"/>
  <c r="I3766" i="2"/>
  <c r="H3766" i="2"/>
  <c r="G3766" i="2"/>
  <c r="F3766" i="2"/>
  <c r="D3766" i="2"/>
  <c r="C3766" i="2"/>
  <c r="B3766" i="2"/>
  <c r="A3766" i="2"/>
  <c r="M3765" i="2"/>
  <c r="L3765" i="2"/>
  <c r="K3765" i="2"/>
  <c r="J3765" i="2"/>
  <c r="I3765" i="2"/>
  <c r="H3765" i="2"/>
  <c r="G3765" i="2"/>
  <c r="F3765" i="2"/>
  <c r="D3765" i="2"/>
  <c r="C3765" i="2"/>
  <c r="B3765" i="2"/>
  <c r="A3765" i="2"/>
  <c r="M3764" i="2"/>
  <c r="L3764" i="2"/>
  <c r="K3764" i="2"/>
  <c r="J3764" i="2"/>
  <c r="I3764" i="2"/>
  <c r="H3764" i="2"/>
  <c r="G3764" i="2"/>
  <c r="F3764" i="2"/>
  <c r="D3764" i="2"/>
  <c r="C3764" i="2"/>
  <c r="B3764" i="2"/>
  <c r="A3764" i="2"/>
  <c r="M3763" i="2"/>
  <c r="L3763" i="2"/>
  <c r="K3763" i="2"/>
  <c r="J3763" i="2"/>
  <c r="I3763" i="2"/>
  <c r="H3763" i="2"/>
  <c r="G3763" i="2"/>
  <c r="F3763" i="2"/>
  <c r="D3763" i="2"/>
  <c r="C3763" i="2"/>
  <c r="B3763" i="2"/>
  <c r="A3763" i="2"/>
  <c r="M3762" i="2"/>
  <c r="L3762" i="2"/>
  <c r="K3762" i="2"/>
  <c r="J3762" i="2"/>
  <c r="I3762" i="2"/>
  <c r="H3762" i="2"/>
  <c r="G3762" i="2"/>
  <c r="F3762" i="2"/>
  <c r="D3762" i="2"/>
  <c r="C3762" i="2"/>
  <c r="B3762" i="2"/>
  <c r="A3762" i="2"/>
  <c r="M3761" i="2"/>
  <c r="L3761" i="2"/>
  <c r="K3761" i="2"/>
  <c r="J3761" i="2"/>
  <c r="I3761" i="2"/>
  <c r="H3761" i="2"/>
  <c r="G3761" i="2"/>
  <c r="F3761" i="2"/>
  <c r="D3761" i="2"/>
  <c r="C3761" i="2"/>
  <c r="B3761" i="2"/>
  <c r="A3761" i="2"/>
  <c r="M3760" i="2"/>
  <c r="L3760" i="2"/>
  <c r="J3760" i="2"/>
  <c r="I3760" i="2"/>
  <c r="H3760" i="2"/>
  <c r="F3760" i="2"/>
  <c r="D3760" i="2"/>
  <c r="C3760" i="2"/>
  <c r="B3760" i="2"/>
  <c r="A3760" i="2"/>
  <c r="M3759" i="2"/>
  <c r="L3759" i="2"/>
  <c r="K3759" i="2"/>
  <c r="J3759" i="2"/>
  <c r="I3759" i="2"/>
  <c r="H3759" i="2"/>
  <c r="F3759" i="2"/>
  <c r="D3759" i="2"/>
  <c r="C3759" i="2"/>
  <c r="B3759" i="2"/>
  <c r="A3759" i="2"/>
  <c r="M3758" i="2"/>
  <c r="L3758" i="2"/>
  <c r="K3758" i="2"/>
  <c r="J3758" i="2"/>
  <c r="I3758" i="2"/>
  <c r="H3758" i="2"/>
  <c r="F3758" i="2"/>
  <c r="D3758" i="2"/>
  <c r="C3758" i="2"/>
  <c r="B3758" i="2"/>
  <c r="A3758" i="2"/>
  <c r="M3757" i="2"/>
  <c r="L3757" i="2"/>
  <c r="K3757" i="2"/>
  <c r="J3757" i="2"/>
  <c r="I3757" i="2"/>
  <c r="H3757" i="2"/>
  <c r="F3757" i="2"/>
  <c r="D3757" i="2"/>
  <c r="C3757" i="2"/>
  <c r="B3757" i="2"/>
  <c r="A3757" i="2"/>
  <c r="M3756" i="2"/>
  <c r="L3756" i="2"/>
  <c r="K3756" i="2"/>
  <c r="J3756" i="2"/>
  <c r="I3756" i="2"/>
  <c r="H3756" i="2"/>
  <c r="F3756" i="2"/>
  <c r="D3756" i="2"/>
  <c r="C3756" i="2"/>
  <c r="B3756" i="2"/>
  <c r="A3756" i="2"/>
  <c r="M3755" i="2"/>
  <c r="L3755" i="2"/>
  <c r="K3755" i="2"/>
  <c r="J3755" i="2"/>
  <c r="I3755" i="2"/>
  <c r="H3755" i="2"/>
  <c r="F3755" i="2"/>
  <c r="D3755" i="2"/>
  <c r="C3755" i="2"/>
  <c r="B3755" i="2"/>
  <c r="A3755" i="2"/>
  <c r="M3754" i="2"/>
  <c r="L3754" i="2"/>
  <c r="K3754" i="2"/>
  <c r="J3754" i="2"/>
  <c r="I3754" i="2"/>
  <c r="H3754" i="2"/>
  <c r="F3754" i="2"/>
  <c r="D3754" i="2"/>
  <c r="C3754" i="2"/>
  <c r="B3754" i="2"/>
  <c r="A3754" i="2"/>
  <c r="M3753" i="2"/>
  <c r="L3753" i="2"/>
  <c r="K3753" i="2"/>
  <c r="J3753" i="2"/>
  <c r="I3753" i="2"/>
  <c r="H3753" i="2"/>
  <c r="G3753" i="2"/>
  <c r="F3753" i="2"/>
  <c r="D3753" i="2"/>
  <c r="C3753" i="2"/>
  <c r="B3753" i="2"/>
  <c r="A3753" i="2"/>
  <c r="M3752" i="2"/>
  <c r="L3752" i="2"/>
  <c r="K3752" i="2"/>
  <c r="J3752" i="2"/>
  <c r="I3752" i="2"/>
  <c r="H3752" i="2"/>
  <c r="G3752" i="2"/>
  <c r="F3752" i="2"/>
  <c r="D3752" i="2"/>
  <c r="C3752" i="2"/>
  <c r="B3752" i="2"/>
  <c r="A3752" i="2"/>
  <c r="M3751" i="2"/>
  <c r="L3751" i="2"/>
  <c r="K3751" i="2"/>
  <c r="J3751" i="2"/>
  <c r="I3751" i="2"/>
  <c r="H3751" i="2"/>
  <c r="G3751" i="2"/>
  <c r="F3751" i="2"/>
  <c r="D3751" i="2"/>
  <c r="C3751" i="2"/>
  <c r="B3751" i="2"/>
  <c r="A3751" i="2"/>
  <c r="M3750" i="2"/>
  <c r="L3750" i="2"/>
  <c r="K3750" i="2"/>
  <c r="J3750" i="2"/>
  <c r="I3750" i="2"/>
  <c r="H3750" i="2"/>
  <c r="G3750" i="2"/>
  <c r="F3750" i="2"/>
  <c r="D3750" i="2"/>
  <c r="C3750" i="2"/>
  <c r="B3750" i="2"/>
  <c r="A3750" i="2"/>
  <c r="M3749" i="2"/>
  <c r="L3749" i="2"/>
  <c r="K3749" i="2"/>
  <c r="J3749" i="2"/>
  <c r="I3749" i="2"/>
  <c r="H3749" i="2"/>
  <c r="G3749" i="2"/>
  <c r="F3749" i="2"/>
  <c r="D3749" i="2"/>
  <c r="C3749" i="2"/>
  <c r="B3749" i="2"/>
  <c r="A3749" i="2"/>
  <c r="M3748" i="2"/>
  <c r="L3748" i="2"/>
  <c r="K3748" i="2"/>
  <c r="J3748" i="2"/>
  <c r="I3748" i="2"/>
  <c r="H3748" i="2"/>
  <c r="G3748" i="2"/>
  <c r="F3748" i="2"/>
  <c r="D3748" i="2"/>
  <c r="C3748" i="2"/>
  <c r="B3748" i="2"/>
  <c r="A3748" i="2"/>
  <c r="M3747" i="2"/>
  <c r="L3747" i="2"/>
  <c r="K3747" i="2"/>
  <c r="J3747" i="2"/>
  <c r="I3747" i="2"/>
  <c r="H3747" i="2"/>
  <c r="G3747" i="2"/>
  <c r="F3747" i="2"/>
  <c r="D3747" i="2"/>
  <c r="C3747" i="2"/>
  <c r="B3747" i="2"/>
  <c r="A3747" i="2"/>
  <c r="M3746" i="2"/>
  <c r="L3746" i="2"/>
  <c r="K3746" i="2"/>
  <c r="J3746" i="2"/>
  <c r="I3746" i="2"/>
  <c r="H3746" i="2"/>
  <c r="G3746" i="2"/>
  <c r="F3746" i="2"/>
  <c r="D3746" i="2"/>
  <c r="C3746" i="2"/>
  <c r="B3746" i="2"/>
  <c r="A3746" i="2"/>
  <c r="M3745" i="2"/>
  <c r="L3745" i="2"/>
  <c r="K3745" i="2"/>
  <c r="J3745" i="2"/>
  <c r="I3745" i="2"/>
  <c r="H3745" i="2"/>
  <c r="G3745" i="2"/>
  <c r="F3745" i="2"/>
  <c r="D3745" i="2"/>
  <c r="C3745" i="2"/>
  <c r="B3745" i="2"/>
  <c r="A3745" i="2"/>
  <c r="M3744" i="2"/>
  <c r="L3744" i="2"/>
  <c r="K3744" i="2"/>
  <c r="J3744" i="2"/>
  <c r="I3744" i="2"/>
  <c r="H3744" i="2"/>
  <c r="G3744" i="2"/>
  <c r="F3744" i="2"/>
  <c r="D3744" i="2"/>
  <c r="C3744" i="2"/>
  <c r="B3744" i="2"/>
  <c r="A3744" i="2"/>
  <c r="M3743" i="2"/>
  <c r="L3743" i="2"/>
  <c r="K3743" i="2"/>
  <c r="J3743" i="2"/>
  <c r="I3743" i="2"/>
  <c r="H3743" i="2"/>
  <c r="G3743" i="2"/>
  <c r="F3743" i="2"/>
  <c r="D3743" i="2"/>
  <c r="C3743" i="2"/>
  <c r="B3743" i="2"/>
  <c r="A3743" i="2"/>
  <c r="M3742" i="2"/>
  <c r="L3742" i="2"/>
  <c r="K3742" i="2"/>
  <c r="J3742" i="2"/>
  <c r="I3742" i="2"/>
  <c r="H3742" i="2"/>
  <c r="G3742" i="2"/>
  <c r="F3742" i="2"/>
  <c r="D3742" i="2"/>
  <c r="C3742" i="2"/>
  <c r="B3742" i="2"/>
  <c r="A3742" i="2"/>
  <c r="M3741" i="2"/>
  <c r="L3741" i="2"/>
  <c r="K3741" i="2"/>
  <c r="J3741" i="2"/>
  <c r="I3741" i="2"/>
  <c r="H3741" i="2"/>
  <c r="G3741" i="2"/>
  <c r="F3741" i="2"/>
  <c r="D3741" i="2"/>
  <c r="C3741" i="2"/>
  <c r="B3741" i="2"/>
  <c r="A3741" i="2"/>
  <c r="M3740" i="2"/>
  <c r="L3740" i="2"/>
  <c r="K3740" i="2"/>
  <c r="J3740" i="2"/>
  <c r="I3740" i="2"/>
  <c r="H3740" i="2"/>
  <c r="G3740" i="2"/>
  <c r="F3740" i="2"/>
  <c r="D3740" i="2"/>
  <c r="C3740" i="2"/>
  <c r="B3740" i="2"/>
  <c r="A3740" i="2"/>
  <c r="M3739" i="2"/>
  <c r="L3739" i="2"/>
  <c r="K3739" i="2"/>
  <c r="J3739" i="2"/>
  <c r="I3739" i="2"/>
  <c r="H3739" i="2"/>
  <c r="G3739" i="2"/>
  <c r="F3739" i="2"/>
  <c r="D3739" i="2"/>
  <c r="C3739" i="2"/>
  <c r="B3739" i="2"/>
  <c r="A3739" i="2"/>
  <c r="M3738" i="2"/>
  <c r="L3738" i="2"/>
  <c r="K3738" i="2"/>
  <c r="J3738" i="2"/>
  <c r="I3738" i="2"/>
  <c r="H3738" i="2"/>
  <c r="G3738" i="2"/>
  <c r="F3738" i="2"/>
  <c r="D3738" i="2"/>
  <c r="C3738" i="2"/>
  <c r="B3738" i="2"/>
  <c r="A3738" i="2"/>
  <c r="M3737" i="2"/>
  <c r="L3737" i="2"/>
  <c r="K3737" i="2"/>
  <c r="J3737" i="2"/>
  <c r="I3737" i="2"/>
  <c r="H3737" i="2"/>
  <c r="G3737" i="2"/>
  <c r="F3737" i="2"/>
  <c r="D3737" i="2"/>
  <c r="C3737" i="2"/>
  <c r="B3737" i="2"/>
  <c r="A3737" i="2"/>
  <c r="M3736" i="2"/>
  <c r="L3736" i="2"/>
  <c r="J3736" i="2"/>
  <c r="I3736" i="2"/>
  <c r="H3736" i="2"/>
  <c r="F3736" i="2"/>
  <c r="D3736" i="2"/>
  <c r="C3736" i="2"/>
  <c r="B3736" i="2"/>
  <c r="A3736" i="2"/>
  <c r="M3735" i="2"/>
  <c r="L3735" i="2"/>
  <c r="K3735" i="2"/>
  <c r="J3735" i="2"/>
  <c r="I3735" i="2"/>
  <c r="H3735" i="2"/>
  <c r="G3735" i="2"/>
  <c r="F3735" i="2"/>
  <c r="D3735" i="2"/>
  <c r="C3735" i="2"/>
  <c r="B3735" i="2"/>
  <c r="A3735" i="2"/>
  <c r="M3734" i="2"/>
  <c r="L3734" i="2"/>
  <c r="K3734" i="2"/>
  <c r="J3734" i="2"/>
  <c r="I3734" i="2"/>
  <c r="H3734" i="2"/>
  <c r="G3734" i="2"/>
  <c r="F3734" i="2"/>
  <c r="D3734" i="2"/>
  <c r="C3734" i="2"/>
  <c r="B3734" i="2"/>
  <c r="A3734" i="2"/>
  <c r="M3733" i="2"/>
  <c r="L3733" i="2"/>
  <c r="K3733" i="2"/>
  <c r="J3733" i="2"/>
  <c r="I3733" i="2"/>
  <c r="H3733" i="2"/>
  <c r="F3733" i="2"/>
  <c r="D3733" i="2"/>
  <c r="C3733" i="2"/>
  <c r="B3733" i="2"/>
  <c r="A3733" i="2"/>
  <c r="M3732" i="2"/>
  <c r="L3732" i="2"/>
  <c r="K3732" i="2"/>
  <c r="J3732" i="2"/>
  <c r="I3732" i="2"/>
  <c r="H3732" i="2"/>
  <c r="F3732" i="2"/>
  <c r="D3732" i="2"/>
  <c r="C3732" i="2"/>
  <c r="B3732" i="2"/>
  <c r="A3732" i="2"/>
  <c r="M3731" i="2"/>
  <c r="L3731" i="2"/>
  <c r="K3731" i="2"/>
  <c r="J3731" i="2"/>
  <c r="I3731" i="2"/>
  <c r="H3731" i="2"/>
  <c r="F3731" i="2"/>
  <c r="D3731" i="2"/>
  <c r="C3731" i="2"/>
  <c r="B3731" i="2"/>
  <c r="A3731" i="2"/>
  <c r="M3730" i="2"/>
  <c r="L3730" i="2"/>
  <c r="K3730" i="2"/>
  <c r="J3730" i="2"/>
  <c r="I3730" i="2"/>
  <c r="H3730" i="2"/>
  <c r="F3730" i="2"/>
  <c r="D3730" i="2"/>
  <c r="C3730" i="2"/>
  <c r="B3730" i="2"/>
  <c r="A3730" i="2"/>
  <c r="M3729" i="2"/>
  <c r="L3729" i="2"/>
  <c r="K3729" i="2"/>
  <c r="J3729" i="2"/>
  <c r="I3729" i="2"/>
  <c r="H3729" i="2"/>
  <c r="G3729" i="2"/>
  <c r="F3729" i="2"/>
  <c r="D3729" i="2"/>
  <c r="C3729" i="2"/>
  <c r="B3729" i="2"/>
  <c r="A3729" i="2"/>
  <c r="M3728" i="2"/>
  <c r="L3728" i="2"/>
  <c r="K3728" i="2"/>
  <c r="J3728" i="2"/>
  <c r="I3728" i="2"/>
  <c r="H3728" i="2"/>
  <c r="G3728" i="2"/>
  <c r="F3728" i="2"/>
  <c r="D3728" i="2"/>
  <c r="C3728" i="2"/>
  <c r="B3728" i="2"/>
  <c r="A3728" i="2"/>
  <c r="M3727" i="2"/>
  <c r="L3727" i="2"/>
  <c r="K3727" i="2"/>
  <c r="J3727" i="2"/>
  <c r="I3727" i="2"/>
  <c r="H3727" i="2"/>
  <c r="G3727" i="2"/>
  <c r="F3727" i="2"/>
  <c r="D3727" i="2"/>
  <c r="C3727" i="2"/>
  <c r="B3727" i="2"/>
  <c r="A3727" i="2"/>
  <c r="M3726" i="2"/>
  <c r="L3726" i="2"/>
  <c r="K3726" i="2"/>
  <c r="J3726" i="2"/>
  <c r="I3726" i="2"/>
  <c r="H3726" i="2"/>
  <c r="G3726" i="2"/>
  <c r="F3726" i="2"/>
  <c r="D3726" i="2"/>
  <c r="C3726" i="2"/>
  <c r="B3726" i="2"/>
  <c r="A3726" i="2"/>
  <c r="M3725" i="2"/>
  <c r="L3725" i="2"/>
  <c r="K3725" i="2"/>
  <c r="J3725" i="2"/>
  <c r="I3725" i="2"/>
  <c r="H3725" i="2"/>
  <c r="G3725" i="2"/>
  <c r="F3725" i="2"/>
  <c r="D3725" i="2"/>
  <c r="C3725" i="2"/>
  <c r="B3725" i="2"/>
  <c r="A3725" i="2"/>
  <c r="M3724" i="2"/>
  <c r="L3724" i="2"/>
  <c r="K3724" i="2"/>
  <c r="J3724" i="2"/>
  <c r="I3724" i="2"/>
  <c r="H3724" i="2"/>
  <c r="G3724" i="2"/>
  <c r="F3724" i="2"/>
  <c r="D3724" i="2"/>
  <c r="C3724" i="2"/>
  <c r="B3724" i="2"/>
  <c r="A3724" i="2"/>
  <c r="M3723" i="2"/>
  <c r="L3723" i="2"/>
  <c r="K3723" i="2"/>
  <c r="J3723" i="2"/>
  <c r="I3723" i="2"/>
  <c r="H3723" i="2"/>
  <c r="G3723" i="2"/>
  <c r="F3723" i="2"/>
  <c r="D3723" i="2"/>
  <c r="C3723" i="2"/>
  <c r="B3723" i="2"/>
  <c r="A3723" i="2"/>
  <c r="M3722" i="2"/>
  <c r="L3722" i="2"/>
  <c r="K3722" i="2"/>
  <c r="J3722" i="2"/>
  <c r="I3722" i="2"/>
  <c r="H3722" i="2"/>
  <c r="G3722" i="2"/>
  <c r="F3722" i="2"/>
  <c r="D3722" i="2"/>
  <c r="C3722" i="2"/>
  <c r="B3722" i="2"/>
  <c r="A3722" i="2"/>
  <c r="M3721" i="2"/>
  <c r="L3721" i="2"/>
  <c r="K3721" i="2"/>
  <c r="J3721" i="2"/>
  <c r="I3721" i="2"/>
  <c r="H3721" i="2"/>
  <c r="G3721" i="2"/>
  <c r="F3721" i="2"/>
  <c r="D3721" i="2"/>
  <c r="C3721" i="2"/>
  <c r="B3721" i="2"/>
  <c r="A3721" i="2"/>
  <c r="M3720" i="2"/>
  <c r="L3720" i="2"/>
  <c r="K3720" i="2"/>
  <c r="J3720" i="2"/>
  <c r="I3720" i="2"/>
  <c r="H3720" i="2"/>
  <c r="G3720" i="2"/>
  <c r="F3720" i="2"/>
  <c r="D3720" i="2"/>
  <c r="C3720" i="2"/>
  <c r="B3720" i="2"/>
  <c r="A3720" i="2"/>
  <c r="M3719" i="2"/>
  <c r="L3719" i="2"/>
  <c r="K3719" i="2"/>
  <c r="J3719" i="2"/>
  <c r="I3719" i="2"/>
  <c r="H3719" i="2"/>
  <c r="G3719" i="2"/>
  <c r="F3719" i="2"/>
  <c r="D3719" i="2"/>
  <c r="C3719" i="2"/>
  <c r="B3719" i="2"/>
  <c r="A3719" i="2"/>
  <c r="M3718" i="2"/>
  <c r="L3718" i="2"/>
  <c r="K3718" i="2"/>
  <c r="J3718" i="2"/>
  <c r="I3718" i="2"/>
  <c r="H3718" i="2"/>
  <c r="G3718" i="2"/>
  <c r="F3718" i="2"/>
  <c r="D3718" i="2"/>
  <c r="C3718" i="2"/>
  <c r="B3718" i="2"/>
  <c r="A3718" i="2"/>
  <c r="M3717" i="2"/>
  <c r="L3717" i="2"/>
  <c r="K3717" i="2"/>
  <c r="J3717" i="2"/>
  <c r="I3717" i="2"/>
  <c r="H3717" i="2"/>
  <c r="G3717" i="2"/>
  <c r="F3717" i="2"/>
  <c r="D3717" i="2"/>
  <c r="C3717" i="2"/>
  <c r="B3717" i="2"/>
  <c r="A3717" i="2"/>
  <c r="M3716" i="2"/>
  <c r="L3716" i="2"/>
  <c r="K3716" i="2"/>
  <c r="J3716" i="2"/>
  <c r="I3716" i="2"/>
  <c r="H3716" i="2"/>
  <c r="F3716" i="2"/>
  <c r="D3716" i="2"/>
  <c r="C3716" i="2"/>
  <c r="B3716" i="2"/>
  <c r="A3716" i="2"/>
  <c r="M3715" i="2"/>
  <c r="L3715" i="2"/>
  <c r="K3715" i="2"/>
  <c r="J3715" i="2"/>
  <c r="I3715" i="2"/>
  <c r="H3715" i="2"/>
  <c r="G3715" i="2"/>
  <c r="F3715" i="2"/>
  <c r="D3715" i="2"/>
  <c r="C3715" i="2"/>
  <c r="B3715" i="2"/>
  <c r="A3715" i="2"/>
  <c r="M3714" i="2"/>
  <c r="L3714" i="2"/>
  <c r="K3714" i="2"/>
  <c r="J3714" i="2"/>
  <c r="I3714" i="2"/>
  <c r="H3714" i="2"/>
  <c r="F3714" i="2"/>
  <c r="D3714" i="2"/>
  <c r="C3714" i="2"/>
  <c r="B3714" i="2"/>
  <c r="A3714" i="2"/>
  <c r="M3713" i="2"/>
  <c r="L3713" i="2"/>
  <c r="K3713" i="2"/>
  <c r="I3713" i="2"/>
  <c r="H3713" i="2"/>
  <c r="F3713" i="2"/>
  <c r="E3713" i="2"/>
  <c r="D3713" i="2"/>
  <c r="C3713" i="2"/>
  <c r="B3713" i="2"/>
  <c r="A3713" i="2"/>
  <c r="M3712" i="2"/>
  <c r="L3712" i="2"/>
  <c r="K3712" i="2"/>
  <c r="I3712" i="2"/>
  <c r="H3712" i="2"/>
  <c r="F3712" i="2"/>
  <c r="E3712" i="2"/>
  <c r="D3712" i="2"/>
  <c r="C3712" i="2"/>
  <c r="B3712" i="2"/>
  <c r="A3712" i="2"/>
  <c r="M3711" i="2"/>
  <c r="L3711" i="2"/>
  <c r="J3711" i="2"/>
  <c r="I3711" i="2"/>
  <c r="H3711" i="2"/>
  <c r="F3711" i="2"/>
  <c r="D3711" i="2"/>
  <c r="C3711" i="2"/>
  <c r="B3711" i="2"/>
  <c r="A3711" i="2"/>
  <c r="M3710" i="2"/>
  <c r="L3710" i="2"/>
  <c r="K3710" i="2"/>
  <c r="J3710" i="2"/>
  <c r="I3710" i="2"/>
  <c r="H3710" i="2"/>
  <c r="G3710" i="2"/>
  <c r="F3710" i="2"/>
  <c r="D3710" i="2"/>
  <c r="C3710" i="2"/>
  <c r="B3710" i="2"/>
  <c r="A3710" i="2"/>
  <c r="M3709" i="2"/>
  <c r="L3709" i="2"/>
  <c r="K3709" i="2"/>
  <c r="J3709" i="2"/>
  <c r="I3709" i="2"/>
  <c r="H3709" i="2"/>
  <c r="F3709" i="2"/>
  <c r="D3709" i="2"/>
  <c r="C3709" i="2"/>
  <c r="B3709" i="2"/>
  <c r="A3709" i="2"/>
  <c r="M3708" i="2"/>
  <c r="L3708" i="2"/>
  <c r="K3708" i="2"/>
  <c r="J3708" i="2"/>
  <c r="I3708" i="2"/>
  <c r="H3708" i="2"/>
  <c r="G3708" i="2"/>
  <c r="F3708" i="2"/>
  <c r="D3708" i="2"/>
  <c r="C3708" i="2"/>
  <c r="B3708" i="2"/>
  <c r="A3708" i="2"/>
  <c r="M3707" i="2"/>
  <c r="L3707" i="2"/>
  <c r="K3707" i="2"/>
  <c r="J3707" i="2"/>
  <c r="I3707" i="2"/>
  <c r="H3707" i="2"/>
  <c r="G3707" i="2"/>
  <c r="F3707" i="2"/>
  <c r="D3707" i="2"/>
  <c r="C3707" i="2"/>
  <c r="B3707" i="2"/>
  <c r="A3707" i="2"/>
  <c r="M3706" i="2"/>
  <c r="L3706" i="2"/>
  <c r="K3706" i="2"/>
  <c r="J3706" i="2"/>
  <c r="I3706" i="2"/>
  <c r="H3706" i="2"/>
  <c r="F3706" i="2"/>
  <c r="D3706" i="2"/>
  <c r="C3706" i="2"/>
  <c r="B3706" i="2"/>
  <c r="A3706" i="2"/>
  <c r="M3705" i="2"/>
  <c r="L3705" i="2"/>
  <c r="K3705" i="2"/>
  <c r="J3705" i="2"/>
  <c r="I3705" i="2"/>
  <c r="H3705" i="2"/>
  <c r="F3705" i="2"/>
  <c r="D3705" i="2"/>
  <c r="C3705" i="2"/>
  <c r="B3705" i="2"/>
  <c r="A3705" i="2"/>
  <c r="M3704" i="2"/>
  <c r="L3704" i="2"/>
  <c r="K3704" i="2"/>
  <c r="J3704" i="2"/>
  <c r="I3704" i="2"/>
  <c r="H3704" i="2"/>
  <c r="F3704" i="2"/>
  <c r="D3704" i="2"/>
  <c r="C3704" i="2"/>
  <c r="B3704" i="2"/>
  <c r="A3704" i="2"/>
  <c r="M3703" i="2"/>
  <c r="L3703" i="2"/>
  <c r="K3703" i="2"/>
  <c r="J3703" i="2"/>
  <c r="I3703" i="2"/>
  <c r="H3703" i="2"/>
  <c r="G3703" i="2"/>
  <c r="F3703" i="2"/>
  <c r="D3703" i="2"/>
  <c r="C3703" i="2"/>
  <c r="B3703" i="2"/>
  <c r="A3703" i="2"/>
  <c r="M3702" i="2"/>
  <c r="L3702" i="2"/>
  <c r="K3702" i="2"/>
  <c r="J3702" i="2"/>
  <c r="I3702" i="2"/>
  <c r="H3702" i="2"/>
  <c r="G3702" i="2"/>
  <c r="F3702" i="2"/>
  <c r="D3702" i="2"/>
  <c r="C3702" i="2"/>
  <c r="B3702" i="2"/>
  <c r="A3702" i="2"/>
  <c r="M3701" i="2"/>
  <c r="L3701" i="2"/>
  <c r="K3701" i="2"/>
  <c r="J3701" i="2"/>
  <c r="I3701" i="2"/>
  <c r="H3701" i="2"/>
  <c r="G3701" i="2"/>
  <c r="F3701" i="2"/>
  <c r="D3701" i="2"/>
  <c r="C3701" i="2"/>
  <c r="B3701" i="2"/>
  <c r="A3701" i="2"/>
  <c r="M3700" i="2"/>
  <c r="L3700" i="2"/>
  <c r="K3700" i="2"/>
  <c r="J3700" i="2"/>
  <c r="I3700" i="2"/>
  <c r="H3700" i="2"/>
  <c r="F3700" i="2"/>
  <c r="D3700" i="2"/>
  <c r="C3700" i="2"/>
  <c r="B3700" i="2"/>
  <c r="A3700" i="2"/>
  <c r="M3699" i="2"/>
  <c r="L3699" i="2"/>
  <c r="K3699" i="2"/>
  <c r="J3699" i="2"/>
  <c r="I3699" i="2"/>
  <c r="H3699" i="2"/>
  <c r="F3699" i="2"/>
  <c r="D3699" i="2"/>
  <c r="C3699" i="2"/>
  <c r="B3699" i="2"/>
  <c r="A3699" i="2"/>
  <c r="M3698" i="2"/>
  <c r="L3698" i="2"/>
  <c r="K3698" i="2"/>
  <c r="J3698" i="2"/>
  <c r="I3698" i="2"/>
  <c r="H3698" i="2"/>
  <c r="F3698" i="2"/>
  <c r="D3698" i="2"/>
  <c r="C3698" i="2"/>
  <c r="B3698" i="2"/>
  <c r="A3698" i="2"/>
  <c r="M3697" i="2"/>
  <c r="L3697" i="2"/>
  <c r="K3697" i="2"/>
  <c r="J3697" i="2"/>
  <c r="I3697" i="2"/>
  <c r="H3697" i="2"/>
  <c r="F3697" i="2"/>
  <c r="D3697" i="2"/>
  <c r="C3697" i="2"/>
  <c r="B3697" i="2"/>
  <c r="A3697" i="2"/>
  <c r="M3696" i="2"/>
  <c r="L3696" i="2"/>
  <c r="K3696" i="2"/>
  <c r="J3696" i="2"/>
  <c r="I3696" i="2"/>
  <c r="H3696" i="2"/>
  <c r="F3696" i="2"/>
  <c r="D3696" i="2"/>
  <c r="C3696" i="2"/>
  <c r="B3696" i="2"/>
  <c r="A3696" i="2"/>
  <c r="M3695" i="2"/>
  <c r="L3695" i="2"/>
  <c r="K3695" i="2"/>
  <c r="J3695" i="2"/>
  <c r="I3695" i="2"/>
  <c r="H3695" i="2"/>
  <c r="F3695" i="2"/>
  <c r="D3695" i="2"/>
  <c r="C3695" i="2"/>
  <c r="B3695" i="2"/>
  <c r="A3695" i="2"/>
  <c r="M3694" i="2"/>
  <c r="L3694" i="2"/>
  <c r="K3694" i="2"/>
  <c r="J3694" i="2"/>
  <c r="I3694" i="2"/>
  <c r="H3694" i="2"/>
  <c r="F3694" i="2"/>
  <c r="D3694" i="2"/>
  <c r="C3694" i="2"/>
  <c r="B3694" i="2"/>
  <c r="A3694" i="2"/>
  <c r="M3693" i="2"/>
  <c r="L3693" i="2"/>
  <c r="K3693" i="2"/>
  <c r="J3693" i="2"/>
  <c r="I3693" i="2"/>
  <c r="H3693" i="2"/>
  <c r="G3693" i="2"/>
  <c r="F3693" i="2"/>
  <c r="D3693" i="2"/>
  <c r="C3693" i="2"/>
  <c r="B3693" i="2"/>
  <c r="A3693" i="2"/>
  <c r="M3692" i="2"/>
  <c r="L3692" i="2"/>
  <c r="K3692" i="2"/>
  <c r="J3692" i="2"/>
  <c r="I3692" i="2"/>
  <c r="H3692" i="2"/>
  <c r="G3692" i="2"/>
  <c r="F3692" i="2"/>
  <c r="D3692" i="2"/>
  <c r="C3692" i="2"/>
  <c r="B3692" i="2"/>
  <c r="A3692" i="2"/>
  <c r="M3691" i="2"/>
  <c r="L3691" i="2"/>
  <c r="K3691" i="2"/>
  <c r="J3691" i="2"/>
  <c r="I3691" i="2"/>
  <c r="H3691" i="2"/>
  <c r="G3691" i="2"/>
  <c r="F3691" i="2"/>
  <c r="D3691" i="2"/>
  <c r="C3691" i="2"/>
  <c r="B3691" i="2"/>
  <c r="A3691" i="2"/>
  <c r="M3690" i="2"/>
  <c r="L3690" i="2"/>
  <c r="K3690" i="2"/>
  <c r="J3690" i="2"/>
  <c r="I3690" i="2"/>
  <c r="H3690" i="2"/>
  <c r="G3690" i="2"/>
  <c r="F3690" i="2"/>
  <c r="D3690" i="2"/>
  <c r="C3690" i="2"/>
  <c r="B3690" i="2"/>
  <c r="A3690" i="2"/>
  <c r="M3689" i="2"/>
  <c r="L3689" i="2"/>
  <c r="K3689" i="2"/>
  <c r="J3689" i="2"/>
  <c r="I3689" i="2"/>
  <c r="H3689" i="2"/>
  <c r="G3689" i="2"/>
  <c r="F3689" i="2"/>
  <c r="D3689" i="2"/>
  <c r="C3689" i="2"/>
  <c r="B3689" i="2"/>
  <c r="A3689" i="2"/>
  <c r="M3688" i="2"/>
  <c r="L3688" i="2"/>
  <c r="K3688" i="2"/>
  <c r="J3688" i="2"/>
  <c r="I3688" i="2"/>
  <c r="H3688" i="2"/>
  <c r="G3688" i="2"/>
  <c r="F3688" i="2"/>
  <c r="D3688" i="2"/>
  <c r="C3688" i="2"/>
  <c r="B3688" i="2"/>
  <c r="A3688" i="2"/>
  <c r="M3687" i="2"/>
  <c r="L3687" i="2"/>
  <c r="K3687" i="2"/>
  <c r="J3687" i="2"/>
  <c r="I3687" i="2"/>
  <c r="H3687" i="2"/>
  <c r="G3687" i="2"/>
  <c r="F3687" i="2"/>
  <c r="D3687" i="2"/>
  <c r="C3687" i="2"/>
  <c r="B3687" i="2"/>
  <c r="A3687" i="2"/>
  <c r="M3686" i="2"/>
  <c r="L3686" i="2"/>
  <c r="K3686" i="2"/>
  <c r="J3686" i="2"/>
  <c r="I3686" i="2"/>
  <c r="H3686" i="2"/>
  <c r="G3686" i="2"/>
  <c r="F3686" i="2"/>
  <c r="D3686" i="2"/>
  <c r="C3686" i="2"/>
  <c r="B3686" i="2"/>
  <c r="A3686" i="2"/>
  <c r="M3685" i="2"/>
  <c r="L3685" i="2"/>
  <c r="K3685" i="2"/>
  <c r="J3685" i="2"/>
  <c r="I3685" i="2"/>
  <c r="H3685" i="2"/>
  <c r="G3685" i="2"/>
  <c r="F3685" i="2"/>
  <c r="D3685" i="2"/>
  <c r="C3685" i="2"/>
  <c r="B3685" i="2"/>
  <c r="A3685" i="2"/>
  <c r="M3684" i="2"/>
  <c r="L3684" i="2"/>
  <c r="K3684" i="2"/>
  <c r="J3684" i="2"/>
  <c r="I3684" i="2"/>
  <c r="H3684" i="2"/>
  <c r="G3684" i="2"/>
  <c r="F3684" i="2"/>
  <c r="D3684" i="2"/>
  <c r="C3684" i="2"/>
  <c r="B3684" i="2"/>
  <c r="A3684" i="2"/>
  <c r="M3683" i="2"/>
  <c r="L3683" i="2"/>
  <c r="K3683" i="2"/>
  <c r="J3683" i="2"/>
  <c r="I3683" i="2"/>
  <c r="H3683" i="2"/>
  <c r="G3683" i="2"/>
  <c r="F3683" i="2"/>
  <c r="D3683" i="2"/>
  <c r="C3683" i="2"/>
  <c r="B3683" i="2"/>
  <c r="A3683" i="2"/>
  <c r="M3682" i="2"/>
  <c r="L3682" i="2"/>
  <c r="K3682" i="2"/>
  <c r="J3682" i="2"/>
  <c r="I3682" i="2"/>
  <c r="H3682" i="2"/>
  <c r="G3682" i="2"/>
  <c r="F3682" i="2"/>
  <c r="D3682" i="2"/>
  <c r="C3682" i="2"/>
  <c r="B3682" i="2"/>
  <c r="A3682" i="2"/>
  <c r="M3681" i="2"/>
  <c r="L3681" i="2"/>
  <c r="K3681" i="2"/>
  <c r="J3681" i="2"/>
  <c r="I3681" i="2"/>
  <c r="H3681" i="2"/>
  <c r="G3681" i="2"/>
  <c r="F3681" i="2"/>
  <c r="D3681" i="2"/>
  <c r="C3681" i="2"/>
  <c r="B3681" i="2"/>
  <c r="A3681" i="2"/>
  <c r="M3680" i="2"/>
  <c r="J3680" i="2"/>
  <c r="I3680" i="2"/>
  <c r="H3680" i="2"/>
  <c r="G3680" i="2"/>
  <c r="F3680" i="2"/>
  <c r="C3680" i="2"/>
  <c r="B3680" i="2"/>
  <c r="A3680" i="2"/>
  <c r="F3679" i="2"/>
  <c r="D3679" i="2"/>
  <c r="C3679" i="2"/>
  <c r="A3679" i="2"/>
  <c r="M3678" i="2"/>
  <c r="L3678" i="2"/>
  <c r="K3678" i="2"/>
  <c r="J3678" i="2"/>
  <c r="I3678" i="2"/>
  <c r="H3678" i="2"/>
  <c r="G3678" i="2"/>
  <c r="F3678" i="2"/>
  <c r="D3678" i="2"/>
  <c r="C3678" i="2"/>
  <c r="B3678" i="2"/>
  <c r="A3678" i="2"/>
  <c r="M3677" i="2"/>
  <c r="L3677" i="2"/>
  <c r="K3677" i="2"/>
  <c r="J3677" i="2"/>
  <c r="I3677" i="2"/>
  <c r="H3677" i="2"/>
  <c r="F3677" i="2"/>
  <c r="D3677" i="2"/>
  <c r="C3677" i="2"/>
  <c r="B3677" i="2"/>
  <c r="A3677" i="2"/>
  <c r="M3676" i="2"/>
  <c r="L3676" i="2"/>
  <c r="K3676" i="2"/>
  <c r="J3676" i="2"/>
  <c r="I3676" i="2"/>
  <c r="H3676" i="2"/>
  <c r="F3676" i="2"/>
  <c r="D3676" i="2"/>
  <c r="C3676" i="2"/>
  <c r="B3676" i="2"/>
  <c r="A3676" i="2"/>
  <c r="M3675" i="2"/>
  <c r="L3675" i="2"/>
  <c r="K3675" i="2"/>
  <c r="J3675" i="2"/>
  <c r="I3675" i="2"/>
  <c r="H3675" i="2"/>
  <c r="F3675" i="2"/>
  <c r="D3675" i="2"/>
  <c r="C3675" i="2"/>
  <c r="B3675" i="2"/>
  <c r="A3675" i="2"/>
  <c r="M3674" i="2"/>
  <c r="L3674" i="2"/>
  <c r="K3674" i="2"/>
  <c r="J3674" i="2"/>
  <c r="I3674" i="2"/>
  <c r="H3674" i="2"/>
  <c r="F3674" i="2"/>
  <c r="D3674" i="2"/>
  <c r="C3674" i="2"/>
  <c r="B3674" i="2"/>
  <c r="A3674" i="2"/>
  <c r="M3673" i="2"/>
  <c r="L3673" i="2"/>
  <c r="K3673" i="2"/>
  <c r="J3673" i="2"/>
  <c r="I3673" i="2"/>
  <c r="H3673" i="2"/>
  <c r="F3673" i="2"/>
  <c r="D3673" i="2"/>
  <c r="C3673" i="2"/>
  <c r="B3673" i="2"/>
  <c r="A3673" i="2"/>
  <c r="M3672" i="2"/>
  <c r="L3672" i="2"/>
  <c r="K3672" i="2"/>
  <c r="J3672" i="2"/>
  <c r="I3672" i="2"/>
  <c r="H3672" i="2"/>
  <c r="F3672" i="2"/>
  <c r="D3672" i="2"/>
  <c r="C3672" i="2"/>
  <c r="B3672" i="2"/>
  <c r="A3672" i="2"/>
  <c r="M3671" i="2"/>
  <c r="L3671" i="2"/>
  <c r="K3671" i="2"/>
  <c r="J3671" i="2"/>
  <c r="I3671" i="2"/>
  <c r="H3671" i="2"/>
  <c r="F3671" i="2"/>
  <c r="D3671" i="2"/>
  <c r="C3671" i="2"/>
  <c r="B3671" i="2"/>
  <c r="A3671" i="2"/>
  <c r="M3670" i="2"/>
  <c r="L3670" i="2"/>
  <c r="K3670" i="2"/>
  <c r="J3670" i="2"/>
  <c r="I3670" i="2"/>
  <c r="H3670" i="2"/>
  <c r="F3670" i="2"/>
  <c r="D3670" i="2"/>
  <c r="C3670" i="2"/>
  <c r="B3670" i="2"/>
  <c r="A3670" i="2"/>
  <c r="M3669" i="2"/>
  <c r="L3669" i="2"/>
  <c r="K3669" i="2"/>
  <c r="J3669" i="2"/>
  <c r="I3669" i="2"/>
  <c r="H3669" i="2"/>
  <c r="F3669" i="2"/>
  <c r="D3669" i="2"/>
  <c r="C3669" i="2"/>
  <c r="B3669" i="2"/>
  <c r="A3669" i="2"/>
  <c r="M3668" i="2"/>
  <c r="L3668" i="2"/>
  <c r="K3668" i="2"/>
  <c r="J3668" i="2"/>
  <c r="I3668" i="2"/>
  <c r="H3668" i="2"/>
  <c r="F3668" i="2"/>
  <c r="D3668" i="2"/>
  <c r="C3668" i="2"/>
  <c r="B3668" i="2"/>
  <c r="A3668" i="2"/>
  <c r="M3667" i="2"/>
  <c r="L3667" i="2"/>
  <c r="K3667" i="2"/>
  <c r="J3667" i="2"/>
  <c r="I3667" i="2"/>
  <c r="H3667" i="2"/>
  <c r="G3667" i="2"/>
  <c r="F3667" i="2"/>
  <c r="D3667" i="2"/>
  <c r="C3667" i="2"/>
  <c r="B3667" i="2"/>
  <c r="A3667" i="2"/>
  <c r="M3666" i="2"/>
  <c r="L3666" i="2"/>
  <c r="K3666" i="2"/>
  <c r="I3666" i="2"/>
  <c r="H3666" i="2"/>
  <c r="F3666" i="2"/>
  <c r="D3666" i="2"/>
  <c r="C3666" i="2"/>
  <c r="B3666" i="2"/>
  <c r="A3666" i="2"/>
  <c r="M3665" i="2"/>
  <c r="L3665" i="2"/>
  <c r="K3665" i="2"/>
  <c r="I3665" i="2"/>
  <c r="H3665" i="2"/>
  <c r="F3665" i="2"/>
  <c r="D3665" i="2"/>
  <c r="C3665" i="2"/>
  <c r="B3665" i="2"/>
  <c r="A3665" i="2"/>
  <c r="M3664" i="2"/>
  <c r="L3664" i="2"/>
  <c r="K3664" i="2"/>
  <c r="I3664" i="2"/>
  <c r="H3664" i="2"/>
  <c r="F3664" i="2"/>
  <c r="D3664" i="2"/>
  <c r="C3664" i="2"/>
  <c r="B3664" i="2"/>
  <c r="A3664" i="2"/>
  <c r="M3663" i="2"/>
  <c r="L3663" i="2"/>
  <c r="K3663" i="2"/>
  <c r="I3663" i="2"/>
  <c r="H3663" i="2"/>
  <c r="F3663" i="2"/>
  <c r="D3663" i="2"/>
  <c r="C3663" i="2"/>
  <c r="B3663" i="2"/>
  <c r="A3663" i="2"/>
  <c r="M3662" i="2"/>
  <c r="L3662" i="2"/>
  <c r="K3662" i="2"/>
  <c r="I3662" i="2"/>
  <c r="H3662" i="2"/>
  <c r="F3662" i="2"/>
  <c r="D3662" i="2"/>
  <c r="C3662" i="2"/>
  <c r="B3662" i="2"/>
  <c r="A3662" i="2"/>
  <c r="M3661" i="2"/>
  <c r="L3661" i="2"/>
  <c r="K3661" i="2"/>
  <c r="I3661" i="2"/>
  <c r="H3661" i="2"/>
  <c r="F3661" i="2"/>
  <c r="D3661" i="2"/>
  <c r="C3661" i="2"/>
  <c r="B3661" i="2"/>
  <c r="A3661" i="2"/>
  <c r="M3660" i="2"/>
  <c r="L3660" i="2"/>
  <c r="K3660" i="2"/>
  <c r="I3660" i="2"/>
  <c r="H3660" i="2"/>
  <c r="F3660" i="2"/>
  <c r="D3660" i="2"/>
  <c r="C3660" i="2"/>
  <c r="B3660" i="2"/>
  <c r="A3660" i="2"/>
  <c r="M3659" i="2"/>
  <c r="L3659" i="2"/>
  <c r="K3659" i="2"/>
  <c r="I3659" i="2"/>
  <c r="H3659" i="2"/>
  <c r="F3659" i="2"/>
  <c r="D3659" i="2"/>
  <c r="C3659" i="2"/>
  <c r="B3659" i="2"/>
  <c r="A3659" i="2"/>
  <c r="M3658" i="2"/>
  <c r="L3658" i="2"/>
  <c r="K3658" i="2"/>
  <c r="I3658" i="2"/>
  <c r="H3658" i="2"/>
  <c r="G3658" i="2"/>
  <c r="F3658" i="2"/>
  <c r="D3658" i="2"/>
  <c r="C3658" i="2"/>
  <c r="B3658" i="2"/>
  <c r="A3658" i="2"/>
  <c r="M3657" i="2"/>
  <c r="L3657" i="2"/>
  <c r="K3657" i="2"/>
  <c r="J3657" i="2"/>
  <c r="I3657" i="2"/>
  <c r="H3657" i="2"/>
  <c r="F3657" i="2"/>
  <c r="D3657" i="2"/>
  <c r="C3657" i="2"/>
  <c r="B3657" i="2"/>
  <c r="A3657" i="2"/>
  <c r="M3656" i="2"/>
  <c r="L3656" i="2"/>
  <c r="K3656" i="2"/>
  <c r="J3656" i="2"/>
  <c r="I3656" i="2"/>
  <c r="H3656" i="2"/>
  <c r="F3656" i="2"/>
  <c r="D3656" i="2"/>
  <c r="C3656" i="2"/>
  <c r="B3656" i="2"/>
  <c r="A3656" i="2"/>
  <c r="M3655" i="2"/>
  <c r="L3655" i="2"/>
  <c r="K3655" i="2"/>
  <c r="J3655" i="2"/>
  <c r="I3655" i="2"/>
  <c r="H3655" i="2"/>
  <c r="F3655" i="2"/>
  <c r="D3655" i="2"/>
  <c r="C3655" i="2"/>
  <c r="B3655" i="2"/>
  <c r="A3655" i="2"/>
  <c r="M3654" i="2"/>
  <c r="L3654" i="2"/>
  <c r="K3654" i="2"/>
  <c r="J3654" i="2"/>
  <c r="I3654" i="2"/>
  <c r="H3654" i="2"/>
  <c r="F3654" i="2"/>
  <c r="D3654" i="2"/>
  <c r="C3654" i="2"/>
  <c r="B3654" i="2"/>
  <c r="A3654" i="2"/>
  <c r="M3653" i="2"/>
  <c r="L3653" i="2"/>
  <c r="K3653" i="2"/>
  <c r="J3653" i="2"/>
  <c r="I3653" i="2"/>
  <c r="H3653" i="2"/>
  <c r="F3653" i="2"/>
  <c r="D3653" i="2"/>
  <c r="C3653" i="2"/>
  <c r="B3653" i="2"/>
  <c r="A3653" i="2"/>
  <c r="M3652" i="2"/>
  <c r="L3652" i="2"/>
  <c r="K3652" i="2"/>
  <c r="J3652" i="2"/>
  <c r="I3652" i="2"/>
  <c r="H3652" i="2"/>
  <c r="F3652" i="2"/>
  <c r="D3652" i="2"/>
  <c r="C3652" i="2"/>
  <c r="B3652" i="2"/>
  <c r="A3652" i="2"/>
  <c r="M3651" i="2"/>
  <c r="L3651" i="2"/>
  <c r="K3651" i="2"/>
  <c r="J3651" i="2"/>
  <c r="I3651" i="2"/>
  <c r="H3651" i="2"/>
  <c r="F3651" i="2"/>
  <c r="D3651" i="2"/>
  <c r="C3651" i="2"/>
  <c r="B3651" i="2"/>
  <c r="A3651" i="2"/>
  <c r="M3650" i="2"/>
  <c r="L3650" i="2"/>
  <c r="K3650" i="2"/>
  <c r="I3650" i="2"/>
  <c r="H3650" i="2"/>
  <c r="F3650" i="2"/>
  <c r="D3650" i="2"/>
  <c r="C3650" i="2"/>
  <c r="B3650" i="2"/>
  <c r="A3650" i="2"/>
  <c r="M3649" i="2"/>
  <c r="L3649" i="2"/>
  <c r="K3649" i="2"/>
  <c r="I3649" i="2"/>
  <c r="H3649" i="2"/>
  <c r="F3649" i="2"/>
  <c r="D3649" i="2"/>
  <c r="C3649" i="2"/>
  <c r="B3649" i="2"/>
  <c r="A3649" i="2"/>
  <c r="M3648" i="2"/>
  <c r="L3648" i="2"/>
  <c r="K3648" i="2"/>
  <c r="H3648" i="2"/>
  <c r="F3648" i="2"/>
  <c r="D3648" i="2"/>
  <c r="C3648" i="2"/>
  <c r="B3648" i="2"/>
  <c r="A3648" i="2"/>
  <c r="M3647" i="2"/>
  <c r="L3647" i="2"/>
  <c r="K3647" i="2"/>
  <c r="I3647" i="2"/>
  <c r="H3647" i="2"/>
  <c r="F3647" i="2"/>
  <c r="D3647" i="2"/>
  <c r="C3647" i="2"/>
  <c r="B3647" i="2"/>
  <c r="A3647" i="2"/>
  <c r="M3646" i="2"/>
  <c r="L3646" i="2"/>
  <c r="K3646" i="2"/>
  <c r="I3646" i="2"/>
  <c r="H3646" i="2"/>
  <c r="F3646" i="2"/>
  <c r="D3646" i="2"/>
  <c r="C3646" i="2"/>
  <c r="B3646" i="2"/>
  <c r="A3646" i="2"/>
  <c r="M3645" i="2"/>
  <c r="L3645" i="2"/>
  <c r="K3645" i="2"/>
  <c r="I3645" i="2"/>
  <c r="H3645" i="2"/>
  <c r="F3645" i="2"/>
  <c r="D3645" i="2"/>
  <c r="C3645" i="2"/>
  <c r="B3645" i="2"/>
  <c r="A3645" i="2"/>
  <c r="M3644" i="2"/>
  <c r="L3644" i="2"/>
  <c r="K3644" i="2"/>
  <c r="J3644" i="2"/>
  <c r="I3644" i="2"/>
  <c r="H3644" i="2"/>
  <c r="F3644" i="2"/>
  <c r="D3644" i="2"/>
  <c r="C3644" i="2"/>
  <c r="B3644" i="2"/>
  <c r="A3644" i="2"/>
  <c r="M3643" i="2"/>
  <c r="L3643" i="2"/>
  <c r="K3643" i="2"/>
  <c r="J3643" i="2"/>
  <c r="I3643" i="2"/>
  <c r="H3643" i="2"/>
  <c r="F3643" i="2"/>
  <c r="D3643" i="2"/>
  <c r="C3643" i="2"/>
  <c r="B3643" i="2"/>
  <c r="A3643" i="2"/>
  <c r="M3642" i="2"/>
  <c r="L3642" i="2"/>
  <c r="K3642" i="2"/>
  <c r="J3642" i="2"/>
  <c r="I3642" i="2"/>
  <c r="H3642" i="2"/>
  <c r="G3642" i="2"/>
  <c r="F3642" i="2"/>
  <c r="D3642" i="2"/>
  <c r="C3642" i="2"/>
  <c r="B3642" i="2"/>
  <c r="A3642" i="2"/>
  <c r="M3641" i="2"/>
  <c r="L3641" i="2"/>
  <c r="K3641" i="2"/>
  <c r="J3641" i="2"/>
  <c r="I3641" i="2"/>
  <c r="H3641" i="2"/>
  <c r="G3641" i="2"/>
  <c r="F3641" i="2"/>
  <c r="D3641" i="2"/>
  <c r="C3641" i="2"/>
  <c r="B3641" i="2"/>
  <c r="A3641" i="2"/>
  <c r="M3640" i="2"/>
  <c r="L3640" i="2"/>
  <c r="K3640" i="2"/>
  <c r="J3640" i="2"/>
  <c r="I3640" i="2"/>
  <c r="H3640" i="2"/>
  <c r="F3640" i="2"/>
  <c r="D3640" i="2"/>
  <c r="C3640" i="2"/>
  <c r="B3640" i="2"/>
  <c r="A3640" i="2"/>
  <c r="M3639" i="2"/>
  <c r="L3639" i="2"/>
  <c r="K3639" i="2"/>
  <c r="J3639" i="2"/>
  <c r="I3639" i="2"/>
  <c r="H3639" i="2"/>
  <c r="F3639" i="2"/>
  <c r="D3639" i="2"/>
  <c r="C3639" i="2"/>
  <c r="B3639" i="2"/>
  <c r="A3639" i="2"/>
  <c r="M3638" i="2"/>
  <c r="L3638" i="2"/>
  <c r="K3638" i="2"/>
  <c r="J3638" i="2"/>
  <c r="I3638" i="2"/>
  <c r="H3638" i="2"/>
  <c r="F3638" i="2"/>
  <c r="D3638" i="2"/>
  <c r="C3638" i="2"/>
  <c r="B3638" i="2"/>
  <c r="A3638" i="2"/>
  <c r="M3637" i="2"/>
  <c r="L3637" i="2"/>
  <c r="K3637" i="2"/>
  <c r="J3637" i="2"/>
  <c r="I3637" i="2"/>
  <c r="H3637" i="2"/>
  <c r="F3637" i="2"/>
  <c r="D3637" i="2"/>
  <c r="C3637" i="2"/>
  <c r="B3637" i="2"/>
  <c r="A3637" i="2"/>
  <c r="M3636" i="2"/>
  <c r="L3636" i="2"/>
  <c r="K3636" i="2"/>
  <c r="J3636" i="2"/>
  <c r="I3636" i="2"/>
  <c r="H3636" i="2"/>
  <c r="F3636" i="2"/>
  <c r="D3636" i="2"/>
  <c r="C3636" i="2"/>
  <c r="B3636" i="2"/>
  <c r="A3636" i="2"/>
  <c r="M3635" i="2"/>
  <c r="L3635" i="2"/>
  <c r="K3635" i="2"/>
  <c r="J3635" i="2"/>
  <c r="I3635" i="2"/>
  <c r="H3635" i="2"/>
  <c r="F3635" i="2"/>
  <c r="D3635" i="2"/>
  <c r="C3635" i="2"/>
  <c r="B3635" i="2"/>
  <c r="A3635" i="2"/>
  <c r="M3634" i="2"/>
  <c r="L3634" i="2"/>
  <c r="K3634" i="2"/>
  <c r="J3634" i="2"/>
  <c r="I3634" i="2"/>
  <c r="H3634" i="2"/>
  <c r="F3634" i="2"/>
  <c r="D3634" i="2"/>
  <c r="C3634" i="2"/>
  <c r="B3634" i="2"/>
  <c r="A3634" i="2"/>
  <c r="M3633" i="2"/>
  <c r="L3633" i="2"/>
  <c r="K3633" i="2"/>
  <c r="J3633" i="2"/>
  <c r="I3633" i="2"/>
  <c r="H3633" i="2"/>
  <c r="F3633" i="2"/>
  <c r="D3633" i="2"/>
  <c r="C3633" i="2"/>
  <c r="B3633" i="2"/>
  <c r="A3633" i="2"/>
  <c r="M3632" i="2"/>
  <c r="L3632" i="2"/>
  <c r="K3632" i="2"/>
  <c r="J3632" i="2"/>
  <c r="I3632" i="2"/>
  <c r="H3632" i="2"/>
  <c r="F3632" i="2"/>
  <c r="D3632" i="2"/>
  <c r="C3632" i="2"/>
  <c r="B3632" i="2"/>
  <c r="A3632" i="2"/>
  <c r="M3631" i="2"/>
  <c r="L3631" i="2"/>
  <c r="K3631" i="2"/>
  <c r="J3631" i="2"/>
  <c r="I3631" i="2"/>
  <c r="H3631" i="2"/>
  <c r="F3631" i="2"/>
  <c r="D3631" i="2"/>
  <c r="C3631" i="2"/>
  <c r="B3631" i="2"/>
  <c r="A3631" i="2"/>
  <c r="M3630" i="2"/>
  <c r="L3630" i="2"/>
  <c r="K3630" i="2"/>
  <c r="J3630" i="2"/>
  <c r="I3630" i="2"/>
  <c r="H3630" i="2"/>
  <c r="F3630" i="2"/>
  <c r="D3630" i="2"/>
  <c r="C3630" i="2"/>
  <c r="B3630" i="2"/>
  <c r="A3630" i="2"/>
  <c r="M3629" i="2"/>
  <c r="L3629" i="2"/>
  <c r="K3629" i="2"/>
  <c r="J3629" i="2"/>
  <c r="I3629" i="2"/>
  <c r="H3629" i="2"/>
  <c r="F3629" i="2"/>
  <c r="D3629" i="2"/>
  <c r="C3629" i="2"/>
  <c r="B3629" i="2"/>
  <c r="A3629" i="2"/>
  <c r="M3628" i="2"/>
  <c r="L3628" i="2"/>
  <c r="K3628" i="2"/>
  <c r="J3628" i="2"/>
  <c r="I3628" i="2"/>
  <c r="H3628" i="2"/>
  <c r="F3628" i="2"/>
  <c r="D3628" i="2"/>
  <c r="C3628" i="2"/>
  <c r="B3628" i="2"/>
  <c r="A3628" i="2"/>
  <c r="M3627" i="2"/>
  <c r="L3627" i="2"/>
  <c r="K3627" i="2"/>
  <c r="J3627" i="2"/>
  <c r="I3627" i="2"/>
  <c r="H3627" i="2"/>
  <c r="F3627" i="2"/>
  <c r="D3627" i="2"/>
  <c r="C3627" i="2"/>
  <c r="B3627" i="2"/>
  <c r="A3627" i="2"/>
  <c r="M3626" i="2"/>
  <c r="L3626" i="2"/>
  <c r="K3626" i="2"/>
  <c r="J3626" i="2"/>
  <c r="I3626" i="2"/>
  <c r="H3626" i="2"/>
  <c r="F3626" i="2"/>
  <c r="D3626" i="2"/>
  <c r="C3626" i="2"/>
  <c r="B3626" i="2"/>
  <c r="A3626" i="2"/>
  <c r="M3625" i="2"/>
  <c r="L3625" i="2"/>
  <c r="K3625" i="2"/>
  <c r="J3625" i="2"/>
  <c r="I3625" i="2"/>
  <c r="H3625" i="2"/>
  <c r="F3625" i="2"/>
  <c r="D3625" i="2"/>
  <c r="C3625" i="2"/>
  <c r="B3625" i="2"/>
  <c r="A3625" i="2"/>
  <c r="M3624" i="2"/>
  <c r="L3624" i="2"/>
  <c r="K3624" i="2"/>
  <c r="J3624" i="2"/>
  <c r="I3624" i="2"/>
  <c r="H3624" i="2"/>
  <c r="F3624" i="2"/>
  <c r="D3624" i="2"/>
  <c r="C3624" i="2"/>
  <c r="B3624" i="2"/>
  <c r="A3624" i="2"/>
  <c r="M3623" i="2"/>
  <c r="L3623" i="2"/>
  <c r="K3623" i="2"/>
  <c r="J3623" i="2"/>
  <c r="I3623" i="2"/>
  <c r="H3623" i="2"/>
  <c r="F3623" i="2"/>
  <c r="D3623" i="2"/>
  <c r="C3623" i="2"/>
  <c r="B3623" i="2"/>
  <c r="A3623" i="2"/>
  <c r="M3622" i="2"/>
  <c r="L3622" i="2"/>
  <c r="K3622" i="2"/>
  <c r="J3622" i="2"/>
  <c r="I3622" i="2"/>
  <c r="H3622" i="2"/>
  <c r="F3622" i="2"/>
  <c r="D3622" i="2"/>
  <c r="C3622" i="2"/>
  <c r="B3622" i="2"/>
  <c r="A3622" i="2"/>
  <c r="M3621" i="2"/>
  <c r="L3621" i="2"/>
  <c r="K3621" i="2"/>
  <c r="J3621" i="2"/>
  <c r="I3621" i="2"/>
  <c r="H3621" i="2"/>
  <c r="F3621" i="2"/>
  <c r="D3621" i="2"/>
  <c r="C3621" i="2"/>
  <c r="B3621" i="2"/>
  <c r="A3621" i="2"/>
  <c r="M3620" i="2"/>
  <c r="L3620" i="2"/>
  <c r="K3620" i="2"/>
  <c r="J3620" i="2"/>
  <c r="I3620" i="2"/>
  <c r="H3620" i="2"/>
  <c r="F3620" i="2"/>
  <c r="D3620" i="2"/>
  <c r="C3620" i="2"/>
  <c r="B3620" i="2"/>
  <c r="A3620" i="2"/>
  <c r="M3619" i="2"/>
  <c r="L3619" i="2"/>
  <c r="K3619" i="2"/>
  <c r="J3619" i="2"/>
  <c r="I3619" i="2"/>
  <c r="H3619" i="2"/>
  <c r="F3619" i="2"/>
  <c r="D3619" i="2"/>
  <c r="C3619" i="2"/>
  <c r="B3619" i="2"/>
  <c r="A3619" i="2"/>
  <c r="M3618" i="2"/>
  <c r="L3618" i="2"/>
  <c r="K3618" i="2"/>
  <c r="J3618" i="2"/>
  <c r="I3618" i="2"/>
  <c r="H3618" i="2"/>
  <c r="F3618" i="2"/>
  <c r="D3618" i="2"/>
  <c r="C3618" i="2"/>
  <c r="B3618" i="2"/>
  <c r="A3618" i="2"/>
  <c r="M3617" i="2"/>
  <c r="L3617" i="2"/>
  <c r="K3617" i="2"/>
  <c r="J3617" i="2"/>
  <c r="I3617" i="2"/>
  <c r="H3617" i="2"/>
  <c r="F3617" i="2"/>
  <c r="D3617" i="2"/>
  <c r="C3617" i="2"/>
  <c r="B3617" i="2"/>
  <c r="A3617" i="2"/>
  <c r="M3616" i="2"/>
  <c r="L3616" i="2"/>
  <c r="K3616" i="2"/>
  <c r="J3616" i="2"/>
  <c r="I3616" i="2"/>
  <c r="H3616" i="2"/>
  <c r="F3616" i="2"/>
  <c r="D3616" i="2"/>
  <c r="C3616" i="2"/>
  <c r="B3616" i="2"/>
  <c r="A3616" i="2"/>
  <c r="M3615" i="2"/>
  <c r="L3615" i="2"/>
  <c r="K3615" i="2"/>
  <c r="J3615" i="2"/>
  <c r="I3615" i="2"/>
  <c r="H3615" i="2"/>
  <c r="F3615" i="2"/>
  <c r="D3615" i="2"/>
  <c r="C3615" i="2"/>
  <c r="B3615" i="2"/>
  <c r="A3615" i="2"/>
  <c r="M3614" i="2"/>
  <c r="L3614" i="2"/>
  <c r="K3614" i="2"/>
  <c r="J3614" i="2"/>
  <c r="I3614" i="2"/>
  <c r="H3614" i="2"/>
  <c r="F3614" i="2"/>
  <c r="D3614" i="2"/>
  <c r="C3614" i="2"/>
  <c r="B3614" i="2"/>
  <c r="A3614" i="2"/>
  <c r="M3613" i="2"/>
  <c r="L3613" i="2"/>
  <c r="K3613" i="2"/>
  <c r="J3613" i="2"/>
  <c r="I3613" i="2"/>
  <c r="H3613" i="2"/>
  <c r="G3613" i="2"/>
  <c r="F3613" i="2"/>
  <c r="D3613" i="2"/>
  <c r="C3613" i="2"/>
  <c r="B3613" i="2"/>
  <c r="A3613" i="2"/>
  <c r="M3612" i="2"/>
  <c r="L3612" i="2"/>
  <c r="K3612" i="2"/>
  <c r="J3612" i="2"/>
  <c r="I3612" i="2"/>
  <c r="H3612" i="2"/>
  <c r="G3612" i="2"/>
  <c r="F3612" i="2"/>
  <c r="D3612" i="2"/>
  <c r="C3612" i="2"/>
  <c r="B3612" i="2"/>
  <c r="A3612" i="2"/>
  <c r="M3611" i="2"/>
  <c r="L3611" i="2"/>
  <c r="K3611" i="2"/>
  <c r="J3611" i="2"/>
  <c r="I3611" i="2"/>
  <c r="H3611" i="2"/>
  <c r="F3611" i="2"/>
  <c r="E3611" i="2"/>
  <c r="D3611" i="2"/>
  <c r="C3611" i="2"/>
  <c r="B3611" i="2"/>
  <c r="A3611" i="2"/>
  <c r="M3610" i="2"/>
  <c r="L3610" i="2"/>
  <c r="K3610" i="2"/>
  <c r="J3610" i="2"/>
  <c r="I3610" i="2"/>
  <c r="H3610" i="2"/>
  <c r="F3610" i="2"/>
  <c r="E3610" i="2"/>
  <c r="D3610" i="2"/>
  <c r="C3610" i="2"/>
  <c r="B3610" i="2"/>
  <c r="A3610" i="2"/>
  <c r="M3609" i="2"/>
  <c r="L3609" i="2"/>
  <c r="K3609" i="2"/>
  <c r="J3609" i="2"/>
  <c r="I3609" i="2"/>
  <c r="H3609" i="2"/>
  <c r="F3609" i="2"/>
  <c r="E3609" i="2"/>
  <c r="D3609" i="2"/>
  <c r="C3609" i="2"/>
  <c r="B3609" i="2"/>
  <c r="A3609" i="2"/>
  <c r="M3608" i="2"/>
  <c r="L3608" i="2"/>
  <c r="K3608" i="2"/>
  <c r="J3608" i="2"/>
  <c r="I3608" i="2"/>
  <c r="H3608" i="2"/>
  <c r="F3608" i="2"/>
  <c r="E3608" i="2"/>
  <c r="D3608" i="2"/>
  <c r="C3608" i="2"/>
  <c r="B3608" i="2"/>
  <c r="A3608" i="2"/>
  <c r="M3607" i="2"/>
  <c r="L3607" i="2"/>
  <c r="K3607" i="2"/>
  <c r="J3607" i="2"/>
  <c r="I3607" i="2"/>
  <c r="H3607" i="2"/>
  <c r="F3607" i="2"/>
  <c r="E3607" i="2"/>
  <c r="D3607" i="2"/>
  <c r="C3607" i="2"/>
  <c r="B3607" i="2"/>
  <c r="A3607" i="2"/>
  <c r="M3606" i="2"/>
  <c r="L3606" i="2"/>
  <c r="K3606" i="2"/>
  <c r="J3606" i="2"/>
  <c r="I3606" i="2"/>
  <c r="H3606" i="2"/>
  <c r="F3606" i="2"/>
  <c r="E3606" i="2"/>
  <c r="D3606" i="2"/>
  <c r="C3606" i="2"/>
  <c r="B3606" i="2"/>
  <c r="A3606" i="2"/>
  <c r="M3605" i="2"/>
  <c r="L3605" i="2"/>
  <c r="K3605" i="2"/>
  <c r="J3605" i="2"/>
  <c r="I3605" i="2"/>
  <c r="H3605" i="2"/>
  <c r="F3605" i="2"/>
  <c r="E3605" i="2"/>
  <c r="D3605" i="2"/>
  <c r="C3605" i="2"/>
  <c r="B3605" i="2"/>
  <c r="A3605" i="2"/>
  <c r="M3604" i="2"/>
  <c r="L3604" i="2"/>
  <c r="K3604" i="2"/>
  <c r="J3604" i="2"/>
  <c r="I3604" i="2"/>
  <c r="H3604" i="2"/>
  <c r="F3604" i="2"/>
  <c r="E3604" i="2"/>
  <c r="D3604" i="2"/>
  <c r="C3604" i="2"/>
  <c r="B3604" i="2"/>
  <c r="A3604" i="2"/>
  <c r="M3603" i="2"/>
  <c r="L3603" i="2"/>
  <c r="K3603" i="2"/>
  <c r="J3603" i="2"/>
  <c r="I3603" i="2"/>
  <c r="H3603" i="2"/>
  <c r="F3603" i="2"/>
  <c r="E3603" i="2"/>
  <c r="D3603" i="2"/>
  <c r="C3603" i="2"/>
  <c r="B3603" i="2"/>
  <c r="A3603" i="2"/>
  <c r="M3602" i="2"/>
  <c r="L3602" i="2"/>
  <c r="K3602" i="2"/>
  <c r="J3602" i="2"/>
  <c r="I3602" i="2"/>
  <c r="H3602" i="2"/>
  <c r="F3602" i="2"/>
  <c r="E3602" i="2"/>
  <c r="D3602" i="2"/>
  <c r="C3602" i="2"/>
  <c r="B3602" i="2"/>
  <c r="A3602" i="2"/>
  <c r="M3601" i="2"/>
  <c r="L3601" i="2"/>
  <c r="K3601" i="2"/>
  <c r="J3601" i="2"/>
  <c r="I3601" i="2"/>
  <c r="H3601" i="2"/>
  <c r="F3601" i="2"/>
  <c r="E3601" i="2"/>
  <c r="D3601" i="2"/>
  <c r="C3601" i="2"/>
  <c r="B3601" i="2"/>
  <c r="A3601" i="2"/>
  <c r="M3600" i="2"/>
  <c r="L3600" i="2"/>
  <c r="K3600" i="2"/>
  <c r="J3600" i="2"/>
  <c r="I3600" i="2"/>
  <c r="H3600" i="2"/>
  <c r="F3600" i="2"/>
  <c r="E3600" i="2"/>
  <c r="D3600" i="2"/>
  <c r="C3600" i="2"/>
  <c r="B3600" i="2"/>
  <c r="A3600" i="2"/>
  <c r="M3599" i="2"/>
  <c r="L3599" i="2"/>
  <c r="K3599" i="2"/>
  <c r="J3599" i="2"/>
  <c r="I3599" i="2"/>
  <c r="H3599" i="2"/>
  <c r="F3599" i="2"/>
  <c r="E3599" i="2"/>
  <c r="D3599" i="2"/>
  <c r="C3599" i="2"/>
  <c r="B3599" i="2"/>
  <c r="A3599" i="2"/>
  <c r="M3598" i="2"/>
  <c r="L3598" i="2"/>
  <c r="K3598" i="2"/>
  <c r="J3598" i="2"/>
  <c r="I3598" i="2"/>
  <c r="H3598" i="2"/>
  <c r="F3598" i="2"/>
  <c r="E3598" i="2"/>
  <c r="D3598" i="2"/>
  <c r="C3598" i="2"/>
  <c r="B3598" i="2"/>
  <c r="A3598" i="2"/>
  <c r="M3597" i="2"/>
  <c r="L3597" i="2"/>
  <c r="K3597" i="2"/>
  <c r="J3597" i="2"/>
  <c r="I3597" i="2"/>
  <c r="H3597" i="2"/>
  <c r="F3597" i="2"/>
  <c r="E3597" i="2"/>
  <c r="D3597" i="2"/>
  <c r="C3597" i="2"/>
  <c r="B3597" i="2"/>
  <c r="A3597" i="2"/>
  <c r="M3596" i="2"/>
  <c r="L3596" i="2"/>
  <c r="K3596" i="2"/>
  <c r="J3596" i="2"/>
  <c r="I3596" i="2"/>
  <c r="H3596" i="2"/>
  <c r="F3596" i="2"/>
  <c r="E3596" i="2"/>
  <c r="D3596" i="2"/>
  <c r="C3596" i="2"/>
  <c r="B3596" i="2"/>
  <c r="A3596" i="2"/>
  <c r="M3595" i="2"/>
  <c r="L3595" i="2"/>
  <c r="K3595" i="2"/>
  <c r="J3595" i="2"/>
  <c r="I3595" i="2"/>
  <c r="H3595" i="2"/>
  <c r="F3595" i="2"/>
  <c r="E3595" i="2"/>
  <c r="D3595" i="2"/>
  <c r="C3595" i="2"/>
  <c r="B3595" i="2"/>
  <c r="A3595" i="2"/>
  <c r="M3594" i="2"/>
  <c r="L3594" i="2"/>
  <c r="K3594" i="2"/>
  <c r="J3594" i="2"/>
  <c r="I3594" i="2"/>
  <c r="H3594" i="2"/>
  <c r="F3594" i="2"/>
  <c r="E3594" i="2"/>
  <c r="D3594" i="2"/>
  <c r="C3594" i="2"/>
  <c r="B3594" i="2"/>
  <c r="A3594" i="2"/>
  <c r="M3593" i="2"/>
  <c r="L3593" i="2"/>
  <c r="K3593" i="2"/>
  <c r="J3593" i="2"/>
  <c r="I3593" i="2"/>
  <c r="H3593" i="2"/>
  <c r="F3593" i="2"/>
  <c r="E3593" i="2"/>
  <c r="D3593" i="2"/>
  <c r="C3593" i="2"/>
  <c r="B3593" i="2"/>
  <c r="A3593" i="2"/>
  <c r="M3592" i="2"/>
  <c r="L3592" i="2"/>
  <c r="K3592" i="2"/>
  <c r="J3592" i="2"/>
  <c r="I3592" i="2"/>
  <c r="H3592" i="2"/>
  <c r="F3592" i="2"/>
  <c r="E3592" i="2"/>
  <c r="D3592" i="2"/>
  <c r="C3592" i="2"/>
  <c r="B3592" i="2"/>
  <c r="A3592" i="2"/>
  <c r="M3591" i="2"/>
  <c r="L3591" i="2"/>
  <c r="K3591" i="2"/>
  <c r="J3591" i="2"/>
  <c r="I3591" i="2"/>
  <c r="H3591" i="2"/>
  <c r="F3591" i="2"/>
  <c r="E3591" i="2"/>
  <c r="D3591" i="2"/>
  <c r="C3591" i="2"/>
  <c r="B3591" i="2"/>
  <c r="A3591" i="2"/>
  <c r="M3590" i="2"/>
  <c r="L3590" i="2"/>
  <c r="K3590" i="2"/>
  <c r="J3590" i="2"/>
  <c r="I3590" i="2"/>
  <c r="H3590" i="2"/>
  <c r="F3590" i="2"/>
  <c r="E3590" i="2"/>
  <c r="D3590" i="2"/>
  <c r="C3590" i="2"/>
  <c r="B3590" i="2"/>
  <c r="M3589" i="2"/>
  <c r="L3589" i="2"/>
  <c r="K3589" i="2"/>
  <c r="J3589" i="2"/>
  <c r="I3589" i="2"/>
  <c r="H3589" i="2"/>
  <c r="F3589" i="2"/>
  <c r="E3589" i="2"/>
  <c r="D3589" i="2"/>
  <c r="C3589" i="2"/>
  <c r="B3589" i="2"/>
  <c r="A3589" i="2"/>
  <c r="M3588" i="2"/>
  <c r="L3588" i="2"/>
  <c r="K3588" i="2"/>
  <c r="J3588" i="2"/>
  <c r="I3588" i="2"/>
  <c r="H3588" i="2"/>
  <c r="F3588" i="2"/>
  <c r="E3588" i="2"/>
  <c r="D3588" i="2"/>
  <c r="C3588" i="2"/>
  <c r="B3588" i="2"/>
  <c r="A3588" i="2"/>
  <c r="M3587" i="2"/>
  <c r="L3587" i="2"/>
  <c r="K3587" i="2"/>
  <c r="J3587" i="2"/>
  <c r="I3587" i="2"/>
  <c r="H3587" i="2"/>
  <c r="F3587" i="2"/>
  <c r="E3587" i="2"/>
  <c r="D3587" i="2"/>
  <c r="C3587" i="2"/>
  <c r="B3587" i="2"/>
  <c r="A3587" i="2"/>
  <c r="M3586" i="2"/>
  <c r="L3586" i="2"/>
  <c r="J3586" i="2"/>
  <c r="I3586" i="2"/>
  <c r="H3586" i="2"/>
  <c r="F3586" i="2"/>
  <c r="E3586" i="2"/>
  <c r="D3586" i="2"/>
  <c r="C3586" i="2"/>
  <c r="B3586" i="2"/>
  <c r="A3586" i="2"/>
  <c r="M3585" i="2"/>
  <c r="L3585" i="2"/>
  <c r="K3585" i="2"/>
  <c r="J3585" i="2"/>
  <c r="I3585" i="2"/>
  <c r="H3585" i="2"/>
  <c r="F3585" i="2"/>
  <c r="E3585" i="2"/>
  <c r="D3585" i="2"/>
  <c r="C3585" i="2"/>
  <c r="B3585" i="2"/>
  <c r="A3585" i="2"/>
  <c r="M3584" i="2"/>
  <c r="L3584" i="2"/>
  <c r="K3584" i="2"/>
  <c r="J3584" i="2"/>
  <c r="I3584" i="2"/>
  <c r="H3584" i="2"/>
  <c r="F3584" i="2"/>
  <c r="E3584" i="2"/>
  <c r="D3584" i="2"/>
  <c r="C3584" i="2"/>
  <c r="B3584" i="2"/>
  <c r="A3584" i="2"/>
  <c r="M3583" i="2"/>
  <c r="L3583" i="2"/>
  <c r="K3583" i="2"/>
  <c r="J3583" i="2"/>
  <c r="I3583" i="2"/>
  <c r="H3583" i="2"/>
  <c r="F3583" i="2"/>
  <c r="E3583" i="2"/>
  <c r="D3583" i="2"/>
  <c r="C3583" i="2"/>
  <c r="B3583" i="2"/>
  <c r="A3583" i="2"/>
  <c r="M3582" i="2"/>
  <c r="L3582" i="2"/>
  <c r="K3582" i="2"/>
  <c r="J3582" i="2"/>
  <c r="I3582" i="2"/>
  <c r="H3582" i="2"/>
  <c r="F3582" i="2"/>
  <c r="E3582" i="2"/>
  <c r="D3582" i="2"/>
  <c r="C3582" i="2"/>
  <c r="B3582" i="2"/>
  <c r="A3582" i="2"/>
  <c r="M3581" i="2"/>
  <c r="L3581" i="2"/>
  <c r="K3581" i="2"/>
  <c r="J3581" i="2"/>
  <c r="I3581" i="2"/>
  <c r="H3581" i="2"/>
  <c r="F3581" i="2"/>
  <c r="E3581" i="2"/>
  <c r="D3581" i="2"/>
  <c r="C3581" i="2"/>
  <c r="B3581" i="2"/>
  <c r="A3581" i="2"/>
  <c r="M3580" i="2"/>
  <c r="L3580" i="2"/>
  <c r="K3580" i="2"/>
  <c r="J3580" i="2"/>
  <c r="I3580" i="2"/>
  <c r="H3580" i="2"/>
  <c r="F3580" i="2"/>
  <c r="E3580" i="2"/>
  <c r="D3580" i="2"/>
  <c r="C3580" i="2"/>
  <c r="B3580" i="2"/>
  <c r="A3580" i="2"/>
  <c r="M3579" i="2"/>
  <c r="L3579" i="2"/>
  <c r="K3579" i="2"/>
  <c r="J3579" i="2"/>
  <c r="I3579" i="2"/>
  <c r="H3579" i="2"/>
  <c r="F3579" i="2"/>
  <c r="E3579" i="2"/>
  <c r="D3579" i="2"/>
  <c r="C3579" i="2"/>
  <c r="B3579" i="2"/>
  <c r="A3579" i="2"/>
  <c r="M3578" i="2"/>
  <c r="L3578" i="2"/>
  <c r="K3578" i="2"/>
  <c r="J3578" i="2"/>
  <c r="I3578" i="2"/>
  <c r="H3578" i="2"/>
  <c r="F3578" i="2"/>
  <c r="E3578" i="2"/>
  <c r="D3578" i="2"/>
  <c r="C3578" i="2"/>
  <c r="B3578" i="2"/>
  <c r="A3578" i="2"/>
  <c r="M3577" i="2"/>
  <c r="L3577" i="2"/>
  <c r="K3577" i="2"/>
  <c r="J3577" i="2"/>
  <c r="I3577" i="2"/>
  <c r="H3577" i="2"/>
  <c r="F3577" i="2"/>
  <c r="E3577" i="2"/>
  <c r="D3577" i="2"/>
  <c r="C3577" i="2"/>
  <c r="B3577" i="2"/>
  <c r="A3577" i="2"/>
  <c r="M3576" i="2"/>
  <c r="L3576" i="2"/>
  <c r="K3576" i="2"/>
  <c r="J3576" i="2"/>
  <c r="I3576" i="2"/>
  <c r="H3576" i="2"/>
  <c r="F3576" i="2"/>
  <c r="E3576" i="2"/>
  <c r="D3576" i="2"/>
  <c r="C3576" i="2"/>
  <c r="B3576" i="2"/>
  <c r="A3576" i="2"/>
  <c r="M3575" i="2"/>
  <c r="L3575" i="2"/>
  <c r="K3575" i="2"/>
  <c r="J3575" i="2"/>
  <c r="I3575" i="2"/>
  <c r="H3575" i="2"/>
  <c r="F3575" i="2"/>
  <c r="E3575" i="2"/>
  <c r="D3575" i="2"/>
  <c r="C3575" i="2"/>
  <c r="B3575" i="2"/>
  <c r="A3575" i="2"/>
  <c r="M3574" i="2"/>
  <c r="L3574" i="2"/>
  <c r="K3574" i="2"/>
  <c r="J3574" i="2"/>
  <c r="I3574" i="2"/>
  <c r="H3574" i="2"/>
  <c r="F3574" i="2"/>
  <c r="E3574" i="2"/>
  <c r="D3574" i="2"/>
  <c r="C3574" i="2"/>
  <c r="B3574" i="2"/>
  <c r="A3574" i="2"/>
  <c r="M3573" i="2"/>
  <c r="L3573" i="2"/>
  <c r="K3573" i="2"/>
  <c r="J3573" i="2"/>
  <c r="I3573" i="2"/>
  <c r="H3573" i="2"/>
  <c r="F3573" i="2"/>
  <c r="E3573" i="2"/>
  <c r="D3573" i="2"/>
  <c r="C3573" i="2"/>
  <c r="B3573" i="2"/>
  <c r="A3573" i="2"/>
  <c r="M3572" i="2"/>
  <c r="L3572" i="2"/>
  <c r="K3572" i="2"/>
  <c r="J3572" i="2"/>
  <c r="I3572" i="2"/>
  <c r="H3572" i="2"/>
  <c r="F3572" i="2"/>
  <c r="E3572" i="2"/>
  <c r="D3572" i="2"/>
  <c r="C3572" i="2"/>
  <c r="B3572" i="2"/>
  <c r="A3572" i="2"/>
  <c r="M3571" i="2"/>
  <c r="L3571" i="2"/>
  <c r="K3571" i="2"/>
  <c r="J3571" i="2"/>
  <c r="I3571" i="2"/>
  <c r="H3571" i="2"/>
  <c r="F3571" i="2"/>
  <c r="E3571" i="2"/>
  <c r="D3571" i="2"/>
  <c r="C3571" i="2"/>
  <c r="B3571" i="2"/>
  <c r="A3571" i="2"/>
  <c r="M3570" i="2"/>
  <c r="L3570" i="2"/>
  <c r="K3570" i="2"/>
  <c r="J3570" i="2"/>
  <c r="I3570" i="2"/>
  <c r="H3570" i="2"/>
  <c r="F3570" i="2"/>
  <c r="E3570" i="2"/>
  <c r="D3570" i="2"/>
  <c r="C3570" i="2"/>
  <c r="B3570" i="2"/>
  <c r="A3570" i="2"/>
  <c r="M3569" i="2"/>
  <c r="L3569" i="2"/>
  <c r="J3569" i="2"/>
  <c r="I3569" i="2"/>
  <c r="H3569" i="2"/>
  <c r="F3569" i="2"/>
  <c r="E3569" i="2"/>
  <c r="D3569" i="2"/>
  <c r="C3569" i="2"/>
  <c r="B3569" i="2"/>
  <c r="A3569" i="2"/>
  <c r="M3568" i="2"/>
  <c r="L3568" i="2"/>
  <c r="K3568" i="2"/>
  <c r="J3568" i="2"/>
  <c r="I3568" i="2"/>
  <c r="H3568" i="2"/>
  <c r="F3568" i="2"/>
  <c r="E3568" i="2"/>
  <c r="D3568" i="2"/>
  <c r="C3568" i="2"/>
  <c r="B3568" i="2"/>
  <c r="A3568" i="2"/>
  <c r="M3567" i="2"/>
  <c r="L3567" i="2"/>
  <c r="K3567" i="2"/>
  <c r="J3567" i="2"/>
  <c r="I3567" i="2"/>
  <c r="H3567" i="2"/>
  <c r="F3567" i="2"/>
  <c r="E3567" i="2"/>
  <c r="D3567" i="2"/>
  <c r="C3567" i="2"/>
  <c r="B3567" i="2"/>
  <c r="A3567" i="2"/>
  <c r="M3566" i="2"/>
  <c r="L3566" i="2"/>
  <c r="K3566" i="2"/>
  <c r="J3566" i="2"/>
  <c r="I3566" i="2"/>
  <c r="H3566" i="2"/>
  <c r="F3566" i="2"/>
  <c r="E3566" i="2"/>
  <c r="D3566" i="2"/>
  <c r="C3566" i="2"/>
  <c r="B3566" i="2"/>
  <c r="A3566" i="2"/>
  <c r="M3565" i="2"/>
  <c r="L3565" i="2"/>
  <c r="K3565" i="2"/>
  <c r="J3565" i="2"/>
  <c r="I3565" i="2"/>
  <c r="H3565" i="2"/>
  <c r="F3565" i="2"/>
  <c r="E3565" i="2"/>
  <c r="D3565" i="2"/>
  <c r="C3565" i="2"/>
  <c r="B3565" i="2"/>
  <c r="A3565" i="2"/>
  <c r="M3564" i="2"/>
  <c r="L3564" i="2"/>
  <c r="K3564" i="2"/>
  <c r="J3564" i="2"/>
  <c r="I3564" i="2"/>
  <c r="H3564" i="2"/>
  <c r="F3564" i="2"/>
  <c r="E3564" i="2"/>
  <c r="D3564" i="2"/>
  <c r="C3564" i="2"/>
  <c r="B3564" i="2"/>
  <c r="A3564" i="2"/>
  <c r="M3563" i="2"/>
  <c r="L3563" i="2"/>
  <c r="K3563" i="2"/>
  <c r="J3563" i="2"/>
  <c r="I3563" i="2"/>
  <c r="H3563" i="2"/>
  <c r="F3563" i="2"/>
  <c r="E3563" i="2"/>
  <c r="D3563" i="2"/>
  <c r="C3563" i="2"/>
  <c r="B3563" i="2"/>
  <c r="A3563" i="2"/>
  <c r="M3562" i="2"/>
  <c r="L3562" i="2"/>
  <c r="K3562" i="2"/>
  <c r="J3562" i="2"/>
  <c r="I3562" i="2"/>
  <c r="H3562" i="2"/>
  <c r="F3562" i="2"/>
  <c r="E3562" i="2"/>
  <c r="D3562" i="2"/>
  <c r="C3562" i="2"/>
  <c r="B3562" i="2"/>
  <c r="A3562" i="2"/>
  <c r="M3561" i="2"/>
  <c r="L3561" i="2"/>
  <c r="K3561" i="2"/>
  <c r="J3561" i="2"/>
  <c r="I3561" i="2"/>
  <c r="H3561" i="2"/>
  <c r="F3561" i="2"/>
  <c r="E3561" i="2"/>
  <c r="D3561" i="2"/>
  <c r="C3561" i="2"/>
  <c r="B3561" i="2"/>
  <c r="A3561" i="2"/>
  <c r="M3560" i="2"/>
  <c r="L3560" i="2"/>
  <c r="K3560" i="2"/>
  <c r="J3560" i="2"/>
  <c r="I3560" i="2"/>
  <c r="H3560" i="2"/>
  <c r="F3560" i="2"/>
  <c r="E3560" i="2"/>
  <c r="D3560" i="2"/>
  <c r="C3560" i="2"/>
  <c r="B3560" i="2"/>
  <c r="A3560" i="2"/>
  <c r="M3559" i="2"/>
  <c r="L3559" i="2"/>
  <c r="K3559" i="2"/>
  <c r="J3559" i="2"/>
  <c r="I3559" i="2"/>
  <c r="H3559" i="2"/>
  <c r="F3559" i="2"/>
  <c r="E3559" i="2"/>
  <c r="D3559" i="2"/>
  <c r="C3559" i="2"/>
  <c r="B3559" i="2"/>
  <c r="A3559" i="2"/>
  <c r="M3558" i="2"/>
  <c r="L3558" i="2"/>
  <c r="K3558" i="2"/>
  <c r="J3558" i="2"/>
  <c r="I3558" i="2"/>
  <c r="H3558" i="2"/>
  <c r="F3558" i="2"/>
  <c r="E3558" i="2"/>
  <c r="D3558" i="2"/>
  <c r="C3558" i="2"/>
  <c r="B3558" i="2"/>
  <c r="A3558" i="2"/>
  <c r="M3557" i="2"/>
  <c r="L3557" i="2"/>
  <c r="K3557" i="2"/>
  <c r="J3557" i="2"/>
  <c r="I3557" i="2"/>
  <c r="H3557" i="2"/>
  <c r="F3557" i="2"/>
  <c r="E3557" i="2"/>
  <c r="D3557" i="2"/>
  <c r="C3557" i="2"/>
  <c r="B3557" i="2"/>
  <c r="A3557" i="2"/>
  <c r="M3556" i="2"/>
  <c r="L3556" i="2"/>
  <c r="K3556" i="2"/>
  <c r="J3556" i="2"/>
  <c r="I3556" i="2"/>
  <c r="H3556" i="2"/>
  <c r="F3556" i="2"/>
  <c r="E3556" i="2"/>
  <c r="D3556" i="2"/>
  <c r="C3556" i="2"/>
  <c r="B3556" i="2"/>
  <c r="A3556" i="2"/>
  <c r="M3555" i="2"/>
  <c r="L3555" i="2"/>
  <c r="K3555" i="2"/>
  <c r="J3555" i="2"/>
  <c r="I3555" i="2"/>
  <c r="H3555" i="2"/>
  <c r="F3555" i="2"/>
  <c r="E3555" i="2"/>
  <c r="D3555" i="2"/>
  <c r="C3555" i="2"/>
  <c r="B3555" i="2"/>
  <c r="A3555" i="2"/>
  <c r="M3554" i="2"/>
  <c r="L3554" i="2"/>
  <c r="K3554" i="2"/>
  <c r="J3554" i="2"/>
  <c r="I3554" i="2"/>
  <c r="H3554" i="2"/>
  <c r="F3554" i="2"/>
  <c r="E3554" i="2"/>
  <c r="D3554" i="2"/>
  <c r="C3554" i="2"/>
  <c r="B3554" i="2"/>
  <c r="A3554" i="2"/>
  <c r="M3553" i="2"/>
  <c r="L3553" i="2"/>
  <c r="K3553" i="2"/>
  <c r="J3553" i="2"/>
  <c r="I3553" i="2"/>
  <c r="H3553" i="2"/>
  <c r="F3553" i="2"/>
  <c r="E3553" i="2"/>
  <c r="D3553" i="2"/>
  <c r="C3553" i="2"/>
  <c r="B3553" i="2"/>
  <c r="A3553" i="2"/>
  <c r="M3552" i="2"/>
  <c r="L3552" i="2"/>
  <c r="K3552" i="2"/>
  <c r="J3552" i="2"/>
  <c r="I3552" i="2"/>
  <c r="H3552" i="2"/>
  <c r="F3552" i="2"/>
  <c r="E3552" i="2"/>
  <c r="D3552" i="2"/>
  <c r="C3552" i="2"/>
  <c r="B3552" i="2"/>
  <c r="A3552" i="2"/>
  <c r="M3551" i="2"/>
  <c r="L3551" i="2"/>
  <c r="K3551" i="2"/>
  <c r="I3551" i="2"/>
  <c r="H3551" i="2"/>
  <c r="F3551" i="2"/>
  <c r="E3551" i="2"/>
  <c r="D3551" i="2"/>
  <c r="C3551" i="2"/>
  <c r="B3551" i="2"/>
  <c r="A3551" i="2"/>
  <c r="M3550" i="2"/>
  <c r="L3550" i="2"/>
  <c r="K3550" i="2"/>
  <c r="I3550" i="2"/>
  <c r="H3550" i="2"/>
  <c r="F3550" i="2"/>
  <c r="E3550" i="2"/>
  <c r="D3550" i="2"/>
  <c r="C3550" i="2"/>
  <c r="B3550" i="2"/>
  <c r="A3550" i="2"/>
  <c r="M3549" i="2"/>
  <c r="L3549" i="2"/>
  <c r="J3549" i="2"/>
  <c r="I3549" i="2"/>
  <c r="H3549" i="2"/>
  <c r="F3549" i="2"/>
  <c r="E3549" i="2"/>
  <c r="D3549" i="2"/>
  <c r="C3549" i="2"/>
  <c r="B3549" i="2"/>
  <c r="A3549" i="2"/>
  <c r="M3548" i="2"/>
  <c r="L3548" i="2"/>
  <c r="K3548" i="2"/>
  <c r="I3548" i="2"/>
  <c r="H3548" i="2"/>
  <c r="F3548" i="2"/>
  <c r="E3548" i="2"/>
  <c r="D3548" i="2"/>
  <c r="C3548" i="2"/>
  <c r="B3548" i="2"/>
  <c r="A3548" i="2"/>
  <c r="M3547" i="2"/>
  <c r="L3547" i="2"/>
  <c r="K3547" i="2"/>
  <c r="I3547" i="2"/>
  <c r="H3547" i="2"/>
  <c r="F3547" i="2"/>
  <c r="E3547" i="2"/>
  <c r="D3547" i="2"/>
  <c r="C3547" i="2"/>
  <c r="B3547" i="2"/>
  <c r="A3547" i="2"/>
  <c r="M3546" i="2"/>
  <c r="L3546" i="2"/>
  <c r="K3546" i="2"/>
  <c r="J3546" i="2"/>
  <c r="I3546" i="2"/>
  <c r="H3546" i="2"/>
  <c r="F3546" i="2"/>
  <c r="E3546" i="2"/>
  <c r="D3546" i="2"/>
  <c r="C3546" i="2"/>
  <c r="B3546" i="2"/>
  <c r="A3546" i="2"/>
  <c r="M3545" i="2"/>
  <c r="L3545" i="2"/>
  <c r="K3545" i="2"/>
  <c r="J3545" i="2"/>
  <c r="I3545" i="2"/>
  <c r="H3545" i="2"/>
  <c r="F3545" i="2"/>
  <c r="E3545" i="2"/>
  <c r="D3545" i="2"/>
  <c r="C3545" i="2"/>
  <c r="B3545" i="2"/>
  <c r="A3545" i="2"/>
  <c r="M3544" i="2"/>
  <c r="L3544" i="2"/>
  <c r="K3544" i="2"/>
  <c r="J3544" i="2"/>
  <c r="I3544" i="2"/>
  <c r="H3544" i="2"/>
  <c r="F3544" i="2"/>
  <c r="E3544" i="2"/>
  <c r="D3544" i="2"/>
  <c r="C3544" i="2"/>
  <c r="B3544" i="2"/>
  <c r="A3544" i="2"/>
  <c r="M3543" i="2"/>
  <c r="L3543" i="2"/>
  <c r="K3543" i="2"/>
  <c r="J3543" i="2"/>
  <c r="I3543" i="2"/>
  <c r="H3543" i="2"/>
  <c r="F3543" i="2"/>
  <c r="E3543" i="2"/>
  <c r="D3543" i="2"/>
  <c r="C3543" i="2"/>
  <c r="B3543" i="2"/>
  <c r="A3543" i="2"/>
  <c r="M3542" i="2"/>
  <c r="L3542" i="2"/>
  <c r="K3542" i="2"/>
  <c r="J3542" i="2"/>
  <c r="I3542" i="2"/>
  <c r="H3542" i="2"/>
  <c r="F3542" i="2"/>
  <c r="E3542" i="2"/>
  <c r="D3542" i="2"/>
  <c r="C3542" i="2"/>
  <c r="B3542" i="2"/>
  <c r="A3542" i="2"/>
  <c r="M3541" i="2"/>
  <c r="L3541" i="2"/>
  <c r="K3541" i="2"/>
  <c r="I3541" i="2"/>
  <c r="H3541" i="2"/>
  <c r="F3541" i="2"/>
  <c r="E3541" i="2"/>
  <c r="D3541" i="2"/>
  <c r="C3541" i="2"/>
  <c r="B3541" i="2"/>
  <c r="A3541" i="2"/>
  <c r="M3540" i="2"/>
  <c r="L3540" i="2"/>
  <c r="K3540" i="2"/>
  <c r="I3540" i="2"/>
  <c r="H3540" i="2"/>
  <c r="F3540" i="2"/>
  <c r="E3540" i="2"/>
  <c r="D3540" i="2"/>
  <c r="C3540" i="2"/>
  <c r="B3540" i="2"/>
  <c r="A3540" i="2"/>
  <c r="M3539" i="2"/>
  <c r="L3539" i="2"/>
  <c r="K3539" i="2"/>
  <c r="I3539" i="2"/>
  <c r="H3539" i="2"/>
  <c r="F3539" i="2"/>
  <c r="E3539" i="2"/>
  <c r="D3539" i="2"/>
  <c r="C3539" i="2"/>
  <c r="B3539" i="2"/>
  <c r="A3539" i="2"/>
  <c r="M3538" i="2"/>
  <c r="L3538" i="2"/>
  <c r="K3538" i="2"/>
  <c r="I3538" i="2"/>
  <c r="H3538" i="2"/>
  <c r="F3538" i="2"/>
  <c r="E3538" i="2"/>
  <c r="D3538" i="2"/>
  <c r="C3538" i="2"/>
  <c r="B3538" i="2"/>
  <c r="A3538" i="2"/>
  <c r="M3537" i="2"/>
  <c r="L3537" i="2"/>
  <c r="K3537" i="2"/>
  <c r="I3537" i="2"/>
  <c r="H3537" i="2"/>
  <c r="F3537" i="2"/>
  <c r="E3537" i="2"/>
  <c r="D3537" i="2"/>
  <c r="C3537" i="2"/>
  <c r="B3537" i="2"/>
  <c r="A3537" i="2"/>
  <c r="M3536" i="2"/>
  <c r="L3536" i="2"/>
  <c r="K3536" i="2"/>
  <c r="I3536" i="2"/>
  <c r="H3536" i="2"/>
  <c r="F3536" i="2"/>
  <c r="E3536" i="2"/>
  <c r="D3536" i="2"/>
  <c r="C3536" i="2"/>
  <c r="B3536" i="2"/>
  <c r="A3536" i="2"/>
  <c r="M3535" i="2"/>
  <c r="L3535" i="2"/>
  <c r="I3535" i="2"/>
  <c r="H3535" i="2"/>
  <c r="F3535" i="2"/>
  <c r="E3535" i="2"/>
  <c r="D3535" i="2"/>
  <c r="C3535" i="2"/>
  <c r="B3535" i="2"/>
  <c r="A3535" i="2"/>
  <c r="M3534" i="2"/>
  <c r="L3534" i="2"/>
  <c r="K3534" i="2"/>
  <c r="J3534" i="2"/>
  <c r="I3534" i="2"/>
  <c r="H3534" i="2"/>
  <c r="F3534" i="2"/>
  <c r="E3534" i="2"/>
  <c r="D3534" i="2"/>
  <c r="C3534" i="2"/>
  <c r="B3534" i="2"/>
  <c r="A3534" i="2"/>
  <c r="M3533" i="2"/>
  <c r="L3533" i="2"/>
  <c r="K3533" i="2"/>
  <c r="J3533" i="2"/>
  <c r="I3533" i="2"/>
  <c r="H3533" i="2"/>
  <c r="F3533" i="2"/>
  <c r="E3533" i="2"/>
  <c r="D3533" i="2"/>
  <c r="C3533" i="2"/>
  <c r="B3533" i="2"/>
  <c r="A3533" i="2"/>
  <c r="M3532" i="2"/>
  <c r="L3532" i="2"/>
  <c r="K3532" i="2"/>
  <c r="J3532" i="2"/>
  <c r="I3532" i="2"/>
  <c r="H3532" i="2"/>
  <c r="F3532" i="2"/>
  <c r="E3532" i="2"/>
  <c r="D3532" i="2"/>
  <c r="C3532" i="2"/>
  <c r="B3532" i="2"/>
  <c r="A3532" i="2"/>
  <c r="M3531" i="2"/>
  <c r="L3531" i="2"/>
  <c r="K3531" i="2"/>
  <c r="J3531" i="2"/>
  <c r="I3531" i="2"/>
  <c r="H3531" i="2"/>
  <c r="F3531" i="2"/>
  <c r="E3531" i="2"/>
  <c r="D3531" i="2"/>
  <c r="C3531" i="2"/>
  <c r="B3531" i="2"/>
  <c r="A3531" i="2"/>
  <c r="M3530" i="2"/>
  <c r="L3530" i="2"/>
  <c r="K3530" i="2"/>
  <c r="J3530" i="2"/>
  <c r="I3530" i="2"/>
  <c r="H3530" i="2"/>
  <c r="F3530" i="2"/>
  <c r="E3530" i="2"/>
  <c r="D3530" i="2"/>
  <c r="C3530" i="2"/>
  <c r="B3530" i="2"/>
  <c r="A3530" i="2"/>
  <c r="M3529" i="2"/>
  <c r="L3529" i="2"/>
  <c r="K3529" i="2"/>
  <c r="J3529" i="2"/>
  <c r="I3529" i="2"/>
  <c r="H3529" i="2"/>
  <c r="F3529" i="2"/>
  <c r="E3529" i="2"/>
  <c r="D3529" i="2"/>
  <c r="C3529" i="2"/>
  <c r="B3529" i="2"/>
  <c r="A3529" i="2"/>
  <c r="M3528" i="2"/>
  <c r="L3528" i="2"/>
  <c r="K3528" i="2"/>
  <c r="J3528" i="2"/>
  <c r="I3528" i="2"/>
  <c r="H3528" i="2"/>
  <c r="F3528" i="2"/>
  <c r="E3528" i="2"/>
  <c r="D3528" i="2"/>
  <c r="C3528" i="2"/>
  <c r="B3528" i="2"/>
  <c r="A3528" i="2"/>
  <c r="M3527" i="2"/>
  <c r="L3527" i="2"/>
  <c r="K3527" i="2"/>
  <c r="J3527" i="2"/>
  <c r="I3527" i="2"/>
  <c r="H3527" i="2"/>
  <c r="F3527" i="2"/>
  <c r="E3527" i="2"/>
  <c r="D3527" i="2"/>
  <c r="C3527" i="2"/>
  <c r="B3527" i="2"/>
  <c r="A3527" i="2"/>
  <c r="M3526" i="2"/>
  <c r="L3526" i="2"/>
  <c r="K3526" i="2"/>
  <c r="J3526" i="2"/>
  <c r="I3526" i="2"/>
  <c r="H3526" i="2"/>
  <c r="F3526" i="2"/>
  <c r="E3526" i="2"/>
  <c r="D3526" i="2"/>
  <c r="C3526" i="2"/>
  <c r="B3526" i="2"/>
  <c r="A3526" i="2"/>
  <c r="M3525" i="2"/>
  <c r="L3525" i="2"/>
  <c r="K3525" i="2"/>
  <c r="J3525" i="2"/>
  <c r="I3525" i="2"/>
  <c r="H3525" i="2"/>
  <c r="F3525" i="2"/>
  <c r="E3525" i="2"/>
  <c r="D3525" i="2"/>
  <c r="C3525" i="2"/>
  <c r="B3525" i="2"/>
  <c r="A3525" i="2"/>
  <c r="M3524" i="2"/>
  <c r="L3524" i="2"/>
  <c r="K3524" i="2"/>
  <c r="J3524" i="2"/>
  <c r="I3524" i="2"/>
  <c r="H3524" i="2"/>
  <c r="F3524" i="2"/>
  <c r="E3524" i="2"/>
  <c r="D3524" i="2"/>
  <c r="C3524" i="2"/>
  <c r="B3524" i="2"/>
  <c r="A3524" i="2"/>
  <c r="M3523" i="2"/>
  <c r="L3523" i="2"/>
  <c r="K3523" i="2"/>
  <c r="J3523" i="2"/>
  <c r="I3523" i="2"/>
  <c r="H3523" i="2"/>
  <c r="F3523" i="2"/>
  <c r="E3523" i="2"/>
  <c r="D3523" i="2"/>
  <c r="C3523" i="2"/>
  <c r="B3523" i="2"/>
  <c r="A3523" i="2"/>
  <c r="M3522" i="2"/>
  <c r="L3522" i="2"/>
  <c r="K3522" i="2"/>
  <c r="J3522" i="2"/>
  <c r="I3522" i="2"/>
  <c r="H3522" i="2"/>
  <c r="F3522" i="2"/>
  <c r="E3522" i="2"/>
  <c r="D3522" i="2"/>
  <c r="C3522" i="2"/>
  <c r="B3522" i="2"/>
  <c r="A3522" i="2"/>
  <c r="M3521" i="2"/>
  <c r="L3521" i="2"/>
  <c r="K3521" i="2"/>
  <c r="J3521" i="2"/>
  <c r="I3521" i="2"/>
  <c r="H3521" i="2"/>
  <c r="F3521" i="2"/>
  <c r="E3521" i="2"/>
  <c r="D3521" i="2"/>
  <c r="C3521" i="2"/>
  <c r="B3521" i="2"/>
  <c r="A3521" i="2"/>
  <c r="M3520" i="2"/>
  <c r="L3520" i="2"/>
  <c r="K3520" i="2"/>
  <c r="J3520" i="2"/>
  <c r="I3520" i="2"/>
  <c r="H3520" i="2"/>
  <c r="F3520" i="2"/>
  <c r="E3520" i="2"/>
  <c r="D3520" i="2"/>
  <c r="C3520" i="2"/>
  <c r="B3520" i="2"/>
  <c r="A3520" i="2"/>
  <c r="M3519" i="2"/>
  <c r="L3519" i="2"/>
  <c r="J3519" i="2"/>
  <c r="I3519" i="2"/>
  <c r="H3519" i="2"/>
  <c r="F3519" i="2"/>
  <c r="E3519" i="2"/>
  <c r="D3519" i="2"/>
  <c r="C3519" i="2"/>
  <c r="B3519" i="2"/>
  <c r="A3519" i="2"/>
  <c r="M3518" i="2"/>
  <c r="L3518" i="2"/>
  <c r="K3518" i="2"/>
  <c r="J3518" i="2"/>
  <c r="I3518" i="2"/>
  <c r="H3518" i="2"/>
  <c r="F3518" i="2"/>
  <c r="E3518" i="2"/>
  <c r="D3518" i="2"/>
  <c r="C3518" i="2"/>
  <c r="B3518" i="2"/>
  <c r="A3518" i="2"/>
  <c r="M3517" i="2"/>
  <c r="L3517" i="2"/>
  <c r="K3517" i="2"/>
  <c r="J3517" i="2"/>
  <c r="I3517" i="2"/>
  <c r="H3517" i="2"/>
  <c r="F3517" i="2"/>
  <c r="E3517" i="2"/>
  <c r="D3517" i="2"/>
  <c r="C3517" i="2"/>
  <c r="B3517" i="2"/>
  <c r="A3517" i="2"/>
  <c r="M3516" i="2"/>
  <c r="L3516" i="2"/>
  <c r="K3516" i="2"/>
  <c r="J3516" i="2"/>
  <c r="I3516" i="2"/>
  <c r="H3516" i="2"/>
  <c r="F3516" i="2"/>
  <c r="E3516" i="2"/>
  <c r="D3516" i="2"/>
  <c r="C3516" i="2"/>
  <c r="B3516" i="2"/>
  <c r="A3516" i="2"/>
  <c r="M3515" i="2"/>
  <c r="L3515" i="2"/>
  <c r="K3515" i="2"/>
  <c r="J3515" i="2"/>
  <c r="I3515" i="2"/>
  <c r="H3515" i="2"/>
  <c r="F3515" i="2"/>
  <c r="E3515" i="2"/>
  <c r="D3515" i="2"/>
  <c r="C3515" i="2"/>
  <c r="B3515" i="2"/>
  <c r="A3515" i="2"/>
  <c r="M3514" i="2"/>
  <c r="L3514" i="2"/>
  <c r="K3514" i="2"/>
  <c r="J3514" i="2"/>
  <c r="I3514" i="2"/>
  <c r="H3514" i="2"/>
  <c r="F3514" i="2"/>
  <c r="E3514" i="2"/>
  <c r="D3514" i="2"/>
  <c r="C3514" i="2"/>
  <c r="B3514" i="2"/>
  <c r="A3514" i="2"/>
  <c r="M3513" i="2"/>
  <c r="L3513" i="2"/>
  <c r="K3513" i="2"/>
  <c r="J3513" i="2"/>
  <c r="I3513" i="2"/>
  <c r="H3513" i="2"/>
  <c r="F3513" i="2"/>
  <c r="E3513" i="2"/>
  <c r="D3513" i="2"/>
  <c r="C3513" i="2"/>
  <c r="B3513" i="2"/>
  <c r="A3513" i="2"/>
  <c r="M3512" i="2"/>
  <c r="L3512" i="2"/>
  <c r="K3512" i="2"/>
  <c r="J3512" i="2"/>
  <c r="I3512" i="2"/>
  <c r="H3512" i="2"/>
  <c r="F3512" i="2"/>
  <c r="E3512" i="2"/>
  <c r="D3512" i="2"/>
  <c r="C3512" i="2"/>
  <c r="B3512" i="2"/>
  <c r="A3512" i="2"/>
  <c r="M3511" i="2"/>
  <c r="L3511" i="2"/>
  <c r="K3511" i="2"/>
  <c r="J3511" i="2"/>
  <c r="I3511" i="2"/>
  <c r="H3511" i="2"/>
  <c r="F3511" i="2"/>
  <c r="E3511" i="2"/>
  <c r="D3511" i="2"/>
  <c r="C3511" i="2"/>
  <c r="B3511" i="2"/>
  <c r="A3511" i="2"/>
  <c r="M3510" i="2"/>
  <c r="L3510" i="2"/>
  <c r="K3510" i="2"/>
  <c r="J3510" i="2"/>
  <c r="I3510" i="2"/>
  <c r="H3510" i="2"/>
  <c r="F3510" i="2"/>
  <c r="E3510" i="2"/>
  <c r="D3510" i="2"/>
  <c r="C3510" i="2"/>
  <c r="B3510" i="2"/>
  <c r="A3510" i="2"/>
  <c r="M3509" i="2"/>
  <c r="L3509" i="2"/>
  <c r="K3509" i="2"/>
  <c r="J3509" i="2"/>
  <c r="I3509" i="2"/>
  <c r="H3509" i="2"/>
  <c r="F3509" i="2"/>
  <c r="E3509" i="2"/>
  <c r="D3509" i="2"/>
  <c r="C3509" i="2"/>
  <c r="B3509" i="2"/>
  <c r="A3509" i="2"/>
  <c r="M3508" i="2"/>
  <c r="L3508" i="2"/>
  <c r="K3508" i="2"/>
  <c r="J3508" i="2"/>
  <c r="I3508" i="2"/>
  <c r="H3508" i="2"/>
  <c r="F3508" i="2"/>
  <c r="E3508" i="2"/>
  <c r="D3508" i="2"/>
  <c r="C3508" i="2"/>
  <c r="B3508" i="2"/>
  <c r="A3508" i="2"/>
  <c r="M3507" i="2"/>
  <c r="L3507" i="2"/>
  <c r="K3507" i="2"/>
  <c r="J3507" i="2"/>
  <c r="I3507" i="2"/>
  <c r="H3507" i="2"/>
  <c r="F3507" i="2"/>
  <c r="E3507" i="2"/>
  <c r="D3507" i="2"/>
  <c r="C3507" i="2"/>
  <c r="B3507" i="2"/>
  <c r="A3507" i="2"/>
  <c r="M3506" i="2"/>
  <c r="L3506" i="2"/>
  <c r="K3506" i="2"/>
  <c r="J3506" i="2"/>
  <c r="I3506" i="2"/>
  <c r="H3506" i="2"/>
  <c r="F3506" i="2"/>
  <c r="E3506" i="2"/>
  <c r="D3506" i="2"/>
  <c r="C3506" i="2"/>
  <c r="B3506" i="2"/>
  <c r="A3506" i="2"/>
  <c r="M3505" i="2"/>
  <c r="L3505" i="2"/>
  <c r="K3505" i="2"/>
  <c r="J3505" i="2"/>
  <c r="I3505" i="2"/>
  <c r="H3505" i="2"/>
  <c r="F3505" i="2"/>
  <c r="E3505" i="2"/>
  <c r="D3505" i="2"/>
  <c r="C3505" i="2"/>
  <c r="B3505" i="2"/>
  <c r="A3505" i="2"/>
  <c r="M3504" i="2"/>
  <c r="L3504" i="2"/>
  <c r="K3504" i="2"/>
  <c r="J3504" i="2"/>
  <c r="I3504" i="2"/>
  <c r="H3504" i="2"/>
  <c r="F3504" i="2"/>
  <c r="E3504" i="2"/>
  <c r="D3504" i="2"/>
  <c r="C3504" i="2"/>
  <c r="B3504" i="2"/>
  <c r="A3504" i="2"/>
  <c r="M3503" i="2"/>
  <c r="L3503" i="2"/>
  <c r="K3503" i="2"/>
  <c r="J3503" i="2"/>
  <c r="I3503" i="2"/>
  <c r="H3503" i="2"/>
  <c r="F3503" i="2"/>
  <c r="E3503" i="2"/>
  <c r="D3503" i="2"/>
  <c r="C3503" i="2"/>
  <c r="B3503" i="2"/>
  <c r="A3503" i="2"/>
  <c r="M3502" i="2"/>
  <c r="L3502" i="2"/>
  <c r="K3502" i="2"/>
  <c r="J3502" i="2"/>
  <c r="I3502" i="2"/>
  <c r="H3502" i="2"/>
  <c r="F3502" i="2"/>
  <c r="E3502" i="2"/>
  <c r="D3502" i="2"/>
  <c r="C3502" i="2"/>
  <c r="B3502" i="2"/>
  <c r="A3502" i="2"/>
  <c r="M3501" i="2"/>
  <c r="L3501" i="2"/>
  <c r="K3501" i="2"/>
  <c r="J3501" i="2"/>
  <c r="I3501" i="2"/>
  <c r="H3501" i="2"/>
  <c r="F3501" i="2"/>
  <c r="E3501" i="2"/>
  <c r="D3501" i="2"/>
  <c r="C3501" i="2"/>
  <c r="B3501" i="2"/>
  <c r="A3501" i="2"/>
  <c r="M3500" i="2"/>
  <c r="L3500" i="2"/>
  <c r="K3500" i="2"/>
  <c r="J3500" i="2"/>
  <c r="I3500" i="2"/>
  <c r="H3500" i="2"/>
  <c r="F3500" i="2"/>
  <c r="E3500" i="2"/>
  <c r="D3500" i="2"/>
  <c r="C3500" i="2"/>
  <c r="B3500" i="2"/>
  <c r="A3500" i="2"/>
  <c r="M3499" i="2"/>
  <c r="L3499" i="2"/>
  <c r="K3499" i="2"/>
  <c r="J3499" i="2"/>
  <c r="I3499" i="2"/>
  <c r="H3499" i="2"/>
  <c r="F3499" i="2"/>
  <c r="E3499" i="2"/>
  <c r="D3499" i="2"/>
  <c r="C3499" i="2"/>
  <c r="B3499" i="2"/>
  <c r="A3499" i="2"/>
  <c r="M3498" i="2"/>
  <c r="L3498" i="2"/>
  <c r="K3498" i="2"/>
  <c r="J3498" i="2"/>
  <c r="I3498" i="2"/>
  <c r="H3498" i="2"/>
  <c r="F3498" i="2"/>
  <c r="E3498" i="2"/>
  <c r="D3498" i="2"/>
  <c r="C3498" i="2"/>
  <c r="B3498" i="2"/>
  <c r="A3498" i="2"/>
  <c r="M3497" i="2"/>
  <c r="L3497" i="2"/>
  <c r="K3497" i="2"/>
  <c r="J3497" i="2"/>
  <c r="I3497" i="2"/>
  <c r="H3497" i="2"/>
  <c r="F3497" i="2"/>
  <c r="E3497" i="2"/>
  <c r="D3497" i="2"/>
  <c r="C3497" i="2"/>
  <c r="B3497" i="2"/>
  <c r="A3497" i="2"/>
  <c r="M3496" i="2"/>
  <c r="L3496" i="2"/>
  <c r="K3496" i="2"/>
  <c r="J3496" i="2"/>
  <c r="I3496" i="2"/>
  <c r="H3496" i="2"/>
  <c r="F3496" i="2"/>
  <c r="E3496" i="2"/>
  <c r="D3496" i="2"/>
  <c r="C3496" i="2"/>
  <c r="B3496" i="2"/>
  <c r="A3496" i="2"/>
  <c r="M3495" i="2"/>
  <c r="L3495" i="2"/>
  <c r="K3495" i="2"/>
  <c r="J3495" i="2"/>
  <c r="I3495" i="2"/>
  <c r="H3495" i="2"/>
  <c r="F3495" i="2"/>
  <c r="E3495" i="2"/>
  <c r="D3495" i="2"/>
  <c r="C3495" i="2"/>
  <c r="B3495" i="2"/>
  <c r="A3495" i="2"/>
  <c r="M3494" i="2"/>
  <c r="L3494" i="2"/>
  <c r="K3494" i="2"/>
  <c r="I3494" i="2"/>
  <c r="H3494" i="2"/>
  <c r="F3494" i="2"/>
  <c r="E3494" i="2"/>
  <c r="D3494" i="2"/>
  <c r="C3494" i="2"/>
  <c r="B3494" i="2"/>
  <c r="A3494" i="2"/>
  <c r="M3493" i="2"/>
  <c r="L3493" i="2"/>
  <c r="K3493" i="2"/>
  <c r="I3493" i="2"/>
  <c r="H3493" i="2"/>
  <c r="F3493" i="2"/>
  <c r="E3493" i="2"/>
  <c r="D3493" i="2"/>
  <c r="C3493" i="2"/>
  <c r="B3493" i="2"/>
  <c r="A3493" i="2"/>
  <c r="M3492" i="2"/>
  <c r="L3492" i="2"/>
  <c r="J3492" i="2"/>
  <c r="I3492" i="2"/>
  <c r="H3492" i="2"/>
  <c r="F3492" i="2"/>
  <c r="E3492" i="2"/>
  <c r="D3492" i="2"/>
  <c r="C3492" i="2"/>
  <c r="B3492" i="2"/>
  <c r="A3492" i="2"/>
  <c r="M3491" i="2"/>
  <c r="L3491" i="2"/>
  <c r="K3491" i="2"/>
  <c r="J3491" i="2"/>
  <c r="I3491" i="2"/>
  <c r="H3491" i="2"/>
  <c r="F3491" i="2"/>
  <c r="E3491" i="2"/>
  <c r="D3491" i="2"/>
  <c r="C3491" i="2"/>
  <c r="B3491" i="2"/>
  <c r="A3491" i="2"/>
  <c r="M3490" i="2"/>
  <c r="L3490" i="2"/>
  <c r="K3490" i="2"/>
  <c r="J3490" i="2"/>
  <c r="I3490" i="2"/>
  <c r="H3490" i="2"/>
  <c r="F3490" i="2"/>
  <c r="E3490" i="2"/>
  <c r="D3490" i="2"/>
  <c r="C3490" i="2"/>
  <c r="B3490" i="2"/>
  <c r="A3490" i="2"/>
  <c r="M3489" i="2"/>
  <c r="L3489" i="2"/>
  <c r="K3489" i="2"/>
  <c r="J3489" i="2"/>
  <c r="I3489" i="2"/>
  <c r="H3489" i="2"/>
  <c r="F3489" i="2"/>
  <c r="E3489" i="2"/>
  <c r="D3489" i="2"/>
  <c r="C3489" i="2"/>
  <c r="B3489" i="2"/>
  <c r="A3489" i="2"/>
  <c r="M3488" i="2"/>
  <c r="L3488" i="2"/>
  <c r="K3488" i="2"/>
  <c r="J3488" i="2"/>
  <c r="I3488" i="2"/>
  <c r="H3488" i="2"/>
  <c r="F3488" i="2"/>
  <c r="E3488" i="2"/>
  <c r="D3488" i="2"/>
  <c r="C3488" i="2"/>
  <c r="B3488" i="2"/>
  <c r="A3488" i="2"/>
  <c r="M3487" i="2"/>
  <c r="L3487" i="2"/>
  <c r="K3487" i="2"/>
  <c r="J3487" i="2"/>
  <c r="I3487" i="2"/>
  <c r="H3487" i="2"/>
  <c r="F3487" i="2"/>
  <c r="E3487" i="2"/>
  <c r="D3487" i="2"/>
  <c r="C3487" i="2"/>
  <c r="B3487" i="2"/>
  <c r="A3487" i="2"/>
  <c r="M3486" i="2"/>
  <c r="L3486" i="2"/>
  <c r="K3486" i="2"/>
  <c r="J3486" i="2"/>
  <c r="I3486" i="2"/>
  <c r="H3486" i="2"/>
  <c r="F3486" i="2"/>
  <c r="E3486" i="2"/>
  <c r="D3486" i="2"/>
  <c r="C3486" i="2"/>
  <c r="B3486" i="2"/>
  <c r="A3486" i="2"/>
  <c r="M3485" i="2"/>
  <c r="L3485" i="2"/>
  <c r="K3485" i="2"/>
  <c r="J3485" i="2"/>
  <c r="I3485" i="2"/>
  <c r="H3485" i="2"/>
  <c r="F3485" i="2"/>
  <c r="E3485" i="2"/>
  <c r="D3485" i="2"/>
  <c r="C3485" i="2"/>
  <c r="B3485" i="2"/>
  <c r="A3485" i="2"/>
  <c r="M3484" i="2"/>
  <c r="F3484" i="2"/>
  <c r="E3484" i="2"/>
  <c r="D3484" i="2"/>
  <c r="C3484" i="2"/>
  <c r="B3484" i="2"/>
  <c r="A3484" i="2"/>
  <c r="M3483" i="2"/>
  <c r="F3483" i="2"/>
  <c r="E3483" i="2"/>
  <c r="D3483" i="2"/>
  <c r="C3483" i="2"/>
  <c r="B3483" i="2"/>
  <c r="A3483" i="2"/>
  <c r="M3482" i="2"/>
  <c r="F3482" i="2"/>
  <c r="E3482" i="2"/>
  <c r="D3482" i="2"/>
  <c r="C3482" i="2"/>
  <c r="B3482" i="2"/>
  <c r="A3482" i="2"/>
  <c r="M3481" i="2"/>
  <c r="F3481" i="2"/>
  <c r="E3481" i="2"/>
  <c r="D3481" i="2"/>
  <c r="C3481" i="2"/>
  <c r="B3481" i="2"/>
  <c r="A3481" i="2"/>
  <c r="M3480" i="2"/>
  <c r="L3480" i="2"/>
  <c r="K3480" i="2"/>
  <c r="J3480" i="2"/>
  <c r="I3480" i="2"/>
  <c r="H3480" i="2"/>
  <c r="F3480" i="2"/>
  <c r="E3480" i="2"/>
  <c r="D3480" i="2"/>
  <c r="C3480" i="2"/>
  <c r="B3480" i="2"/>
  <c r="A3480" i="2"/>
  <c r="M3479" i="2"/>
  <c r="L3479" i="2"/>
  <c r="K3479" i="2"/>
  <c r="J3479" i="2"/>
  <c r="I3479" i="2"/>
  <c r="H3479" i="2"/>
  <c r="F3479" i="2"/>
  <c r="E3479" i="2"/>
  <c r="D3479" i="2"/>
  <c r="C3479" i="2"/>
  <c r="B3479" i="2"/>
  <c r="A3479" i="2"/>
  <c r="M3478" i="2"/>
  <c r="L3478" i="2"/>
  <c r="K3478" i="2"/>
  <c r="J3478" i="2"/>
  <c r="I3478" i="2"/>
  <c r="H3478" i="2"/>
  <c r="F3478" i="2"/>
  <c r="E3478" i="2"/>
  <c r="D3478" i="2"/>
  <c r="C3478" i="2"/>
  <c r="B3478" i="2"/>
  <c r="A3478" i="2"/>
  <c r="M3477" i="2"/>
  <c r="K3477" i="2"/>
  <c r="F3477" i="2"/>
  <c r="E3477" i="2"/>
  <c r="D3477" i="2"/>
  <c r="C3477" i="2"/>
  <c r="B3477" i="2"/>
  <c r="A3477" i="2"/>
  <c r="M3476" i="2"/>
  <c r="L3476" i="2"/>
  <c r="K3476" i="2"/>
  <c r="J3476" i="2"/>
  <c r="I3476" i="2"/>
  <c r="H3476" i="2"/>
  <c r="F3476" i="2"/>
  <c r="E3476" i="2"/>
  <c r="D3476" i="2"/>
  <c r="C3476" i="2"/>
  <c r="B3476" i="2"/>
  <c r="A3476" i="2"/>
  <c r="M3475" i="2"/>
  <c r="L3475" i="2"/>
  <c r="K3475" i="2"/>
  <c r="J3475" i="2"/>
  <c r="I3475" i="2"/>
  <c r="H3475" i="2"/>
  <c r="F3475" i="2"/>
  <c r="E3475" i="2"/>
  <c r="D3475" i="2"/>
  <c r="C3475" i="2"/>
  <c r="B3475" i="2"/>
  <c r="A3475" i="2"/>
  <c r="M3474" i="2"/>
  <c r="L3474" i="2"/>
  <c r="K3474" i="2"/>
  <c r="J3474" i="2"/>
  <c r="I3474" i="2"/>
  <c r="H3474" i="2"/>
  <c r="F3474" i="2"/>
  <c r="E3474" i="2"/>
  <c r="D3474" i="2"/>
  <c r="C3474" i="2"/>
  <c r="B3474" i="2"/>
  <c r="A3474" i="2"/>
  <c r="M3473" i="2"/>
  <c r="K3473" i="2"/>
  <c r="F3473" i="2"/>
  <c r="E3473" i="2"/>
  <c r="D3473" i="2"/>
  <c r="C3473" i="2"/>
  <c r="B3473" i="2"/>
  <c r="A3473" i="2"/>
  <c r="M3472" i="2"/>
  <c r="K3472" i="2"/>
  <c r="F3472" i="2"/>
  <c r="E3472" i="2"/>
  <c r="D3472" i="2"/>
  <c r="C3472" i="2"/>
  <c r="B3472" i="2"/>
  <c r="A3472" i="2"/>
  <c r="M3471" i="2"/>
  <c r="K3471" i="2"/>
  <c r="F3471" i="2"/>
  <c r="E3471" i="2"/>
  <c r="D3471" i="2"/>
  <c r="C3471" i="2"/>
  <c r="B3471" i="2"/>
  <c r="A3471" i="2"/>
  <c r="M3470" i="2"/>
  <c r="L3470" i="2"/>
  <c r="K3470" i="2"/>
  <c r="J3470" i="2"/>
  <c r="I3470" i="2"/>
  <c r="H3470" i="2"/>
  <c r="F3470" i="2"/>
  <c r="E3470" i="2"/>
  <c r="D3470" i="2"/>
  <c r="C3470" i="2"/>
  <c r="B3470" i="2"/>
  <c r="A3470" i="2"/>
  <c r="M3469" i="2"/>
  <c r="L3469" i="2"/>
  <c r="K3469" i="2"/>
  <c r="J3469" i="2"/>
  <c r="I3469" i="2"/>
  <c r="H3469" i="2"/>
  <c r="F3469" i="2"/>
  <c r="E3469" i="2"/>
  <c r="D3469" i="2"/>
  <c r="C3469" i="2"/>
  <c r="B3469" i="2"/>
  <c r="A3469" i="2"/>
  <c r="M3468" i="2"/>
  <c r="L3468" i="2"/>
  <c r="K3468" i="2"/>
  <c r="J3468" i="2"/>
  <c r="I3468" i="2"/>
  <c r="H3468" i="2"/>
  <c r="F3468" i="2"/>
  <c r="E3468" i="2"/>
  <c r="D3468" i="2"/>
  <c r="C3468" i="2"/>
  <c r="B3468" i="2"/>
  <c r="A3468" i="2"/>
  <c r="M3467" i="2"/>
  <c r="L3467" i="2"/>
  <c r="K3467" i="2"/>
  <c r="J3467" i="2"/>
  <c r="I3467" i="2"/>
  <c r="H3467" i="2"/>
  <c r="F3467" i="2"/>
  <c r="E3467" i="2"/>
  <c r="D3467" i="2"/>
  <c r="C3467" i="2"/>
  <c r="B3467" i="2"/>
  <c r="A3467" i="2"/>
  <c r="M3466" i="2"/>
  <c r="L3466" i="2"/>
  <c r="K3466" i="2"/>
  <c r="J3466" i="2"/>
  <c r="I3466" i="2"/>
  <c r="H3466" i="2"/>
  <c r="F3466" i="2"/>
  <c r="E3466" i="2"/>
  <c r="D3466" i="2"/>
  <c r="C3466" i="2"/>
  <c r="B3466" i="2"/>
  <c r="A3466" i="2"/>
  <c r="M3465" i="2"/>
  <c r="K3465" i="2"/>
  <c r="F3465" i="2"/>
  <c r="E3465" i="2"/>
  <c r="D3465" i="2"/>
  <c r="C3465" i="2"/>
  <c r="B3465" i="2"/>
  <c r="A3465" i="2"/>
  <c r="M3464" i="2"/>
  <c r="K3464" i="2"/>
  <c r="F3464" i="2"/>
  <c r="E3464" i="2"/>
  <c r="D3464" i="2"/>
  <c r="C3464" i="2"/>
  <c r="B3464" i="2"/>
  <c r="A3464" i="2"/>
  <c r="M3463" i="2"/>
  <c r="L3463" i="2"/>
  <c r="K3463" i="2"/>
  <c r="J3463" i="2"/>
  <c r="I3463" i="2"/>
  <c r="H3463" i="2"/>
  <c r="F3463" i="2"/>
  <c r="E3463" i="2"/>
  <c r="D3463" i="2"/>
  <c r="C3463" i="2"/>
  <c r="B3463" i="2"/>
  <c r="A3463" i="2"/>
  <c r="M3462" i="2"/>
  <c r="K3462" i="2"/>
  <c r="F3462" i="2"/>
  <c r="E3462" i="2"/>
  <c r="D3462" i="2"/>
  <c r="C3462" i="2"/>
  <c r="B3462" i="2"/>
  <c r="A3462" i="2"/>
  <c r="M3461" i="2"/>
  <c r="K3461" i="2"/>
  <c r="F3461" i="2"/>
  <c r="E3461" i="2"/>
  <c r="D3461" i="2"/>
  <c r="C3461" i="2"/>
  <c r="B3461" i="2"/>
  <c r="A3461" i="2"/>
  <c r="M3460" i="2"/>
  <c r="L3460" i="2"/>
  <c r="K3460" i="2"/>
  <c r="J3460" i="2"/>
  <c r="I3460" i="2"/>
  <c r="H3460" i="2"/>
  <c r="F3460" i="2"/>
  <c r="E3460" i="2"/>
  <c r="D3460" i="2"/>
  <c r="C3460" i="2"/>
  <c r="B3460" i="2"/>
  <c r="A3460" i="2"/>
  <c r="M3459" i="2"/>
  <c r="F3459" i="2"/>
  <c r="E3459" i="2"/>
  <c r="D3459" i="2"/>
  <c r="C3459" i="2"/>
  <c r="B3459" i="2"/>
  <c r="A3459" i="2"/>
  <c r="M3458" i="2"/>
  <c r="L3458" i="2"/>
  <c r="K3458" i="2"/>
  <c r="J3458" i="2"/>
  <c r="I3458" i="2"/>
  <c r="H3458" i="2"/>
  <c r="F3458" i="2"/>
  <c r="E3458" i="2"/>
  <c r="D3458" i="2"/>
  <c r="C3458" i="2"/>
  <c r="B3458" i="2"/>
  <c r="A3458" i="2"/>
  <c r="M3457" i="2"/>
  <c r="F3457" i="2"/>
  <c r="E3457" i="2"/>
  <c r="D3457" i="2"/>
  <c r="C3457" i="2"/>
  <c r="B3457" i="2"/>
  <c r="A3457" i="2"/>
  <c r="M3456" i="2"/>
  <c r="F3456" i="2"/>
  <c r="E3456" i="2"/>
  <c r="D3456" i="2"/>
  <c r="C3456" i="2"/>
  <c r="B3456" i="2"/>
  <c r="A3456" i="2"/>
  <c r="M3455" i="2"/>
  <c r="L3455" i="2"/>
  <c r="K3455" i="2"/>
  <c r="J3455" i="2"/>
  <c r="I3455" i="2"/>
  <c r="H3455" i="2"/>
  <c r="F3455" i="2"/>
  <c r="E3455" i="2"/>
  <c r="D3455" i="2"/>
  <c r="C3455" i="2"/>
  <c r="B3455" i="2"/>
  <c r="A3455" i="2"/>
  <c r="M3454" i="2"/>
  <c r="L3454" i="2"/>
  <c r="K3454" i="2"/>
  <c r="J3454" i="2"/>
  <c r="I3454" i="2"/>
  <c r="H3454" i="2"/>
  <c r="F3454" i="2"/>
  <c r="E3454" i="2"/>
  <c r="D3454" i="2"/>
  <c r="C3454" i="2"/>
  <c r="B3454" i="2"/>
  <c r="A3454" i="2"/>
  <c r="M3453" i="2"/>
  <c r="L3453" i="2"/>
  <c r="K3453" i="2"/>
  <c r="J3453" i="2"/>
  <c r="I3453" i="2"/>
  <c r="H3453" i="2"/>
  <c r="F3453" i="2"/>
  <c r="E3453" i="2"/>
  <c r="D3453" i="2"/>
  <c r="C3453" i="2"/>
  <c r="B3453" i="2"/>
  <c r="A3453" i="2"/>
  <c r="M3452" i="2"/>
  <c r="L3452" i="2"/>
  <c r="K3452" i="2"/>
  <c r="J3452" i="2"/>
  <c r="I3452" i="2"/>
  <c r="H3452" i="2"/>
  <c r="F3452" i="2"/>
  <c r="E3452" i="2"/>
  <c r="D3452" i="2"/>
  <c r="C3452" i="2"/>
  <c r="B3452" i="2"/>
  <c r="A3452" i="2"/>
  <c r="M3451" i="2"/>
  <c r="L3451" i="2"/>
  <c r="K3451" i="2"/>
  <c r="J3451" i="2"/>
  <c r="I3451" i="2"/>
  <c r="H3451" i="2"/>
  <c r="F3451" i="2"/>
  <c r="E3451" i="2"/>
  <c r="D3451" i="2"/>
  <c r="C3451" i="2"/>
  <c r="B3451" i="2"/>
  <c r="A3451" i="2"/>
  <c r="M3450" i="2"/>
  <c r="L3450" i="2"/>
  <c r="K3450" i="2"/>
  <c r="J3450" i="2"/>
  <c r="I3450" i="2"/>
  <c r="H3450" i="2"/>
  <c r="F3450" i="2"/>
  <c r="E3450" i="2"/>
  <c r="D3450" i="2"/>
  <c r="C3450" i="2"/>
  <c r="B3450" i="2"/>
  <c r="A3450" i="2"/>
  <c r="M3449" i="2"/>
  <c r="L3449" i="2"/>
  <c r="K3449" i="2"/>
  <c r="J3449" i="2"/>
  <c r="I3449" i="2"/>
  <c r="H3449" i="2"/>
  <c r="F3449" i="2"/>
  <c r="E3449" i="2"/>
  <c r="D3449" i="2"/>
  <c r="C3449" i="2"/>
  <c r="B3449" i="2"/>
  <c r="A3449" i="2"/>
  <c r="M3448" i="2"/>
  <c r="L3448" i="2"/>
  <c r="K3448" i="2"/>
  <c r="J3448" i="2"/>
  <c r="I3448" i="2"/>
  <c r="H3448" i="2"/>
  <c r="F3448" i="2"/>
  <c r="E3448" i="2"/>
  <c r="D3448" i="2"/>
  <c r="C3448" i="2"/>
  <c r="B3448" i="2"/>
  <c r="A3448" i="2"/>
  <c r="M3447" i="2"/>
  <c r="L3447" i="2"/>
  <c r="K3447" i="2"/>
  <c r="J3447" i="2"/>
  <c r="I3447" i="2"/>
  <c r="H3447" i="2"/>
  <c r="F3447" i="2"/>
  <c r="E3447" i="2"/>
  <c r="D3447" i="2"/>
  <c r="C3447" i="2"/>
  <c r="B3447" i="2"/>
  <c r="A3447" i="2"/>
  <c r="M3446" i="2"/>
  <c r="L3446" i="2"/>
  <c r="K3446" i="2"/>
  <c r="J3446" i="2"/>
  <c r="I3446" i="2"/>
  <c r="H3446" i="2"/>
  <c r="F3446" i="2"/>
  <c r="E3446" i="2"/>
  <c r="D3446" i="2"/>
  <c r="C3446" i="2"/>
  <c r="B3446" i="2"/>
  <c r="A3446" i="2"/>
  <c r="M3445" i="2"/>
  <c r="K3445" i="2"/>
  <c r="J3445" i="2"/>
  <c r="H3445" i="2"/>
  <c r="F3445" i="2"/>
  <c r="E3445" i="2"/>
  <c r="D3445" i="2"/>
  <c r="C3445" i="2"/>
  <c r="B3445" i="2"/>
  <c r="A3445" i="2"/>
  <c r="M3444" i="2"/>
  <c r="L3444" i="2"/>
  <c r="K3444" i="2"/>
  <c r="J3444" i="2"/>
  <c r="I3444" i="2"/>
  <c r="H3444" i="2"/>
  <c r="F3444" i="2"/>
  <c r="E3444" i="2"/>
  <c r="D3444" i="2"/>
  <c r="C3444" i="2"/>
  <c r="B3444" i="2"/>
  <c r="A3444" i="2"/>
  <c r="M3443" i="2"/>
  <c r="K3443" i="2"/>
  <c r="J3443" i="2"/>
  <c r="H3443" i="2"/>
  <c r="F3443" i="2"/>
  <c r="E3443" i="2"/>
  <c r="D3443" i="2"/>
  <c r="C3443" i="2"/>
  <c r="B3443" i="2"/>
  <c r="A3443" i="2"/>
  <c r="M3442" i="2"/>
  <c r="L3442" i="2"/>
  <c r="K3442" i="2"/>
  <c r="J3442" i="2"/>
  <c r="I3442" i="2"/>
  <c r="H3442" i="2"/>
  <c r="F3442" i="2"/>
  <c r="E3442" i="2"/>
  <c r="D3442" i="2"/>
  <c r="C3442" i="2"/>
  <c r="B3442" i="2"/>
  <c r="A3442" i="2"/>
  <c r="M3441" i="2"/>
  <c r="L3441" i="2"/>
  <c r="K3441" i="2"/>
  <c r="J3441" i="2"/>
  <c r="I3441" i="2"/>
  <c r="H3441" i="2"/>
  <c r="F3441" i="2"/>
  <c r="E3441" i="2"/>
  <c r="D3441" i="2"/>
  <c r="C3441" i="2"/>
  <c r="B3441" i="2"/>
  <c r="A3441" i="2"/>
  <c r="M3440" i="2"/>
  <c r="F3440" i="2"/>
  <c r="D3440" i="2"/>
  <c r="C3440" i="2"/>
  <c r="B3440" i="2"/>
  <c r="A3440" i="2"/>
  <c r="M3439" i="2"/>
  <c r="F3439" i="2"/>
  <c r="D3439" i="2"/>
  <c r="C3439" i="2"/>
  <c r="B3439" i="2"/>
  <c r="A3439" i="2"/>
  <c r="M3438" i="2"/>
  <c r="L3438" i="2"/>
  <c r="K3438" i="2"/>
  <c r="J3438" i="2"/>
  <c r="I3438" i="2"/>
  <c r="H3438" i="2"/>
  <c r="F3438" i="2"/>
  <c r="E3438" i="2"/>
  <c r="D3438" i="2"/>
  <c r="C3438" i="2"/>
  <c r="B3438" i="2"/>
  <c r="A3438" i="2"/>
  <c r="M3437" i="2"/>
  <c r="L3437" i="2"/>
  <c r="K3437" i="2"/>
  <c r="J3437" i="2"/>
  <c r="I3437" i="2"/>
  <c r="H3437" i="2"/>
  <c r="F3437" i="2"/>
  <c r="E3437" i="2"/>
  <c r="D3437" i="2"/>
  <c r="C3437" i="2"/>
  <c r="B3437" i="2"/>
  <c r="A3437" i="2"/>
  <c r="M3436" i="2"/>
  <c r="L3436" i="2"/>
  <c r="K3436" i="2"/>
  <c r="J3436" i="2"/>
  <c r="I3436" i="2"/>
  <c r="H3436" i="2"/>
  <c r="F3436" i="2"/>
  <c r="E3436" i="2"/>
  <c r="D3436" i="2"/>
  <c r="C3436" i="2"/>
  <c r="B3436" i="2"/>
  <c r="A3436" i="2"/>
  <c r="M3435" i="2"/>
  <c r="L3435" i="2"/>
  <c r="K3435" i="2"/>
  <c r="J3435" i="2"/>
  <c r="I3435" i="2"/>
  <c r="H3435" i="2"/>
  <c r="F3435" i="2"/>
  <c r="E3435" i="2"/>
  <c r="D3435" i="2"/>
  <c r="C3435" i="2"/>
  <c r="B3435" i="2"/>
  <c r="A3435" i="2"/>
  <c r="M3434" i="2"/>
  <c r="L3434" i="2"/>
  <c r="K3434" i="2"/>
  <c r="J3434" i="2"/>
  <c r="I3434" i="2"/>
  <c r="H3434" i="2"/>
  <c r="F3434" i="2"/>
  <c r="E3434" i="2"/>
  <c r="D3434" i="2"/>
  <c r="C3434" i="2"/>
  <c r="B3434" i="2"/>
  <c r="A3434" i="2"/>
  <c r="M3433" i="2"/>
  <c r="L3433" i="2"/>
  <c r="K3433" i="2"/>
  <c r="J3433" i="2"/>
  <c r="I3433" i="2"/>
  <c r="H3433" i="2"/>
  <c r="F3433" i="2"/>
  <c r="E3433" i="2"/>
  <c r="D3433" i="2"/>
  <c r="C3433" i="2"/>
  <c r="B3433" i="2"/>
  <c r="A3433" i="2"/>
  <c r="M3432" i="2"/>
  <c r="L3432" i="2"/>
  <c r="K3432" i="2"/>
  <c r="J3432" i="2"/>
  <c r="I3432" i="2"/>
  <c r="H3432" i="2"/>
  <c r="F3432" i="2"/>
  <c r="E3432" i="2"/>
  <c r="D3432" i="2"/>
  <c r="C3432" i="2"/>
  <c r="B3432" i="2"/>
  <c r="A3432" i="2"/>
  <c r="M3431" i="2"/>
  <c r="L3431" i="2"/>
  <c r="K3431" i="2"/>
  <c r="J3431" i="2"/>
  <c r="I3431" i="2"/>
  <c r="H3431" i="2"/>
  <c r="F3431" i="2"/>
  <c r="E3431" i="2"/>
  <c r="D3431" i="2"/>
  <c r="C3431" i="2"/>
  <c r="B3431" i="2"/>
  <c r="A3431" i="2"/>
  <c r="M3430" i="2"/>
  <c r="L3430" i="2"/>
  <c r="K3430" i="2"/>
  <c r="J3430" i="2"/>
  <c r="I3430" i="2"/>
  <c r="H3430" i="2"/>
  <c r="F3430" i="2"/>
  <c r="E3430" i="2"/>
  <c r="D3430" i="2"/>
  <c r="C3430" i="2"/>
  <c r="B3430" i="2"/>
  <c r="A3430" i="2"/>
  <c r="M3429" i="2"/>
  <c r="L3429" i="2"/>
  <c r="K3429" i="2"/>
  <c r="J3429" i="2"/>
  <c r="I3429" i="2"/>
  <c r="H3429" i="2"/>
  <c r="F3429" i="2"/>
  <c r="E3429" i="2"/>
  <c r="D3429" i="2"/>
  <c r="C3429" i="2"/>
  <c r="B3429" i="2"/>
  <c r="A3429" i="2"/>
  <c r="M3428" i="2"/>
  <c r="L3428" i="2"/>
  <c r="K3428" i="2"/>
  <c r="J3428" i="2"/>
  <c r="I3428" i="2"/>
  <c r="H3428" i="2"/>
  <c r="F3428" i="2"/>
  <c r="E3428" i="2"/>
  <c r="D3428" i="2"/>
  <c r="C3428" i="2"/>
  <c r="B3428" i="2"/>
  <c r="A3428" i="2"/>
  <c r="M3427" i="2"/>
  <c r="L3427" i="2"/>
  <c r="K3427" i="2"/>
  <c r="J3427" i="2"/>
  <c r="I3427" i="2"/>
  <c r="H3427" i="2"/>
  <c r="F3427" i="2"/>
  <c r="E3427" i="2"/>
  <c r="D3427" i="2"/>
  <c r="C3427" i="2"/>
  <c r="B3427" i="2"/>
  <c r="A3427" i="2"/>
  <c r="M3426" i="2"/>
  <c r="L3426" i="2"/>
  <c r="K3426" i="2"/>
  <c r="J3426" i="2"/>
  <c r="I3426" i="2"/>
  <c r="H3426" i="2"/>
  <c r="F3426" i="2"/>
  <c r="E3426" i="2"/>
  <c r="D3426" i="2"/>
  <c r="C3426" i="2"/>
  <c r="B3426" i="2"/>
  <c r="A3426" i="2"/>
  <c r="M3425" i="2"/>
  <c r="L3425" i="2"/>
  <c r="K3425" i="2"/>
  <c r="J3425" i="2"/>
  <c r="I3425" i="2"/>
  <c r="H3425" i="2"/>
  <c r="F3425" i="2"/>
  <c r="E3425" i="2"/>
  <c r="D3425" i="2"/>
  <c r="C3425" i="2"/>
  <c r="B3425" i="2"/>
  <c r="A3425" i="2"/>
  <c r="M3424" i="2"/>
  <c r="L3424" i="2"/>
  <c r="K3424" i="2"/>
  <c r="J3424" i="2"/>
  <c r="I3424" i="2"/>
  <c r="H3424" i="2"/>
  <c r="F3424" i="2"/>
  <c r="E3424" i="2"/>
  <c r="D3424" i="2"/>
  <c r="C3424" i="2"/>
  <c r="B3424" i="2"/>
  <c r="A3424" i="2"/>
  <c r="M3423" i="2"/>
  <c r="L3423" i="2"/>
  <c r="K3423" i="2"/>
  <c r="J3423" i="2"/>
  <c r="I3423" i="2"/>
  <c r="H3423" i="2"/>
  <c r="G3423" i="2"/>
  <c r="F3423" i="2"/>
  <c r="E3423" i="2"/>
  <c r="D3423" i="2"/>
  <c r="C3423" i="2"/>
  <c r="B3423" i="2"/>
  <c r="A3423" i="2"/>
  <c r="M3422" i="2"/>
  <c r="L3422" i="2"/>
  <c r="K3422" i="2"/>
  <c r="J3422" i="2"/>
  <c r="I3422" i="2"/>
  <c r="H3422" i="2"/>
  <c r="G3422" i="2"/>
  <c r="F3422" i="2"/>
  <c r="E3422" i="2"/>
  <c r="D3422" i="2"/>
  <c r="C3422" i="2"/>
  <c r="B3422" i="2"/>
  <c r="A3422" i="2"/>
  <c r="M3421" i="2"/>
  <c r="L3421" i="2"/>
  <c r="K3421" i="2"/>
  <c r="J3421" i="2"/>
  <c r="I3421" i="2"/>
  <c r="H3421" i="2"/>
  <c r="G3421" i="2"/>
  <c r="F3421" i="2"/>
  <c r="E3421" i="2"/>
  <c r="D3421" i="2"/>
  <c r="C3421" i="2"/>
  <c r="B3421" i="2"/>
  <c r="A3421" i="2"/>
  <c r="M3420" i="2"/>
  <c r="L3420" i="2"/>
  <c r="K3420" i="2"/>
  <c r="J3420" i="2"/>
  <c r="I3420" i="2"/>
  <c r="H3420" i="2"/>
  <c r="G3420" i="2"/>
  <c r="F3420" i="2"/>
  <c r="E3420" i="2"/>
  <c r="D3420" i="2"/>
  <c r="C3420" i="2"/>
  <c r="B3420" i="2"/>
  <c r="A3420" i="2"/>
  <c r="M3419" i="2"/>
  <c r="L3419" i="2"/>
  <c r="K3419" i="2"/>
  <c r="J3419" i="2"/>
  <c r="I3419" i="2"/>
  <c r="H3419" i="2"/>
  <c r="G3419" i="2"/>
  <c r="F3419" i="2"/>
  <c r="E3419" i="2"/>
  <c r="D3419" i="2"/>
  <c r="C3419" i="2"/>
  <c r="B3419" i="2"/>
  <c r="A3419" i="2"/>
  <c r="M3418" i="2"/>
  <c r="L3418" i="2"/>
  <c r="K3418" i="2"/>
  <c r="J3418" i="2"/>
  <c r="I3418" i="2"/>
  <c r="H3418" i="2"/>
  <c r="G3418" i="2"/>
  <c r="F3418" i="2"/>
  <c r="E3418" i="2"/>
  <c r="D3418" i="2"/>
  <c r="C3418" i="2"/>
  <c r="B3418" i="2"/>
  <c r="A3418" i="2"/>
  <c r="M3417" i="2"/>
  <c r="L3417" i="2"/>
  <c r="K3417" i="2"/>
  <c r="J3417" i="2"/>
  <c r="I3417" i="2"/>
  <c r="H3417" i="2"/>
  <c r="G3417" i="2"/>
  <c r="F3417" i="2"/>
  <c r="E3417" i="2"/>
  <c r="D3417" i="2"/>
  <c r="C3417" i="2"/>
  <c r="B3417" i="2"/>
  <c r="A3417" i="2"/>
  <c r="M3416" i="2"/>
  <c r="L3416" i="2"/>
  <c r="K3416" i="2"/>
  <c r="J3416" i="2"/>
  <c r="I3416" i="2"/>
  <c r="H3416" i="2"/>
  <c r="G3416" i="2"/>
  <c r="F3416" i="2"/>
  <c r="E3416" i="2"/>
  <c r="D3416" i="2"/>
  <c r="C3416" i="2"/>
  <c r="B3416" i="2"/>
  <c r="A3416" i="2"/>
  <c r="M3415" i="2"/>
  <c r="L3415" i="2"/>
  <c r="K3415" i="2"/>
  <c r="J3415" i="2"/>
  <c r="I3415" i="2"/>
  <c r="H3415" i="2"/>
  <c r="G3415" i="2"/>
  <c r="F3415" i="2"/>
  <c r="E3415" i="2"/>
  <c r="D3415" i="2"/>
  <c r="C3415" i="2"/>
  <c r="B3415" i="2"/>
  <c r="A3415" i="2"/>
  <c r="M3414" i="2"/>
  <c r="L3414" i="2"/>
  <c r="K3414" i="2"/>
  <c r="J3414" i="2"/>
  <c r="I3414" i="2"/>
  <c r="H3414" i="2"/>
  <c r="G3414" i="2"/>
  <c r="F3414" i="2"/>
  <c r="E3414" i="2"/>
  <c r="D3414" i="2"/>
  <c r="C3414" i="2"/>
  <c r="B3414" i="2"/>
  <c r="A3414" i="2"/>
  <c r="M3413" i="2"/>
  <c r="L3413" i="2"/>
  <c r="K3413" i="2"/>
  <c r="J3413" i="2"/>
  <c r="I3413" i="2"/>
  <c r="H3413" i="2"/>
  <c r="G3413" i="2"/>
  <c r="F3413" i="2"/>
  <c r="E3413" i="2"/>
  <c r="D3413" i="2"/>
  <c r="C3413" i="2"/>
  <c r="B3413" i="2"/>
  <c r="A3413" i="2"/>
  <c r="M3412" i="2"/>
  <c r="L3412" i="2"/>
  <c r="K3412" i="2"/>
  <c r="J3412" i="2"/>
  <c r="I3412" i="2"/>
  <c r="H3412" i="2"/>
  <c r="G3412" i="2"/>
  <c r="F3412" i="2"/>
  <c r="E3412" i="2"/>
  <c r="D3412" i="2"/>
  <c r="C3412" i="2"/>
  <c r="B3412" i="2"/>
  <c r="A3412" i="2"/>
  <c r="M3411" i="2"/>
  <c r="L3411" i="2"/>
  <c r="K3411" i="2"/>
  <c r="J3411" i="2"/>
  <c r="I3411" i="2"/>
  <c r="H3411" i="2"/>
  <c r="G3411" i="2"/>
  <c r="F3411" i="2"/>
  <c r="E3411" i="2"/>
  <c r="D3411" i="2"/>
  <c r="C3411" i="2"/>
  <c r="B3411" i="2"/>
  <c r="A3411" i="2"/>
  <c r="M3410" i="2"/>
  <c r="L3410" i="2"/>
  <c r="K3410" i="2"/>
  <c r="J3410" i="2"/>
  <c r="I3410" i="2"/>
  <c r="H3410" i="2"/>
  <c r="G3410" i="2"/>
  <c r="F3410" i="2"/>
  <c r="E3410" i="2"/>
  <c r="D3410" i="2"/>
  <c r="C3410" i="2"/>
  <c r="B3410" i="2"/>
  <c r="A3410" i="2"/>
  <c r="M3409" i="2"/>
  <c r="L3409" i="2"/>
  <c r="K3409" i="2"/>
  <c r="J3409" i="2"/>
  <c r="I3409" i="2"/>
  <c r="H3409" i="2"/>
  <c r="G3409" i="2"/>
  <c r="F3409" i="2"/>
  <c r="E3409" i="2"/>
  <c r="D3409" i="2"/>
  <c r="C3409" i="2"/>
  <c r="B3409" i="2"/>
  <c r="A3409" i="2"/>
  <c r="M3408" i="2"/>
  <c r="L3408" i="2"/>
  <c r="K3408" i="2"/>
  <c r="J3408" i="2"/>
  <c r="I3408" i="2"/>
  <c r="H3408" i="2"/>
  <c r="G3408" i="2"/>
  <c r="F3408" i="2"/>
  <c r="E3408" i="2"/>
  <c r="D3408" i="2"/>
  <c r="C3408" i="2"/>
  <c r="B3408" i="2"/>
  <c r="A3408" i="2"/>
  <c r="M3407" i="2"/>
  <c r="L3407" i="2"/>
  <c r="K3407" i="2"/>
  <c r="J3407" i="2"/>
  <c r="I3407" i="2"/>
  <c r="H3407" i="2"/>
  <c r="G3407" i="2"/>
  <c r="F3407" i="2"/>
  <c r="E3407" i="2"/>
  <c r="D3407" i="2"/>
  <c r="C3407" i="2"/>
  <c r="B3407" i="2"/>
  <c r="A3407" i="2"/>
  <c r="M3406" i="2"/>
  <c r="L3406" i="2"/>
  <c r="K3406" i="2"/>
  <c r="J3406" i="2"/>
  <c r="I3406" i="2"/>
  <c r="H3406" i="2"/>
  <c r="G3406" i="2"/>
  <c r="F3406" i="2"/>
  <c r="E3406" i="2"/>
  <c r="D3406" i="2"/>
  <c r="C3406" i="2"/>
  <c r="B3406" i="2"/>
  <c r="A3406" i="2"/>
  <c r="M3405" i="2"/>
  <c r="L3405" i="2"/>
  <c r="K3405" i="2"/>
  <c r="J3405" i="2"/>
  <c r="I3405" i="2"/>
  <c r="H3405" i="2"/>
  <c r="G3405" i="2"/>
  <c r="F3405" i="2"/>
  <c r="E3405" i="2"/>
  <c r="D3405" i="2"/>
  <c r="C3405" i="2"/>
  <c r="B3405" i="2"/>
  <c r="A3405" i="2"/>
  <c r="M3404" i="2"/>
  <c r="L3404" i="2"/>
  <c r="K3404" i="2"/>
  <c r="J3404" i="2"/>
  <c r="I3404" i="2"/>
  <c r="H3404" i="2"/>
  <c r="G3404" i="2"/>
  <c r="F3404" i="2"/>
  <c r="E3404" i="2"/>
  <c r="D3404" i="2"/>
  <c r="C3404" i="2"/>
  <c r="B3404" i="2"/>
  <c r="A3404" i="2"/>
  <c r="M3403" i="2"/>
  <c r="L3403" i="2"/>
  <c r="K3403" i="2"/>
  <c r="J3403" i="2"/>
  <c r="I3403" i="2"/>
  <c r="H3403" i="2"/>
  <c r="G3403" i="2"/>
  <c r="F3403" i="2"/>
  <c r="E3403" i="2"/>
  <c r="D3403" i="2"/>
  <c r="C3403" i="2"/>
  <c r="B3403" i="2"/>
  <c r="A3403" i="2"/>
  <c r="M3402" i="2"/>
  <c r="L3402" i="2"/>
  <c r="K3402" i="2"/>
  <c r="J3402" i="2"/>
  <c r="I3402" i="2"/>
  <c r="H3402" i="2"/>
  <c r="G3402" i="2"/>
  <c r="F3402" i="2"/>
  <c r="E3402" i="2"/>
  <c r="D3402" i="2"/>
  <c r="C3402" i="2"/>
  <c r="B3402" i="2"/>
  <c r="A3402" i="2"/>
  <c r="M3401" i="2"/>
  <c r="L3401" i="2"/>
  <c r="K3401" i="2"/>
  <c r="J3401" i="2"/>
  <c r="I3401" i="2"/>
  <c r="H3401" i="2"/>
  <c r="G3401" i="2"/>
  <c r="F3401" i="2"/>
  <c r="E3401" i="2"/>
  <c r="D3401" i="2"/>
  <c r="C3401" i="2"/>
  <c r="B3401" i="2"/>
  <c r="A3401" i="2"/>
  <c r="M3400" i="2"/>
  <c r="L3400" i="2"/>
  <c r="K3400" i="2"/>
  <c r="J3400" i="2"/>
  <c r="I3400" i="2"/>
  <c r="H3400" i="2"/>
  <c r="G3400" i="2"/>
  <c r="F3400" i="2"/>
  <c r="E3400" i="2"/>
  <c r="D3400" i="2"/>
  <c r="C3400" i="2"/>
  <c r="B3400" i="2"/>
  <c r="A3400" i="2"/>
  <c r="M3399" i="2"/>
  <c r="L3399" i="2"/>
  <c r="K3399" i="2"/>
  <c r="J3399" i="2"/>
  <c r="I3399" i="2"/>
  <c r="H3399" i="2"/>
  <c r="G3399" i="2"/>
  <c r="F3399" i="2"/>
  <c r="E3399" i="2"/>
  <c r="D3399" i="2"/>
  <c r="C3399" i="2"/>
  <c r="B3399" i="2"/>
  <c r="A3399" i="2"/>
  <c r="M3398" i="2"/>
  <c r="L3398" i="2"/>
  <c r="K3398" i="2"/>
  <c r="J3398" i="2"/>
  <c r="I3398" i="2"/>
  <c r="H3398" i="2"/>
  <c r="G3398" i="2"/>
  <c r="F3398" i="2"/>
  <c r="E3398" i="2"/>
  <c r="D3398" i="2"/>
  <c r="C3398" i="2"/>
  <c r="B3398" i="2"/>
  <c r="A3398" i="2"/>
  <c r="M3397" i="2"/>
  <c r="L3397" i="2"/>
  <c r="K3397" i="2"/>
  <c r="J3397" i="2"/>
  <c r="I3397" i="2"/>
  <c r="H3397" i="2"/>
  <c r="G3397" i="2"/>
  <c r="F3397" i="2"/>
  <c r="E3397" i="2"/>
  <c r="D3397" i="2"/>
  <c r="C3397" i="2"/>
  <c r="B3397" i="2"/>
  <c r="A3397" i="2"/>
  <c r="M3396" i="2"/>
  <c r="L3396" i="2"/>
  <c r="K3396" i="2"/>
  <c r="J3396" i="2"/>
  <c r="I3396" i="2"/>
  <c r="H3396" i="2"/>
  <c r="G3396" i="2"/>
  <c r="F3396" i="2"/>
  <c r="E3396" i="2"/>
  <c r="D3396" i="2"/>
  <c r="C3396" i="2"/>
  <c r="B3396" i="2"/>
  <c r="A3396" i="2"/>
  <c r="M3395" i="2"/>
  <c r="L3395" i="2"/>
  <c r="K3395" i="2"/>
  <c r="J3395" i="2"/>
  <c r="I3395" i="2"/>
  <c r="H3395" i="2"/>
  <c r="G3395" i="2"/>
  <c r="F3395" i="2"/>
  <c r="E3395" i="2"/>
  <c r="D3395" i="2"/>
  <c r="C3395" i="2"/>
  <c r="B3395" i="2"/>
  <c r="A3395" i="2"/>
  <c r="M3394" i="2"/>
  <c r="L3394" i="2"/>
  <c r="K3394" i="2"/>
  <c r="J3394" i="2"/>
  <c r="I3394" i="2"/>
  <c r="H3394" i="2"/>
  <c r="G3394" i="2"/>
  <c r="F3394" i="2"/>
  <c r="E3394" i="2"/>
  <c r="D3394" i="2"/>
  <c r="C3394" i="2"/>
  <c r="B3394" i="2"/>
  <c r="A3394" i="2"/>
  <c r="M3393" i="2"/>
  <c r="L3393" i="2"/>
  <c r="K3393" i="2"/>
  <c r="J3393" i="2"/>
  <c r="I3393" i="2"/>
  <c r="H3393" i="2"/>
  <c r="G3393" i="2"/>
  <c r="F3393" i="2"/>
  <c r="E3393" i="2"/>
  <c r="D3393" i="2"/>
  <c r="C3393" i="2"/>
  <c r="B3393" i="2"/>
  <c r="A3393" i="2"/>
  <c r="M3392" i="2"/>
  <c r="L3392" i="2"/>
  <c r="K3392" i="2"/>
  <c r="J3392" i="2"/>
  <c r="I3392" i="2"/>
  <c r="H3392" i="2"/>
  <c r="G3392" i="2"/>
  <c r="F3392" i="2"/>
  <c r="E3392" i="2"/>
  <c r="D3392" i="2"/>
  <c r="C3392" i="2"/>
  <c r="B3392" i="2"/>
  <c r="A3392" i="2"/>
  <c r="M3391" i="2"/>
  <c r="L3391" i="2"/>
  <c r="K3391" i="2"/>
  <c r="J3391" i="2"/>
  <c r="I3391" i="2"/>
  <c r="H3391" i="2"/>
  <c r="G3391" i="2"/>
  <c r="F3391" i="2"/>
  <c r="E3391" i="2"/>
  <c r="D3391" i="2"/>
  <c r="C3391" i="2"/>
  <c r="B3391" i="2"/>
  <c r="A3391" i="2"/>
  <c r="M3390" i="2"/>
  <c r="L3390" i="2"/>
  <c r="K3390" i="2"/>
  <c r="J3390" i="2"/>
  <c r="I3390" i="2"/>
  <c r="H3390" i="2"/>
  <c r="G3390" i="2"/>
  <c r="F3390" i="2"/>
  <c r="E3390" i="2"/>
  <c r="D3390" i="2"/>
  <c r="C3390" i="2"/>
  <c r="B3390" i="2"/>
  <c r="A3390" i="2"/>
  <c r="M3389" i="2"/>
  <c r="L3389" i="2"/>
  <c r="K3389" i="2"/>
  <c r="J3389" i="2"/>
  <c r="I3389" i="2"/>
  <c r="H3389" i="2"/>
  <c r="G3389" i="2"/>
  <c r="F3389" i="2"/>
  <c r="E3389" i="2"/>
  <c r="D3389" i="2"/>
  <c r="C3389" i="2"/>
  <c r="B3389" i="2"/>
  <c r="A3389" i="2"/>
  <c r="M3388" i="2"/>
  <c r="L3388" i="2"/>
  <c r="K3388" i="2"/>
  <c r="J3388" i="2"/>
  <c r="I3388" i="2"/>
  <c r="H3388" i="2"/>
  <c r="G3388" i="2"/>
  <c r="F3388" i="2"/>
  <c r="E3388" i="2"/>
  <c r="D3388" i="2"/>
  <c r="C3388" i="2"/>
  <c r="B3388" i="2"/>
  <c r="A3388" i="2"/>
  <c r="M3387" i="2"/>
  <c r="L3387" i="2"/>
  <c r="K3387" i="2"/>
  <c r="J3387" i="2"/>
  <c r="I3387" i="2"/>
  <c r="H3387" i="2"/>
  <c r="G3387" i="2"/>
  <c r="F3387" i="2"/>
  <c r="E3387" i="2"/>
  <c r="D3387" i="2"/>
  <c r="C3387" i="2"/>
  <c r="B3387" i="2"/>
  <c r="A3387" i="2"/>
  <c r="M3386" i="2"/>
  <c r="L3386" i="2"/>
  <c r="K3386" i="2"/>
  <c r="J3386" i="2"/>
  <c r="I3386" i="2"/>
  <c r="H3386" i="2"/>
  <c r="G3386" i="2"/>
  <c r="F3386" i="2"/>
  <c r="E3386" i="2"/>
  <c r="D3386" i="2"/>
  <c r="C3386" i="2"/>
  <c r="B3386" i="2"/>
  <c r="A3386" i="2"/>
  <c r="M3385" i="2"/>
  <c r="L3385" i="2"/>
  <c r="K3385" i="2"/>
  <c r="J3385" i="2"/>
  <c r="I3385" i="2"/>
  <c r="H3385" i="2"/>
  <c r="G3385" i="2"/>
  <c r="F3385" i="2"/>
  <c r="E3385" i="2"/>
  <c r="D3385" i="2"/>
  <c r="C3385" i="2"/>
  <c r="B3385" i="2"/>
  <c r="A3385" i="2"/>
  <c r="M3384" i="2"/>
  <c r="L3384" i="2"/>
  <c r="K3384" i="2"/>
  <c r="J3384" i="2"/>
  <c r="I3384" i="2"/>
  <c r="H3384" i="2"/>
  <c r="G3384" i="2"/>
  <c r="F3384" i="2"/>
  <c r="E3384" i="2"/>
  <c r="D3384" i="2"/>
  <c r="C3384" i="2"/>
  <c r="B3384" i="2"/>
  <c r="A3384" i="2"/>
  <c r="M3383" i="2"/>
  <c r="L3383" i="2"/>
  <c r="K3383" i="2"/>
  <c r="J3383" i="2"/>
  <c r="I3383" i="2"/>
  <c r="H3383" i="2"/>
  <c r="G3383" i="2"/>
  <c r="F3383" i="2"/>
  <c r="E3383" i="2"/>
  <c r="D3383" i="2"/>
  <c r="C3383" i="2"/>
  <c r="B3383" i="2"/>
  <c r="A3383" i="2"/>
  <c r="M3382" i="2"/>
  <c r="L3382" i="2"/>
  <c r="K3382" i="2"/>
  <c r="J3382" i="2"/>
  <c r="I3382" i="2"/>
  <c r="H3382" i="2"/>
  <c r="G3382" i="2"/>
  <c r="F3382" i="2"/>
  <c r="E3382" i="2"/>
  <c r="D3382" i="2"/>
  <c r="C3382" i="2"/>
  <c r="B3382" i="2"/>
  <c r="A3382" i="2"/>
  <c r="M3381" i="2"/>
  <c r="L3381" i="2"/>
  <c r="K3381" i="2"/>
  <c r="J3381" i="2"/>
  <c r="I3381" i="2"/>
  <c r="H3381" i="2"/>
  <c r="G3381" i="2"/>
  <c r="F3381" i="2"/>
  <c r="E3381" i="2"/>
  <c r="D3381" i="2"/>
  <c r="C3381" i="2"/>
  <c r="B3381" i="2"/>
  <c r="A3381" i="2"/>
  <c r="M3380" i="2"/>
  <c r="L3380" i="2"/>
  <c r="K3380" i="2"/>
  <c r="J3380" i="2"/>
  <c r="I3380" i="2"/>
  <c r="H3380" i="2"/>
  <c r="G3380" i="2"/>
  <c r="F3380" i="2"/>
  <c r="E3380" i="2"/>
  <c r="D3380" i="2"/>
  <c r="C3380" i="2"/>
  <c r="B3380" i="2"/>
  <c r="A3380" i="2"/>
  <c r="M3379" i="2"/>
  <c r="L3379" i="2"/>
  <c r="K3379" i="2"/>
  <c r="J3379" i="2"/>
  <c r="I3379" i="2"/>
  <c r="H3379" i="2"/>
  <c r="G3379" i="2"/>
  <c r="F3379" i="2"/>
  <c r="E3379" i="2"/>
  <c r="D3379" i="2"/>
  <c r="C3379" i="2"/>
  <c r="B3379" i="2"/>
  <c r="A3379" i="2"/>
  <c r="M3378" i="2"/>
  <c r="L3378" i="2"/>
  <c r="K3378" i="2"/>
  <c r="J3378" i="2"/>
  <c r="I3378" i="2"/>
  <c r="H3378" i="2"/>
  <c r="G3378" i="2"/>
  <c r="F3378" i="2"/>
  <c r="E3378" i="2"/>
  <c r="D3378" i="2"/>
  <c r="C3378" i="2"/>
  <c r="B3378" i="2"/>
  <c r="A3378" i="2"/>
  <c r="M3377" i="2"/>
  <c r="L3377" i="2"/>
  <c r="K3377" i="2"/>
  <c r="J3377" i="2"/>
  <c r="I3377" i="2"/>
  <c r="H3377" i="2"/>
  <c r="G3377" i="2"/>
  <c r="F3377" i="2"/>
  <c r="E3377" i="2"/>
  <c r="D3377" i="2"/>
  <c r="C3377" i="2"/>
  <c r="B3377" i="2"/>
  <c r="A3377" i="2"/>
  <c r="M3376" i="2"/>
  <c r="L3376" i="2"/>
  <c r="K3376" i="2"/>
  <c r="J3376" i="2"/>
  <c r="I3376" i="2"/>
  <c r="H3376" i="2"/>
  <c r="G3376" i="2"/>
  <c r="F3376" i="2"/>
  <c r="E3376" i="2"/>
  <c r="D3376" i="2"/>
  <c r="C3376" i="2"/>
  <c r="B3376" i="2"/>
  <c r="A3376" i="2"/>
  <c r="N3375" i="2"/>
  <c r="M3375" i="2"/>
  <c r="L3375" i="2"/>
  <c r="K3375" i="2"/>
  <c r="J3375" i="2"/>
  <c r="I3375" i="2"/>
  <c r="H3375" i="2"/>
  <c r="G3375" i="2"/>
  <c r="F3375" i="2"/>
  <c r="E3375" i="2"/>
  <c r="D3375" i="2"/>
  <c r="C3375" i="2"/>
  <c r="B3375" i="2"/>
  <c r="A3375" i="2"/>
  <c r="M3374" i="2"/>
  <c r="L3374" i="2"/>
  <c r="K3374" i="2"/>
  <c r="J3374" i="2"/>
  <c r="I3374" i="2"/>
  <c r="H3374" i="2"/>
  <c r="G3374" i="2"/>
  <c r="F3374" i="2"/>
  <c r="E3374" i="2"/>
  <c r="D3374" i="2"/>
  <c r="C3374" i="2"/>
  <c r="B3374" i="2"/>
  <c r="A3374" i="2"/>
  <c r="M3373" i="2"/>
  <c r="L3373" i="2"/>
  <c r="K3373" i="2"/>
  <c r="J3373" i="2"/>
  <c r="I3373" i="2"/>
  <c r="H3373" i="2"/>
  <c r="F3373" i="2"/>
  <c r="E3373" i="2"/>
  <c r="D3373" i="2"/>
  <c r="C3373" i="2"/>
  <c r="B3373" i="2"/>
  <c r="A3373" i="2"/>
  <c r="M3372" i="2"/>
  <c r="L3372" i="2"/>
  <c r="K3372" i="2"/>
  <c r="J3372" i="2"/>
  <c r="I3372" i="2"/>
  <c r="H3372" i="2"/>
  <c r="F3372" i="2"/>
  <c r="E3372" i="2"/>
  <c r="D3372" i="2"/>
  <c r="C3372" i="2"/>
  <c r="B3372" i="2"/>
  <c r="A3372" i="2"/>
  <c r="M3371" i="2"/>
  <c r="L3371" i="2"/>
  <c r="K3371" i="2"/>
  <c r="J3371" i="2"/>
  <c r="I3371" i="2"/>
  <c r="H3371" i="2"/>
  <c r="F3371" i="2"/>
  <c r="E3371" i="2"/>
  <c r="D3371" i="2"/>
  <c r="C3371" i="2"/>
  <c r="B3371" i="2"/>
  <c r="A3371" i="2"/>
  <c r="M3370" i="2"/>
  <c r="L3370" i="2"/>
  <c r="K3370" i="2"/>
  <c r="J3370" i="2"/>
  <c r="I3370" i="2"/>
  <c r="H3370" i="2"/>
  <c r="G3370" i="2"/>
  <c r="F3370" i="2"/>
  <c r="E3370" i="2"/>
  <c r="D3370" i="2"/>
  <c r="C3370" i="2"/>
  <c r="B3370" i="2"/>
  <c r="A3370" i="2"/>
  <c r="M3369" i="2"/>
  <c r="L3369" i="2"/>
  <c r="K3369" i="2"/>
  <c r="J3369" i="2"/>
  <c r="I3369" i="2"/>
  <c r="H3369" i="2"/>
  <c r="G3369" i="2"/>
  <c r="F3369" i="2"/>
  <c r="E3369" i="2"/>
  <c r="D3369" i="2"/>
  <c r="C3369" i="2"/>
  <c r="B3369" i="2"/>
  <c r="A3369" i="2"/>
  <c r="M3368" i="2"/>
  <c r="L3368" i="2"/>
  <c r="K3368" i="2"/>
  <c r="J3368" i="2"/>
  <c r="I3368" i="2"/>
  <c r="H3368" i="2"/>
  <c r="G3368" i="2"/>
  <c r="F3368" i="2"/>
  <c r="D3368" i="2"/>
  <c r="C3368" i="2"/>
  <c r="B3368" i="2"/>
  <c r="A3368" i="2"/>
  <c r="M3367" i="2"/>
  <c r="L3367" i="2"/>
  <c r="K3367" i="2"/>
  <c r="J3367" i="2"/>
  <c r="I3367" i="2"/>
  <c r="H3367" i="2"/>
  <c r="G3367" i="2"/>
  <c r="F3367" i="2"/>
  <c r="D3367" i="2"/>
  <c r="C3367" i="2"/>
  <c r="B3367" i="2"/>
  <c r="A3367" i="2"/>
  <c r="M3366" i="2"/>
  <c r="L3366" i="2"/>
  <c r="K3366" i="2"/>
  <c r="J3366" i="2"/>
  <c r="I3366" i="2"/>
  <c r="H3366" i="2"/>
  <c r="G3366" i="2"/>
  <c r="F3366" i="2"/>
  <c r="D3366" i="2"/>
  <c r="C3366" i="2"/>
  <c r="B3366" i="2"/>
  <c r="A3366" i="2"/>
  <c r="M3365" i="2"/>
  <c r="L3365" i="2"/>
  <c r="K3365" i="2"/>
  <c r="J3365" i="2"/>
  <c r="I3365" i="2"/>
  <c r="H3365" i="2"/>
  <c r="G3365" i="2"/>
  <c r="F3365" i="2"/>
  <c r="D3365" i="2"/>
  <c r="C3365" i="2"/>
  <c r="B3365" i="2"/>
  <c r="A3365" i="2"/>
  <c r="M3364" i="2"/>
  <c r="L3364" i="2"/>
  <c r="K3364" i="2"/>
  <c r="J3364" i="2"/>
  <c r="I3364" i="2"/>
  <c r="H3364" i="2"/>
  <c r="G3364" i="2"/>
  <c r="F3364" i="2"/>
  <c r="D3364" i="2"/>
  <c r="C3364" i="2"/>
  <c r="B3364" i="2"/>
  <c r="A3364" i="2"/>
  <c r="M3363" i="2"/>
  <c r="L3363" i="2"/>
  <c r="K3363" i="2"/>
  <c r="J3363" i="2"/>
  <c r="I3363" i="2"/>
  <c r="H3363" i="2"/>
  <c r="G3363" i="2"/>
  <c r="F3363" i="2"/>
  <c r="D3363" i="2"/>
  <c r="C3363" i="2"/>
  <c r="B3363" i="2"/>
  <c r="A3363" i="2"/>
  <c r="M3362" i="2"/>
  <c r="L3362" i="2"/>
  <c r="K3362" i="2"/>
  <c r="J3362" i="2"/>
  <c r="I3362" i="2"/>
  <c r="H3362" i="2"/>
  <c r="G3362" i="2"/>
  <c r="F3362" i="2"/>
  <c r="D3362" i="2"/>
  <c r="C3362" i="2"/>
  <c r="B3362" i="2"/>
  <c r="A3362" i="2"/>
  <c r="M3361" i="2"/>
  <c r="L3361" i="2"/>
  <c r="K3361" i="2"/>
  <c r="J3361" i="2"/>
  <c r="I3361" i="2"/>
  <c r="H3361" i="2"/>
  <c r="G3361" i="2"/>
  <c r="F3361" i="2"/>
  <c r="D3361" i="2"/>
  <c r="C3361" i="2"/>
  <c r="B3361" i="2"/>
  <c r="A3361" i="2"/>
  <c r="M3360" i="2"/>
  <c r="L3360" i="2"/>
  <c r="K3360" i="2"/>
  <c r="J3360" i="2"/>
  <c r="I3360" i="2"/>
  <c r="H3360" i="2"/>
  <c r="G3360" i="2"/>
  <c r="F3360" i="2"/>
  <c r="D3360" i="2"/>
  <c r="C3360" i="2"/>
  <c r="B3360" i="2"/>
  <c r="A3360" i="2"/>
  <c r="N3359" i="2"/>
  <c r="M3359" i="2"/>
  <c r="L3359" i="2"/>
  <c r="J3359" i="2"/>
  <c r="I3359" i="2"/>
  <c r="H3359" i="2"/>
  <c r="G3359" i="2"/>
  <c r="F3359" i="2"/>
  <c r="D3359" i="2"/>
  <c r="C3359" i="2"/>
  <c r="B3359" i="2"/>
  <c r="A3359" i="2"/>
  <c r="M3358" i="2"/>
  <c r="L3358" i="2"/>
  <c r="J3358" i="2"/>
  <c r="I3358" i="2"/>
  <c r="H3358" i="2"/>
  <c r="F3358" i="2"/>
  <c r="D3358" i="2"/>
  <c r="C3358" i="2"/>
  <c r="B3358" i="2"/>
  <c r="A3358" i="2"/>
  <c r="M3357" i="2"/>
  <c r="L3357" i="2"/>
  <c r="K3357" i="2"/>
  <c r="J3357" i="2"/>
  <c r="I3357" i="2"/>
  <c r="H3357" i="2"/>
  <c r="F3357" i="2"/>
  <c r="D3357" i="2"/>
  <c r="C3357" i="2"/>
  <c r="B3357" i="2"/>
  <c r="A3357" i="2"/>
  <c r="M3356" i="2"/>
  <c r="L3356" i="2"/>
  <c r="K3356" i="2"/>
  <c r="J3356" i="2"/>
  <c r="I3356" i="2"/>
  <c r="H3356" i="2"/>
  <c r="F3356" i="2"/>
  <c r="D3356" i="2"/>
  <c r="C3356" i="2"/>
  <c r="B3356" i="2"/>
  <c r="A3356" i="2"/>
  <c r="M3355" i="2"/>
  <c r="L3355" i="2"/>
  <c r="K3355" i="2"/>
  <c r="J3355" i="2"/>
  <c r="I3355" i="2"/>
  <c r="H3355" i="2"/>
  <c r="F3355" i="2"/>
  <c r="D3355" i="2"/>
  <c r="C3355" i="2"/>
  <c r="B3355" i="2"/>
  <c r="A3355" i="2"/>
  <c r="M3354" i="2"/>
  <c r="L3354" i="2"/>
  <c r="K3354" i="2"/>
  <c r="J3354" i="2"/>
  <c r="I3354" i="2"/>
  <c r="H3354" i="2"/>
  <c r="F3354" i="2"/>
  <c r="D3354" i="2"/>
  <c r="C3354" i="2"/>
  <c r="B3354" i="2"/>
  <c r="A3354" i="2"/>
  <c r="M3353" i="2"/>
  <c r="L3353" i="2"/>
  <c r="K3353" i="2"/>
  <c r="J3353" i="2"/>
  <c r="I3353" i="2"/>
  <c r="H3353" i="2"/>
  <c r="F3353" i="2"/>
  <c r="D3353" i="2"/>
  <c r="C3353" i="2"/>
  <c r="B3353" i="2"/>
  <c r="A3353" i="2"/>
  <c r="M3352" i="2"/>
  <c r="L3352" i="2"/>
  <c r="K3352" i="2"/>
  <c r="J3352" i="2"/>
  <c r="I3352" i="2"/>
  <c r="H3352" i="2"/>
  <c r="F3352" i="2"/>
  <c r="D3352" i="2"/>
  <c r="C3352" i="2"/>
  <c r="B3352" i="2"/>
  <c r="A3352" i="2"/>
  <c r="M3351" i="2"/>
  <c r="L3351" i="2"/>
  <c r="K3351" i="2"/>
  <c r="J3351" i="2"/>
  <c r="I3351" i="2"/>
  <c r="H3351" i="2"/>
  <c r="F3351" i="2"/>
  <c r="D3351" i="2"/>
  <c r="C3351" i="2"/>
  <c r="B3351" i="2"/>
  <c r="A3351" i="2"/>
  <c r="M3350" i="2"/>
  <c r="L3350" i="2"/>
  <c r="K3350" i="2"/>
  <c r="J3350" i="2"/>
  <c r="I3350" i="2"/>
  <c r="H3350" i="2"/>
  <c r="F3350" i="2"/>
  <c r="D3350" i="2"/>
  <c r="C3350" i="2"/>
  <c r="B3350" i="2"/>
  <c r="A3350" i="2"/>
  <c r="M3349" i="2"/>
  <c r="L3349" i="2"/>
  <c r="K3349" i="2"/>
  <c r="J3349" i="2"/>
  <c r="I3349" i="2"/>
  <c r="H3349" i="2"/>
  <c r="F3349" i="2"/>
  <c r="D3349" i="2"/>
  <c r="C3349" i="2"/>
  <c r="B3349" i="2"/>
  <c r="A3349" i="2"/>
  <c r="M3348" i="2"/>
  <c r="L3348" i="2"/>
  <c r="K3348" i="2"/>
  <c r="J3348" i="2"/>
  <c r="I3348" i="2"/>
  <c r="H3348" i="2"/>
  <c r="F3348" i="2"/>
  <c r="D3348" i="2"/>
  <c r="C3348" i="2"/>
  <c r="B3348" i="2"/>
  <c r="A3348" i="2"/>
  <c r="N3347" i="2"/>
  <c r="M3347" i="2"/>
  <c r="L3347" i="2"/>
  <c r="K3347" i="2"/>
  <c r="J3347" i="2"/>
  <c r="I3347" i="2"/>
  <c r="H3347" i="2"/>
  <c r="F3347" i="2"/>
  <c r="D3347" i="2"/>
  <c r="C3347" i="2"/>
  <c r="B3347" i="2"/>
  <c r="A3347" i="2"/>
  <c r="M3346" i="2"/>
  <c r="L3346" i="2"/>
  <c r="K3346" i="2"/>
  <c r="J3346" i="2"/>
  <c r="I3346" i="2"/>
  <c r="H3346" i="2"/>
  <c r="F3346" i="2"/>
  <c r="D3346" i="2"/>
  <c r="C3346" i="2"/>
  <c r="B3346" i="2"/>
  <c r="A3346" i="2"/>
  <c r="N3345" i="2"/>
  <c r="M3345" i="2"/>
  <c r="L3345" i="2"/>
  <c r="K3345" i="2"/>
  <c r="J3345" i="2"/>
  <c r="I3345" i="2"/>
  <c r="H3345" i="2"/>
  <c r="F3345" i="2"/>
  <c r="D3345" i="2"/>
  <c r="C3345" i="2"/>
  <c r="B3345" i="2"/>
  <c r="A3345" i="2"/>
  <c r="N3344" i="2"/>
  <c r="M3344" i="2"/>
  <c r="L3344" i="2"/>
  <c r="K3344" i="2"/>
  <c r="J3344" i="2"/>
  <c r="I3344" i="2"/>
  <c r="H3344" i="2"/>
  <c r="F3344" i="2"/>
  <c r="D3344" i="2"/>
  <c r="C3344" i="2"/>
  <c r="B3344" i="2"/>
  <c r="A3344" i="2"/>
  <c r="N3343" i="2"/>
  <c r="M3343" i="2"/>
  <c r="L3343" i="2"/>
  <c r="K3343" i="2"/>
  <c r="J3343" i="2"/>
  <c r="I3343" i="2"/>
  <c r="H3343" i="2"/>
  <c r="F3343" i="2"/>
  <c r="D3343" i="2"/>
  <c r="C3343" i="2"/>
  <c r="B3343" i="2"/>
  <c r="A3343" i="2"/>
  <c r="N3342" i="2"/>
  <c r="M3342" i="2"/>
  <c r="L3342" i="2"/>
  <c r="K3342" i="2"/>
  <c r="J3342" i="2"/>
  <c r="I3342" i="2"/>
  <c r="H3342" i="2"/>
  <c r="F3342" i="2"/>
  <c r="D3342" i="2"/>
  <c r="C3342" i="2"/>
  <c r="B3342" i="2"/>
  <c r="A3342" i="2"/>
  <c r="N3341" i="2"/>
  <c r="M3341" i="2"/>
  <c r="L3341" i="2"/>
  <c r="K3341" i="2"/>
  <c r="J3341" i="2"/>
  <c r="I3341" i="2"/>
  <c r="H3341" i="2"/>
  <c r="F3341" i="2"/>
  <c r="D3341" i="2"/>
  <c r="C3341" i="2"/>
  <c r="B3341" i="2"/>
  <c r="A3341" i="2"/>
  <c r="N3340" i="2"/>
  <c r="M3340" i="2"/>
  <c r="L3340" i="2"/>
  <c r="K3340" i="2"/>
  <c r="J3340" i="2"/>
  <c r="I3340" i="2"/>
  <c r="H3340" i="2"/>
  <c r="F3340" i="2"/>
  <c r="D3340" i="2"/>
  <c r="C3340" i="2"/>
  <c r="B3340" i="2"/>
  <c r="A3340" i="2"/>
  <c r="M3339" i="2"/>
  <c r="L3339" i="2"/>
  <c r="K3339" i="2"/>
  <c r="J3339" i="2"/>
  <c r="I3339" i="2"/>
  <c r="H3339" i="2"/>
  <c r="F3339" i="2"/>
  <c r="D3339" i="2"/>
  <c r="C3339" i="2"/>
  <c r="B3339" i="2"/>
  <c r="A3339" i="2"/>
  <c r="M3338" i="2"/>
  <c r="L3338" i="2"/>
  <c r="K3338" i="2"/>
  <c r="J3338" i="2"/>
  <c r="I3338" i="2"/>
  <c r="H3338" i="2"/>
  <c r="F3338" i="2"/>
  <c r="D3338" i="2"/>
  <c r="C3338" i="2"/>
  <c r="B3338" i="2"/>
  <c r="A3338" i="2"/>
  <c r="N3337" i="2"/>
  <c r="M3337" i="2"/>
  <c r="L3337" i="2"/>
  <c r="K3337" i="2"/>
  <c r="J3337" i="2"/>
  <c r="I3337" i="2"/>
  <c r="H3337" i="2"/>
  <c r="F3337" i="2"/>
  <c r="D3337" i="2"/>
  <c r="C3337" i="2"/>
  <c r="B3337" i="2"/>
  <c r="A3337" i="2"/>
  <c r="N3336" i="2"/>
  <c r="M3336" i="2"/>
  <c r="L3336" i="2"/>
  <c r="K3336" i="2"/>
  <c r="J3336" i="2"/>
  <c r="I3336" i="2"/>
  <c r="H3336" i="2"/>
  <c r="F3336" i="2"/>
  <c r="D3336" i="2"/>
  <c r="C3336" i="2"/>
  <c r="B3336" i="2"/>
  <c r="A3336" i="2"/>
  <c r="N3335" i="2"/>
  <c r="M3335" i="2"/>
  <c r="L3335" i="2"/>
  <c r="K3335" i="2"/>
  <c r="J3335" i="2"/>
  <c r="I3335" i="2"/>
  <c r="H3335" i="2"/>
  <c r="F3335" i="2"/>
  <c r="D3335" i="2"/>
  <c r="C3335" i="2"/>
  <c r="B3335" i="2"/>
  <c r="A3335" i="2"/>
  <c r="M3334" i="2"/>
  <c r="L3334" i="2"/>
  <c r="K3334" i="2"/>
  <c r="J3334" i="2"/>
  <c r="I3334" i="2"/>
  <c r="H3334" i="2"/>
  <c r="F3334" i="2"/>
  <c r="D3334" i="2"/>
  <c r="C3334" i="2"/>
  <c r="B3334" i="2"/>
  <c r="A3334" i="2"/>
  <c r="N3333" i="2"/>
  <c r="M3333" i="2"/>
  <c r="L3333" i="2"/>
  <c r="K3333" i="2"/>
  <c r="J3333" i="2"/>
  <c r="I3333" i="2"/>
  <c r="H3333" i="2"/>
  <c r="F3333" i="2"/>
  <c r="D3333" i="2"/>
  <c r="C3333" i="2"/>
  <c r="B3333" i="2"/>
  <c r="A3333" i="2"/>
  <c r="N3332" i="2"/>
  <c r="M3332" i="2"/>
  <c r="L3332" i="2"/>
  <c r="K3332" i="2"/>
  <c r="J3332" i="2"/>
  <c r="I3332" i="2"/>
  <c r="H3332" i="2"/>
  <c r="F3332" i="2"/>
  <c r="D3332" i="2"/>
  <c r="C3332" i="2"/>
  <c r="B3332" i="2"/>
  <c r="A3332" i="2"/>
  <c r="N3331" i="2"/>
  <c r="M3331" i="2"/>
  <c r="L3331" i="2"/>
  <c r="K3331" i="2"/>
  <c r="J3331" i="2"/>
  <c r="I3331" i="2"/>
  <c r="H3331" i="2"/>
  <c r="F3331" i="2"/>
  <c r="D3331" i="2"/>
  <c r="C3331" i="2"/>
  <c r="B3331" i="2"/>
  <c r="A3331" i="2"/>
  <c r="N3330" i="2"/>
  <c r="M3330" i="2"/>
  <c r="L3330" i="2"/>
  <c r="K3330" i="2"/>
  <c r="J3330" i="2"/>
  <c r="I3330" i="2"/>
  <c r="H3330" i="2"/>
  <c r="F3330" i="2"/>
  <c r="D3330" i="2"/>
  <c r="C3330" i="2"/>
  <c r="B3330" i="2"/>
  <c r="A3330" i="2"/>
  <c r="M3329" i="2"/>
  <c r="L3329" i="2"/>
  <c r="K3329" i="2"/>
  <c r="J3329" i="2"/>
  <c r="I3329" i="2"/>
  <c r="H3329" i="2"/>
  <c r="F3329" i="2"/>
  <c r="D3329" i="2"/>
  <c r="C3329" i="2"/>
  <c r="B3329" i="2"/>
  <c r="A3329" i="2"/>
  <c r="M3328" i="2"/>
  <c r="L3328" i="2"/>
  <c r="J3328" i="2"/>
  <c r="I3328" i="2"/>
  <c r="H3328" i="2"/>
  <c r="F3328" i="2"/>
  <c r="D3328" i="2"/>
  <c r="C3328" i="2"/>
  <c r="B3328" i="2"/>
  <c r="A3328" i="2"/>
  <c r="M3327" i="2"/>
  <c r="L3327" i="2"/>
  <c r="K3327" i="2"/>
  <c r="J3327" i="2"/>
  <c r="I3327" i="2"/>
  <c r="H3327" i="2"/>
  <c r="F3327" i="2"/>
  <c r="D3327" i="2"/>
  <c r="C3327" i="2"/>
  <c r="B3327" i="2"/>
  <c r="A3327" i="2"/>
  <c r="M3326" i="2"/>
  <c r="L3326" i="2"/>
  <c r="K3326" i="2"/>
  <c r="J3326" i="2"/>
  <c r="I3326" i="2"/>
  <c r="H3326" i="2"/>
  <c r="F3326" i="2"/>
  <c r="D3326" i="2"/>
  <c r="C3326" i="2"/>
  <c r="B3326" i="2"/>
  <c r="A3326" i="2"/>
  <c r="M3325" i="2"/>
  <c r="L3325" i="2"/>
  <c r="K3325" i="2"/>
  <c r="J3325" i="2"/>
  <c r="I3325" i="2"/>
  <c r="H3325" i="2"/>
  <c r="F3325" i="2"/>
  <c r="D3325" i="2"/>
  <c r="C3325" i="2"/>
  <c r="B3325" i="2"/>
  <c r="A3325" i="2"/>
  <c r="M3324" i="2"/>
  <c r="L3324" i="2"/>
  <c r="K3324" i="2"/>
  <c r="J3324" i="2"/>
  <c r="I3324" i="2"/>
  <c r="H3324" i="2"/>
  <c r="G3324" i="2"/>
  <c r="F3324" i="2"/>
  <c r="D3324" i="2"/>
  <c r="C3324" i="2"/>
  <c r="B3324" i="2"/>
  <c r="A3324" i="2"/>
  <c r="M3323" i="2"/>
  <c r="L3323" i="2"/>
  <c r="K3323" i="2"/>
  <c r="J3323" i="2"/>
  <c r="I3323" i="2"/>
  <c r="H3323" i="2"/>
  <c r="G3323" i="2"/>
  <c r="F3323" i="2"/>
  <c r="D3323" i="2"/>
  <c r="C3323" i="2"/>
  <c r="B3323" i="2"/>
  <c r="A3323" i="2"/>
  <c r="M3322" i="2"/>
  <c r="L3322" i="2"/>
  <c r="K3322" i="2"/>
  <c r="J3322" i="2"/>
  <c r="I3322" i="2"/>
  <c r="H3322" i="2"/>
  <c r="G3322" i="2"/>
  <c r="F3322" i="2"/>
  <c r="D3322" i="2"/>
  <c r="C3322" i="2"/>
  <c r="B3322" i="2"/>
  <c r="A3322" i="2"/>
  <c r="M3321" i="2"/>
  <c r="L3321" i="2"/>
  <c r="K3321" i="2"/>
  <c r="J3321" i="2"/>
  <c r="I3321" i="2"/>
  <c r="H3321" i="2"/>
  <c r="G3321" i="2"/>
  <c r="F3321" i="2"/>
  <c r="D3321" i="2"/>
  <c r="C3321" i="2"/>
  <c r="B3321" i="2"/>
  <c r="A3321" i="2"/>
  <c r="M3320" i="2"/>
  <c r="L3320" i="2"/>
  <c r="K3320" i="2"/>
  <c r="J3320" i="2"/>
  <c r="I3320" i="2"/>
  <c r="H3320" i="2"/>
  <c r="G3320" i="2"/>
  <c r="F3320" i="2"/>
  <c r="D3320" i="2"/>
  <c r="C3320" i="2"/>
  <c r="B3320" i="2"/>
  <c r="A3320" i="2"/>
  <c r="M3319" i="2"/>
  <c r="L3319" i="2"/>
  <c r="K3319" i="2"/>
  <c r="J3319" i="2"/>
  <c r="I3319" i="2"/>
  <c r="H3319" i="2"/>
  <c r="G3319" i="2"/>
  <c r="F3319" i="2"/>
  <c r="D3319" i="2"/>
  <c r="C3319" i="2"/>
  <c r="B3319" i="2"/>
  <c r="A3319" i="2"/>
  <c r="N3318" i="2"/>
  <c r="M3318" i="2"/>
  <c r="L3318" i="2"/>
  <c r="K3318" i="2"/>
  <c r="J3318" i="2"/>
  <c r="I3318" i="2"/>
  <c r="H3318" i="2"/>
  <c r="G3318" i="2"/>
  <c r="F3318" i="2"/>
  <c r="D3318" i="2"/>
  <c r="C3318" i="2"/>
  <c r="B3318" i="2"/>
  <c r="A3318" i="2"/>
  <c r="N3317" i="2"/>
  <c r="M3317" i="2"/>
  <c r="L3317" i="2"/>
  <c r="K3317" i="2"/>
  <c r="J3317" i="2"/>
  <c r="I3317" i="2"/>
  <c r="H3317" i="2"/>
  <c r="G3317" i="2"/>
  <c r="F3317" i="2"/>
  <c r="D3317" i="2"/>
  <c r="C3317" i="2"/>
  <c r="B3317" i="2"/>
  <c r="A3317" i="2"/>
  <c r="N3316" i="2"/>
  <c r="M3316" i="2"/>
  <c r="L3316" i="2"/>
  <c r="K3316" i="2"/>
  <c r="J3316" i="2"/>
  <c r="I3316" i="2"/>
  <c r="H3316" i="2"/>
  <c r="G3316" i="2"/>
  <c r="F3316" i="2"/>
  <c r="D3316" i="2"/>
  <c r="C3316" i="2"/>
  <c r="B3316" i="2"/>
  <c r="A3316" i="2"/>
  <c r="M3315" i="2"/>
  <c r="L3315" i="2"/>
  <c r="K3315" i="2"/>
  <c r="J3315" i="2"/>
  <c r="I3315" i="2"/>
  <c r="H3315" i="2"/>
  <c r="G3315" i="2"/>
  <c r="F3315" i="2"/>
  <c r="D3315" i="2"/>
  <c r="C3315" i="2"/>
  <c r="B3315" i="2"/>
  <c r="A3315" i="2"/>
  <c r="N3314" i="2"/>
  <c r="M3314" i="2"/>
  <c r="L3314" i="2"/>
  <c r="K3314" i="2"/>
  <c r="J3314" i="2"/>
  <c r="I3314" i="2"/>
  <c r="H3314" i="2"/>
  <c r="G3314" i="2"/>
  <c r="F3314" i="2"/>
  <c r="D3314" i="2"/>
  <c r="C3314" i="2"/>
  <c r="B3314" i="2"/>
  <c r="A3314" i="2"/>
  <c r="M3313" i="2"/>
  <c r="L3313" i="2"/>
  <c r="K3313" i="2"/>
  <c r="J3313" i="2"/>
  <c r="I3313" i="2"/>
  <c r="H3313" i="2"/>
  <c r="G3313" i="2"/>
  <c r="F3313" i="2"/>
  <c r="D3313" i="2"/>
  <c r="C3313" i="2"/>
  <c r="B3313" i="2"/>
  <c r="A3313" i="2"/>
  <c r="M3312" i="2"/>
  <c r="L3312" i="2"/>
  <c r="K3312" i="2"/>
  <c r="J3312" i="2"/>
  <c r="I3312" i="2"/>
  <c r="H3312" i="2"/>
  <c r="G3312" i="2"/>
  <c r="F3312" i="2"/>
  <c r="D3312" i="2"/>
  <c r="C3312" i="2"/>
  <c r="B3312" i="2"/>
  <c r="A3312" i="2"/>
  <c r="N3311" i="2"/>
  <c r="M3311" i="2"/>
  <c r="L3311" i="2"/>
  <c r="K3311" i="2"/>
  <c r="J3311" i="2"/>
  <c r="I3311" i="2"/>
  <c r="H3311" i="2"/>
  <c r="G3311" i="2"/>
  <c r="F3311" i="2"/>
  <c r="D3311" i="2"/>
  <c r="C3311" i="2"/>
  <c r="B3311" i="2"/>
  <c r="A3311" i="2"/>
  <c r="M3310" i="2"/>
  <c r="L3310" i="2"/>
  <c r="K3310" i="2"/>
  <c r="J3310" i="2"/>
  <c r="I3310" i="2"/>
  <c r="H3310" i="2"/>
  <c r="G3310" i="2"/>
  <c r="F3310" i="2"/>
  <c r="D3310" i="2"/>
  <c r="C3310" i="2"/>
  <c r="B3310" i="2"/>
  <c r="A3310" i="2"/>
  <c r="M3309" i="2"/>
  <c r="L3309" i="2"/>
  <c r="K3309" i="2"/>
  <c r="J3309" i="2"/>
  <c r="I3309" i="2"/>
  <c r="H3309" i="2"/>
  <c r="G3309" i="2"/>
  <c r="F3309" i="2"/>
  <c r="D3309" i="2"/>
  <c r="C3309" i="2"/>
  <c r="B3309" i="2"/>
  <c r="A3309" i="2"/>
  <c r="N3308" i="2"/>
  <c r="M3308" i="2"/>
  <c r="L3308" i="2"/>
  <c r="K3308" i="2"/>
  <c r="J3308" i="2"/>
  <c r="I3308" i="2"/>
  <c r="H3308" i="2"/>
  <c r="G3308" i="2"/>
  <c r="F3308" i="2"/>
  <c r="D3308" i="2"/>
  <c r="C3308" i="2"/>
  <c r="B3308" i="2"/>
  <c r="A3308" i="2"/>
  <c r="M3307" i="2"/>
  <c r="L3307" i="2"/>
  <c r="K3307" i="2"/>
  <c r="J3307" i="2"/>
  <c r="I3307" i="2"/>
  <c r="H3307" i="2"/>
  <c r="G3307" i="2"/>
  <c r="F3307" i="2"/>
  <c r="D3307" i="2"/>
  <c r="C3307" i="2"/>
  <c r="B3307" i="2"/>
  <c r="A3307" i="2"/>
  <c r="M3306" i="2"/>
  <c r="L3306" i="2"/>
  <c r="K3306" i="2"/>
  <c r="J3306" i="2"/>
  <c r="I3306" i="2"/>
  <c r="H3306" i="2"/>
  <c r="G3306" i="2"/>
  <c r="F3306" i="2"/>
  <c r="D3306" i="2"/>
  <c r="C3306" i="2"/>
  <c r="B3306" i="2"/>
  <c r="A3306" i="2"/>
  <c r="N3305" i="2"/>
  <c r="M3305" i="2"/>
  <c r="L3305" i="2"/>
  <c r="K3305" i="2"/>
  <c r="J3305" i="2"/>
  <c r="I3305" i="2"/>
  <c r="H3305" i="2"/>
  <c r="G3305" i="2"/>
  <c r="F3305" i="2"/>
  <c r="D3305" i="2"/>
  <c r="C3305" i="2"/>
  <c r="B3305" i="2"/>
  <c r="A3305" i="2"/>
  <c r="N3304" i="2"/>
  <c r="M3304" i="2"/>
  <c r="L3304" i="2"/>
  <c r="K3304" i="2"/>
  <c r="J3304" i="2"/>
  <c r="I3304" i="2"/>
  <c r="H3304" i="2"/>
  <c r="G3304" i="2"/>
  <c r="F3304" i="2"/>
  <c r="D3304" i="2"/>
  <c r="C3304" i="2"/>
  <c r="B3304" i="2"/>
  <c r="A3304" i="2"/>
  <c r="M3303" i="2"/>
  <c r="L3303" i="2"/>
  <c r="K3303" i="2"/>
  <c r="J3303" i="2"/>
  <c r="I3303" i="2"/>
  <c r="H3303" i="2"/>
  <c r="G3303" i="2"/>
  <c r="F3303" i="2"/>
  <c r="D3303" i="2"/>
  <c r="C3303" i="2"/>
  <c r="B3303" i="2"/>
  <c r="A3303" i="2"/>
  <c r="N3302" i="2"/>
  <c r="M3302" i="2"/>
  <c r="L3302" i="2"/>
  <c r="K3302" i="2"/>
  <c r="J3302" i="2"/>
  <c r="I3302" i="2"/>
  <c r="H3302" i="2"/>
  <c r="G3302" i="2"/>
  <c r="F3302" i="2"/>
  <c r="D3302" i="2"/>
  <c r="C3302" i="2"/>
  <c r="B3302" i="2"/>
  <c r="A3302" i="2"/>
  <c r="M3301" i="2"/>
  <c r="L3301" i="2"/>
  <c r="K3301" i="2"/>
  <c r="J3301" i="2"/>
  <c r="I3301" i="2"/>
  <c r="H3301" i="2"/>
  <c r="G3301" i="2"/>
  <c r="F3301" i="2"/>
  <c r="D3301" i="2"/>
  <c r="C3301" i="2"/>
  <c r="B3301" i="2"/>
  <c r="A3301" i="2"/>
  <c r="N3300" i="2"/>
  <c r="M3300" i="2"/>
  <c r="L3300" i="2"/>
  <c r="K3300" i="2"/>
  <c r="J3300" i="2"/>
  <c r="I3300" i="2"/>
  <c r="H3300" i="2"/>
  <c r="G3300" i="2"/>
  <c r="F3300" i="2"/>
  <c r="D3300" i="2"/>
  <c r="C3300" i="2"/>
  <c r="B3300" i="2"/>
  <c r="A3300" i="2"/>
  <c r="N3299" i="2"/>
  <c r="M3299" i="2"/>
  <c r="L3299" i="2"/>
  <c r="K3299" i="2"/>
  <c r="J3299" i="2"/>
  <c r="I3299" i="2"/>
  <c r="H3299" i="2"/>
  <c r="G3299" i="2"/>
  <c r="F3299" i="2"/>
  <c r="D3299" i="2"/>
  <c r="C3299" i="2"/>
  <c r="B3299" i="2"/>
  <c r="A3299" i="2"/>
  <c r="M3298" i="2"/>
  <c r="L3298" i="2"/>
  <c r="J3298" i="2"/>
  <c r="I3298" i="2"/>
  <c r="H3298" i="2"/>
  <c r="F3298" i="2"/>
  <c r="D3298" i="2"/>
  <c r="C3298" i="2"/>
  <c r="B3298" i="2"/>
  <c r="A3298" i="2"/>
  <c r="M3297" i="2"/>
  <c r="L3297" i="2"/>
  <c r="K3297" i="2"/>
  <c r="J3297" i="2"/>
  <c r="I3297" i="2"/>
  <c r="H3297" i="2"/>
  <c r="G3297" i="2"/>
  <c r="F3297" i="2"/>
  <c r="D3297" i="2"/>
  <c r="C3297" i="2"/>
  <c r="B3297" i="2"/>
  <c r="A3297" i="2"/>
  <c r="M3296" i="2"/>
  <c r="L3296" i="2"/>
  <c r="K3296" i="2"/>
  <c r="J3296" i="2"/>
  <c r="I3296" i="2"/>
  <c r="H3296" i="2"/>
  <c r="G3296" i="2"/>
  <c r="F3296" i="2"/>
  <c r="D3296" i="2"/>
  <c r="C3296" i="2"/>
  <c r="B3296" i="2"/>
  <c r="A3296" i="2"/>
  <c r="M3295" i="2"/>
  <c r="L3295" i="2"/>
  <c r="K3295" i="2"/>
  <c r="J3295" i="2"/>
  <c r="I3295" i="2"/>
  <c r="H3295" i="2"/>
  <c r="G3295" i="2"/>
  <c r="F3295" i="2"/>
  <c r="D3295" i="2"/>
  <c r="C3295" i="2"/>
  <c r="B3295" i="2"/>
  <c r="A3295" i="2"/>
  <c r="M3294" i="2"/>
  <c r="L3294" i="2"/>
  <c r="K3294" i="2"/>
  <c r="J3294" i="2"/>
  <c r="I3294" i="2"/>
  <c r="H3294" i="2"/>
  <c r="G3294" i="2"/>
  <c r="F3294" i="2"/>
  <c r="D3294" i="2"/>
  <c r="C3294" i="2"/>
  <c r="B3294" i="2"/>
  <c r="A3294" i="2"/>
  <c r="N3293" i="2"/>
  <c r="M3293" i="2"/>
  <c r="L3293" i="2"/>
  <c r="K3293" i="2"/>
  <c r="J3293" i="2"/>
  <c r="I3293" i="2"/>
  <c r="H3293" i="2"/>
  <c r="G3293" i="2"/>
  <c r="F3293" i="2"/>
  <c r="D3293" i="2"/>
  <c r="C3293" i="2"/>
  <c r="B3293" i="2"/>
  <c r="A3293" i="2"/>
  <c r="N3292" i="2"/>
  <c r="M3292" i="2"/>
  <c r="L3292" i="2"/>
  <c r="K3292" i="2"/>
  <c r="J3292" i="2"/>
  <c r="I3292" i="2"/>
  <c r="H3292" i="2"/>
  <c r="G3292" i="2"/>
  <c r="F3292" i="2"/>
  <c r="D3292" i="2"/>
  <c r="C3292" i="2"/>
  <c r="B3292" i="2"/>
  <c r="A3292" i="2"/>
  <c r="N3291" i="2"/>
  <c r="M3291" i="2"/>
  <c r="L3291" i="2"/>
  <c r="K3291" i="2"/>
  <c r="J3291" i="2"/>
  <c r="I3291" i="2"/>
  <c r="H3291" i="2"/>
  <c r="G3291" i="2"/>
  <c r="F3291" i="2"/>
  <c r="D3291" i="2"/>
  <c r="C3291" i="2"/>
  <c r="B3291" i="2"/>
  <c r="A3291" i="2"/>
  <c r="N3290" i="2"/>
  <c r="M3290" i="2"/>
  <c r="L3290" i="2"/>
  <c r="K3290" i="2"/>
  <c r="J3290" i="2"/>
  <c r="I3290" i="2"/>
  <c r="H3290" i="2"/>
  <c r="G3290" i="2"/>
  <c r="F3290" i="2"/>
  <c r="D3290" i="2"/>
  <c r="C3290" i="2"/>
  <c r="B3290" i="2"/>
  <c r="A3290" i="2"/>
  <c r="N3289" i="2"/>
  <c r="M3289" i="2"/>
  <c r="L3289" i="2"/>
  <c r="K3289" i="2"/>
  <c r="J3289" i="2"/>
  <c r="I3289" i="2"/>
  <c r="H3289" i="2"/>
  <c r="G3289" i="2"/>
  <c r="F3289" i="2"/>
  <c r="D3289" i="2"/>
  <c r="C3289" i="2"/>
  <c r="B3289" i="2"/>
  <c r="A3289" i="2"/>
  <c r="M3288" i="2"/>
  <c r="L3288" i="2"/>
  <c r="K3288" i="2"/>
  <c r="J3288" i="2"/>
  <c r="I3288" i="2"/>
  <c r="H3288" i="2"/>
  <c r="G3288" i="2"/>
  <c r="F3288" i="2"/>
  <c r="D3288" i="2"/>
  <c r="C3288" i="2"/>
  <c r="B3288" i="2"/>
  <c r="A3288" i="2"/>
  <c r="M3287" i="2"/>
  <c r="L3287" i="2"/>
  <c r="K3287" i="2"/>
  <c r="J3287" i="2"/>
  <c r="I3287" i="2"/>
  <c r="H3287" i="2"/>
  <c r="G3287" i="2"/>
  <c r="F3287" i="2"/>
  <c r="D3287" i="2"/>
  <c r="C3287" i="2"/>
  <c r="B3287" i="2"/>
  <c r="A3287" i="2"/>
  <c r="M3286" i="2"/>
  <c r="L3286" i="2"/>
  <c r="K3286" i="2"/>
  <c r="J3286" i="2"/>
  <c r="I3286" i="2"/>
  <c r="H3286" i="2"/>
  <c r="G3286" i="2"/>
  <c r="F3286" i="2"/>
  <c r="D3286" i="2"/>
  <c r="C3286" i="2"/>
  <c r="B3286" i="2"/>
  <c r="A3286" i="2"/>
  <c r="M3285" i="2"/>
  <c r="L3285" i="2"/>
  <c r="K3285" i="2"/>
  <c r="J3285" i="2"/>
  <c r="I3285" i="2"/>
  <c r="H3285" i="2"/>
  <c r="G3285" i="2"/>
  <c r="F3285" i="2"/>
  <c r="D3285" i="2"/>
  <c r="C3285" i="2"/>
  <c r="B3285" i="2"/>
  <c r="A3285" i="2"/>
  <c r="M3284" i="2"/>
  <c r="L3284" i="2"/>
  <c r="K3284" i="2"/>
  <c r="J3284" i="2"/>
  <c r="I3284" i="2"/>
  <c r="H3284" i="2"/>
  <c r="G3284" i="2"/>
  <c r="F3284" i="2"/>
  <c r="D3284" i="2"/>
  <c r="C3284" i="2"/>
  <c r="B3284" i="2"/>
  <c r="A3284" i="2"/>
  <c r="M3283" i="2"/>
  <c r="L3283" i="2"/>
  <c r="K3283" i="2"/>
  <c r="J3283" i="2"/>
  <c r="I3283" i="2"/>
  <c r="H3283" i="2"/>
  <c r="G3283" i="2"/>
  <c r="F3283" i="2"/>
  <c r="D3283" i="2"/>
  <c r="C3283" i="2"/>
  <c r="B3283" i="2"/>
  <c r="A3283" i="2"/>
  <c r="M3282" i="2"/>
  <c r="L3282" i="2"/>
  <c r="K3282" i="2"/>
  <c r="J3282" i="2"/>
  <c r="I3282" i="2"/>
  <c r="H3282" i="2"/>
  <c r="G3282" i="2"/>
  <c r="F3282" i="2"/>
  <c r="D3282" i="2"/>
  <c r="C3282" i="2"/>
  <c r="B3282" i="2"/>
  <c r="A3282" i="2"/>
  <c r="M3281" i="2"/>
  <c r="L3281" i="2"/>
  <c r="K3281" i="2"/>
  <c r="J3281" i="2"/>
  <c r="I3281" i="2"/>
  <c r="H3281" i="2"/>
  <c r="G3281" i="2"/>
  <c r="F3281" i="2"/>
  <c r="D3281" i="2"/>
  <c r="C3281" i="2"/>
  <c r="B3281" i="2"/>
  <c r="A3281" i="2"/>
  <c r="M3280" i="2"/>
  <c r="L3280" i="2"/>
  <c r="K3280" i="2"/>
  <c r="J3280" i="2"/>
  <c r="I3280" i="2"/>
  <c r="H3280" i="2"/>
  <c r="G3280" i="2"/>
  <c r="F3280" i="2"/>
  <c r="D3280" i="2"/>
  <c r="C3280" i="2"/>
  <c r="B3280" i="2"/>
  <c r="A3280" i="2"/>
  <c r="N3279" i="2"/>
  <c r="M3279" i="2"/>
  <c r="L3279" i="2"/>
  <c r="K3279" i="2"/>
  <c r="J3279" i="2"/>
  <c r="I3279" i="2"/>
  <c r="H3279" i="2"/>
  <c r="G3279" i="2"/>
  <c r="F3279" i="2"/>
  <c r="D3279" i="2"/>
  <c r="C3279" i="2"/>
  <c r="B3279" i="2"/>
  <c r="A3279" i="2"/>
  <c r="M3278" i="2"/>
  <c r="L3278" i="2"/>
  <c r="K3278" i="2"/>
  <c r="J3278" i="2"/>
  <c r="I3278" i="2"/>
  <c r="H3278" i="2"/>
  <c r="G3278" i="2"/>
  <c r="F3278" i="2"/>
  <c r="D3278" i="2"/>
  <c r="C3278" i="2"/>
  <c r="B3278" i="2"/>
  <c r="A3278" i="2"/>
  <c r="M3277" i="2"/>
  <c r="L3277" i="2"/>
  <c r="K3277" i="2"/>
  <c r="J3277" i="2"/>
  <c r="I3277" i="2"/>
  <c r="H3277" i="2"/>
  <c r="G3277" i="2"/>
  <c r="F3277" i="2"/>
  <c r="D3277" i="2"/>
  <c r="C3277" i="2"/>
  <c r="B3277" i="2"/>
  <c r="A3277" i="2"/>
  <c r="M3276" i="2"/>
  <c r="L3276" i="2"/>
  <c r="K3276" i="2"/>
  <c r="J3276" i="2"/>
  <c r="I3276" i="2"/>
  <c r="H3276" i="2"/>
  <c r="G3276" i="2"/>
  <c r="F3276" i="2"/>
  <c r="D3276" i="2"/>
  <c r="C3276" i="2"/>
  <c r="B3276" i="2"/>
  <c r="A3276" i="2"/>
  <c r="N3275" i="2"/>
  <c r="M3275" i="2"/>
  <c r="L3275" i="2"/>
  <c r="K3275" i="2"/>
  <c r="J3275" i="2"/>
  <c r="I3275" i="2"/>
  <c r="H3275" i="2"/>
  <c r="G3275" i="2"/>
  <c r="F3275" i="2"/>
  <c r="D3275" i="2"/>
  <c r="C3275" i="2"/>
  <c r="B3275" i="2"/>
  <c r="A3275" i="2"/>
  <c r="M3274" i="2"/>
  <c r="L3274" i="2"/>
  <c r="K3274" i="2"/>
  <c r="J3274" i="2"/>
  <c r="I3274" i="2"/>
  <c r="H3274" i="2"/>
  <c r="G3274" i="2"/>
  <c r="F3274" i="2"/>
  <c r="D3274" i="2"/>
  <c r="C3274" i="2"/>
  <c r="B3274" i="2"/>
  <c r="A3274" i="2"/>
  <c r="N3273" i="2"/>
  <c r="M3273" i="2"/>
  <c r="L3273" i="2"/>
  <c r="K3273" i="2"/>
  <c r="J3273" i="2"/>
  <c r="I3273" i="2"/>
  <c r="H3273" i="2"/>
  <c r="G3273" i="2"/>
  <c r="F3273" i="2"/>
  <c r="D3273" i="2"/>
  <c r="C3273" i="2"/>
  <c r="B3273" i="2"/>
  <c r="A3273" i="2"/>
  <c r="M3272" i="2"/>
  <c r="L3272" i="2"/>
  <c r="J3272" i="2"/>
  <c r="I3272" i="2"/>
  <c r="H3272" i="2"/>
  <c r="G3272" i="2"/>
  <c r="F3272" i="2"/>
  <c r="D3272" i="2"/>
  <c r="C3272" i="2"/>
  <c r="B3272" i="2"/>
  <c r="A3272" i="2"/>
  <c r="N3271" i="2"/>
  <c r="M3271" i="2"/>
  <c r="L3271" i="2"/>
  <c r="K3271" i="2"/>
  <c r="J3271" i="2"/>
  <c r="I3271" i="2"/>
  <c r="H3271" i="2"/>
  <c r="G3271" i="2"/>
  <c r="F3271" i="2"/>
  <c r="D3271" i="2"/>
  <c r="C3271" i="2"/>
  <c r="B3271" i="2"/>
  <c r="A3271" i="2"/>
  <c r="N3270" i="2"/>
  <c r="M3270" i="2"/>
  <c r="L3270" i="2"/>
  <c r="K3270" i="2"/>
  <c r="J3270" i="2"/>
  <c r="I3270" i="2"/>
  <c r="H3270" i="2"/>
  <c r="G3270" i="2"/>
  <c r="F3270" i="2"/>
  <c r="D3270" i="2"/>
  <c r="C3270" i="2"/>
  <c r="B3270" i="2"/>
  <c r="A3270" i="2"/>
  <c r="M3269" i="2"/>
  <c r="L3269" i="2"/>
  <c r="K3269" i="2"/>
  <c r="J3269" i="2"/>
  <c r="I3269" i="2"/>
  <c r="H3269" i="2"/>
  <c r="G3269" i="2"/>
  <c r="F3269" i="2"/>
  <c r="D3269" i="2"/>
  <c r="C3269" i="2"/>
  <c r="B3269" i="2"/>
  <c r="A3269" i="2"/>
  <c r="N3268" i="2"/>
  <c r="M3268" i="2"/>
  <c r="L3268" i="2"/>
  <c r="K3268" i="2"/>
  <c r="J3268" i="2"/>
  <c r="I3268" i="2"/>
  <c r="H3268" i="2"/>
  <c r="G3268" i="2"/>
  <c r="F3268" i="2"/>
  <c r="D3268" i="2"/>
  <c r="C3268" i="2"/>
  <c r="B3268" i="2"/>
  <c r="A3268" i="2"/>
  <c r="N3267" i="2"/>
  <c r="M3267" i="2"/>
  <c r="L3267" i="2"/>
  <c r="K3267" i="2"/>
  <c r="J3267" i="2"/>
  <c r="I3267" i="2"/>
  <c r="H3267" i="2"/>
  <c r="G3267" i="2"/>
  <c r="F3267" i="2"/>
  <c r="D3267" i="2"/>
  <c r="C3267" i="2"/>
  <c r="B3267" i="2"/>
  <c r="A3267" i="2"/>
  <c r="N3266" i="2"/>
  <c r="M3266" i="2"/>
  <c r="L3266" i="2"/>
  <c r="K3266" i="2"/>
  <c r="J3266" i="2"/>
  <c r="I3266" i="2"/>
  <c r="H3266" i="2"/>
  <c r="G3266" i="2"/>
  <c r="F3266" i="2"/>
  <c r="D3266" i="2"/>
  <c r="C3266" i="2"/>
  <c r="B3266" i="2"/>
  <c r="A3266" i="2"/>
  <c r="N3265" i="2"/>
  <c r="M3265" i="2"/>
  <c r="L3265" i="2"/>
  <c r="K3265" i="2"/>
  <c r="J3265" i="2"/>
  <c r="I3265" i="2"/>
  <c r="H3265" i="2"/>
  <c r="G3265" i="2"/>
  <c r="F3265" i="2"/>
  <c r="D3265" i="2"/>
  <c r="C3265" i="2"/>
  <c r="B3265" i="2"/>
  <c r="A3265" i="2"/>
  <c r="M3264" i="2"/>
  <c r="L3264" i="2"/>
  <c r="K3264" i="2"/>
  <c r="I3264" i="2"/>
  <c r="H3264" i="2"/>
  <c r="G3264" i="2"/>
  <c r="F3264" i="2"/>
  <c r="D3264" i="2"/>
  <c r="C3264" i="2"/>
  <c r="B3264" i="2"/>
  <c r="A3264" i="2"/>
  <c r="N3263" i="2"/>
  <c r="M3263" i="2"/>
  <c r="L3263" i="2"/>
  <c r="K3263" i="2"/>
  <c r="J3263" i="2"/>
  <c r="I3263" i="2"/>
  <c r="H3263" i="2"/>
  <c r="G3263" i="2"/>
  <c r="F3263" i="2"/>
  <c r="D3263" i="2"/>
  <c r="C3263" i="2"/>
  <c r="B3263" i="2"/>
  <c r="A3263" i="2"/>
  <c r="N3262" i="2"/>
  <c r="M3262" i="2"/>
  <c r="L3262" i="2"/>
  <c r="K3262" i="2"/>
  <c r="J3262" i="2"/>
  <c r="I3262" i="2"/>
  <c r="H3262" i="2"/>
  <c r="G3262" i="2"/>
  <c r="F3262" i="2"/>
  <c r="D3262" i="2"/>
  <c r="C3262" i="2"/>
  <c r="B3262" i="2"/>
  <c r="A3262" i="2"/>
  <c r="M3261" i="2"/>
  <c r="L3261" i="2"/>
  <c r="K3261" i="2"/>
  <c r="J3261" i="2"/>
  <c r="I3261" i="2"/>
  <c r="H3261" i="2"/>
  <c r="G3261" i="2"/>
  <c r="F3261" i="2"/>
  <c r="D3261" i="2"/>
  <c r="C3261" i="2"/>
  <c r="B3261" i="2"/>
  <c r="A3261" i="2"/>
  <c r="M3260" i="2"/>
  <c r="L3260" i="2"/>
  <c r="K3260" i="2"/>
  <c r="J3260" i="2"/>
  <c r="I3260" i="2"/>
  <c r="H3260" i="2"/>
  <c r="G3260" i="2"/>
  <c r="F3260" i="2"/>
  <c r="D3260" i="2"/>
  <c r="C3260" i="2"/>
  <c r="B3260" i="2"/>
  <c r="A3260" i="2"/>
  <c r="N3259" i="2"/>
  <c r="M3259" i="2"/>
  <c r="L3259" i="2"/>
  <c r="K3259" i="2"/>
  <c r="J3259" i="2"/>
  <c r="I3259" i="2"/>
  <c r="H3259" i="2"/>
  <c r="G3259" i="2"/>
  <c r="F3259" i="2"/>
  <c r="D3259" i="2"/>
  <c r="C3259" i="2"/>
  <c r="B3259" i="2"/>
  <c r="A3259" i="2"/>
  <c r="M3258" i="2"/>
  <c r="L3258" i="2"/>
  <c r="K3258" i="2"/>
  <c r="J3258" i="2"/>
  <c r="I3258" i="2"/>
  <c r="H3258" i="2"/>
  <c r="G3258" i="2"/>
  <c r="F3258" i="2"/>
  <c r="D3258" i="2"/>
  <c r="C3258" i="2"/>
  <c r="B3258" i="2"/>
  <c r="A3258" i="2"/>
  <c r="M3257" i="2"/>
  <c r="L3257" i="2"/>
  <c r="K3257" i="2"/>
  <c r="J3257" i="2"/>
  <c r="I3257" i="2"/>
  <c r="H3257" i="2"/>
  <c r="G3257" i="2"/>
  <c r="F3257" i="2"/>
  <c r="D3257" i="2"/>
  <c r="C3257" i="2"/>
  <c r="B3257" i="2"/>
  <c r="A3257" i="2"/>
  <c r="M3256" i="2"/>
  <c r="L3256" i="2"/>
  <c r="K3256" i="2"/>
  <c r="J3256" i="2"/>
  <c r="I3256" i="2"/>
  <c r="H3256" i="2"/>
  <c r="G3256" i="2"/>
  <c r="F3256" i="2"/>
  <c r="D3256" i="2"/>
  <c r="C3256" i="2"/>
  <c r="B3256" i="2"/>
  <c r="A3256" i="2"/>
  <c r="M3255" i="2"/>
  <c r="L3255" i="2"/>
  <c r="K3255" i="2"/>
  <c r="J3255" i="2"/>
  <c r="I3255" i="2"/>
  <c r="H3255" i="2"/>
  <c r="G3255" i="2"/>
  <c r="F3255" i="2"/>
  <c r="D3255" i="2"/>
  <c r="C3255" i="2"/>
  <c r="B3255" i="2"/>
  <c r="A3255" i="2"/>
  <c r="N3254" i="2"/>
  <c r="M3254" i="2"/>
  <c r="L3254" i="2"/>
  <c r="K3254" i="2"/>
  <c r="J3254" i="2"/>
  <c r="I3254" i="2"/>
  <c r="H3254" i="2"/>
  <c r="G3254" i="2"/>
  <c r="F3254" i="2"/>
  <c r="D3254" i="2"/>
  <c r="C3254" i="2"/>
  <c r="B3254" i="2"/>
  <c r="A3254" i="2"/>
  <c r="N3253" i="2"/>
  <c r="M3253" i="2"/>
  <c r="L3253" i="2"/>
  <c r="K3253" i="2"/>
  <c r="J3253" i="2"/>
  <c r="I3253" i="2"/>
  <c r="H3253" i="2"/>
  <c r="G3253" i="2"/>
  <c r="F3253" i="2"/>
  <c r="D3253" i="2"/>
  <c r="C3253" i="2"/>
  <c r="B3253" i="2"/>
  <c r="A3253" i="2"/>
  <c r="N3252" i="2"/>
  <c r="M3252" i="2"/>
  <c r="L3252" i="2"/>
  <c r="K3252" i="2"/>
  <c r="J3252" i="2"/>
  <c r="I3252" i="2"/>
  <c r="H3252" i="2"/>
  <c r="G3252" i="2"/>
  <c r="F3252" i="2"/>
  <c r="D3252" i="2"/>
  <c r="C3252" i="2"/>
  <c r="B3252" i="2"/>
  <c r="A3252" i="2"/>
  <c r="N3251" i="2"/>
  <c r="M3251" i="2"/>
  <c r="L3251" i="2"/>
  <c r="K3251" i="2"/>
  <c r="J3251" i="2"/>
  <c r="I3251" i="2"/>
  <c r="H3251" i="2"/>
  <c r="G3251" i="2"/>
  <c r="F3251" i="2"/>
  <c r="D3251" i="2"/>
  <c r="C3251" i="2"/>
  <c r="B3251" i="2"/>
  <c r="A3251" i="2"/>
  <c r="N3250" i="2"/>
  <c r="M3250" i="2"/>
  <c r="L3250" i="2"/>
  <c r="K3250" i="2"/>
  <c r="J3250" i="2"/>
  <c r="I3250" i="2"/>
  <c r="H3250" i="2"/>
  <c r="G3250" i="2"/>
  <c r="F3250" i="2"/>
  <c r="D3250" i="2"/>
  <c r="C3250" i="2"/>
  <c r="B3250" i="2"/>
  <c r="A3250" i="2"/>
  <c r="N3249" i="2"/>
  <c r="M3249" i="2"/>
  <c r="L3249" i="2"/>
  <c r="K3249" i="2"/>
  <c r="J3249" i="2"/>
  <c r="I3249" i="2"/>
  <c r="H3249" i="2"/>
  <c r="G3249" i="2"/>
  <c r="F3249" i="2"/>
  <c r="D3249" i="2"/>
  <c r="C3249" i="2"/>
  <c r="B3249" i="2"/>
  <c r="A3249" i="2"/>
  <c r="N3248" i="2"/>
  <c r="M3248" i="2"/>
  <c r="L3248" i="2"/>
  <c r="K3248" i="2"/>
  <c r="J3248" i="2"/>
  <c r="I3248" i="2"/>
  <c r="H3248" i="2"/>
  <c r="G3248" i="2"/>
  <c r="F3248" i="2"/>
  <c r="D3248" i="2"/>
  <c r="C3248" i="2"/>
  <c r="B3248" i="2"/>
  <c r="A3248" i="2"/>
  <c r="N3247" i="2"/>
  <c r="M3247" i="2"/>
  <c r="L3247" i="2"/>
  <c r="K3247" i="2"/>
  <c r="J3247" i="2"/>
  <c r="I3247" i="2"/>
  <c r="H3247" i="2"/>
  <c r="G3247" i="2"/>
  <c r="F3247" i="2"/>
  <c r="D3247" i="2"/>
  <c r="C3247" i="2"/>
  <c r="B3247" i="2"/>
  <c r="A3247" i="2"/>
  <c r="N3246" i="2"/>
  <c r="M3246" i="2"/>
  <c r="L3246" i="2"/>
  <c r="K3246" i="2"/>
  <c r="J3246" i="2"/>
  <c r="I3246" i="2"/>
  <c r="H3246" i="2"/>
  <c r="G3246" i="2"/>
  <c r="F3246" i="2"/>
  <c r="D3246" i="2"/>
  <c r="C3246" i="2"/>
  <c r="B3246" i="2"/>
  <c r="A3246" i="2"/>
  <c r="N3245" i="2"/>
  <c r="M3245" i="2"/>
  <c r="L3245" i="2"/>
  <c r="K3245" i="2"/>
  <c r="J3245" i="2"/>
  <c r="I3245" i="2"/>
  <c r="H3245" i="2"/>
  <c r="G3245" i="2"/>
  <c r="F3245" i="2"/>
  <c r="D3245" i="2"/>
  <c r="C3245" i="2"/>
  <c r="B3245" i="2"/>
  <c r="A3245" i="2"/>
  <c r="N3244" i="2"/>
  <c r="M3244" i="2"/>
  <c r="L3244" i="2"/>
  <c r="K3244" i="2"/>
  <c r="J3244" i="2"/>
  <c r="I3244" i="2"/>
  <c r="H3244" i="2"/>
  <c r="G3244" i="2"/>
  <c r="F3244" i="2"/>
  <c r="D3244" i="2"/>
  <c r="C3244" i="2"/>
  <c r="B3244" i="2"/>
  <c r="A3244" i="2"/>
  <c r="N3243" i="2"/>
  <c r="M3243" i="2"/>
  <c r="L3243" i="2"/>
  <c r="K3243" i="2"/>
  <c r="J3243" i="2"/>
  <c r="I3243" i="2"/>
  <c r="H3243" i="2"/>
  <c r="G3243" i="2"/>
  <c r="F3243" i="2"/>
  <c r="D3243" i="2"/>
  <c r="C3243" i="2"/>
  <c r="B3243" i="2"/>
  <c r="A3243" i="2"/>
  <c r="N3242" i="2"/>
  <c r="M3242" i="2"/>
  <c r="L3242" i="2"/>
  <c r="K3242" i="2"/>
  <c r="J3242" i="2"/>
  <c r="I3242" i="2"/>
  <c r="H3242" i="2"/>
  <c r="G3242" i="2"/>
  <c r="F3242" i="2"/>
  <c r="D3242" i="2"/>
  <c r="C3242" i="2"/>
  <c r="B3242" i="2"/>
  <c r="A3242" i="2"/>
  <c r="N3241" i="2"/>
  <c r="M3241" i="2"/>
  <c r="L3241" i="2"/>
  <c r="K3241" i="2"/>
  <c r="J3241" i="2"/>
  <c r="I3241" i="2"/>
  <c r="H3241" i="2"/>
  <c r="G3241" i="2"/>
  <c r="F3241" i="2"/>
  <c r="D3241" i="2"/>
  <c r="C3241" i="2"/>
  <c r="B3241" i="2"/>
  <c r="A3241" i="2"/>
  <c r="N3240" i="2"/>
  <c r="M3240" i="2"/>
  <c r="L3240" i="2"/>
  <c r="K3240" i="2"/>
  <c r="J3240" i="2"/>
  <c r="I3240" i="2"/>
  <c r="H3240" i="2"/>
  <c r="G3240" i="2"/>
  <c r="F3240" i="2"/>
  <c r="D3240" i="2"/>
  <c r="C3240" i="2"/>
  <c r="B3240" i="2"/>
  <c r="A3240" i="2"/>
  <c r="N3239" i="2"/>
  <c r="M3239" i="2"/>
  <c r="L3239" i="2"/>
  <c r="K3239" i="2"/>
  <c r="J3239" i="2"/>
  <c r="I3239" i="2"/>
  <c r="H3239" i="2"/>
  <c r="G3239" i="2"/>
  <c r="F3239" i="2"/>
  <c r="D3239" i="2"/>
  <c r="C3239" i="2"/>
  <c r="B3239" i="2"/>
  <c r="A3239" i="2"/>
  <c r="N3238" i="2"/>
  <c r="M3238" i="2"/>
  <c r="L3238" i="2"/>
  <c r="K3238" i="2"/>
  <c r="J3238" i="2"/>
  <c r="I3238" i="2"/>
  <c r="H3238" i="2"/>
  <c r="G3238" i="2"/>
  <c r="F3238" i="2"/>
  <c r="D3238" i="2"/>
  <c r="C3238" i="2"/>
  <c r="B3238" i="2"/>
  <c r="A3238" i="2"/>
  <c r="N3237" i="2"/>
  <c r="M3237" i="2"/>
  <c r="L3237" i="2"/>
  <c r="K3237" i="2"/>
  <c r="J3237" i="2"/>
  <c r="I3237" i="2"/>
  <c r="H3237" i="2"/>
  <c r="G3237" i="2"/>
  <c r="F3237" i="2"/>
  <c r="D3237" i="2"/>
  <c r="C3237" i="2"/>
  <c r="B3237" i="2"/>
  <c r="A3237" i="2"/>
  <c r="N3236" i="2"/>
  <c r="M3236" i="2"/>
  <c r="L3236" i="2"/>
  <c r="K3236" i="2"/>
  <c r="J3236" i="2"/>
  <c r="I3236" i="2"/>
  <c r="H3236" i="2"/>
  <c r="G3236" i="2"/>
  <c r="F3236" i="2"/>
  <c r="D3236" i="2"/>
  <c r="C3236" i="2"/>
  <c r="B3236" i="2"/>
  <c r="A3236" i="2"/>
  <c r="N3235" i="2"/>
  <c r="M3235" i="2"/>
  <c r="L3235" i="2"/>
  <c r="K3235" i="2"/>
  <c r="J3235" i="2"/>
  <c r="I3235" i="2"/>
  <c r="H3235" i="2"/>
  <c r="G3235" i="2"/>
  <c r="F3235" i="2"/>
  <c r="D3235" i="2"/>
  <c r="C3235" i="2"/>
  <c r="B3235" i="2"/>
  <c r="A3235" i="2"/>
  <c r="N3234" i="2"/>
  <c r="M3234" i="2"/>
  <c r="L3234" i="2"/>
  <c r="K3234" i="2"/>
  <c r="J3234" i="2"/>
  <c r="I3234" i="2"/>
  <c r="H3234" i="2"/>
  <c r="G3234" i="2"/>
  <c r="F3234" i="2"/>
  <c r="D3234" i="2"/>
  <c r="C3234" i="2"/>
  <c r="B3234" i="2"/>
  <c r="A3234" i="2"/>
  <c r="N3233" i="2"/>
  <c r="M3233" i="2"/>
  <c r="L3233" i="2"/>
  <c r="K3233" i="2"/>
  <c r="J3233" i="2"/>
  <c r="I3233" i="2"/>
  <c r="H3233" i="2"/>
  <c r="G3233" i="2"/>
  <c r="F3233" i="2"/>
  <c r="D3233" i="2"/>
  <c r="C3233" i="2"/>
  <c r="B3233" i="2"/>
  <c r="A3233" i="2"/>
  <c r="M3232" i="2"/>
  <c r="H3232" i="2"/>
  <c r="G3232" i="2"/>
  <c r="F3232" i="2"/>
  <c r="D3232" i="2"/>
  <c r="C3232" i="2"/>
  <c r="B3232" i="2"/>
  <c r="A3232" i="2"/>
  <c r="M3231" i="2"/>
  <c r="J3231" i="2"/>
  <c r="H3231" i="2"/>
  <c r="G3231" i="2"/>
  <c r="F3231" i="2"/>
  <c r="D3231" i="2"/>
  <c r="C3231" i="2"/>
  <c r="B3231" i="2"/>
  <c r="A3231" i="2"/>
  <c r="M3230" i="2"/>
  <c r="L3230" i="2"/>
  <c r="K3230" i="2"/>
  <c r="J3230" i="2"/>
  <c r="I3230" i="2"/>
  <c r="H3230" i="2"/>
  <c r="G3230" i="2"/>
  <c r="F3230" i="2"/>
  <c r="D3230" i="2"/>
  <c r="C3230" i="2"/>
  <c r="B3230" i="2"/>
  <c r="A3230" i="2"/>
  <c r="M3229" i="2"/>
  <c r="L3229" i="2"/>
  <c r="K3229" i="2"/>
  <c r="J3229" i="2"/>
  <c r="I3229" i="2"/>
  <c r="H3229" i="2"/>
  <c r="F3229" i="2"/>
  <c r="D3229" i="2"/>
  <c r="C3229" i="2"/>
  <c r="B3229" i="2"/>
  <c r="A3229" i="2"/>
  <c r="M3228" i="2"/>
  <c r="L3228" i="2"/>
  <c r="K3228" i="2"/>
  <c r="J3228" i="2"/>
  <c r="I3228" i="2"/>
  <c r="H3228" i="2"/>
  <c r="F3228" i="2"/>
  <c r="D3228" i="2"/>
  <c r="C3228" i="2"/>
  <c r="B3228" i="2"/>
  <c r="A3228" i="2"/>
  <c r="M3227" i="2"/>
  <c r="L3227" i="2"/>
  <c r="K3227" i="2"/>
  <c r="J3227" i="2"/>
  <c r="I3227" i="2"/>
  <c r="H3227" i="2"/>
  <c r="F3227" i="2"/>
  <c r="D3227" i="2"/>
  <c r="C3227" i="2"/>
  <c r="B3227" i="2"/>
  <c r="A3227" i="2"/>
  <c r="M3226" i="2"/>
  <c r="I3226" i="2"/>
  <c r="H3226" i="2"/>
  <c r="G3226" i="2"/>
  <c r="F3226" i="2"/>
  <c r="D3226" i="2"/>
  <c r="C3226" i="2"/>
  <c r="B3226" i="2"/>
  <c r="A3226" i="2"/>
  <c r="M3225" i="2"/>
  <c r="K3225" i="2"/>
  <c r="H3225" i="2"/>
  <c r="F3225" i="2"/>
  <c r="D3225" i="2"/>
  <c r="C3225" i="2"/>
  <c r="B3225" i="2"/>
  <c r="A3225" i="2"/>
  <c r="M3224" i="2"/>
  <c r="K3224" i="2"/>
  <c r="I3224" i="2"/>
  <c r="H3224" i="2"/>
  <c r="F3224" i="2"/>
  <c r="D3224" i="2"/>
  <c r="C3224" i="2"/>
  <c r="B3224" i="2"/>
  <c r="A3224" i="2"/>
  <c r="M3223" i="2"/>
  <c r="K3223" i="2"/>
  <c r="I3223" i="2"/>
  <c r="H3223" i="2"/>
  <c r="F3223" i="2"/>
  <c r="D3223" i="2"/>
  <c r="C3223" i="2"/>
  <c r="B3223" i="2"/>
  <c r="A3223" i="2"/>
  <c r="M3222" i="2"/>
  <c r="K3222" i="2"/>
  <c r="I3222" i="2"/>
  <c r="H3222" i="2"/>
  <c r="F3222" i="2"/>
  <c r="D3222" i="2"/>
  <c r="C3222" i="2"/>
  <c r="B3222" i="2"/>
  <c r="A3222" i="2"/>
  <c r="M3221" i="2"/>
  <c r="K3221" i="2"/>
  <c r="I3221" i="2"/>
  <c r="H3221" i="2"/>
  <c r="F3221" i="2"/>
  <c r="D3221" i="2"/>
  <c r="C3221" i="2"/>
  <c r="B3221" i="2"/>
  <c r="A3221" i="2"/>
  <c r="M3220" i="2"/>
  <c r="K3220" i="2"/>
  <c r="I3220" i="2"/>
  <c r="H3220" i="2"/>
  <c r="F3220" i="2"/>
  <c r="D3220" i="2"/>
  <c r="C3220" i="2"/>
  <c r="B3220" i="2"/>
  <c r="A3220" i="2"/>
  <c r="M3219" i="2"/>
  <c r="K3219" i="2"/>
  <c r="I3219" i="2"/>
  <c r="H3219" i="2"/>
  <c r="F3219" i="2"/>
  <c r="D3219" i="2"/>
  <c r="C3219" i="2"/>
  <c r="B3219" i="2"/>
  <c r="A3219" i="2"/>
  <c r="M3218" i="2"/>
  <c r="K3218" i="2"/>
  <c r="I3218" i="2"/>
  <c r="H3218" i="2"/>
  <c r="F3218" i="2"/>
  <c r="D3218" i="2"/>
  <c r="C3218" i="2"/>
  <c r="B3218" i="2"/>
  <c r="A3218" i="2"/>
  <c r="M3217" i="2"/>
  <c r="K3217" i="2"/>
  <c r="I3217" i="2"/>
  <c r="H3217" i="2"/>
  <c r="F3217" i="2"/>
  <c r="D3217" i="2"/>
  <c r="C3217" i="2"/>
  <c r="B3217" i="2"/>
  <c r="A3217" i="2"/>
  <c r="M3216" i="2"/>
  <c r="K3216" i="2"/>
  <c r="I3216" i="2"/>
  <c r="H3216" i="2"/>
  <c r="F3216" i="2"/>
  <c r="D3216" i="2"/>
  <c r="C3216" i="2"/>
  <c r="B3216" i="2"/>
  <c r="A3216" i="2"/>
  <c r="M3215" i="2"/>
  <c r="K3215" i="2"/>
  <c r="I3215" i="2"/>
  <c r="H3215" i="2"/>
  <c r="F3215" i="2"/>
  <c r="D3215" i="2"/>
  <c r="C3215" i="2"/>
  <c r="B3215" i="2"/>
  <c r="A3215" i="2"/>
  <c r="M3214" i="2"/>
  <c r="K3214" i="2"/>
  <c r="I3214" i="2"/>
  <c r="H3214" i="2"/>
  <c r="F3214" i="2"/>
  <c r="D3214" i="2"/>
  <c r="C3214" i="2"/>
  <c r="B3214" i="2"/>
  <c r="A3214" i="2"/>
  <c r="M3213" i="2"/>
  <c r="K3213" i="2"/>
  <c r="I3213" i="2"/>
  <c r="H3213" i="2"/>
  <c r="F3213" i="2"/>
  <c r="D3213" i="2"/>
  <c r="C3213" i="2"/>
  <c r="B3213" i="2"/>
  <c r="A3213" i="2"/>
  <c r="M3212" i="2"/>
  <c r="K3212" i="2"/>
  <c r="I3212" i="2"/>
  <c r="H3212" i="2"/>
  <c r="F3212" i="2"/>
  <c r="D3212" i="2"/>
  <c r="C3212" i="2"/>
  <c r="B3212" i="2"/>
  <c r="A3212" i="2"/>
  <c r="M3211" i="2"/>
  <c r="K3211" i="2"/>
  <c r="I3211" i="2"/>
  <c r="H3211" i="2"/>
  <c r="F3211" i="2"/>
  <c r="D3211" i="2"/>
  <c r="C3211" i="2"/>
  <c r="B3211" i="2"/>
  <c r="A3211" i="2"/>
  <c r="M3210" i="2"/>
  <c r="L3210" i="2"/>
  <c r="K3210" i="2"/>
  <c r="I3210" i="2"/>
  <c r="H3210" i="2"/>
  <c r="F3210" i="2"/>
  <c r="D3210" i="2"/>
  <c r="C3210" i="2"/>
  <c r="B3210" i="2"/>
  <c r="A3210" i="2"/>
  <c r="M3209" i="2"/>
  <c r="L3209" i="2"/>
  <c r="K3209" i="2"/>
  <c r="I3209" i="2"/>
  <c r="H3209" i="2"/>
  <c r="F3209" i="2"/>
  <c r="D3209" i="2"/>
  <c r="C3209" i="2"/>
  <c r="B3209" i="2"/>
  <c r="A3209" i="2"/>
  <c r="M3208" i="2"/>
  <c r="L3208" i="2"/>
  <c r="K3208" i="2"/>
  <c r="I3208" i="2"/>
  <c r="H3208" i="2"/>
  <c r="F3208" i="2"/>
  <c r="D3208" i="2"/>
  <c r="C3208" i="2"/>
  <c r="B3208" i="2"/>
  <c r="A3208" i="2"/>
  <c r="M3207" i="2"/>
  <c r="L3207" i="2"/>
  <c r="K3207" i="2"/>
  <c r="I3207" i="2"/>
  <c r="H3207" i="2"/>
  <c r="F3207" i="2"/>
  <c r="D3207" i="2"/>
  <c r="C3207" i="2"/>
  <c r="B3207" i="2"/>
  <c r="A3207" i="2"/>
  <c r="M3206" i="2"/>
  <c r="L3206" i="2"/>
  <c r="K3206" i="2"/>
  <c r="I3206" i="2"/>
  <c r="H3206" i="2"/>
  <c r="F3206" i="2"/>
  <c r="D3206" i="2"/>
  <c r="C3206" i="2"/>
  <c r="B3206" i="2"/>
  <c r="A3206" i="2"/>
  <c r="M3205" i="2"/>
  <c r="L3205" i="2"/>
  <c r="K3205" i="2"/>
  <c r="I3205" i="2"/>
  <c r="H3205" i="2"/>
  <c r="F3205" i="2"/>
  <c r="D3205" i="2"/>
  <c r="C3205" i="2"/>
  <c r="B3205" i="2"/>
  <c r="A3205" i="2"/>
  <c r="M3204" i="2"/>
  <c r="L3204" i="2"/>
  <c r="K3204" i="2"/>
  <c r="I3204" i="2"/>
  <c r="H3204" i="2"/>
  <c r="F3204" i="2"/>
  <c r="D3204" i="2"/>
  <c r="C3204" i="2"/>
  <c r="B3204" i="2"/>
  <c r="A3204" i="2"/>
  <c r="M3203" i="2"/>
  <c r="L3203" i="2"/>
  <c r="K3203" i="2"/>
  <c r="I3203" i="2"/>
  <c r="H3203" i="2"/>
  <c r="F3203" i="2"/>
  <c r="D3203" i="2"/>
  <c r="C3203" i="2"/>
  <c r="B3203" i="2"/>
  <c r="A3203" i="2"/>
  <c r="M3202" i="2"/>
  <c r="L3202" i="2"/>
  <c r="K3202" i="2"/>
  <c r="I3202" i="2"/>
  <c r="H3202" i="2"/>
  <c r="F3202" i="2"/>
  <c r="D3202" i="2"/>
  <c r="C3202" i="2"/>
  <c r="B3202" i="2"/>
  <c r="A3202" i="2"/>
  <c r="M3201" i="2"/>
  <c r="L3201" i="2"/>
  <c r="K3201" i="2"/>
  <c r="I3201" i="2"/>
  <c r="H3201" i="2"/>
  <c r="F3201" i="2"/>
  <c r="D3201" i="2"/>
  <c r="C3201" i="2"/>
  <c r="B3201" i="2"/>
  <c r="A3201" i="2"/>
  <c r="M3200" i="2"/>
  <c r="L3200" i="2"/>
  <c r="K3200" i="2"/>
  <c r="I3200" i="2"/>
  <c r="H3200" i="2"/>
  <c r="F3200" i="2"/>
  <c r="D3200" i="2"/>
  <c r="C3200" i="2"/>
  <c r="B3200" i="2"/>
  <c r="A3200" i="2"/>
  <c r="M3199" i="2"/>
  <c r="L3199" i="2"/>
  <c r="K3199" i="2"/>
  <c r="I3199" i="2"/>
  <c r="H3199" i="2"/>
  <c r="F3199" i="2"/>
  <c r="D3199" i="2"/>
  <c r="C3199" i="2"/>
  <c r="B3199" i="2"/>
  <c r="A3199" i="2"/>
  <c r="M3198" i="2"/>
  <c r="L3198" i="2"/>
  <c r="K3198" i="2"/>
  <c r="I3198" i="2"/>
  <c r="H3198" i="2"/>
  <c r="F3198" i="2"/>
  <c r="D3198" i="2"/>
  <c r="C3198" i="2"/>
  <c r="B3198" i="2"/>
  <c r="A3198" i="2"/>
  <c r="M3197" i="2"/>
  <c r="L3197" i="2"/>
  <c r="K3197" i="2"/>
  <c r="I3197" i="2"/>
  <c r="H3197" i="2"/>
  <c r="F3197" i="2"/>
  <c r="D3197" i="2"/>
  <c r="C3197" i="2"/>
  <c r="B3197" i="2"/>
  <c r="A3197" i="2"/>
  <c r="M3196" i="2"/>
  <c r="L3196" i="2"/>
  <c r="K3196" i="2"/>
  <c r="I3196" i="2"/>
  <c r="H3196" i="2"/>
  <c r="F3196" i="2"/>
  <c r="D3196" i="2"/>
  <c r="C3196" i="2"/>
  <c r="B3196" i="2"/>
  <c r="A3196" i="2"/>
  <c r="M3195" i="2"/>
  <c r="L3195" i="2"/>
  <c r="K3195" i="2"/>
  <c r="I3195" i="2"/>
  <c r="H3195" i="2"/>
  <c r="F3195" i="2"/>
  <c r="D3195" i="2"/>
  <c r="C3195" i="2"/>
  <c r="B3195" i="2"/>
  <c r="A3195" i="2"/>
  <c r="M3194" i="2"/>
  <c r="L3194" i="2"/>
  <c r="K3194" i="2"/>
  <c r="I3194" i="2"/>
  <c r="H3194" i="2"/>
  <c r="F3194" i="2"/>
  <c r="D3194" i="2"/>
  <c r="C3194" i="2"/>
  <c r="B3194" i="2"/>
  <c r="A3194" i="2"/>
  <c r="M3193" i="2"/>
  <c r="L3193" i="2"/>
  <c r="K3193" i="2"/>
  <c r="I3193" i="2"/>
  <c r="H3193" i="2"/>
  <c r="F3193" i="2"/>
  <c r="D3193" i="2"/>
  <c r="C3193" i="2"/>
  <c r="B3193" i="2"/>
  <c r="A3193" i="2"/>
  <c r="M3192" i="2"/>
  <c r="L3192" i="2"/>
  <c r="K3192" i="2"/>
  <c r="I3192" i="2"/>
  <c r="H3192" i="2"/>
  <c r="F3192" i="2"/>
  <c r="D3192" i="2"/>
  <c r="C3192" i="2"/>
  <c r="B3192" i="2"/>
  <c r="A3192" i="2"/>
  <c r="M3191" i="2"/>
  <c r="L3191" i="2"/>
  <c r="K3191" i="2"/>
  <c r="I3191" i="2"/>
  <c r="H3191" i="2"/>
  <c r="F3191" i="2"/>
  <c r="D3191" i="2"/>
  <c r="C3191" i="2"/>
  <c r="B3191" i="2"/>
  <c r="A3191" i="2"/>
  <c r="M3190" i="2"/>
  <c r="L3190" i="2"/>
  <c r="K3190" i="2"/>
  <c r="I3190" i="2"/>
  <c r="H3190" i="2"/>
  <c r="F3190" i="2"/>
  <c r="D3190" i="2"/>
  <c r="C3190" i="2"/>
  <c r="B3190" i="2"/>
  <c r="A3190" i="2"/>
  <c r="M3189" i="2"/>
  <c r="L3189" i="2"/>
  <c r="K3189" i="2"/>
  <c r="I3189" i="2"/>
  <c r="H3189" i="2"/>
  <c r="F3189" i="2"/>
  <c r="D3189" i="2"/>
  <c r="C3189" i="2"/>
  <c r="B3189" i="2"/>
  <c r="A3189" i="2"/>
  <c r="M3188" i="2"/>
  <c r="L3188" i="2"/>
  <c r="K3188" i="2"/>
  <c r="I3188" i="2"/>
  <c r="H3188" i="2"/>
  <c r="F3188" i="2"/>
  <c r="D3188" i="2"/>
  <c r="C3188" i="2"/>
  <c r="B3188" i="2"/>
  <c r="A3188" i="2"/>
  <c r="M3187" i="2"/>
  <c r="L3187" i="2"/>
  <c r="K3187" i="2"/>
  <c r="I3187" i="2"/>
  <c r="H3187" i="2"/>
  <c r="F3187" i="2"/>
  <c r="D3187" i="2"/>
  <c r="C3187" i="2"/>
  <c r="B3187" i="2"/>
  <c r="A3187" i="2"/>
  <c r="M3186" i="2"/>
  <c r="L3186" i="2"/>
  <c r="K3186" i="2"/>
  <c r="I3186" i="2"/>
  <c r="H3186" i="2"/>
  <c r="F3186" i="2"/>
  <c r="D3186" i="2"/>
  <c r="C3186" i="2"/>
  <c r="B3186" i="2"/>
  <c r="A3186" i="2"/>
  <c r="M3185" i="2"/>
  <c r="L3185" i="2"/>
  <c r="K3185" i="2"/>
  <c r="I3185" i="2"/>
  <c r="H3185" i="2"/>
  <c r="F3185" i="2"/>
  <c r="D3185" i="2"/>
  <c r="C3185" i="2"/>
  <c r="B3185" i="2"/>
  <c r="A3185" i="2"/>
  <c r="N3184" i="2"/>
  <c r="M3184" i="2"/>
  <c r="L3184" i="2"/>
  <c r="K3184" i="2"/>
  <c r="I3184" i="2"/>
  <c r="H3184" i="2"/>
  <c r="F3184" i="2"/>
  <c r="D3184" i="2"/>
  <c r="C3184" i="2"/>
  <c r="B3184" i="2"/>
  <c r="A3184" i="2"/>
  <c r="M3183" i="2"/>
  <c r="K3183" i="2"/>
  <c r="H3183" i="2"/>
  <c r="F3183" i="2"/>
  <c r="D3183" i="2"/>
  <c r="C3183" i="2"/>
  <c r="B3183" i="2"/>
  <c r="A3183" i="2"/>
  <c r="M3182" i="2"/>
  <c r="L3182" i="2"/>
  <c r="K3182" i="2"/>
  <c r="I3182" i="2"/>
  <c r="H3182" i="2"/>
  <c r="F3182" i="2"/>
  <c r="D3182" i="2"/>
  <c r="C3182" i="2"/>
  <c r="B3182" i="2"/>
  <c r="A3182" i="2"/>
  <c r="M3181" i="2"/>
  <c r="L3181" i="2"/>
  <c r="K3181" i="2"/>
  <c r="I3181" i="2"/>
  <c r="H3181" i="2"/>
  <c r="F3181" i="2"/>
  <c r="D3181" i="2"/>
  <c r="C3181" i="2"/>
  <c r="B3181" i="2"/>
  <c r="A3181" i="2"/>
  <c r="M3180" i="2"/>
  <c r="L3180" i="2"/>
  <c r="K3180" i="2"/>
  <c r="I3180" i="2"/>
  <c r="H3180" i="2"/>
  <c r="F3180" i="2"/>
  <c r="D3180" i="2"/>
  <c r="C3180" i="2"/>
  <c r="B3180" i="2"/>
  <c r="A3180" i="2"/>
  <c r="M3179" i="2"/>
  <c r="L3179" i="2"/>
  <c r="K3179" i="2"/>
  <c r="I3179" i="2"/>
  <c r="H3179" i="2"/>
  <c r="F3179" i="2"/>
  <c r="D3179" i="2"/>
  <c r="C3179" i="2"/>
  <c r="B3179" i="2"/>
  <c r="A3179" i="2"/>
  <c r="M3178" i="2"/>
  <c r="L3178" i="2"/>
  <c r="K3178" i="2"/>
  <c r="I3178" i="2"/>
  <c r="H3178" i="2"/>
  <c r="F3178" i="2"/>
  <c r="D3178" i="2"/>
  <c r="C3178" i="2"/>
  <c r="B3178" i="2"/>
  <c r="A3178" i="2"/>
  <c r="M3177" i="2"/>
  <c r="L3177" i="2"/>
  <c r="K3177" i="2"/>
  <c r="I3177" i="2"/>
  <c r="H3177" i="2"/>
  <c r="F3177" i="2"/>
  <c r="D3177" i="2"/>
  <c r="C3177" i="2"/>
  <c r="B3177" i="2"/>
  <c r="A3177" i="2"/>
  <c r="M3176" i="2"/>
  <c r="L3176" i="2"/>
  <c r="K3176" i="2"/>
  <c r="I3176" i="2"/>
  <c r="H3176" i="2"/>
  <c r="F3176" i="2"/>
  <c r="D3176" i="2"/>
  <c r="C3176" i="2"/>
  <c r="B3176" i="2"/>
  <c r="A3176" i="2"/>
  <c r="M3175" i="2"/>
  <c r="L3175" i="2"/>
  <c r="K3175" i="2"/>
  <c r="I3175" i="2"/>
  <c r="H3175" i="2"/>
  <c r="F3175" i="2"/>
  <c r="D3175" i="2"/>
  <c r="C3175" i="2"/>
  <c r="B3175" i="2"/>
  <c r="A3175" i="2"/>
  <c r="M3174" i="2"/>
  <c r="L3174" i="2"/>
  <c r="K3174" i="2"/>
  <c r="I3174" i="2"/>
  <c r="H3174" i="2"/>
  <c r="F3174" i="2"/>
  <c r="D3174" i="2"/>
  <c r="C3174" i="2"/>
  <c r="B3174" i="2"/>
  <c r="A3174" i="2"/>
  <c r="M3173" i="2"/>
  <c r="L3173" i="2"/>
  <c r="K3173" i="2"/>
  <c r="I3173" i="2"/>
  <c r="H3173" i="2"/>
  <c r="F3173" i="2"/>
  <c r="D3173" i="2"/>
  <c r="C3173" i="2"/>
  <c r="B3173" i="2"/>
  <c r="A3173" i="2"/>
  <c r="M3172" i="2"/>
  <c r="L3172" i="2"/>
  <c r="K3172" i="2"/>
  <c r="I3172" i="2"/>
  <c r="H3172" i="2"/>
  <c r="F3172" i="2"/>
  <c r="D3172" i="2"/>
  <c r="C3172" i="2"/>
  <c r="B3172" i="2"/>
  <c r="A3172" i="2"/>
  <c r="M3171" i="2"/>
  <c r="L3171" i="2"/>
  <c r="K3171" i="2"/>
  <c r="I3171" i="2"/>
  <c r="H3171" i="2"/>
  <c r="F3171" i="2"/>
  <c r="D3171" i="2"/>
  <c r="C3171" i="2"/>
  <c r="B3171" i="2"/>
  <c r="A3171" i="2"/>
  <c r="M3170" i="2"/>
  <c r="L3170" i="2"/>
  <c r="K3170" i="2"/>
  <c r="I3170" i="2"/>
  <c r="H3170" i="2"/>
  <c r="F3170" i="2"/>
  <c r="D3170" i="2"/>
  <c r="C3170" i="2"/>
  <c r="B3170" i="2"/>
  <c r="A3170" i="2"/>
  <c r="M3169" i="2"/>
  <c r="K3169" i="2"/>
  <c r="J3169" i="2"/>
  <c r="I3169" i="2"/>
  <c r="H3169" i="2"/>
  <c r="G3169" i="2"/>
  <c r="F3169" i="2"/>
  <c r="D3169" i="2"/>
  <c r="C3169" i="2"/>
  <c r="B3169" i="2"/>
  <c r="A3169" i="2"/>
  <c r="M3168" i="2"/>
  <c r="L3168" i="2"/>
  <c r="K3168" i="2"/>
  <c r="J3168" i="2"/>
  <c r="I3168" i="2"/>
  <c r="H3168" i="2"/>
  <c r="F3168" i="2"/>
  <c r="D3168" i="2"/>
  <c r="C3168" i="2"/>
  <c r="B3168" i="2"/>
  <c r="A3168" i="2"/>
  <c r="M3167" i="2"/>
  <c r="F3167" i="2"/>
  <c r="D3167" i="2"/>
  <c r="C3167" i="2"/>
  <c r="B3167" i="2"/>
  <c r="A3167" i="2"/>
  <c r="M3166" i="2"/>
  <c r="L3166" i="2"/>
  <c r="K3166" i="2"/>
  <c r="J3166" i="2"/>
  <c r="I3166" i="2"/>
  <c r="H3166" i="2"/>
  <c r="F3166" i="2"/>
  <c r="D3166" i="2"/>
  <c r="C3166" i="2"/>
  <c r="B3166" i="2"/>
  <c r="A3166" i="2"/>
  <c r="M3165" i="2"/>
  <c r="L3165" i="2"/>
  <c r="K3165" i="2"/>
  <c r="J3165" i="2"/>
  <c r="I3165" i="2"/>
  <c r="H3165" i="2"/>
  <c r="F3165" i="2"/>
  <c r="D3165" i="2"/>
  <c r="C3165" i="2"/>
  <c r="B3165" i="2"/>
  <c r="A3165" i="2"/>
  <c r="M3164" i="2"/>
  <c r="L3164" i="2"/>
  <c r="K3164" i="2"/>
  <c r="J3164" i="2"/>
  <c r="I3164" i="2"/>
  <c r="H3164" i="2"/>
  <c r="F3164" i="2"/>
  <c r="D3164" i="2"/>
  <c r="C3164" i="2"/>
  <c r="B3164" i="2"/>
  <c r="A3164" i="2"/>
  <c r="M3163" i="2"/>
  <c r="L3163" i="2"/>
  <c r="K3163" i="2"/>
  <c r="J3163" i="2"/>
  <c r="I3163" i="2"/>
  <c r="H3163" i="2"/>
  <c r="F3163" i="2"/>
  <c r="D3163" i="2"/>
  <c r="C3163" i="2"/>
  <c r="B3163" i="2"/>
  <c r="A3163" i="2"/>
  <c r="M3162" i="2"/>
  <c r="L3162" i="2"/>
  <c r="K3162" i="2"/>
  <c r="J3162" i="2"/>
  <c r="I3162" i="2"/>
  <c r="H3162" i="2"/>
  <c r="F3162" i="2"/>
  <c r="D3162" i="2"/>
  <c r="C3162" i="2"/>
  <c r="B3162" i="2"/>
  <c r="A3162" i="2"/>
  <c r="M3161" i="2"/>
  <c r="L3161" i="2"/>
  <c r="K3161" i="2"/>
  <c r="J3161" i="2"/>
  <c r="I3161" i="2"/>
  <c r="H3161" i="2"/>
  <c r="F3161" i="2"/>
  <c r="D3161" i="2"/>
  <c r="C3161" i="2"/>
  <c r="B3161" i="2"/>
  <c r="A3161" i="2"/>
  <c r="M3160" i="2"/>
  <c r="L3160" i="2"/>
  <c r="K3160" i="2"/>
  <c r="J3160" i="2"/>
  <c r="I3160" i="2"/>
  <c r="H3160" i="2"/>
  <c r="F3160" i="2"/>
  <c r="D3160" i="2"/>
  <c r="C3160" i="2"/>
  <c r="B3160" i="2"/>
  <c r="A3160" i="2"/>
  <c r="M3159" i="2"/>
  <c r="L3159" i="2"/>
  <c r="K3159" i="2"/>
  <c r="J3159" i="2"/>
  <c r="I3159" i="2"/>
  <c r="H3159" i="2"/>
  <c r="F3159" i="2"/>
  <c r="D3159" i="2"/>
  <c r="C3159" i="2"/>
  <c r="B3159" i="2"/>
  <c r="A3159" i="2"/>
  <c r="M3158" i="2"/>
  <c r="L3158" i="2"/>
  <c r="K3158" i="2"/>
  <c r="J3158" i="2"/>
  <c r="I3158" i="2"/>
  <c r="H3158" i="2"/>
  <c r="F3158" i="2"/>
  <c r="D3158" i="2"/>
  <c r="C3158" i="2"/>
  <c r="B3158" i="2"/>
  <c r="A3158" i="2"/>
  <c r="M3157" i="2"/>
  <c r="L3157" i="2"/>
  <c r="K3157" i="2"/>
  <c r="J3157" i="2"/>
  <c r="I3157" i="2"/>
  <c r="H3157" i="2"/>
  <c r="F3157" i="2"/>
  <c r="D3157" i="2"/>
  <c r="C3157" i="2"/>
  <c r="B3157" i="2"/>
  <c r="A3157" i="2"/>
  <c r="M3156" i="2"/>
  <c r="L3156" i="2"/>
  <c r="K3156" i="2"/>
  <c r="J3156" i="2"/>
  <c r="I3156" i="2"/>
  <c r="H3156" i="2"/>
  <c r="F3156" i="2"/>
  <c r="D3156" i="2"/>
  <c r="C3156" i="2"/>
  <c r="B3156" i="2"/>
  <c r="A3156" i="2"/>
  <c r="M3155" i="2"/>
  <c r="L3155" i="2"/>
  <c r="K3155" i="2"/>
  <c r="J3155" i="2"/>
  <c r="I3155" i="2"/>
  <c r="H3155" i="2"/>
  <c r="F3155" i="2"/>
  <c r="D3155" i="2"/>
  <c r="C3155" i="2"/>
  <c r="B3155" i="2"/>
  <c r="A3155" i="2"/>
  <c r="M3154" i="2"/>
  <c r="L3154" i="2"/>
  <c r="K3154" i="2"/>
  <c r="J3154" i="2"/>
  <c r="I3154" i="2"/>
  <c r="H3154" i="2"/>
  <c r="F3154" i="2"/>
  <c r="D3154" i="2"/>
  <c r="C3154" i="2"/>
  <c r="B3154" i="2"/>
  <c r="A3154" i="2"/>
  <c r="M3153" i="2"/>
  <c r="L3153" i="2"/>
  <c r="K3153" i="2"/>
  <c r="J3153" i="2"/>
  <c r="I3153" i="2"/>
  <c r="H3153" i="2"/>
  <c r="F3153" i="2"/>
  <c r="D3153" i="2"/>
  <c r="C3153" i="2"/>
  <c r="B3153" i="2"/>
  <c r="A3153" i="2"/>
  <c r="M3152" i="2"/>
  <c r="L3152" i="2"/>
  <c r="K3152" i="2"/>
  <c r="J3152" i="2"/>
  <c r="I3152" i="2"/>
  <c r="H3152" i="2"/>
  <c r="F3152" i="2"/>
  <c r="D3152" i="2"/>
  <c r="C3152" i="2"/>
  <c r="B3152" i="2"/>
  <c r="A3152" i="2"/>
  <c r="M3151" i="2"/>
  <c r="L3151" i="2"/>
  <c r="K3151" i="2"/>
  <c r="J3151" i="2"/>
  <c r="I3151" i="2"/>
  <c r="H3151" i="2"/>
  <c r="F3151" i="2"/>
  <c r="D3151" i="2"/>
  <c r="C3151" i="2"/>
  <c r="B3151" i="2"/>
  <c r="A3151" i="2"/>
  <c r="M3150" i="2"/>
  <c r="L3150" i="2"/>
  <c r="K3150" i="2"/>
  <c r="J3150" i="2"/>
  <c r="I3150" i="2"/>
  <c r="H3150" i="2"/>
  <c r="F3150" i="2"/>
  <c r="D3150" i="2"/>
  <c r="C3150" i="2"/>
  <c r="B3150" i="2"/>
  <c r="A3150" i="2"/>
  <c r="M3149" i="2"/>
  <c r="L3149" i="2"/>
  <c r="K3149" i="2"/>
  <c r="J3149" i="2"/>
  <c r="I3149" i="2"/>
  <c r="H3149" i="2"/>
  <c r="F3149" i="2"/>
  <c r="D3149" i="2"/>
  <c r="C3149" i="2"/>
  <c r="B3149" i="2"/>
  <c r="A3149" i="2"/>
  <c r="M3148" i="2"/>
  <c r="L3148" i="2"/>
  <c r="K3148" i="2"/>
  <c r="J3148" i="2"/>
  <c r="I3148" i="2"/>
  <c r="H3148" i="2"/>
  <c r="F3148" i="2"/>
  <c r="D3148" i="2"/>
  <c r="C3148" i="2"/>
  <c r="B3148" i="2"/>
  <c r="A3148" i="2"/>
  <c r="M3147" i="2"/>
  <c r="L3147" i="2"/>
  <c r="K3147" i="2"/>
  <c r="J3147" i="2"/>
  <c r="I3147" i="2"/>
  <c r="H3147" i="2"/>
  <c r="F3147" i="2"/>
  <c r="D3147" i="2"/>
  <c r="C3147" i="2"/>
  <c r="B3147" i="2"/>
  <c r="A3147" i="2"/>
  <c r="M3146" i="2"/>
  <c r="L3146" i="2"/>
  <c r="K3146" i="2"/>
  <c r="J3146" i="2"/>
  <c r="I3146" i="2"/>
  <c r="H3146" i="2"/>
  <c r="F3146" i="2"/>
  <c r="D3146" i="2"/>
  <c r="C3146" i="2"/>
  <c r="B3146" i="2"/>
  <c r="A3146" i="2"/>
  <c r="M3145" i="2"/>
  <c r="L3145" i="2"/>
  <c r="K3145" i="2"/>
  <c r="J3145" i="2"/>
  <c r="I3145" i="2"/>
  <c r="H3145" i="2"/>
  <c r="F3145" i="2"/>
  <c r="D3145" i="2"/>
  <c r="C3145" i="2"/>
  <c r="B3145" i="2"/>
  <c r="A3145" i="2"/>
  <c r="M3144" i="2"/>
  <c r="L3144" i="2"/>
  <c r="K3144" i="2"/>
  <c r="J3144" i="2"/>
  <c r="I3144" i="2"/>
  <c r="H3144" i="2"/>
  <c r="F3144" i="2"/>
  <c r="D3144" i="2"/>
  <c r="C3144" i="2"/>
  <c r="B3144" i="2"/>
  <c r="A3144" i="2"/>
  <c r="M3143" i="2"/>
  <c r="L3143" i="2"/>
  <c r="K3143" i="2"/>
  <c r="J3143" i="2"/>
  <c r="I3143" i="2"/>
  <c r="H3143" i="2"/>
  <c r="F3143" i="2"/>
  <c r="D3143" i="2"/>
  <c r="C3143" i="2"/>
  <c r="B3143" i="2"/>
  <c r="A3143" i="2"/>
  <c r="M3142" i="2"/>
  <c r="L3142" i="2"/>
  <c r="K3142" i="2"/>
  <c r="J3142" i="2"/>
  <c r="I3142" i="2"/>
  <c r="H3142" i="2"/>
  <c r="F3142" i="2"/>
  <c r="D3142" i="2"/>
  <c r="C3142" i="2"/>
  <c r="B3142" i="2"/>
  <c r="A3142" i="2"/>
  <c r="M3141" i="2"/>
  <c r="L3141" i="2"/>
  <c r="K3141" i="2"/>
  <c r="J3141" i="2"/>
  <c r="I3141" i="2"/>
  <c r="H3141" i="2"/>
  <c r="F3141" i="2"/>
  <c r="D3141" i="2"/>
  <c r="C3141" i="2"/>
  <c r="B3141" i="2"/>
  <c r="A3141" i="2"/>
  <c r="M3140" i="2"/>
  <c r="L3140" i="2"/>
  <c r="K3140" i="2"/>
  <c r="J3140" i="2"/>
  <c r="I3140" i="2"/>
  <c r="H3140" i="2"/>
  <c r="F3140" i="2"/>
  <c r="D3140" i="2"/>
  <c r="C3140" i="2"/>
  <c r="B3140" i="2"/>
  <c r="A3140" i="2"/>
  <c r="M3139" i="2"/>
  <c r="L3139" i="2"/>
  <c r="K3139" i="2"/>
  <c r="J3139" i="2"/>
  <c r="I3139" i="2"/>
  <c r="H3139" i="2"/>
  <c r="G3139" i="2"/>
  <c r="F3139" i="2"/>
  <c r="D3139" i="2"/>
  <c r="C3139" i="2"/>
  <c r="B3139" i="2"/>
  <c r="A3139" i="2"/>
  <c r="M3138" i="2"/>
  <c r="L3138" i="2"/>
  <c r="K3138" i="2"/>
  <c r="J3138" i="2"/>
  <c r="I3138" i="2"/>
  <c r="H3138" i="2"/>
  <c r="F3138" i="2"/>
  <c r="D3138" i="2"/>
  <c r="C3138" i="2"/>
  <c r="B3138" i="2"/>
  <c r="A3138" i="2"/>
  <c r="M3137" i="2"/>
  <c r="L3137" i="2"/>
  <c r="K3137" i="2"/>
  <c r="J3137" i="2"/>
  <c r="I3137" i="2"/>
  <c r="H3137" i="2"/>
  <c r="F3137" i="2"/>
  <c r="D3137" i="2"/>
  <c r="C3137" i="2"/>
  <c r="B3137" i="2"/>
  <c r="A3137" i="2"/>
  <c r="M3136" i="2"/>
  <c r="L3136" i="2"/>
  <c r="K3136" i="2"/>
  <c r="J3136" i="2"/>
  <c r="I3136" i="2"/>
  <c r="H3136" i="2"/>
  <c r="F3136" i="2"/>
  <c r="D3136" i="2"/>
  <c r="C3136" i="2"/>
  <c r="B3136" i="2"/>
  <c r="A3136" i="2"/>
  <c r="M3135" i="2"/>
  <c r="L3135" i="2"/>
  <c r="K3135" i="2"/>
  <c r="J3135" i="2"/>
  <c r="I3135" i="2"/>
  <c r="H3135" i="2"/>
  <c r="F3135" i="2"/>
  <c r="D3135" i="2"/>
  <c r="C3135" i="2"/>
  <c r="B3135" i="2"/>
  <c r="A3135" i="2"/>
  <c r="M3134" i="2"/>
  <c r="L3134" i="2"/>
  <c r="K3134" i="2"/>
  <c r="J3134" i="2"/>
  <c r="I3134" i="2"/>
  <c r="H3134" i="2"/>
  <c r="F3134" i="2"/>
  <c r="D3134" i="2"/>
  <c r="C3134" i="2"/>
  <c r="B3134" i="2"/>
  <c r="A3134" i="2"/>
  <c r="M3133" i="2"/>
  <c r="L3133" i="2"/>
  <c r="K3133" i="2"/>
  <c r="J3133" i="2"/>
  <c r="I3133" i="2"/>
  <c r="H3133" i="2"/>
  <c r="F3133" i="2"/>
  <c r="D3133" i="2"/>
  <c r="C3133" i="2"/>
  <c r="B3133" i="2"/>
  <c r="A3133" i="2"/>
  <c r="M3132" i="2"/>
  <c r="L3132" i="2"/>
  <c r="K3132" i="2"/>
  <c r="J3132" i="2"/>
  <c r="I3132" i="2"/>
  <c r="H3132" i="2"/>
  <c r="F3132" i="2"/>
  <c r="D3132" i="2"/>
  <c r="C3132" i="2"/>
  <c r="B3132" i="2"/>
  <c r="A3132" i="2"/>
  <c r="M3131" i="2"/>
  <c r="L3131" i="2"/>
  <c r="K3131" i="2"/>
  <c r="J3131" i="2"/>
  <c r="I3131" i="2"/>
  <c r="H3131" i="2"/>
  <c r="F3131" i="2"/>
  <c r="D3131" i="2"/>
  <c r="C3131" i="2"/>
  <c r="B3131" i="2"/>
  <c r="A3131" i="2"/>
  <c r="M3130" i="2"/>
  <c r="L3130" i="2"/>
  <c r="K3130" i="2"/>
  <c r="J3130" i="2"/>
  <c r="I3130" i="2"/>
  <c r="H3130" i="2"/>
  <c r="F3130" i="2"/>
  <c r="D3130" i="2"/>
  <c r="C3130" i="2"/>
  <c r="B3130" i="2"/>
  <c r="A3130" i="2"/>
  <c r="M3129" i="2"/>
  <c r="L3129" i="2"/>
  <c r="K3129" i="2"/>
  <c r="J3129" i="2"/>
  <c r="I3129" i="2"/>
  <c r="H3129" i="2"/>
  <c r="F3129" i="2"/>
  <c r="D3129" i="2"/>
  <c r="C3129" i="2"/>
  <c r="B3129" i="2"/>
  <c r="A3129" i="2"/>
  <c r="M3128" i="2"/>
  <c r="L3128" i="2"/>
  <c r="K3128" i="2"/>
  <c r="J3128" i="2"/>
  <c r="I3128" i="2"/>
  <c r="H3128" i="2"/>
  <c r="F3128" i="2"/>
  <c r="D3128" i="2"/>
  <c r="C3128" i="2"/>
  <c r="B3128" i="2"/>
  <c r="A3128" i="2"/>
  <c r="M3127" i="2"/>
  <c r="L3127" i="2"/>
  <c r="K3127" i="2"/>
  <c r="J3127" i="2"/>
  <c r="I3127" i="2"/>
  <c r="H3127" i="2"/>
  <c r="F3127" i="2"/>
  <c r="D3127" i="2"/>
  <c r="C3127" i="2"/>
  <c r="B3127" i="2"/>
  <c r="A3127" i="2"/>
  <c r="M3126" i="2"/>
  <c r="L3126" i="2"/>
  <c r="K3126" i="2"/>
  <c r="J3126" i="2"/>
  <c r="I3126" i="2"/>
  <c r="H3126" i="2"/>
  <c r="F3126" i="2"/>
  <c r="D3126" i="2"/>
  <c r="C3126" i="2"/>
  <c r="B3126" i="2"/>
  <c r="A3126" i="2"/>
  <c r="M3125" i="2"/>
  <c r="L3125" i="2"/>
  <c r="K3125" i="2"/>
  <c r="J3125" i="2"/>
  <c r="I3125" i="2"/>
  <c r="H3125" i="2"/>
  <c r="F3125" i="2"/>
  <c r="D3125" i="2"/>
  <c r="C3125" i="2"/>
  <c r="B3125" i="2"/>
  <c r="A3125" i="2"/>
  <c r="M3124" i="2"/>
  <c r="L3124" i="2"/>
  <c r="K3124" i="2"/>
  <c r="J3124" i="2"/>
  <c r="I3124" i="2"/>
  <c r="H3124" i="2"/>
  <c r="F3124" i="2"/>
  <c r="D3124" i="2"/>
  <c r="C3124" i="2"/>
  <c r="B3124" i="2"/>
  <c r="A3124" i="2"/>
  <c r="M3123" i="2"/>
  <c r="L3123" i="2"/>
  <c r="K3123" i="2"/>
  <c r="J3123" i="2"/>
  <c r="I3123" i="2"/>
  <c r="H3123" i="2"/>
  <c r="F3123" i="2"/>
  <c r="D3123" i="2"/>
  <c r="C3123" i="2"/>
  <c r="B3123" i="2"/>
  <c r="A3123" i="2"/>
  <c r="M3122" i="2"/>
  <c r="L3122" i="2"/>
  <c r="K3122" i="2"/>
  <c r="I3122" i="2"/>
  <c r="H3122" i="2"/>
  <c r="G3122" i="2"/>
  <c r="F3122" i="2"/>
  <c r="D3122" i="2"/>
  <c r="C3122" i="2"/>
  <c r="B3122" i="2"/>
  <c r="A3122" i="2"/>
  <c r="M3121" i="2"/>
  <c r="L3121" i="2"/>
  <c r="K3121" i="2"/>
  <c r="J3121" i="2"/>
  <c r="I3121" i="2"/>
  <c r="H3121" i="2"/>
  <c r="F3121" i="2"/>
  <c r="D3121" i="2"/>
  <c r="C3121" i="2"/>
  <c r="B3121" i="2"/>
  <c r="A3121" i="2"/>
  <c r="M3120" i="2"/>
  <c r="L3120" i="2"/>
  <c r="K3120" i="2"/>
  <c r="J3120" i="2"/>
  <c r="I3120" i="2"/>
  <c r="H3120" i="2"/>
  <c r="F3120" i="2"/>
  <c r="D3120" i="2"/>
  <c r="C3120" i="2"/>
  <c r="B3120" i="2"/>
  <c r="A3120" i="2"/>
  <c r="M3119" i="2"/>
  <c r="L3119" i="2"/>
  <c r="K3119" i="2"/>
  <c r="J3119" i="2"/>
  <c r="I3119" i="2"/>
  <c r="H3119" i="2"/>
  <c r="F3119" i="2"/>
  <c r="D3119" i="2"/>
  <c r="C3119" i="2"/>
  <c r="B3119" i="2"/>
  <c r="A3119" i="2"/>
  <c r="M3118" i="2"/>
  <c r="L3118" i="2"/>
  <c r="K3118" i="2"/>
  <c r="J3118" i="2"/>
  <c r="I3118" i="2"/>
  <c r="H3118" i="2"/>
  <c r="F3118" i="2"/>
  <c r="D3118" i="2"/>
  <c r="C3118" i="2"/>
  <c r="B3118" i="2"/>
  <c r="A3118" i="2"/>
  <c r="M3117" i="2"/>
  <c r="L3117" i="2"/>
  <c r="K3117" i="2"/>
  <c r="J3117" i="2"/>
  <c r="I3117" i="2"/>
  <c r="H3117" i="2"/>
  <c r="F3117" i="2"/>
  <c r="D3117" i="2"/>
  <c r="C3117" i="2"/>
  <c r="B3117" i="2"/>
  <c r="A3117" i="2"/>
  <c r="M3116" i="2"/>
  <c r="K3116" i="2"/>
  <c r="J3116" i="2"/>
  <c r="I3116" i="2"/>
  <c r="H3116" i="2"/>
  <c r="F3116" i="2"/>
  <c r="D3116" i="2"/>
  <c r="C3116" i="2"/>
  <c r="B3116" i="2"/>
  <c r="A3116" i="2"/>
  <c r="M3115" i="2"/>
  <c r="L3115" i="2"/>
  <c r="K3115" i="2"/>
  <c r="J3115" i="2"/>
  <c r="I3115" i="2"/>
  <c r="H3115" i="2"/>
  <c r="F3115" i="2"/>
  <c r="D3115" i="2"/>
  <c r="C3115" i="2"/>
  <c r="B3115" i="2"/>
  <c r="A3115" i="2"/>
  <c r="M3114" i="2"/>
  <c r="L3114" i="2"/>
  <c r="K3114" i="2"/>
  <c r="J3114" i="2"/>
  <c r="I3114" i="2"/>
  <c r="H3114" i="2"/>
  <c r="F3114" i="2"/>
  <c r="D3114" i="2"/>
  <c r="C3114" i="2"/>
  <c r="B3114" i="2"/>
  <c r="A3114" i="2"/>
  <c r="M3113" i="2"/>
  <c r="L3113" i="2"/>
  <c r="K3113" i="2"/>
  <c r="J3113" i="2"/>
  <c r="I3113" i="2"/>
  <c r="H3113" i="2"/>
  <c r="F3113" i="2"/>
  <c r="D3113" i="2"/>
  <c r="C3113" i="2"/>
  <c r="B3113" i="2"/>
  <c r="A3113" i="2"/>
  <c r="M3112" i="2"/>
  <c r="L3112" i="2"/>
  <c r="K3112" i="2"/>
  <c r="J3112" i="2"/>
  <c r="I3112" i="2"/>
  <c r="H3112" i="2"/>
  <c r="F3112" i="2"/>
  <c r="D3112" i="2"/>
  <c r="C3112" i="2"/>
  <c r="B3112" i="2"/>
  <c r="A3112" i="2"/>
  <c r="M3111" i="2"/>
  <c r="L3111" i="2"/>
  <c r="K3111" i="2"/>
  <c r="J3111" i="2"/>
  <c r="I3111" i="2"/>
  <c r="H3111" i="2"/>
  <c r="F3111" i="2"/>
  <c r="D3111" i="2"/>
  <c r="C3111" i="2"/>
  <c r="B3111" i="2"/>
  <c r="A3111" i="2"/>
  <c r="M3110" i="2"/>
  <c r="L3110" i="2"/>
  <c r="K3110" i="2"/>
  <c r="J3110" i="2"/>
  <c r="I3110" i="2"/>
  <c r="H3110" i="2"/>
  <c r="F3110" i="2"/>
  <c r="D3110" i="2"/>
  <c r="C3110" i="2"/>
  <c r="B3110" i="2"/>
  <c r="A3110" i="2"/>
  <c r="M3109" i="2"/>
  <c r="L3109" i="2"/>
  <c r="K3109" i="2"/>
  <c r="J3109" i="2"/>
  <c r="I3109" i="2"/>
  <c r="H3109" i="2"/>
  <c r="F3109" i="2"/>
  <c r="D3109" i="2"/>
  <c r="C3109" i="2"/>
  <c r="B3109" i="2"/>
  <c r="A3109" i="2"/>
  <c r="M3108" i="2"/>
  <c r="L3108" i="2"/>
  <c r="K3108" i="2"/>
  <c r="J3108" i="2"/>
  <c r="I3108" i="2"/>
  <c r="H3108" i="2"/>
  <c r="F3108" i="2"/>
  <c r="D3108" i="2"/>
  <c r="C3108" i="2"/>
  <c r="B3108" i="2"/>
  <c r="A3108" i="2"/>
  <c r="M3107" i="2"/>
  <c r="L3107" i="2"/>
  <c r="K3107" i="2"/>
  <c r="J3107" i="2"/>
  <c r="I3107" i="2"/>
  <c r="H3107" i="2"/>
  <c r="F3107" i="2"/>
  <c r="D3107" i="2"/>
  <c r="C3107" i="2"/>
  <c r="B3107" i="2"/>
  <c r="A3107" i="2"/>
  <c r="M3106" i="2"/>
  <c r="L3106" i="2"/>
  <c r="K3106" i="2"/>
  <c r="J3106" i="2"/>
  <c r="I3106" i="2"/>
  <c r="H3106" i="2"/>
  <c r="F3106" i="2"/>
  <c r="D3106" i="2"/>
  <c r="C3106" i="2"/>
  <c r="B3106" i="2"/>
  <c r="A3106" i="2"/>
  <c r="M3105" i="2"/>
  <c r="L3105" i="2"/>
  <c r="K3105" i="2"/>
  <c r="J3105" i="2"/>
  <c r="I3105" i="2"/>
  <c r="H3105" i="2"/>
  <c r="G3105" i="2"/>
  <c r="F3105" i="2"/>
  <c r="D3105" i="2"/>
  <c r="C3105" i="2"/>
  <c r="B3105" i="2"/>
  <c r="A3105" i="2"/>
  <c r="M3104" i="2"/>
  <c r="L3104" i="2"/>
  <c r="K3104" i="2"/>
  <c r="I3104" i="2"/>
  <c r="H3104" i="2"/>
  <c r="F3104" i="2"/>
  <c r="D3104" i="2"/>
  <c r="C3104" i="2"/>
  <c r="B3104" i="2"/>
  <c r="A3104" i="2"/>
  <c r="M3103" i="2"/>
  <c r="L3103" i="2"/>
  <c r="K3103" i="2"/>
  <c r="I3103" i="2"/>
  <c r="H3103" i="2"/>
  <c r="F3103" i="2"/>
  <c r="D3103" i="2"/>
  <c r="C3103" i="2"/>
  <c r="B3103" i="2"/>
  <c r="A3103" i="2"/>
  <c r="M3102" i="2"/>
  <c r="L3102" i="2"/>
  <c r="K3102" i="2"/>
  <c r="I3102" i="2"/>
  <c r="H3102" i="2"/>
  <c r="F3102" i="2"/>
  <c r="D3102" i="2"/>
  <c r="C3102" i="2"/>
  <c r="B3102" i="2"/>
  <c r="A3102" i="2"/>
  <c r="M3101" i="2"/>
  <c r="L3101" i="2"/>
  <c r="K3101" i="2"/>
  <c r="J3101" i="2"/>
  <c r="I3101" i="2"/>
  <c r="H3101" i="2"/>
  <c r="G3101" i="2"/>
  <c r="F3101" i="2"/>
  <c r="D3101" i="2"/>
  <c r="C3101" i="2"/>
  <c r="B3101" i="2"/>
  <c r="A3101" i="2"/>
  <c r="M3100" i="2"/>
  <c r="L3100" i="2"/>
  <c r="K3100" i="2"/>
  <c r="J3100" i="2"/>
  <c r="I3100" i="2"/>
  <c r="H3100" i="2"/>
  <c r="G3100" i="2"/>
  <c r="F3100" i="2"/>
  <c r="D3100" i="2"/>
  <c r="C3100" i="2"/>
  <c r="B3100" i="2"/>
  <c r="A3100" i="2"/>
  <c r="M3099" i="2"/>
  <c r="L3099" i="2"/>
  <c r="K3099" i="2"/>
  <c r="J3099" i="2"/>
  <c r="I3099" i="2"/>
  <c r="H3099" i="2"/>
  <c r="G3099" i="2"/>
  <c r="F3099" i="2"/>
  <c r="D3099" i="2"/>
  <c r="C3099" i="2"/>
  <c r="B3099" i="2"/>
  <c r="A3099" i="2"/>
  <c r="M3098" i="2"/>
  <c r="L3098" i="2"/>
  <c r="K3098" i="2"/>
  <c r="J3098" i="2"/>
  <c r="I3098" i="2"/>
  <c r="H3098" i="2"/>
  <c r="G3098" i="2"/>
  <c r="F3098" i="2"/>
  <c r="D3098" i="2"/>
  <c r="C3098" i="2"/>
  <c r="B3098" i="2"/>
  <c r="A3098" i="2"/>
  <c r="K3097" i="2"/>
  <c r="H3097" i="2"/>
  <c r="F3097" i="2"/>
  <c r="D3097" i="2"/>
  <c r="C3097" i="2"/>
  <c r="B3097" i="2"/>
  <c r="A3097" i="2"/>
  <c r="K3096" i="2"/>
  <c r="H3096" i="2"/>
  <c r="F3096" i="2"/>
  <c r="D3096" i="2"/>
  <c r="C3096" i="2"/>
  <c r="B3096" i="2"/>
  <c r="A3096" i="2"/>
  <c r="K3095" i="2"/>
  <c r="H3095" i="2"/>
  <c r="F3095" i="2"/>
  <c r="D3095" i="2"/>
  <c r="C3095" i="2"/>
  <c r="B3095" i="2"/>
  <c r="A3095" i="2"/>
  <c r="K3094" i="2"/>
  <c r="H3094" i="2"/>
  <c r="F3094" i="2"/>
  <c r="D3094" i="2"/>
  <c r="C3094" i="2"/>
  <c r="B3094" i="2"/>
  <c r="A3094" i="2"/>
  <c r="K3093" i="2"/>
  <c r="H3093" i="2"/>
  <c r="F3093" i="2"/>
  <c r="D3093" i="2"/>
  <c r="C3093" i="2"/>
  <c r="B3093" i="2"/>
  <c r="A3093" i="2"/>
  <c r="K3092" i="2"/>
  <c r="H3092" i="2"/>
  <c r="F3092" i="2"/>
  <c r="D3092" i="2"/>
  <c r="C3092" i="2"/>
  <c r="B3092" i="2"/>
  <c r="A3092" i="2"/>
  <c r="K3091" i="2"/>
  <c r="H3091" i="2"/>
  <c r="F3091" i="2"/>
  <c r="D3091" i="2"/>
  <c r="C3091" i="2"/>
  <c r="B3091" i="2"/>
  <c r="A3091" i="2"/>
  <c r="K3090" i="2"/>
  <c r="H3090" i="2"/>
  <c r="F3090" i="2"/>
  <c r="D3090" i="2"/>
  <c r="C3090" i="2"/>
  <c r="B3090" i="2"/>
  <c r="A3090" i="2"/>
  <c r="K3089" i="2"/>
  <c r="H3089" i="2"/>
  <c r="F3089" i="2"/>
  <c r="D3089" i="2"/>
  <c r="C3089" i="2"/>
  <c r="B3089" i="2"/>
  <c r="A3089" i="2"/>
  <c r="K3088" i="2"/>
  <c r="H3088" i="2"/>
  <c r="F3088" i="2"/>
  <c r="D3088" i="2"/>
  <c r="C3088" i="2"/>
  <c r="B3088" i="2"/>
  <c r="A3088" i="2"/>
  <c r="K3087" i="2"/>
  <c r="H3087" i="2"/>
  <c r="F3087" i="2"/>
  <c r="D3087" i="2"/>
  <c r="C3087" i="2"/>
  <c r="B3087" i="2"/>
  <c r="A3087" i="2"/>
  <c r="K3086" i="2"/>
  <c r="H3086" i="2"/>
  <c r="F3086" i="2"/>
  <c r="D3086" i="2"/>
  <c r="C3086" i="2"/>
  <c r="B3086" i="2"/>
  <c r="A3086" i="2"/>
  <c r="K3085" i="2"/>
  <c r="H3085" i="2"/>
  <c r="F3085" i="2"/>
  <c r="D3085" i="2"/>
  <c r="C3085" i="2"/>
  <c r="B3085" i="2"/>
  <c r="A3085" i="2"/>
  <c r="K3084" i="2"/>
  <c r="H3084" i="2"/>
  <c r="F3084" i="2"/>
  <c r="D3084" i="2"/>
  <c r="C3084" i="2"/>
  <c r="B3084" i="2"/>
  <c r="A3084" i="2"/>
  <c r="K3083" i="2"/>
  <c r="H3083" i="2"/>
  <c r="F3083" i="2"/>
  <c r="D3083" i="2"/>
  <c r="C3083" i="2"/>
  <c r="B3083" i="2"/>
  <c r="A3083" i="2"/>
  <c r="K3082" i="2"/>
  <c r="H3082" i="2"/>
  <c r="F3082" i="2"/>
  <c r="D3082" i="2"/>
  <c r="C3082" i="2"/>
  <c r="B3082" i="2"/>
  <c r="A3082" i="2"/>
  <c r="K3081" i="2"/>
  <c r="H3081" i="2"/>
  <c r="F3081" i="2"/>
  <c r="D3081" i="2"/>
  <c r="C3081" i="2"/>
  <c r="B3081" i="2"/>
  <c r="A3081" i="2"/>
  <c r="K3080" i="2"/>
  <c r="H3080" i="2"/>
  <c r="F3080" i="2"/>
  <c r="D3080" i="2"/>
  <c r="C3080" i="2"/>
  <c r="B3080" i="2"/>
  <c r="A3080" i="2"/>
  <c r="K3079" i="2"/>
  <c r="H3079" i="2"/>
  <c r="F3079" i="2"/>
  <c r="D3079" i="2"/>
  <c r="C3079" i="2"/>
  <c r="B3079" i="2"/>
  <c r="A3079" i="2"/>
  <c r="K3078" i="2"/>
  <c r="H3078" i="2"/>
  <c r="F3078" i="2"/>
  <c r="D3078" i="2"/>
  <c r="C3078" i="2"/>
  <c r="B3078" i="2"/>
  <c r="A3078" i="2"/>
  <c r="K3077" i="2"/>
  <c r="H3077" i="2"/>
  <c r="F3077" i="2"/>
  <c r="D3077" i="2"/>
  <c r="C3077" i="2"/>
  <c r="B3077" i="2"/>
  <c r="A3077" i="2"/>
  <c r="K3076" i="2"/>
  <c r="H3076" i="2"/>
  <c r="F3076" i="2"/>
  <c r="D3076" i="2"/>
  <c r="C3076" i="2"/>
  <c r="B3076" i="2"/>
  <c r="A3076" i="2"/>
  <c r="K3075" i="2"/>
  <c r="H3075" i="2"/>
  <c r="F3075" i="2"/>
  <c r="D3075" i="2"/>
  <c r="C3075" i="2"/>
  <c r="B3075" i="2"/>
  <c r="A3075" i="2"/>
  <c r="K3074" i="2"/>
  <c r="H3074" i="2"/>
  <c r="F3074" i="2"/>
  <c r="D3074" i="2"/>
  <c r="C3074" i="2"/>
  <c r="B3074" i="2"/>
  <c r="A3074" i="2"/>
  <c r="K3073" i="2"/>
  <c r="H3073" i="2"/>
  <c r="F3073" i="2"/>
  <c r="D3073" i="2"/>
  <c r="C3073" i="2"/>
  <c r="B3073" i="2"/>
  <c r="A3073" i="2"/>
  <c r="K3072" i="2"/>
  <c r="H3072" i="2"/>
  <c r="F3072" i="2"/>
  <c r="D3072" i="2"/>
  <c r="C3072" i="2"/>
  <c r="B3072" i="2"/>
  <c r="A3072" i="2"/>
  <c r="M3071" i="2"/>
  <c r="L3071" i="2"/>
  <c r="K3071" i="2"/>
  <c r="J3071" i="2"/>
  <c r="I3071" i="2"/>
  <c r="H3071" i="2"/>
  <c r="F3071" i="2"/>
  <c r="D3071" i="2"/>
  <c r="C3071" i="2"/>
  <c r="B3071" i="2"/>
  <c r="A3071" i="2"/>
  <c r="M3070" i="2"/>
  <c r="L3070" i="2"/>
  <c r="K3070" i="2"/>
  <c r="J3070" i="2"/>
  <c r="I3070" i="2"/>
  <c r="H3070" i="2"/>
  <c r="F3070" i="2"/>
  <c r="D3070" i="2"/>
  <c r="C3070" i="2"/>
  <c r="B3070" i="2"/>
  <c r="A3070" i="2"/>
  <c r="M3069" i="2"/>
  <c r="L3069" i="2"/>
  <c r="K3069" i="2"/>
  <c r="J3069" i="2"/>
  <c r="I3069" i="2"/>
  <c r="H3069" i="2"/>
  <c r="F3069" i="2"/>
  <c r="D3069" i="2"/>
  <c r="C3069" i="2"/>
  <c r="B3069" i="2"/>
  <c r="A3069" i="2"/>
  <c r="M3068" i="2"/>
  <c r="L3068" i="2"/>
  <c r="K3068" i="2"/>
  <c r="J3068" i="2"/>
  <c r="I3068" i="2"/>
  <c r="H3068" i="2"/>
  <c r="F3068" i="2"/>
  <c r="D3068" i="2"/>
  <c r="C3068" i="2"/>
  <c r="B3068" i="2"/>
  <c r="A3068" i="2"/>
  <c r="K3067" i="2"/>
  <c r="H3067" i="2"/>
  <c r="F3067" i="2"/>
  <c r="D3067" i="2"/>
  <c r="C3067" i="2"/>
  <c r="B3067" i="2"/>
  <c r="A3067" i="2"/>
  <c r="K3066" i="2"/>
  <c r="H3066" i="2"/>
  <c r="F3066" i="2"/>
  <c r="D3066" i="2"/>
  <c r="C3066" i="2"/>
  <c r="B3066" i="2"/>
  <c r="A3066" i="2"/>
  <c r="K3065" i="2"/>
  <c r="H3065" i="2"/>
  <c r="F3065" i="2"/>
  <c r="D3065" i="2"/>
  <c r="C3065" i="2"/>
  <c r="B3065" i="2"/>
  <c r="A3065" i="2"/>
  <c r="K3064" i="2"/>
  <c r="H3064" i="2"/>
  <c r="F3064" i="2"/>
  <c r="D3064" i="2"/>
  <c r="C3064" i="2"/>
  <c r="B3064" i="2"/>
  <c r="A3064" i="2"/>
  <c r="K3063" i="2"/>
  <c r="H3063" i="2"/>
  <c r="F3063" i="2"/>
  <c r="D3063" i="2"/>
  <c r="C3063" i="2"/>
  <c r="B3063" i="2"/>
  <c r="A3063" i="2"/>
  <c r="M3062" i="2"/>
  <c r="L3062" i="2"/>
  <c r="J3062" i="2"/>
  <c r="I3062" i="2"/>
  <c r="H3062" i="2"/>
  <c r="F3062" i="2"/>
  <c r="D3062" i="2"/>
  <c r="C3062" i="2"/>
  <c r="B3062" i="2"/>
  <c r="A3062" i="2"/>
  <c r="N3061" i="2"/>
  <c r="M3061" i="2"/>
  <c r="L3061" i="2"/>
  <c r="K3061" i="2"/>
  <c r="J3061" i="2"/>
  <c r="I3061" i="2"/>
  <c r="H3061" i="2"/>
  <c r="F3061" i="2"/>
  <c r="D3061" i="2"/>
  <c r="C3061" i="2"/>
  <c r="B3061" i="2"/>
  <c r="A3061" i="2"/>
  <c r="N3060" i="2"/>
  <c r="M3060" i="2"/>
  <c r="L3060" i="2"/>
  <c r="K3060" i="2"/>
  <c r="J3060" i="2"/>
  <c r="I3060" i="2"/>
  <c r="H3060" i="2"/>
  <c r="F3060" i="2"/>
  <c r="D3060" i="2"/>
  <c r="C3060" i="2"/>
  <c r="B3060" i="2"/>
  <c r="A3060" i="2"/>
  <c r="M3059" i="2"/>
  <c r="L3059" i="2"/>
  <c r="K3059" i="2"/>
  <c r="J3059" i="2"/>
  <c r="I3059" i="2"/>
  <c r="H3059" i="2"/>
  <c r="F3059" i="2"/>
  <c r="D3059" i="2"/>
  <c r="C3059" i="2"/>
  <c r="B3059" i="2"/>
  <c r="A3059" i="2"/>
  <c r="M3058" i="2"/>
  <c r="L3058" i="2"/>
  <c r="K3058" i="2"/>
  <c r="J3058" i="2"/>
  <c r="I3058" i="2"/>
  <c r="H3058" i="2"/>
  <c r="F3058" i="2"/>
  <c r="D3058" i="2"/>
  <c r="C3058" i="2"/>
  <c r="B3058" i="2"/>
  <c r="A3058" i="2"/>
  <c r="M3057" i="2"/>
  <c r="L3057" i="2"/>
  <c r="K3057" i="2"/>
  <c r="J3057" i="2"/>
  <c r="I3057" i="2"/>
  <c r="H3057" i="2"/>
  <c r="F3057" i="2"/>
  <c r="D3057" i="2"/>
  <c r="C3057" i="2"/>
  <c r="B3057" i="2"/>
  <c r="A3057" i="2"/>
  <c r="M3056" i="2"/>
  <c r="L3056" i="2"/>
  <c r="K3056" i="2"/>
  <c r="J3056" i="2"/>
  <c r="I3056" i="2"/>
  <c r="H3056" i="2"/>
  <c r="F3056" i="2"/>
  <c r="D3056" i="2"/>
  <c r="C3056" i="2"/>
  <c r="B3056" i="2"/>
  <c r="A3056" i="2"/>
  <c r="M3055" i="2"/>
  <c r="L3055" i="2"/>
  <c r="K3055" i="2"/>
  <c r="J3055" i="2"/>
  <c r="I3055" i="2"/>
  <c r="H3055" i="2"/>
  <c r="F3055" i="2"/>
  <c r="D3055" i="2"/>
  <c r="C3055" i="2"/>
  <c r="B3055" i="2"/>
  <c r="A3055" i="2"/>
  <c r="M3054" i="2"/>
  <c r="L3054" i="2"/>
  <c r="K3054" i="2"/>
  <c r="J3054" i="2"/>
  <c r="I3054" i="2"/>
  <c r="H3054" i="2"/>
  <c r="F3054" i="2"/>
  <c r="D3054" i="2"/>
  <c r="C3054" i="2"/>
  <c r="B3054" i="2"/>
  <c r="A3054" i="2"/>
  <c r="N3053" i="2"/>
  <c r="M3053" i="2"/>
  <c r="L3053" i="2"/>
  <c r="K3053" i="2"/>
  <c r="J3053" i="2"/>
  <c r="I3053" i="2"/>
  <c r="H3053" i="2"/>
  <c r="F3053" i="2"/>
  <c r="D3053" i="2"/>
  <c r="C3053" i="2"/>
  <c r="B3053" i="2"/>
  <c r="A3053" i="2"/>
  <c r="M3052" i="2"/>
  <c r="L3052" i="2"/>
  <c r="K3052" i="2"/>
  <c r="J3052" i="2"/>
  <c r="I3052" i="2"/>
  <c r="H3052" i="2"/>
  <c r="F3052" i="2"/>
  <c r="D3052" i="2"/>
  <c r="C3052" i="2"/>
  <c r="B3052" i="2"/>
  <c r="A3052" i="2"/>
  <c r="M3051" i="2"/>
  <c r="L3051" i="2"/>
  <c r="K3051" i="2"/>
  <c r="J3051" i="2"/>
  <c r="I3051" i="2"/>
  <c r="H3051" i="2"/>
  <c r="F3051" i="2"/>
  <c r="D3051" i="2"/>
  <c r="C3051" i="2"/>
  <c r="B3051" i="2"/>
  <c r="A3051" i="2"/>
  <c r="N3050" i="2"/>
  <c r="M3050" i="2"/>
  <c r="L3050" i="2"/>
  <c r="K3050" i="2"/>
  <c r="J3050" i="2"/>
  <c r="I3050" i="2"/>
  <c r="H3050" i="2"/>
  <c r="F3050" i="2"/>
  <c r="D3050" i="2"/>
  <c r="C3050" i="2"/>
  <c r="B3050" i="2"/>
  <c r="A3050" i="2"/>
  <c r="M3049" i="2"/>
  <c r="L3049" i="2"/>
  <c r="K3049" i="2"/>
  <c r="J3049" i="2"/>
  <c r="I3049" i="2"/>
  <c r="H3049" i="2"/>
  <c r="F3049" i="2"/>
  <c r="D3049" i="2"/>
  <c r="C3049" i="2"/>
  <c r="B3049" i="2"/>
  <c r="A3049" i="2"/>
  <c r="M3048" i="2"/>
  <c r="L3048" i="2"/>
  <c r="K3048" i="2"/>
  <c r="J3048" i="2"/>
  <c r="I3048" i="2"/>
  <c r="H3048" i="2"/>
  <c r="F3048" i="2"/>
  <c r="D3048" i="2"/>
  <c r="C3048" i="2"/>
  <c r="B3048" i="2"/>
  <c r="A3048" i="2"/>
  <c r="M3047" i="2"/>
  <c r="L3047" i="2"/>
  <c r="K3047" i="2"/>
  <c r="J3047" i="2"/>
  <c r="I3047" i="2"/>
  <c r="H3047" i="2"/>
  <c r="F3047" i="2"/>
  <c r="D3047" i="2"/>
  <c r="C3047" i="2"/>
  <c r="B3047" i="2"/>
  <c r="A3047" i="2"/>
  <c r="M3046" i="2"/>
  <c r="L3046" i="2"/>
  <c r="K3046" i="2"/>
  <c r="J3046" i="2"/>
  <c r="I3046" i="2"/>
  <c r="H3046" i="2"/>
  <c r="F3046" i="2"/>
  <c r="D3046" i="2"/>
  <c r="C3046" i="2"/>
  <c r="B3046" i="2"/>
  <c r="A3046" i="2"/>
  <c r="M3045" i="2"/>
  <c r="L3045" i="2"/>
  <c r="K3045" i="2"/>
  <c r="J3045" i="2"/>
  <c r="I3045" i="2"/>
  <c r="H3045" i="2"/>
  <c r="F3045" i="2"/>
  <c r="D3045" i="2"/>
  <c r="C3045" i="2"/>
  <c r="B3045" i="2"/>
  <c r="A3045" i="2"/>
  <c r="M3044" i="2"/>
  <c r="L3044" i="2"/>
  <c r="K3044" i="2"/>
  <c r="J3044" i="2"/>
  <c r="I3044" i="2"/>
  <c r="H3044" i="2"/>
  <c r="F3044" i="2"/>
  <c r="D3044" i="2"/>
  <c r="C3044" i="2"/>
  <c r="B3044" i="2"/>
  <c r="A3044" i="2"/>
  <c r="M3043" i="2"/>
  <c r="L3043" i="2"/>
  <c r="K3043" i="2"/>
  <c r="J3043" i="2"/>
  <c r="I3043" i="2"/>
  <c r="H3043" i="2"/>
  <c r="F3043" i="2"/>
  <c r="D3043" i="2"/>
  <c r="C3043" i="2"/>
  <c r="B3043" i="2"/>
  <c r="A3043" i="2"/>
  <c r="M3042" i="2"/>
  <c r="L3042" i="2"/>
  <c r="K3042" i="2"/>
  <c r="J3042" i="2"/>
  <c r="I3042" i="2"/>
  <c r="H3042" i="2"/>
  <c r="F3042" i="2"/>
  <c r="D3042" i="2"/>
  <c r="C3042" i="2"/>
  <c r="B3042" i="2"/>
  <c r="A3042" i="2"/>
  <c r="M3041" i="2"/>
  <c r="L3041" i="2"/>
  <c r="K3041" i="2"/>
  <c r="J3041" i="2"/>
  <c r="I3041" i="2"/>
  <c r="H3041" i="2"/>
  <c r="F3041" i="2"/>
  <c r="D3041" i="2"/>
  <c r="C3041" i="2"/>
  <c r="B3041" i="2"/>
  <c r="A3041" i="2"/>
  <c r="M3040" i="2"/>
  <c r="L3040" i="2"/>
  <c r="K3040" i="2"/>
  <c r="J3040" i="2"/>
  <c r="I3040" i="2"/>
  <c r="H3040" i="2"/>
  <c r="F3040" i="2"/>
  <c r="D3040" i="2"/>
  <c r="C3040" i="2"/>
  <c r="B3040" i="2"/>
  <c r="A3040" i="2"/>
  <c r="M3039" i="2"/>
  <c r="L3039" i="2"/>
  <c r="K3039" i="2"/>
  <c r="J3039" i="2"/>
  <c r="I3039" i="2"/>
  <c r="H3039" i="2"/>
  <c r="F3039" i="2"/>
  <c r="D3039" i="2"/>
  <c r="C3039" i="2"/>
  <c r="B3039" i="2"/>
  <c r="A3039" i="2"/>
  <c r="N3038" i="2"/>
  <c r="M3038" i="2"/>
  <c r="L3038" i="2"/>
  <c r="K3038" i="2"/>
  <c r="J3038" i="2"/>
  <c r="I3038" i="2"/>
  <c r="H3038" i="2"/>
  <c r="F3038" i="2"/>
  <c r="D3038" i="2"/>
  <c r="C3038" i="2"/>
  <c r="B3038" i="2"/>
  <c r="A3038" i="2"/>
  <c r="N3037" i="2"/>
  <c r="M3037" i="2"/>
  <c r="L3037" i="2"/>
  <c r="K3037" i="2"/>
  <c r="J3037" i="2"/>
  <c r="I3037" i="2"/>
  <c r="H3037" i="2"/>
  <c r="F3037" i="2"/>
  <c r="D3037" i="2"/>
  <c r="C3037" i="2"/>
  <c r="B3037" i="2"/>
  <c r="A3037" i="2"/>
  <c r="N3036" i="2"/>
  <c r="M3036" i="2"/>
  <c r="L3036" i="2"/>
  <c r="K3036" i="2"/>
  <c r="J3036" i="2"/>
  <c r="I3036" i="2"/>
  <c r="H3036" i="2"/>
  <c r="F3036" i="2"/>
  <c r="D3036" i="2"/>
  <c r="C3036" i="2"/>
  <c r="B3036" i="2"/>
  <c r="A3036" i="2"/>
  <c r="M3035" i="2"/>
  <c r="L3035" i="2"/>
  <c r="K3035" i="2"/>
  <c r="J3035" i="2"/>
  <c r="I3035" i="2"/>
  <c r="H3035" i="2"/>
  <c r="F3035" i="2"/>
  <c r="D3035" i="2"/>
  <c r="C3035" i="2"/>
  <c r="B3035" i="2"/>
  <c r="A3035" i="2"/>
  <c r="M3034" i="2"/>
  <c r="L3034" i="2"/>
  <c r="J3034" i="2"/>
  <c r="I3034" i="2"/>
  <c r="H3034" i="2"/>
  <c r="F3034" i="2"/>
  <c r="D3034" i="2"/>
  <c r="C3034" i="2"/>
  <c r="B3034" i="2"/>
  <c r="A3034" i="2"/>
  <c r="M3033" i="2"/>
  <c r="L3033" i="2"/>
  <c r="K3033" i="2"/>
  <c r="J3033" i="2"/>
  <c r="I3033" i="2"/>
  <c r="H3033" i="2"/>
  <c r="F3033" i="2"/>
  <c r="D3033" i="2"/>
  <c r="C3033" i="2"/>
  <c r="B3033" i="2"/>
  <c r="A3033" i="2"/>
  <c r="M3032" i="2"/>
  <c r="L3032" i="2"/>
  <c r="K3032" i="2"/>
  <c r="J3032" i="2"/>
  <c r="I3032" i="2"/>
  <c r="H3032" i="2"/>
  <c r="F3032" i="2"/>
  <c r="D3032" i="2"/>
  <c r="C3032" i="2"/>
  <c r="B3032" i="2"/>
  <c r="A3032" i="2"/>
  <c r="N3031" i="2"/>
  <c r="M3031" i="2"/>
  <c r="L3031" i="2"/>
  <c r="K3031" i="2"/>
  <c r="J3031" i="2"/>
  <c r="I3031" i="2"/>
  <c r="H3031" i="2"/>
  <c r="F3031" i="2"/>
  <c r="D3031" i="2"/>
  <c r="C3031" i="2"/>
  <c r="B3031" i="2"/>
  <c r="A3031" i="2"/>
  <c r="M3030" i="2"/>
  <c r="L3030" i="2"/>
  <c r="K3030" i="2"/>
  <c r="J3030" i="2"/>
  <c r="I3030" i="2"/>
  <c r="H3030" i="2"/>
  <c r="F3030" i="2"/>
  <c r="D3030" i="2"/>
  <c r="C3030" i="2"/>
  <c r="B3030" i="2"/>
  <c r="A3030" i="2"/>
  <c r="M3029" i="2"/>
  <c r="L3029" i="2"/>
  <c r="K3029" i="2"/>
  <c r="J3029" i="2"/>
  <c r="I3029" i="2"/>
  <c r="H3029" i="2"/>
  <c r="F3029" i="2"/>
  <c r="D3029" i="2"/>
  <c r="C3029" i="2"/>
  <c r="B3029" i="2"/>
  <c r="A3029" i="2"/>
  <c r="M3028" i="2"/>
  <c r="L3028" i="2"/>
  <c r="K3028" i="2"/>
  <c r="J3028" i="2"/>
  <c r="I3028" i="2"/>
  <c r="H3028" i="2"/>
  <c r="F3028" i="2"/>
  <c r="D3028" i="2"/>
  <c r="C3028" i="2"/>
  <c r="B3028" i="2"/>
  <c r="A3028" i="2"/>
  <c r="M3027" i="2"/>
  <c r="L3027" i="2"/>
  <c r="K3027" i="2"/>
  <c r="J3027" i="2"/>
  <c r="I3027" i="2"/>
  <c r="H3027" i="2"/>
  <c r="F3027" i="2"/>
  <c r="D3027" i="2"/>
  <c r="C3027" i="2"/>
  <c r="B3027" i="2"/>
  <c r="A3027" i="2"/>
  <c r="M3026" i="2"/>
  <c r="L3026" i="2"/>
  <c r="K3026" i="2"/>
  <c r="J3026" i="2"/>
  <c r="I3026" i="2"/>
  <c r="H3026" i="2"/>
  <c r="F3026" i="2"/>
  <c r="D3026" i="2"/>
  <c r="C3026" i="2"/>
  <c r="B3026" i="2"/>
  <c r="A3026" i="2"/>
  <c r="M3025" i="2"/>
  <c r="L3025" i="2"/>
  <c r="K3025" i="2"/>
  <c r="J3025" i="2"/>
  <c r="I3025" i="2"/>
  <c r="H3025" i="2"/>
  <c r="F3025" i="2"/>
  <c r="D3025" i="2"/>
  <c r="C3025" i="2"/>
  <c r="B3025" i="2"/>
  <c r="A3025" i="2"/>
  <c r="M3024" i="2"/>
  <c r="L3024" i="2"/>
  <c r="K3024" i="2"/>
  <c r="J3024" i="2"/>
  <c r="I3024" i="2"/>
  <c r="H3024" i="2"/>
  <c r="F3024" i="2"/>
  <c r="D3024" i="2"/>
  <c r="C3024" i="2"/>
  <c r="B3024" i="2"/>
  <c r="A3024" i="2"/>
  <c r="N3023" i="2"/>
  <c r="M3023" i="2"/>
  <c r="L3023" i="2"/>
  <c r="K3023" i="2"/>
  <c r="J3023" i="2"/>
  <c r="I3023" i="2"/>
  <c r="H3023" i="2"/>
  <c r="F3023" i="2"/>
  <c r="D3023" i="2"/>
  <c r="C3023" i="2"/>
  <c r="B3023" i="2"/>
  <c r="A3023" i="2"/>
  <c r="M3022" i="2"/>
  <c r="L3022" i="2"/>
  <c r="K3022" i="2"/>
  <c r="J3022" i="2"/>
  <c r="I3022" i="2"/>
  <c r="H3022" i="2"/>
  <c r="F3022" i="2"/>
  <c r="D3022" i="2"/>
  <c r="C3022" i="2"/>
  <c r="B3022" i="2"/>
  <c r="A3022" i="2"/>
  <c r="M3021" i="2"/>
  <c r="L3021" i="2"/>
  <c r="K3021" i="2"/>
  <c r="J3021" i="2"/>
  <c r="I3021" i="2"/>
  <c r="H3021" i="2"/>
  <c r="F3021" i="2"/>
  <c r="D3021" i="2"/>
  <c r="C3021" i="2"/>
  <c r="B3021" i="2"/>
  <c r="A3021" i="2"/>
  <c r="M3020" i="2"/>
  <c r="L3020" i="2"/>
  <c r="K3020" i="2"/>
  <c r="J3020" i="2"/>
  <c r="I3020" i="2"/>
  <c r="H3020" i="2"/>
  <c r="F3020" i="2"/>
  <c r="D3020" i="2"/>
  <c r="C3020" i="2"/>
  <c r="B3020" i="2"/>
  <c r="A3020" i="2"/>
  <c r="N3019" i="2"/>
  <c r="M3019" i="2"/>
  <c r="L3019" i="2"/>
  <c r="K3019" i="2"/>
  <c r="J3019" i="2"/>
  <c r="I3019" i="2"/>
  <c r="H3019" i="2"/>
  <c r="F3019" i="2"/>
  <c r="D3019" i="2"/>
  <c r="C3019" i="2"/>
  <c r="B3019" i="2"/>
  <c r="A3019" i="2"/>
  <c r="N3018" i="2"/>
  <c r="M3018" i="2"/>
  <c r="L3018" i="2"/>
  <c r="K3018" i="2"/>
  <c r="J3018" i="2"/>
  <c r="I3018" i="2"/>
  <c r="H3018" i="2"/>
  <c r="F3018" i="2"/>
  <c r="D3018" i="2"/>
  <c r="C3018" i="2"/>
  <c r="B3018" i="2"/>
  <c r="A3018" i="2"/>
  <c r="M3017" i="2"/>
  <c r="L3017" i="2"/>
  <c r="K3017" i="2"/>
  <c r="J3017" i="2"/>
  <c r="I3017" i="2"/>
  <c r="H3017" i="2"/>
  <c r="F3017" i="2"/>
  <c r="D3017" i="2"/>
  <c r="C3017" i="2"/>
  <c r="B3017" i="2"/>
  <c r="A3017" i="2"/>
  <c r="M3016" i="2"/>
  <c r="L3016" i="2"/>
  <c r="K3016" i="2"/>
  <c r="J3016" i="2"/>
  <c r="I3016" i="2"/>
  <c r="H3016" i="2"/>
  <c r="F3016" i="2"/>
  <c r="D3016" i="2"/>
  <c r="C3016" i="2"/>
  <c r="B3016" i="2"/>
  <c r="A3016" i="2"/>
  <c r="M3015" i="2"/>
  <c r="L3015" i="2"/>
  <c r="K3015" i="2"/>
  <c r="J3015" i="2"/>
  <c r="I3015" i="2"/>
  <c r="H3015" i="2"/>
  <c r="F3015" i="2"/>
  <c r="D3015" i="2"/>
  <c r="C3015" i="2"/>
  <c r="B3015" i="2"/>
  <c r="A3015" i="2"/>
  <c r="M3014" i="2"/>
  <c r="L3014" i="2"/>
  <c r="K3014" i="2"/>
  <c r="J3014" i="2"/>
  <c r="I3014" i="2"/>
  <c r="H3014" i="2"/>
  <c r="F3014" i="2"/>
  <c r="D3014" i="2"/>
  <c r="C3014" i="2"/>
  <c r="B3014" i="2"/>
  <c r="A3014" i="2"/>
  <c r="M3013" i="2"/>
  <c r="L3013" i="2"/>
  <c r="K3013" i="2"/>
  <c r="J3013" i="2"/>
  <c r="I3013" i="2"/>
  <c r="H3013" i="2"/>
  <c r="F3013" i="2"/>
  <c r="D3013" i="2"/>
  <c r="C3013" i="2"/>
  <c r="B3013" i="2"/>
  <c r="A3013" i="2"/>
  <c r="M3012" i="2"/>
  <c r="L3012" i="2"/>
  <c r="K3012" i="2"/>
  <c r="J3012" i="2"/>
  <c r="I3012" i="2"/>
  <c r="H3012" i="2"/>
  <c r="F3012" i="2"/>
  <c r="D3012" i="2"/>
  <c r="C3012" i="2"/>
  <c r="B3012" i="2"/>
  <c r="A3012" i="2"/>
  <c r="M3011" i="2"/>
  <c r="L3011" i="2"/>
  <c r="K3011" i="2"/>
  <c r="J3011" i="2"/>
  <c r="I3011" i="2"/>
  <c r="H3011" i="2"/>
  <c r="F3011" i="2"/>
  <c r="D3011" i="2"/>
  <c r="C3011" i="2"/>
  <c r="B3011" i="2"/>
  <c r="A3011" i="2"/>
  <c r="M3010" i="2"/>
  <c r="L3010" i="2"/>
  <c r="K3010" i="2"/>
  <c r="J3010" i="2"/>
  <c r="I3010" i="2"/>
  <c r="H3010" i="2"/>
  <c r="F3010" i="2"/>
  <c r="D3010" i="2"/>
  <c r="C3010" i="2"/>
  <c r="B3010" i="2"/>
  <c r="A3010" i="2"/>
  <c r="N3009" i="2"/>
  <c r="M3009" i="2"/>
  <c r="L3009" i="2"/>
  <c r="K3009" i="2"/>
  <c r="J3009" i="2"/>
  <c r="I3009" i="2"/>
  <c r="H3009" i="2"/>
  <c r="F3009" i="2"/>
  <c r="D3009" i="2"/>
  <c r="C3009" i="2"/>
  <c r="B3009" i="2"/>
  <c r="A3009" i="2"/>
  <c r="N3008" i="2"/>
  <c r="M3008" i="2"/>
  <c r="L3008" i="2"/>
  <c r="K3008" i="2"/>
  <c r="J3008" i="2"/>
  <c r="I3008" i="2"/>
  <c r="H3008" i="2"/>
  <c r="F3008" i="2"/>
  <c r="D3008" i="2"/>
  <c r="C3008" i="2"/>
  <c r="B3008" i="2"/>
  <c r="A3008" i="2"/>
  <c r="M3007" i="2"/>
  <c r="L3007" i="2"/>
  <c r="J3007" i="2"/>
  <c r="I3007" i="2"/>
  <c r="H3007" i="2"/>
  <c r="F3007" i="2"/>
  <c r="D3007" i="2"/>
  <c r="C3007" i="2"/>
  <c r="B3007" i="2"/>
  <c r="A3007" i="2"/>
  <c r="M3006" i="2"/>
  <c r="L3006" i="2"/>
  <c r="K3006" i="2"/>
  <c r="J3006" i="2"/>
  <c r="I3006" i="2"/>
  <c r="H3006" i="2"/>
  <c r="F3006" i="2"/>
  <c r="D3006" i="2"/>
  <c r="C3006" i="2"/>
  <c r="B3006" i="2"/>
  <c r="A3006" i="2"/>
  <c r="M3005" i="2"/>
  <c r="L3005" i="2"/>
  <c r="K3005" i="2"/>
  <c r="J3005" i="2"/>
  <c r="I3005" i="2"/>
  <c r="H3005" i="2"/>
  <c r="F3005" i="2"/>
  <c r="D3005" i="2"/>
  <c r="C3005" i="2"/>
  <c r="B3005" i="2"/>
  <c r="A3005" i="2"/>
  <c r="M3004" i="2"/>
  <c r="L3004" i="2"/>
  <c r="K3004" i="2"/>
  <c r="J3004" i="2"/>
  <c r="I3004" i="2"/>
  <c r="H3004" i="2"/>
  <c r="F3004" i="2"/>
  <c r="D3004" i="2"/>
  <c r="C3004" i="2"/>
  <c r="B3004" i="2"/>
  <c r="A3004" i="2"/>
  <c r="M3003" i="2"/>
  <c r="L3003" i="2"/>
  <c r="K3003" i="2"/>
  <c r="J3003" i="2"/>
  <c r="I3003" i="2"/>
  <c r="H3003" i="2"/>
  <c r="F3003" i="2"/>
  <c r="D3003" i="2"/>
  <c r="C3003" i="2"/>
  <c r="B3003" i="2"/>
  <c r="A3003" i="2"/>
  <c r="M3002" i="2"/>
  <c r="L3002" i="2"/>
  <c r="K3002" i="2"/>
  <c r="J3002" i="2"/>
  <c r="I3002" i="2"/>
  <c r="H3002" i="2"/>
  <c r="F3002" i="2"/>
  <c r="D3002" i="2"/>
  <c r="C3002" i="2"/>
  <c r="B3002" i="2"/>
  <c r="A3002" i="2"/>
  <c r="M3001" i="2"/>
  <c r="L3001" i="2"/>
  <c r="K3001" i="2"/>
  <c r="J3001" i="2"/>
  <c r="I3001" i="2"/>
  <c r="H3001" i="2"/>
  <c r="F3001" i="2"/>
  <c r="D3001" i="2"/>
  <c r="C3001" i="2"/>
  <c r="B3001" i="2"/>
  <c r="A3001" i="2"/>
  <c r="M3000" i="2"/>
  <c r="L3000" i="2"/>
  <c r="K3000" i="2"/>
  <c r="J3000" i="2"/>
  <c r="I3000" i="2"/>
  <c r="H3000" i="2"/>
  <c r="F3000" i="2"/>
  <c r="D3000" i="2"/>
  <c r="C3000" i="2"/>
  <c r="B3000" i="2"/>
  <c r="A3000" i="2"/>
  <c r="M2999" i="2"/>
  <c r="L2999" i="2"/>
  <c r="K2999" i="2"/>
  <c r="J2999" i="2"/>
  <c r="I2999" i="2"/>
  <c r="H2999" i="2"/>
  <c r="F2999" i="2"/>
  <c r="D2999" i="2"/>
  <c r="C2999" i="2"/>
  <c r="B2999" i="2"/>
  <c r="A2999" i="2"/>
  <c r="M2998" i="2"/>
  <c r="L2998" i="2"/>
  <c r="K2998" i="2"/>
  <c r="J2998" i="2"/>
  <c r="I2998" i="2"/>
  <c r="H2998" i="2"/>
  <c r="F2998" i="2"/>
  <c r="D2998" i="2"/>
  <c r="C2998" i="2"/>
  <c r="B2998" i="2"/>
  <c r="A2998" i="2"/>
  <c r="M2997" i="2"/>
  <c r="L2997" i="2"/>
  <c r="K2997" i="2"/>
  <c r="J2997" i="2"/>
  <c r="I2997" i="2"/>
  <c r="H2997" i="2"/>
  <c r="F2997" i="2"/>
  <c r="D2997" i="2"/>
  <c r="C2997" i="2"/>
  <c r="B2997" i="2"/>
  <c r="A2997" i="2"/>
  <c r="M2996" i="2"/>
  <c r="L2996" i="2"/>
  <c r="K2996" i="2"/>
  <c r="J2996" i="2"/>
  <c r="I2996" i="2"/>
  <c r="H2996" i="2"/>
  <c r="F2996" i="2"/>
  <c r="D2996" i="2"/>
  <c r="C2996" i="2"/>
  <c r="B2996" i="2"/>
  <c r="A2996" i="2"/>
  <c r="M2995" i="2"/>
  <c r="L2995" i="2"/>
  <c r="K2995" i="2"/>
  <c r="J2995" i="2"/>
  <c r="I2995" i="2"/>
  <c r="H2995" i="2"/>
  <c r="F2995" i="2"/>
  <c r="D2995" i="2"/>
  <c r="C2995" i="2"/>
  <c r="B2995" i="2"/>
  <c r="A2995" i="2"/>
  <c r="M2994" i="2"/>
  <c r="L2994" i="2"/>
  <c r="K2994" i="2"/>
  <c r="J2994" i="2"/>
  <c r="I2994" i="2"/>
  <c r="H2994" i="2"/>
  <c r="F2994" i="2"/>
  <c r="D2994" i="2"/>
  <c r="C2994" i="2"/>
  <c r="B2994" i="2"/>
  <c r="A2994" i="2"/>
  <c r="M2993" i="2"/>
  <c r="L2993" i="2"/>
  <c r="K2993" i="2"/>
  <c r="J2993" i="2"/>
  <c r="I2993" i="2"/>
  <c r="H2993" i="2"/>
  <c r="F2993" i="2"/>
  <c r="D2993" i="2"/>
  <c r="C2993" i="2"/>
  <c r="B2993" i="2"/>
  <c r="A2993" i="2"/>
  <c r="M2992" i="2"/>
  <c r="L2992" i="2"/>
  <c r="K2992" i="2"/>
  <c r="J2992" i="2"/>
  <c r="I2992" i="2"/>
  <c r="H2992" i="2"/>
  <c r="F2992" i="2"/>
  <c r="D2992" i="2"/>
  <c r="C2992" i="2"/>
  <c r="B2992" i="2"/>
  <c r="A2992" i="2"/>
  <c r="M2991" i="2"/>
  <c r="L2991" i="2"/>
  <c r="K2991" i="2"/>
  <c r="J2991" i="2"/>
  <c r="I2991" i="2"/>
  <c r="H2991" i="2"/>
  <c r="F2991" i="2"/>
  <c r="D2991" i="2"/>
  <c r="C2991" i="2"/>
  <c r="B2991" i="2"/>
  <c r="A2991" i="2"/>
  <c r="M2990" i="2"/>
  <c r="L2990" i="2"/>
  <c r="K2990" i="2"/>
  <c r="J2990" i="2"/>
  <c r="I2990" i="2"/>
  <c r="H2990" i="2"/>
  <c r="F2990" i="2"/>
  <c r="D2990" i="2"/>
  <c r="C2990" i="2"/>
  <c r="B2990" i="2"/>
  <c r="A2990" i="2"/>
  <c r="M2989" i="2"/>
  <c r="L2989" i="2"/>
  <c r="K2989" i="2"/>
  <c r="J2989" i="2"/>
  <c r="I2989" i="2"/>
  <c r="H2989" i="2"/>
  <c r="F2989" i="2"/>
  <c r="D2989" i="2"/>
  <c r="C2989" i="2"/>
  <c r="B2989" i="2"/>
  <c r="A2989" i="2"/>
  <c r="M2988" i="2"/>
  <c r="L2988" i="2"/>
  <c r="K2988" i="2"/>
  <c r="J2988" i="2"/>
  <c r="I2988" i="2"/>
  <c r="H2988" i="2"/>
  <c r="F2988" i="2"/>
  <c r="D2988" i="2"/>
  <c r="C2988" i="2"/>
  <c r="B2988" i="2"/>
  <c r="A2988" i="2"/>
  <c r="M2987" i="2"/>
  <c r="L2987" i="2"/>
  <c r="K2987" i="2"/>
  <c r="J2987" i="2"/>
  <c r="I2987" i="2"/>
  <c r="H2987" i="2"/>
  <c r="F2987" i="2"/>
  <c r="D2987" i="2"/>
  <c r="C2987" i="2"/>
  <c r="B2987" i="2"/>
  <c r="A2987" i="2"/>
  <c r="M2986" i="2"/>
  <c r="L2986" i="2"/>
  <c r="K2986" i="2"/>
  <c r="J2986" i="2"/>
  <c r="I2986" i="2"/>
  <c r="H2986" i="2"/>
  <c r="F2986" i="2"/>
  <c r="D2986" i="2"/>
  <c r="C2986" i="2"/>
  <c r="B2986" i="2"/>
  <c r="A2986" i="2"/>
  <c r="M2985" i="2"/>
  <c r="L2985" i="2"/>
  <c r="K2985" i="2"/>
  <c r="J2985" i="2"/>
  <c r="I2985" i="2"/>
  <c r="H2985" i="2"/>
  <c r="F2985" i="2"/>
  <c r="D2985" i="2"/>
  <c r="C2985" i="2"/>
  <c r="B2985" i="2"/>
  <c r="A2985" i="2"/>
  <c r="M2984" i="2"/>
  <c r="L2984" i="2"/>
  <c r="K2984" i="2"/>
  <c r="J2984" i="2"/>
  <c r="I2984" i="2"/>
  <c r="H2984" i="2"/>
  <c r="F2984" i="2"/>
  <c r="D2984" i="2"/>
  <c r="C2984" i="2"/>
  <c r="B2984" i="2"/>
  <c r="A2984" i="2"/>
  <c r="M2983" i="2"/>
  <c r="L2983" i="2"/>
  <c r="K2983" i="2"/>
  <c r="J2983" i="2"/>
  <c r="I2983" i="2"/>
  <c r="H2983" i="2"/>
  <c r="F2983" i="2"/>
  <c r="D2983" i="2"/>
  <c r="C2983" i="2"/>
  <c r="B2983" i="2"/>
  <c r="A2983" i="2"/>
  <c r="M2982" i="2"/>
  <c r="L2982" i="2"/>
  <c r="K2982" i="2"/>
  <c r="J2982" i="2"/>
  <c r="I2982" i="2"/>
  <c r="H2982" i="2"/>
  <c r="F2982" i="2"/>
  <c r="D2982" i="2"/>
  <c r="C2982" i="2"/>
  <c r="B2982" i="2"/>
  <c r="A2982" i="2"/>
  <c r="M2981" i="2"/>
  <c r="L2981" i="2"/>
  <c r="K2981" i="2"/>
  <c r="J2981" i="2"/>
  <c r="I2981" i="2"/>
  <c r="H2981" i="2"/>
  <c r="F2981" i="2"/>
  <c r="D2981" i="2"/>
  <c r="C2981" i="2"/>
  <c r="B2981" i="2"/>
  <c r="A2981" i="2"/>
  <c r="M2980" i="2"/>
  <c r="L2980" i="2"/>
  <c r="K2980" i="2"/>
  <c r="J2980" i="2"/>
  <c r="I2980" i="2"/>
  <c r="H2980" i="2"/>
  <c r="F2980" i="2"/>
  <c r="D2980" i="2"/>
  <c r="C2980" i="2"/>
  <c r="B2980" i="2"/>
  <c r="A2980" i="2"/>
  <c r="N2979" i="2"/>
  <c r="M2979" i="2"/>
  <c r="L2979" i="2"/>
  <c r="K2979" i="2"/>
  <c r="J2979" i="2"/>
  <c r="I2979" i="2"/>
  <c r="H2979" i="2"/>
  <c r="F2979" i="2"/>
  <c r="D2979" i="2"/>
  <c r="C2979" i="2"/>
  <c r="B2979" i="2"/>
  <c r="A2979" i="2"/>
  <c r="N2978" i="2"/>
  <c r="M2978" i="2"/>
  <c r="L2978" i="2"/>
  <c r="K2978" i="2"/>
  <c r="J2978" i="2"/>
  <c r="I2978" i="2"/>
  <c r="H2978" i="2"/>
  <c r="F2978" i="2"/>
  <c r="D2978" i="2"/>
  <c r="C2978" i="2"/>
  <c r="B2978" i="2"/>
  <c r="A2978" i="2"/>
  <c r="N2977" i="2"/>
  <c r="M2977" i="2"/>
  <c r="L2977" i="2"/>
  <c r="K2977" i="2"/>
  <c r="J2977" i="2"/>
  <c r="I2977" i="2"/>
  <c r="H2977" i="2"/>
  <c r="F2977" i="2"/>
  <c r="D2977" i="2"/>
  <c r="C2977" i="2"/>
  <c r="B2977" i="2"/>
  <c r="A2977" i="2"/>
  <c r="M2976" i="2"/>
  <c r="L2976" i="2"/>
  <c r="K2976" i="2"/>
  <c r="J2976" i="2"/>
  <c r="I2976" i="2"/>
  <c r="H2976" i="2"/>
  <c r="F2976" i="2"/>
  <c r="D2976" i="2"/>
  <c r="C2976" i="2"/>
  <c r="B2976" i="2"/>
  <c r="A2976" i="2"/>
  <c r="M2975" i="2"/>
  <c r="L2975" i="2"/>
  <c r="K2975" i="2"/>
  <c r="J2975" i="2"/>
  <c r="I2975" i="2"/>
  <c r="H2975" i="2"/>
  <c r="F2975" i="2"/>
  <c r="D2975" i="2"/>
  <c r="C2975" i="2"/>
  <c r="B2975" i="2"/>
  <c r="A2975" i="2"/>
  <c r="M2974" i="2"/>
  <c r="L2974" i="2"/>
  <c r="K2974" i="2"/>
  <c r="J2974" i="2"/>
  <c r="H2974" i="2"/>
  <c r="F2974" i="2"/>
  <c r="D2974" i="2"/>
  <c r="C2974" i="2"/>
  <c r="B2974" i="2"/>
  <c r="A2974" i="2"/>
  <c r="N2973" i="2"/>
  <c r="M2973" i="2"/>
  <c r="L2973" i="2"/>
  <c r="K2973" i="2"/>
  <c r="J2973" i="2"/>
  <c r="I2973" i="2"/>
  <c r="H2973" i="2"/>
  <c r="F2973" i="2"/>
  <c r="D2973" i="2"/>
  <c r="C2973" i="2"/>
  <c r="B2973" i="2"/>
  <c r="A2973" i="2"/>
  <c r="M2972" i="2"/>
  <c r="L2972" i="2"/>
  <c r="K2972" i="2"/>
  <c r="J2972" i="2"/>
  <c r="I2972" i="2"/>
  <c r="H2972" i="2"/>
  <c r="F2972" i="2"/>
  <c r="D2972" i="2"/>
  <c r="C2972" i="2"/>
  <c r="B2972" i="2"/>
  <c r="A2972" i="2"/>
  <c r="M2971" i="2"/>
  <c r="L2971" i="2"/>
  <c r="K2971" i="2"/>
  <c r="J2971" i="2"/>
  <c r="I2971" i="2"/>
  <c r="H2971" i="2"/>
  <c r="F2971" i="2"/>
  <c r="D2971" i="2"/>
  <c r="C2971" i="2"/>
  <c r="B2971" i="2"/>
  <c r="A2971" i="2"/>
  <c r="M2970" i="2"/>
  <c r="L2970" i="2"/>
  <c r="K2970" i="2"/>
  <c r="J2970" i="2"/>
  <c r="H2970" i="2"/>
  <c r="F2970" i="2"/>
  <c r="D2970" i="2"/>
  <c r="C2970" i="2"/>
  <c r="B2970" i="2"/>
  <c r="A2970" i="2"/>
  <c r="M2969" i="2"/>
  <c r="L2969" i="2"/>
  <c r="K2969" i="2"/>
  <c r="J2969" i="2"/>
  <c r="H2969" i="2"/>
  <c r="F2969" i="2"/>
  <c r="D2969" i="2"/>
  <c r="C2969" i="2"/>
  <c r="B2969" i="2"/>
  <c r="A2969" i="2"/>
  <c r="M2968" i="2"/>
  <c r="L2968" i="2"/>
  <c r="K2968" i="2"/>
  <c r="J2968" i="2"/>
  <c r="I2968" i="2"/>
  <c r="H2968" i="2"/>
  <c r="F2968" i="2"/>
  <c r="D2968" i="2"/>
  <c r="C2968" i="2"/>
  <c r="B2968" i="2"/>
  <c r="A2968" i="2"/>
  <c r="M2967" i="2"/>
  <c r="L2967" i="2"/>
  <c r="K2967" i="2"/>
  <c r="J2967" i="2"/>
  <c r="H2967" i="2"/>
  <c r="F2967" i="2"/>
  <c r="D2967" i="2"/>
  <c r="C2967" i="2"/>
  <c r="B2967" i="2"/>
  <c r="A2967" i="2"/>
  <c r="M2966" i="2"/>
  <c r="L2966" i="2"/>
  <c r="K2966" i="2"/>
  <c r="J2966" i="2"/>
  <c r="I2966" i="2"/>
  <c r="H2966" i="2"/>
  <c r="F2966" i="2"/>
  <c r="D2966" i="2"/>
  <c r="C2966" i="2"/>
  <c r="B2966" i="2"/>
  <c r="A2966" i="2"/>
  <c r="M2965" i="2"/>
  <c r="L2965" i="2"/>
  <c r="K2965" i="2"/>
  <c r="J2965" i="2"/>
  <c r="H2965" i="2"/>
  <c r="F2965" i="2"/>
  <c r="D2965" i="2"/>
  <c r="C2965" i="2"/>
  <c r="B2965" i="2"/>
  <c r="A2965" i="2"/>
  <c r="M2964" i="2"/>
  <c r="L2964" i="2"/>
  <c r="K2964" i="2"/>
  <c r="J2964" i="2"/>
  <c r="H2964" i="2"/>
  <c r="F2964" i="2"/>
  <c r="D2964" i="2"/>
  <c r="C2964" i="2"/>
  <c r="B2964" i="2"/>
  <c r="A2964" i="2"/>
  <c r="M2963" i="2"/>
  <c r="L2963" i="2"/>
  <c r="K2963" i="2"/>
  <c r="J2963" i="2"/>
  <c r="H2963" i="2"/>
  <c r="F2963" i="2"/>
  <c r="D2963" i="2"/>
  <c r="C2963" i="2"/>
  <c r="B2963" i="2"/>
  <c r="A2963" i="2"/>
  <c r="M2962" i="2"/>
  <c r="L2962" i="2"/>
  <c r="K2962" i="2"/>
  <c r="J2962" i="2"/>
  <c r="H2962" i="2"/>
  <c r="F2962" i="2"/>
  <c r="D2962" i="2"/>
  <c r="C2962" i="2"/>
  <c r="B2962" i="2"/>
  <c r="A2962" i="2"/>
  <c r="M2961" i="2"/>
  <c r="L2961" i="2"/>
  <c r="K2961" i="2"/>
  <c r="J2961" i="2"/>
  <c r="I2961" i="2"/>
  <c r="H2961" i="2"/>
  <c r="F2961" i="2"/>
  <c r="D2961" i="2"/>
  <c r="C2961" i="2"/>
  <c r="B2961" i="2"/>
  <c r="A2961" i="2"/>
  <c r="N2960" i="2"/>
  <c r="M2960" i="2"/>
  <c r="L2960" i="2"/>
  <c r="K2960" i="2"/>
  <c r="J2960" i="2"/>
  <c r="H2960" i="2"/>
  <c r="F2960" i="2"/>
  <c r="D2960" i="2"/>
  <c r="C2960" i="2"/>
  <c r="B2960" i="2"/>
  <c r="A2960" i="2"/>
  <c r="N2959" i="2"/>
  <c r="M2959" i="2"/>
  <c r="L2959" i="2"/>
  <c r="K2959" i="2"/>
  <c r="J2959" i="2"/>
  <c r="I2959" i="2"/>
  <c r="H2959" i="2"/>
  <c r="F2959" i="2"/>
  <c r="D2959" i="2"/>
  <c r="C2959" i="2"/>
  <c r="B2959" i="2"/>
  <c r="A2959" i="2"/>
  <c r="M2958" i="2"/>
  <c r="L2958" i="2"/>
  <c r="K2958" i="2"/>
  <c r="J2958" i="2"/>
  <c r="I2958" i="2"/>
  <c r="H2958" i="2"/>
  <c r="F2958" i="2"/>
  <c r="D2958" i="2"/>
  <c r="C2958" i="2"/>
  <c r="B2958" i="2"/>
  <c r="A2958" i="2"/>
  <c r="M2957" i="2"/>
  <c r="L2957" i="2"/>
  <c r="K2957" i="2"/>
  <c r="J2957" i="2"/>
  <c r="I2957" i="2"/>
  <c r="H2957" i="2"/>
  <c r="F2957" i="2"/>
  <c r="D2957" i="2"/>
  <c r="C2957" i="2"/>
  <c r="B2957" i="2"/>
  <c r="A2957" i="2"/>
  <c r="M2956" i="2"/>
  <c r="L2956" i="2"/>
  <c r="K2956" i="2"/>
  <c r="J2956" i="2"/>
  <c r="I2956" i="2"/>
  <c r="H2956" i="2"/>
  <c r="F2956" i="2"/>
  <c r="D2956" i="2"/>
  <c r="C2956" i="2"/>
  <c r="B2956" i="2"/>
  <c r="A2956" i="2"/>
  <c r="M2955" i="2"/>
  <c r="L2955" i="2"/>
  <c r="K2955" i="2"/>
  <c r="J2955" i="2"/>
  <c r="I2955" i="2"/>
  <c r="H2955" i="2"/>
  <c r="F2955" i="2"/>
  <c r="D2955" i="2"/>
  <c r="C2955" i="2"/>
  <c r="B2955" i="2"/>
  <c r="A2955" i="2"/>
  <c r="M2954" i="2"/>
  <c r="L2954" i="2"/>
  <c r="K2954" i="2"/>
  <c r="J2954" i="2"/>
  <c r="I2954" i="2"/>
  <c r="H2954" i="2"/>
  <c r="F2954" i="2"/>
  <c r="D2954" i="2"/>
  <c r="C2954" i="2"/>
  <c r="B2954" i="2"/>
  <c r="A2954" i="2"/>
  <c r="M2953" i="2"/>
  <c r="L2953" i="2"/>
  <c r="K2953" i="2"/>
  <c r="J2953" i="2"/>
  <c r="I2953" i="2"/>
  <c r="H2953" i="2"/>
  <c r="F2953" i="2"/>
  <c r="D2953" i="2"/>
  <c r="C2953" i="2"/>
  <c r="B2953" i="2"/>
  <c r="A2953" i="2"/>
  <c r="M2952" i="2"/>
  <c r="L2952" i="2"/>
  <c r="K2952" i="2"/>
  <c r="J2952" i="2"/>
  <c r="I2952" i="2"/>
  <c r="H2952" i="2"/>
  <c r="F2952" i="2"/>
  <c r="D2952" i="2"/>
  <c r="C2952" i="2"/>
  <c r="B2952" i="2"/>
  <c r="A2952" i="2"/>
  <c r="M2951" i="2"/>
  <c r="L2951" i="2"/>
  <c r="K2951" i="2"/>
  <c r="J2951" i="2"/>
  <c r="I2951" i="2"/>
  <c r="H2951" i="2"/>
  <c r="F2951" i="2"/>
  <c r="D2951" i="2"/>
  <c r="C2951" i="2"/>
  <c r="B2951" i="2"/>
  <c r="A2951" i="2"/>
  <c r="M2950" i="2"/>
  <c r="L2950" i="2"/>
  <c r="K2950" i="2"/>
  <c r="J2950" i="2"/>
  <c r="I2950" i="2"/>
  <c r="H2950" i="2"/>
  <c r="F2950" i="2"/>
  <c r="D2950" i="2"/>
  <c r="C2950" i="2"/>
  <c r="B2950" i="2"/>
  <c r="A2950" i="2"/>
  <c r="M2949" i="2"/>
  <c r="L2949" i="2"/>
  <c r="K2949" i="2"/>
  <c r="J2949" i="2"/>
  <c r="I2949" i="2"/>
  <c r="H2949" i="2"/>
  <c r="F2949" i="2"/>
  <c r="D2949" i="2"/>
  <c r="C2949" i="2"/>
  <c r="B2949" i="2"/>
  <c r="A2949" i="2"/>
  <c r="M2948" i="2"/>
  <c r="L2948" i="2"/>
  <c r="K2948" i="2"/>
  <c r="J2948" i="2"/>
  <c r="I2948" i="2"/>
  <c r="H2948" i="2"/>
  <c r="F2948" i="2"/>
  <c r="D2948" i="2"/>
  <c r="C2948" i="2"/>
  <c r="B2948" i="2"/>
  <c r="A2948" i="2"/>
  <c r="M2947" i="2"/>
  <c r="L2947" i="2"/>
  <c r="K2947" i="2"/>
  <c r="J2947" i="2"/>
  <c r="I2947" i="2"/>
  <c r="H2947" i="2"/>
  <c r="F2947" i="2"/>
  <c r="D2947" i="2"/>
  <c r="C2947" i="2"/>
  <c r="B2947" i="2"/>
  <c r="A2947" i="2"/>
  <c r="M2946" i="2"/>
  <c r="L2946" i="2"/>
  <c r="K2946" i="2"/>
  <c r="J2946" i="2"/>
  <c r="I2946" i="2"/>
  <c r="H2946" i="2"/>
  <c r="F2946" i="2"/>
  <c r="D2946" i="2"/>
  <c r="C2946" i="2"/>
  <c r="B2946" i="2"/>
  <c r="A2946" i="2"/>
  <c r="M2945" i="2"/>
  <c r="L2945" i="2"/>
  <c r="J2945" i="2"/>
  <c r="I2945" i="2"/>
  <c r="H2945" i="2"/>
  <c r="F2945" i="2"/>
  <c r="D2945" i="2"/>
  <c r="C2945" i="2"/>
  <c r="B2945" i="2"/>
  <c r="A2945" i="2"/>
  <c r="N2944" i="2"/>
  <c r="M2944" i="2"/>
  <c r="L2944" i="2"/>
  <c r="K2944" i="2"/>
  <c r="J2944" i="2"/>
  <c r="I2944" i="2"/>
  <c r="H2944" i="2"/>
  <c r="F2944" i="2"/>
  <c r="D2944" i="2"/>
  <c r="C2944" i="2"/>
  <c r="B2944" i="2"/>
  <c r="A2944" i="2"/>
  <c r="M2943" i="2"/>
  <c r="L2943" i="2"/>
  <c r="K2943" i="2"/>
  <c r="J2943" i="2"/>
  <c r="I2943" i="2"/>
  <c r="H2943" i="2"/>
  <c r="F2943" i="2"/>
  <c r="D2943" i="2"/>
  <c r="C2943" i="2"/>
  <c r="B2943" i="2"/>
  <c r="A2943" i="2"/>
  <c r="M2942" i="2"/>
  <c r="L2942" i="2"/>
  <c r="K2942" i="2"/>
  <c r="J2942" i="2"/>
  <c r="I2942" i="2"/>
  <c r="H2942" i="2"/>
  <c r="F2942" i="2"/>
  <c r="D2942" i="2"/>
  <c r="C2942" i="2"/>
  <c r="B2942" i="2"/>
  <c r="A2942" i="2"/>
  <c r="M2941" i="2"/>
  <c r="L2941" i="2"/>
  <c r="K2941" i="2"/>
  <c r="J2941" i="2"/>
  <c r="I2941" i="2"/>
  <c r="H2941" i="2"/>
  <c r="F2941" i="2"/>
  <c r="D2941" i="2"/>
  <c r="C2941" i="2"/>
  <c r="B2941" i="2"/>
  <c r="A2941" i="2"/>
  <c r="N2940" i="2"/>
  <c r="M2940" i="2"/>
  <c r="L2940" i="2"/>
  <c r="K2940" i="2"/>
  <c r="J2940" i="2"/>
  <c r="I2940" i="2"/>
  <c r="H2940" i="2"/>
  <c r="F2940" i="2"/>
  <c r="D2940" i="2"/>
  <c r="C2940" i="2"/>
  <c r="B2940" i="2"/>
  <c r="A2940" i="2"/>
  <c r="N2939" i="2"/>
  <c r="M2939" i="2"/>
  <c r="L2939" i="2"/>
  <c r="K2939" i="2"/>
  <c r="J2939" i="2"/>
  <c r="I2939" i="2"/>
  <c r="H2939" i="2"/>
  <c r="F2939" i="2"/>
  <c r="D2939" i="2"/>
  <c r="C2939" i="2"/>
  <c r="B2939" i="2"/>
  <c r="A2939" i="2"/>
  <c r="M2938" i="2"/>
  <c r="L2938" i="2"/>
  <c r="K2938" i="2"/>
  <c r="J2938" i="2"/>
  <c r="I2938" i="2"/>
  <c r="H2938" i="2"/>
  <c r="F2938" i="2"/>
  <c r="D2938" i="2"/>
  <c r="C2938" i="2"/>
  <c r="B2938" i="2"/>
  <c r="A2938" i="2"/>
  <c r="M2937" i="2"/>
  <c r="L2937" i="2"/>
  <c r="K2937" i="2"/>
  <c r="J2937" i="2"/>
  <c r="I2937" i="2"/>
  <c r="H2937" i="2"/>
  <c r="F2937" i="2"/>
  <c r="D2937" i="2"/>
  <c r="C2937" i="2"/>
  <c r="B2937" i="2"/>
  <c r="A2937" i="2"/>
  <c r="M2936" i="2"/>
  <c r="L2936" i="2"/>
  <c r="K2936" i="2"/>
  <c r="J2936" i="2"/>
  <c r="I2936" i="2"/>
  <c r="H2936" i="2"/>
  <c r="F2936" i="2"/>
  <c r="D2936" i="2"/>
  <c r="C2936" i="2"/>
  <c r="B2936" i="2"/>
  <c r="A2936" i="2"/>
  <c r="N2935" i="2"/>
  <c r="M2935" i="2"/>
  <c r="L2935" i="2"/>
  <c r="K2935" i="2"/>
  <c r="J2935" i="2"/>
  <c r="I2935" i="2"/>
  <c r="H2935" i="2"/>
  <c r="F2935" i="2"/>
  <c r="D2935" i="2"/>
  <c r="C2935" i="2"/>
  <c r="B2935" i="2"/>
  <c r="A2935" i="2"/>
  <c r="N2934" i="2"/>
  <c r="M2934" i="2"/>
  <c r="L2934" i="2"/>
  <c r="K2934" i="2"/>
  <c r="J2934" i="2"/>
  <c r="I2934" i="2"/>
  <c r="H2934" i="2"/>
  <c r="F2934" i="2"/>
  <c r="D2934" i="2"/>
  <c r="C2934" i="2"/>
  <c r="B2934" i="2"/>
  <c r="A2934" i="2"/>
  <c r="M2933" i="2"/>
  <c r="L2933" i="2"/>
  <c r="K2933" i="2"/>
  <c r="J2933" i="2"/>
  <c r="I2933" i="2"/>
  <c r="H2933" i="2"/>
  <c r="F2933" i="2"/>
  <c r="D2933" i="2"/>
  <c r="C2933" i="2"/>
  <c r="B2933" i="2"/>
  <c r="A2933" i="2"/>
  <c r="M2932" i="2"/>
  <c r="L2932" i="2"/>
  <c r="K2932" i="2"/>
  <c r="J2932" i="2"/>
  <c r="I2932" i="2"/>
  <c r="H2932" i="2"/>
  <c r="F2932" i="2"/>
  <c r="D2932" i="2"/>
  <c r="C2932" i="2"/>
  <c r="B2932" i="2"/>
  <c r="A2932" i="2"/>
  <c r="M2931" i="2"/>
  <c r="L2931" i="2"/>
  <c r="K2931" i="2"/>
  <c r="J2931" i="2"/>
  <c r="I2931" i="2"/>
  <c r="H2931" i="2"/>
  <c r="F2931" i="2"/>
  <c r="D2931" i="2"/>
  <c r="C2931" i="2"/>
  <c r="B2931" i="2"/>
  <c r="A2931" i="2"/>
  <c r="M2930" i="2"/>
  <c r="L2930" i="2"/>
  <c r="K2930" i="2"/>
  <c r="J2930" i="2"/>
  <c r="I2930" i="2"/>
  <c r="H2930" i="2"/>
  <c r="F2930" i="2"/>
  <c r="D2930" i="2"/>
  <c r="C2930" i="2"/>
  <c r="B2930" i="2"/>
  <c r="A2930" i="2"/>
  <c r="M2929" i="2"/>
  <c r="L2929" i="2"/>
  <c r="K2929" i="2"/>
  <c r="J2929" i="2"/>
  <c r="I2929" i="2"/>
  <c r="H2929" i="2"/>
  <c r="F2929" i="2"/>
  <c r="D2929" i="2"/>
  <c r="C2929" i="2"/>
  <c r="B2929" i="2"/>
  <c r="A2929" i="2"/>
  <c r="M2928" i="2"/>
  <c r="L2928" i="2"/>
  <c r="K2928" i="2"/>
  <c r="J2928" i="2"/>
  <c r="I2928" i="2"/>
  <c r="H2928" i="2"/>
  <c r="F2928" i="2"/>
  <c r="D2928" i="2"/>
  <c r="C2928" i="2"/>
  <c r="B2928" i="2"/>
  <c r="A2928" i="2"/>
  <c r="M2927" i="2"/>
  <c r="L2927" i="2"/>
  <c r="K2927" i="2"/>
  <c r="J2927" i="2"/>
  <c r="I2927" i="2"/>
  <c r="H2927" i="2"/>
  <c r="F2927" i="2"/>
  <c r="D2927" i="2"/>
  <c r="C2927" i="2"/>
  <c r="B2927" i="2"/>
  <c r="A2927" i="2"/>
  <c r="M2926" i="2"/>
  <c r="L2926" i="2"/>
  <c r="K2926" i="2"/>
  <c r="J2926" i="2"/>
  <c r="I2926" i="2"/>
  <c r="H2926" i="2"/>
  <c r="F2926" i="2"/>
  <c r="D2926" i="2"/>
  <c r="C2926" i="2"/>
  <c r="B2926" i="2"/>
  <c r="A2926" i="2"/>
  <c r="M2925" i="2"/>
  <c r="L2925" i="2"/>
  <c r="K2925" i="2"/>
  <c r="J2925" i="2"/>
  <c r="I2925" i="2"/>
  <c r="H2925" i="2"/>
  <c r="F2925" i="2"/>
  <c r="D2925" i="2"/>
  <c r="C2925" i="2"/>
  <c r="B2925" i="2"/>
  <c r="A2925" i="2"/>
  <c r="N2924" i="2"/>
  <c r="M2924" i="2"/>
  <c r="L2924" i="2"/>
  <c r="K2924" i="2"/>
  <c r="J2924" i="2"/>
  <c r="I2924" i="2"/>
  <c r="H2924" i="2"/>
  <c r="F2924" i="2"/>
  <c r="D2924" i="2"/>
  <c r="C2924" i="2"/>
  <c r="B2924" i="2"/>
  <c r="A2924" i="2"/>
  <c r="M2923" i="2"/>
  <c r="L2923" i="2"/>
  <c r="K2923" i="2"/>
  <c r="J2923" i="2"/>
  <c r="I2923" i="2"/>
  <c r="H2923" i="2"/>
  <c r="F2923" i="2"/>
  <c r="D2923" i="2"/>
  <c r="C2923" i="2"/>
  <c r="B2923" i="2"/>
  <c r="A2923" i="2"/>
  <c r="M2922" i="2"/>
  <c r="L2922" i="2"/>
  <c r="K2922" i="2"/>
  <c r="J2922" i="2"/>
  <c r="I2922" i="2"/>
  <c r="H2922" i="2"/>
  <c r="F2922" i="2"/>
  <c r="D2922" i="2"/>
  <c r="C2922" i="2"/>
  <c r="B2922" i="2"/>
  <c r="A2922" i="2"/>
  <c r="N2921" i="2"/>
  <c r="M2921" i="2"/>
  <c r="L2921" i="2"/>
  <c r="K2921" i="2"/>
  <c r="J2921" i="2"/>
  <c r="I2921" i="2"/>
  <c r="H2921" i="2"/>
  <c r="F2921" i="2"/>
  <c r="D2921" i="2"/>
  <c r="C2921" i="2"/>
  <c r="B2921" i="2"/>
  <c r="A2921" i="2"/>
  <c r="M2920" i="2"/>
  <c r="L2920" i="2"/>
  <c r="K2920" i="2"/>
  <c r="J2920" i="2"/>
  <c r="I2920" i="2"/>
  <c r="H2920" i="2"/>
  <c r="F2920" i="2"/>
  <c r="D2920" i="2"/>
  <c r="C2920" i="2"/>
  <c r="B2920" i="2"/>
  <c r="A2920" i="2"/>
  <c r="M2919" i="2"/>
  <c r="L2919" i="2"/>
  <c r="K2919" i="2"/>
  <c r="J2919" i="2"/>
  <c r="I2919" i="2"/>
  <c r="H2919" i="2"/>
  <c r="F2919" i="2"/>
  <c r="D2919" i="2"/>
  <c r="C2919" i="2"/>
  <c r="B2919" i="2"/>
  <c r="A2919" i="2"/>
  <c r="M2918" i="2"/>
  <c r="L2918" i="2"/>
  <c r="K2918" i="2"/>
  <c r="J2918" i="2"/>
  <c r="I2918" i="2"/>
  <c r="H2918" i="2"/>
  <c r="F2918" i="2"/>
  <c r="D2918" i="2"/>
  <c r="C2918" i="2"/>
  <c r="B2918" i="2"/>
  <c r="A2918" i="2"/>
  <c r="M2917" i="2"/>
  <c r="L2917" i="2"/>
  <c r="K2917" i="2"/>
  <c r="J2917" i="2"/>
  <c r="I2917" i="2"/>
  <c r="H2917" i="2"/>
  <c r="F2917" i="2"/>
  <c r="D2917" i="2"/>
  <c r="C2917" i="2"/>
  <c r="B2917" i="2"/>
  <c r="A2917" i="2"/>
  <c r="N2916" i="2"/>
  <c r="M2916" i="2"/>
  <c r="L2916" i="2"/>
  <c r="K2916" i="2"/>
  <c r="J2916" i="2"/>
  <c r="I2916" i="2"/>
  <c r="H2916" i="2"/>
  <c r="F2916" i="2"/>
  <c r="D2916" i="2"/>
  <c r="C2916" i="2"/>
  <c r="B2916" i="2"/>
  <c r="A2916" i="2"/>
  <c r="M2915" i="2"/>
  <c r="L2915" i="2"/>
  <c r="K2915" i="2"/>
  <c r="J2915" i="2"/>
  <c r="I2915" i="2"/>
  <c r="H2915" i="2"/>
  <c r="F2915" i="2"/>
  <c r="D2915" i="2"/>
  <c r="C2915" i="2"/>
  <c r="B2915" i="2"/>
  <c r="A2915" i="2"/>
  <c r="M2914" i="2"/>
  <c r="L2914" i="2"/>
  <c r="K2914" i="2"/>
  <c r="J2914" i="2"/>
  <c r="I2914" i="2"/>
  <c r="H2914" i="2"/>
  <c r="F2914" i="2"/>
  <c r="D2914" i="2"/>
  <c r="C2914" i="2"/>
  <c r="B2914" i="2"/>
  <c r="A2914" i="2"/>
  <c r="M2913" i="2"/>
  <c r="L2913" i="2"/>
  <c r="K2913" i="2"/>
  <c r="J2913" i="2"/>
  <c r="I2913" i="2"/>
  <c r="H2913" i="2"/>
  <c r="F2913" i="2"/>
  <c r="D2913" i="2"/>
  <c r="C2913" i="2"/>
  <c r="B2913" i="2"/>
  <c r="A2913" i="2"/>
  <c r="M2912" i="2"/>
  <c r="L2912" i="2"/>
  <c r="K2912" i="2"/>
  <c r="J2912" i="2"/>
  <c r="I2912" i="2"/>
  <c r="H2912" i="2"/>
  <c r="F2912" i="2"/>
  <c r="D2912" i="2"/>
  <c r="C2912" i="2"/>
  <c r="B2912" i="2"/>
  <c r="A2912" i="2"/>
  <c r="M2911" i="2"/>
  <c r="L2911" i="2"/>
  <c r="K2911" i="2"/>
  <c r="J2911" i="2"/>
  <c r="I2911" i="2"/>
  <c r="H2911" i="2"/>
  <c r="F2911" i="2"/>
  <c r="D2911" i="2"/>
  <c r="C2911" i="2"/>
  <c r="B2911" i="2"/>
  <c r="A2911" i="2"/>
  <c r="M2910" i="2"/>
  <c r="L2910" i="2"/>
  <c r="K2910" i="2"/>
  <c r="J2910" i="2"/>
  <c r="I2910" i="2"/>
  <c r="H2910" i="2"/>
  <c r="F2910" i="2"/>
  <c r="D2910" i="2"/>
  <c r="C2910" i="2"/>
  <c r="B2910" i="2"/>
  <c r="A2910" i="2"/>
  <c r="M2909" i="2"/>
  <c r="L2909" i="2"/>
  <c r="K2909" i="2"/>
  <c r="J2909" i="2"/>
  <c r="I2909" i="2"/>
  <c r="H2909" i="2"/>
  <c r="F2909" i="2"/>
  <c r="D2909" i="2"/>
  <c r="C2909" i="2"/>
  <c r="B2909" i="2"/>
  <c r="A2909" i="2"/>
  <c r="M2908" i="2"/>
  <c r="L2908" i="2"/>
  <c r="K2908" i="2"/>
  <c r="J2908" i="2"/>
  <c r="I2908" i="2"/>
  <c r="H2908" i="2"/>
  <c r="F2908" i="2"/>
  <c r="D2908" i="2"/>
  <c r="C2908" i="2"/>
  <c r="B2908" i="2"/>
  <c r="A2908" i="2"/>
  <c r="M2907" i="2"/>
  <c r="L2907" i="2"/>
  <c r="K2907" i="2"/>
  <c r="J2907" i="2"/>
  <c r="I2907" i="2"/>
  <c r="H2907" i="2"/>
  <c r="F2907" i="2"/>
  <c r="D2907" i="2"/>
  <c r="C2907" i="2"/>
  <c r="B2907" i="2"/>
  <c r="A2907" i="2"/>
  <c r="M2906" i="2"/>
  <c r="L2906" i="2"/>
  <c r="K2906" i="2"/>
  <c r="J2906" i="2"/>
  <c r="I2906" i="2"/>
  <c r="H2906" i="2"/>
  <c r="F2906" i="2"/>
  <c r="D2906" i="2"/>
  <c r="C2906" i="2"/>
  <c r="B2906" i="2"/>
  <c r="A2906" i="2"/>
  <c r="M2905" i="2"/>
  <c r="L2905" i="2"/>
  <c r="K2905" i="2"/>
  <c r="J2905" i="2"/>
  <c r="I2905" i="2"/>
  <c r="H2905" i="2"/>
  <c r="F2905" i="2"/>
  <c r="D2905" i="2"/>
  <c r="C2905" i="2"/>
  <c r="B2905" i="2"/>
  <c r="A2905" i="2"/>
  <c r="M2904" i="2"/>
  <c r="L2904" i="2"/>
  <c r="K2904" i="2"/>
  <c r="I2904" i="2"/>
  <c r="H2904" i="2"/>
  <c r="F2904" i="2"/>
  <c r="D2904" i="2"/>
  <c r="C2904" i="2"/>
  <c r="B2904" i="2"/>
  <c r="A2904" i="2"/>
  <c r="M2903" i="2"/>
  <c r="L2903" i="2"/>
  <c r="J2903" i="2"/>
  <c r="I2903" i="2"/>
  <c r="H2903" i="2"/>
  <c r="F2903" i="2"/>
  <c r="D2903" i="2"/>
  <c r="C2903" i="2"/>
  <c r="B2903" i="2"/>
  <c r="A2903" i="2"/>
  <c r="M2902" i="2"/>
  <c r="L2902" i="2"/>
  <c r="K2902" i="2"/>
  <c r="J2902" i="2"/>
  <c r="I2902" i="2"/>
  <c r="H2902" i="2"/>
  <c r="F2902" i="2"/>
  <c r="D2902" i="2"/>
  <c r="C2902" i="2"/>
  <c r="B2902" i="2"/>
  <c r="A2902" i="2"/>
  <c r="M2901" i="2"/>
  <c r="L2901" i="2"/>
  <c r="K2901" i="2"/>
  <c r="J2901" i="2"/>
  <c r="I2901" i="2"/>
  <c r="H2901" i="2"/>
  <c r="F2901" i="2"/>
  <c r="D2901" i="2"/>
  <c r="C2901" i="2"/>
  <c r="B2901" i="2"/>
  <c r="A2901" i="2"/>
  <c r="M2900" i="2"/>
  <c r="L2900" i="2"/>
  <c r="K2900" i="2"/>
  <c r="J2900" i="2"/>
  <c r="I2900" i="2"/>
  <c r="H2900" i="2"/>
  <c r="F2900" i="2"/>
  <c r="D2900" i="2"/>
  <c r="C2900" i="2"/>
  <c r="B2900" i="2"/>
  <c r="A2900" i="2"/>
  <c r="M2899" i="2"/>
  <c r="L2899" i="2"/>
  <c r="K2899" i="2"/>
  <c r="J2899" i="2"/>
  <c r="I2899" i="2"/>
  <c r="H2899" i="2"/>
  <c r="F2899" i="2"/>
  <c r="D2899" i="2"/>
  <c r="C2899" i="2"/>
  <c r="B2899" i="2"/>
  <c r="A2899" i="2"/>
  <c r="M2898" i="2"/>
  <c r="L2898" i="2"/>
  <c r="K2898" i="2"/>
  <c r="J2898" i="2"/>
  <c r="I2898" i="2"/>
  <c r="H2898" i="2"/>
  <c r="F2898" i="2"/>
  <c r="D2898" i="2"/>
  <c r="C2898" i="2"/>
  <c r="B2898" i="2"/>
  <c r="A2898" i="2"/>
  <c r="M2897" i="2"/>
  <c r="L2897" i="2"/>
  <c r="K2897" i="2"/>
  <c r="J2897" i="2"/>
  <c r="I2897" i="2"/>
  <c r="H2897" i="2"/>
  <c r="F2897" i="2"/>
  <c r="D2897" i="2"/>
  <c r="C2897" i="2"/>
  <c r="B2897" i="2"/>
  <c r="A2897" i="2"/>
  <c r="M2896" i="2"/>
  <c r="L2896" i="2"/>
  <c r="K2896" i="2"/>
  <c r="J2896" i="2"/>
  <c r="I2896" i="2"/>
  <c r="H2896" i="2"/>
  <c r="F2896" i="2"/>
  <c r="D2896" i="2"/>
  <c r="C2896" i="2"/>
  <c r="B2896" i="2"/>
  <c r="A2896" i="2"/>
  <c r="M2895" i="2"/>
  <c r="L2895" i="2"/>
  <c r="K2895" i="2"/>
  <c r="J2895" i="2"/>
  <c r="I2895" i="2"/>
  <c r="H2895" i="2"/>
  <c r="F2895" i="2"/>
  <c r="D2895" i="2"/>
  <c r="C2895" i="2"/>
  <c r="B2895" i="2"/>
  <c r="A2895" i="2"/>
  <c r="M2894" i="2"/>
  <c r="L2894" i="2"/>
  <c r="K2894" i="2"/>
  <c r="J2894" i="2"/>
  <c r="I2894" i="2"/>
  <c r="H2894" i="2"/>
  <c r="F2894" i="2"/>
  <c r="D2894" i="2"/>
  <c r="C2894" i="2"/>
  <c r="B2894" i="2"/>
  <c r="A2894" i="2"/>
  <c r="M2893" i="2"/>
  <c r="L2893" i="2"/>
  <c r="K2893" i="2"/>
  <c r="J2893" i="2"/>
  <c r="I2893" i="2"/>
  <c r="H2893" i="2"/>
  <c r="F2893" i="2"/>
  <c r="D2893" i="2"/>
  <c r="C2893" i="2"/>
  <c r="B2893" i="2"/>
  <c r="A2893" i="2"/>
  <c r="M2892" i="2"/>
  <c r="L2892" i="2"/>
  <c r="K2892" i="2"/>
  <c r="J2892" i="2"/>
  <c r="I2892" i="2"/>
  <c r="H2892" i="2"/>
  <c r="F2892" i="2"/>
  <c r="D2892" i="2"/>
  <c r="C2892" i="2"/>
  <c r="B2892" i="2"/>
  <c r="A2892" i="2"/>
  <c r="M2891" i="2"/>
  <c r="L2891" i="2"/>
  <c r="K2891" i="2"/>
  <c r="J2891" i="2"/>
  <c r="I2891" i="2"/>
  <c r="H2891" i="2"/>
  <c r="F2891" i="2"/>
  <c r="D2891" i="2"/>
  <c r="C2891" i="2"/>
  <c r="B2891" i="2"/>
  <c r="A2891" i="2"/>
  <c r="M2890" i="2"/>
  <c r="L2890" i="2"/>
  <c r="K2890" i="2"/>
  <c r="J2890" i="2"/>
  <c r="I2890" i="2"/>
  <c r="H2890" i="2"/>
  <c r="F2890" i="2"/>
  <c r="D2890" i="2"/>
  <c r="C2890" i="2"/>
  <c r="B2890" i="2"/>
  <c r="A2890" i="2"/>
  <c r="M2889" i="2"/>
  <c r="L2889" i="2"/>
  <c r="K2889" i="2"/>
  <c r="J2889" i="2"/>
  <c r="I2889" i="2"/>
  <c r="H2889" i="2"/>
  <c r="F2889" i="2"/>
  <c r="D2889" i="2"/>
  <c r="C2889" i="2"/>
  <c r="B2889" i="2"/>
  <c r="A2889" i="2"/>
  <c r="M2888" i="2"/>
  <c r="L2888" i="2"/>
  <c r="K2888" i="2"/>
  <c r="J2888" i="2"/>
  <c r="I2888" i="2"/>
  <c r="H2888" i="2"/>
  <c r="F2888" i="2"/>
  <c r="D2888" i="2"/>
  <c r="C2888" i="2"/>
  <c r="B2888" i="2"/>
  <c r="A2888" i="2"/>
  <c r="M2887" i="2"/>
  <c r="L2887" i="2"/>
  <c r="K2887" i="2"/>
  <c r="J2887" i="2"/>
  <c r="I2887" i="2"/>
  <c r="H2887" i="2"/>
  <c r="F2887" i="2"/>
  <c r="D2887" i="2"/>
  <c r="C2887" i="2"/>
  <c r="B2887" i="2"/>
  <c r="A2887" i="2"/>
  <c r="M2886" i="2"/>
  <c r="L2886" i="2"/>
  <c r="K2886" i="2"/>
  <c r="J2886" i="2"/>
  <c r="I2886" i="2"/>
  <c r="H2886" i="2"/>
  <c r="F2886" i="2"/>
  <c r="D2886" i="2"/>
  <c r="C2886" i="2"/>
  <c r="B2886" i="2"/>
  <c r="A2886" i="2"/>
  <c r="M2885" i="2"/>
  <c r="L2885" i="2"/>
  <c r="K2885" i="2"/>
  <c r="J2885" i="2"/>
  <c r="I2885" i="2"/>
  <c r="H2885" i="2"/>
  <c r="F2885" i="2"/>
  <c r="D2885" i="2"/>
  <c r="C2885" i="2"/>
  <c r="B2885" i="2"/>
  <c r="A2885" i="2"/>
  <c r="M2884" i="2"/>
  <c r="L2884" i="2"/>
  <c r="K2884" i="2"/>
  <c r="J2884" i="2"/>
  <c r="I2884" i="2"/>
  <c r="H2884" i="2"/>
  <c r="F2884" i="2"/>
  <c r="D2884" i="2"/>
  <c r="C2884" i="2"/>
  <c r="B2884" i="2"/>
  <c r="A2884" i="2"/>
  <c r="M2883" i="2"/>
  <c r="L2883" i="2"/>
  <c r="K2883" i="2"/>
  <c r="J2883" i="2"/>
  <c r="I2883" i="2"/>
  <c r="H2883" i="2"/>
  <c r="F2883" i="2"/>
  <c r="D2883" i="2"/>
  <c r="C2883" i="2"/>
  <c r="B2883" i="2"/>
  <c r="A2883" i="2"/>
  <c r="M2882" i="2"/>
  <c r="L2882" i="2"/>
  <c r="K2882" i="2"/>
  <c r="J2882" i="2"/>
  <c r="I2882" i="2"/>
  <c r="H2882" i="2"/>
  <c r="F2882" i="2"/>
  <c r="D2882" i="2"/>
  <c r="C2882" i="2"/>
  <c r="B2882" i="2"/>
  <c r="A2882" i="2"/>
  <c r="M2881" i="2"/>
  <c r="L2881" i="2"/>
  <c r="K2881" i="2"/>
  <c r="J2881" i="2"/>
  <c r="I2881" i="2"/>
  <c r="H2881" i="2"/>
  <c r="F2881" i="2"/>
  <c r="D2881" i="2"/>
  <c r="C2881" i="2"/>
  <c r="B2881" i="2"/>
  <c r="A2881" i="2"/>
  <c r="M2880" i="2"/>
  <c r="L2880" i="2"/>
  <c r="K2880" i="2"/>
  <c r="J2880" i="2"/>
  <c r="I2880" i="2"/>
  <c r="H2880" i="2"/>
  <c r="F2880" i="2"/>
  <c r="D2880" i="2"/>
  <c r="C2880" i="2"/>
  <c r="B2880" i="2"/>
  <c r="A2880" i="2"/>
  <c r="M2879" i="2"/>
  <c r="L2879" i="2"/>
  <c r="K2879" i="2"/>
  <c r="J2879" i="2"/>
  <c r="I2879" i="2"/>
  <c r="H2879" i="2"/>
  <c r="F2879" i="2"/>
  <c r="D2879" i="2"/>
  <c r="C2879" i="2"/>
  <c r="B2879" i="2"/>
  <c r="A2879" i="2"/>
  <c r="M2878" i="2"/>
  <c r="L2878" i="2"/>
  <c r="K2878" i="2"/>
  <c r="J2878" i="2"/>
  <c r="I2878" i="2"/>
  <c r="H2878" i="2"/>
  <c r="F2878" i="2"/>
  <c r="D2878" i="2"/>
  <c r="C2878" i="2"/>
  <c r="B2878" i="2"/>
  <c r="A2878" i="2"/>
  <c r="N2877" i="2"/>
  <c r="M2877" i="2"/>
  <c r="L2877" i="2"/>
  <c r="K2877" i="2"/>
  <c r="J2877" i="2"/>
  <c r="I2877" i="2"/>
  <c r="H2877" i="2"/>
  <c r="F2877" i="2"/>
  <c r="D2877" i="2"/>
  <c r="C2877" i="2"/>
  <c r="B2877" i="2"/>
  <c r="A2877" i="2"/>
  <c r="M2876" i="2"/>
  <c r="L2876" i="2"/>
  <c r="K2876" i="2"/>
  <c r="J2876" i="2"/>
  <c r="I2876" i="2"/>
  <c r="H2876" i="2"/>
  <c r="F2876" i="2"/>
  <c r="D2876" i="2"/>
  <c r="C2876" i="2"/>
  <c r="B2876" i="2"/>
  <c r="A2876" i="2"/>
  <c r="M2875" i="2"/>
  <c r="L2875" i="2"/>
  <c r="K2875" i="2"/>
  <c r="J2875" i="2"/>
  <c r="I2875" i="2"/>
  <c r="H2875" i="2"/>
  <c r="F2875" i="2"/>
  <c r="D2875" i="2"/>
  <c r="C2875" i="2"/>
  <c r="B2875" i="2"/>
  <c r="A2875" i="2"/>
  <c r="M2874" i="2"/>
  <c r="L2874" i="2"/>
  <c r="K2874" i="2"/>
  <c r="J2874" i="2"/>
  <c r="I2874" i="2"/>
  <c r="H2874" i="2"/>
  <c r="F2874" i="2"/>
  <c r="D2874" i="2"/>
  <c r="C2874" i="2"/>
  <c r="B2874" i="2"/>
  <c r="A2874" i="2"/>
  <c r="M2873" i="2"/>
  <c r="L2873" i="2"/>
  <c r="K2873" i="2"/>
  <c r="J2873" i="2"/>
  <c r="I2873" i="2"/>
  <c r="H2873" i="2"/>
  <c r="F2873" i="2"/>
  <c r="D2873" i="2"/>
  <c r="C2873" i="2"/>
  <c r="B2873" i="2"/>
  <c r="A2873" i="2"/>
  <c r="M2872" i="2"/>
  <c r="L2872" i="2"/>
  <c r="K2872" i="2"/>
  <c r="J2872" i="2"/>
  <c r="I2872" i="2"/>
  <c r="H2872" i="2"/>
  <c r="F2872" i="2"/>
  <c r="D2872" i="2"/>
  <c r="C2872" i="2"/>
  <c r="B2872" i="2"/>
  <c r="A2872" i="2"/>
  <c r="F2871" i="2"/>
  <c r="D2871" i="2"/>
  <c r="C2871" i="2"/>
  <c r="B2871" i="2"/>
  <c r="A2871" i="2"/>
  <c r="M2870" i="2"/>
  <c r="K2870" i="2"/>
  <c r="J2870" i="2"/>
  <c r="I2870" i="2"/>
  <c r="H2870" i="2"/>
  <c r="G2870" i="2"/>
  <c r="F2870" i="2"/>
  <c r="D2870" i="2"/>
  <c r="C2870" i="2"/>
  <c r="B2870" i="2"/>
  <c r="A2870" i="2"/>
  <c r="M2869" i="2"/>
  <c r="K2869" i="2"/>
  <c r="J2869" i="2"/>
  <c r="I2869" i="2"/>
  <c r="H2869" i="2"/>
  <c r="G2869" i="2"/>
  <c r="F2869" i="2"/>
  <c r="D2869" i="2"/>
  <c r="C2869" i="2"/>
  <c r="B2869" i="2"/>
  <c r="A2869" i="2"/>
  <c r="M2868" i="2"/>
  <c r="K2868" i="2"/>
  <c r="J2868" i="2"/>
  <c r="I2868" i="2"/>
  <c r="H2868" i="2"/>
  <c r="F2868" i="2"/>
  <c r="D2868" i="2"/>
  <c r="C2868" i="2"/>
  <c r="B2868" i="2"/>
  <c r="A2868" i="2"/>
  <c r="M2867" i="2"/>
  <c r="K2867" i="2"/>
  <c r="J2867" i="2"/>
  <c r="I2867" i="2"/>
  <c r="H2867" i="2"/>
  <c r="F2867" i="2"/>
  <c r="D2867" i="2"/>
  <c r="C2867" i="2"/>
  <c r="B2867" i="2"/>
  <c r="A2867" i="2"/>
  <c r="M2866" i="2"/>
  <c r="K2866" i="2"/>
  <c r="J2866" i="2"/>
  <c r="I2866" i="2"/>
  <c r="H2866" i="2"/>
  <c r="F2866" i="2"/>
  <c r="D2866" i="2"/>
  <c r="C2866" i="2"/>
  <c r="B2866" i="2"/>
  <c r="A2866" i="2"/>
  <c r="M2865" i="2"/>
  <c r="K2865" i="2"/>
  <c r="J2865" i="2"/>
  <c r="I2865" i="2"/>
  <c r="H2865" i="2"/>
  <c r="F2865" i="2"/>
  <c r="D2865" i="2"/>
  <c r="C2865" i="2"/>
  <c r="B2865" i="2"/>
  <c r="A2865" i="2"/>
  <c r="M2864" i="2"/>
  <c r="K2864" i="2"/>
  <c r="J2864" i="2"/>
  <c r="I2864" i="2"/>
  <c r="H2864" i="2"/>
  <c r="F2864" i="2"/>
  <c r="D2864" i="2"/>
  <c r="C2864" i="2"/>
  <c r="B2864" i="2"/>
  <c r="A2864" i="2"/>
  <c r="M2863" i="2"/>
  <c r="K2863" i="2"/>
  <c r="J2863" i="2"/>
  <c r="I2863" i="2"/>
  <c r="H2863" i="2"/>
  <c r="F2863" i="2"/>
  <c r="D2863" i="2"/>
  <c r="C2863" i="2"/>
  <c r="B2863" i="2"/>
  <c r="A2863" i="2"/>
  <c r="M2862" i="2"/>
  <c r="K2862" i="2"/>
  <c r="J2862" i="2"/>
  <c r="I2862" i="2"/>
  <c r="H2862" i="2"/>
  <c r="F2862" i="2"/>
  <c r="D2862" i="2"/>
  <c r="C2862" i="2"/>
  <c r="B2862" i="2"/>
  <c r="A2862" i="2"/>
  <c r="M2861" i="2"/>
  <c r="K2861" i="2"/>
  <c r="J2861" i="2"/>
  <c r="I2861" i="2"/>
  <c r="H2861" i="2"/>
  <c r="F2861" i="2"/>
  <c r="D2861" i="2"/>
  <c r="C2861" i="2"/>
  <c r="B2861" i="2"/>
  <c r="A2861" i="2"/>
  <c r="M2860" i="2"/>
  <c r="K2860" i="2"/>
  <c r="J2860" i="2"/>
  <c r="I2860" i="2"/>
  <c r="H2860" i="2"/>
  <c r="F2860" i="2"/>
  <c r="D2860" i="2"/>
  <c r="C2860" i="2"/>
  <c r="B2860" i="2"/>
  <c r="A2860" i="2"/>
  <c r="M2859" i="2"/>
  <c r="K2859" i="2"/>
  <c r="J2859" i="2"/>
  <c r="I2859" i="2"/>
  <c r="H2859" i="2"/>
  <c r="F2859" i="2"/>
  <c r="D2859" i="2"/>
  <c r="C2859" i="2"/>
  <c r="B2859" i="2"/>
  <c r="A2859" i="2"/>
  <c r="M2858" i="2"/>
  <c r="K2858" i="2"/>
  <c r="J2858" i="2"/>
  <c r="I2858" i="2"/>
  <c r="H2858" i="2"/>
  <c r="F2858" i="2"/>
  <c r="D2858" i="2"/>
  <c r="C2858" i="2"/>
  <c r="B2858" i="2"/>
  <c r="A2858" i="2"/>
  <c r="M2857" i="2"/>
  <c r="K2857" i="2"/>
  <c r="J2857" i="2"/>
  <c r="I2857" i="2"/>
  <c r="H2857" i="2"/>
  <c r="F2857" i="2"/>
  <c r="D2857" i="2"/>
  <c r="C2857" i="2"/>
  <c r="B2857" i="2"/>
  <c r="A2857" i="2"/>
  <c r="M2856" i="2"/>
  <c r="K2856" i="2"/>
  <c r="J2856" i="2"/>
  <c r="I2856" i="2"/>
  <c r="H2856" i="2"/>
  <c r="F2856" i="2"/>
  <c r="D2856" i="2"/>
  <c r="C2856" i="2"/>
  <c r="B2856" i="2"/>
  <c r="A2856" i="2"/>
  <c r="M2855" i="2"/>
  <c r="K2855" i="2"/>
  <c r="J2855" i="2"/>
  <c r="I2855" i="2"/>
  <c r="H2855" i="2"/>
  <c r="F2855" i="2"/>
  <c r="D2855" i="2"/>
  <c r="C2855" i="2"/>
  <c r="B2855" i="2"/>
  <c r="A2855" i="2"/>
  <c r="M2854" i="2"/>
  <c r="K2854" i="2"/>
  <c r="J2854" i="2"/>
  <c r="I2854" i="2"/>
  <c r="H2854" i="2"/>
  <c r="F2854" i="2"/>
  <c r="D2854" i="2"/>
  <c r="C2854" i="2"/>
  <c r="B2854" i="2"/>
  <c r="A2854" i="2"/>
  <c r="M2853" i="2"/>
  <c r="K2853" i="2"/>
  <c r="J2853" i="2"/>
  <c r="I2853" i="2"/>
  <c r="H2853" i="2"/>
  <c r="F2853" i="2"/>
  <c r="D2853" i="2"/>
  <c r="C2853" i="2"/>
  <c r="B2853" i="2"/>
  <c r="A2853" i="2"/>
  <c r="M2852" i="2"/>
  <c r="K2852" i="2"/>
  <c r="J2852" i="2"/>
  <c r="I2852" i="2"/>
  <c r="H2852" i="2"/>
  <c r="F2852" i="2"/>
  <c r="D2852" i="2"/>
  <c r="C2852" i="2"/>
  <c r="B2852" i="2"/>
  <c r="A2852" i="2"/>
  <c r="M2851" i="2"/>
  <c r="K2851" i="2"/>
  <c r="J2851" i="2"/>
  <c r="I2851" i="2"/>
  <c r="H2851" i="2"/>
  <c r="F2851" i="2"/>
  <c r="D2851" i="2"/>
  <c r="C2851" i="2"/>
  <c r="B2851" i="2"/>
  <c r="A2851" i="2"/>
  <c r="M2850" i="2"/>
  <c r="K2850" i="2"/>
  <c r="J2850" i="2"/>
  <c r="I2850" i="2"/>
  <c r="H2850" i="2"/>
  <c r="F2850" i="2"/>
  <c r="D2850" i="2"/>
  <c r="C2850" i="2"/>
  <c r="B2850" i="2"/>
  <c r="A2850" i="2"/>
  <c r="M2849" i="2"/>
  <c r="K2849" i="2"/>
  <c r="I2849" i="2"/>
  <c r="H2849" i="2"/>
  <c r="G2849" i="2"/>
  <c r="F2849" i="2"/>
  <c r="D2849" i="2"/>
  <c r="C2849" i="2"/>
  <c r="B2849" i="2"/>
  <c r="A2849" i="2"/>
  <c r="M2848" i="2"/>
  <c r="K2848" i="2"/>
  <c r="I2848" i="2"/>
  <c r="H2848" i="2"/>
  <c r="F2848" i="2"/>
  <c r="D2848" i="2"/>
  <c r="C2848" i="2"/>
  <c r="B2848" i="2"/>
  <c r="A2848" i="2"/>
  <c r="M2847" i="2"/>
  <c r="K2847" i="2"/>
  <c r="I2847" i="2"/>
  <c r="H2847" i="2"/>
  <c r="F2847" i="2"/>
  <c r="D2847" i="2"/>
  <c r="C2847" i="2"/>
  <c r="B2847" i="2"/>
  <c r="A2847" i="2"/>
  <c r="M2846" i="2"/>
  <c r="K2846" i="2"/>
  <c r="I2846" i="2"/>
  <c r="H2846" i="2"/>
  <c r="F2846" i="2"/>
  <c r="D2846" i="2"/>
  <c r="C2846" i="2"/>
  <c r="B2846" i="2"/>
  <c r="A2846" i="2"/>
  <c r="M2845" i="2"/>
  <c r="K2845" i="2"/>
  <c r="I2845" i="2"/>
  <c r="H2845" i="2"/>
  <c r="F2845" i="2"/>
  <c r="D2845" i="2"/>
  <c r="C2845" i="2"/>
  <c r="B2845" i="2"/>
  <c r="A2845" i="2"/>
  <c r="M2844" i="2"/>
  <c r="K2844" i="2"/>
  <c r="I2844" i="2"/>
  <c r="H2844" i="2"/>
  <c r="F2844" i="2"/>
  <c r="D2844" i="2"/>
  <c r="C2844" i="2"/>
  <c r="B2844" i="2"/>
  <c r="A2844" i="2"/>
  <c r="M2843" i="2"/>
  <c r="K2843" i="2"/>
  <c r="I2843" i="2"/>
  <c r="H2843" i="2"/>
  <c r="F2843" i="2"/>
  <c r="D2843" i="2"/>
  <c r="C2843" i="2"/>
  <c r="B2843" i="2"/>
  <c r="A2843" i="2"/>
  <c r="M2842" i="2"/>
  <c r="K2842" i="2"/>
  <c r="I2842" i="2"/>
  <c r="H2842" i="2"/>
  <c r="F2842" i="2"/>
  <c r="D2842" i="2"/>
  <c r="C2842" i="2"/>
  <c r="B2842" i="2"/>
  <c r="A2842" i="2"/>
  <c r="M2841" i="2"/>
  <c r="K2841" i="2"/>
  <c r="I2841" i="2"/>
  <c r="H2841" i="2"/>
  <c r="F2841" i="2"/>
  <c r="D2841" i="2"/>
  <c r="C2841" i="2"/>
  <c r="B2841" i="2"/>
  <c r="A2841" i="2"/>
  <c r="M2840" i="2"/>
  <c r="K2840" i="2"/>
  <c r="I2840" i="2"/>
  <c r="H2840" i="2"/>
  <c r="F2840" i="2"/>
  <c r="D2840" i="2"/>
  <c r="C2840" i="2"/>
  <c r="B2840" i="2"/>
  <c r="A2840" i="2"/>
  <c r="M2839" i="2"/>
  <c r="K2839" i="2"/>
  <c r="I2839" i="2"/>
  <c r="H2839" i="2"/>
  <c r="F2839" i="2"/>
  <c r="D2839" i="2"/>
  <c r="C2839" i="2"/>
  <c r="B2839" i="2"/>
  <c r="A2839" i="2"/>
  <c r="M2838" i="2"/>
  <c r="K2838" i="2"/>
  <c r="I2838" i="2"/>
  <c r="H2838" i="2"/>
  <c r="F2838" i="2"/>
  <c r="D2838" i="2"/>
  <c r="C2838" i="2"/>
  <c r="B2838" i="2"/>
  <c r="A2838" i="2"/>
  <c r="M2837" i="2"/>
  <c r="K2837" i="2"/>
  <c r="I2837" i="2"/>
  <c r="H2837" i="2"/>
  <c r="F2837" i="2"/>
  <c r="D2837" i="2"/>
  <c r="C2837" i="2"/>
  <c r="B2837" i="2"/>
  <c r="A2837" i="2"/>
  <c r="M2836" i="2"/>
  <c r="K2836" i="2"/>
  <c r="I2836" i="2"/>
  <c r="H2836" i="2"/>
  <c r="F2836" i="2"/>
  <c r="D2836" i="2"/>
  <c r="C2836" i="2"/>
  <c r="B2836" i="2"/>
  <c r="A2836" i="2"/>
  <c r="M2835" i="2"/>
  <c r="K2835" i="2"/>
  <c r="I2835" i="2"/>
  <c r="H2835" i="2"/>
  <c r="F2835" i="2"/>
  <c r="D2835" i="2"/>
  <c r="C2835" i="2"/>
  <c r="B2835" i="2"/>
  <c r="A2835" i="2"/>
  <c r="M2834" i="2"/>
  <c r="K2834" i="2"/>
  <c r="I2834" i="2"/>
  <c r="H2834" i="2"/>
  <c r="F2834" i="2"/>
  <c r="D2834" i="2"/>
  <c r="C2834" i="2"/>
  <c r="B2834" i="2"/>
  <c r="A2834" i="2"/>
  <c r="M2833" i="2"/>
  <c r="K2833" i="2"/>
  <c r="I2833" i="2"/>
  <c r="H2833" i="2"/>
  <c r="F2833" i="2"/>
  <c r="D2833" i="2"/>
  <c r="C2833" i="2"/>
  <c r="B2833" i="2"/>
  <c r="A2833" i="2"/>
  <c r="M2832" i="2"/>
  <c r="K2832" i="2"/>
  <c r="I2832" i="2"/>
  <c r="H2832" i="2"/>
  <c r="F2832" i="2"/>
  <c r="D2832" i="2"/>
  <c r="C2832" i="2"/>
  <c r="B2832" i="2"/>
  <c r="A2832" i="2"/>
  <c r="M2831" i="2"/>
  <c r="K2831" i="2"/>
  <c r="I2831" i="2"/>
  <c r="H2831" i="2"/>
  <c r="F2831" i="2"/>
  <c r="D2831" i="2"/>
  <c r="C2831" i="2"/>
  <c r="B2831" i="2"/>
  <c r="A2831" i="2"/>
  <c r="M2830" i="2"/>
  <c r="K2830" i="2"/>
  <c r="I2830" i="2"/>
  <c r="H2830" i="2"/>
  <c r="F2830" i="2"/>
  <c r="D2830" i="2"/>
  <c r="C2830" i="2"/>
  <c r="B2830" i="2"/>
  <c r="A2830" i="2"/>
  <c r="M2829" i="2"/>
  <c r="K2829" i="2"/>
  <c r="I2829" i="2"/>
  <c r="H2829" i="2"/>
  <c r="F2829" i="2"/>
  <c r="D2829" i="2"/>
  <c r="C2829" i="2"/>
  <c r="B2829" i="2"/>
  <c r="A2829" i="2"/>
  <c r="M2828" i="2"/>
  <c r="K2828" i="2"/>
  <c r="I2828" i="2"/>
  <c r="H2828" i="2"/>
  <c r="F2828" i="2"/>
  <c r="D2828" i="2"/>
  <c r="C2828" i="2"/>
  <c r="B2828" i="2"/>
  <c r="A2828" i="2"/>
  <c r="M2827" i="2"/>
  <c r="K2827" i="2"/>
  <c r="I2827" i="2"/>
  <c r="H2827" i="2"/>
  <c r="F2827" i="2"/>
  <c r="D2827" i="2"/>
  <c r="C2827" i="2"/>
  <c r="B2827" i="2"/>
  <c r="A2827" i="2"/>
  <c r="M2826" i="2"/>
  <c r="K2826" i="2"/>
  <c r="J2826" i="2"/>
  <c r="I2826" i="2"/>
  <c r="H2826" i="2"/>
  <c r="F2826" i="2"/>
  <c r="D2826" i="2"/>
  <c r="C2826" i="2"/>
  <c r="B2826" i="2"/>
  <c r="A2826" i="2"/>
  <c r="M2825" i="2"/>
  <c r="K2825" i="2"/>
  <c r="J2825" i="2"/>
  <c r="I2825" i="2"/>
  <c r="H2825" i="2"/>
  <c r="F2825" i="2"/>
  <c r="D2825" i="2"/>
  <c r="C2825" i="2"/>
  <c r="B2825" i="2"/>
  <c r="A2825" i="2"/>
  <c r="M2824" i="2"/>
  <c r="K2824" i="2"/>
  <c r="J2824" i="2"/>
  <c r="I2824" i="2"/>
  <c r="H2824" i="2"/>
  <c r="F2824" i="2"/>
  <c r="D2824" i="2"/>
  <c r="C2824" i="2"/>
  <c r="B2824" i="2"/>
  <c r="A2824" i="2"/>
  <c r="M2823" i="2"/>
  <c r="K2823" i="2"/>
  <c r="J2823" i="2"/>
  <c r="I2823" i="2"/>
  <c r="H2823" i="2"/>
  <c r="F2823" i="2"/>
  <c r="D2823" i="2"/>
  <c r="C2823" i="2"/>
  <c r="B2823" i="2"/>
  <c r="A2823" i="2"/>
  <c r="M2822" i="2"/>
  <c r="K2822" i="2"/>
  <c r="J2822" i="2"/>
  <c r="I2822" i="2"/>
  <c r="H2822" i="2"/>
  <c r="F2822" i="2"/>
  <c r="D2822" i="2"/>
  <c r="C2822" i="2"/>
  <c r="B2822" i="2"/>
  <c r="A2822" i="2"/>
  <c r="M2821" i="2"/>
  <c r="K2821" i="2"/>
  <c r="J2821" i="2"/>
  <c r="I2821" i="2"/>
  <c r="H2821" i="2"/>
  <c r="F2821" i="2"/>
  <c r="D2821" i="2"/>
  <c r="C2821" i="2"/>
  <c r="B2821" i="2"/>
  <c r="A2821" i="2"/>
  <c r="M2820" i="2"/>
  <c r="K2820" i="2"/>
  <c r="J2820" i="2"/>
  <c r="I2820" i="2"/>
  <c r="H2820" i="2"/>
  <c r="F2820" i="2"/>
  <c r="D2820" i="2"/>
  <c r="C2820" i="2"/>
  <c r="B2820" i="2"/>
  <c r="A2820" i="2"/>
  <c r="M2819" i="2"/>
  <c r="K2819" i="2"/>
  <c r="J2819" i="2"/>
  <c r="I2819" i="2"/>
  <c r="H2819" i="2"/>
  <c r="F2819" i="2"/>
  <c r="D2819" i="2"/>
  <c r="C2819" i="2"/>
  <c r="B2819" i="2"/>
  <c r="A2819" i="2"/>
  <c r="M2818" i="2"/>
  <c r="K2818" i="2"/>
  <c r="J2818" i="2"/>
  <c r="I2818" i="2"/>
  <c r="H2818" i="2"/>
  <c r="F2818" i="2"/>
  <c r="D2818" i="2"/>
  <c r="C2818" i="2"/>
  <c r="B2818" i="2"/>
  <c r="A2818" i="2"/>
  <c r="M2817" i="2"/>
  <c r="K2817" i="2"/>
  <c r="J2817" i="2"/>
  <c r="I2817" i="2"/>
  <c r="H2817" i="2"/>
  <c r="F2817" i="2"/>
  <c r="D2817" i="2"/>
  <c r="C2817" i="2"/>
  <c r="B2817" i="2"/>
  <c r="A2817" i="2"/>
  <c r="M2816" i="2"/>
  <c r="K2816" i="2"/>
  <c r="J2816" i="2"/>
  <c r="I2816" i="2"/>
  <c r="H2816" i="2"/>
  <c r="F2816" i="2"/>
  <c r="D2816" i="2"/>
  <c r="C2816" i="2"/>
  <c r="B2816" i="2"/>
  <c r="A2816" i="2"/>
  <c r="M2815" i="2"/>
  <c r="K2815" i="2"/>
  <c r="J2815" i="2"/>
  <c r="I2815" i="2"/>
  <c r="H2815" i="2"/>
  <c r="F2815" i="2"/>
  <c r="D2815" i="2"/>
  <c r="C2815" i="2"/>
  <c r="B2815" i="2"/>
  <c r="A2815" i="2"/>
  <c r="M2814" i="2"/>
  <c r="K2814" i="2"/>
  <c r="J2814" i="2"/>
  <c r="I2814" i="2"/>
  <c r="H2814" i="2"/>
  <c r="F2814" i="2"/>
  <c r="D2814" i="2"/>
  <c r="C2814" i="2"/>
  <c r="B2814" i="2"/>
  <c r="A2814" i="2"/>
  <c r="M2813" i="2"/>
  <c r="K2813" i="2"/>
  <c r="J2813" i="2"/>
  <c r="I2813" i="2"/>
  <c r="H2813" i="2"/>
  <c r="F2813" i="2"/>
  <c r="D2813" i="2"/>
  <c r="C2813" i="2"/>
  <c r="B2813" i="2"/>
  <c r="A2813" i="2"/>
  <c r="M2812" i="2"/>
  <c r="K2812" i="2"/>
  <c r="J2812" i="2"/>
  <c r="I2812" i="2"/>
  <c r="H2812" i="2"/>
  <c r="F2812" i="2"/>
  <c r="D2812" i="2"/>
  <c r="C2812" i="2"/>
  <c r="B2812" i="2"/>
  <c r="A2812" i="2"/>
  <c r="M2811" i="2"/>
  <c r="K2811" i="2"/>
  <c r="J2811" i="2"/>
  <c r="I2811" i="2"/>
  <c r="H2811" i="2"/>
  <c r="F2811" i="2"/>
  <c r="D2811" i="2"/>
  <c r="C2811" i="2"/>
  <c r="B2811" i="2"/>
  <c r="A2811" i="2"/>
  <c r="M2810" i="2"/>
  <c r="K2810" i="2"/>
  <c r="J2810" i="2"/>
  <c r="I2810" i="2"/>
  <c r="H2810" i="2"/>
  <c r="F2810" i="2"/>
  <c r="D2810" i="2"/>
  <c r="C2810" i="2"/>
  <c r="B2810" i="2"/>
  <c r="A2810" i="2"/>
  <c r="M2809" i="2"/>
  <c r="K2809" i="2"/>
  <c r="J2809" i="2"/>
  <c r="I2809" i="2"/>
  <c r="H2809" i="2"/>
  <c r="F2809" i="2"/>
  <c r="D2809" i="2"/>
  <c r="C2809" i="2"/>
  <c r="B2809" i="2"/>
  <c r="A2809" i="2"/>
  <c r="M2808" i="2"/>
  <c r="K2808" i="2"/>
  <c r="J2808" i="2"/>
  <c r="I2808" i="2"/>
  <c r="H2808" i="2"/>
  <c r="F2808" i="2"/>
  <c r="D2808" i="2"/>
  <c r="C2808" i="2"/>
  <c r="B2808" i="2"/>
  <c r="A2808" i="2"/>
  <c r="M2807" i="2"/>
  <c r="K2807" i="2"/>
  <c r="J2807" i="2"/>
  <c r="I2807" i="2"/>
  <c r="H2807" i="2"/>
  <c r="F2807" i="2"/>
  <c r="D2807" i="2"/>
  <c r="C2807" i="2"/>
  <c r="B2807" i="2"/>
  <c r="A2807" i="2"/>
  <c r="M2806" i="2"/>
  <c r="K2806" i="2"/>
  <c r="J2806" i="2"/>
  <c r="I2806" i="2"/>
  <c r="H2806" i="2"/>
  <c r="F2806" i="2"/>
  <c r="D2806" i="2"/>
  <c r="C2806" i="2"/>
  <c r="B2806" i="2"/>
  <c r="A2806" i="2"/>
  <c r="M2805" i="2"/>
  <c r="K2805" i="2"/>
  <c r="J2805" i="2"/>
  <c r="I2805" i="2"/>
  <c r="H2805" i="2"/>
  <c r="F2805" i="2"/>
  <c r="D2805" i="2"/>
  <c r="C2805" i="2"/>
  <c r="B2805" i="2"/>
  <c r="A2805" i="2"/>
  <c r="M2804" i="2"/>
  <c r="K2804" i="2"/>
  <c r="J2804" i="2"/>
  <c r="I2804" i="2"/>
  <c r="H2804" i="2"/>
  <c r="F2804" i="2"/>
  <c r="D2804" i="2"/>
  <c r="C2804" i="2"/>
  <c r="B2804" i="2"/>
  <c r="A2804" i="2"/>
  <c r="M2803" i="2"/>
  <c r="K2803" i="2"/>
  <c r="J2803" i="2"/>
  <c r="I2803" i="2"/>
  <c r="H2803" i="2"/>
  <c r="F2803" i="2"/>
  <c r="D2803" i="2"/>
  <c r="C2803" i="2"/>
  <c r="B2803" i="2"/>
  <c r="A2803" i="2"/>
  <c r="M2802" i="2"/>
  <c r="K2802" i="2"/>
  <c r="J2802" i="2"/>
  <c r="I2802" i="2"/>
  <c r="H2802" i="2"/>
  <c r="F2802" i="2"/>
  <c r="D2802" i="2"/>
  <c r="C2802" i="2"/>
  <c r="B2802" i="2"/>
  <c r="A2802" i="2"/>
  <c r="M2801" i="2"/>
  <c r="K2801" i="2"/>
  <c r="J2801" i="2"/>
  <c r="I2801" i="2"/>
  <c r="H2801" i="2"/>
  <c r="F2801" i="2"/>
  <c r="D2801" i="2"/>
  <c r="C2801" i="2"/>
  <c r="B2801" i="2"/>
  <c r="A2801" i="2"/>
  <c r="M2800" i="2"/>
  <c r="K2800" i="2"/>
  <c r="J2800" i="2"/>
  <c r="I2800" i="2"/>
  <c r="H2800" i="2"/>
  <c r="F2800" i="2"/>
  <c r="D2800" i="2"/>
  <c r="C2800" i="2"/>
  <c r="B2800" i="2"/>
  <c r="A2800" i="2"/>
  <c r="M2799" i="2"/>
  <c r="K2799" i="2"/>
  <c r="J2799" i="2"/>
  <c r="I2799" i="2"/>
  <c r="H2799" i="2"/>
  <c r="F2799" i="2"/>
  <c r="D2799" i="2"/>
  <c r="C2799" i="2"/>
  <c r="B2799" i="2"/>
  <c r="A2799" i="2"/>
  <c r="M2798" i="2"/>
  <c r="K2798" i="2"/>
  <c r="J2798" i="2"/>
  <c r="I2798" i="2"/>
  <c r="H2798" i="2"/>
  <c r="F2798" i="2"/>
  <c r="D2798" i="2"/>
  <c r="C2798" i="2"/>
  <c r="B2798" i="2"/>
  <c r="A2798" i="2"/>
  <c r="M2797" i="2"/>
  <c r="K2797" i="2"/>
  <c r="J2797" i="2"/>
  <c r="I2797" i="2"/>
  <c r="H2797" i="2"/>
  <c r="F2797" i="2"/>
  <c r="D2797" i="2"/>
  <c r="C2797" i="2"/>
  <c r="B2797" i="2"/>
  <c r="A2797" i="2"/>
  <c r="M2796" i="2"/>
  <c r="K2796" i="2"/>
  <c r="J2796" i="2"/>
  <c r="I2796" i="2"/>
  <c r="H2796" i="2"/>
  <c r="F2796" i="2"/>
  <c r="D2796" i="2"/>
  <c r="C2796" i="2"/>
  <c r="B2796" i="2"/>
  <c r="A2796" i="2"/>
  <c r="M2795" i="2"/>
  <c r="K2795" i="2"/>
  <c r="J2795" i="2"/>
  <c r="I2795" i="2"/>
  <c r="H2795" i="2"/>
  <c r="F2795" i="2"/>
  <c r="D2795" i="2"/>
  <c r="C2795" i="2"/>
  <c r="B2795" i="2"/>
  <c r="A2795" i="2"/>
  <c r="M2794" i="2"/>
  <c r="K2794" i="2"/>
  <c r="J2794" i="2"/>
  <c r="I2794" i="2"/>
  <c r="H2794" i="2"/>
  <c r="F2794" i="2"/>
  <c r="D2794" i="2"/>
  <c r="C2794" i="2"/>
  <c r="B2794" i="2"/>
  <c r="A2794" i="2"/>
  <c r="M2793" i="2"/>
  <c r="K2793" i="2"/>
  <c r="J2793" i="2"/>
  <c r="I2793" i="2"/>
  <c r="H2793" i="2"/>
  <c r="F2793" i="2"/>
  <c r="D2793" i="2"/>
  <c r="C2793" i="2"/>
  <c r="B2793" i="2"/>
  <c r="A2793" i="2"/>
  <c r="M2792" i="2"/>
  <c r="K2792" i="2"/>
  <c r="J2792" i="2"/>
  <c r="I2792" i="2"/>
  <c r="H2792" i="2"/>
  <c r="F2792" i="2"/>
  <c r="D2792" i="2"/>
  <c r="C2792" i="2"/>
  <c r="B2792" i="2"/>
  <c r="A2792" i="2"/>
  <c r="M2791" i="2"/>
  <c r="K2791" i="2"/>
  <c r="J2791" i="2"/>
  <c r="I2791" i="2"/>
  <c r="H2791" i="2"/>
  <c r="F2791" i="2"/>
  <c r="D2791" i="2"/>
  <c r="C2791" i="2"/>
  <c r="B2791" i="2"/>
  <c r="A2791" i="2"/>
  <c r="M2790" i="2"/>
  <c r="K2790" i="2"/>
  <c r="J2790" i="2"/>
  <c r="I2790" i="2"/>
  <c r="H2790" i="2"/>
  <c r="G2790" i="2"/>
  <c r="F2790" i="2"/>
  <c r="D2790" i="2"/>
  <c r="C2790" i="2"/>
  <c r="B2790" i="2"/>
  <c r="A2790" i="2"/>
  <c r="M2789" i="2"/>
  <c r="K2789" i="2"/>
  <c r="J2789" i="2"/>
  <c r="I2789" i="2"/>
  <c r="H2789" i="2"/>
  <c r="G2789" i="2"/>
  <c r="F2789" i="2"/>
  <c r="D2789" i="2"/>
  <c r="C2789" i="2"/>
  <c r="B2789" i="2"/>
  <c r="A2789" i="2"/>
  <c r="M2788" i="2"/>
  <c r="L2788" i="2"/>
  <c r="K2788" i="2"/>
  <c r="J2788" i="2"/>
  <c r="I2788" i="2"/>
  <c r="H2788" i="2"/>
  <c r="G2788" i="2"/>
  <c r="F2788" i="2"/>
  <c r="D2788" i="2"/>
  <c r="C2788" i="2"/>
  <c r="B2788" i="2"/>
  <c r="A2788" i="2"/>
  <c r="M2787" i="2"/>
  <c r="L2787" i="2"/>
  <c r="K2787" i="2"/>
  <c r="J2787" i="2"/>
  <c r="I2787" i="2"/>
  <c r="H2787" i="2"/>
  <c r="G2787" i="2"/>
  <c r="F2787" i="2"/>
  <c r="D2787" i="2"/>
  <c r="C2787" i="2"/>
  <c r="B2787" i="2"/>
  <c r="A2787" i="2"/>
  <c r="M2786" i="2"/>
  <c r="L2786" i="2"/>
  <c r="K2786" i="2"/>
  <c r="J2786" i="2"/>
  <c r="I2786" i="2"/>
  <c r="H2786" i="2"/>
  <c r="G2786" i="2"/>
  <c r="F2786" i="2"/>
  <c r="D2786" i="2"/>
  <c r="C2786" i="2"/>
  <c r="B2786" i="2"/>
  <c r="A2786" i="2"/>
  <c r="M2785" i="2"/>
  <c r="L2785" i="2"/>
  <c r="K2785" i="2"/>
  <c r="J2785" i="2"/>
  <c r="I2785" i="2"/>
  <c r="H2785" i="2"/>
  <c r="G2785" i="2"/>
  <c r="F2785" i="2"/>
  <c r="D2785" i="2"/>
  <c r="C2785" i="2"/>
  <c r="B2785" i="2"/>
  <c r="A2785" i="2"/>
  <c r="M2784" i="2"/>
  <c r="L2784" i="2"/>
  <c r="K2784" i="2"/>
  <c r="J2784" i="2"/>
  <c r="I2784" i="2"/>
  <c r="H2784" i="2"/>
  <c r="G2784" i="2"/>
  <c r="F2784" i="2"/>
  <c r="D2784" i="2"/>
  <c r="C2784" i="2"/>
  <c r="B2784" i="2"/>
  <c r="A2784" i="2"/>
  <c r="M2783" i="2"/>
  <c r="L2783" i="2"/>
  <c r="K2783" i="2"/>
  <c r="J2783" i="2"/>
  <c r="I2783" i="2"/>
  <c r="H2783" i="2"/>
  <c r="G2783" i="2"/>
  <c r="F2783" i="2"/>
  <c r="D2783" i="2"/>
  <c r="C2783" i="2"/>
  <c r="B2783" i="2"/>
  <c r="A2783" i="2"/>
  <c r="M2782" i="2"/>
  <c r="L2782" i="2"/>
  <c r="K2782" i="2"/>
  <c r="J2782" i="2"/>
  <c r="I2782" i="2"/>
  <c r="H2782" i="2"/>
  <c r="G2782" i="2"/>
  <c r="F2782" i="2"/>
  <c r="D2782" i="2"/>
  <c r="C2782" i="2"/>
  <c r="B2782" i="2"/>
  <c r="A2782" i="2"/>
  <c r="M2781" i="2"/>
  <c r="L2781" i="2"/>
  <c r="K2781" i="2"/>
  <c r="J2781" i="2"/>
  <c r="I2781" i="2"/>
  <c r="H2781" i="2"/>
  <c r="G2781" i="2"/>
  <c r="F2781" i="2"/>
  <c r="D2781" i="2"/>
  <c r="C2781" i="2"/>
  <c r="B2781" i="2"/>
  <c r="A2781" i="2"/>
  <c r="M2780" i="2"/>
  <c r="L2780" i="2"/>
  <c r="K2780" i="2"/>
  <c r="J2780" i="2"/>
  <c r="I2780" i="2"/>
  <c r="H2780" i="2"/>
  <c r="G2780" i="2"/>
  <c r="F2780" i="2"/>
  <c r="D2780" i="2"/>
  <c r="C2780" i="2"/>
  <c r="B2780" i="2"/>
  <c r="A2780" i="2"/>
  <c r="M2779" i="2"/>
  <c r="L2779" i="2"/>
  <c r="K2779" i="2"/>
  <c r="J2779" i="2"/>
  <c r="I2779" i="2"/>
  <c r="H2779" i="2"/>
  <c r="G2779" i="2"/>
  <c r="F2779" i="2"/>
  <c r="D2779" i="2"/>
  <c r="C2779" i="2"/>
  <c r="B2779" i="2"/>
  <c r="A2779" i="2"/>
  <c r="M2778" i="2"/>
  <c r="L2778" i="2"/>
  <c r="K2778" i="2"/>
  <c r="J2778" i="2"/>
  <c r="I2778" i="2"/>
  <c r="H2778" i="2"/>
  <c r="G2778" i="2"/>
  <c r="F2778" i="2"/>
  <c r="D2778" i="2"/>
  <c r="C2778" i="2"/>
  <c r="B2778" i="2"/>
  <c r="A2778" i="2"/>
  <c r="M2777" i="2"/>
  <c r="L2777" i="2"/>
  <c r="K2777" i="2"/>
  <c r="J2777" i="2"/>
  <c r="I2777" i="2"/>
  <c r="H2777" i="2"/>
  <c r="G2777" i="2"/>
  <c r="F2777" i="2"/>
  <c r="D2777" i="2"/>
  <c r="C2777" i="2"/>
  <c r="B2777" i="2"/>
  <c r="A2777" i="2"/>
  <c r="M2776" i="2"/>
  <c r="L2776" i="2"/>
  <c r="K2776" i="2"/>
  <c r="J2776" i="2"/>
  <c r="I2776" i="2"/>
  <c r="H2776" i="2"/>
  <c r="G2776" i="2"/>
  <c r="F2776" i="2"/>
  <c r="D2776" i="2"/>
  <c r="C2776" i="2"/>
  <c r="B2776" i="2"/>
  <c r="A2776" i="2"/>
  <c r="M2775" i="2"/>
  <c r="L2775" i="2"/>
  <c r="K2775" i="2"/>
  <c r="J2775" i="2"/>
  <c r="I2775" i="2"/>
  <c r="H2775" i="2"/>
  <c r="G2775" i="2"/>
  <c r="F2775" i="2"/>
  <c r="D2775" i="2"/>
  <c r="C2775" i="2"/>
  <c r="B2775" i="2"/>
  <c r="A2775" i="2"/>
  <c r="M2774" i="2"/>
  <c r="L2774" i="2"/>
  <c r="K2774" i="2"/>
  <c r="J2774" i="2"/>
  <c r="I2774" i="2"/>
  <c r="H2774" i="2"/>
  <c r="G2774" i="2"/>
  <c r="F2774" i="2"/>
  <c r="D2774" i="2"/>
  <c r="C2774" i="2"/>
  <c r="B2774" i="2"/>
  <c r="A2774" i="2"/>
  <c r="M2773" i="2"/>
  <c r="L2773" i="2"/>
  <c r="K2773" i="2"/>
  <c r="J2773" i="2"/>
  <c r="I2773" i="2"/>
  <c r="H2773" i="2"/>
  <c r="G2773" i="2"/>
  <c r="F2773" i="2"/>
  <c r="D2773" i="2"/>
  <c r="C2773" i="2"/>
  <c r="B2773" i="2"/>
  <c r="A2773" i="2"/>
  <c r="M2772" i="2"/>
  <c r="L2772" i="2"/>
  <c r="K2772" i="2"/>
  <c r="J2772" i="2"/>
  <c r="I2772" i="2"/>
  <c r="H2772" i="2"/>
  <c r="G2772" i="2"/>
  <c r="F2772" i="2"/>
  <c r="D2772" i="2"/>
  <c r="C2772" i="2"/>
  <c r="B2772" i="2"/>
  <c r="A2772" i="2"/>
  <c r="M2771" i="2"/>
  <c r="L2771" i="2"/>
  <c r="K2771" i="2"/>
  <c r="J2771" i="2"/>
  <c r="I2771" i="2"/>
  <c r="H2771" i="2"/>
  <c r="G2771" i="2"/>
  <c r="F2771" i="2"/>
  <c r="D2771" i="2"/>
  <c r="C2771" i="2"/>
  <c r="B2771" i="2"/>
  <c r="A2771" i="2"/>
  <c r="M2770" i="2"/>
  <c r="L2770" i="2"/>
  <c r="K2770" i="2"/>
  <c r="J2770" i="2"/>
  <c r="I2770" i="2"/>
  <c r="H2770" i="2"/>
  <c r="G2770" i="2"/>
  <c r="F2770" i="2"/>
  <c r="D2770" i="2"/>
  <c r="C2770" i="2"/>
  <c r="B2770" i="2"/>
  <c r="A2770" i="2"/>
  <c r="M2769" i="2"/>
  <c r="L2769" i="2"/>
  <c r="K2769" i="2"/>
  <c r="J2769" i="2"/>
  <c r="I2769" i="2"/>
  <c r="H2769" i="2"/>
  <c r="G2769" i="2"/>
  <c r="F2769" i="2"/>
  <c r="D2769" i="2"/>
  <c r="C2769" i="2"/>
  <c r="B2769" i="2"/>
  <c r="A2769" i="2"/>
  <c r="M2768" i="2"/>
  <c r="L2768" i="2"/>
  <c r="K2768" i="2"/>
  <c r="J2768" i="2"/>
  <c r="I2768" i="2"/>
  <c r="H2768" i="2"/>
  <c r="G2768" i="2"/>
  <c r="F2768" i="2"/>
  <c r="D2768" i="2"/>
  <c r="C2768" i="2"/>
  <c r="B2768" i="2"/>
  <c r="A2768" i="2"/>
  <c r="M2767" i="2"/>
  <c r="L2767" i="2"/>
  <c r="K2767" i="2"/>
  <c r="J2767" i="2"/>
  <c r="I2767" i="2"/>
  <c r="H2767" i="2"/>
  <c r="G2767" i="2"/>
  <c r="F2767" i="2"/>
  <c r="D2767" i="2"/>
  <c r="C2767" i="2"/>
  <c r="B2767" i="2"/>
  <c r="A2767" i="2"/>
  <c r="M2766" i="2"/>
  <c r="L2766" i="2"/>
  <c r="K2766" i="2"/>
  <c r="J2766" i="2"/>
  <c r="I2766" i="2"/>
  <c r="H2766" i="2"/>
  <c r="G2766" i="2"/>
  <c r="F2766" i="2"/>
  <c r="D2766" i="2"/>
  <c r="C2766" i="2"/>
  <c r="B2766" i="2"/>
  <c r="A2766" i="2"/>
  <c r="M2765" i="2"/>
  <c r="L2765" i="2"/>
  <c r="K2765" i="2"/>
  <c r="J2765" i="2"/>
  <c r="I2765" i="2"/>
  <c r="H2765" i="2"/>
  <c r="G2765" i="2"/>
  <c r="F2765" i="2"/>
  <c r="D2765" i="2"/>
  <c r="C2765" i="2"/>
  <c r="B2765" i="2"/>
  <c r="A2765" i="2"/>
  <c r="M2764" i="2"/>
  <c r="L2764" i="2"/>
  <c r="K2764" i="2"/>
  <c r="J2764" i="2"/>
  <c r="I2764" i="2"/>
  <c r="H2764" i="2"/>
  <c r="G2764" i="2"/>
  <c r="F2764" i="2"/>
  <c r="D2764" i="2"/>
  <c r="C2764" i="2"/>
  <c r="B2764" i="2"/>
  <c r="A2764" i="2"/>
  <c r="M2763" i="2"/>
  <c r="L2763" i="2"/>
  <c r="K2763" i="2"/>
  <c r="J2763" i="2"/>
  <c r="I2763" i="2"/>
  <c r="H2763" i="2"/>
  <c r="G2763" i="2"/>
  <c r="F2763" i="2"/>
  <c r="D2763" i="2"/>
  <c r="C2763" i="2"/>
  <c r="B2763" i="2"/>
  <c r="A2763" i="2"/>
  <c r="M2762" i="2"/>
  <c r="L2762" i="2"/>
  <c r="K2762" i="2"/>
  <c r="J2762" i="2"/>
  <c r="I2762" i="2"/>
  <c r="H2762" i="2"/>
  <c r="G2762" i="2"/>
  <c r="F2762" i="2"/>
  <c r="D2762" i="2"/>
  <c r="C2762" i="2"/>
  <c r="B2762" i="2"/>
  <c r="A2762" i="2"/>
  <c r="M2761" i="2"/>
  <c r="L2761" i="2"/>
  <c r="K2761" i="2"/>
  <c r="J2761" i="2"/>
  <c r="I2761" i="2"/>
  <c r="H2761" i="2"/>
  <c r="G2761" i="2"/>
  <c r="F2761" i="2"/>
  <c r="D2761" i="2"/>
  <c r="C2761" i="2"/>
  <c r="B2761" i="2"/>
  <c r="A2761" i="2"/>
  <c r="M2760" i="2"/>
  <c r="L2760" i="2"/>
  <c r="K2760" i="2"/>
  <c r="J2760" i="2"/>
  <c r="I2760" i="2"/>
  <c r="H2760" i="2"/>
  <c r="G2760" i="2"/>
  <c r="F2760" i="2"/>
  <c r="D2760" i="2"/>
  <c r="C2760" i="2"/>
  <c r="B2760" i="2"/>
  <c r="A2760" i="2"/>
  <c r="M2759" i="2"/>
  <c r="L2759" i="2"/>
  <c r="K2759" i="2"/>
  <c r="J2759" i="2"/>
  <c r="I2759" i="2"/>
  <c r="H2759" i="2"/>
  <c r="G2759" i="2"/>
  <c r="F2759" i="2"/>
  <c r="D2759" i="2"/>
  <c r="C2759" i="2"/>
  <c r="B2759" i="2"/>
  <c r="A2759" i="2"/>
  <c r="M2758" i="2"/>
  <c r="L2758" i="2"/>
  <c r="K2758" i="2"/>
  <c r="J2758" i="2"/>
  <c r="I2758" i="2"/>
  <c r="H2758" i="2"/>
  <c r="G2758" i="2"/>
  <c r="F2758" i="2"/>
  <c r="D2758" i="2"/>
  <c r="C2758" i="2"/>
  <c r="B2758" i="2"/>
  <c r="A2758" i="2"/>
  <c r="M2757" i="2"/>
  <c r="L2757" i="2"/>
  <c r="K2757" i="2"/>
  <c r="J2757" i="2"/>
  <c r="I2757" i="2"/>
  <c r="H2757" i="2"/>
  <c r="G2757" i="2"/>
  <c r="F2757" i="2"/>
  <c r="D2757" i="2"/>
  <c r="C2757" i="2"/>
  <c r="B2757" i="2"/>
  <c r="A2757" i="2"/>
  <c r="M2756" i="2"/>
  <c r="L2756" i="2"/>
  <c r="K2756" i="2"/>
  <c r="J2756" i="2"/>
  <c r="I2756" i="2"/>
  <c r="H2756" i="2"/>
  <c r="G2756" i="2"/>
  <c r="F2756" i="2"/>
  <c r="C2756" i="2"/>
  <c r="B2756" i="2"/>
  <c r="A2756" i="2"/>
  <c r="M2755" i="2"/>
  <c r="L2755" i="2"/>
  <c r="K2755" i="2"/>
  <c r="J2755" i="2"/>
  <c r="I2755" i="2"/>
  <c r="H2755" i="2"/>
  <c r="G2755" i="2"/>
  <c r="F2755" i="2"/>
  <c r="C2755" i="2"/>
  <c r="B2755" i="2"/>
  <c r="A2755" i="2"/>
  <c r="M2754" i="2"/>
  <c r="L2754" i="2"/>
  <c r="K2754" i="2"/>
  <c r="J2754" i="2"/>
  <c r="I2754" i="2"/>
  <c r="H2754" i="2"/>
  <c r="G2754" i="2"/>
  <c r="F2754" i="2"/>
  <c r="D2754" i="2"/>
  <c r="C2754" i="2"/>
  <c r="B2754" i="2"/>
  <c r="A2754" i="2"/>
  <c r="M2753" i="2"/>
  <c r="L2753" i="2"/>
  <c r="K2753" i="2"/>
  <c r="J2753" i="2"/>
  <c r="I2753" i="2"/>
  <c r="H2753" i="2"/>
  <c r="G2753" i="2"/>
  <c r="F2753" i="2"/>
  <c r="D2753" i="2"/>
  <c r="C2753" i="2"/>
  <c r="B2753" i="2"/>
  <c r="A2753" i="2"/>
  <c r="M2752" i="2"/>
  <c r="L2752" i="2"/>
  <c r="K2752" i="2"/>
  <c r="I2752" i="2"/>
  <c r="H2752" i="2"/>
  <c r="G2752" i="2"/>
  <c r="F2752" i="2"/>
  <c r="C2752" i="2"/>
  <c r="B2752" i="2"/>
  <c r="A2752" i="2"/>
  <c r="M2751" i="2"/>
  <c r="L2751" i="2"/>
  <c r="K2751" i="2"/>
  <c r="I2751" i="2"/>
  <c r="H2751" i="2"/>
  <c r="G2751" i="2"/>
  <c r="F2751" i="2"/>
  <c r="C2751" i="2"/>
  <c r="B2751" i="2"/>
  <c r="A2751" i="2"/>
  <c r="M2750" i="2"/>
  <c r="L2750" i="2"/>
  <c r="K2750" i="2"/>
  <c r="I2750" i="2"/>
  <c r="H2750" i="2"/>
  <c r="G2750" i="2"/>
  <c r="F2750" i="2"/>
  <c r="C2750" i="2"/>
  <c r="B2750" i="2"/>
  <c r="A2750" i="2"/>
  <c r="M2749" i="2"/>
  <c r="L2749" i="2"/>
  <c r="K2749" i="2"/>
  <c r="I2749" i="2"/>
  <c r="H2749" i="2"/>
  <c r="G2749" i="2"/>
  <c r="F2749" i="2"/>
  <c r="D2749" i="2"/>
  <c r="C2749" i="2"/>
  <c r="B2749" i="2"/>
  <c r="A2749" i="2"/>
  <c r="M2748" i="2"/>
  <c r="L2748" i="2"/>
  <c r="K2748" i="2"/>
  <c r="I2748" i="2"/>
  <c r="H2748" i="2"/>
  <c r="G2748" i="2"/>
  <c r="F2748" i="2"/>
  <c r="D2748" i="2"/>
  <c r="C2748" i="2"/>
  <c r="B2748" i="2"/>
  <c r="A2748" i="2"/>
  <c r="M2747" i="2"/>
  <c r="L2747" i="2"/>
  <c r="K2747" i="2"/>
  <c r="I2747" i="2"/>
  <c r="H2747" i="2"/>
  <c r="G2747" i="2"/>
  <c r="F2747" i="2"/>
  <c r="D2747" i="2"/>
  <c r="C2747" i="2"/>
  <c r="B2747" i="2"/>
  <c r="A2747" i="2"/>
  <c r="M2746" i="2"/>
  <c r="L2746" i="2"/>
  <c r="K2746" i="2"/>
  <c r="I2746" i="2"/>
  <c r="H2746" i="2"/>
  <c r="G2746" i="2"/>
  <c r="F2746" i="2"/>
  <c r="D2746" i="2"/>
  <c r="C2746" i="2"/>
  <c r="B2746" i="2"/>
  <c r="A2746" i="2"/>
  <c r="M2745" i="2"/>
  <c r="L2745" i="2"/>
  <c r="K2745" i="2"/>
  <c r="I2745" i="2"/>
  <c r="H2745" i="2"/>
  <c r="G2745" i="2"/>
  <c r="F2745" i="2"/>
  <c r="D2745" i="2"/>
  <c r="C2745" i="2"/>
  <c r="B2745" i="2"/>
  <c r="A2745" i="2"/>
  <c r="M2744" i="2"/>
  <c r="L2744" i="2"/>
  <c r="I2744" i="2"/>
  <c r="H2744" i="2"/>
  <c r="G2744" i="2"/>
  <c r="F2744" i="2"/>
  <c r="D2744" i="2"/>
  <c r="C2744" i="2"/>
  <c r="B2744" i="2"/>
  <c r="A2744" i="2"/>
  <c r="M2743" i="2"/>
  <c r="L2743" i="2"/>
  <c r="I2743" i="2"/>
  <c r="H2743" i="2"/>
  <c r="G2743" i="2"/>
  <c r="F2743" i="2"/>
  <c r="D2743" i="2"/>
  <c r="C2743" i="2"/>
  <c r="B2743" i="2"/>
  <c r="A2743" i="2"/>
  <c r="M2742" i="2"/>
  <c r="L2742" i="2"/>
  <c r="I2742" i="2"/>
  <c r="H2742" i="2"/>
  <c r="G2742" i="2"/>
  <c r="F2742" i="2"/>
  <c r="D2742" i="2"/>
  <c r="C2742" i="2"/>
  <c r="B2742" i="2"/>
  <c r="A2742" i="2"/>
  <c r="M2741" i="2"/>
  <c r="L2741" i="2"/>
  <c r="I2741" i="2"/>
  <c r="H2741" i="2"/>
  <c r="G2741" i="2"/>
  <c r="F2741" i="2"/>
  <c r="D2741" i="2"/>
  <c r="C2741" i="2"/>
  <c r="B2741" i="2"/>
  <c r="A2741" i="2"/>
  <c r="M2740" i="2"/>
  <c r="L2740" i="2"/>
  <c r="K2740" i="2"/>
  <c r="I2740" i="2"/>
  <c r="H2740" i="2"/>
  <c r="G2740" i="2"/>
  <c r="F2740" i="2"/>
  <c r="D2740" i="2"/>
  <c r="C2740" i="2"/>
  <c r="B2740" i="2"/>
  <c r="A2740" i="2"/>
  <c r="M2739" i="2"/>
  <c r="L2739" i="2"/>
  <c r="K2739" i="2"/>
  <c r="I2739" i="2"/>
  <c r="H2739" i="2"/>
  <c r="G2739" i="2"/>
  <c r="F2739" i="2"/>
  <c r="D2739" i="2"/>
  <c r="C2739" i="2"/>
  <c r="B2739" i="2"/>
  <c r="A2739" i="2"/>
  <c r="M2738" i="2"/>
  <c r="L2738" i="2"/>
  <c r="K2738" i="2"/>
  <c r="I2738" i="2"/>
  <c r="H2738" i="2"/>
  <c r="G2738" i="2"/>
  <c r="F2738" i="2"/>
  <c r="D2738" i="2"/>
  <c r="C2738" i="2"/>
  <c r="B2738" i="2"/>
  <c r="A2738" i="2"/>
  <c r="M2737" i="2"/>
  <c r="L2737" i="2"/>
  <c r="K2737" i="2"/>
  <c r="I2737" i="2"/>
  <c r="H2737" i="2"/>
  <c r="G2737" i="2"/>
  <c r="F2737" i="2"/>
  <c r="D2737" i="2"/>
  <c r="C2737" i="2"/>
  <c r="B2737" i="2"/>
  <c r="A2737" i="2"/>
  <c r="M2736" i="2"/>
  <c r="L2736" i="2"/>
  <c r="K2736" i="2"/>
  <c r="I2736" i="2"/>
  <c r="H2736" i="2"/>
  <c r="G2736" i="2"/>
  <c r="F2736" i="2"/>
  <c r="D2736" i="2"/>
  <c r="C2736" i="2"/>
  <c r="B2736" i="2"/>
  <c r="A2736" i="2"/>
  <c r="M2735" i="2"/>
  <c r="L2735" i="2"/>
  <c r="K2735" i="2"/>
  <c r="I2735" i="2"/>
  <c r="H2735" i="2"/>
  <c r="G2735" i="2"/>
  <c r="F2735" i="2"/>
  <c r="D2735" i="2"/>
  <c r="C2735" i="2"/>
  <c r="B2735" i="2"/>
  <c r="A2735" i="2"/>
  <c r="M2734" i="2"/>
  <c r="L2734" i="2"/>
  <c r="K2734" i="2"/>
  <c r="I2734" i="2"/>
  <c r="H2734" i="2"/>
  <c r="G2734" i="2"/>
  <c r="F2734" i="2"/>
  <c r="D2734" i="2"/>
  <c r="C2734" i="2"/>
  <c r="B2734" i="2"/>
  <c r="A2734" i="2"/>
  <c r="M2733" i="2"/>
  <c r="L2733" i="2"/>
  <c r="K2733" i="2"/>
  <c r="I2733" i="2"/>
  <c r="H2733" i="2"/>
  <c r="G2733" i="2"/>
  <c r="F2733" i="2"/>
  <c r="D2733" i="2"/>
  <c r="C2733" i="2"/>
  <c r="B2733" i="2"/>
  <c r="A2733" i="2"/>
  <c r="M2732" i="2"/>
  <c r="L2732" i="2"/>
  <c r="K2732" i="2"/>
  <c r="I2732" i="2"/>
  <c r="H2732" i="2"/>
  <c r="G2732" i="2"/>
  <c r="F2732" i="2"/>
  <c r="D2732" i="2"/>
  <c r="C2732" i="2"/>
  <c r="B2732" i="2"/>
  <c r="A2732" i="2"/>
  <c r="M2731" i="2"/>
  <c r="L2731" i="2"/>
  <c r="K2731" i="2"/>
  <c r="I2731" i="2"/>
  <c r="H2731" i="2"/>
  <c r="G2731" i="2"/>
  <c r="F2731" i="2"/>
  <c r="D2731" i="2"/>
  <c r="C2731" i="2"/>
  <c r="B2731" i="2"/>
  <c r="A2731" i="2"/>
  <c r="M2730" i="2"/>
  <c r="L2730" i="2"/>
  <c r="K2730" i="2"/>
  <c r="I2730" i="2"/>
  <c r="H2730" i="2"/>
  <c r="G2730" i="2"/>
  <c r="F2730" i="2"/>
  <c r="D2730" i="2"/>
  <c r="C2730" i="2"/>
  <c r="B2730" i="2"/>
  <c r="A2730" i="2"/>
  <c r="M2729" i="2"/>
  <c r="L2729" i="2"/>
  <c r="K2729" i="2"/>
  <c r="I2729" i="2"/>
  <c r="H2729" i="2"/>
  <c r="G2729" i="2"/>
  <c r="F2729" i="2"/>
  <c r="D2729" i="2"/>
  <c r="C2729" i="2"/>
  <c r="B2729" i="2"/>
  <c r="A2729" i="2"/>
  <c r="M2728" i="2"/>
  <c r="L2728" i="2"/>
  <c r="K2728" i="2"/>
  <c r="I2728" i="2"/>
  <c r="H2728" i="2"/>
  <c r="G2728" i="2"/>
  <c r="F2728" i="2"/>
  <c r="D2728" i="2"/>
  <c r="C2728" i="2"/>
  <c r="B2728" i="2"/>
  <c r="A2728" i="2"/>
  <c r="M2727" i="2"/>
  <c r="L2727" i="2"/>
  <c r="K2727" i="2"/>
  <c r="I2727" i="2"/>
  <c r="H2727" i="2"/>
  <c r="G2727" i="2"/>
  <c r="F2727" i="2"/>
  <c r="D2727" i="2"/>
  <c r="C2727" i="2"/>
  <c r="B2727" i="2"/>
  <c r="A2727" i="2"/>
  <c r="M2726" i="2"/>
  <c r="L2726" i="2"/>
  <c r="K2726" i="2"/>
  <c r="I2726" i="2"/>
  <c r="H2726" i="2"/>
  <c r="G2726" i="2"/>
  <c r="F2726" i="2"/>
  <c r="D2726" i="2"/>
  <c r="C2726" i="2"/>
  <c r="B2726" i="2"/>
  <c r="A2726" i="2"/>
  <c r="M2725" i="2"/>
  <c r="L2725" i="2"/>
  <c r="K2725" i="2"/>
  <c r="I2725" i="2"/>
  <c r="H2725" i="2"/>
  <c r="G2725" i="2"/>
  <c r="F2725" i="2"/>
  <c r="D2725" i="2"/>
  <c r="C2725" i="2"/>
  <c r="B2725" i="2"/>
  <c r="A2725" i="2"/>
  <c r="M2724" i="2"/>
  <c r="L2724" i="2"/>
  <c r="K2724" i="2"/>
  <c r="I2724" i="2"/>
  <c r="H2724" i="2"/>
  <c r="G2724" i="2"/>
  <c r="F2724" i="2"/>
  <c r="D2724" i="2"/>
  <c r="C2724" i="2"/>
  <c r="B2724" i="2"/>
  <c r="A2724" i="2"/>
  <c r="M2723" i="2"/>
  <c r="L2723" i="2"/>
  <c r="K2723" i="2"/>
  <c r="I2723" i="2"/>
  <c r="H2723" i="2"/>
  <c r="G2723" i="2"/>
  <c r="F2723" i="2"/>
  <c r="D2723" i="2"/>
  <c r="C2723" i="2"/>
  <c r="B2723" i="2"/>
  <c r="A2723" i="2"/>
  <c r="M2722" i="2"/>
  <c r="L2722" i="2"/>
  <c r="K2722" i="2"/>
  <c r="I2722" i="2"/>
  <c r="H2722" i="2"/>
  <c r="G2722" i="2"/>
  <c r="F2722" i="2"/>
  <c r="D2722" i="2"/>
  <c r="C2722" i="2"/>
  <c r="B2722" i="2"/>
  <c r="A2722" i="2"/>
  <c r="M2721" i="2"/>
  <c r="L2721" i="2"/>
  <c r="K2721" i="2"/>
  <c r="I2721" i="2"/>
  <c r="H2721" i="2"/>
  <c r="G2721" i="2"/>
  <c r="F2721" i="2"/>
  <c r="D2721" i="2"/>
  <c r="C2721" i="2"/>
  <c r="B2721" i="2"/>
  <c r="A2721" i="2"/>
  <c r="M2720" i="2"/>
  <c r="L2720" i="2"/>
  <c r="K2720" i="2"/>
  <c r="I2720" i="2"/>
  <c r="H2720" i="2"/>
  <c r="G2720" i="2"/>
  <c r="F2720" i="2"/>
  <c r="D2720" i="2"/>
  <c r="C2720" i="2"/>
  <c r="B2720" i="2"/>
  <c r="A2720" i="2"/>
  <c r="M2719" i="2"/>
  <c r="L2719" i="2"/>
  <c r="K2719" i="2"/>
  <c r="I2719" i="2"/>
  <c r="H2719" i="2"/>
  <c r="G2719" i="2"/>
  <c r="F2719" i="2"/>
  <c r="D2719" i="2"/>
  <c r="C2719" i="2"/>
  <c r="B2719" i="2"/>
  <c r="A2719" i="2"/>
  <c r="M2718" i="2"/>
  <c r="L2718" i="2"/>
  <c r="K2718" i="2"/>
  <c r="I2718" i="2"/>
  <c r="H2718" i="2"/>
  <c r="G2718" i="2"/>
  <c r="F2718" i="2"/>
  <c r="D2718" i="2"/>
  <c r="C2718" i="2"/>
  <c r="B2718" i="2"/>
  <c r="A2718" i="2"/>
  <c r="M2717" i="2"/>
  <c r="L2717" i="2"/>
  <c r="K2717" i="2"/>
  <c r="I2717" i="2"/>
  <c r="H2717" i="2"/>
  <c r="G2717" i="2"/>
  <c r="F2717" i="2"/>
  <c r="D2717" i="2"/>
  <c r="C2717" i="2"/>
  <c r="B2717" i="2"/>
  <c r="A2717" i="2"/>
  <c r="M2716" i="2"/>
  <c r="L2716" i="2"/>
  <c r="K2716" i="2"/>
  <c r="J2716" i="2"/>
  <c r="I2716" i="2"/>
  <c r="H2716" i="2"/>
  <c r="G2716" i="2"/>
  <c r="F2716" i="2"/>
  <c r="D2716" i="2"/>
  <c r="C2716" i="2"/>
  <c r="B2716" i="2"/>
  <c r="A2716" i="2"/>
  <c r="M2715" i="2"/>
  <c r="L2715" i="2"/>
  <c r="K2715" i="2"/>
  <c r="J2715" i="2"/>
  <c r="I2715" i="2"/>
  <c r="H2715" i="2"/>
  <c r="G2715" i="2"/>
  <c r="F2715" i="2"/>
  <c r="D2715" i="2"/>
  <c r="C2715" i="2"/>
  <c r="B2715" i="2"/>
  <c r="A2715" i="2"/>
  <c r="M2714" i="2"/>
  <c r="L2714" i="2"/>
  <c r="K2714" i="2"/>
  <c r="J2714" i="2"/>
  <c r="I2714" i="2"/>
  <c r="H2714" i="2"/>
  <c r="G2714" i="2"/>
  <c r="F2714" i="2"/>
  <c r="D2714" i="2"/>
  <c r="C2714" i="2"/>
  <c r="B2714" i="2"/>
  <c r="A2714" i="2"/>
  <c r="M2713" i="2"/>
  <c r="L2713" i="2"/>
  <c r="K2713" i="2"/>
  <c r="J2713" i="2"/>
  <c r="I2713" i="2"/>
  <c r="H2713" i="2"/>
  <c r="G2713" i="2"/>
  <c r="F2713" i="2"/>
  <c r="D2713" i="2"/>
  <c r="C2713" i="2"/>
  <c r="B2713" i="2"/>
  <c r="A2713" i="2"/>
  <c r="M2712" i="2"/>
  <c r="L2712" i="2"/>
  <c r="K2712" i="2"/>
  <c r="J2712" i="2"/>
  <c r="I2712" i="2"/>
  <c r="H2712" i="2"/>
  <c r="G2712" i="2"/>
  <c r="F2712" i="2"/>
  <c r="D2712" i="2"/>
  <c r="C2712" i="2"/>
  <c r="B2712" i="2"/>
  <c r="A2712" i="2"/>
  <c r="M2711" i="2"/>
  <c r="L2711" i="2"/>
  <c r="K2711" i="2"/>
  <c r="J2711" i="2"/>
  <c r="I2711" i="2"/>
  <c r="H2711" i="2"/>
  <c r="G2711" i="2"/>
  <c r="F2711" i="2"/>
  <c r="D2711" i="2"/>
  <c r="C2711" i="2"/>
  <c r="B2711" i="2"/>
  <c r="A2711" i="2"/>
  <c r="M2710" i="2"/>
  <c r="L2710" i="2"/>
  <c r="K2710" i="2"/>
  <c r="J2710" i="2"/>
  <c r="I2710" i="2"/>
  <c r="H2710" i="2"/>
  <c r="G2710" i="2"/>
  <c r="F2710" i="2"/>
  <c r="D2710" i="2"/>
  <c r="C2710" i="2"/>
  <c r="B2710" i="2"/>
  <c r="A2710" i="2"/>
  <c r="M2709" i="2"/>
  <c r="L2709" i="2"/>
  <c r="K2709" i="2"/>
  <c r="J2709" i="2"/>
  <c r="I2709" i="2"/>
  <c r="H2709" i="2"/>
  <c r="G2709" i="2"/>
  <c r="F2709" i="2"/>
  <c r="D2709" i="2"/>
  <c r="C2709" i="2"/>
  <c r="B2709" i="2"/>
  <c r="A2709" i="2"/>
  <c r="M2708" i="2"/>
  <c r="L2708" i="2"/>
  <c r="K2708" i="2"/>
  <c r="J2708" i="2"/>
  <c r="I2708" i="2"/>
  <c r="H2708" i="2"/>
  <c r="G2708" i="2"/>
  <c r="F2708" i="2"/>
  <c r="D2708" i="2"/>
  <c r="C2708" i="2"/>
  <c r="B2708" i="2"/>
  <c r="A2708" i="2"/>
  <c r="M2707" i="2"/>
  <c r="L2707" i="2"/>
  <c r="K2707" i="2"/>
  <c r="J2707" i="2"/>
  <c r="I2707" i="2"/>
  <c r="H2707" i="2"/>
  <c r="G2707" i="2"/>
  <c r="F2707" i="2"/>
  <c r="D2707" i="2"/>
  <c r="C2707" i="2"/>
  <c r="B2707" i="2"/>
  <c r="A2707" i="2"/>
  <c r="M2706" i="2"/>
  <c r="L2706" i="2"/>
  <c r="K2706" i="2"/>
  <c r="J2706" i="2"/>
  <c r="I2706" i="2"/>
  <c r="H2706" i="2"/>
  <c r="G2706" i="2"/>
  <c r="F2706" i="2"/>
  <c r="D2706" i="2"/>
  <c r="C2706" i="2"/>
  <c r="B2706" i="2"/>
  <c r="A2706" i="2"/>
  <c r="M2705" i="2"/>
  <c r="L2705" i="2"/>
  <c r="K2705" i="2"/>
  <c r="J2705" i="2"/>
  <c r="I2705" i="2"/>
  <c r="H2705" i="2"/>
  <c r="G2705" i="2"/>
  <c r="F2705" i="2"/>
  <c r="D2705" i="2"/>
  <c r="C2705" i="2"/>
  <c r="B2705" i="2"/>
  <c r="A2705" i="2"/>
  <c r="M2704" i="2"/>
  <c r="L2704" i="2"/>
  <c r="K2704" i="2"/>
  <c r="J2704" i="2"/>
  <c r="I2704" i="2"/>
  <c r="H2704" i="2"/>
  <c r="G2704" i="2"/>
  <c r="F2704" i="2"/>
  <c r="D2704" i="2"/>
  <c r="C2704" i="2"/>
  <c r="B2704" i="2"/>
  <c r="A2704" i="2"/>
  <c r="M2703" i="2"/>
  <c r="L2703" i="2"/>
  <c r="K2703" i="2"/>
  <c r="J2703" i="2"/>
  <c r="I2703" i="2"/>
  <c r="H2703" i="2"/>
  <c r="G2703" i="2"/>
  <c r="F2703" i="2"/>
  <c r="D2703" i="2"/>
  <c r="C2703" i="2"/>
  <c r="B2703" i="2"/>
  <c r="A2703" i="2"/>
  <c r="M2702" i="2"/>
  <c r="L2702" i="2"/>
  <c r="K2702" i="2"/>
  <c r="J2702" i="2"/>
  <c r="I2702" i="2"/>
  <c r="H2702" i="2"/>
  <c r="G2702" i="2"/>
  <c r="F2702" i="2"/>
  <c r="D2702" i="2"/>
  <c r="C2702" i="2"/>
  <c r="B2702" i="2"/>
  <c r="A2702" i="2"/>
  <c r="M2701" i="2"/>
  <c r="L2701" i="2"/>
  <c r="K2701" i="2"/>
  <c r="J2701" i="2"/>
  <c r="I2701" i="2"/>
  <c r="H2701" i="2"/>
  <c r="G2701" i="2"/>
  <c r="F2701" i="2"/>
  <c r="D2701" i="2"/>
  <c r="C2701" i="2"/>
  <c r="B2701" i="2"/>
  <c r="A2701" i="2"/>
  <c r="M2700" i="2"/>
  <c r="L2700" i="2"/>
  <c r="K2700" i="2"/>
  <c r="J2700" i="2"/>
  <c r="I2700" i="2"/>
  <c r="H2700" i="2"/>
  <c r="G2700" i="2"/>
  <c r="F2700" i="2"/>
  <c r="D2700" i="2"/>
  <c r="C2700" i="2"/>
  <c r="B2700" i="2"/>
  <c r="A2700" i="2"/>
  <c r="M2699" i="2"/>
  <c r="L2699" i="2"/>
  <c r="K2699" i="2"/>
  <c r="J2699" i="2"/>
  <c r="I2699" i="2"/>
  <c r="H2699" i="2"/>
  <c r="G2699" i="2"/>
  <c r="F2699" i="2"/>
  <c r="D2699" i="2"/>
  <c r="C2699" i="2"/>
  <c r="B2699" i="2"/>
  <c r="A2699" i="2"/>
  <c r="M2698" i="2"/>
  <c r="L2698" i="2"/>
  <c r="K2698" i="2"/>
  <c r="J2698" i="2"/>
  <c r="I2698" i="2"/>
  <c r="H2698" i="2"/>
  <c r="G2698" i="2"/>
  <c r="F2698" i="2"/>
  <c r="D2698" i="2"/>
  <c r="C2698" i="2"/>
  <c r="B2698" i="2"/>
  <c r="A2698" i="2"/>
  <c r="M2697" i="2"/>
  <c r="L2697" i="2"/>
  <c r="K2697" i="2"/>
  <c r="J2697" i="2"/>
  <c r="I2697" i="2"/>
  <c r="H2697" i="2"/>
  <c r="G2697" i="2"/>
  <c r="F2697" i="2"/>
  <c r="D2697" i="2"/>
  <c r="C2697" i="2"/>
  <c r="B2697" i="2"/>
  <c r="A2697" i="2"/>
  <c r="M2696" i="2"/>
  <c r="L2696" i="2"/>
  <c r="K2696" i="2"/>
  <c r="J2696" i="2"/>
  <c r="I2696" i="2"/>
  <c r="H2696" i="2"/>
  <c r="G2696" i="2"/>
  <c r="F2696" i="2"/>
  <c r="D2696" i="2"/>
  <c r="C2696" i="2"/>
  <c r="B2696" i="2"/>
  <c r="A2696" i="2"/>
  <c r="M2695" i="2"/>
  <c r="L2695" i="2"/>
  <c r="K2695" i="2"/>
  <c r="J2695" i="2"/>
  <c r="I2695" i="2"/>
  <c r="H2695" i="2"/>
  <c r="G2695" i="2"/>
  <c r="F2695" i="2"/>
  <c r="D2695" i="2"/>
  <c r="C2695" i="2"/>
  <c r="B2695" i="2"/>
  <c r="A2695" i="2"/>
  <c r="M2694" i="2"/>
  <c r="L2694" i="2"/>
  <c r="K2694" i="2"/>
  <c r="J2694" i="2"/>
  <c r="I2694" i="2"/>
  <c r="H2694" i="2"/>
  <c r="G2694" i="2"/>
  <c r="F2694" i="2"/>
  <c r="D2694" i="2"/>
  <c r="C2694" i="2"/>
  <c r="B2694" i="2"/>
  <c r="A2694" i="2"/>
  <c r="M2693" i="2"/>
  <c r="L2693" i="2"/>
  <c r="K2693" i="2"/>
  <c r="J2693" i="2"/>
  <c r="I2693" i="2"/>
  <c r="H2693" i="2"/>
  <c r="G2693" i="2"/>
  <c r="F2693" i="2"/>
  <c r="D2693" i="2"/>
  <c r="C2693" i="2"/>
  <c r="B2693" i="2"/>
  <c r="A2693" i="2"/>
  <c r="M2692" i="2"/>
  <c r="L2692" i="2"/>
  <c r="K2692" i="2"/>
  <c r="J2692" i="2"/>
  <c r="I2692" i="2"/>
  <c r="H2692" i="2"/>
  <c r="G2692" i="2"/>
  <c r="F2692" i="2"/>
  <c r="D2692" i="2"/>
  <c r="C2692" i="2"/>
  <c r="B2692" i="2"/>
  <c r="A2692" i="2"/>
  <c r="M2691" i="2"/>
  <c r="L2691" i="2"/>
  <c r="K2691" i="2"/>
  <c r="J2691" i="2"/>
  <c r="I2691" i="2"/>
  <c r="H2691" i="2"/>
  <c r="G2691" i="2"/>
  <c r="F2691" i="2"/>
  <c r="D2691" i="2"/>
  <c r="C2691" i="2"/>
  <c r="B2691" i="2"/>
  <c r="A2691" i="2"/>
  <c r="M2690" i="2"/>
  <c r="L2690" i="2"/>
  <c r="K2690" i="2"/>
  <c r="J2690" i="2"/>
  <c r="I2690" i="2"/>
  <c r="H2690" i="2"/>
  <c r="G2690" i="2"/>
  <c r="F2690" i="2"/>
  <c r="D2690" i="2"/>
  <c r="C2690" i="2"/>
  <c r="B2690" i="2"/>
  <c r="A2690" i="2"/>
  <c r="M2689" i="2"/>
  <c r="L2689" i="2"/>
  <c r="K2689" i="2"/>
  <c r="J2689" i="2"/>
  <c r="I2689" i="2"/>
  <c r="H2689" i="2"/>
  <c r="G2689" i="2"/>
  <c r="F2689" i="2"/>
  <c r="D2689" i="2"/>
  <c r="C2689" i="2"/>
  <c r="B2689" i="2"/>
  <c r="A2689" i="2"/>
  <c r="M2688" i="2"/>
  <c r="L2688" i="2"/>
  <c r="K2688" i="2"/>
  <c r="J2688" i="2"/>
  <c r="I2688" i="2"/>
  <c r="H2688" i="2"/>
  <c r="G2688" i="2"/>
  <c r="F2688" i="2"/>
  <c r="D2688" i="2"/>
  <c r="C2688" i="2"/>
  <c r="B2688" i="2"/>
  <c r="A2688" i="2"/>
  <c r="M2687" i="2"/>
  <c r="L2687" i="2"/>
  <c r="K2687" i="2"/>
  <c r="J2687" i="2"/>
  <c r="I2687" i="2"/>
  <c r="H2687" i="2"/>
  <c r="G2687" i="2"/>
  <c r="F2687" i="2"/>
  <c r="D2687" i="2"/>
  <c r="C2687" i="2"/>
  <c r="B2687" i="2"/>
  <c r="A2687" i="2"/>
  <c r="M2686" i="2"/>
  <c r="L2686" i="2"/>
  <c r="K2686" i="2"/>
  <c r="J2686" i="2"/>
  <c r="I2686" i="2"/>
  <c r="H2686" i="2"/>
  <c r="G2686" i="2"/>
  <c r="F2686" i="2"/>
  <c r="D2686" i="2"/>
  <c r="C2686" i="2"/>
  <c r="B2686" i="2"/>
  <c r="A2686" i="2"/>
  <c r="M2685" i="2"/>
  <c r="L2685" i="2"/>
  <c r="K2685" i="2"/>
  <c r="J2685" i="2"/>
  <c r="I2685" i="2"/>
  <c r="H2685" i="2"/>
  <c r="G2685" i="2"/>
  <c r="F2685" i="2"/>
  <c r="D2685" i="2"/>
  <c r="C2685" i="2"/>
  <c r="B2685" i="2"/>
  <c r="A2685" i="2"/>
  <c r="M2684" i="2"/>
  <c r="L2684" i="2"/>
  <c r="K2684" i="2"/>
  <c r="J2684" i="2"/>
  <c r="I2684" i="2"/>
  <c r="H2684" i="2"/>
  <c r="G2684" i="2"/>
  <c r="F2684" i="2"/>
  <c r="D2684" i="2"/>
  <c r="C2684" i="2"/>
  <c r="B2684" i="2"/>
  <c r="A2684" i="2"/>
  <c r="M2683" i="2"/>
  <c r="L2683" i="2"/>
  <c r="K2683" i="2"/>
  <c r="J2683" i="2"/>
  <c r="I2683" i="2"/>
  <c r="H2683" i="2"/>
  <c r="G2683" i="2"/>
  <c r="F2683" i="2"/>
  <c r="D2683" i="2"/>
  <c r="C2683" i="2"/>
  <c r="B2683" i="2"/>
  <c r="A2683" i="2"/>
  <c r="F2682" i="2"/>
  <c r="C2682" i="2"/>
  <c r="B2682" i="2"/>
  <c r="A2682" i="2"/>
  <c r="M2681" i="2"/>
  <c r="L2681" i="2"/>
  <c r="K2681" i="2"/>
  <c r="J2681" i="2"/>
  <c r="I2681" i="2"/>
  <c r="H2681" i="2"/>
  <c r="G2681" i="2"/>
  <c r="F2681" i="2"/>
  <c r="E2681" i="2"/>
  <c r="D2681" i="2"/>
  <c r="C2681" i="2"/>
  <c r="B2681" i="2"/>
  <c r="A2681" i="2"/>
  <c r="M2680" i="2"/>
  <c r="L2680" i="2"/>
  <c r="K2680" i="2"/>
  <c r="J2680" i="2"/>
  <c r="I2680" i="2"/>
  <c r="H2680" i="2"/>
  <c r="F2680" i="2"/>
  <c r="E2680" i="2"/>
  <c r="D2680" i="2"/>
  <c r="C2680" i="2"/>
  <c r="B2680" i="2"/>
  <c r="A2680" i="2"/>
  <c r="M2679" i="2"/>
  <c r="L2679" i="2"/>
  <c r="K2679" i="2"/>
  <c r="J2679" i="2"/>
  <c r="I2679" i="2"/>
  <c r="H2679" i="2"/>
  <c r="F2679" i="2"/>
  <c r="E2679" i="2"/>
  <c r="D2679" i="2"/>
  <c r="C2679" i="2"/>
  <c r="B2679" i="2"/>
  <c r="A2679" i="2"/>
  <c r="M2678" i="2"/>
  <c r="L2678" i="2"/>
  <c r="K2678" i="2"/>
  <c r="J2678" i="2"/>
  <c r="I2678" i="2"/>
  <c r="H2678" i="2"/>
  <c r="F2678" i="2"/>
  <c r="E2678" i="2"/>
  <c r="D2678" i="2"/>
  <c r="C2678" i="2"/>
  <c r="B2678" i="2"/>
  <c r="A2678" i="2"/>
  <c r="M2677" i="2"/>
  <c r="L2677" i="2"/>
  <c r="K2677" i="2"/>
  <c r="J2677" i="2"/>
  <c r="I2677" i="2"/>
  <c r="H2677" i="2"/>
  <c r="F2677" i="2"/>
  <c r="E2677" i="2"/>
  <c r="D2677" i="2"/>
  <c r="C2677" i="2"/>
  <c r="B2677" i="2"/>
  <c r="A2677" i="2"/>
  <c r="M2676" i="2"/>
  <c r="L2676" i="2"/>
  <c r="K2676" i="2"/>
  <c r="J2676" i="2"/>
  <c r="I2676" i="2"/>
  <c r="H2676" i="2"/>
  <c r="F2676" i="2"/>
  <c r="E2676" i="2"/>
  <c r="D2676" i="2"/>
  <c r="C2676" i="2"/>
  <c r="B2676" i="2"/>
  <c r="A2676" i="2"/>
  <c r="M2675" i="2"/>
  <c r="L2675" i="2"/>
  <c r="K2675" i="2"/>
  <c r="J2675" i="2"/>
  <c r="I2675" i="2"/>
  <c r="H2675" i="2"/>
  <c r="F2675" i="2"/>
  <c r="E2675" i="2"/>
  <c r="D2675" i="2"/>
  <c r="C2675" i="2"/>
  <c r="B2675" i="2"/>
  <c r="A2675" i="2"/>
  <c r="M2674" i="2"/>
  <c r="L2674" i="2"/>
  <c r="K2674" i="2"/>
  <c r="J2674" i="2"/>
  <c r="I2674" i="2"/>
  <c r="H2674" i="2"/>
  <c r="F2674" i="2"/>
  <c r="E2674" i="2"/>
  <c r="D2674" i="2"/>
  <c r="C2674" i="2"/>
  <c r="B2674" i="2"/>
  <c r="A2674" i="2"/>
  <c r="M2673" i="2"/>
  <c r="L2673" i="2"/>
  <c r="K2673" i="2"/>
  <c r="J2673" i="2"/>
  <c r="I2673" i="2"/>
  <c r="H2673" i="2"/>
  <c r="F2673" i="2"/>
  <c r="E2673" i="2"/>
  <c r="D2673" i="2"/>
  <c r="C2673" i="2"/>
  <c r="B2673" i="2"/>
  <c r="A2673" i="2"/>
  <c r="M2672" i="2"/>
  <c r="L2672" i="2"/>
  <c r="K2672" i="2"/>
  <c r="J2672" i="2"/>
  <c r="I2672" i="2"/>
  <c r="H2672" i="2"/>
  <c r="G2672" i="2"/>
  <c r="F2672" i="2"/>
  <c r="E2672" i="2"/>
  <c r="D2672" i="2"/>
  <c r="C2672" i="2"/>
  <c r="B2672" i="2"/>
  <c r="A2672" i="2"/>
  <c r="M2671" i="2"/>
  <c r="L2671" i="2"/>
  <c r="K2671" i="2"/>
  <c r="J2671" i="2"/>
  <c r="I2671" i="2"/>
  <c r="H2671" i="2"/>
  <c r="G2671" i="2"/>
  <c r="F2671" i="2"/>
  <c r="E2671" i="2"/>
  <c r="D2671" i="2"/>
  <c r="C2671" i="2"/>
  <c r="B2671" i="2"/>
  <c r="A2671" i="2"/>
  <c r="M2670" i="2"/>
  <c r="L2670" i="2"/>
  <c r="K2670" i="2"/>
  <c r="J2670" i="2"/>
  <c r="I2670" i="2"/>
  <c r="H2670" i="2"/>
  <c r="G2670" i="2"/>
  <c r="F2670" i="2"/>
  <c r="E2670" i="2"/>
  <c r="D2670" i="2"/>
  <c r="C2670" i="2"/>
  <c r="B2670" i="2"/>
  <c r="A2670" i="2"/>
  <c r="M2669" i="2"/>
  <c r="L2669" i="2"/>
  <c r="K2669" i="2"/>
  <c r="J2669" i="2"/>
  <c r="I2669" i="2"/>
  <c r="H2669" i="2"/>
  <c r="G2669" i="2"/>
  <c r="F2669" i="2"/>
  <c r="E2669" i="2"/>
  <c r="D2669" i="2"/>
  <c r="C2669" i="2"/>
  <c r="B2669" i="2"/>
  <c r="A2669" i="2"/>
  <c r="M2668" i="2"/>
  <c r="I2668" i="2"/>
  <c r="H2668" i="2"/>
  <c r="F2668" i="2"/>
  <c r="E2668" i="2"/>
  <c r="D2668" i="2"/>
  <c r="C2668" i="2"/>
  <c r="B2668" i="2"/>
  <c r="A2668" i="2"/>
  <c r="M2667" i="2"/>
  <c r="I2667" i="2"/>
  <c r="H2667" i="2"/>
  <c r="F2667" i="2"/>
  <c r="E2667" i="2"/>
  <c r="D2667" i="2"/>
  <c r="C2667" i="2"/>
  <c r="B2667" i="2"/>
  <c r="A2667" i="2"/>
  <c r="M2666" i="2"/>
  <c r="I2666" i="2"/>
  <c r="H2666" i="2"/>
  <c r="F2666" i="2"/>
  <c r="E2666" i="2"/>
  <c r="D2666" i="2"/>
  <c r="C2666" i="2"/>
  <c r="B2666" i="2"/>
  <c r="A2666" i="2"/>
  <c r="M2665" i="2"/>
  <c r="I2665" i="2"/>
  <c r="H2665" i="2"/>
  <c r="F2665" i="2"/>
  <c r="E2665" i="2"/>
  <c r="D2665" i="2"/>
  <c r="C2665" i="2"/>
  <c r="B2665" i="2"/>
  <c r="A2665" i="2"/>
  <c r="M2664" i="2"/>
  <c r="I2664" i="2"/>
  <c r="H2664" i="2"/>
  <c r="F2664" i="2"/>
  <c r="E2664" i="2"/>
  <c r="D2664" i="2"/>
  <c r="C2664" i="2"/>
  <c r="B2664" i="2"/>
  <c r="A2664" i="2"/>
  <c r="M2663" i="2"/>
  <c r="I2663" i="2"/>
  <c r="H2663" i="2"/>
  <c r="F2663" i="2"/>
  <c r="E2663" i="2"/>
  <c r="D2663" i="2"/>
  <c r="C2663" i="2"/>
  <c r="B2663" i="2"/>
  <c r="A2663" i="2"/>
  <c r="M2662" i="2"/>
  <c r="I2662" i="2"/>
  <c r="H2662" i="2"/>
  <c r="F2662" i="2"/>
  <c r="E2662" i="2"/>
  <c r="D2662" i="2"/>
  <c r="C2662" i="2"/>
  <c r="B2662" i="2"/>
  <c r="A2662" i="2"/>
  <c r="M2661" i="2"/>
  <c r="I2661" i="2"/>
  <c r="H2661" i="2"/>
  <c r="F2661" i="2"/>
  <c r="E2661" i="2"/>
  <c r="D2661" i="2"/>
  <c r="C2661" i="2"/>
  <c r="B2661" i="2"/>
  <c r="A2661" i="2"/>
  <c r="M2660" i="2"/>
  <c r="I2660" i="2"/>
  <c r="H2660" i="2"/>
  <c r="F2660" i="2"/>
  <c r="E2660" i="2"/>
  <c r="D2660" i="2"/>
  <c r="C2660" i="2"/>
  <c r="B2660" i="2"/>
  <c r="A2660" i="2"/>
  <c r="M2659" i="2"/>
  <c r="L2659" i="2"/>
  <c r="K2659" i="2"/>
  <c r="I2659" i="2"/>
  <c r="H2659" i="2"/>
  <c r="F2659" i="2"/>
  <c r="E2659" i="2"/>
  <c r="D2659" i="2"/>
  <c r="C2659" i="2"/>
  <c r="B2659" i="2"/>
  <c r="A2659" i="2"/>
  <c r="M2658" i="2"/>
  <c r="L2658" i="2"/>
  <c r="K2658" i="2"/>
  <c r="I2658" i="2"/>
  <c r="H2658" i="2"/>
  <c r="F2658" i="2"/>
  <c r="E2658" i="2"/>
  <c r="D2658" i="2"/>
  <c r="C2658" i="2"/>
  <c r="B2658" i="2"/>
  <c r="A2658" i="2"/>
  <c r="M2657" i="2"/>
  <c r="I2657" i="2"/>
  <c r="H2657" i="2"/>
  <c r="F2657" i="2"/>
  <c r="E2657" i="2"/>
  <c r="D2657" i="2"/>
  <c r="C2657" i="2"/>
  <c r="B2657" i="2"/>
  <c r="A2657" i="2"/>
  <c r="M2656" i="2"/>
  <c r="I2656" i="2"/>
  <c r="H2656" i="2"/>
  <c r="F2656" i="2"/>
  <c r="E2656" i="2"/>
  <c r="D2656" i="2"/>
  <c r="C2656" i="2"/>
  <c r="B2656" i="2"/>
  <c r="A2656" i="2"/>
  <c r="M2655" i="2"/>
  <c r="L2655" i="2"/>
  <c r="K2655" i="2"/>
  <c r="J2655" i="2"/>
  <c r="I2655" i="2"/>
  <c r="H2655" i="2"/>
  <c r="F2655" i="2"/>
  <c r="E2655" i="2"/>
  <c r="D2655" i="2"/>
  <c r="C2655" i="2"/>
  <c r="B2655" i="2"/>
  <c r="A2655" i="2"/>
  <c r="M2654" i="2"/>
  <c r="L2654" i="2"/>
  <c r="K2654" i="2"/>
  <c r="J2654" i="2"/>
  <c r="I2654" i="2"/>
  <c r="H2654" i="2"/>
  <c r="F2654" i="2"/>
  <c r="E2654" i="2"/>
  <c r="D2654" i="2"/>
  <c r="C2654" i="2"/>
  <c r="B2654" i="2"/>
  <c r="A2654" i="2"/>
  <c r="M2653" i="2"/>
  <c r="L2653" i="2"/>
  <c r="K2653" i="2"/>
  <c r="J2653" i="2"/>
  <c r="I2653" i="2"/>
  <c r="H2653" i="2"/>
  <c r="F2653" i="2"/>
  <c r="E2653" i="2"/>
  <c r="D2653" i="2"/>
  <c r="C2653" i="2"/>
  <c r="B2653" i="2"/>
  <c r="A2653" i="2"/>
  <c r="M2652" i="2"/>
  <c r="L2652" i="2"/>
  <c r="K2652" i="2"/>
  <c r="J2652" i="2"/>
  <c r="I2652" i="2"/>
  <c r="H2652" i="2"/>
  <c r="F2652" i="2"/>
  <c r="E2652" i="2"/>
  <c r="D2652" i="2"/>
  <c r="C2652" i="2"/>
  <c r="B2652" i="2"/>
  <c r="A2652" i="2"/>
  <c r="M2651" i="2"/>
  <c r="L2651" i="2"/>
  <c r="K2651" i="2"/>
  <c r="J2651" i="2"/>
  <c r="I2651" i="2"/>
  <c r="H2651" i="2"/>
  <c r="F2651" i="2"/>
  <c r="E2651" i="2"/>
  <c r="D2651" i="2"/>
  <c r="C2651" i="2"/>
  <c r="B2651" i="2"/>
  <c r="A2651" i="2"/>
  <c r="M2650" i="2"/>
  <c r="L2650" i="2"/>
  <c r="K2650" i="2"/>
  <c r="J2650" i="2"/>
  <c r="I2650" i="2"/>
  <c r="H2650" i="2"/>
  <c r="F2650" i="2"/>
  <c r="E2650" i="2"/>
  <c r="D2650" i="2"/>
  <c r="C2650" i="2"/>
  <c r="B2650" i="2"/>
  <c r="A2650" i="2"/>
  <c r="M2649" i="2"/>
  <c r="L2649" i="2"/>
  <c r="K2649" i="2"/>
  <c r="J2649" i="2"/>
  <c r="I2649" i="2"/>
  <c r="H2649" i="2"/>
  <c r="F2649" i="2"/>
  <c r="E2649" i="2"/>
  <c r="D2649" i="2"/>
  <c r="C2649" i="2"/>
  <c r="B2649" i="2"/>
  <c r="A2649" i="2"/>
  <c r="M2648" i="2"/>
  <c r="L2648" i="2"/>
  <c r="J2648" i="2"/>
  <c r="I2648" i="2"/>
  <c r="H2648" i="2"/>
  <c r="F2648" i="2"/>
  <c r="E2648" i="2"/>
  <c r="D2648" i="2"/>
  <c r="C2648" i="2"/>
  <c r="B2648" i="2"/>
  <c r="A2648" i="2"/>
  <c r="M2647" i="2"/>
  <c r="L2647" i="2"/>
  <c r="K2647" i="2"/>
  <c r="J2647" i="2"/>
  <c r="I2647" i="2"/>
  <c r="H2647" i="2"/>
  <c r="F2647" i="2"/>
  <c r="E2647" i="2"/>
  <c r="D2647" i="2"/>
  <c r="C2647" i="2"/>
  <c r="B2647" i="2"/>
  <c r="A2647" i="2"/>
  <c r="M2646" i="2"/>
  <c r="L2646" i="2"/>
  <c r="K2646" i="2"/>
  <c r="J2646" i="2"/>
  <c r="I2646" i="2"/>
  <c r="H2646" i="2"/>
  <c r="F2646" i="2"/>
  <c r="E2646" i="2"/>
  <c r="D2646" i="2"/>
  <c r="C2646" i="2"/>
  <c r="B2646" i="2"/>
  <c r="A2646" i="2"/>
  <c r="M2645" i="2"/>
  <c r="L2645" i="2"/>
  <c r="K2645" i="2"/>
  <c r="J2645" i="2"/>
  <c r="I2645" i="2"/>
  <c r="H2645" i="2"/>
  <c r="F2645" i="2"/>
  <c r="E2645" i="2"/>
  <c r="D2645" i="2"/>
  <c r="C2645" i="2"/>
  <c r="B2645" i="2"/>
  <c r="A2645" i="2"/>
  <c r="M2644" i="2"/>
  <c r="L2644" i="2"/>
  <c r="K2644" i="2"/>
  <c r="J2644" i="2"/>
  <c r="I2644" i="2"/>
  <c r="H2644" i="2"/>
  <c r="F2644" i="2"/>
  <c r="E2644" i="2"/>
  <c r="D2644" i="2"/>
  <c r="C2644" i="2"/>
  <c r="B2644" i="2"/>
  <c r="A2644" i="2"/>
  <c r="M2643" i="2"/>
  <c r="L2643" i="2"/>
  <c r="K2643" i="2"/>
  <c r="J2643" i="2"/>
  <c r="I2643" i="2"/>
  <c r="H2643" i="2"/>
  <c r="F2643" i="2"/>
  <c r="E2643" i="2"/>
  <c r="D2643" i="2"/>
  <c r="C2643" i="2"/>
  <c r="B2643" i="2"/>
  <c r="A2643" i="2"/>
  <c r="M2642" i="2"/>
  <c r="L2642" i="2"/>
  <c r="K2642" i="2"/>
  <c r="J2642" i="2"/>
  <c r="I2642" i="2"/>
  <c r="H2642" i="2"/>
  <c r="F2642" i="2"/>
  <c r="E2642" i="2"/>
  <c r="D2642" i="2"/>
  <c r="C2642" i="2"/>
  <c r="B2642" i="2"/>
  <c r="A2642" i="2"/>
  <c r="M2641" i="2"/>
  <c r="L2641" i="2"/>
  <c r="K2641" i="2"/>
  <c r="J2641" i="2"/>
  <c r="I2641" i="2"/>
  <c r="H2641" i="2"/>
  <c r="F2641" i="2"/>
  <c r="E2641" i="2"/>
  <c r="D2641" i="2"/>
  <c r="C2641" i="2"/>
  <c r="B2641" i="2"/>
  <c r="A2641" i="2"/>
  <c r="M2640" i="2"/>
  <c r="L2640" i="2"/>
  <c r="K2640" i="2"/>
  <c r="J2640" i="2"/>
  <c r="I2640" i="2"/>
  <c r="H2640" i="2"/>
  <c r="F2640" i="2"/>
  <c r="E2640" i="2"/>
  <c r="D2640" i="2"/>
  <c r="C2640" i="2"/>
  <c r="B2640" i="2"/>
  <c r="A2640" i="2"/>
  <c r="M2639" i="2"/>
  <c r="L2639" i="2"/>
  <c r="K2639" i="2"/>
  <c r="J2639" i="2"/>
  <c r="I2639" i="2"/>
  <c r="H2639" i="2"/>
  <c r="F2639" i="2"/>
  <c r="E2639" i="2"/>
  <c r="D2639" i="2"/>
  <c r="C2639" i="2"/>
  <c r="B2639" i="2"/>
  <c r="A2639" i="2"/>
  <c r="M2638" i="2"/>
  <c r="L2638" i="2"/>
  <c r="K2638" i="2"/>
  <c r="J2638" i="2"/>
  <c r="I2638" i="2"/>
  <c r="H2638" i="2"/>
  <c r="F2638" i="2"/>
  <c r="E2638" i="2"/>
  <c r="D2638" i="2"/>
  <c r="C2638" i="2"/>
  <c r="B2638" i="2"/>
  <c r="A2638" i="2"/>
  <c r="M2637" i="2"/>
  <c r="L2637" i="2"/>
  <c r="K2637" i="2"/>
  <c r="J2637" i="2"/>
  <c r="I2637" i="2"/>
  <c r="H2637" i="2"/>
  <c r="F2637" i="2"/>
  <c r="E2637" i="2"/>
  <c r="D2637" i="2"/>
  <c r="C2637" i="2"/>
  <c r="B2637" i="2"/>
  <c r="A2637" i="2"/>
  <c r="M2636" i="2"/>
  <c r="L2636" i="2"/>
  <c r="K2636" i="2"/>
  <c r="J2636" i="2"/>
  <c r="I2636" i="2"/>
  <c r="H2636" i="2"/>
  <c r="F2636" i="2"/>
  <c r="E2636" i="2"/>
  <c r="D2636" i="2"/>
  <c r="C2636" i="2"/>
  <c r="B2636" i="2"/>
  <c r="A2636" i="2"/>
  <c r="M2635" i="2"/>
  <c r="L2635" i="2"/>
  <c r="K2635" i="2"/>
  <c r="J2635" i="2"/>
  <c r="I2635" i="2"/>
  <c r="H2635" i="2"/>
  <c r="F2635" i="2"/>
  <c r="E2635" i="2"/>
  <c r="D2635" i="2"/>
  <c r="C2635" i="2"/>
  <c r="B2635" i="2"/>
  <c r="A2635" i="2"/>
  <c r="M2634" i="2"/>
  <c r="L2634" i="2"/>
  <c r="K2634" i="2"/>
  <c r="J2634" i="2"/>
  <c r="I2634" i="2"/>
  <c r="H2634" i="2"/>
  <c r="F2634" i="2"/>
  <c r="E2634" i="2"/>
  <c r="D2634" i="2"/>
  <c r="C2634" i="2"/>
  <c r="B2634" i="2"/>
  <c r="A2634" i="2"/>
  <c r="M2633" i="2"/>
  <c r="L2633" i="2"/>
  <c r="K2633" i="2"/>
  <c r="J2633" i="2"/>
  <c r="I2633" i="2"/>
  <c r="H2633" i="2"/>
  <c r="F2633" i="2"/>
  <c r="E2633" i="2"/>
  <c r="D2633" i="2"/>
  <c r="C2633" i="2"/>
  <c r="B2633" i="2"/>
  <c r="A2633" i="2"/>
  <c r="M2632" i="2"/>
  <c r="L2632" i="2"/>
  <c r="K2632" i="2"/>
  <c r="J2632" i="2"/>
  <c r="I2632" i="2"/>
  <c r="H2632" i="2"/>
  <c r="F2632" i="2"/>
  <c r="E2632" i="2"/>
  <c r="D2632" i="2"/>
  <c r="C2632" i="2"/>
  <c r="B2632" i="2"/>
  <c r="A2632" i="2"/>
  <c r="M2631" i="2"/>
  <c r="L2631" i="2"/>
  <c r="K2631" i="2"/>
  <c r="J2631" i="2"/>
  <c r="I2631" i="2"/>
  <c r="H2631" i="2"/>
  <c r="F2631" i="2"/>
  <c r="E2631" i="2"/>
  <c r="D2631" i="2"/>
  <c r="C2631" i="2"/>
  <c r="B2631" i="2"/>
  <c r="A2631" i="2"/>
  <c r="M2630" i="2"/>
  <c r="L2630" i="2"/>
  <c r="K2630" i="2"/>
  <c r="J2630" i="2"/>
  <c r="I2630" i="2"/>
  <c r="H2630" i="2"/>
  <c r="F2630" i="2"/>
  <c r="E2630" i="2"/>
  <c r="D2630" i="2"/>
  <c r="C2630" i="2"/>
  <c r="B2630" i="2"/>
  <c r="A2630" i="2"/>
  <c r="M2629" i="2"/>
  <c r="L2629" i="2"/>
  <c r="K2629" i="2"/>
  <c r="J2629" i="2"/>
  <c r="I2629" i="2"/>
  <c r="H2629" i="2"/>
  <c r="F2629" i="2"/>
  <c r="E2629" i="2"/>
  <c r="D2629" i="2"/>
  <c r="C2629" i="2"/>
  <c r="B2629" i="2"/>
  <c r="A2629" i="2"/>
  <c r="M2628" i="2"/>
  <c r="L2628" i="2"/>
  <c r="K2628" i="2"/>
  <c r="J2628" i="2"/>
  <c r="I2628" i="2"/>
  <c r="H2628" i="2"/>
  <c r="F2628" i="2"/>
  <c r="E2628" i="2"/>
  <c r="D2628" i="2"/>
  <c r="C2628" i="2"/>
  <c r="B2628" i="2"/>
  <c r="A2628" i="2"/>
  <c r="N2627" i="2"/>
  <c r="M2627" i="2"/>
  <c r="L2627" i="2"/>
  <c r="K2627" i="2"/>
  <c r="J2627" i="2"/>
  <c r="I2627" i="2"/>
  <c r="H2627" i="2"/>
  <c r="F2627" i="2"/>
  <c r="E2627" i="2"/>
  <c r="D2627" i="2"/>
  <c r="C2627" i="2"/>
  <c r="B2627" i="2"/>
  <c r="A2627" i="2"/>
  <c r="M2626" i="2"/>
  <c r="L2626" i="2"/>
  <c r="J2626" i="2"/>
  <c r="I2626" i="2"/>
  <c r="H2626" i="2"/>
  <c r="F2626" i="2"/>
  <c r="E2626" i="2"/>
  <c r="D2626" i="2"/>
  <c r="C2626" i="2"/>
  <c r="B2626" i="2"/>
  <c r="A2626" i="2"/>
  <c r="M2625" i="2"/>
  <c r="L2625" i="2"/>
  <c r="K2625" i="2"/>
  <c r="J2625" i="2"/>
  <c r="I2625" i="2"/>
  <c r="H2625" i="2"/>
  <c r="F2625" i="2"/>
  <c r="E2625" i="2"/>
  <c r="D2625" i="2"/>
  <c r="C2625" i="2"/>
  <c r="B2625" i="2"/>
  <c r="A2625" i="2"/>
  <c r="M2624" i="2"/>
  <c r="L2624" i="2"/>
  <c r="K2624" i="2"/>
  <c r="J2624" i="2"/>
  <c r="I2624" i="2"/>
  <c r="H2624" i="2"/>
  <c r="F2624" i="2"/>
  <c r="E2624" i="2"/>
  <c r="D2624" i="2"/>
  <c r="C2624" i="2"/>
  <c r="B2624" i="2"/>
  <c r="A2624" i="2"/>
  <c r="M2623" i="2"/>
  <c r="L2623" i="2"/>
  <c r="K2623" i="2"/>
  <c r="J2623" i="2"/>
  <c r="I2623" i="2"/>
  <c r="H2623" i="2"/>
  <c r="F2623" i="2"/>
  <c r="E2623" i="2"/>
  <c r="D2623" i="2"/>
  <c r="C2623" i="2"/>
  <c r="B2623" i="2"/>
  <c r="A2623" i="2"/>
  <c r="M2622" i="2"/>
  <c r="L2622" i="2"/>
  <c r="K2622" i="2"/>
  <c r="J2622" i="2"/>
  <c r="I2622" i="2"/>
  <c r="H2622" i="2"/>
  <c r="F2622" i="2"/>
  <c r="E2622" i="2"/>
  <c r="D2622" i="2"/>
  <c r="C2622" i="2"/>
  <c r="B2622" i="2"/>
  <c r="A2622" i="2"/>
  <c r="M2621" i="2"/>
  <c r="L2621" i="2"/>
  <c r="K2621" i="2"/>
  <c r="J2621" i="2"/>
  <c r="I2621" i="2"/>
  <c r="H2621" i="2"/>
  <c r="F2621" i="2"/>
  <c r="E2621" i="2"/>
  <c r="D2621" i="2"/>
  <c r="C2621" i="2"/>
  <c r="B2621" i="2"/>
  <c r="A2621" i="2"/>
  <c r="M2620" i="2"/>
  <c r="L2620" i="2"/>
  <c r="K2620" i="2"/>
  <c r="J2620" i="2"/>
  <c r="I2620" i="2"/>
  <c r="H2620" i="2"/>
  <c r="F2620" i="2"/>
  <c r="E2620" i="2"/>
  <c r="D2620" i="2"/>
  <c r="C2620" i="2"/>
  <c r="B2620" i="2"/>
  <c r="A2620" i="2"/>
  <c r="M2619" i="2"/>
  <c r="L2619" i="2"/>
  <c r="K2619" i="2"/>
  <c r="J2619" i="2"/>
  <c r="I2619" i="2"/>
  <c r="H2619" i="2"/>
  <c r="F2619" i="2"/>
  <c r="E2619" i="2"/>
  <c r="D2619" i="2"/>
  <c r="C2619" i="2"/>
  <c r="B2619" i="2"/>
  <c r="A2619" i="2"/>
  <c r="M2618" i="2"/>
  <c r="L2618" i="2"/>
  <c r="K2618" i="2"/>
  <c r="J2618" i="2"/>
  <c r="I2618" i="2"/>
  <c r="H2618" i="2"/>
  <c r="F2618" i="2"/>
  <c r="E2618" i="2"/>
  <c r="D2618" i="2"/>
  <c r="C2618" i="2"/>
  <c r="B2618" i="2"/>
  <c r="A2618" i="2"/>
  <c r="M2617" i="2"/>
  <c r="L2617" i="2"/>
  <c r="K2617" i="2"/>
  <c r="J2617" i="2"/>
  <c r="I2617" i="2"/>
  <c r="H2617" i="2"/>
  <c r="F2617" i="2"/>
  <c r="E2617" i="2"/>
  <c r="D2617" i="2"/>
  <c r="C2617" i="2"/>
  <c r="B2617" i="2"/>
  <c r="A2617" i="2"/>
  <c r="M2616" i="2"/>
  <c r="L2616" i="2"/>
  <c r="K2616" i="2"/>
  <c r="J2616" i="2"/>
  <c r="I2616" i="2"/>
  <c r="H2616" i="2"/>
  <c r="F2616" i="2"/>
  <c r="E2616" i="2"/>
  <c r="D2616" i="2"/>
  <c r="C2616" i="2"/>
  <c r="B2616" i="2"/>
  <c r="A2616" i="2"/>
  <c r="M2615" i="2"/>
  <c r="L2615" i="2"/>
  <c r="K2615" i="2"/>
  <c r="J2615" i="2"/>
  <c r="I2615" i="2"/>
  <c r="H2615" i="2"/>
  <c r="F2615" i="2"/>
  <c r="E2615" i="2"/>
  <c r="D2615" i="2"/>
  <c r="C2615" i="2"/>
  <c r="B2615" i="2"/>
  <c r="A2615" i="2"/>
  <c r="M2614" i="2"/>
  <c r="L2614" i="2"/>
  <c r="K2614" i="2"/>
  <c r="J2614" i="2"/>
  <c r="I2614" i="2"/>
  <c r="H2614" i="2"/>
  <c r="F2614" i="2"/>
  <c r="E2614" i="2"/>
  <c r="D2614" i="2"/>
  <c r="C2614" i="2"/>
  <c r="B2614" i="2"/>
  <c r="A2614" i="2"/>
  <c r="M2613" i="2"/>
  <c r="L2613" i="2"/>
  <c r="K2613" i="2"/>
  <c r="J2613" i="2"/>
  <c r="I2613" i="2"/>
  <c r="H2613" i="2"/>
  <c r="F2613" i="2"/>
  <c r="E2613" i="2"/>
  <c r="D2613" i="2"/>
  <c r="C2613" i="2"/>
  <c r="B2613" i="2"/>
  <c r="A2613" i="2"/>
  <c r="M2612" i="2"/>
  <c r="L2612" i="2"/>
  <c r="K2612" i="2"/>
  <c r="J2612" i="2"/>
  <c r="I2612" i="2"/>
  <c r="H2612" i="2"/>
  <c r="F2612" i="2"/>
  <c r="E2612" i="2"/>
  <c r="D2612" i="2"/>
  <c r="C2612" i="2"/>
  <c r="B2612" i="2"/>
  <c r="A2612" i="2"/>
  <c r="M2611" i="2"/>
  <c r="L2611" i="2"/>
  <c r="K2611" i="2"/>
  <c r="J2611" i="2"/>
  <c r="I2611" i="2"/>
  <c r="H2611" i="2"/>
  <c r="F2611" i="2"/>
  <c r="E2611" i="2"/>
  <c r="D2611" i="2"/>
  <c r="C2611" i="2"/>
  <c r="B2611" i="2"/>
  <c r="A2611" i="2"/>
  <c r="M2610" i="2"/>
  <c r="L2610" i="2"/>
  <c r="K2610" i="2"/>
  <c r="J2610" i="2"/>
  <c r="I2610" i="2"/>
  <c r="H2610" i="2"/>
  <c r="F2610" i="2"/>
  <c r="E2610" i="2"/>
  <c r="D2610" i="2"/>
  <c r="C2610" i="2"/>
  <c r="B2610" i="2"/>
  <c r="A2610" i="2"/>
  <c r="M2609" i="2"/>
  <c r="L2609" i="2"/>
  <c r="K2609" i="2"/>
  <c r="J2609" i="2"/>
  <c r="I2609" i="2"/>
  <c r="H2609" i="2"/>
  <c r="F2609" i="2"/>
  <c r="E2609" i="2"/>
  <c r="D2609" i="2"/>
  <c r="C2609" i="2"/>
  <c r="B2609" i="2"/>
  <c r="A2609" i="2"/>
  <c r="M2608" i="2"/>
  <c r="L2608" i="2"/>
  <c r="K2608" i="2"/>
  <c r="J2608" i="2"/>
  <c r="I2608" i="2"/>
  <c r="H2608" i="2"/>
  <c r="F2608" i="2"/>
  <c r="E2608" i="2"/>
  <c r="D2608" i="2"/>
  <c r="C2608" i="2"/>
  <c r="B2608" i="2"/>
  <c r="A2608" i="2"/>
  <c r="M2607" i="2"/>
  <c r="L2607" i="2"/>
  <c r="K2607" i="2"/>
  <c r="J2607" i="2"/>
  <c r="I2607" i="2"/>
  <c r="H2607" i="2"/>
  <c r="F2607" i="2"/>
  <c r="E2607" i="2"/>
  <c r="D2607" i="2"/>
  <c r="C2607" i="2"/>
  <c r="B2607" i="2"/>
  <c r="A2607" i="2"/>
  <c r="M2606" i="2"/>
  <c r="L2606" i="2"/>
  <c r="K2606" i="2"/>
  <c r="J2606" i="2"/>
  <c r="I2606" i="2"/>
  <c r="H2606" i="2"/>
  <c r="F2606" i="2"/>
  <c r="E2606" i="2"/>
  <c r="D2606" i="2"/>
  <c r="C2606" i="2"/>
  <c r="B2606" i="2"/>
  <c r="A2606" i="2"/>
  <c r="M2605" i="2"/>
  <c r="L2605" i="2"/>
  <c r="K2605" i="2"/>
  <c r="J2605" i="2"/>
  <c r="I2605" i="2"/>
  <c r="H2605" i="2"/>
  <c r="F2605" i="2"/>
  <c r="E2605" i="2"/>
  <c r="D2605" i="2"/>
  <c r="C2605" i="2"/>
  <c r="B2605" i="2"/>
  <c r="A2605" i="2"/>
  <c r="M2604" i="2"/>
  <c r="L2604" i="2"/>
  <c r="K2604" i="2"/>
  <c r="J2604" i="2"/>
  <c r="I2604" i="2"/>
  <c r="H2604" i="2"/>
  <c r="F2604" i="2"/>
  <c r="E2604" i="2"/>
  <c r="D2604" i="2"/>
  <c r="C2604" i="2"/>
  <c r="B2604" i="2"/>
  <c r="A2604" i="2"/>
  <c r="M2603" i="2"/>
  <c r="L2603" i="2"/>
  <c r="K2603" i="2"/>
  <c r="J2603" i="2"/>
  <c r="I2603" i="2"/>
  <c r="H2603" i="2"/>
  <c r="F2603" i="2"/>
  <c r="E2603" i="2"/>
  <c r="D2603" i="2"/>
  <c r="C2603" i="2"/>
  <c r="B2603" i="2"/>
  <c r="A2603" i="2"/>
  <c r="N2602" i="2"/>
  <c r="M2602" i="2"/>
  <c r="L2602" i="2"/>
  <c r="K2602" i="2"/>
  <c r="J2602" i="2"/>
  <c r="I2602" i="2"/>
  <c r="H2602" i="2"/>
  <c r="F2602" i="2"/>
  <c r="E2602" i="2"/>
  <c r="D2602" i="2"/>
  <c r="C2602" i="2"/>
  <c r="B2602" i="2"/>
  <c r="A2602" i="2"/>
  <c r="M2601" i="2"/>
  <c r="L2601" i="2"/>
  <c r="K2601" i="2"/>
  <c r="I2601" i="2"/>
  <c r="H2601" i="2"/>
  <c r="F2601" i="2"/>
  <c r="E2601" i="2"/>
  <c r="D2601" i="2"/>
  <c r="C2601" i="2"/>
  <c r="B2601" i="2"/>
  <c r="A2601" i="2"/>
  <c r="M2600" i="2"/>
  <c r="L2600" i="2"/>
  <c r="K2600" i="2"/>
  <c r="J2600" i="2"/>
  <c r="I2600" i="2"/>
  <c r="H2600" i="2"/>
  <c r="F2600" i="2"/>
  <c r="E2600" i="2"/>
  <c r="D2600" i="2"/>
  <c r="C2600" i="2"/>
  <c r="B2600" i="2"/>
  <c r="A2600" i="2"/>
  <c r="M2599" i="2"/>
  <c r="L2599" i="2"/>
  <c r="K2599" i="2"/>
  <c r="J2599" i="2"/>
  <c r="I2599" i="2"/>
  <c r="H2599" i="2"/>
  <c r="F2599" i="2"/>
  <c r="E2599" i="2"/>
  <c r="D2599" i="2"/>
  <c r="C2599" i="2"/>
  <c r="B2599" i="2"/>
  <c r="A2599" i="2"/>
  <c r="M2598" i="2"/>
  <c r="L2598" i="2"/>
  <c r="K2598" i="2"/>
  <c r="J2598" i="2"/>
  <c r="I2598" i="2"/>
  <c r="H2598" i="2"/>
  <c r="F2598" i="2"/>
  <c r="E2598" i="2"/>
  <c r="D2598" i="2"/>
  <c r="C2598" i="2"/>
  <c r="B2598" i="2"/>
  <c r="A2598" i="2"/>
  <c r="M2597" i="2"/>
  <c r="L2597" i="2"/>
  <c r="K2597" i="2"/>
  <c r="J2597" i="2"/>
  <c r="I2597" i="2"/>
  <c r="H2597" i="2"/>
  <c r="F2597" i="2"/>
  <c r="E2597" i="2"/>
  <c r="D2597" i="2"/>
  <c r="C2597" i="2"/>
  <c r="B2597" i="2"/>
  <c r="A2597" i="2"/>
  <c r="M2596" i="2"/>
  <c r="L2596" i="2"/>
  <c r="K2596" i="2"/>
  <c r="J2596" i="2"/>
  <c r="I2596" i="2"/>
  <c r="H2596" i="2"/>
  <c r="F2596" i="2"/>
  <c r="E2596" i="2"/>
  <c r="D2596" i="2"/>
  <c r="C2596" i="2"/>
  <c r="B2596" i="2"/>
  <c r="A2596" i="2"/>
  <c r="M2595" i="2"/>
  <c r="L2595" i="2"/>
  <c r="K2595" i="2"/>
  <c r="J2595" i="2"/>
  <c r="I2595" i="2"/>
  <c r="H2595" i="2"/>
  <c r="F2595" i="2"/>
  <c r="E2595" i="2"/>
  <c r="D2595" i="2"/>
  <c r="C2595" i="2"/>
  <c r="B2595" i="2"/>
  <c r="A2595" i="2"/>
  <c r="M2594" i="2"/>
  <c r="L2594" i="2"/>
  <c r="K2594" i="2"/>
  <c r="J2594" i="2"/>
  <c r="I2594" i="2"/>
  <c r="H2594" i="2"/>
  <c r="F2594" i="2"/>
  <c r="E2594" i="2"/>
  <c r="D2594" i="2"/>
  <c r="C2594" i="2"/>
  <c r="B2594" i="2"/>
  <c r="A2594" i="2"/>
  <c r="N2593" i="2"/>
  <c r="M2593" i="2"/>
  <c r="L2593" i="2"/>
  <c r="K2593" i="2"/>
  <c r="J2593" i="2"/>
  <c r="I2593" i="2"/>
  <c r="H2593" i="2"/>
  <c r="F2593" i="2"/>
  <c r="E2593" i="2"/>
  <c r="D2593" i="2"/>
  <c r="C2593" i="2"/>
  <c r="B2593" i="2"/>
  <c r="A2593" i="2"/>
  <c r="N2592" i="2"/>
  <c r="M2592" i="2"/>
  <c r="L2592" i="2"/>
  <c r="K2592" i="2"/>
  <c r="J2592" i="2"/>
  <c r="I2592" i="2"/>
  <c r="H2592" i="2"/>
  <c r="F2592" i="2"/>
  <c r="E2592" i="2"/>
  <c r="D2592" i="2"/>
  <c r="C2592" i="2"/>
  <c r="B2592" i="2"/>
  <c r="A2592" i="2"/>
  <c r="M2591" i="2"/>
  <c r="L2591" i="2"/>
  <c r="K2591" i="2"/>
  <c r="J2591" i="2"/>
  <c r="I2591" i="2"/>
  <c r="H2591" i="2"/>
  <c r="F2591" i="2"/>
  <c r="E2591" i="2"/>
  <c r="D2591" i="2"/>
  <c r="C2591" i="2"/>
  <c r="B2591" i="2"/>
  <c r="A2591" i="2"/>
  <c r="M2590" i="2"/>
  <c r="L2590" i="2"/>
  <c r="K2590" i="2"/>
  <c r="J2590" i="2"/>
  <c r="I2590" i="2"/>
  <c r="H2590" i="2"/>
  <c r="F2590" i="2"/>
  <c r="E2590" i="2"/>
  <c r="D2590" i="2"/>
  <c r="C2590" i="2"/>
  <c r="B2590" i="2"/>
  <c r="A2590" i="2"/>
  <c r="M2589" i="2"/>
  <c r="L2589" i="2"/>
  <c r="K2589" i="2"/>
  <c r="J2589" i="2"/>
  <c r="I2589" i="2"/>
  <c r="H2589" i="2"/>
  <c r="F2589" i="2"/>
  <c r="E2589" i="2"/>
  <c r="D2589" i="2"/>
  <c r="C2589" i="2"/>
  <c r="B2589" i="2"/>
  <c r="A2589" i="2"/>
  <c r="M2588" i="2"/>
  <c r="L2588" i="2"/>
  <c r="K2588" i="2"/>
  <c r="J2588" i="2"/>
  <c r="I2588" i="2"/>
  <c r="H2588" i="2"/>
  <c r="F2588" i="2"/>
  <c r="E2588" i="2"/>
  <c r="D2588" i="2"/>
  <c r="C2588" i="2"/>
  <c r="B2588" i="2"/>
  <c r="A2588" i="2"/>
  <c r="M2587" i="2"/>
  <c r="L2587" i="2"/>
  <c r="K2587" i="2"/>
  <c r="J2587" i="2"/>
  <c r="I2587" i="2"/>
  <c r="H2587" i="2"/>
  <c r="F2587" i="2"/>
  <c r="E2587" i="2"/>
  <c r="D2587" i="2"/>
  <c r="C2587" i="2"/>
  <c r="B2587" i="2"/>
  <c r="A2587" i="2"/>
  <c r="M2586" i="2"/>
  <c r="L2586" i="2"/>
  <c r="K2586" i="2"/>
  <c r="J2586" i="2"/>
  <c r="I2586" i="2"/>
  <c r="H2586" i="2"/>
  <c r="F2586" i="2"/>
  <c r="E2586" i="2"/>
  <c r="D2586" i="2"/>
  <c r="C2586" i="2"/>
  <c r="B2586" i="2"/>
  <c r="A2586" i="2"/>
  <c r="M2585" i="2"/>
  <c r="L2585" i="2"/>
  <c r="K2585" i="2"/>
  <c r="J2585" i="2"/>
  <c r="I2585" i="2"/>
  <c r="H2585" i="2"/>
  <c r="F2585" i="2"/>
  <c r="E2585" i="2"/>
  <c r="D2585" i="2"/>
  <c r="C2585" i="2"/>
  <c r="B2585" i="2"/>
  <c r="A2585" i="2"/>
  <c r="M2584" i="2"/>
  <c r="L2584" i="2"/>
  <c r="K2584" i="2"/>
  <c r="J2584" i="2"/>
  <c r="I2584" i="2"/>
  <c r="H2584" i="2"/>
  <c r="F2584" i="2"/>
  <c r="E2584" i="2"/>
  <c r="D2584" i="2"/>
  <c r="C2584" i="2"/>
  <c r="B2584" i="2"/>
  <c r="A2584" i="2"/>
  <c r="N2583" i="2"/>
  <c r="M2583" i="2"/>
  <c r="L2583" i="2"/>
  <c r="K2583" i="2"/>
  <c r="J2583" i="2"/>
  <c r="I2583" i="2"/>
  <c r="H2583" i="2"/>
  <c r="F2583" i="2"/>
  <c r="E2583" i="2"/>
  <c r="D2583" i="2"/>
  <c r="C2583" i="2"/>
  <c r="B2583" i="2"/>
  <c r="A2583" i="2"/>
  <c r="M2582" i="2"/>
  <c r="L2582" i="2"/>
  <c r="K2582" i="2"/>
  <c r="J2582" i="2"/>
  <c r="I2582" i="2"/>
  <c r="H2582" i="2"/>
  <c r="F2582" i="2"/>
  <c r="E2582" i="2"/>
  <c r="D2582" i="2"/>
  <c r="C2582" i="2"/>
  <c r="B2582" i="2"/>
  <c r="A2582" i="2"/>
  <c r="M2581" i="2"/>
  <c r="L2581" i="2"/>
  <c r="K2581" i="2"/>
  <c r="J2581" i="2"/>
  <c r="I2581" i="2"/>
  <c r="H2581" i="2"/>
  <c r="F2581" i="2"/>
  <c r="E2581" i="2"/>
  <c r="D2581" i="2"/>
  <c r="C2581" i="2"/>
  <c r="B2581" i="2"/>
  <c r="A2581" i="2"/>
  <c r="M2580" i="2"/>
  <c r="L2580" i="2"/>
  <c r="K2580" i="2"/>
  <c r="J2580" i="2"/>
  <c r="I2580" i="2"/>
  <c r="H2580" i="2"/>
  <c r="F2580" i="2"/>
  <c r="E2580" i="2"/>
  <c r="D2580" i="2"/>
  <c r="C2580" i="2"/>
  <c r="B2580" i="2"/>
  <c r="A2580" i="2"/>
  <c r="M2579" i="2"/>
  <c r="L2579" i="2"/>
  <c r="K2579" i="2"/>
  <c r="J2579" i="2"/>
  <c r="I2579" i="2"/>
  <c r="H2579" i="2"/>
  <c r="F2579" i="2"/>
  <c r="E2579" i="2"/>
  <c r="D2579" i="2"/>
  <c r="C2579" i="2"/>
  <c r="B2579" i="2"/>
  <c r="A2579" i="2"/>
  <c r="M2578" i="2"/>
  <c r="L2578" i="2"/>
  <c r="K2578" i="2"/>
  <c r="J2578" i="2"/>
  <c r="I2578" i="2"/>
  <c r="H2578" i="2"/>
  <c r="F2578" i="2"/>
  <c r="E2578" i="2"/>
  <c r="D2578" i="2"/>
  <c r="C2578" i="2"/>
  <c r="B2578" i="2"/>
  <c r="A2578" i="2"/>
  <c r="M2577" i="2"/>
  <c r="L2577" i="2"/>
  <c r="K2577" i="2"/>
  <c r="J2577" i="2"/>
  <c r="I2577" i="2"/>
  <c r="H2577" i="2"/>
  <c r="F2577" i="2"/>
  <c r="E2577" i="2"/>
  <c r="D2577" i="2"/>
  <c r="C2577" i="2"/>
  <c r="B2577" i="2"/>
  <c r="A2577" i="2"/>
  <c r="M2576" i="2"/>
  <c r="L2576" i="2"/>
  <c r="K2576" i="2"/>
  <c r="J2576" i="2"/>
  <c r="I2576" i="2"/>
  <c r="H2576" i="2"/>
  <c r="F2576" i="2"/>
  <c r="E2576" i="2"/>
  <c r="D2576" i="2"/>
  <c r="C2576" i="2"/>
  <c r="B2576" i="2"/>
  <c r="A2576" i="2"/>
  <c r="M2575" i="2"/>
  <c r="L2575" i="2"/>
  <c r="K2575" i="2"/>
  <c r="J2575" i="2"/>
  <c r="I2575" i="2"/>
  <c r="H2575" i="2"/>
  <c r="F2575" i="2"/>
  <c r="E2575" i="2"/>
  <c r="D2575" i="2"/>
  <c r="C2575" i="2"/>
  <c r="B2575" i="2"/>
  <c r="A2575" i="2"/>
  <c r="M2574" i="2"/>
  <c r="L2574" i="2"/>
  <c r="K2574" i="2"/>
  <c r="J2574" i="2"/>
  <c r="I2574" i="2"/>
  <c r="H2574" i="2"/>
  <c r="F2574" i="2"/>
  <c r="E2574" i="2"/>
  <c r="D2574" i="2"/>
  <c r="C2574" i="2"/>
  <c r="B2574" i="2"/>
  <c r="A2574" i="2"/>
  <c r="N2573" i="2"/>
  <c r="M2573" i="2"/>
  <c r="L2573" i="2"/>
  <c r="K2573" i="2"/>
  <c r="J2573" i="2"/>
  <c r="I2573" i="2"/>
  <c r="H2573" i="2"/>
  <c r="F2573" i="2"/>
  <c r="E2573" i="2"/>
  <c r="D2573" i="2"/>
  <c r="C2573" i="2"/>
  <c r="B2573" i="2"/>
  <c r="A2573" i="2"/>
  <c r="M2572" i="2"/>
  <c r="L2572" i="2"/>
  <c r="K2572" i="2"/>
  <c r="J2572" i="2"/>
  <c r="I2572" i="2"/>
  <c r="H2572" i="2"/>
  <c r="G2572" i="2"/>
  <c r="F2572" i="2"/>
  <c r="E2572" i="2"/>
  <c r="D2572" i="2"/>
  <c r="C2572" i="2"/>
  <c r="B2572" i="2"/>
  <c r="A2572" i="2"/>
  <c r="M2571" i="2"/>
  <c r="L2571" i="2"/>
  <c r="K2571" i="2"/>
  <c r="J2571" i="2"/>
  <c r="I2571" i="2"/>
  <c r="H2571" i="2"/>
  <c r="G2571" i="2"/>
  <c r="F2571" i="2"/>
  <c r="E2571" i="2"/>
  <c r="D2571" i="2"/>
  <c r="C2571" i="2"/>
  <c r="B2571" i="2"/>
  <c r="A2571" i="2"/>
  <c r="M2570" i="2"/>
  <c r="L2570" i="2"/>
  <c r="K2570" i="2"/>
  <c r="J2570" i="2"/>
  <c r="I2570" i="2"/>
  <c r="H2570" i="2"/>
  <c r="G2570" i="2"/>
  <c r="F2570" i="2"/>
  <c r="E2570" i="2"/>
  <c r="D2570" i="2"/>
  <c r="C2570" i="2"/>
  <c r="B2570" i="2"/>
  <c r="A2570" i="2"/>
  <c r="M2569" i="2"/>
  <c r="L2569" i="2"/>
  <c r="K2569" i="2"/>
  <c r="J2569" i="2"/>
  <c r="I2569" i="2"/>
  <c r="H2569" i="2"/>
  <c r="G2569" i="2"/>
  <c r="F2569" i="2"/>
  <c r="E2569" i="2"/>
  <c r="D2569" i="2"/>
  <c r="C2569" i="2"/>
  <c r="B2569" i="2"/>
  <c r="A2569" i="2"/>
  <c r="M2568" i="2"/>
  <c r="L2568" i="2"/>
  <c r="K2568" i="2"/>
  <c r="J2568" i="2"/>
  <c r="I2568" i="2"/>
  <c r="H2568" i="2"/>
  <c r="G2568" i="2"/>
  <c r="F2568" i="2"/>
  <c r="E2568" i="2"/>
  <c r="D2568" i="2"/>
  <c r="C2568" i="2"/>
  <c r="B2568" i="2"/>
  <c r="A2568" i="2"/>
  <c r="M2567" i="2"/>
  <c r="L2567" i="2"/>
  <c r="K2567" i="2"/>
  <c r="J2567" i="2"/>
  <c r="I2567" i="2"/>
  <c r="H2567" i="2"/>
  <c r="G2567" i="2"/>
  <c r="F2567" i="2"/>
  <c r="E2567" i="2"/>
  <c r="D2567" i="2"/>
  <c r="C2567" i="2"/>
  <c r="B2567" i="2"/>
  <c r="A2567" i="2"/>
  <c r="M2566" i="2"/>
  <c r="L2566" i="2"/>
  <c r="K2566" i="2"/>
  <c r="J2566" i="2"/>
  <c r="I2566" i="2"/>
  <c r="H2566" i="2"/>
  <c r="G2566" i="2"/>
  <c r="F2566" i="2"/>
  <c r="E2566" i="2"/>
  <c r="D2566" i="2"/>
  <c r="C2566" i="2"/>
  <c r="B2566" i="2"/>
  <c r="A2566" i="2"/>
  <c r="M2565" i="2"/>
  <c r="L2565" i="2"/>
  <c r="K2565" i="2"/>
  <c r="J2565" i="2"/>
  <c r="I2565" i="2"/>
  <c r="H2565" i="2"/>
  <c r="G2565" i="2"/>
  <c r="F2565" i="2"/>
  <c r="E2565" i="2"/>
  <c r="D2565" i="2"/>
  <c r="C2565" i="2"/>
  <c r="B2565" i="2"/>
  <c r="A2565" i="2"/>
  <c r="M2564" i="2"/>
  <c r="L2564" i="2"/>
  <c r="K2564" i="2"/>
  <c r="J2564" i="2"/>
  <c r="I2564" i="2"/>
  <c r="H2564" i="2"/>
  <c r="G2564" i="2"/>
  <c r="F2564" i="2"/>
  <c r="E2564" i="2"/>
  <c r="D2564" i="2"/>
  <c r="C2564" i="2"/>
  <c r="B2564" i="2"/>
  <c r="A2564" i="2"/>
  <c r="M2563" i="2"/>
  <c r="L2563" i="2"/>
  <c r="K2563" i="2"/>
  <c r="J2563" i="2"/>
  <c r="I2563" i="2"/>
  <c r="H2563" i="2"/>
  <c r="G2563" i="2"/>
  <c r="F2563" i="2"/>
  <c r="E2563" i="2"/>
  <c r="D2563" i="2"/>
  <c r="C2563" i="2"/>
  <c r="B2563" i="2"/>
  <c r="A2563" i="2"/>
  <c r="M2562" i="2"/>
  <c r="L2562" i="2"/>
  <c r="K2562" i="2"/>
  <c r="J2562" i="2"/>
  <c r="I2562" i="2"/>
  <c r="H2562" i="2"/>
  <c r="G2562" i="2"/>
  <c r="F2562" i="2"/>
  <c r="E2562" i="2"/>
  <c r="D2562" i="2"/>
  <c r="C2562" i="2"/>
  <c r="B2562" i="2"/>
  <c r="A2562" i="2"/>
  <c r="M2561" i="2"/>
  <c r="L2561" i="2"/>
  <c r="K2561" i="2"/>
  <c r="J2561" i="2"/>
  <c r="I2561" i="2"/>
  <c r="H2561" i="2"/>
  <c r="G2561" i="2"/>
  <c r="F2561" i="2"/>
  <c r="E2561" i="2"/>
  <c r="D2561" i="2"/>
  <c r="C2561" i="2"/>
  <c r="B2561" i="2"/>
  <c r="A2561" i="2"/>
  <c r="M2560" i="2"/>
  <c r="L2560" i="2"/>
  <c r="K2560" i="2"/>
  <c r="J2560" i="2"/>
  <c r="I2560" i="2"/>
  <c r="H2560" i="2"/>
  <c r="G2560" i="2"/>
  <c r="F2560" i="2"/>
  <c r="E2560" i="2"/>
  <c r="D2560" i="2"/>
  <c r="C2560" i="2"/>
  <c r="B2560" i="2"/>
  <c r="A2560" i="2"/>
  <c r="M2559" i="2"/>
  <c r="L2559" i="2"/>
  <c r="K2559" i="2"/>
  <c r="J2559" i="2"/>
  <c r="I2559" i="2"/>
  <c r="H2559" i="2"/>
  <c r="G2559" i="2"/>
  <c r="F2559" i="2"/>
  <c r="E2559" i="2"/>
  <c r="D2559" i="2"/>
  <c r="C2559" i="2"/>
  <c r="B2559" i="2"/>
  <c r="A2559" i="2"/>
  <c r="M2558" i="2"/>
  <c r="L2558" i="2"/>
  <c r="K2558" i="2"/>
  <c r="J2558" i="2"/>
  <c r="I2558" i="2"/>
  <c r="H2558" i="2"/>
  <c r="G2558" i="2"/>
  <c r="F2558" i="2"/>
  <c r="E2558" i="2"/>
  <c r="D2558" i="2"/>
  <c r="C2558" i="2"/>
  <c r="B2558" i="2"/>
  <c r="A2558" i="2"/>
  <c r="M2557" i="2"/>
  <c r="L2557" i="2"/>
  <c r="K2557" i="2"/>
  <c r="J2557" i="2"/>
  <c r="I2557" i="2"/>
  <c r="H2557" i="2"/>
  <c r="G2557" i="2"/>
  <c r="F2557" i="2"/>
  <c r="E2557" i="2"/>
  <c r="D2557" i="2"/>
  <c r="C2557" i="2"/>
  <c r="B2557" i="2"/>
  <c r="A2557" i="2"/>
  <c r="M2556" i="2"/>
  <c r="L2556" i="2"/>
  <c r="K2556" i="2"/>
  <c r="J2556" i="2"/>
  <c r="I2556" i="2"/>
  <c r="H2556" i="2"/>
  <c r="G2556" i="2"/>
  <c r="F2556" i="2"/>
  <c r="E2556" i="2"/>
  <c r="D2556" i="2"/>
  <c r="C2556" i="2"/>
  <c r="B2556" i="2"/>
  <c r="A2556" i="2"/>
  <c r="M2555" i="2"/>
  <c r="L2555" i="2"/>
  <c r="K2555" i="2"/>
  <c r="J2555" i="2"/>
  <c r="I2555" i="2"/>
  <c r="H2555" i="2"/>
  <c r="G2555" i="2"/>
  <c r="F2555" i="2"/>
  <c r="E2555" i="2"/>
  <c r="D2555" i="2"/>
  <c r="C2555" i="2"/>
  <c r="B2555" i="2"/>
  <c r="A2555" i="2"/>
  <c r="M2554" i="2"/>
  <c r="L2554" i="2"/>
  <c r="K2554" i="2"/>
  <c r="J2554" i="2"/>
  <c r="I2554" i="2"/>
  <c r="H2554" i="2"/>
  <c r="G2554" i="2"/>
  <c r="F2554" i="2"/>
  <c r="E2554" i="2"/>
  <c r="D2554" i="2"/>
  <c r="C2554" i="2"/>
  <c r="B2554" i="2"/>
  <c r="A2554" i="2"/>
  <c r="M2553" i="2"/>
  <c r="L2553" i="2"/>
  <c r="K2553" i="2"/>
  <c r="J2553" i="2"/>
  <c r="I2553" i="2"/>
  <c r="H2553" i="2"/>
  <c r="G2553" i="2"/>
  <c r="F2553" i="2"/>
  <c r="E2553" i="2"/>
  <c r="D2553" i="2"/>
  <c r="C2553" i="2"/>
  <c r="B2553" i="2"/>
  <c r="A2553" i="2"/>
  <c r="M2552" i="2"/>
  <c r="L2552" i="2"/>
  <c r="K2552" i="2"/>
  <c r="J2552" i="2"/>
  <c r="I2552" i="2"/>
  <c r="H2552" i="2"/>
  <c r="G2552" i="2"/>
  <c r="F2552" i="2"/>
  <c r="E2552" i="2"/>
  <c r="D2552" i="2"/>
  <c r="C2552" i="2"/>
  <c r="B2552" i="2"/>
  <c r="A2552" i="2"/>
  <c r="M2551" i="2"/>
  <c r="L2551" i="2"/>
  <c r="K2551" i="2"/>
  <c r="J2551" i="2"/>
  <c r="I2551" i="2"/>
  <c r="H2551" i="2"/>
  <c r="G2551" i="2"/>
  <c r="F2551" i="2"/>
  <c r="E2551" i="2"/>
  <c r="D2551" i="2"/>
  <c r="C2551" i="2"/>
  <c r="B2551" i="2"/>
  <c r="A2551" i="2"/>
  <c r="M2550" i="2"/>
  <c r="L2550" i="2"/>
  <c r="K2550" i="2"/>
  <c r="J2550" i="2"/>
  <c r="I2550" i="2"/>
  <c r="H2550" i="2"/>
  <c r="G2550" i="2"/>
  <c r="F2550" i="2"/>
  <c r="E2550" i="2"/>
  <c r="D2550" i="2"/>
  <c r="C2550" i="2"/>
  <c r="B2550" i="2"/>
  <c r="A2550" i="2"/>
  <c r="M2549" i="2"/>
  <c r="L2549" i="2"/>
  <c r="K2549" i="2"/>
  <c r="J2549" i="2"/>
  <c r="I2549" i="2"/>
  <c r="H2549" i="2"/>
  <c r="G2549" i="2"/>
  <c r="F2549" i="2"/>
  <c r="E2549" i="2"/>
  <c r="D2549" i="2"/>
  <c r="C2549" i="2"/>
  <c r="B2549" i="2"/>
  <c r="A2549" i="2"/>
  <c r="M2548" i="2"/>
  <c r="L2548" i="2"/>
  <c r="K2548" i="2"/>
  <c r="J2548" i="2"/>
  <c r="I2548" i="2"/>
  <c r="H2548" i="2"/>
  <c r="G2548" i="2"/>
  <c r="F2548" i="2"/>
  <c r="E2548" i="2"/>
  <c r="D2548" i="2"/>
  <c r="C2548" i="2"/>
  <c r="B2548" i="2"/>
  <c r="A2548" i="2"/>
  <c r="M2547" i="2"/>
  <c r="L2547" i="2"/>
  <c r="K2547" i="2"/>
  <c r="J2547" i="2"/>
  <c r="I2547" i="2"/>
  <c r="H2547" i="2"/>
  <c r="G2547" i="2"/>
  <c r="F2547" i="2"/>
  <c r="E2547" i="2"/>
  <c r="D2547" i="2"/>
  <c r="C2547" i="2"/>
  <c r="B2547" i="2"/>
  <c r="A2547" i="2"/>
  <c r="M2546" i="2"/>
  <c r="L2546" i="2"/>
  <c r="K2546" i="2"/>
  <c r="J2546" i="2"/>
  <c r="I2546" i="2"/>
  <c r="H2546" i="2"/>
  <c r="G2546" i="2"/>
  <c r="F2546" i="2"/>
  <c r="E2546" i="2"/>
  <c r="D2546" i="2"/>
  <c r="C2546" i="2"/>
  <c r="B2546" i="2"/>
  <c r="A2546" i="2"/>
  <c r="M2545" i="2"/>
  <c r="L2545" i="2"/>
  <c r="K2545" i="2"/>
  <c r="J2545" i="2"/>
  <c r="I2545" i="2"/>
  <c r="H2545" i="2"/>
  <c r="G2545" i="2"/>
  <c r="F2545" i="2"/>
  <c r="E2545" i="2"/>
  <c r="D2545" i="2"/>
  <c r="C2545" i="2"/>
  <c r="B2545" i="2"/>
  <c r="A2545" i="2"/>
  <c r="M2544" i="2"/>
  <c r="L2544" i="2"/>
  <c r="K2544" i="2"/>
  <c r="J2544" i="2"/>
  <c r="I2544" i="2"/>
  <c r="H2544" i="2"/>
  <c r="G2544" i="2"/>
  <c r="F2544" i="2"/>
  <c r="E2544" i="2"/>
  <c r="D2544" i="2"/>
  <c r="C2544" i="2"/>
  <c r="B2544" i="2"/>
  <c r="A2544" i="2"/>
  <c r="M2543" i="2"/>
  <c r="L2543" i="2"/>
  <c r="K2543" i="2"/>
  <c r="J2543" i="2"/>
  <c r="I2543" i="2"/>
  <c r="H2543" i="2"/>
  <c r="G2543" i="2"/>
  <c r="F2543" i="2"/>
  <c r="E2543" i="2"/>
  <c r="D2543" i="2"/>
  <c r="C2543" i="2"/>
  <c r="B2543" i="2"/>
  <c r="A2543" i="2"/>
  <c r="M2542" i="2"/>
  <c r="L2542" i="2"/>
  <c r="K2542" i="2"/>
  <c r="J2542" i="2"/>
  <c r="I2542" i="2"/>
  <c r="H2542" i="2"/>
  <c r="G2542" i="2"/>
  <c r="F2542" i="2"/>
  <c r="E2542" i="2"/>
  <c r="D2542" i="2"/>
  <c r="C2542" i="2"/>
  <c r="B2542" i="2"/>
  <c r="A2542" i="2"/>
  <c r="M2541" i="2"/>
  <c r="L2541" i="2"/>
  <c r="K2541" i="2"/>
  <c r="J2541" i="2"/>
  <c r="I2541" i="2"/>
  <c r="H2541" i="2"/>
  <c r="G2541" i="2"/>
  <c r="F2541" i="2"/>
  <c r="E2541" i="2"/>
  <c r="D2541" i="2"/>
  <c r="C2541" i="2"/>
  <c r="B2541" i="2"/>
  <c r="A2541" i="2"/>
  <c r="M2540" i="2"/>
  <c r="L2540" i="2"/>
  <c r="K2540" i="2"/>
  <c r="J2540" i="2"/>
  <c r="I2540" i="2"/>
  <c r="H2540" i="2"/>
  <c r="G2540" i="2"/>
  <c r="F2540" i="2"/>
  <c r="E2540" i="2"/>
  <c r="D2540" i="2"/>
  <c r="C2540" i="2"/>
  <c r="B2540" i="2"/>
  <c r="A2540" i="2"/>
  <c r="M2539" i="2"/>
  <c r="L2539" i="2"/>
  <c r="K2539" i="2"/>
  <c r="J2539" i="2"/>
  <c r="I2539" i="2"/>
  <c r="H2539" i="2"/>
  <c r="G2539" i="2"/>
  <c r="F2539" i="2"/>
  <c r="E2539" i="2"/>
  <c r="D2539" i="2"/>
  <c r="C2539" i="2"/>
  <c r="B2539" i="2"/>
  <c r="A2539" i="2"/>
  <c r="M2538" i="2"/>
  <c r="L2538" i="2"/>
  <c r="K2538" i="2"/>
  <c r="J2538" i="2"/>
  <c r="I2538" i="2"/>
  <c r="H2538" i="2"/>
  <c r="G2538" i="2"/>
  <c r="F2538" i="2"/>
  <c r="E2538" i="2"/>
  <c r="D2538" i="2"/>
  <c r="C2538" i="2"/>
  <c r="B2538" i="2"/>
  <c r="A2538" i="2"/>
  <c r="M2537" i="2"/>
  <c r="L2537" i="2"/>
  <c r="K2537" i="2"/>
  <c r="J2537" i="2"/>
  <c r="I2537" i="2"/>
  <c r="H2537" i="2"/>
  <c r="G2537" i="2"/>
  <c r="F2537" i="2"/>
  <c r="E2537" i="2"/>
  <c r="D2537" i="2"/>
  <c r="C2537" i="2"/>
  <c r="B2537" i="2"/>
  <c r="A2537" i="2"/>
  <c r="M2536" i="2"/>
  <c r="L2536" i="2"/>
  <c r="K2536" i="2"/>
  <c r="J2536" i="2"/>
  <c r="I2536" i="2"/>
  <c r="H2536" i="2"/>
  <c r="G2536" i="2"/>
  <c r="F2536" i="2"/>
  <c r="E2536" i="2"/>
  <c r="D2536" i="2"/>
  <c r="C2536" i="2"/>
  <c r="B2536" i="2"/>
  <c r="A2536" i="2"/>
  <c r="M2535" i="2"/>
  <c r="L2535" i="2"/>
  <c r="K2535" i="2"/>
  <c r="J2535" i="2"/>
  <c r="I2535" i="2"/>
  <c r="H2535" i="2"/>
  <c r="G2535" i="2"/>
  <c r="F2535" i="2"/>
  <c r="E2535" i="2"/>
  <c r="D2535" i="2"/>
  <c r="C2535" i="2"/>
  <c r="B2535" i="2"/>
  <c r="A2535" i="2"/>
  <c r="M2534" i="2"/>
  <c r="L2534" i="2"/>
  <c r="K2534" i="2"/>
  <c r="J2534" i="2"/>
  <c r="I2534" i="2"/>
  <c r="H2534" i="2"/>
  <c r="G2534" i="2"/>
  <c r="F2534" i="2"/>
  <c r="E2534" i="2"/>
  <c r="D2534" i="2"/>
  <c r="C2534" i="2"/>
  <c r="B2534" i="2"/>
  <c r="A2534" i="2"/>
  <c r="M2533" i="2"/>
  <c r="L2533" i="2"/>
  <c r="K2533" i="2"/>
  <c r="J2533" i="2"/>
  <c r="I2533" i="2"/>
  <c r="H2533" i="2"/>
  <c r="G2533" i="2"/>
  <c r="F2533" i="2"/>
  <c r="E2533" i="2"/>
  <c r="D2533" i="2"/>
  <c r="C2533" i="2"/>
  <c r="B2533" i="2"/>
  <c r="A2533" i="2"/>
  <c r="M2532" i="2"/>
  <c r="L2532" i="2"/>
  <c r="K2532" i="2"/>
  <c r="J2532" i="2"/>
  <c r="I2532" i="2"/>
  <c r="H2532" i="2"/>
  <c r="G2532" i="2"/>
  <c r="F2532" i="2"/>
  <c r="E2532" i="2"/>
  <c r="D2532" i="2"/>
  <c r="C2532" i="2"/>
  <c r="B2532" i="2"/>
  <c r="A2532" i="2"/>
  <c r="M2531" i="2"/>
  <c r="L2531" i="2"/>
  <c r="K2531" i="2"/>
  <c r="J2531" i="2"/>
  <c r="I2531" i="2"/>
  <c r="H2531" i="2"/>
  <c r="G2531" i="2"/>
  <c r="F2531" i="2"/>
  <c r="E2531" i="2"/>
  <c r="D2531" i="2"/>
  <c r="C2531" i="2"/>
  <c r="B2531" i="2"/>
  <c r="A2531" i="2"/>
  <c r="M2530" i="2"/>
  <c r="L2530" i="2"/>
  <c r="K2530" i="2"/>
  <c r="J2530" i="2"/>
  <c r="I2530" i="2"/>
  <c r="H2530" i="2"/>
  <c r="G2530" i="2"/>
  <c r="F2530" i="2"/>
  <c r="E2530" i="2"/>
  <c r="D2530" i="2"/>
  <c r="C2530" i="2"/>
  <c r="B2530" i="2"/>
  <c r="A2530" i="2"/>
  <c r="M2529" i="2"/>
  <c r="L2529" i="2"/>
  <c r="K2529" i="2"/>
  <c r="J2529" i="2"/>
  <c r="I2529" i="2"/>
  <c r="H2529" i="2"/>
  <c r="G2529" i="2"/>
  <c r="F2529" i="2"/>
  <c r="E2529" i="2"/>
  <c r="D2529" i="2"/>
  <c r="C2529" i="2"/>
  <c r="B2529" i="2"/>
  <c r="A2529" i="2"/>
  <c r="M2528" i="2"/>
  <c r="L2528" i="2"/>
  <c r="K2528" i="2"/>
  <c r="J2528" i="2"/>
  <c r="I2528" i="2"/>
  <c r="H2528" i="2"/>
  <c r="G2528" i="2"/>
  <c r="F2528" i="2"/>
  <c r="E2528" i="2"/>
  <c r="D2528" i="2"/>
  <c r="C2528" i="2"/>
  <c r="B2528" i="2"/>
  <c r="A2528" i="2"/>
  <c r="M2527" i="2"/>
  <c r="L2527" i="2"/>
  <c r="K2527" i="2"/>
  <c r="J2527" i="2"/>
  <c r="I2527" i="2"/>
  <c r="H2527" i="2"/>
  <c r="G2527" i="2"/>
  <c r="F2527" i="2"/>
  <c r="E2527" i="2"/>
  <c r="D2527" i="2"/>
  <c r="C2527" i="2"/>
  <c r="B2527" i="2"/>
  <c r="A2527" i="2"/>
  <c r="M2526" i="2"/>
  <c r="L2526" i="2"/>
  <c r="K2526" i="2"/>
  <c r="J2526" i="2"/>
  <c r="I2526" i="2"/>
  <c r="H2526" i="2"/>
  <c r="G2526" i="2"/>
  <c r="F2526" i="2"/>
  <c r="E2526" i="2"/>
  <c r="D2526" i="2"/>
  <c r="C2526" i="2"/>
  <c r="B2526" i="2"/>
  <c r="A2526" i="2"/>
  <c r="M2525" i="2"/>
  <c r="L2525" i="2"/>
  <c r="K2525" i="2"/>
  <c r="J2525" i="2"/>
  <c r="I2525" i="2"/>
  <c r="H2525" i="2"/>
  <c r="G2525" i="2"/>
  <c r="F2525" i="2"/>
  <c r="E2525" i="2"/>
  <c r="D2525" i="2"/>
  <c r="C2525" i="2"/>
  <c r="B2525" i="2"/>
  <c r="A2525" i="2"/>
  <c r="M2524" i="2"/>
  <c r="L2524" i="2"/>
  <c r="K2524" i="2"/>
  <c r="J2524" i="2"/>
  <c r="I2524" i="2"/>
  <c r="H2524" i="2"/>
  <c r="G2524" i="2"/>
  <c r="F2524" i="2"/>
  <c r="E2524" i="2"/>
  <c r="D2524" i="2"/>
  <c r="C2524" i="2"/>
  <c r="B2524" i="2"/>
  <c r="A2524" i="2"/>
  <c r="M2523" i="2"/>
  <c r="L2523" i="2"/>
  <c r="K2523" i="2"/>
  <c r="J2523" i="2"/>
  <c r="I2523" i="2"/>
  <c r="H2523" i="2"/>
  <c r="G2523" i="2"/>
  <c r="F2523" i="2"/>
  <c r="E2523" i="2"/>
  <c r="D2523" i="2"/>
  <c r="C2523" i="2"/>
  <c r="B2523" i="2"/>
  <c r="A2523" i="2"/>
  <c r="M2522" i="2"/>
  <c r="L2522" i="2"/>
  <c r="K2522" i="2"/>
  <c r="J2522" i="2"/>
  <c r="I2522" i="2"/>
  <c r="H2522" i="2"/>
  <c r="G2522" i="2"/>
  <c r="F2522" i="2"/>
  <c r="E2522" i="2"/>
  <c r="D2522" i="2"/>
  <c r="C2522" i="2"/>
  <c r="B2522" i="2"/>
  <c r="A2522" i="2"/>
  <c r="M2521" i="2"/>
  <c r="L2521" i="2"/>
  <c r="K2521" i="2"/>
  <c r="J2521" i="2"/>
  <c r="I2521" i="2"/>
  <c r="H2521" i="2"/>
  <c r="G2521" i="2"/>
  <c r="F2521" i="2"/>
  <c r="E2521" i="2"/>
  <c r="D2521" i="2"/>
  <c r="C2521" i="2"/>
  <c r="B2521" i="2"/>
  <c r="A2521" i="2"/>
  <c r="M2520" i="2"/>
  <c r="L2520" i="2"/>
  <c r="K2520" i="2"/>
  <c r="J2520" i="2"/>
  <c r="I2520" i="2"/>
  <c r="H2520" i="2"/>
  <c r="G2520" i="2"/>
  <c r="F2520" i="2"/>
  <c r="E2520" i="2"/>
  <c r="D2520" i="2"/>
  <c r="C2520" i="2"/>
  <c r="B2520" i="2"/>
  <c r="A2520" i="2"/>
  <c r="M2519" i="2"/>
  <c r="L2519" i="2"/>
  <c r="K2519" i="2"/>
  <c r="J2519" i="2"/>
  <c r="I2519" i="2"/>
  <c r="H2519" i="2"/>
  <c r="G2519" i="2"/>
  <c r="F2519" i="2"/>
  <c r="E2519" i="2"/>
  <c r="D2519" i="2"/>
  <c r="C2519" i="2"/>
  <c r="B2519" i="2"/>
  <c r="A2519" i="2"/>
  <c r="M2518" i="2"/>
  <c r="L2518" i="2"/>
  <c r="K2518" i="2"/>
  <c r="J2518" i="2"/>
  <c r="I2518" i="2"/>
  <c r="H2518" i="2"/>
  <c r="G2518" i="2"/>
  <c r="F2518" i="2"/>
  <c r="E2518" i="2"/>
  <c r="D2518" i="2"/>
  <c r="C2518" i="2"/>
  <c r="B2518" i="2"/>
  <c r="A2518" i="2"/>
  <c r="M2517" i="2"/>
  <c r="L2517" i="2"/>
  <c r="K2517" i="2"/>
  <c r="J2517" i="2"/>
  <c r="I2517" i="2"/>
  <c r="H2517" i="2"/>
  <c r="G2517" i="2"/>
  <c r="F2517" i="2"/>
  <c r="E2517" i="2"/>
  <c r="D2517" i="2"/>
  <c r="C2517" i="2"/>
  <c r="B2517" i="2"/>
  <c r="A2517" i="2"/>
  <c r="M2516" i="2"/>
  <c r="L2516" i="2"/>
  <c r="K2516" i="2"/>
  <c r="J2516" i="2"/>
  <c r="I2516" i="2"/>
  <c r="H2516" i="2"/>
  <c r="G2516" i="2"/>
  <c r="F2516" i="2"/>
  <c r="E2516" i="2"/>
  <c r="D2516" i="2"/>
  <c r="C2516" i="2"/>
  <c r="B2516" i="2"/>
  <c r="A2516" i="2"/>
  <c r="M2515" i="2"/>
  <c r="L2515" i="2"/>
  <c r="K2515" i="2"/>
  <c r="J2515" i="2"/>
  <c r="I2515" i="2"/>
  <c r="H2515" i="2"/>
  <c r="G2515" i="2"/>
  <c r="F2515" i="2"/>
  <c r="E2515" i="2"/>
  <c r="D2515" i="2"/>
  <c r="C2515" i="2"/>
  <c r="B2515" i="2"/>
  <c r="A2515" i="2"/>
  <c r="M2514" i="2"/>
  <c r="L2514" i="2"/>
  <c r="K2514" i="2"/>
  <c r="J2514" i="2"/>
  <c r="I2514" i="2"/>
  <c r="H2514" i="2"/>
  <c r="G2514" i="2"/>
  <c r="F2514" i="2"/>
  <c r="E2514" i="2"/>
  <c r="D2514" i="2"/>
  <c r="C2514" i="2"/>
  <c r="B2514" i="2"/>
  <c r="A2514" i="2"/>
  <c r="M2513" i="2"/>
  <c r="L2513" i="2"/>
  <c r="K2513" i="2"/>
  <c r="J2513" i="2"/>
  <c r="I2513" i="2"/>
  <c r="H2513" i="2"/>
  <c r="G2513" i="2"/>
  <c r="F2513" i="2"/>
  <c r="E2513" i="2"/>
  <c r="D2513" i="2"/>
  <c r="C2513" i="2"/>
  <c r="B2513" i="2"/>
  <c r="A2513" i="2"/>
  <c r="M2512" i="2"/>
  <c r="J2512" i="2"/>
  <c r="G2512" i="2"/>
  <c r="F2512" i="2"/>
  <c r="D2512" i="2"/>
  <c r="C2512" i="2"/>
  <c r="B2512" i="2"/>
  <c r="A2512" i="2"/>
  <c r="N2511" i="2"/>
  <c r="M2511" i="2"/>
  <c r="L2511" i="2"/>
  <c r="K2511" i="2"/>
  <c r="J2511" i="2"/>
  <c r="I2511" i="2"/>
  <c r="H2511" i="2"/>
  <c r="F2511" i="2"/>
  <c r="D2511" i="2"/>
  <c r="C2511" i="2"/>
  <c r="B2511" i="2"/>
  <c r="A2511" i="2"/>
  <c r="M2510" i="2"/>
  <c r="L2510" i="2"/>
  <c r="K2510" i="2"/>
  <c r="J2510" i="2"/>
  <c r="I2510" i="2"/>
  <c r="H2510" i="2"/>
  <c r="F2510" i="2"/>
  <c r="D2510" i="2"/>
  <c r="C2510" i="2"/>
  <c r="B2510" i="2"/>
  <c r="A2510" i="2"/>
  <c r="M2509" i="2"/>
  <c r="L2509" i="2"/>
  <c r="K2509" i="2"/>
  <c r="J2509" i="2"/>
  <c r="I2509" i="2"/>
  <c r="H2509" i="2"/>
  <c r="F2509" i="2"/>
  <c r="D2509" i="2"/>
  <c r="C2509" i="2"/>
  <c r="B2509" i="2"/>
  <c r="A2509" i="2"/>
  <c r="M2508" i="2"/>
  <c r="L2508" i="2"/>
  <c r="K2508" i="2"/>
  <c r="J2508" i="2"/>
  <c r="I2508" i="2"/>
  <c r="H2508" i="2"/>
  <c r="F2508" i="2"/>
  <c r="D2508" i="2"/>
  <c r="C2508" i="2"/>
  <c r="B2508" i="2"/>
  <c r="A2508" i="2"/>
  <c r="M2507" i="2"/>
  <c r="L2507" i="2"/>
  <c r="K2507" i="2"/>
  <c r="J2507" i="2"/>
  <c r="I2507" i="2"/>
  <c r="H2507" i="2"/>
  <c r="F2507" i="2"/>
  <c r="D2507" i="2"/>
  <c r="C2507" i="2"/>
  <c r="B2507" i="2"/>
  <c r="A2507" i="2"/>
  <c r="M2506" i="2"/>
  <c r="L2506" i="2"/>
  <c r="K2506" i="2"/>
  <c r="J2506" i="2"/>
  <c r="I2506" i="2"/>
  <c r="H2506" i="2"/>
  <c r="F2506" i="2"/>
  <c r="D2506" i="2"/>
  <c r="C2506" i="2"/>
  <c r="B2506" i="2"/>
  <c r="A2506" i="2"/>
  <c r="M2505" i="2"/>
  <c r="L2505" i="2"/>
  <c r="K2505" i="2"/>
  <c r="J2505" i="2"/>
  <c r="I2505" i="2"/>
  <c r="H2505" i="2"/>
  <c r="F2505" i="2"/>
  <c r="D2505" i="2"/>
  <c r="C2505" i="2"/>
  <c r="B2505" i="2"/>
  <c r="A2505" i="2"/>
  <c r="M2504" i="2"/>
  <c r="L2504" i="2"/>
  <c r="K2504" i="2"/>
  <c r="J2504" i="2"/>
  <c r="I2504" i="2"/>
  <c r="H2504" i="2"/>
  <c r="F2504" i="2"/>
  <c r="D2504" i="2"/>
  <c r="C2504" i="2"/>
  <c r="B2504" i="2"/>
  <c r="A2504" i="2"/>
  <c r="M2503" i="2"/>
  <c r="L2503" i="2"/>
  <c r="K2503" i="2"/>
  <c r="J2503" i="2"/>
  <c r="I2503" i="2"/>
  <c r="H2503" i="2"/>
  <c r="F2503" i="2"/>
  <c r="D2503" i="2"/>
  <c r="C2503" i="2"/>
  <c r="B2503" i="2"/>
  <c r="A2503" i="2"/>
  <c r="M2502" i="2"/>
  <c r="L2502" i="2"/>
  <c r="K2502" i="2"/>
  <c r="J2502" i="2"/>
  <c r="I2502" i="2"/>
  <c r="H2502" i="2"/>
  <c r="F2502" i="2"/>
  <c r="D2502" i="2"/>
  <c r="C2502" i="2"/>
  <c r="B2502" i="2"/>
  <c r="A2502" i="2"/>
  <c r="M2501" i="2"/>
  <c r="L2501" i="2"/>
  <c r="K2501" i="2"/>
  <c r="J2501" i="2"/>
  <c r="I2501" i="2"/>
  <c r="H2501" i="2"/>
  <c r="F2501" i="2"/>
  <c r="D2501" i="2"/>
  <c r="C2501" i="2"/>
  <c r="B2501" i="2"/>
  <c r="A2501" i="2"/>
  <c r="M2500" i="2"/>
  <c r="L2500" i="2"/>
  <c r="K2500" i="2"/>
  <c r="J2500" i="2"/>
  <c r="I2500" i="2"/>
  <c r="H2500" i="2"/>
  <c r="F2500" i="2"/>
  <c r="D2500" i="2"/>
  <c r="C2500" i="2"/>
  <c r="B2500" i="2"/>
  <c r="A2500" i="2"/>
  <c r="M2499" i="2"/>
  <c r="L2499" i="2"/>
  <c r="K2499" i="2"/>
  <c r="J2499" i="2"/>
  <c r="I2499" i="2"/>
  <c r="H2499" i="2"/>
  <c r="F2499" i="2"/>
  <c r="D2499" i="2"/>
  <c r="C2499" i="2"/>
  <c r="B2499" i="2"/>
  <c r="A2499" i="2"/>
  <c r="M2498" i="2"/>
  <c r="L2498" i="2"/>
  <c r="K2498" i="2"/>
  <c r="J2498" i="2"/>
  <c r="I2498" i="2"/>
  <c r="H2498" i="2"/>
  <c r="F2498" i="2"/>
  <c r="D2498" i="2"/>
  <c r="C2498" i="2"/>
  <c r="B2498" i="2"/>
  <c r="A2498" i="2"/>
  <c r="M2497" i="2"/>
  <c r="L2497" i="2"/>
  <c r="K2497" i="2"/>
  <c r="J2497" i="2"/>
  <c r="I2497" i="2"/>
  <c r="H2497" i="2"/>
  <c r="F2497" i="2"/>
  <c r="D2497" i="2"/>
  <c r="C2497" i="2"/>
  <c r="B2497" i="2"/>
  <c r="A2497" i="2"/>
  <c r="M2496" i="2"/>
  <c r="L2496" i="2"/>
  <c r="K2496" i="2"/>
  <c r="J2496" i="2"/>
  <c r="I2496" i="2"/>
  <c r="H2496" i="2"/>
  <c r="F2496" i="2"/>
  <c r="D2496" i="2"/>
  <c r="C2496" i="2"/>
  <c r="B2496" i="2"/>
  <c r="A2496" i="2"/>
  <c r="M2495" i="2"/>
  <c r="L2495" i="2"/>
  <c r="K2495" i="2"/>
  <c r="J2495" i="2"/>
  <c r="I2495" i="2"/>
  <c r="H2495" i="2"/>
  <c r="F2495" i="2"/>
  <c r="D2495" i="2"/>
  <c r="C2495" i="2"/>
  <c r="B2495" i="2"/>
  <c r="A2495" i="2"/>
  <c r="M2494" i="2"/>
  <c r="L2494" i="2"/>
  <c r="K2494" i="2"/>
  <c r="J2494" i="2"/>
  <c r="I2494" i="2"/>
  <c r="H2494" i="2"/>
  <c r="F2494" i="2"/>
  <c r="D2494" i="2"/>
  <c r="C2494" i="2"/>
  <c r="B2494" i="2"/>
  <c r="A2494" i="2"/>
  <c r="M2493" i="2"/>
  <c r="L2493" i="2"/>
  <c r="K2493" i="2"/>
  <c r="J2493" i="2"/>
  <c r="I2493" i="2"/>
  <c r="H2493" i="2"/>
  <c r="F2493" i="2"/>
  <c r="D2493" i="2"/>
  <c r="C2493" i="2"/>
  <c r="B2493" i="2"/>
  <c r="A2493" i="2"/>
  <c r="M2492" i="2"/>
  <c r="L2492" i="2"/>
  <c r="K2492" i="2"/>
  <c r="J2492" i="2"/>
  <c r="I2492" i="2"/>
  <c r="H2492" i="2"/>
  <c r="F2492" i="2"/>
  <c r="D2492" i="2"/>
  <c r="C2492" i="2"/>
  <c r="B2492" i="2"/>
  <c r="A2492" i="2"/>
  <c r="M2491" i="2"/>
  <c r="L2491" i="2"/>
  <c r="K2491" i="2"/>
  <c r="J2491" i="2"/>
  <c r="I2491" i="2"/>
  <c r="H2491" i="2"/>
  <c r="F2491" i="2"/>
  <c r="D2491" i="2"/>
  <c r="C2491" i="2"/>
  <c r="B2491" i="2"/>
  <c r="A2491" i="2"/>
  <c r="M2490" i="2"/>
  <c r="L2490" i="2"/>
  <c r="K2490" i="2"/>
  <c r="J2490" i="2"/>
  <c r="I2490" i="2"/>
  <c r="H2490" i="2"/>
  <c r="F2490" i="2"/>
  <c r="D2490" i="2"/>
  <c r="C2490" i="2"/>
  <c r="B2490" i="2"/>
  <c r="A2490" i="2"/>
  <c r="M2489" i="2"/>
  <c r="L2489" i="2"/>
  <c r="K2489" i="2"/>
  <c r="J2489" i="2"/>
  <c r="I2489" i="2"/>
  <c r="H2489" i="2"/>
  <c r="F2489" i="2"/>
  <c r="D2489" i="2"/>
  <c r="C2489" i="2"/>
  <c r="B2489" i="2"/>
  <c r="A2489" i="2"/>
  <c r="M2488" i="2"/>
  <c r="L2488" i="2"/>
  <c r="K2488" i="2"/>
  <c r="J2488" i="2"/>
  <c r="I2488" i="2"/>
  <c r="H2488" i="2"/>
  <c r="F2488" i="2"/>
  <c r="D2488" i="2"/>
  <c r="C2488" i="2"/>
  <c r="B2488" i="2"/>
  <c r="A2488" i="2"/>
  <c r="M2487" i="2"/>
  <c r="L2487" i="2"/>
  <c r="K2487" i="2"/>
  <c r="J2487" i="2"/>
  <c r="I2487" i="2"/>
  <c r="H2487" i="2"/>
  <c r="F2487" i="2"/>
  <c r="D2487" i="2"/>
  <c r="C2487" i="2"/>
  <c r="B2487" i="2"/>
  <c r="A2487" i="2"/>
  <c r="M2486" i="2"/>
  <c r="L2486" i="2"/>
  <c r="K2486" i="2"/>
  <c r="J2486" i="2"/>
  <c r="I2486" i="2"/>
  <c r="H2486" i="2"/>
  <c r="F2486" i="2"/>
  <c r="D2486" i="2"/>
  <c r="C2486" i="2"/>
  <c r="B2486" i="2"/>
  <c r="A2486" i="2"/>
  <c r="M2485" i="2"/>
  <c r="L2485" i="2"/>
  <c r="K2485" i="2"/>
  <c r="J2485" i="2"/>
  <c r="I2485" i="2"/>
  <c r="H2485" i="2"/>
  <c r="F2485" i="2"/>
  <c r="D2485" i="2"/>
  <c r="C2485" i="2"/>
  <c r="B2485" i="2"/>
  <c r="A2485" i="2"/>
  <c r="M2484" i="2"/>
  <c r="L2484" i="2"/>
  <c r="K2484" i="2"/>
  <c r="J2484" i="2"/>
  <c r="I2484" i="2"/>
  <c r="H2484" i="2"/>
  <c r="F2484" i="2"/>
  <c r="D2484" i="2"/>
  <c r="C2484" i="2"/>
  <c r="B2484" i="2"/>
  <c r="A2484" i="2"/>
  <c r="M2483" i="2"/>
  <c r="L2483" i="2"/>
  <c r="K2483" i="2"/>
  <c r="J2483" i="2"/>
  <c r="I2483" i="2"/>
  <c r="H2483" i="2"/>
  <c r="F2483" i="2"/>
  <c r="D2483" i="2"/>
  <c r="C2483" i="2"/>
  <c r="B2483" i="2"/>
  <c r="A2483" i="2"/>
  <c r="L2482" i="2"/>
  <c r="K2482" i="2"/>
  <c r="J2482" i="2"/>
  <c r="I2482" i="2"/>
  <c r="H2482" i="2"/>
  <c r="F2482" i="2"/>
  <c r="D2482" i="2"/>
  <c r="C2482" i="2"/>
  <c r="B2482" i="2"/>
  <c r="A2482" i="2"/>
  <c r="L2481" i="2"/>
  <c r="K2481" i="2"/>
  <c r="J2481" i="2"/>
  <c r="I2481" i="2"/>
  <c r="H2481" i="2"/>
  <c r="F2481" i="2"/>
  <c r="D2481" i="2"/>
  <c r="C2481" i="2"/>
  <c r="B2481" i="2"/>
  <c r="A2481" i="2"/>
  <c r="L2480" i="2"/>
  <c r="K2480" i="2"/>
  <c r="J2480" i="2"/>
  <c r="I2480" i="2"/>
  <c r="H2480" i="2"/>
  <c r="F2480" i="2"/>
  <c r="D2480" i="2"/>
  <c r="C2480" i="2"/>
  <c r="B2480" i="2"/>
  <c r="A2480" i="2"/>
  <c r="L2479" i="2"/>
  <c r="K2479" i="2"/>
  <c r="J2479" i="2"/>
  <c r="I2479" i="2"/>
  <c r="H2479" i="2"/>
  <c r="F2479" i="2"/>
  <c r="D2479" i="2"/>
  <c r="C2479" i="2"/>
  <c r="B2479" i="2"/>
  <c r="A2479" i="2"/>
  <c r="L2478" i="2"/>
  <c r="K2478" i="2"/>
  <c r="J2478" i="2"/>
  <c r="I2478" i="2"/>
  <c r="H2478" i="2"/>
  <c r="F2478" i="2"/>
  <c r="D2478" i="2"/>
  <c r="C2478" i="2"/>
  <c r="B2478" i="2"/>
  <c r="A2478" i="2"/>
  <c r="M2477" i="2"/>
  <c r="L2477" i="2"/>
  <c r="K2477" i="2"/>
  <c r="J2477" i="2"/>
  <c r="I2477" i="2"/>
  <c r="H2477" i="2"/>
  <c r="F2477" i="2"/>
  <c r="D2477" i="2"/>
  <c r="C2477" i="2"/>
  <c r="B2477" i="2"/>
  <c r="A2477" i="2"/>
  <c r="M2476" i="2"/>
  <c r="L2476" i="2"/>
  <c r="K2476" i="2"/>
  <c r="J2476" i="2"/>
  <c r="I2476" i="2"/>
  <c r="H2476" i="2"/>
  <c r="F2476" i="2"/>
  <c r="D2476" i="2"/>
  <c r="C2476" i="2"/>
  <c r="B2476" i="2"/>
  <c r="A2476" i="2"/>
  <c r="M2475" i="2"/>
  <c r="L2475" i="2"/>
  <c r="K2475" i="2"/>
  <c r="J2475" i="2"/>
  <c r="I2475" i="2"/>
  <c r="H2475" i="2"/>
  <c r="F2475" i="2"/>
  <c r="D2475" i="2"/>
  <c r="C2475" i="2"/>
  <c r="B2475" i="2"/>
  <c r="A2475" i="2"/>
  <c r="M2474" i="2"/>
  <c r="L2474" i="2"/>
  <c r="K2474" i="2"/>
  <c r="J2474" i="2"/>
  <c r="I2474" i="2"/>
  <c r="H2474" i="2"/>
  <c r="F2474" i="2"/>
  <c r="D2474" i="2"/>
  <c r="C2474" i="2"/>
  <c r="B2474" i="2"/>
  <c r="A2474" i="2"/>
  <c r="M2473" i="2"/>
  <c r="L2473" i="2"/>
  <c r="K2473" i="2"/>
  <c r="J2473" i="2"/>
  <c r="I2473" i="2"/>
  <c r="H2473" i="2"/>
  <c r="F2473" i="2"/>
  <c r="D2473" i="2"/>
  <c r="C2473" i="2"/>
  <c r="B2473" i="2"/>
  <c r="A2473" i="2"/>
  <c r="M2472" i="2"/>
  <c r="L2472" i="2"/>
  <c r="K2472" i="2"/>
  <c r="J2472" i="2"/>
  <c r="I2472" i="2"/>
  <c r="H2472" i="2"/>
  <c r="F2472" i="2"/>
  <c r="D2472" i="2"/>
  <c r="C2472" i="2"/>
  <c r="B2472" i="2"/>
  <c r="A2472" i="2"/>
  <c r="M2471" i="2"/>
  <c r="L2471" i="2"/>
  <c r="K2471" i="2"/>
  <c r="J2471" i="2"/>
  <c r="I2471" i="2"/>
  <c r="H2471" i="2"/>
  <c r="F2471" i="2"/>
  <c r="D2471" i="2"/>
  <c r="C2471" i="2"/>
  <c r="B2471" i="2"/>
  <c r="A2471" i="2"/>
  <c r="M2470" i="2"/>
  <c r="L2470" i="2"/>
  <c r="K2470" i="2"/>
  <c r="J2470" i="2"/>
  <c r="I2470" i="2"/>
  <c r="H2470" i="2"/>
  <c r="F2470" i="2"/>
  <c r="D2470" i="2"/>
  <c r="C2470" i="2"/>
  <c r="B2470" i="2"/>
  <c r="A2470" i="2"/>
  <c r="M2469" i="2"/>
  <c r="L2469" i="2"/>
  <c r="K2469" i="2"/>
  <c r="J2469" i="2"/>
  <c r="I2469" i="2"/>
  <c r="H2469" i="2"/>
  <c r="F2469" i="2"/>
  <c r="D2469" i="2"/>
  <c r="C2469" i="2"/>
  <c r="B2469" i="2"/>
  <c r="A2469" i="2"/>
  <c r="M2468" i="2"/>
  <c r="L2468" i="2"/>
  <c r="K2468" i="2"/>
  <c r="J2468" i="2"/>
  <c r="I2468" i="2"/>
  <c r="H2468" i="2"/>
  <c r="F2468" i="2"/>
  <c r="D2468" i="2"/>
  <c r="C2468" i="2"/>
  <c r="B2468" i="2"/>
  <c r="A2468" i="2"/>
  <c r="M2467" i="2"/>
  <c r="L2467" i="2"/>
  <c r="K2467" i="2"/>
  <c r="J2467" i="2"/>
  <c r="I2467" i="2"/>
  <c r="H2467" i="2"/>
  <c r="F2467" i="2"/>
  <c r="D2467" i="2"/>
  <c r="C2467" i="2"/>
  <c r="B2467" i="2"/>
  <c r="A2467" i="2"/>
  <c r="M2466" i="2"/>
  <c r="L2466" i="2"/>
  <c r="K2466" i="2"/>
  <c r="J2466" i="2"/>
  <c r="I2466" i="2"/>
  <c r="H2466" i="2"/>
  <c r="F2466" i="2"/>
  <c r="D2466" i="2"/>
  <c r="C2466" i="2"/>
  <c r="B2466" i="2"/>
  <c r="A2466" i="2"/>
  <c r="M2465" i="2"/>
  <c r="L2465" i="2"/>
  <c r="K2465" i="2"/>
  <c r="J2465" i="2"/>
  <c r="I2465" i="2"/>
  <c r="H2465" i="2"/>
  <c r="F2465" i="2"/>
  <c r="D2465" i="2"/>
  <c r="C2465" i="2"/>
  <c r="B2465" i="2"/>
  <c r="A2465" i="2"/>
  <c r="M2464" i="2"/>
  <c r="L2464" i="2"/>
  <c r="K2464" i="2"/>
  <c r="J2464" i="2"/>
  <c r="I2464" i="2"/>
  <c r="H2464" i="2"/>
  <c r="F2464" i="2"/>
  <c r="D2464" i="2"/>
  <c r="C2464" i="2"/>
  <c r="B2464" i="2"/>
  <c r="A2464" i="2"/>
  <c r="M2463" i="2"/>
  <c r="L2463" i="2"/>
  <c r="K2463" i="2"/>
  <c r="J2463" i="2"/>
  <c r="I2463" i="2"/>
  <c r="H2463" i="2"/>
  <c r="F2463" i="2"/>
  <c r="D2463" i="2"/>
  <c r="C2463" i="2"/>
  <c r="B2463" i="2"/>
  <c r="A2463" i="2"/>
  <c r="M2462" i="2"/>
  <c r="L2462" i="2"/>
  <c r="K2462" i="2"/>
  <c r="J2462" i="2"/>
  <c r="I2462" i="2"/>
  <c r="H2462" i="2"/>
  <c r="F2462" i="2"/>
  <c r="D2462" i="2"/>
  <c r="C2462" i="2"/>
  <c r="B2462" i="2"/>
  <c r="A2462" i="2"/>
  <c r="M2461" i="2"/>
  <c r="L2461" i="2"/>
  <c r="K2461" i="2"/>
  <c r="J2461" i="2"/>
  <c r="I2461" i="2"/>
  <c r="H2461" i="2"/>
  <c r="F2461" i="2"/>
  <c r="D2461" i="2"/>
  <c r="C2461" i="2"/>
  <c r="B2461" i="2"/>
  <c r="A2461" i="2"/>
  <c r="M2460" i="2"/>
  <c r="L2460" i="2"/>
  <c r="K2460" i="2"/>
  <c r="J2460" i="2"/>
  <c r="I2460" i="2"/>
  <c r="H2460" i="2"/>
  <c r="F2460" i="2"/>
  <c r="D2460" i="2"/>
  <c r="C2460" i="2"/>
  <c r="B2460" i="2"/>
  <c r="A2460" i="2"/>
  <c r="M2459" i="2"/>
  <c r="L2459" i="2"/>
  <c r="K2459" i="2"/>
  <c r="J2459" i="2"/>
  <c r="I2459" i="2"/>
  <c r="H2459" i="2"/>
  <c r="F2459" i="2"/>
  <c r="D2459" i="2"/>
  <c r="C2459" i="2"/>
  <c r="B2459" i="2"/>
  <c r="A2459" i="2"/>
  <c r="M2458" i="2"/>
  <c r="L2458" i="2"/>
  <c r="K2458" i="2"/>
  <c r="J2458" i="2"/>
  <c r="I2458" i="2"/>
  <c r="H2458" i="2"/>
  <c r="F2458" i="2"/>
  <c r="D2458" i="2"/>
  <c r="C2458" i="2"/>
  <c r="B2458" i="2"/>
  <c r="A2458" i="2"/>
  <c r="M2457" i="2"/>
  <c r="L2457" i="2"/>
  <c r="K2457" i="2"/>
  <c r="J2457" i="2"/>
  <c r="I2457" i="2"/>
  <c r="H2457" i="2"/>
  <c r="F2457" i="2"/>
  <c r="D2457" i="2"/>
  <c r="C2457" i="2"/>
  <c r="B2457" i="2"/>
  <c r="A2457" i="2"/>
  <c r="M2456" i="2"/>
  <c r="L2456" i="2"/>
  <c r="K2456" i="2"/>
  <c r="J2456" i="2"/>
  <c r="I2456" i="2"/>
  <c r="H2456" i="2"/>
  <c r="F2456" i="2"/>
  <c r="D2456" i="2"/>
  <c r="C2456" i="2"/>
  <c r="B2456" i="2"/>
  <c r="A2456" i="2"/>
  <c r="M2455" i="2"/>
  <c r="L2455" i="2"/>
  <c r="K2455" i="2"/>
  <c r="J2455" i="2"/>
  <c r="I2455" i="2"/>
  <c r="H2455" i="2"/>
  <c r="F2455" i="2"/>
  <c r="D2455" i="2"/>
  <c r="C2455" i="2"/>
  <c r="B2455" i="2"/>
  <c r="A2455" i="2"/>
  <c r="M2454" i="2"/>
  <c r="L2454" i="2"/>
  <c r="K2454" i="2"/>
  <c r="J2454" i="2"/>
  <c r="I2454" i="2"/>
  <c r="H2454" i="2"/>
  <c r="F2454" i="2"/>
  <c r="D2454" i="2"/>
  <c r="C2454" i="2"/>
  <c r="B2454" i="2"/>
  <c r="A2454" i="2"/>
  <c r="M2453" i="2"/>
  <c r="L2453" i="2"/>
  <c r="K2453" i="2"/>
  <c r="J2453" i="2"/>
  <c r="I2453" i="2"/>
  <c r="H2453" i="2"/>
  <c r="F2453" i="2"/>
  <c r="D2453" i="2"/>
  <c r="C2453" i="2"/>
  <c r="B2453" i="2"/>
  <c r="A2453" i="2"/>
  <c r="M2452" i="2"/>
  <c r="L2452" i="2"/>
  <c r="J2452" i="2"/>
  <c r="I2452" i="2"/>
  <c r="H2452" i="2"/>
  <c r="F2452" i="2"/>
  <c r="D2452" i="2"/>
  <c r="C2452" i="2"/>
  <c r="B2452" i="2"/>
  <c r="A2452" i="2"/>
  <c r="M2451" i="2"/>
  <c r="L2451" i="2"/>
  <c r="K2451" i="2"/>
  <c r="J2451" i="2"/>
  <c r="I2451" i="2"/>
  <c r="H2451" i="2"/>
  <c r="F2451" i="2"/>
  <c r="D2451" i="2"/>
  <c r="C2451" i="2"/>
  <c r="B2451" i="2"/>
  <c r="A2451" i="2"/>
  <c r="M2450" i="2"/>
  <c r="L2450" i="2"/>
  <c r="K2450" i="2"/>
  <c r="J2450" i="2"/>
  <c r="I2450" i="2"/>
  <c r="H2450" i="2"/>
  <c r="F2450" i="2"/>
  <c r="D2450" i="2"/>
  <c r="C2450" i="2"/>
  <c r="B2450" i="2"/>
  <c r="A2450" i="2"/>
  <c r="M2449" i="2"/>
  <c r="L2449" i="2"/>
  <c r="K2449" i="2"/>
  <c r="J2449" i="2"/>
  <c r="I2449" i="2"/>
  <c r="H2449" i="2"/>
  <c r="F2449" i="2"/>
  <c r="D2449" i="2"/>
  <c r="C2449" i="2"/>
  <c r="B2449" i="2"/>
  <c r="A2449" i="2"/>
  <c r="M2448" i="2"/>
  <c r="L2448" i="2"/>
  <c r="K2448" i="2"/>
  <c r="J2448" i="2"/>
  <c r="I2448" i="2"/>
  <c r="H2448" i="2"/>
  <c r="F2448" i="2"/>
  <c r="D2448" i="2"/>
  <c r="C2448" i="2"/>
  <c r="B2448" i="2"/>
  <c r="A2448" i="2"/>
  <c r="M2447" i="2"/>
  <c r="L2447" i="2"/>
  <c r="K2447" i="2"/>
  <c r="J2447" i="2"/>
  <c r="I2447" i="2"/>
  <c r="H2447" i="2"/>
  <c r="F2447" i="2"/>
  <c r="D2447" i="2"/>
  <c r="C2447" i="2"/>
  <c r="B2447" i="2"/>
  <c r="A2447" i="2"/>
  <c r="M2446" i="2"/>
  <c r="L2446" i="2"/>
  <c r="K2446" i="2"/>
  <c r="J2446" i="2"/>
  <c r="I2446" i="2"/>
  <c r="H2446" i="2"/>
  <c r="F2446" i="2"/>
  <c r="D2446" i="2"/>
  <c r="C2446" i="2"/>
  <c r="B2446" i="2"/>
  <c r="A2446" i="2"/>
  <c r="M2445" i="2"/>
  <c r="L2445" i="2"/>
  <c r="K2445" i="2"/>
  <c r="J2445" i="2"/>
  <c r="I2445" i="2"/>
  <c r="H2445" i="2"/>
  <c r="F2445" i="2"/>
  <c r="D2445" i="2"/>
  <c r="C2445" i="2"/>
  <c r="B2445" i="2"/>
  <c r="A2445" i="2"/>
  <c r="M2444" i="2"/>
  <c r="L2444" i="2"/>
  <c r="K2444" i="2"/>
  <c r="J2444" i="2"/>
  <c r="I2444" i="2"/>
  <c r="H2444" i="2"/>
  <c r="F2444" i="2"/>
  <c r="D2444" i="2"/>
  <c r="C2444" i="2"/>
  <c r="B2444" i="2"/>
  <c r="A2444" i="2"/>
  <c r="M2443" i="2"/>
  <c r="L2443" i="2"/>
  <c r="K2443" i="2"/>
  <c r="J2443" i="2"/>
  <c r="I2443" i="2"/>
  <c r="H2443" i="2"/>
  <c r="F2443" i="2"/>
  <c r="D2443" i="2"/>
  <c r="C2443" i="2"/>
  <c r="B2443" i="2"/>
  <c r="A2443" i="2"/>
  <c r="M2442" i="2"/>
  <c r="L2442" i="2"/>
  <c r="K2442" i="2"/>
  <c r="J2442" i="2"/>
  <c r="I2442" i="2"/>
  <c r="H2442" i="2"/>
  <c r="F2442" i="2"/>
  <c r="D2442" i="2"/>
  <c r="C2442" i="2"/>
  <c r="B2442" i="2"/>
  <c r="A2442" i="2"/>
  <c r="M2441" i="2"/>
  <c r="L2441" i="2"/>
  <c r="K2441" i="2"/>
  <c r="J2441" i="2"/>
  <c r="I2441" i="2"/>
  <c r="H2441" i="2"/>
  <c r="F2441" i="2"/>
  <c r="D2441" i="2"/>
  <c r="C2441" i="2"/>
  <c r="B2441" i="2"/>
  <c r="A2441" i="2"/>
  <c r="M2440" i="2"/>
  <c r="L2440" i="2"/>
  <c r="K2440" i="2"/>
  <c r="J2440" i="2"/>
  <c r="I2440" i="2"/>
  <c r="H2440" i="2"/>
  <c r="F2440" i="2"/>
  <c r="D2440" i="2"/>
  <c r="C2440" i="2"/>
  <c r="B2440" i="2"/>
  <c r="A2440" i="2"/>
  <c r="M2439" i="2"/>
  <c r="L2439" i="2"/>
  <c r="K2439" i="2"/>
  <c r="J2439" i="2"/>
  <c r="I2439" i="2"/>
  <c r="H2439" i="2"/>
  <c r="F2439" i="2"/>
  <c r="D2439" i="2"/>
  <c r="C2439" i="2"/>
  <c r="B2439" i="2"/>
  <c r="A2439" i="2"/>
  <c r="M2438" i="2"/>
  <c r="L2438" i="2"/>
  <c r="K2438" i="2"/>
  <c r="J2438" i="2"/>
  <c r="I2438" i="2"/>
  <c r="H2438" i="2"/>
  <c r="F2438" i="2"/>
  <c r="D2438" i="2"/>
  <c r="C2438" i="2"/>
  <c r="B2438" i="2"/>
  <c r="A2438" i="2"/>
  <c r="M2437" i="2"/>
  <c r="L2437" i="2"/>
  <c r="K2437" i="2"/>
  <c r="J2437" i="2"/>
  <c r="I2437" i="2"/>
  <c r="H2437" i="2"/>
  <c r="F2437" i="2"/>
  <c r="D2437" i="2"/>
  <c r="C2437" i="2"/>
  <c r="B2437" i="2"/>
  <c r="A2437" i="2"/>
  <c r="M2436" i="2"/>
  <c r="L2436" i="2"/>
  <c r="K2436" i="2"/>
  <c r="J2436" i="2"/>
  <c r="I2436" i="2"/>
  <c r="H2436" i="2"/>
  <c r="F2436" i="2"/>
  <c r="D2436" i="2"/>
  <c r="C2436" i="2"/>
  <c r="B2436" i="2"/>
  <c r="A2436" i="2"/>
  <c r="M2435" i="2"/>
  <c r="L2435" i="2"/>
  <c r="K2435" i="2"/>
  <c r="J2435" i="2"/>
  <c r="I2435" i="2"/>
  <c r="H2435" i="2"/>
  <c r="F2435" i="2"/>
  <c r="D2435" i="2"/>
  <c r="C2435" i="2"/>
  <c r="B2435" i="2"/>
  <c r="A2435" i="2"/>
  <c r="M2434" i="2"/>
  <c r="L2434" i="2"/>
  <c r="K2434" i="2"/>
  <c r="J2434" i="2"/>
  <c r="I2434" i="2"/>
  <c r="H2434" i="2"/>
  <c r="F2434" i="2"/>
  <c r="D2434" i="2"/>
  <c r="C2434" i="2"/>
  <c r="B2434" i="2"/>
  <c r="A2434" i="2"/>
  <c r="M2433" i="2"/>
  <c r="L2433" i="2"/>
  <c r="K2433" i="2"/>
  <c r="J2433" i="2"/>
  <c r="I2433" i="2"/>
  <c r="H2433" i="2"/>
  <c r="F2433" i="2"/>
  <c r="D2433" i="2"/>
  <c r="C2433" i="2"/>
  <c r="B2433" i="2"/>
  <c r="A2433" i="2"/>
  <c r="M2432" i="2"/>
  <c r="L2432" i="2"/>
  <c r="K2432" i="2"/>
  <c r="J2432" i="2"/>
  <c r="I2432" i="2"/>
  <c r="H2432" i="2"/>
  <c r="F2432" i="2"/>
  <c r="D2432" i="2"/>
  <c r="C2432" i="2"/>
  <c r="B2432" i="2"/>
  <c r="A2432" i="2"/>
  <c r="M2431" i="2"/>
  <c r="L2431" i="2"/>
  <c r="K2431" i="2"/>
  <c r="J2431" i="2"/>
  <c r="I2431" i="2"/>
  <c r="H2431" i="2"/>
  <c r="F2431" i="2"/>
  <c r="D2431" i="2"/>
  <c r="C2431" i="2"/>
  <c r="B2431" i="2"/>
  <c r="A2431" i="2"/>
  <c r="M2430" i="2"/>
  <c r="L2430" i="2"/>
  <c r="K2430" i="2"/>
  <c r="J2430" i="2"/>
  <c r="I2430" i="2"/>
  <c r="H2430" i="2"/>
  <c r="F2430" i="2"/>
  <c r="D2430" i="2"/>
  <c r="C2430" i="2"/>
  <c r="B2430" i="2"/>
  <c r="A2430" i="2"/>
  <c r="M2429" i="2"/>
  <c r="L2429" i="2"/>
  <c r="K2429" i="2"/>
  <c r="J2429" i="2"/>
  <c r="I2429" i="2"/>
  <c r="H2429" i="2"/>
  <c r="F2429" i="2"/>
  <c r="D2429" i="2"/>
  <c r="C2429" i="2"/>
  <c r="B2429" i="2"/>
  <c r="A2429" i="2"/>
  <c r="M2428" i="2"/>
  <c r="L2428" i="2"/>
  <c r="K2428" i="2"/>
  <c r="J2428" i="2"/>
  <c r="I2428" i="2"/>
  <c r="H2428" i="2"/>
  <c r="F2428" i="2"/>
  <c r="D2428" i="2"/>
  <c r="C2428" i="2"/>
  <c r="B2428" i="2"/>
  <c r="A2428" i="2"/>
  <c r="M2427" i="2"/>
  <c r="L2427" i="2"/>
  <c r="K2427" i="2"/>
  <c r="J2427" i="2"/>
  <c r="I2427" i="2"/>
  <c r="H2427" i="2"/>
  <c r="G2427" i="2"/>
  <c r="F2427" i="2"/>
  <c r="D2427" i="2"/>
  <c r="C2427" i="2"/>
  <c r="B2427" i="2"/>
  <c r="A2427" i="2"/>
  <c r="M2426" i="2"/>
  <c r="L2426" i="2"/>
  <c r="J2426" i="2"/>
  <c r="I2426" i="2"/>
  <c r="H2426" i="2"/>
  <c r="F2426" i="2"/>
  <c r="D2426" i="2"/>
  <c r="C2426" i="2"/>
  <c r="B2426" i="2"/>
  <c r="A2426" i="2"/>
  <c r="N2425" i="2"/>
  <c r="M2425" i="2"/>
  <c r="L2425" i="2"/>
  <c r="K2425" i="2"/>
  <c r="J2425" i="2"/>
  <c r="I2425" i="2"/>
  <c r="H2425" i="2"/>
  <c r="F2425" i="2"/>
  <c r="D2425" i="2"/>
  <c r="C2425" i="2"/>
  <c r="B2425" i="2"/>
  <c r="A2425" i="2"/>
  <c r="M2424" i="2"/>
  <c r="L2424" i="2"/>
  <c r="K2424" i="2"/>
  <c r="J2424" i="2"/>
  <c r="I2424" i="2"/>
  <c r="H2424" i="2"/>
  <c r="G2424" i="2"/>
  <c r="F2424" i="2"/>
  <c r="D2424" i="2"/>
  <c r="C2424" i="2"/>
  <c r="B2424" i="2"/>
  <c r="A2424" i="2"/>
  <c r="M2423" i="2"/>
  <c r="L2423" i="2"/>
  <c r="K2423" i="2"/>
  <c r="J2423" i="2"/>
  <c r="I2423" i="2"/>
  <c r="H2423" i="2"/>
  <c r="F2423" i="2"/>
  <c r="D2423" i="2"/>
  <c r="C2423" i="2"/>
  <c r="B2423" i="2"/>
  <c r="A2423" i="2"/>
  <c r="M2422" i="2"/>
  <c r="L2422" i="2"/>
  <c r="K2422" i="2"/>
  <c r="J2422" i="2"/>
  <c r="I2422" i="2"/>
  <c r="H2422" i="2"/>
  <c r="F2422" i="2"/>
  <c r="D2422" i="2"/>
  <c r="C2422" i="2"/>
  <c r="B2422" i="2"/>
  <c r="A2422" i="2"/>
  <c r="M2421" i="2"/>
  <c r="L2421" i="2"/>
  <c r="K2421" i="2"/>
  <c r="J2421" i="2"/>
  <c r="I2421" i="2"/>
  <c r="H2421" i="2"/>
  <c r="F2421" i="2"/>
  <c r="D2421" i="2"/>
  <c r="C2421" i="2"/>
  <c r="B2421" i="2"/>
  <c r="A2421" i="2"/>
  <c r="M2420" i="2"/>
  <c r="L2420" i="2"/>
  <c r="K2420" i="2"/>
  <c r="J2420" i="2"/>
  <c r="I2420" i="2"/>
  <c r="H2420" i="2"/>
  <c r="F2420" i="2"/>
  <c r="D2420" i="2"/>
  <c r="C2420" i="2"/>
  <c r="B2420" i="2"/>
  <c r="A2420" i="2"/>
  <c r="M2419" i="2"/>
  <c r="L2419" i="2"/>
  <c r="K2419" i="2"/>
  <c r="J2419" i="2"/>
  <c r="I2419" i="2"/>
  <c r="H2419" i="2"/>
  <c r="F2419" i="2"/>
  <c r="D2419" i="2"/>
  <c r="C2419" i="2"/>
  <c r="B2419" i="2"/>
  <c r="A2419" i="2"/>
  <c r="M2418" i="2"/>
  <c r="L2418" i="2"/>
  <c r="K2418" i="2"/>
  <c r="J2418" i="2"/>
  <c r="I2418" i="2"/>
  <c r="H2418" i="2"/>
  <c r="F2418" i="2"/>
  <c r="D2418" i="2"/>
  <c r="C2418" i="2"/>
  <c r="B2418" i="2"/>
  <c r="A2418" i="2"/>
  <c r="M2417" i="2"/>
  <c r="L2417" i="2"/>
  <c r="K2417" i="2"/>
  <c r="J2417" i="2"/>
  <c r="I2417" i="2"/>
  <c r="H2417" i="2"/>
  <c r="F2417" i="2"/>
  <c r="D2417" i="2"/>
  <c r="C2417" i="2"/>
  <c r="B2417" i="2"/>
  <c r="A2417" i="2"/>
  <c r="M2416" i="2"/>
  <c r="L2416" i="2"/>
  <c r="K2416" i="2"/>
  <c r="J2416" i="2"/>
  <c r="I2416" i="2"/>
  <c r="H2416" i="2"/>
  <c r="F2416" i="2"/>
  <c r="D2416" i="2"/>
  <c r="C2416" i="2"/>
  <c r="B2416" i="2"/>
  <c r="A2416" i="2"/>
  <c r="M2415" i="2"/>
  <c r="L2415" i="2"/>
  <c r="K2415" i="2"/>
  <c r="J2415" i="2"/>
  <c r="I2415" i="2"/>
  <c r="H2415" i="2"/>
  <c r="F2415" i="2"/>
  <c r="D2415" i="2"/>
  <c r="C2415" i="2"/>
  <c r="B2415" i="2"/>
  <c r="A2415" i="2"/>
  <c r="M2414" i="2"/>
  <c r="L2414" i="2"/>
  <c r="K2414" i="2"/>
  <c r="J2414" i="2"/>
  <c r="I2414" i="2"/>
  <c r="H2414" i="2"/>
  <c r="F2414" i="2"/>
  <c r="D2414" i="2"/>
  <c r="C2414" i="2"/>
  <c r="B2414" i="2"/>
  <c r="A2414" i="2"/>
  <c r="M2413" i="2"/>
  <c r="L2413" i="2"/>
  <c r="K2413" i="2"/>
  <c r="J2413" i="2"/>
  <c r="I2413" i="2"/>
  <c r="H2413" i="2"/>
  <c r="F2413" i="2"/>
  <c r="D2413" i="2"/>
  <c r="C2413" i="2"/>
  <c r="B2413" i="2"/>
  <c r="A2413" i="2"/>
  <c r="M2412" i="2"/>
  <c r="L2412" i="2"/>
  <c r="K2412" i="2"/>
  <c r="J2412" i="2"/>
  <c r="I2412" i="2"/>
  <c r="H2412" i="2"/>
  <c r="F2412" i="2"/>
  <c r="D2412" i="2"/>
  <c r="C2412" i="2"/>
  <c r="B2412" i="2"/>
  <c r="A2412" i="2"/>
  <c r="M2411" i="2"/>
  <c r="L2411" i="2"/>
  <c r="K2411" i="2"/>
  <c r="J2411" i="2"/>
  <c r="I2411" i="2"/>
  <c r="H2411" i="2"/>
  <c r="F2411" i="2"/>
  <c r="D2411" i="2"/>
  <c r="C2411" i="2"/>
  <c r="B2411" i="2"/>
  <c r="A2411" i="2"/>
  <c r="M2410" i="2"/>
  <c r="L2410" i="2"/>
  <c r="K2410" i="2"/>
  <c r="J2410" i="2"/>
  <c r="I2410" i="2"/>
  <c r="H2410" i="2"/>
  <c r="F2410" i="2"/>
  <c r="D2410" i="2"/>
  <c r="C2410" i="2"/>
  <c r="B2410" i="2"/>
  <c r="A2410" i="2"/>
  <c r="M2409" i="2"/>
  <c r="L2409" i="2"/>
  <c r="K2409" i="2"/>
  <c r="J2409" i="2"/>
  <c r="I2409" i="2"/>
  <c r="H2409" i="2"/>
  <c r="F2409" i="2"/>
  <c r="D2409" i="2"/>
  <c r="C2409" i="2"/>
  <c r="B2409" i="2"/>
  <c r="A2409" i="2"/>
  <c r="M2408" i="2"/>
  <c r="L2408" i="2"/>
  <c r="K2408" i="2"/>
  <c r="J2408" i="2"/>
  <c r="I2408" i="2"/>
  <c r="H2408" i="2"/>
  <c r="F2408" i="2"/>
  <c r="D2408" i="2"/>
  <c r="C2408" i="2"/>
  <c r="B2408" i="2"/>
  <c r="A2408" i="2"/>
  <c r="M2407" i="2"/>
  <c r="L2407" i="2"/>
  <c r="K2407" i="2"/>
  <c r="J2407" i="2"/>
  <c r="I2407" i="2"/>
  <c r="H2407" i="2"/>
  <c r="F2407" i="2"/>
  <c r="D2407" i="2"/>
  <c r="C2407" i="2"/>
  <c r="B2407" i="2"/>
  <c r="A2407" i="2"/>
  <c r="M2406" i="2"/>
  <c r="L2406" i="2"/>
  <c r="K2406" i="2"/>
  <c r="J2406" i="2"/>
  <c r="I2406" i="2"/>
  <c r="H2406" i="2"/>
  <c r="F2406" i="2"/>
  <c r="D2406" i="2"/>
  <c r="C2406" i="2"/>
  <c r="B2406" i="2"/>
  <c r="A2406" i="2"/>
  <c r="M2405" i="2"/>
  <c r="L2405" i="2"/>
  <c r="K2405" i="2"/>
  <c r="J2405" i="2"/>
  <c r="I2405" i="2"/>
  <c r="H2405" i="2"/>
  <c r="F2405" i="2"/>
  <c r="D2405" i="2"/>
  <c r="C2405" i="2"/>
  <c r="B2405" i="2"/>
  <c r="A2405" i="2"/>
  <c r="M2404" i="2"/>
  <c r="L2404" i="2"/>
  <c r="K2404" i="2"/>
  <c r="J2404" i="2"/>
  <c r="I2404" i="2"/>
  <c r="H2404" i="2"/>
  <c r="F2404" i="2"/>
  <c r="D2404" i="2"/>
  <c r="C2404" i="2"/>
  <c r="B2404" i="2"/>
  <c r="A2404" i="2"/>
  <c r="M2403" i="2"/>
  <c r="L2403" i="2"/>
  <c r="K2403" i="2"/>
  <c r="J2403" i="2"/>
  <c r="I2403" i="2"/>
  <c r="H2403" i="2"/>
  <c r="F2403" i="2"/>
  <c r="D2403" i="2"/>
  <c r="C2403" i="2"/>
  <c r="B2403" i="2"/>
  <c r="A2403" i="2"/>
  <c r="M2402" i="2"/>
  <c r="L2402" i="2"/>
  <c r="K2402" i="2"/>
  <c r="J2402" i="2"/>
  <c r="I2402" i="2"/>
  <c r="H2402" i="2"/>
  <c r="F2402" i="2"/>
  <c r="D2402" i="2"/>
  <c r="C2402" i="2"/>
  <c r="B2402" i="2"/>
  <c r="A2402" i="2"/>
  <c r="M2401" i="2"/>
  <c r="L2401" i="2"/>
  <c r="K2401" i="2"/>
  <c r="J2401" i="2"/>
  <c r="I2401" i="2"/>
  <c r="H2401" i="2"/>
  <c r="F2401" i="2"/>
  <c r="D2401" i="2"/>
  <c r="C2401" i="2"/>
  <c r="B2401" i="2"/>
  <c r="A2401" i="2"/>
  <c r="M2400" i="2"/>
  <c r="L2400" i="2"/>
  <c r="K2400" i="2"/>
  <c r="J2400" i="2"/>
  <c r="I2400" i="2"/>
  <c r="H2400" i="2"/>
  <c r="F2400" i="2"/>
  <c r="D2400" i="2"/>
  <c r="C2400" i="2"/>
  <c r="B2400" i="2"/>
  <c r="A2400" i="2"/>
  <c r="M2399" i="2"/>
  <c r="L2399" i="2"/>
  <c r="K2399" i="2"/>
  <c r="J2399" i="2"/>
  <c r="I2399" i="2"/>
  <c r="H2399" i="2"/>
  <c r="F2399" i="2"/>
  <c r="D2399" i="2"/>
  <c r="C2399" i="2"/>
  <c r="B2399" i="2"/>
  <c r="A2399" i="2"/>
  <c r="M2398" i="2"/>
  <c r="L2398" i="2"/>
  <c r="J2398" i="2"/>
  <c r="I2398" i="2"/>
  <c r="H2398" i="2"/>
  <c r="F2398" i="2"/>
  <c r="D2398" i="2"/>
  <c r="C2398" i="2"/>
  <c r="B2398" i="2"/>
  <c r="A2398" i="2"/>
  <c r="M2397" i="2"/>
  <c r="L2397" i="2"/>
  <c r="K2397" i="2"/>
  <c r="J2397" i="2"/>
  <c r="I2397" i="2"/>
  <c r="H2397" i="2"/>
  <c r="F2397" i="2"/>
  <c r="D2397" i="2"/>
  <c r="C2397" i="2"/>
  <c r="B2397" i="2"/>
  <c r="A2397" i="2"/>
  <c r="M2396" i="2"/>
  <c r="L2396" i="2"/>
  <c r="K2396" i="2"/>
  <c r="J2396" i="2"/>
  <c r="I2396" i="2"/>
  <c r="H2396" i="2"/>
  <c r="F2396" i="2"/>
  <c r="D2396" i="2"/>
  <c r="C2396" i="2"/>
  <c r="B2396" i="2"/>
  <c r="A2396" i="2"/>
  <c r="M2395" i="2"/>
  <c r="L2395" i="2"/>
  <c r="K2395" i="2"/>
  <c r="J2395" i="2"/>
  <c r="I2395" i="2"/>
  <c r="H2395" i="2"/>
  <c r="F2395" i="2"/>
  <c r="D2395" i="2"/>
  <c r="C2395" i="2"/>
  <c r="B2395" i="2"/>
  <c r="A2395" i="2"/>
  <c r="M2394" i="2"/>
  <c r="L2394" i="2"/>
  <c r="K2394" i="2"/>
  <c r="J2394" i="2"/>
  <c r="I2394" i="2"/>
  <c r="H2394" i="2"/>
  <c r="F2394" i="2"/>
  <c r="D2394" i="2"/>
  <c r="C2394" i="2"/>
  <c r="B2394" i="2"/>
  <c r="A2394" i="2"/>
  <c r="M2393" i="2"/>
  <c r="L2393" i="2"/>
  <c r="K2393" i="2"/>
  <c r="J2393" i="2"/>
  <c r="I2393" i="2"/>
  <c r="H2393" i="2"/>
  <c r="F2393" i="2"/>
  <c r="D2393" i="2"/>
  <c r="C2393" i="2"/>
  <c r="B2393" i="2"/>
  <c r="A2393" i="2"/>
  <c r="M2392" i="2"/>
  <c r="L2392" i="2"/>
  <c r="K2392" i="2"/>
  <c r="J2392" i="2"/>
  <c r="I2392" i="2"/>
  <c r="H2392" i="2"/>
  <c r="F2392" i="2"/>
  <c r="D2392" i="2"/>
  <c r="C2392" i="2"/>
  <c r="B2392" i="2"/>
  <c r="A2392" i="2"/>
  <c r="M2391" i="2"/>
  <c r="L2391" i="2"/>
  <c r="K2391" i="2"/>
  <c r="J2391" i="2"/>
  <c r="I2391" i="2"/>
  <c r="H2391" i="2"/>
  <c r="F2391" i="2"/>
  <c r="D2391" i="2"/>
  <c r="C2391" i="2"/>
  <c r="B2391" i="2"/>
  <c r="A2391" i="2"/>
  <c r="M2390" i="2"/>
  <c r="L2390" i="2"/>
  <c r="K2390" i="2"/>
  <c r="J2390" i="2"/>
  <c r="I2390" i="2"/>
  <c r="H2390" i="2"/>
  <c r="F2390" i="2"/>
  <c r="D2390" i="2"/>
  <c r="C2390" i="2"/>
  <c r="B2390" i="2"/>
  <c r="A2390" i="2"/>
  <c r="M2389" i="2"/>
  <c r="L2389" i="2"/>
  <c r="K2389" i="2"/>
  <c r="J2389" i="2"/>
  <c r="I2389" i="2"/>
  <c r="H2389" i="2"/>
  <c r="F2389" i="2"/>
  <c r="D2389" i="2"/>
  <c r="C2389" i="2"/>
  <c r="B2389" i="2"/>
  <c r="A2389" i="2"/>
  <c r="M2388" i="2"/>
  <c r="L2388" i="2"/>
  <c r="K2388" i="2"/>
  <c r="J2388" i="2"/>
  <c r="I2388" i="2"/>
  <c r="H2388" i="2"/>
  <c r="F2388" i="2"/>
  <c r="D2388" i="2"/>
  <c r="C2388" i="2"/>
  <c r="B2388" i="2"/>
  <c r="A2388" i="2"/>
  <c r="M2387" i="2"/>
  <c r="L2387" i="2"/>
  <c r="K2387" i="2"/>
  <c r="J2387" i="2"/>
  <c r="I2387" i="2"/>
  <c r="H2387" i="2"/>
  <c r="F2387" i="2"/>
  <c r="D2387" i="2"/>
  <c r="C2387" i="2"/>
  <c r="B2387" i="2"/>
  <c r="A2387" i="2"/>
  <c r="M2386" i="2"/>
  <c r="L2386" i="2"/>
  <c r="K2386" i="2"/>
  <c r="J2386" i="2"/>
  <c r="I2386" i="2"/>
  <c r="H2386" i="2"/>
  <c r="F2386" i="2"/>
  <c r="D2386" i="2"/>
  <c r="C2386" i="2"/>
  <c r="B2386" i="2"/>
  <c r="A2386" i="2"/>
  <c r="M2385" i="2"/>
  <c r="L2385" i="2"/>
  <c r="K2385" i="2"/>
  <c r="J2385" i="2"/>
  <c r="I2385" i="2"/>
  <c r="H2385" i="2"/>
  <c r="F2385" i="2"/>
  <c r="D2385" i="2"/>
  <c r="C2385" i="2"/>
  <c r="B2385" i="2"/>
  <c r="A2385" i="2"/>
  <c r="M2384" i="2"/>
  <c r="L2384" i="2"/>
  <c r="K2384" i="2"/>
  <c r="J2384" i="2"/>
  <c r="I2384" i="2"/>
  <c r="H2384" i="2"/>
  <c r="F2384" i="2"/>
  <c r="D2384" i="2"/>
  <c r="C2384" i="2"/>
  <c r="B2384" i="2"/>
  <c r="A2384" i="2"/>
  <c r="M2383" i="2"/>
  <c r="L2383" i="2"/>
  <c r="K2383" i="2"/>
  <c r="J2383" i="2"/>
  <c r="I2383" i="2"/>
  <c r="H2383" i="2"/>
  <c r="F2383" i="2"/>
  <c r="D2383" i="2"/>
  <c r="C2383" i="2"/>
  <c r="B2383" i="2"/>
  <c r="A2383" i="2"/>
  <c r="M2382" i="2"/>
  <c r="L2382" i="2"/>
  <c r="K2382" i="2"/>
  <c r="J2382" i="2"/>
  <c r="I2382" i="2"/>
  <c r="H2382" i="2"/>
  <c r="F2382" i="2"/>
  <c r="D2382" i="2"/>
  <c r="C2382" i="2"/>
  <c r="B2382" i="2"/>
  <c r="A2382" i="2"/>
  <c r="M2381" i="2"/>
  <c r="L2381" i="2"/>
  <c r="K2381" i="2"/>
  <c r="J2381" i="2"/>
  <c r="I2381" i="2"/>
  <c r="H2381" i="2"/>
  <c r="F2381" i="2"/>
  <c r="D2381" i="2"/>
  <c r="C2381" i="2"/>
  <c r="B2381" i="2"/>
  <c r="A2381" i="2"/>
  <c r="M2380" i="2"/>
  <c r="L2380" i="2"/>
  <c r="K2380" i="2"/>
  <c r="J2380" i="2"/>
  <c r="I2380" i="2"/>
  <c r="H2380" i="2"/>
  <c r="F2380" i="2"/>
  <c r="D2380" i="2"/>
  <c r="C2380" i="2"/>
  <c r="B2380" i="2"/>
  <c r="A2380" i="2"/>
  <c r="M2379" i="2"/>
  <c r="L2379" i="2"/>
  <c r="K2379" i="2"/>
  <c r="J2379" i="2"/>
  <c r="I2379" i="2"/>
  <c r="H2379" i="2"/>
  <c r="F2379" i="2"/>
  <c r="D2379" i="2"/>
  <c r="C2379" i="2"/>
  <c r="B2379" i="2"/>
  <c r="A2379" i="2"/>
  <c r="M2378" i="2"/>
  <c r="L2378" i="2"/>
  <c r="K2378" i="2"/>
  <c r="J2378" i="2"/>
  <c r="I2378" i="2"/>
  <c r="H2378" i="2"/>
  <c r="F2378" i="2"/>
  <c r="D2378" i="2"/>
  <c r="C2378" i="2"/>
  <c r="B2378" i="2"/>
  <c r="A2378" i="2"/>
  <c r="M2377" i="2"/>
  <c r="L2377" i="2"/>
  <c r="K2377" i="2"/>
  <c r="J2377" i="2"/>
  <c r="I2377" i="2"/>
  <c r="H2377" i="2"/>
  <c r="F2377" i="2"/>
  <c r="D2377" i="2"/>
  <c r="C2377" i="2"/>
  <c r="B2377" i="2"/>
  <c r="A2377" i="2"/>
  <c r="M2376" i="2"/>
  <c r="L2376" i="2"/>
  <c r="K2376" i="2"/>
  <c r="J2376" i="2"/>
  <c r="I2376" i="2"/>
  <c r="H2376" i="2"/>
  <c r="G2376" i="2"/>
  <c r="F2376" i="2"/>
  <c r="D2376" i="2"/>
  <c r="C2376" i="2"/>
  <c r="B2376" i="2"/>
  <c r="A2376" i="2"/>
  <c r="M2375" i="2"/>
  <c r="L2375" i="2"/>
  <c r="J2375" i="2"/>
  <c r="I2375" i="2"/>
  <c r="H2375" i="2"/>
  <c r="F2375" i="2"/>
  <c r="D2375" i="2"/>
  <c r="C2375" i="2"/>
  <c r="B2375" i="2"/>
  <c r="A2375" i="2"/>
  <c r="M2374" i="2"/>
  <c r="L2374" i="2"/>
  <c r="K2374" i="2"/>
  <c r="J2374" i="2"/>
  <c r="I2374" i="2"/>
  <c r="H2374" i="2"/>
  <c r="F2374" i="2"/>
  <c r="D2374" i="2"/>
  <c r="C2374" i="2"/>
  <c r="B2374" i="2"/>
  <c r="A2374" i="2"/>
  <c r="M2373" i="2"/>
  <c r="L2373" i="2"/>
  <c r="K2373" i="2"/>
  <c r="J2373" i="2"/>
  <c r="I2373" i="2"/>
  <c r="H2373" i="2"/>
  <c r="F2373" i="2"/>
  <c r="D2373" i="2"/>
  <c r="C2373" i="2"/>
  <c r="B2373" i="2"/>
  <c r="A2373" i="2"/>
  <c r="M2372" i="2"/>
  <c r="L2372" i="2"/>
  <c r="K2372" i="2"/>
  <c r="J2372" i="2"/>
  <c r="I2372" i="2"/>
  <c r="H2372" i="2"/>
  <c r="F2372" i="2"/>
  <c r="D2372" i="2"/>
  <c r="C2372" i="2"/>
  <c r="B2372" i="2"/>
  <c r="A2372" i="2"/>
  <c r="M2371" i="2"/>
  <c r="L2371" i="2"/>
  <c r="K2371" i="2"/>
  <c r="J2371" i="2"/>
  <c r="I2371" i="2"/>
  <c r="H2371" i="2"/>
  <c r="F2371" i="2"/>
  <c r="D2371" i="2"/>
  <c r="C2371" i="2"/>
  <c r="B2371" i="2"/>
  <c r="A2371" i="2"/>
  <c r="M2370" i="2"/>
  <c r="L2370" i="2"/>
  <c r="K2370" i="2"/>
  <c r="J2370" i="2"/>
  <c r="I2370" i="2"/>
  <c r="H2370" i="2"/>
  <c r="F2370" i="2"/>
  <c r="D2370" i="2"/>
  <c r="C2370" i="2"/>
  <c r="B2370" i="2"/>
  <c r="A2370" i="2"/>
  <c r="M2369" i="2"/>
  <c r="L2369" i="2"/>
  <c r="K2369" i="2"/>
  <c r="J2369" i="2"/>
  <c r="I2369" i="2"/>
  <c r="H2369" i="2"/>
  <c r="F2369" i="2"/>
  <c r="D2369" i="2"/>
  <c r="C2369" i="2"/>
  <c r="B2369" i="2"/>
  <c r="A2369" i="2"/>
  <c r="M2368" i="2"/>
  <c r="L2368" i="2"/>
  <c r="K2368" i="2"/>
  <c r="J2368" i="2"/>
  <c r="I2368" i="2"/>
  <c r="H2368" i="2"/>
  <c r="F2368" i="2"/>
  <c r="D2368" i="2"/>
  <c r="C2368" i="2"/>
  <c r="B2368" i="2"/>
  <c r="A2368" i="2"/>
  <c r="M2367" i="2"/>
  <c r="L2367" i="2"/>
  <c r="K2367" i="2"/>
  <c r="J2367" i="2"/>
  <c r="I2367" i="2"/>
  <c r="H2367" i="2"/>
  <c r="F2367" i="2"/>
  <c r="D2367" i="2"/>
  <c r="C2367" i="2"/>
  <c r="B2367" i="2"/>
  <c r="A2367" i="2"/>
  <c r="M2366" i="2"/>
  <c r="L2366" i="2"/>
  <c r="K2366" i="2"/>
  <c r="J2366" i="2"/>
  <c r="I2366" i="2"/>
  <c r="H2366" i="2"/>
  <c r="F2366" i="2"/>
  <c r="D2366" i="2"/>
  <c r="C2366" i="2"/>
  <c r="B2366" i="2"/>
  <c r="A2366" i="2"/>
  <c r="M2365" i="2"/>
  <c r="L2365" i="2"/>
  <c r="K2365" i="2"/>
  <c r="J2365" i="2"/>
  <c r="I2365" i="2"/>
  <c r="H2365" i="2"/>
  <c r="F2365" i="2"/>
  <c r="D2365" i="2"/>
  <c r="C2365" i="2"/>
  <c r="B2365" i="2"/>
  <c r="A2365" i="2"/>
  <c r="M2364" i="2"/>
  <c r="L2364" i="2"/>
  <c r="K2364" i="2"/>
  <c r="J2364" i="2"/>
  <c r="I2364" i="2"/>
  <c r="H2364" i="2"/>
  <c r="F2364" i="2"/>
  <c r="D2364" i="2"/>
  <c r="C2364" i="2"/>
  <c r="B2364" i="2"/>
  <c r="A2364" i="2"/>
  <c r="M2363" i="2"/>
  <c r="L2363" i="2"/>
  <c r="K2363" i="2"/>
  <c r="J2363" i="2"/>
  <c r="I2363" i="2"/>
  <c r="H2363" i="2"/>
  <c r="F2363" i="2"/>
  <c r="D2363" i="2"/>
  <c r="C2363" i="2"/>
  <c r="B2363" i="2"/>
  <c r="A2363" i="2"/>
  <c r="M2362" i="2"/>
  <c r="K2362" i="2"/>
  <c r="J2362" i="2"/>
  <c r="I2362" i="2"/>
  <c r="H2362" i="2"/>
  <c r="F2362" i="2"/>
  <c r="D2362" i="2"/>
  <c r="C2362" i="2"/>
  <c r="B2362" i="2"/>
  <c r="A2362" i="2"/>
  <c r="M2361" i="2"/>
  <c r="L2361" i="2"/>
  <c r="K2361" i="2"/>
  <c r="J2361" i="2"/>
  <c r="I2361" i="2"/>
  <c r="H2361" i="2"/>
  <c r="F2361" i="2"/>
  <c r="D2361" i="2"/>
  <c r="C2361" i="2"/>
  <c r="B2361" i="2"/>
  <c r="A2361" i="2"/>
  <c r="M2360" i="2"/>
  <c r="L2360" i="2"/>
  <c r="K2360" i="2"/>
  <c r="J2360" i="2"/>
  <c r="I2360" i="2"/>
  <c r="H2360" i="2"/>
  <c r="F2360" i="2"/>
  <c r="D2360" i="2"/>
  <c r="C2360" i="2"/>
  <c r="B2360" i="2"/>
  <c r="A2360" i="2"/>
  <c r="M2359" i="2"/>
  <c r="L2359" i="2"/>
  <c r="K2359" i="2"/>
  <c r="J2359" i="2"/>
  <c r="I2359" i="2"/>
  <c r="H2359" i="2"/>
  <c r="F2359" i="2"/>
  <c r="D2359" i="2"/>
  <c r="C2359" i="2"/>
  <c r="B2359" i="2"/>
  <c r="A2359" i="2"/>
  <c r="M2358" i="2"/>
  <c r="L2358" i="2"/>
  <c r="K2358" i="2"/>
  <c r="J2358" i="2"/>
  <c r="I2358" i="2"/>
  <c r="H2358" i="2"/>
  <c r="F2358" i="2"/>
  <c r="D2358" i="2"/>
  <c r="C2358" i="2"/>
  <c r="B2358" i="2"/>
  <c r="A2358" i="2"/>
  <c r="M2357" i="2"/>
  <c r="L2357" i="2"/>
  <c r="K2357" i="2"/>
  <c r="J2357" i="2"/>
  <c r="I2357" i="2"/>
  <c r="H2357" i="2"/>
  <c r="F2357" i="2"/>
  <c r="D2357" i="2"/>
  <c r="C2357" i="2"/>
  <c r="B2357" i="2"/>
  <c r="A2357" i="2"/>
  <c r="M2356" i="2"/>
  <c r="L2356" i="2"/>
  <c r="K2356" i="2"/>
  <c r="J2356" i="2"/>
  <c r="I2356" i="2"/>
  <c r="H2356" i="2"/>
  <c r="F2356" i="2"/>
  <c r="D2356" i="2"/>
  <c r="C2356" i="2"/>
  <c r="B2356" i="2"/>
  <c r="A2356" i="2"/>
  <c r="M2355" i="2"/>
  <c r="L2355" i="2"/>
  <c r="K2355" i="2"/>
  <c r="J2355" i="2"/>
  <c r="I2355" i="2"/>
  <c r="H2355" i="2"/>
  <c r="F2355" i="2"/>
  <c r="D2355" i="2"/>
  <c r="C2355" i="2"/>
  <c r="B2355" i="2"/>
  <c r="A2355" i="2"/>
  <c r="M2354" i="2"/>
  <c r="L2354" i="2"/>
  <c r="K2354" i="2"/>
  <c r="J2354" i="2"/>
  <c r="I2354" i="2"/>
  <c r="H2354" i="2"/>
  <c r="F2354" i="2"/>
  <c r="D2354" i="2"/>
  <c r="C2354" i="2"/>
  <c r="B2354" i="2"/>
  <c r="A2354" i="2"/>
  <c r="M2353" i="2"/>
  <c r="L2353" i="2"/>
  <c r="K2353" i="2"/>
  <c r="J2353" i="2"/>
  <c r="I2353" i="2"/>
  <c r="H2353" i="2"/>
  <c r="F2353" i="2"/>
  <c r="D2353" i="2"/>
  <c r="C2353" i="2"/>
  <c r="B2353" i="2"/>
  <c r="A2353" i="2"/>
  <c r="M2352" i="2"/>
  <c r="L2352" i="2"/>
  <c r="K2352" i="2"/>
  <c r="J2352" i="2"/>
  <c r="I2352" i="2"/>
  <c r="H2352" i="2"/>
  <c r="F2352" i="2"/>
  <c r="D2352" i="2"/>
  <c r="C2352" i="2"/>
  <c r="B2352" i="2"/>
  <c r="A2352" i="2"/>
  <c r="M2351" i="2"/>
  <c r="L2351" i="2"/>
  <c r="K2351" i="2"/>
  <c r="J2351" i="2"/>
  <c r="I2351" i="2"/>
  <c r="H2351" i="2"/>
  <c r="F2351" i="2"/>
  <c r="D2351" i="2"/>
  <c r="C2351" i="2"/>
  <c r="B2351" i="2"/>
  <c r="A2351" i="2"/>
  <c r="M2350" i="2"/>
  <c r="L2350" i="2"/>
  <c r="K2350" i="2"/>
  <c r="J2350" i="2"/>
  <c r="I2350" i="2"/>
  <c r="H2350" i="2"/>
  <c r="F2350" i="2"/>
  <c r="D2350" i="2"/>
  <c r="C2350" i="2"/>
  <c r="B2350" i="2"/>
  <c r="A2350" i="2"/>
  <c r="M2349" i="2"/>
  <c r="L2349" i="2"/>
  <c r="K2349" i="2"/>
  <c r="J2349" i="2"/>
  <c r="I2349" i="2"/>
  <c r="H2349" i="2"/>
  <c r="F2349" i="2"/>
  <c r="D2349" i="2"/>
  <c r="C2349" i="2"/>
  <c r="B2349" i="2"/>
  <c r="A2349" i="2"/>
  <c r="M2348" i="2"/>
  <c r="L2348" i="2"/>
  <c r="K2348" i="2"/>
  <c r="I2348" i="2"/>
  <c r="H2348" i="2"/>
  <c r="F2348" i="2"/>
  <c r="D2348" i="2"/>
  <c r="C2348" i="2"/>
  <c r="B2348" i="2"/>
  <c r="A2348" i="2"/>
  <c r="M2347" i="2"/>
  <c r="L2347" i="2"/>
  <c r="K2347" i="2"/>
  <c r="I2347" i="2"/>
  <c r="H2347" i="2"/>
  <c r="F2347" i="2"/>
  <c r="D2347" i="2"/>
  <c r="C2347" i="2"/>
  <c r="B2347" i="2"/>
  <c r="A2347" i="2"/>
  <c r="M2346" i="2"/>
  <c r="L2346" i="2"/>
  <c r="K2346" i="2"/>
  <c r="J2346" i="2"/>
  <c r="I2346" i="2"/>
  <c r="H2346" i="2"/>
  <c r="F2346" i="2"/>
  <c r="D2346" i="2"/>
  <c r="C2346" i="2"/>
  <c r="B2346" i="2"/>
  <c r="A2346" i="2"/>
  <c r="M2345" i="2"/>
  <c r="L2345" i="2"/>
  <c r="J2345" i="2"/>
  <c r="I2345" i="2"/>
  <c r="H2345" i="2"/>
  <c r="F2345" i="2"/>
  <c r="D2345" i="2"/>
  <c r="C2345" i="2"/>
  <c r="B2345" i="2"/>
  <c r="A2345" i="2"/>
  <c r="M2344" i="2"/>
  <c r="L2344" i="2"/>
  <c r="K2344" i="2"/>
  <c r="J2344" i="2"/>
  <c r="I2344" i="2"/>
  <c r="H2344" i="2"/>
  <c r="F2344" i="2"/>
  <c r="D2344" i="2"/>
  <c r="C2344" i="2"/>
  <c r="B2344" i="2"/>
  <c r="A2344" i="2"/>
  <c r="M2343" i="2"/>
  <c r="L2343" i="2"/>
  <c r="K2343" i="2"/>
  <c r="J2343" i="2"/>
  <c r="I2343" i="2"/>
  <c r="H2343" i="2"/>
  <c r="F2343" i="2"/>
  <c r="D2343" i="2"/>
  <c r="C2343" i="2"/>
  <c r="B2343" i="2"/>
  <c r="A2343" i="2"/>
  <c r="M2342" i="2"/>
  <c r="L2342" i="2"/>
  <c r="K2342" i="2"/>
  <c r="J2342" i="2"/>
  <c r="I2342" i="2"/>
  <c r="H2342" i="2"/>
  <c r="F2342" i="2"/>
  <c r="D2342" i="2"/>
  <c r="C2342" i="2"/>
  <c r="B2342" i="2"/>
  <c r="A2342" i="2"/>
  <c r="M2341" i="2"/>
  <c r="L2341" i="2"/>
  <c r="K2341" i="2"/>
  <c r="J2341" i="2"/>
  <c r="I2341" i="2"/>
  <c r="H2341" i="2"/>
  <c r="F2341" i="2"/>
  <c r="D2341" i="2"/>
  <c r="C2341" i="2"/>
  <c r="B2341" i="2"/>
  <c r="A2341" i="2"/>
  <c r="M2340" i="2"/>
  <c r="L2340" i="2"/>
  <c r="K2340" i="2"/>
  <c r="J2340" i="2"/>
  <c r="I2340" i="2"/>
  <c r="H2340" i="2"/>
  <c r="F2340" i="2"/>
  <c r="D2340" i="2"/>
  <c r="C2340" i="2"/>
  <c r="B2340" i="2"/>
  <c r="A2340" i="2"/>
  <c r="M2339" i="2"/>
  <c r="L2339" i="2"/>
  <c r="K2339" i="2"/>
  <c r="J2339" i="2"/>
  <c r="I2339" i="2"/>
  <c r="H2339" i="2"/>
  <c r="F2339" i="2"/>
  <c r="D2339" i="2"/>
  <c r="C2339" i="2"/>
  <c r="B2339" i="2"/>
  <c r="A2339" i="2"/>
  <c r="M2338" i="2"/>
  <c r="L2338" i="2"/>
  <c r="K2338" i="2"/>
  <c r="J2338" i="2"/>
  <c r="I2338" i="2"/>
  <c r="H2338" i="2"/>
  <c r="F2338" i="2"/>
  <c r="D2338" i="2"/>
  <c r="C2338" i="2"/>
  <c r="B2338" i="2"/>
  <c r="A2338" i="2"/>
  <c r="M2337" i="2"/>
  <c r="L2337" i="2"/>
  <c r="K2337" i="2"/>
  <c r="J2337" i="2"/>
  <c r="I2337" i="2"/>
  <c r="H2337" i="2"/>
  <c r="F2337" i="2"/>
  <c r="D2337" i="2"/>
  <c r="C2337" i="2"/>
  <c r="B2337" i="2"/>
  <c r="A2337" i="2"/>
  <c r="M2336" i="2"/>
  <c r="L2336" i="2"/>
  <c r="K2336" i="2"/>
  <c r="J2336" i="2"/>
  <c r="I2336" i="2"/>
  <c r="H2336" i="2"/>
  <c r="F2336" i="2"/>
  <c r="D2336" i="2"/>
  <c r="C2336" i="2"/>
  <c r="B2336" i="2"/>
  <c r="A2336" i="2"/>
  <c r="M2335" i="2"/>
  <c r="L2335" i="2"/>
  <c r="K2335" i="2"/>
  <c r="J2335" i="2"/>
  <c r="I2335" i="2"/>
  <c r="H2335" i="2"/>
  <c r="F2335" i="2"/>
  <c r="D2335" i="2"/>
  <c r="C2335" i="2"/>
  <c r="B2335" i="2"/>
  <c r="A2335" i="2"/>
  <c r="M2334" i="2"/>
  <c r="L2334" i="2"/>
  <c r="K2334" i="2"/>
  <c r="J2334" i="2"/>
  <c r="I2334" i="2"/>
  <c r="H2334" i="2"/>
  <c r="F2334" i="2"/>
  <c r="D2334" i="2"/>
  <c r="C2334" i="2"/>
  <c r="B2334" i="2"/>
  <c r="A2334" i="2"/>
  <c r="M2333" i="2"/>
  <c r="L2333" i="2"/>
  <c r="K2333" i="2"/>
  <c r="J2333" i="2"/>
  <c r="I2333" i="2"/>
  <c r="H2333" i="2"/>
  <c r="F2333" i="2"/>
  <c r="D2333" i="2"/>
  <c r="C2333" i="2"/>
  <c r="B2333" i="2"/>
  <c r="A2333" i="2"/>
  <c r="M2332" i="2"/>
  <c r="L2332" i="2"/>
  <c r="K2332" i="2"/>
  <c r="J2332" i="2"/>
  <c r="I2332" i="2"/>
  <c r="H2332" i="2"/>
  <c r="F2332" i="2"/>
  <c r="D2332" i="2"/>
  <c r="C2332" i="2"/>
  <c r="B2332" i="2"/>
  <c r="A2332" i="2"/>
  <c r="M2331" i="2"/>
  <c r="L2331" i="2"/>
  <c r="K2331" i="2"/>
  <c r="J2331" i="2"/>
  <c r="I2331" i="2"/>
  <c r="H2331" i="2"/>
  <c r="F2331" i="2"/>
  <c r="D2331" i="2"/>
  <c r="C2331" i="2"/>
  <c r="B2331" i="2"/>
  <c r="A2331" i="2"/>
  <c r="M2330" i="2"/>
  <c r="L2330" i="2"/>
  <c r="K2330" i="2"/>
  <c r="J2330" i="2"/>
  <c r="I2330" i="2"/>
  <c r="H2330" i="2"/>
  <c r="F2330" i="2"/>
  <c r="D2330" i="2"/>
  <c r="C2330" i="2"/>
  <c r="B2330" i="2"/>
  <c r="A2330" i="2"/>
  <c r="M2329" i="2"/>
  <c r="L2329" i="2"/>
  <c r="K2329" i="2"/>
  <c r="J2329" i="2"/>
  <c r="I2329" i="2"/>
  <c r="H2329" i="2"/>
  <c r="F2329" i="2"/>
  <c r="D2329" i="2"/>
  <c r="C2329" i="2"/>
  <c r="B2329" i="2"/>
  <c r="A2329" i="2"/>
  <c r="M2328" i="2"/>
  <c r="L2328" i="2"/>
  <c r="K2328" i="2"/>
  <c r="J2328" i="2"/>
  <c r="I2328" i="2"/>
  <c r="H2328" i="2"/>
  <c r="F2328" i="2"/>
  <c r="D2328" i="2"/>
  <c r="C2328" i="2"/>
  <c r="B2328" i="2"/>
  <c r="A2328" i="2"/>
  <c r="M2327" i="2"/>
  <c r="L2327" i="2"/>
  <c r="K2327" i="2"/>
  <c r="J2327" i="2"/>
  <c r="I2327" i="2"/>
  <c r="H2327" i="2"/>
  <c r="F2327" i="2"/>
  <c r="D2327" i="2"/>
  <c r="C2327" i="2"/>
  <c r="B2327" i="2"/>
  <c r="A2327" i="2"/>
  <c r="M2326" i="2"/>
  <c r="L2326" i="2"/>
  <c r="K2326" i="2"/>
  <c r="J2326" i="2"/>
  <c r="I2326" i="2"/>
  <c r="H2326" i="2"/>
  <c r="F2326" i="2"/>
  <c r="D2326" i="2"/>
  <c r="C2326" i="2"/>
  <c r="B2326" i="2"/>
  <c r="A2326" i="2"/>
  <c r="M2325" i="2"/>
  <c r="L2325" i="2"/>
  <c r="K2325" i="2"/>
  <c r="J2325" i="2"/>
  <c r="I2325" i="2"/>
  <c r="H2325" i="2"/>
  <c r="F2325" i="2"/>
  <c r="D2325" i="2"/>
  <c r="C2325" i="2"/>
  <c r="B2325" i="2"/>
  <c r="A2325" i="2"/>
  <c r="M2324" i="2"/>
  <c r="L2324" i="2"/>
  <c r="K2324" i="2"/>
  <c r="J2324" i="2"/>
  <c r="I2324" i="2"/>
  <c r="H2324" i="2"/>
  <c r="F2324" i="2"/>
  <c r="D2324" i="2"/>
  <c r="C2324" i="2"/>
  <c r="B2324" i="2"/>
  <c r="A2324" i="2"/>
  <c r="M2323" i="2"/>
  <c r="L2323" i="2"/>
  <c r="K2323" i="2"/>
  <c r="J2323" i="2"/>
  <c r="I2323" i="2"/>
  <c r="H2323" i="2"/>
  <c r="F2323" i="2"/>
  <c r="D2323" i="2"/>
  <c r="C2323" i="2"/>
  <c r="B2323" i="2"/>
  <c r="A2323" i="2"/>
  <c r="M2322" i="2"/>
  <c r="L2322" i="2"/>
  <c r="K2322" i="2"/>
  <c r="J2322" i="2"/>
  <c r="I2322" i="2"/>
  <c r="H2322" i="2"/>
  <c r="F2322" i="2"/>
  <c r="D2322" i="2"/>
  <c r="C2322" i="2"/>
  <c r="B2322" i="2"/>
  <c r="A2322" i="2"/>
  <c r="M2321" i="2"/>
  <c r="L2321" i="2"/>
  <c r="K2321" i="2"/>
  <c r="J2321" i="2"/>
  <c r="I2321" i="2"/>
  <c r="H2321" i="2"/>
  <c r="F2321" i="2"/>
  <c r="D2321" i="2"/>
  <c r="C2321" i="2"/>
  <c r="B2321" i="2"/>
  <c r="A2321" i="2"/>
  <c r="M2320" i="2"/>
  <c r="L2320" i="2"/>
  <c r="K2320" i="2"/>
  <c r="J2320" i="2"/>
  <c r="I2320" i="2"/>
  <c r="H2320" i="2"/>
  <c r="F2320" i="2"/>
  <c r="D2320" i="2"/>
  <c r="C2320" i="2"/>
  <c r="B2320" i="2"/>
  <c r="A2320" i="2"/>
  <c r="M2319" i="2"/>
  <c r="L2319" i="2"/>
  <c r="K2319" i="2"/>
  <c r="J2319" i="2"/>
  <c r="I2319" i="2"/>
  <c r="H2319" i="2"/>
  <c r="F2319" i="2"/>
  <c r="D2319" i="2"/>
  <c r="C2319" i="2"/>
  <c r="B2319" i="2"/>
  <c r="A2319" i="2"/>
  <c r="M2318" i="2"/>
  <c r="L2318" i="2"/>
  <c r="K2318" i="2"/>
  <c r="J2318" i="2"/>
  <c r="I2318" i="2"/>
  <c r="H2318" i="2"/>
  <c r="F2318" i="2"/>
  <c r="D2318" i="2"/>
  <c r="C2318" i="2"/>
  <c r="B2318" i="2"/>
  <c r="A2318" i="2"/>
  <c r="M2317" i="2"/>
  <c r="L2317" i="2"/>
  <c r="K2317" i="2"/>
  <c r="J2317" i="2"/>
  <c r="I2317" i="2"/>
  <c r="H2317" i="2"/>
  <c r="F2317" i="2"/>
  <c r="D2317" i="2"/>
  <c r="C2317" i="2"/>
  <c r="B2317" i="2"/>
  <c r="A2317" i="2"/>
  <c r="M2316" i="2"/>
  <c r="L2316" i="2"/>
  <c r="K2316" i="2"/>
  <c r="J2316" i="2"/>
  <c r="I2316" i="2"/>
  <c r="H2316" i="2"/>
  <c r="G2316" i="2"/>
  <c r="F2316" i="2"/>
  <c r="D2316" i="2"/>
  <c r="C2316" i="2"/>
  <c r="B2316" i="2"/>
  <c r="A2316" i="2"/>
  <c r="M2315" i="2"/>
  <c r="L2315" i="2"/>
  <c r="K2315" i="2"/>
  <c r="J2315" i="2"/>
  <c r="I2315" i="2"/>
  <c r="H2315" i="2"/>
  <c r="F2315" i="2"/>
  <c r="D2315" i="2"/>
  <c r="C2315" i="2"/>
  <c r="B2315" i="2"/>
  <c r="A2315" i="2"/>
  <c r="M2314" i="2"/>
  <c r="L2314" i="2"/>
  <c r="K2314" i="2"/>
  <c r="J2314" i="2"/>
  <c r="I2314" i="2"/>
  <c r="H2314" i="2"/>
  <c r="F2314" i="2"/>
  <c r="D2314" i="2"/>
  <c r="C2314" i="2"/>
  <c r="B2314" i="2"/>
  <c r="A2314" i="2"/>
  <c r="M2313" i="2"/>
  <c r="J2313" i="2"/>
  <c r="I2313" i="2"/>
  <c r="H2313" i="2"/>
  <c r="G2313" i="2"/>
  <c r="F2313" i="2"/>
  <c r="D2313" i="2"/>
  <c r="C2313" i="2"/>
  <c r="A2313" i="2"/>
  <c r="M2312" i="2"/>
  <c r="L2312" i="2"/>
  <c r="K2312" i="2"/>
  <c r="J2312" i="2"/>
  <c r="H2312" i="2"/>
  <c r="G2312" i="2"/>
  <c r="F2312" i="2"/>
  <c r="D2312" i="2"/>
  <c r="C2312" i="2"/>
  <c r="B2312" i="2"/>
  <c r="A2312" i="2"/>
  <c r="M2311" i="2"/>
  <c r="L2311" i="2"/>
  <c r="K2311" i="2"/>
  <c r="J2311" i="2"/>
  <c r="H2311" i="2"/>
  <c r="G2311" i="2"/>
  <c r="F2311" i="2"/>
  <c r="D2311" i="2"/>
  <c r="C2311" i="2"/>
  <c r="B2311" i="2"/>
  <c r="A2311" i="2"/>
  <c r="M2310" i="2"/>
  <c r="L2310" i="2"/>
  <c r="K2310" i="2"/>
  <c r="J2310" i="2"/>
  <c r="H2310" i="2"/>
  <c r="G2310" i="2"/>
  <c r="F2310" i="2"/>
  <c r="D2310" i="2"/>
  <c r="C2310" i="2"/>
  <c r="B2310" i="2"/>
  <c r="A2310" i="2"/>
  <c r="M2309" i="2"/>
  <c r="L2309" i="2"/>
  <c r="K2309" i="2"/>
  <c r="J2309" i="2"/>
  <c r="H2309" i="2"/>
  <c r="G2309" i="2"/>
  <c r="F2309" i="2"/>
  <c r="D2309" i="2"/>
  <c r="C2309" i="2"/>
  <c r="B2309" i="2"/>
  <c r="A2309" i="2"/>
  <c r="M2308" i="2"/>
  <c r="L2308" i="2"/>
  <c r="K2308" i="2"/>
  <c r="J2308" i="2"/>
  <c r="H2308" i="2"/>
  <c r="G2308" i="2"/>
  <c r="F2308" i="2"/>
  <c r="D2308" i="2"/>
  <c r="C2308" i="2"/>
  <c r="B2308" i="2"/>
  <c r="A2308" i="2"/>
  <c r="M2307" i="2"/>
  <c r="L2307" i="2"/>
  <c r="K2307" i="2"/>
  <c r="J2307" i="2"/>
  <c r="H2307" i="2"/>
  <c r="G2307" i="2"/>
  <c r="F2307" i="2"/>
  <c r="D2307" i="2"/>
  <c r="C2307" i="2"/>
  <c r="B2307" i="2"/>
  <c r="A2307" i="2"/>
  <c r="M2306" i="2"/>
  <c r="L2306" i="2"/>
  <c r="K2306" i="2"/>
  <c r="J2306" i="2"/>
  <c r="I2306" i="2"/>
  <c r="H2306" i="2"/>
  <c r="G2306" i="2"/>
  <c r="F2306" i="2"/>
  <c r="D2306" i="2"/>
  <c r="C2306" i="2"/>
  <c r="B2306" i="2"/>
  <c r="A2306" i="2"/>
  <c r="M2305" i="2"/>
  <c r="L2305" i="2"/>
  <c r="K2305" i="2"/>
  <c r="J2305" i="2"/>
  <c r="I2305" i="2"/>
  <c r="H2305" i="2"/>
  <c r="G2305" i="2"/>
  <c r="F2305" i="2"/>
  <c r="D2305" i="2"/>
  <c r="C2305" i="2"/>
  <c r="B2305" i="2"/>
  <c r="A2305" i="2"/>
  <c r="M2304" i="2"/>
  <c r="L2304" i="2"/>
  <c r="K2304" i="2"/>
  <c r="J2304" i="2"/>
  <c r="I2304" i="2"/>
  <c r="H2304" i="2"/>
  <c r="G2304" i="2"/>
  <c r="F2304" i="2"/>
  <c r="D2304" i="2"/>
  <c r="C2304" i="2"/>
  <c r="B2304" i="2"/>
  <c r="A2304" i="2"/>
  <c r="M2303" i="2"/>
  <c r="L2303" i="2"/>
  <c r="K2303" i="2"/>
  <c r="J2303" i="2"/>
  <c r="I2303" i="2"/>
  <c r="H2303" i="2"/>
  <c r="G2303" i="2"/>
  <c r="F2303" i="2"/>
  <c r="D2303" i="2"/>
  <c r="C2303" i="2"/>
  <c r="B2303" i="2"/>
  <c r="A2303" i="2"/>
  <c r="M2302" i="2"/>
  <c r="L2302" i="2"/>
  <c r="K2302" i="2"/>
  <c r="J2302" i="2"/>
  <c r="I2302" i="2"/>
  <c r="H2302" i="2"/>
  <c r="G2302" i="2"/>
  <c r="F2302" i="2"/>
  <c r="D2302" i="2"/>
  <c r="C2302" i="2"/>
  <c r="B2302" i="2"/>
  <c r="A2302" i="2"/>
  <c r="M2301" i="2"/>
  <c r="L2301" i="2"/>
  <c r="K2301" i="2"/>
  <c r="J2301" i="2"/>
  <c r="I2301" i="2"/>
  <c r="H2301" i="2"/>
  <c r="G2301" i="2"/>
  <c r="F2301" i="2"/>
  <c r="D2301" i="2"/>
  <c r="C2301" i="2"/>
  <c r="B2301" i="2"/>
  <c r="A2301" i="2"/>
  <c r="M2300" i="2"/>
  <c r="L2300" i="2"/>
  <c r="K2300" i="2"/>
  <c r="J2300" i="2"/>
  <c r="I2300" i="2"/>
  <c r="H2300" i="2"/>
  <c r="G2300" i="2"/>
  <c r="F2300" i="2"/>
  <c r="D2300" i="2"/>
  <c r="C2300" i="2"/>
  <c r="B2300" i="2"/>
  <c r="A2300" i="2"/>
  <c r="M2299" i="2"/>
  <c r="L2299" i="2"/>
  <c r="K2299" i="2"/>
  <c r="J2299" i="2"/>
  <c r="I2299" i="2"/>
  <c r="H2299" i="2"/>
  <c r="G2299" i="2"/>
  <c r="F2299" i="2"/>
  <c r="D2299" i="2"/>
  <c r="C2299" i="2"/>
  <c r="B2299" i="2"/>
  <c r="A2299" i="2"/>
  <c r="M2298" i="2"/>
  <c r="L2298" i="2"/>
  <c r="K2298" i="2"/>
  <c r="J2298" i="2"/>
  <c r="I2298" i="2"/>
  <c r="H2298" i="2"/>
  <c r="G2298" i="2"/>
  <c r="F2298" i="2"/>
  <c r="D2298" i="2"/>
  <c r="C2298" i="2"/>
  <c r="B2298" i="2"/>
  <c r="A2298" i="2"/>
  <c r="M2297" i="2"/>
  <c r="L2297" i="2"/>
  <c r="K2297" i="2"/>
  <c r="J2297" i="2"/>
  <c r="I2297" i="2"/>
  <c r="H2297" i="2"/>
  <c r="G2297" i="2"/>
  <c r="F2297" i="2"/>
  <c r="D2297" i="2"/>
  <c r="C2297" i="2"/>
  <c r="B2297" i="2"/>
  <c r="A2297" i="2"/>
  <c r="M2296" i="2"/>
  <c r="L2296" i="2"/>
  <c r="K2296" i="2"/>
  <c r="J2296" i="2"/>
  <c r="I2296" i="2"/>
  <c r="H2296" i="2"/>
  <c r="G2296" i="2"/>
  <c r="F2296" i="2"/>
  <c r="D2296" i="2"/>
  <c r="C2296" i="2"/>
  <c r="B2296" i="2"/>
  <c r="A2296" i="2"/>
  <c r="M2295" i="2"/>
  <c r="L2295" i="2"/>
  <c r="K2295" i="2"/>
  <c r="J2295" i="2"/>
  <c r="I2295" i="2"/>
  <c r="H2295" i="2"/>
  <c r="G2295" i="2"/>
  <c r="F2295" i="2"/>
  <c r="D2295" i="2"/>
  <c r="C2295" i="2"/>
  <c r="B2295" i="2"/>
  <c r="A2295" i="2"/>
  <c r="M2294" i="2"/>
  <c r="L2294" i="2"/>
  <c r="K2294" i="2"/>
  <c r="J2294" i="2"/>
  <c r="I2294" i="2"/>
  <c r="H2294" i="2"/>
  <c r="G2294" i="2"/>
  <c r="F2294" i="2"/>
  <c r="D2294" i="2"/>
  <c r="C2294" i="2"/>
  <c r="B2294" i="2"/>
  <c r="A2294" i="2"/>
  <c r="M2293" i="2"/>
  <c r="L2293" i="2"/>
  <c r="K2293" i="2"/>
  <c r="J2293" i="2"/>
  <c r="I2293" i="2"/>
  <c r="H2293" i="2"/>
  <c r="G2293" i="2"/>
  <c r="F2293" i="2"/>
  <c r="D2293" i="2"/>
  <c r="C2293" i="2"/>
  <c r="B2293" i="2"/>
  <c r="A2293" i="2"/>
  <c r="M2292" i="2"/>
  <c r="L2292" i="2"/>
  <c r="K2292" i="2"/>
  <c r="J2292" i="2"/>
  <c r="I2292" i="2"/>
  <c r="H2292" i="2"/>
  <c r="G2292" i="2"/>
  <c r="F2292" i="2"/>
  <c r="D2292" i="2"/>
  <c r="C2292" i="2"/>
  <c r="B2292" i="2"/>
  <c r="A2292" i="2"/>
  <c r="M2291" i="2"/>
  <c r="L2291" i="2"/>
  <c r="K2291" i="2"/>
  <c r="J2291" i="2"/>
  <c r="I2291" i="2"/>
  <c r="H2291" i="2"/>
  <c r="G2291" i="2"/>
  <c r="F2291" i="2"/>
  <c r="D2291" i="2"/>
  <c r="C2291" i="2"/>
  <c r="B2291" i="2"/>
  <c r="A2291" i="2"/>
  <c r="M2290" i="2"/>
  <c r="L2290" i="2"/>
  <c r="K2290" i="2"/>
  <c r="J2290" i="2"/>
  <c r="I2290" i="2"/>
  <c r="H2290" i="2"/>
  <c r="G2290" i="2"/>
  <c r="F2290" i="2"/>
  <c r="D2290" i="2"/>
  <c r="C2290" i="2"/>
  <c r="B2290" i="2"/>
  <c r="A2290" i="2"/>
  <c r="M2289" i="2"/>
  <c r="L2289" i="2"/>
  <c r="K2289" i="2"/>
  <c r="J2289" i="2"/>
  <c r="I2289" i="2"/>
  <c r="H2289" i="2"/>
  <c r="G2289" i="2"/>
  <c r="F2289" i="2"/>
  <c r="D2289" i="2"/>
  <c r="C2289" i="2"/>
  <c r="B2289" i="2"/>
  <c r="A2289" i="2"/>
  <c r="M2288" i="2"/>
  <c r="L2288" i="2"/>
  <c r="K2288" i="2"/>
  <c r="J2288" i="2"/>
  <c r="I2288" i="2"/>
  <c r="H2288" i="2"/>
  <c r="G2288" i="2"/>
  <c r="F2288" i="2"/>
  <c r="D2288" i="2"/>
  <c r="C2288" i="2"/>
  <c r="B2288" i="2"/>
  <c r="A2288" i="2"/>
  <c r="M2287" i="2"/>
  <c r="L2287" i="2"/>
  <c r="K2287" i="2"/>
  <c r="J2287" i="2"/>
  <c r="I2287" i="2"/>
  <c r="H2287" i="2"/>
  <c r="G2287" i="2"/>
  <c r="F2287" i="2"/>
  <c r="D2287" i="2"/>
  <c r="C2287" i="2"/>
  <c r="B2287" i="2"/>
  <c r="A2287" i="2"/>
  <c r="M2286" i="2"/>
  <c r="L2286" i="2"/>
  <c r="K2286" i="2"/>
  <c r="J2286" i="2"/>
  <c r="I2286" i="2"/>
  <c r="H2286" i="2"/>
  <c r="G2286" i="2"/>
  <c r="F2286" i="2"/>
  <c r="D2286" i="2"/>
  <c r="C2286" i="2"/>
  <c r="B2286" i="2"/>
  <c r="A2286" i="2"/>
  <c r="M2285" i="2"/>
  <c r="L2285" i="2"/>
  <c r="K2285" i="2"/>
  <c r="J2285" i="2"/>
  <c r="I2285" i="2"/>
  <c r="H2285" i="2"/>
  <c r="G2285" i="2"/>
  <c r="F2285" i="2"/>
  <c r="D2285" i="2"/>
  <c r="C2285" i="2"/>
  <c r="B2285" i="2"/>
  <c r="A2285" i="2"/>
  <c r="M2284" i="2"/>
  <c r="L2284" i="2"/>
  <c r="K2284" i="2"/>
  <c r="J2284" i="2"/>
  <c r="I2284" i="2"/>
  <c r="H2284" i="2"/>
  <c r="G2284" i="2"/>
  <c r="F2284" i="2"/>
  <c r="D2284" i="2"/>
  <c r="C2284" i="2"/>
  <c r="B2284" i="2"/>
  <c r="A2284" i="2"/>
  <c r="M2283" i="2"/>
  <c r="L2283" i="2"/>
  <c r="K2283" i="2"/>
  <c r="J2283" i="2"/>
  <c r="I2283" i="2"/>
  <c r="H2283" i="2"/>
  <c r="G2283" i="2"/>
  <c r="F2283" i="2"/>
  <c r="D2283" i="2"/>
  <c r="C2283" i="2"/>
  <c r="B2283" i="2"/>
  <c r="A2283" i="2"/>
  <c r="M2282" i="2"/>
  <c r="L2282" i="2"/>
  <c r="K2282" i="2"/>
  <c r="J2282" i="2"/>
  <c r="I2282" i="2"/>
  <c r="H2282" i="2"/>
  <c r="G2282" i="2"/>
  <c r="F2282" i="2"/>
  <c r="D2282" i="2"/>
  <c r="C2282" i="2"/>
  <c r="B2282" i="2"/>
  <c r="A2282" i="2"/>
  <c r="M2281" i="2"/>
  <c r="L2281" i="2"/>
  <c r="K2281" i="2"/>
  <c r="J2281" i="2"/>
  <c r="I2281" i="2"/>
  <c r="H2281" i="2"/>
  <c r="G2281" i="2"/>
  <c r="F2281" i="2"/>
  <c r="D2281" i="2"/>
  <c r="C2281" i="2"/>
  <c r="B2281" i="2"/>
  <c r="A2281" i="2"/>
  <c r="M2280" i="2"/>
  <c r="L2280" i="2"/>
  <c r="K2280" i="2"/>
  <c r="J2280" i="2"/>
  <c r="I2280" i="2"/>
  <c r="H2280" i="2"/>
  <c r="G2280" i="2"/>
  <c r="F2280" i="2"/>
  <c r="D2280" i="2"/>
  <c r="C2280" i="2"/>
  <c r="B2280" i="2"/>
  <c r="A2280" i="2"/>
  <c r="M2279" i="2"/>
  <c r="L2279" i="2"/>
  <c r="K2279" i="2"/>
  <c r="J2279" i="2"/>
  <c r="I2279" i="2"/>
  <c r="H2279" i="2"/>
  <c r="G2279" i="2"/>
  <c r="F2279" i="2"/>
  <c r="D2279" i="2"/>
  <c r="C2279" i="2"/>
  <c r="B2279" i="2"/>
  <c r="A2279" i="2"/>
  <c r="M2278" i="2"/>
  <c r="L2278" i="2"/>
  <c r="K2278" i="2"/>
  <c r="J2278" i="2"/>
  <c r="I2278" i="2"/>
  <c r="H2278" i="2"/>
  <c r="G2278" i="2"/>
  <c r="F2278" i="2"/>
  <c r="D2278" i="2"/>
  <c r="C2278" i="2"/>
  <c r="B2278" i="2"/>
  <c r="A2278" i="2"/>
  <c r="M2277" i="2"/>
  <c r="L2277" i="2"/>
  <c r="K2277" i="2"/>
  <c r="J2277" i="2"/>
  <c r="I2277" i="2"/>
  <c r="H2277" i="2"/>
  <c r="G2277" i="2"/>
  <c r="F2277" i="2"/>
  <c r="D2277" i="2"/>
  <c r="C2277" i="2"/>
  <c r="B2277" i="2"/>
  <c r="A2277" i="2"/>
  <c r="M2276" i="2"/>
  <c r="L2276" i="2"/>
  <c r="K2276" i="2"/>
  <c r="J2276" i="2"/>
  <c r="I2276" i="2"/>
  <c r="H2276" i="2"/>
  <c r="G2276" i="2"/>
  <c r="F2276" i="2"/>
  <c r="D2276" i="2"/>
  <c r="C2276" i="2"/>
  <c r="B2276" i="2"/>
  <c r="A2276" i="2"/>
  <c r="M2275" i="2"/>
  <c r="L2275" i="2"/>
  <c r="K2275" i="2"/>
  <c r="J2275" i="2"/>
  <c r="I2275" i="2"/>
  <c r="H2275" i="2"/>
  <c r="G2275" i="2"/>
  <c r="F2275" i="2"/>
  <c r="D2275" i="2"/>
  <c r="C2275" i="2"/>
  <c r="B2275" i="2"/>
  <c r="A2275" i="2"/>
  <c r="M2274" i="2"/>
  <c r="L2274" i="2"/>
  <c r="K2274" i="2"/>
  <c r="J2274" i="2"/>
  <c r="I2274" i="2"/>
  <c r="H2274" i="2"/>
  <c r="G2274" i="2"/>
  <c r="F2274" i="2"/>
  <c r="D2274" i="2"/>
  <c r="C2274" i="2"/>
  <c r="B2274" i="2"/>
  <c r="A2274" i="2"/>
  <c r="M2273" i="2"/>
  <c r="L2273" i="2"/>
  <c r="K2273" i="2"/>
  <c r="J2273" i="2"/>
  <c r="I2273" i="2"/>
  <c r="H2273" i="2"/>
  <c r="G2273" i="2"/>
  <c r="F2273" i="2"/>
  <c r="D2273" i="2"/>
  <c r="C2273" i="2"/>
  <c r="B2273" i="2"/>
  <c r="A2273" i="2"/>
  <c r="M2272" i="2"/>
  <c r="L2272" i="2"/>
  <c r="K2272" i="2"/>
  <c r="J2272" i="2"/>
  <c r="I2272" i="2"/>
  <c r="H2272" i="2"/>
  <c r="G2272" i="2"/>
  <c r="F2272" i="2"/>
  <c r="D2272" i="2"/>
  <c r="C2272" i="2"/>
  <c r="B2272" i="2"/>
  <c r="A2272" i="2"/>
  <c r="M2271" i="2"/>
  <c r="L2271" i="2"/>
  <c r="K2271" i="2"/>
  <c r="J2271" i="2"/>
  <c r="I2271" i="2"/>
  <c r="H2271" i="2"/>
  <c r="G2271" i="2"/>
  <c r="F2271" i="2"/>
  <c r="D2271" i="2"/>
  <c r="C2271" i="2"/>
  <c r="B2271" i="2"/>
  <c r="A2271" i="2"/>
  <c r="M2270" i="2"/>
  <c r="L2270" i="2"/>
  <c r="K2270" i="2"/>
  <c r="J2270" i="2"/>
  <c r="I2270" i="2"/>
  <c r="H2270" i="2"/>
  <c r="G2270" i="2"/>
  <c r="F2270" i="2"/>
  <c r="D2270" i="2"/>
  <c r="C2270" i="2"/>
  <c r="B2270" i="2"/>
  <c r="A2270" i="2"/>
  <c r="M2269" i="2"/>
  <c r="L2269" i="2"/>
  <c r="K2269" i="2"/>
  <c r="J2269" i="2"/>
  <c r="I2269" i="2"/>
  <c r="H2269" i="2"/>
  <c r="G2269" i="2"/>
  <c r="F2269" i="2"/>
  <c r="D2269" i="2"/>
  <c r="C2269" i="2"/>
  <c r="B2269" i="2"/>
  <c r="A2269" i="2"/>
  <c r="M2268" i="2"/>
  <c r="L2268" i="2"/>
  <c r="K2268" i="2"/>
  <c r="J2268" i="2"/>
  <c r="I2268" i="2"/>
  <c r="H2268" i="2"/>
  <c r="G2268" i="2"/>
  <c r="F2268" i="2"/>
  <c r="D2268" i="2"/>
  <c r="C2268" i="2"/>
  <c r="B2268" i="2"/>
  <c r="A2268" i="2"/>
  <c r="M2267" i="2"/>
  <c r="L2267" i="2"/>
  <c r="K2267" i="2"/>
  <c r="J2267" i="2"/>
  <c r="I2267" i="2"/>
  <c r="H2267" i="2"/>
  <c r="G2267" i="2"/>
  <c r="F2267" i="2"/>
  <c r="D2267" i="2"/>
  <c r="C2267" i="2"/>
  <c r="B2267" i="2"/>
  <c r="A2267" i="2"/>
  <c r="M2266" i="2"/>
  <c r="L2266" i="2"/>
  <c r="K2266" i="2"/>
  <c r="J2266" i="2"/>
  <c r="I2266" i="2"/>
  <c r="H2266" i="2"/>
  <c r="G2266" i="2"/>
  <c r="F2266" i="2"/>
  <c r="D2266" i="2"/>
  <c r="C2266" i="2"/>
  <c r="B2266" i="2"/>
  <c r="A2266" i="2"/>
  <c r="M2265" i="2"/>
  <c r="L2265" i="2"/>
  <c r="K2265" i="2"/>
  <c r="J2265" i="2"/>
  <c r="I2265" i="2"/>
  <c r="H2265" i="2"/>
  <c r="G2265" i="2"/>
  <c r="F2265" i="2"/>
  <c r="D2265" i="2"/>
  <c r="C2265" i="2"/>
  <c r="B2265" i="2"/>
  <c r="A2265" i="2"/>
  <c r="M2264" i="2"/>
  <c r="L2264" i="2"/>
  <c r="K2264" i="2"/>
  <c r="J2264" i="2"/>
  <c r="I2264" i="2"/>
  <c r="H2264" i="2"/>
  <c r="G2264" i="2"/>
  <c r="F2264" i="2"/>
  <c r="D2264" i="2"/>
  <c r="C2264" i="2"/>
  <c r="B2264" i="2"/>
  <c r="A2264" i="2"/>
  <c r="M2263" i="2"/>
  <c r="L2263" i="2"/>
  <c r="K2263" i="2"/>
  <c r="J2263" i="2"/>
  <c r="I2263" i="2"/>
  <c r="H2263" i="2"/>
  <c r="G2263" i="2"/>
  <c r="F2263" i="2"/>
  <c r="D2263" i="2"/>
  <c r="C2263" i="2"/>
  <c r="B2263" i="2"/>
  <c r="A2263" i="2"/>
  <c r="M2262" i="2"/>
  <c r="L2262" i="2"/>
  <c r="K2262" i="2"/>
  <c r="J2262" i="2"/>
  <c r="I2262" i="2"/>
  <c r="H2262" i="2"/>
  <c r="G2262" i="2"/>
  <c r="F2262" i="2"/>
  <c r="D2262" i="2"/>
  <c r="C2262" i="2"/>
  <c r="B2262" i="2"/>
  <c r="A2262" i="2"/>
  <c r="M2261" i="2"/>
  <c r="L2261" i="2"/>
  <c r="K2261" i="2"/>
  <c r="J2261" i="2"/>
  <c r="I2261" i="2"/>
  <c r="H2261" i="2"/>
  <c r="G2261" i="2"/>
  <c r="F2261" i="2"/>
  <c r="D2261" i="2"/>
  <c r="C2261" i="2"/>
  <c r="B2261" i="2"/>
  <c r="A2261" i="2"/>
  <c r="M2260" i="2"/>
  <c r="L2260" i="2"/>
  <c r="K2260" i="2"/>
  <c r="J2260" i="2"/>
  <c r="I2260" i="2"/>
  <c r="H2260" i="2"/>
  <c r="G2260" i="2"/>
  <c r="F2260" i="2"/>
  <c r="D2260" i="2"/>
  <c r="C2260" i="2"/>
  <c r="B2260" i="2"/>
  <c r="A2260" i="2"/>
  <c r="M2259" i="2"/>
  <c r="L2259" i="2"/>
  <c r="K2259" i="2"/>
  <c r="J2259" i="2"/>
  <c r="I2259" i="2"/>
  <c r="H2259" i="2"/>
  <c r="G2259" i="2"/>
  <c r="F2259" i="2"/>
  <c r="D2259" i="2"/>
  <c r="C2259" i="2"/>
  <c r="B2259" i="2"/>
  <c r="A2259" i="2"/>
  <c r="M2258" i="2"/>
  <c r="L2258" i="2"/>
  <c r="K2258" i="2"/>
  <c r="J2258" i="2"/>
  <c r="I2258" i="2"/>
  <c r="H2258" i="2"/>
  <c r="G2258" i="2"/>
  <c r="F2258" i="2"/>
  <c r="D2258" i="2"/>
  <c r="C2258" i="2"/>
  <c r="B2258" i="2"/>
  <c r="A2258" i="2"/>
  <c r="M2257" i="2"/>
  <c r="L2257" i="2"/>
  <c r="K2257" i="2"/>
  <c r="J2257" i="2"/>
  <c r="I2257" i="2"/>
  <c r="H2257" i="2"/>
  <c r="G2257" i="2"/>
  <c r="F2257" i="2"/>
  <c r="D2257" i="2"/>
  <c r="C2257" i="2"/>
  <c r="B2257" i="2"/>
  <c r="A2257" i="2"/>
  <c r="M2256" i="2"/>
  <c r="L2256" i="2"/>
  <c r="K2256" i="2"/>
  <c r="J2256" i="2"/>
  <c r="I2256" i="2"/>
  <c r="H2256" i="2"/>
  <c r="G2256" i="2"/>
  <c r="F2256" i="2"/>
  <c r="D2256" i="2"/>
  <c r="C2256" i="2"/>
  <c r="B2256" i="2"/>
  <c r="A2256" i="2"/>
  <c r="M2255" i="2"/>
  <c r="L2255" i="2"/>
  <c r="K2255" i="2"/>
  <c r="J2255" i="2"/>
  <c r="I2255" i="2"/>
  <c r="H2255" i="2"/>
  <c r="G2255" i="2"/>
  <c r="F2255" i="2"/>
  <c r="D2255" i="2"/>
  <c r="C2255" i="2"/>
  <c r="B2255" i="2"/>
  <c r="A2255" i="2"/>
  <c r="M2254" i="2"/>
  <c r="L2254" i="2"/>
  <c r="K2254" i="2"/>
  <c r="J2254" i="2"/>
  <c r="I2254" i="2"/>
  <c r="H2254" i="2"/>
  <c r="G2254" i="2"/>
  <c r="F2254" i="2"/>
  <c r="D2254" i="2"/>
  <c r="C2254" i="2"/>
  <c r="B2254" i="2"/>
  <c r="A2254" i="2"/>
  <c r="M2253" i="2"/>
  <c r="L2253" i="2"/>
  <c r="K2253" i="2"/>
  <c r="J2253" i="2"/>
  <c r="I2253" i="2"/>
  <c r="H2253" i="2"/>
  <c r="G2253" i="2"/>
  <c r="F2253" i="2"/>
  <c r="D2253" i="2"/>
  <c r="C2253" i="2"/>
  <c r="B2253" i="2"/>
  <c r="A2253" i="2"/>
  <c r="M2252" i="2"/>
  <c r="L2252" i="2"/>
  <c r="K2252" i="2"/>
  <c r="J2252" i="2"/>
  <c r="I2252" i="2"/>
  <c r="H2252" i="2"/>
  <c r="G2252" i="2"/>
  <c r="F2252" i="2"/>
  <c r="D2252" i="2"/>
  <c r="C2252" i="2"/>
  <c r="B2252" i="2"/>
  <c r="A2252" i="2"/>
  <c r="M2251" i="2"/>
  <c r="L2251" i="2"/>
  <c r="K2251" i="2"/>
  <c r="J2251" i="2"/>
  <c r="I2251" i="2"/>
  <c r="H2251" i="2"/>
  <c r="G2251" i="2"/>
  <c r="F2251" i="2"/>
  <c r="D2251" i="2"/>
  <c r="C2251" i="2"/>
  <c r="B2251" i="2"/>
  <c r="A2251" i="2"/>
  <c r="M2250" i="2"/>
  <c r="L2250" i="2"/>
  <c r="K2250" i="2"/>
  <c r="J2250" i="2"/>
  <c r="I2250" i="2"/>
  <c r="H2250" i="2"/>
  <c r="G2250" i="2"/>
  <c r="F2250" i="2"/>
  <c r="D2250" i="2"/>
  <c r="C2250" i="2"/>
  <c r="B2250" i="2"/>
  <c r="A2250" i="2"/>
  <c r="N2249" i="2"/>
  <c r="M2249" i="2"/>
  <c r="J2249" i="2"/>
  <c r="I2249" i="2"/>
  <c r="H2249" i="2"/>
  <c r="G2249" i="2"/>
  <c r="F2249" i="2"/>
  <c r="D2249" i="2"/>
  <c r="C2249" i="2"/>
  <c r="B2249" i="2"/>
  <c r="A2249" i="2"/>
  <c r="N2248" i="2"/>
  <c r="M2248" i="2"/>
  <c r="J2248" i="2"/>
  <c r="I2248" i="2"/>
  <c r="H2248" i="2"/>
  <c r="G2248" i="2"/>
  <c r="F2248" i="2"/>
  <c r="D2248" i="2"/>
  <c r="C2248" i="2"/>
  <c r="B2248" i="2"/>
  <c r="A2248" i="2"/>
  <c r="M2247" i="2"/>
  <c r="L2247" i="2"/>
  <c r="K2247" i="2"/>
  <c r="J2247" i="2"/>
  <c r="I2247" i="2"/>
  <c r="H2247" i="2"/>
  <c r="G2247" i="2"/>
  <c r="F2247" i="2"/>
  <c r="D2247" i="2"/>
  <c r="C2247" i="2"/>
  <c r="B2247" i="2"/>
  <c r="A2247" i="2"/>
  <c r="M2246" i="2"/>
  <c r="L2246" i="2"/>
  <c r="K2246" i="2"/>
  <c r="J2246" i="2"/>
  <c r="I2246" i="2"/>
  <c r="H2246" i="2"/>
  <c r="G2246" i="2"/>
  <c r="F2246" i="2"/>
  <c r="D2246" i="2"/>
  <c r="C2246" i="2"/>
  <c r="B2246" i="2"/>
  <c r="A2246" i="2"/>
  <c r="M2245" i="2"/>
  <c r="L2245" i="2"/>
  <c r="K2245" i="2"/>
  <c r="J2245" i="2"/>
  <c r="I2245" i="2"/>
  <c r="H2245" i="2"/>
  <c r="G2245" i="2"/>
  <c r="F2245" i="2"/>
  <c r="D2245" i="2"/>
  <c r="C2245" i="2"/>
  <c r="B2245" i="2"/>
  <c r="A2245" i="2"/>
  <c r="M2244" i="2"/>
  <c r="L2244" i="2"/>
  <c r="K2244" i="2"/>
  <c r="J2244" i="2"/>
  <c r="I2244" i="2"/>
  <c r="H2244" i="2"/>
  <c r="G2244" i="2"/>
  <c r="F2244" i="2"/>
  <c r="D2244" i="2"/>
  <c r="C2244" i="2"/>
  <c r="B2244" i="2"/>
  <c r="A2244" i="2"/>
  <c r="M2243" i="2"/>
  <c r="L2243" i="2"/>
  <c r="K2243" i="2"/>
  <c r="I2243" i="2"/>
  <c r="H2243" i="2"/>
  <c r="F2243" i="2"/>
  <c r="E2243" i="2"/>
  <c r="D2243" i="2"/>
  <c r="C2243" i="2"/>
  <c r="B2243" i="2"/>
  <c r="A2243" i="2"/>
  <c r="M2242" i="2"/>
  <c r="L2242" i="2"/>
  <c r="K2242" i="2"/>
  <c r="I2242" i="2"/>
  <c r="H2242" i="2"/>
  <c r="F2242" i="2"/>
  <c r="E2242" i="2"/>
  <c r="D2242" i="2"/>
  <c r="C2242" i="2"/>
  <c r="B2242" i="2"/>
  <c r="A2242" i="2"/>
  <c r="M2241" i="2"/>
  <c r="L2241" i="2"/>
  <c r="K2241" i="2"/>
  <c r="I2241" i="2"/>
  <c r="H2241" i="2"/>
  <c r="F2241" i="2"/>
  <c r="E2241" i="2"/>
  <c r="D2241" i="2"/>
  <c r="C2241" i="2"/>
  <c r="B2241" i="2"/>
  <c r="A2241" i="2"/>
  <c r="M2240" i="2"/>
  <c r="L2240" i="2"/>
  <c r="K2240" i="2"/>
  <c r="I2240" i="2"/>
  <c r="H2240" i="2"/>
  <c r="F2240" i="2"/>
  <c r="E2240" i="2"/>
  <c r="D2240" i="2"/>
  <c r="C2240" i="2"/>
  <c r="B2240" i="2"/>
  <c r="A2240" i="2"/>
  <c r="M2239" i="2"/>
  <c r="L2239" i="2"/>
  <c r="K2239" i="2"/>
  <c r="H2239" i="2"/>
  <c r="F2239" i="2"/>
  <c r="E2239" i="2"/>
  <c r="D2239" i="2"/>
  <c r="C2239" i="2"/>
  <c r="B2239" i="2"/>
  <c r="A2239" i="2"/>
  <c r="M2238" i="2"/>
  <c r="L2238" i="2"/>
  <c r="K2238" i="2"/>
  <c r="H2238" i="2"/>
  <c r="F2238" i="2"/>
  <c r="E2238" i="2"/>
  <c r="D2238" i="2"/>
  <c r="C2238" i="2"/>
  <c r="B2238" i="2"/>
  <c r="A2238" i="2"/>
  <c r="M2237" i="2"/>
  <c r="L2237" i="2"/>
  <c r="K2237" i="2"/>
  <c r="I2237" i="2"/>
  <c r="H2237" i="2"/>
  <c r="F2237" i="2"/>
  <c r="E2237" i="2"/>
  <c r="D2237" i="2"/>
  <c r="C2237" i="2"/>
  <c r="B2237" i="2"/>
  <c r="A2237" i="2"/>
  <c r="M2236" i="2"/>
  <c r="L2236" i="2"/>
  <c r="K2236" i="2"/>
  <c r="I2236" i="2"/>
  <c r="H2236" i="2"/>
  <c r="F2236" i="2"/>
  <c r="E2236" i="2"/>
  <c r="D2236" i="2"/>
  <c r="C2236" i="2"/>
  <c r="B2236" i="2"/>
  <c r="A2236" i="2"/>
  <c r="M2235" i="2"/>
  <c r="L2235" i="2"/>
  <c r="K2235" i="2"/>
  <c r="I2235" i="2"/>
  <c r="H2235" i="2"/>
  <c r="F2235" i="2"/>
  <c r="E2235" i="2"/>
  <c r="D2235" i="2"/>
  <c r="C2235" i="2"/>
  <c r="B2235" i="2"/>
  <c r="A2235" i="2"/>
  <c r="M2234" i="2"/>
  <c r="L2234" i="2"/>
  <c r="K2234" i="2"/>
  <c r="I2234" i="2"/>
  <c r="H2234" i="2"/>
  <c r="F2234" i="2"/>
  <c r="E2234" i="2"/>
  <c r="D2234" i="2"/>
  <c r="C2234" i="2"/>
  <c r="B2234" i="2"/>
  <c r="A2234" i="2"/>
  <c r="M2233" i="2"/>
  <c r="L2233" i="2"/>
  <c r="K2233" i="2"/>
  <c r="J2233" i="2"/>
  <c r="I2233" i="2"/>
  <c r="H2233" i="2"/>
  <c r="G2233" i="2"/>
  <c r="F2233" i="2"/>
  <c r="E2233" i="2"/>
  <c r="D2233" i="2"/>
  <c r="C2233" i="2"/>
  <c r="B2233" i="2"/>
  <c r="A2233" i="2"/>
  <c r="N2232" i="2"/>
  <c r="M2232" i="2"/>
  <c r="L2232" i="2"/>
  <c r="K2232" i="2"/>
  <c r="J2232" i="2"/>
  <c r="I2232" i="2"/>
  <c r="H2232" i="2"/>
  <c r="F2232" i="2"/>
  <c r="E2232" i="2"/>
  <c r="D2232" i="2"/>
  <c r="C2232" i="2"/>
  <c r="B2232" i="2"/>
  <c r="A2232" i="2"/>
  <c r="N2231" i="2"/>
  <c r="M2231" i="2"/>
  <c r="L2231" i="2"/>
  <c r="K2231" i="2"/>
  <c r="J2231" i="2"/>
  <c r="I2231" i="2"/>
  <c r="H2231" i="2"/>
  <c r="F2231" i="2"/>
  <c r="E2231" i="2"/>
  <c r="D2231" i="2"/>
  <c r="C2231" i="2"/>
  <c r="B2231" i="2"/>
  <c r="A2231" i="2"/>
  <c r="M2230" i="2"/>
  <c r="L2230" i="2"/>
  <c r="K2230" i="2"/>
  <c r="I2230" i="2"/>
  <c r="H2230" i="2"/>
  <c r="F2230" i="2"/>
  <c r="E2230" i="2"/>
  <c r="D2230" i="2"/>
  <c r="C2230" i="2"/>
  <c r="B2230" i="2"/>
  <c r="A2230" i="2"/>
  <c r="M2229" i="2"/>
  <c r="L2229" i="2"/>
  <c r="K2229" i="2"/>
  <c r="I2229" i="2"/>
  <c r="H2229" i="2"/>
  <c r="F2229" i="2"/>
  <c r="E2229" i="2"/>
  <c r="D2229" i="2"/>
  <c r="C2229" i="2"/>
  <c r="B2229" i="2"/>
  <c r="A2229" i="2"/>
  <c r="M2228" i="2"/>
  <c r="L2228" i="2"/>
  <c r="K2228" i="2"/>
  <c r="I2228" i="2"/>
  <c r="H2228" i="2"/>
  <c r="F2228" i="2"/>
  <c r="E2228" i="2"/>
  <c r="D2228" i="2"/>
  <c r="C2228" i="2"/>
  <c r="B2228" i="2"/>
  <c r="A2228" i="2"/>
  <c r="M2227" i="2"/>
  <c r="L2227" i="2"/>
  <c r="K2227" i="2"/>
  <c r="I2227" i="2"/>
  <c r="H2227" i="2"/>
  <c r="F2227" i="2"/>
  <c r="E2227" i="2"/>
  <c r="D2227" i="2"/>
  <c r="C2227" i="2"/>
  <c r="B2227" i="2"/>
  <c r="A2227" i="2"/>
  <c r="M2226" i="2"/>
  <c r="L2226" i="2"/>
  <c r="K2226" i="2"/>
  <c r="I2226" i="2"/>
  <c r="H2226" i="2"/>
  <c r="F2226" i="2"/>
  <c r="E2226" i="2"/>
  <c r="D2226" i="2"/>
  <c r="C2226" i="2"/>
  <c r="B2226" i="2"/>
  <c r="A2226" i="2"/>
  <c r="M2225" i="2"/>
  <c r="L2225" i="2"/>
  <c r="K2225" i="2"/>
  <c r="I2225" i="2"/>
  <c r="H2225" i="2"/>
  <c r="F2225" i="2"/>
  <c r="E2225" i="2"/>
  <c r="D2225" i="2"/>
  <c r="C2225" i="2"/>
  <c r="B2225" i="2"/>
  <c r="A2225" i="2"/>
  <c r="M2224" i="2"/>
  <c r="L2224" i="2"/>
  <c r="K2224" i="2"/>
  <c r="I2224" i="2"/>
  <c r="H2224" i="2"/>
  <c r="F2224" i="2"/>
  <c r="E2224" i="2"/>
  <c r="D2224" i="2"/>
  <c r="C2224" i="2"/>
  <c r="B2224" i="2"/>
  <c r="A2224" i="2"/>
  <c r="M2223" i="2"/>
  <c r="L2223" i="2"/>
  <c r="K2223" i="2"/>
  <c r="I2223" i="2"/>
  <c r="H2223" i="2"/>
  <c r="F2223" i="2"/>
  <c r="E2223" i="2"/>
  <c r="D2223" i="2"/>
  <c r="C2223" i="2"/>
  <c r="B2223" i="2"/>
  <c r="A2223" i="2"/>
  <c r="M2222" i="2"/>
  <c r="L2222" i="2"/>
  <c r="K2222" i="2"/>
  <c r="I2222" i="2"/>
  <c r="H2222" i="2"/>
  <c r="F2222" i="2"/>
  <c r="E2222" i="2"/>
  <c r="D2222" i="2"/>
  <c r="C2222" i="2"/>
  <c r="B2222" i="2"/>
  <c r="A2222" i="2"/>
  <c r="M2221" i="2"/>
  <c r="L2221" i="2"/>
  <c r="K2221" i="2"/>
  <c r="I2221" i="2"/>
  <c r="H2221" i="2"/>
  <c r="F2221" i="2"/>
  <c r="E2221" i="2"/>
  <c r="D2221" i="2"/>
  <c r="C2221" i="2"/>
  <c r="B2221" i="2"/>
  <c r="A2221" i="2"/>
  <c r="M2220" i="2"/>
  <c r="L2220" i="2"/>
  <c r="K2220" i="2"/>
  <c r="I2220" i="2"/>
  <c r="H2220" i="2"/>
  <c r="F2220" i="2"/>
  <c r="E2220" i="2"/>
  <c r="D2220" i="2"/>
  <c r="C2220" i="2"/>
  <c r="B2220" i="2"/>
  <c r="A2220" i="2"/>
  <c r="M2219" i="2"/>
  <c r="L2219" i="2"/>
  <c r="K2219" i="2"/>
  <c r="H2219" i="2"/>
  <c r="F2219" i="2"/>
  <c r="E2219" i="2"/>
  <c r="D2219" i="2"/>
  <c r="C2219" i="2"/>
  <c r="B2219" i="2"/>
  <c r="A2219" i="2"/>
  <c r="M2218" i="2"/>
  <c r="L2218" i="2"/>
  <c r="K2218" i="2"/>
  <c r="H2218" i="2"/>
  <c r="F2218" i="2"/>
  <c r="E2218" i="2"/>
  <c r="D2218" i="2"/>
  <c r="C2218" i="2"/>
  <c r="B2218" i="2"/>
  <c r="A2218" i="2"/>
  <c r="M2217" i="2"/>
  <c r="L2217" i="2"/>
  <c r="K2217" i="2"/>
  <c r="I2217" i="2"/>
  <c r="H2217" i="2"/>
  <c r="F2217" i="2"/>
  <c r="E2217" i="2"/>
  <c r="D2217" i="2"/>
  <c r="C2217" i="2"/>
  <c r="B2217" i="2"/>
  <c r="A2217" i="2"/>
  <c r="M2216" i="2"/>
  <c r="L2216" i="2"/>
  <c r="K2216" i="2"/>
  <c r="I2216" i="2"/>
  <c r="H2216" i="2"/>
  <c r="F2216" i="2"/>
  <c r="E2216" i="2"/>
  <c r="D2216" i="2"/>
  <c r="C2216" i="2"/>
  <c r="B2216" i="2"/>
  <c r="A2216" i="2"/>
  <c r="M2215" i="2"/>
  <c r="L2215" i="2"/>
  <c r="K2215" i="2"/>
  <c r="I2215" i="2"/>
  <c r="H2215" i="2"/>
  <c r="F2215" i="2"/>
  <c r="E2215" i="2"/>
  <c r="D2215" i="2"/>
  <c r="C2215" i="2"/>
  <c r="B2215" i="2"/>
  <c r="A2215" i="2"/>
  <c r="M2214" i="2"/>
  <c r="L2214" i="2"/>
  <c r="K2214" i="2"/>
  <c r="I2214" i="2"/>
  <c r="H2214" i="2"/>
  <c r="F2214" i="2"/>
  <c r="E2214" i="2"/>
  <c r="D2214" i="2"/>
  <c r="C2214" i="2"/>
  <c r="B2214" i="2"/>
  <c r="A2214" i="2"/>
  <c r="M2213" i="2"/>
  <c r="L2213" i="2"/>
  <c r="K2213" i="2"/>
  <c r="J2213" i="2"/>
  <c r="I2213" i="2"/>
  <c r="H2213" i="2"/>
  <c r="G2213" i="2"/>
  <c r="F2213" i="2"/>
  <c r="E2213" i="2"/>
  <c r="D2213" i="2"/>
  <c r="C2213" i="2"/>
  <c r="B2213" i="2"/>
  <c r="A2213" i="2"/>
  <c r="N2212" i="2"/>
  <c r="M2212" i="2"/>
  <c r="L2212" i="2"/>
  <c r="K2212" i="2"/>
  <c r="J2212" i="2"/>
  <c r="H2212" i="2"/>
  <c r="G2212" i="2"/>
  <c r="F2212" i="2"/>
  <c r="E2212" i="2"/>
  <c r="D2212" i="2"/>
  <c r="C2212" i="2"/>
  <c r="B2212" i="2"/>
  <c r="A2212" i="2"/>
  <c r="M2211" i="2"/>
  <c r="L2211" i="2"/>
  <c r="K2211" i="2"/>
  <c r="J2211" i="2"/>
  <c r="I2211" i="2"/>
  <c r="H2211" i="2"/>
  <c r="G2211" i="2"/>
  <c r="F2211" i="2"/>
  <c r="E2211" i="2"/>
  <c r="D2211" i="2"/>
  <c r="C2211" i="2"/>
  <c r="B2211" i="2"/>
  <c r="A2211" i="2"/>
  <c r="M2210" i="2"/>
  <c r="L2210" i="2"/>
  <c r="K2210" i="2"/>
  <c r="J2210" i="2"/>
  <c r="I2210" i="2"/>
  <c r="H2210" i="2"/>
  <c r="G2210" i="2"/>
  <c r="F2210" i="2"/>
  <c r="E2210" i="2"/>
  <c r="D2210" i="2"/>
  <c r="C2210" i="2"/>
  <c r="B2210" i="2"/>
  <c r="A2210" i="2"/>
  <c r="M2209" i="2"/>
  <c r="L2209" i="2"/>
  <c r="K2209" i="2"/>
  <c r="J2209" i="2"/>
  <c r="I2209" i="2"/>
  <c r="H2209" i="2"/>
  <c r="G2209" i="2"/>
  <c r="F2209" i="2"/>
  <c r="E2209" i="2"/>
  <c r="D2209" i="2"/>
  <c r="C2209" i="2"/>
  <c r="B2209" i="2"/>
  <c r="A2209" i="2"/>
  <c r="M2208" i="2"/>
  <c r="L2208" i="2"/>
  <c r="K2208" i="2"/>
  <c r="J2208" i="2"/>
  <c r="I2208" i="2"/>
  <c r="H2208" i="2"/>
  <c r="G2208" i="2"/>
  <c r="F2208" i="2"/>
  <c r="E2208" i="2"/>
  <c r="D2208" i="2"/>
  <c r="C2208" i="2"/>
  <c r="B2208" i="2"/>
  <c r="A2208" i="2"/>
  <c r="M2207" i="2"/>
  <c r="L2207" i="2"/>
  <c r="K2207" i="2"/>
  <c r="J2207" i="2"/>
  <c r="I2207" i="2"/>
  <c r="H2207" i="2"/>
  <c r="G2207" i="2"/>
  <c r="F2207" i="2"/>
  <c r="E2207" i="2"/>
  <c r="D2207" i="2"/>
  <c r="C2207" i="2"/>
  <c r="B2207" i="2"/>
  <c r="A2207" i="2"/>
  <c r="M2206" i="2"/>
  <c r="L2206" i="2"/>
  <c r="K2206" i="2"/>
  <c r="J2206" i="2"/>
  <c r="I2206" i="2"/>
  <c r="H2206" i="2"/>
  <c r="G2206" i="2"/>
  <c r="F2206" i="2"/>
  <c r="E2206" i="2"/>
  <c r="D2206" i="2"/>
  <c r="C2206" i="2"/>
  <c r="B2206" i="2"/>
  <c r="A2206" i="2"/>
  <c r="M2205" i="2"/>
  <c r="L2205" i="2"/>
  <c r="K2205" i="2"/>
  <c r="J2205" i="2"/>
  <c r="I2205" i="2"/>
  <c r="H2205" i="2"/>
  <c r="G2205" i="2"/>
  <c r="F2205" i="2"/>
  <c r="E2205" i="2"/>
  <c r="D2205" i="2"/>
  <c r="C2205" i="2"/>
  <c r="B2205" i="2"/>
  <c r="A2205" i="2"/>
  <c r="M2204" i="2"/>
  <c r="L2204" i="2"/>
  <c r="K2204" i="2"/>
  <c r="J2204" i="2"/>
  <c r="H2204" i="2"/>
  <c r="G2204" i="2"/>
  <c r="F2204" i="2"/>
  <c r="E2204" i="2"/>
  <c r="D2204" i="2"/>
  <c r="C2204" i="2"/>
  <c r="B2204" i="2"/>
  <c r="A2204" i="2"/>
  <c r="M2203" i="2"/>
  <c r="L2203" i="2"/>
  <c r="K2203" i="2"/>
  <c r="J2203" i="2"/>
  <c r="H2203" i="2"/>
  <c r="G2203" i="2"/>
  <c r="F2203" i="2"/>
  <c r="E2203" i="2"/>
  <c r="D2203" i="2"/>
  <c r="C2203" i="2"/>
  <c r="B2203" i="2"/>
  <c r="A2203" i="2"/>
  <c r="M2202" i="2"/>
  <c r="L2202" i="2"/>
  <c r="K2202" i="2"/>
  <c r="J2202" i="2"/>
  <c r="H2202" i="2"/>
  <c r="G2202" i="2"/>
  <c r="F2202" i="2"/>
  <c r="E2202" i="2"/>
  <c r="D2202" i="2"/>
  <c r="C2202" i="2"/>
  <c r="B2202" i="2"/>
  <c r="A2202" i="2"/>
  <c r="M2201" i="2"/>
  <c r="L2201" i="2"/>
  <c r="K2201" i="2"/>
  <c r="J2201" i="2"/>
  <c r="H2201" i="2"/>
  <c r="G2201" i="2"/>
  <c r="F2201" i="2"/>
  <c r="E2201" i="2"/>
  <c r="D2201" i="2"/>
  <c r="C2201" i="2"/>
  <c r="B2201" i="2"/>
  <c r="A2201" i="2"/>
  <c r="M2200" i="2"/>
  <c r="L2200" i="2"/>
  <c r="K2200" i="2"/>
  <c r="J2200" i="2"/>
  <c r="H2200" i="2"/>
  <c r="G2200" i="2"/>
  <c r="F2200" i="2"/>
  <c r="E2200" i="2"/>
  <c r="D2200" i="2"/>
  <c r="C2200" i="2"/>
  <c r="B2200" i="2"/>
  <c r="A2200" i="2"/>
  <c r="M2199" i="2"/>
  <c r="L2199" i="2"/>
  <c r="K2199" i="2"/>
  <c r="J2199" i="2"/>
  <c r="H2199" i="2"/>
  <c r="G2199" i="2"/>
  <c r="F2199" i="2"/>
  <c r="E2199" i="2"/>
  <c r="D2199" i="2"/>
  <c r="C2199" i="2"/>
  <c r="B2199" i="2"/>
  <c r="A2199" i="2"/>
  <c r="M2198" i="2"/>
  <c r="L2198" i="2"/>
  <c r="K2198" i="2"/>
  <c r="J2198" i="2"/>
  <c r="H2198" i="2"/>
  <c r="G2198" i="2"/>
  <c r="F2198" i="2"/>
  <c r="E2198" i="2"/>
  <c r="D2198" i="2"/>
  <c r="C2198" i="2"/>
  <c r="B2198" i="2"/>
  <c r="A2198" i="2"/>
  <c r="M2197" i="2"/>
  <c r="L2197" i="2"/>
  <c r="K2197" i="2"/>
  <c r="J2197" i="2"/>
  <c r="H2197" i="2"/>
  <c r="G2197" i="2"/>
  <c r="F2197" i="2"/>
  <c r="E2197" i="2"/>
  <c r="D2197" i="2"/>
  <c r="C2197" i="2"/>
  <c r="B2197" i="2"/>
  <c r="A2197" i="2"/>
  <c r="M2196" i="2"/>
  <c r="L2196" i="2"/>
  <c r="K2196" i="2"/>
  <c r="J2196" i="2"/>
  <c r="H2196" i="2"/>
  <c r="G2196" i="2"/>
  <c r="F2196" i="2"/>
  <c r="E2196" i="2"/>
  <c r="D2196" i="2"/>
  <c r="C2196" i="2"/>
  <c r="B2196" i="2"/>
  <c r="A2196" i="2"/>
  <c r="M2195" i="2"/>
  <c r="L2195" i="2"/>
  <c r="K2195" i="2"/>
  <c r="J2195" i="2"/>
  <c r="H2195" i="2"/>
  <c r="G2195" i="2"/>
  <c r="F2195" i="2"/>
  <c r="E2195" i="2"/>
  <c r="D2195" i="2"/>
  <c r="C2195" i="2"/>
  <c r="B2195" i="2"/>
  <c r="A2195" i="2"/>
  <c r="M2194" i="2"/>
  <c r="L2194" i="2"/>
  <c r="K2194" i="2"/>
  <c r="J2194" i="2"/>
  <c r="I2194" i="2"/>
  <c r="H2194" i="2"/>
  <c r="G2194" i="2"/>
  <c r="F2194" i="2"/>
  <c r="E2194" i="2"/>
  <c r="D2194" i="2"/>
  <c r="C2194" i="2"/>
  <c r="B2194" i="2"/>
  <c r="A2194" i="2"/>
  <c r="M2193" i="2"/>
  <c r="L2193" i="2"/>
  <c r="K2193" i="2"/>
  <c r="J2193" i="2"/>
  <c r="H2193" i="2"/>
  <c r="G2193" i="2"/>
  <c r="F2193" i="2"/>
  <c r="E2193" i="2"/>
  <c r="D2193" i="2"/>
  <c r="C2193" i="2"/>
  <c r="B2193" i="2"/>
  <c r="A2193" i="2"/>
  <c r="M2192" i="2"/>
  <c r="L2192" i="2"/>
  <c r="K2192" i="2"/>
  <c r="J2192" i="2"/>
  <c r="I2192" i="2"/>
  <c r="H2192" i="2"/>
  <c r="G2192" i="2"/>
  <c r="F2192" i="2"/>
  <c r="E2192" i="2"/>
  <c r="D2192" i="2"/>
  <c r="C2192" i="2"/>
  <c r="B2192" i="2"/>
  <c r="A2192" i="2"/>
  <c r="M2191" i="2"/>
  <c r="L2191" i="2"/>
  <c r="K2191" i="2"/>
  <c r="J2191" i="2"/>
  <c r="I2191" i="2"/>
  <c r="H2191" i="2"/>
  <c r="G2191" i="2"/>
  <c r="F2191" i="2"/>
  <c r="E2191" i="2"/>
  <c r="D2191" i="2"/>
  <c r="C2191" i="2"/>
  <c r="B2191" i="2"/>
  <c r="A2191" i="2"/>
  <c r="M2190" i="2"/>
  <c r="L2190" i="2"/>
  <c r="K2190" i="2"/>
  <c r="J2190" i="2"/>
  <c r="H2190" i="2"/>
  <c r="G2190" i="2"/>
  <c r="F2190" i="2"/>
  <c r="E2190" i="2"/>
  <c r="D2190" i="2"/>
  <c r="C2190" i="2"/>
  <c r="B2190" i="2"/>
  <c r="A2190" i="2"/>
  <c r="M2189" i="2"/>
  <c r="L2189" i="2"/>
  <c r="K2189" i="2"/>
  <c r="J2189" i="2"/>
  <c r="H2189" i="2"/>
  <c r="G2189" i="2"/>
  <c r="F2189" i="2"/>
  <c r="E2189" i="2"/>
  <c r="D2189" i="2"/>
  <c r="C2189" i="2"/>
  <c r="B2189" i="2"/>
  <c r="A2189" i="2"/>
  <c r="M2188" i="2"/>
  <c r="L2188" i="2"/>
  <c r="K2188" i="2"/>
  <c r="J2188" i="2"/>
  <c r="H2188" i="2"/>
  <c r="G2188" i="2"/>
  <c r="F2188" i="2"/>
  <c r="E2188" i="2"/>
  <c r="D2188" i="2"/>
  <c r="C2188" i="2"/>
  <c r="B2188" i="2"/>
  <c r="A2188" i="2"/>
  <c r="M2187" i="2"/>
  <c r="L2187" i="2"/>
  <c r="K2187" i="2"/>
  <c r="J2187" i="2"/>
  <c r="H2187" i="2"/>
  <c r="G2187" i="2"/>
  <c r="F2187" i="2"/>
  <c r="E2187" i="2"/>
  <c r="D2187" i="2"/>
  <c r="C2187" i="2"/>
  <c r="B2187" i="2"/>
  <c r="A2187" i="2"/>
  <c r="M2186" i="2"/>
  <c r="L2186" i="2"/>
  <c r="K2186" i="2"/>
  <c r="J2186" i="2"/>
  <c r="H2186" i="2"/>
  <c r="G2186" i="2"/>
  <c r="F2186" i="2"/>
  <c r="E2186" i="2"/>
  <c r="D2186" i="2"/>
  <c r="C2186" i="2"/>
  <c r="B2186" i="2"/>
  <c r="A2186" i="2"/>
  <c r="M2185" i="2"/>
  <c r="L2185" i="2"/>
  <c r="K2185" i="2"/>
  <c r="J2185" i="2"/>
  <c r="H2185" i="2"/>
  <c r="G2185" i="2"/>
  <c r="F2185" i="2"/>
  <c r="E2185" i="2"/>
  <c r="D2185" i="2"/>
  <c r="C2185" i="2"/>
  <c r="B2185" i="2"/>
  <c r="A2185" i="2"/>
  <c r="M2184" i="2"/>
  <c r="L2184" i="2"/>
  <c r="K2184" i="2"/>
  <c r="J2184" i="2"/>
  <c r="H2184" i="2"/>
  <c r="G2184" i="2"/>
  <c r="F2184" i="2"/>
  <c r="E2184" i="2"/>
  <c r="D2184" i="2"/>
  <c r="C2184" i="2"/>
  <c r="B2184" i="2"/>
  <c r="A2184" i="2"/>
  <c r="M2183" i="2"/>
  <c r="L2183" i="2"/>
  <c r="K2183" i="2"/>
  <c r="J2183" i="2"/>
  <c r="H2183" i="2"/>
  <c r="G2183" i="2"/>
  <c r="F2183" i="2"/>
  <c r="E2183" i="2"/>
  <c r="D2183" i="2"/>
  <c r="C2183" i="2"/>
  <c r="B2183" i="2"/>
  <c r="A2183" i="2"/>
  <c r="M2182" i="2"/>
  <c r="L2182" i="2"/>
  <c r="K2182" i="2"/>
  <c r="J2182" i="2"/>
  <c r="H2182" i="2"/>
  <c r="G2182" i="2"/>
  <c r="F2182" i="2"/>
  <c r="E2182" i="2"/>
  <c r="D2182" i="2"/>
  <c r="C2182" i="2"/>
  <c r="B2182" i="2"/>
  <c r="A2182" i="2"/>
  <c r="M2181" i="2"/>
  <c r="L2181" i="2"/>
  <c r="K2181" i="2"/>
  <c r="J2181" i="2"/>
  <c r="I2181" i="2"/>
  <c r="H2181" i="2"/>
  <c r="G2181" i="2"/>
  <c r="F2181" i="2"/>
  <c r="E2181" i="2"/>
  <c r="D2181" i="2"/>
  <c r="C2181" i="2"/>
  <c r="B2181" i="2"/>
  <c r="A2181" i="2"/>
  <c r="M2180" i="2"/>
  <c r="L2180" i="2"/>
  <c r="K2180" i="2"/>
  <c r="J2180" i="2"/>
  <c r="I2180" i="2"/>
  <c r="H2180" i="2"/>
  <c r="G2180" i="2"/>
  <c r="F2180" i="2"/>
  <c r="E2180" i="2"/>
  <c r="D2180" i="2"/>
  <c r="C2180" i="2"/>
  <c r="B2180" i="2"/>
  <c r="A2180" i="2"/>
  <c r="M2179" i="2"/>
  <c r="L2179" i="2"/>
  <c r="K2179" i="2"/>
  <c r="J2179" i="2"/>
  <c r="H2179" i="2"/>
  <c r="G2179" i="2"/>
  <c r="F2179" i="2"/>
  <c r="E2179" i="2"/>
  <c r="D2179" i="2"/>
  <c r="C2179" i="2"/>
  <c r="B2179" i="2"/>
  <c r="A2179" i="2"/>
  <c r="M2178" i="2"/>
  <c r="L2178" i="2"/>
  <c r="K2178" i="2"/>
  <c r="J2178" i="2"/>
  <c r="I2178" i="2"/>
  <c r="H2178" i="2"/>
  <c r="G2178" i="2"/>
  <c r="F2178" i="2"/>
  <c r="E2178" i="2"/>
  <c r="D2178" i="2"/>
  <c r="C2178" i="2"/>
  <c r="B2178" i="2"/>
  <c r="A2178" i="2"/>
  <c r="M2177" i="2"/>
  <c r="L2177" i="2"/>
  <c r="K2177" i="2"/>
  <c r="J2177" i="2"/>
  <c r="I2177" i="2"/>
  <c r="H2177" i="2"/>
  <c r="G2177" i="2"/>
  <c r="F2177" i="2"/>
  <c r="E2177" i="2"/>
  <c r="D2177" i="2"/>
  <c r="C2177" i="2"/>
  <c r="B2177" i="2"/>
  <c r="A2177" i="2"/>
  <c r="M2176" i="2"/>
  <c r="L2176" i="2"/>
  <c r="K2176" i="2"/>
  <c r="J2176" i="2"/>
  <c r="I2176" i="2"/>
  <c r="H2176" i="2"/>
  <c r="G2176" i="2"/>
  <c r="F2176" i="2"/>
  <c r="E2176" i="2"/>
  <c r="D2176" i="2"/>
  <c r="C2176" i="2"/>
  <c r="B2176" i="2"/>
  <c r="A2176" i="2"/>
  <c r="M2175" i="2"/>
  <c r="L2175" i="2"/>
  <c r="K2175" i="2"/>
  <c r="J2175" i="2"/>
  <c r="I2175" i="2"/>
  <c r="H2175" i="2"/>
  <c r="G2175" i="2"/>
  <c r="F2175" i="2"/>
  <c r="E2175" i="2"/>
  <c r="D2175" i="2"/>
  <c r="C2175" i="2"/>
  <c r="B2175" i="2"/>
  <c r="A2175" i="2"/>
  <c r="M2174" i="2"/>
  <c r="L2174" i="2"/>
  <c r="K2174" i="2"/>
  <c r="J2174" i="2"/>
  <c r="I2174" i="2"/>
  <c r="H2174" i="2"/>
  <c r="G2174" i="2"/>
  <c r="F2174" i="2"/>
  <c r="E2174" i="2"/>
  <c r="D2174" i="2"/>
  <c r="C2174" i="2"/>
  <c r="B2174" i="2"/>
  <c r="A2174" i="2"/>
  <c r="N2173" i="2"/>
  <c r="M2173" i="2"/>
  <c r="L2173" i="2"/>
  <c r="K2173" i="2"/>
  <c r="J2173" i="2"/>
  <c r="I2173" i="2"/>
  <c r="H2173" i="2"/>
  <c r="G2173" i="2"/>
  <c r="F2173" i="2"/>
  <c r="E2173" i="2"/>
  <c r="D2173" i="2"/>
  <c r="C2173" i="2"/>
  <c r="B2173" i="2"/>
  <c r="A2173" i="2"/>
  <c r="N2172" i="2"/>
  <c r="M2172" i="2"/>
  <c r="L2172" i="2"/>
  <c r="K2172" i="2"/>
  <c r="J2172" i="2"/>
  <c r="I2172" i="2"/>
  <c r="H2172" i="2"/>
  <c r="G2172" i="2"/>
  <c r="F2172" i="2"/>
  <c r="E2172" i="2"/>
  <c r="D2172" i="2"/>
  <c r="C2172" i="2"/>
  <c r="B2172" i="2"/>
  <c r="A2172" i="2"/>
  <c r="M2171" i="2"/>
  <c r="L2171" i="2"/>
  <c r="K2171" i="2"/>
  <c r="J2171" i="2"/>
  <c r="I2171" i="2"/>
  <c r="H2171" i="2"/>
  <c r="G2171" i="2"/>
  <c r="F2171" i="2"/>
  <c r="E2171" i="2"/>
  <c r="D2171" i="2"/>
  <c r="C2171" i="2"/>
  <c r="B2171" i="2"/>
  <c r="A2171" i="2"/>
  <c r="M2170" i="2"/>
  <c r="L2170" i="2"/>
  <c r="K2170" i="2"/>
  <c r="J2170" i="2"/>
  <c r="I2170" i="2"/>
  <c r="H2170" i="2"/>
  <c r="G2170" i="2"/>
  <c r="F2170" i="2"/>
  <c r="E2170" i="2"/>
  <c r="D2170" i="2"/>
  <c r="C2170" i="2"/>
  <c r="B2170" i="2"/>
  <c r="A2170" i="2"/>
  <c r="M2169" i="2"/>
  <c r="L2169" i="2"/>
  <c r="K2169" i="2"/>
  <c r="J2169" i="2"/>
  <c r="I2169" i="2"/>
  <c r="H2169" i="2"/>
  <c r="G2169" i="2"/>
  <c r="F2169" i="2"/>
  <c r="E2169" i="2"/>
  <c r="C2169" i="2"/>
  <c r="B2169" i="2"/>
  <c r="A2169" i="2"/>
  <c r="N2168" i="2"/>
  <c r="M2168" i="2"/>
  <c r="L2168" i="2"/>
  <c r="K2168" i="2"/>
  <c r="J2168" i="2"/>
  <c r="I2168" i="2"/>
  <c r="H2168" i="2"/>
  <c r="G2168" i="2"/>
  <c r="F2168" i="2"/>
  <c r="E2168" i="2"/>
  <c r="D2168" i="2"/>
  <c r="C2168" i="2"/>
  <c r="B2168" i="2"/>
  <c r="A2168" i="2"/>
  <c r="M2167" i="2"/>
  <c r="L2167" i="2"/>
  <c r="K2167" i="2"/>
  <c r="J2167" i="2"/>
  <c r="I2167" i="2"/>
  <c r="H2167" i="2"/>
  <c r="G2167" i="2"/>
  <c r="F2167" i="2"/>
  <c r="E2167" i="2"/>
  <c r="D2167" i="2"/>
  <c r="C2167" i="2"/>
  <c r="B2167" i="2"/>
  <c r="A2167" i="2"/>
  <c r="M2166" i="2"/>
  <c r="L2166" i="2"/>
  <c r="K2166" i="2"/>
  <c r="J2166" i="2"/>
  <c r="I2166" i="2"/>
  <c r="H2166" i="2"/>
  <c r="G2166" i="2"/>
  <c r="F2166" i="2"/>
  <c r="E2166" i="2"/>
  <c r="D2166" i="2"/>
  <c r="C2166" i="2"/>
  <c r="B2166" i="2"/>
  <c r="A2166" i="2"/>
  <c r="M2165" i="2"/>
  <c r="L2165" i="2"/>
  <c r="K2165" i="2"/>
  <c r="J2165" i="2"/>
  <c r="I2165" i="2"/>
  <c r="H2165" i="2"/>
  <c r="G2165" i="2"/>
  <c r="F2165" i="2"/>
  <c r="E2165" i="2"/>
  <c r="D2165" i="2"/>
  <c r="C2165" i="2"/>
  <c r="B2165" i="2"/>
  <c r="A2165" i="2"/>
  <c r="N2164" i="2"/>
  <c r="M2164" i="2"/>
  <c r="L2164" i="2"/>
  <c r="K2164" i="2"/>
  <c r="J2164" i="2"/>
  <c r="I2164" i="2"/>
  <c r="H2164" i="2"/>
  <c r="G2164" i="2"/>
  <c r="F2164" i="2"/>
  <c r="E2164" i="2"/>
  <c r="D2164" i="2"/>
  <c r="C2164" i="2"/>
  <c r="B2164" i="2"/>
  <c r="A2164" i="2"/>
  <c r="M2163" i="2"/>
  <c r="L2163" i="2"/>
  <c r="K2163" i="2"/>
  <c r="J2163" i="2"/>
  <c r="I2163" i="2"/>
  <c r="H2163" i="2"/>
  <c r="G2163" i="2"/>
  <c r="F2163" i="2"/>
  <c r="E2163" i="2"/>
  <c r="D2163" i="2"/>
  <c r="C2163" i="2"/>
  <c r="B2163" i="2"/>
  <c r="A2163" i="2"/>
  <c r="M2162" i="2"/>
  <c r="L2162" i="2"/>
  <c r="K2162" i="2"/>
  <c r="J2162" i="2"/>
  <c r="I2162" i="2"/>
  <c r="H2162" i="2"/>
  <c r="G2162" i="2"/>
  <c r="F2162" i="2"/>
  <c r="E2162" i="2"/>
  <c r="D2162" i="2"/>
  <c r="C2162" i="2"/>
  <c r="B2162" i="2"/>
  <c r="A2162" i="2"/>
  <c r="N2161" i="2"/>
  <c r="M2161" i="2"/>
  <c r="L2161" i="2"/>
  <c r="K2161" i="2"/>
  <c r="J2161" i="2"/>
  <c r="I2161" i="2"/>
  <c r="H2161" i="2"/>
  <c r="G2161" i="2"/>
  <c r="F2161" i="2"/>
  <c r="E2161" i="2"/>
  <c r="D2161" i="2"/>
  <c r="C2161" i="2"/>
  <c r="B2161" i="2"/>
  <c r="A2161" i="2"/>
  <c r="M2160" i="2"/>
  <c r="L2160" i="2"/>
  <c r="K2160" i="2"/>
  <c r="J2160" i="2"/>
  <c r="I2160" i="2"/>
  <c r="H2160" i="2"/>
  <c r="G2160" i="2"/>
  <c r="F2160" i="2"/>
  <c r="E2160" i="2"/>
  <c r="D2160" i="2"/>
  <c r="C2160" i="2"/>
  <c r="B2160" i="2"/>
  <c r="A2160" i="2"/>
  <c r="M2159" i="2"/>
  <c r="L2159" i="2"/>
  <c r="K2159" i="2"/>
  <c r="J2159" i="2"/>
  <c r="I2159" i="2"/>
  <c r="H2159" i="2"/>
  <c r="G2159" i="2"/>
  <c r="F2159" i="2"/>
  <c r="E2159" i="2"/>
  <c r="D2159" i="2"/>
  <c r="C2159" i="2"/>
  <c r="B2159" i="2"/>
  <c r="A2159" i="2"/>
  <c r="M2158" i="2"/>
  <c r="L2158" i="2"/>
  <c r="K2158" i="2"/>
  <c r="J2158" i="2"/>
  <c r="I2158" i="2"/>
  <c r="H2158" i="2"/>
  <c r="G2158" i="2"/>
  <c r="F2158" i="2"/>
  <c r="E2158" i="2"/>
  <c r="D2158" i="2"/>
  <c r="C2158" i="2"/>
  <c r="B2158" i="2"/>
  <c r="A2158" i="2"/>
  <c r="M2157" i="2"/>
  <c r="L2157" i="2"/>
  <c r="K2157" i="2"/>
  <c r="J2157" i="2"/>
  <c r="I2157" i="2"/>
  <c r="H2157" i="2"/>
  <c r="G2157" i="2"/>
  <c r="F2157" i="2"/>
  <c r="E2157" i="2"/>
  <c r="D2157" i="2"/>
  <c r="C2157" i="2"/>
  <c r="B2157" i="2"/>
  <c r="A2157" i="2"/>
  <c r="M2156" i="2"/>
  <c r="L2156" i="2"/>
  <c r="K2156" i="2"/>
  <c r="J2156" i="2"/>
  <c r="I2156" i="2"/>
  <c r="H2156" i="2"/>
  <c r="G2156" i="2"/>
  <c r="F2156" i="2"/>
  <c r="E2156" i="2"/>
  <c r="D2156" i="2"/>
  <c r="C2156" i="2"/>
  <c r="B2156" i="2"/>
  <c r="A2156" i="2"/>
  <c r="M2155" i="2"/>
  <c r="L2155" i="2"/>
  <c r="K2155" i="2"/>
  <c r="J2155" i="2"/>
  <c r="I2155" i="2"/>
  <c r="H2155" i="2"/>
  <c r="G2155" i="2"/>
  <c r="F2155" i="2"/>
  <c r="E2155" i="2"/>
  <c r="D2155" i="2"/>
  <c r="C2155" i="2"/>
  <c r="B2155" i="2"/>
  <c r="A2155" i="2"/>
  <c r="M2154" i="2"/>
  <c r="L2154" i="2"/>
  <c r="K2154" i="2"/>
  <c r="J2154" i="2"/>
  <c r="I2154" i="2"/>
  <c r="H2154" i="2"/>
  <c r="G2154" i="2"/>
  <c r="F2154" i="2"/>
  <c r="E2154" i="2"/>
  <c r="D2154" i="2"/>
  <c r="C2154" i="2"/>
  <c r="B2154" i="2"/>
  <c r="A2154" i="2"/>
  <c r="M2153" i="2"/>
  <c r="L2153" i="2"/>
  <c r="K2153" i="2"/>
  <c r="J2153" i="2"/>
  <c r="I2153" i="2"/>
  <c r="H2153" i="2"/>
  <c r="G2153" i="2"/>
  <c r="F2153" i="2"/>
  <c r="E2153" i="2"/>
  <c r="D2153" i="2"/>
  <c r="C2153" i="2"/>
  <c r="B2153" i="2"/>
  <c r="A2153" i="2"/>
  <c r="M2152" i="2"/>
  <c r="L2152" i="2"/>
  <c r="K2152" i="2"/>
  <c r="J2152" i="2"/>
  <c r="I2152" i="2"/>
  <c r="H2152" i="2"/>
  <c r="G2152" i="2"/>
  <c r="F2152" i="2"/>
  <c r="E2152" i="2"/>
  <c r="D2152" i="2"/>
  <c r="C2152" i="2"/>
  <c r="B2152" i="2"/>
  <c r="A2152" i="2"/>
  <c r="M2151" i="2"/>
  <c r="L2151" i="2"/>
  <c r="K2151" i="2"/>
  <c r="J2151" i="2"/>
  <c r="I2151" i="2"/>
  <c r="H2151" i="2"/>
  <c r="G2151" i="2"/>
  <c r="F2151" i="2"/>
  <c r="E2151" i="2"/>
  <c r="D2151" i="2"/>
  <c r="C2151" i="2"/>
  <c r="B2151" i="2"/>
  <c r="A2151" i="2"/>
  <c r="M2150" i="2"/>
  <c r="L2150" i="2"/>
  <c r="K2150" i="2"/>
  <c r="J2150" i="2"/>
  <c r="I2150" i="2"/>
  <c r="H2150" i="2"/>
  <c r="G2150" i="2"/>
  <c r="F2150" i="2"/>
  <c r="E2150" i="2"/>
  <c r="D2150" i="2"/>
  <c r="C2150" i="2"/>
  <c r="B2150" i="2"/>
  <c r="A2150" i="2"/>
  <c r="M2149" i="2"/>
  <c r="L2149" i="2"/>
  <c r="K2149" i="2"/>
  <c r="J2149" i="2"/>
  <c r="I2149" i="2"/>
  <c r="H2149" i="2"/>
  <c r="G2149" i="2"/>
  <c r="F2149" i="2"/>
  <c r="E2149" i="2"/>
  <c r="D2149" i="2"/>
  <c r="C2149" i="2"/>
  <c r="B2149" i="2"/>
  <c r="A2149" i="2"/>
  <c r="M2148" i="2"/>
  <c r="L2148" i="2"/>
  <c r="K2148" i="2"/>
  <c r="J2148" i="2"/>
  <c r="I2148" i="2"/>
  <c r="H2148" i="2"/>
  <c r="G2148" i="2"/>
  <c r="F2148" i="2"/>
  <c r="E2148" i="2"/>
  <c r="D2148" i="2"/>
  <c r="C2148" i="2"/>
  <c r="B2148" i="2"/>
  <c r="A2148" i="2"/>
  <c r="M2147" i="2"/>
  <c r="L2147" i="2"/>
  <c r="K2147" i="2"/>
  <c r="J2147" i="2"/>
  <c r="I2147" i="2"/>
  <c r="H2147" i="2"/>
  <c r="G2147" i="2"/>
  <c r="F2147" i="2"/>
  <c r="E2147" i="2"/>
  <c r="D2147" i="2"/>
  <c r="C2147" i="2"/>
  <c r="B2147" i="2"/>
  <c r="A2147" i="2"/>
  <c r="M2146" i="2"/>
  <c r="L2146" i="2"/>
  <c r="K2146" i="2"/>
  <c r="J2146" i="2"/>
  <c r="I2146" i="2"/>
  <c r="H2146" i="2"/>
  <c r="G2146" i="2"/>
  <c r="F2146" i="2"/>
  <c r="E2146" i="2"/>
  <c r="D2146" i="2"/>
  <c r="C2146" i="2"/>
  <c r="B2146" i="2"/>
  <c r="A2146" i="2"/>
  <c r="M2145" i="2"/>
  <c r="L2145" i="2"/>
  <c r="K2145" i="2"/>
  <c r="J2145" i="2"/>
  <c r="I2145" i="2"/>
  <c r="H2145" i="2"/>
  <c r="G2145" i="2"/>
  <c r="F2145" i="2"/>
  <c r="E2145" i="2"/>
  <c r="D2145" i="2"/>
  <c r="C2145" i="2"/>
  <c r="B2145" i="2"/>
  <c r="A2145" i="2"/>
  <c r="M2144" i="2"/>
  <c r="L2144" i="2"/>
  <c r="K2144" i="2"/>
  <c r="J2144" i="2"/>
  <c r="I2144" i="2"/>
  <c r="H2144" i="2"/>
  <c r="G2144" i="2"/>
  <c r="F2144" i="2"/>
  <c r="E2144" i="2"/>
  <c r="D2144" i="2"/>
  <c r="C2144" i="2"/>
  <c r="B2144" i="2"/>
  <c r="A2144" i="2"/>
  <c r="M2143" i="2"/>
  <c r="L2143" i="2"/>
  <c r="K2143" i="2"/>
  <c r="J2143" i="2"/>
  <c r="I2143" i="2"/>
  <c r="H2143" i="2"/>
  <c r="G2143" i="2"/>
  <c r="F2143" i="2"/>
  <c r="E2143" i="2"/>
  <c r="D2143" i="2"/>
  <c r="C2143" i="2"/>
  <c r="B2143" i="2"/>
  <c r="A2143" i="2"/>
  <c r="M2142" i="2"/>
  <c r="L2142" i="2"/>
  <c r="K2142" i="2"/>
  <c r="J2142" i="2"/>
  <c r="I2142" i="2"/>
  <c r="H2142" i="2"/>
  <c r="G2142" i="2"/>
  <c r="F2142" i="2"/>
  <c r="E2142" i="2"/>
  <c r="D2142" i="2"/>
  <c r="C2142" i="2"/>
  <c r="B2142" i="2"/>
  <c r="A2142" i="2"/>
  <c r="M2141" i="2"/>
  <c r="L2141" i="2"/>
  <c r="K2141" i="2"/>
  <c r="J2141" i="2"/>
  <c r="I2141" i="2"/>
  <c r="H2141" i="2"/>
  <c r="G2141" i="2"/>
  <c r="F2141" i="2"/>
  <c r="E2141" i="2"/>
  <c r="D2141" i="2"/>
  <c r="C2141" i="2"/>
  <c r="B2141" i="2"/>
  <c r="A2141" i="2"/>
  <c r="M2140" i="2"/>
  <c r="L2140" i="2"/>
  <c r="K2140" i="2"/>
  <c r="J2140" i="2"/>
  <c r="I2140" i="2"/>
  <c r="H2140" i="2"/>
  <c r="G2140" i="2"/>
  <c r="F2140" i="2"/>
  <c r="E2140" i="2"/>
  <c r="D2140" i="2"/>
  <c r="C2140" i="2"/>
  <c r="B2140" i="2"/>
  <c r="A2140" i="2"/>
  <c r="M2139" i="2"/>
  <c r="L2139" i="2"/>
  <c r="K2139" i="2"/>
  <c r="J2139" i="2"/>
  <c r="I2139" i="2"/>
  <c r="H2139" i="2"/>
  <c r="G2139" i="2"/>
  <c r="F2139" i="2"/>
  <c r="E2139" i="2"/>
  <c r="D2139" i="2"/>
  <c r="C2139" i="2"/>
  <c r="B2139" i="2"/>
  <c r="A2139" i="2"/>
  <c r="M2138" i="2"/>
  <c r="L2138" i="2"/>
  <c r="K2138" i="2"/>
  <c r="J2138" i="2"/>
  <c r="I2138" i="2"/>
  <c r="H2138" i="2"/>
  <c r="G2138" i="2"/>
  <c r="F2138" i="2"/>
  <c r="E2138" i="2"/>
  <c r="D2138" i="2"/>
  <c r="C2138" i="2"/>
  <c r="B2138" i="2"/>
  <c r="A2138" i="2"/>
  <c r="M2137" i="2"/>
  <c r="L2137" i="2"/>
  <c r="K2137" i="2"/>
  <c r="J2137" i="2"/>
  <c r="I2137" i="2"/>
  <c r="H2137" i="2"/>
  <c r="G2137" i="2"/>
  <c r="F2137" i="2"/>
  <c r="E2137" i="2"/>
  <c r="D2137" i="2"/>
  <c r="C2137" i="2"/>
  <c r="B2137" i="2"/>
  <c r="A2137" i="2"/>
  <c r="M2136" i="2"/>
  <c r="L2136" i="2"/>
  <c r="K2136" i="2"/>
  <c r="J2136" i="2"/>
  <c r="I2136" i="2"/>
  <c r="H2136" i="2"/>
  <c r="G2136" i="2"/>
  <c r="F2136" i="2"/>
  <c r="E2136" i="2"/>
  <c r="D2136" i="2"/>
  <c r="C2136" i="2"/>
  <c r="B2136" i="2"/>
  <c r="A2136" i="2"/>
  <c r="M2135" i="2"/>
  <c r="L2135" i="2"/>
  <c r="K2135" i="2"/>
  <c r="J2135" i="2"/>
  <c r="I2135" i="2"/>
  <c r="H2135" i="2"/>
  <c r="G2135" i="2"/>
  <c r="F2135" i="2"/>
  <c r="E2135" i="2"/>
  <c r="D2135" i="2"/>
  <c r="C2135" i="2"/>
  <c r="B2135" i="2"/>
  <c r="A2135" i="2"/>
  <c r="M2134" i="2"/>
  <c r="L2134" i="2"/>
  <c r="K2134" i="2"/>
  <c r="J2134" i="2"/>
  <c r="I2134" i="2"/>
  <c r="H2134" i="2"/>
  <c r="G2134" i="2"/>
  <c r="F2134" i="2"/>
  <c r="E2134" i="2"/>
  <c r="D2134" i="2"/>
  <c r="C2134" i="2"/>
  <c r="B2134" i="2"/>
  <c r="A2134" i="2"/>
  <c r="M2133" i="2"/>
  <c r="L2133" i="2"/>
  <c r="K2133" i="2"/>
  <c r="J2133" i="2"/>
  <c r="I2133" i="2"/>
  <c r="H2133" i="2"/>
  <c r="G2133" i="2"/>
  <c r="F2133" i="2"/>
  <c r="E2133" i="2"/>
  <c r="D2133" i="2"/>
  <c r="C2133" i="2"/>
  <c r="B2133" i="2"/>
  <c r="A2133" i="2"/>
  <c r="M2132" i="2"/>
  <c r="L2132" i="2"/>
  <c r="K2132" i="2"/>
  <c r="J2132" i="2"/>
  <c r="I2132" i="2"/>
  <c r="H2132" i="2"/>
  <c r="G2132" i="2"/>
  <c r="F2132" i="2"/>
  <c r="E2132" i="2"/>
  <c r="D2132" i="2"/>
  <c r="C2132" i="2"/>
  <c r="B2132" i="2"/>
  <c r="A2132" i="2"/>
  <c r="M2131" i="2"/>
  <c r="L2131" i="2"/>
  <c r="K2131" i="2"/>
  <c r="J2131" i="2"/>
  <c r="I2131" i="2"/>
  <c r="H2131" i="2"/>
  <c r="G2131" i="2"/>
  <c r="F2131" i="2"/>
  <c r="E2131" i="2"/>
  <c r="D2131" i="2"/>
  <c r="C2131" i="2"/>
  <c r="B2131" i="2"/>
  <c r="A2131" i="2"/>
  <c r="M2130" i="2"/>
  <c r="L2130" i="2"/>
  <c r="K2130" i="2"/>
  <c r="J2130" i="2"/>
  <c r="I2130" i="2"/>
  <c r="H2130" i="2"/>
  <c r="G2130" i="2"/>
  <c r="F2130" i="2"/>
  <c r="E2130" i="2"/>
  <c r="D2130" i="2"/>
  <c r="C2130" i="2"/>
  <c r="B2130" i="2"/>
  <c r="A2130" i="2"/>
  <c r="M2129" i="2"/>
  <c r="L2129" i="2"/>
  <c r="K2129" i="2"/>
  <c r="J2129" i="2"/>
  <c r="I2129" i="2"/>
  <c r="H2129" i="2"/>
  <c r="G2129" i="2"/>
  <c r="F2129" i="2"/>
  <c r="E2129" i="2"/>
  <c r="D2129" i="2"/>
  <c r="C2129" i="2"/>
  <c r="B2129" i="2"/>
  <c r="A2129" i="2"/>
  <c r="M2128" i="2"/>
  <c r="L2128" i="2"/>
  <c r="K2128" i="2"/>
  <c r="J2128" i="2"/>
  <c r="I2128" i="2"/>
  <c r="H2128" i="2"/>
  <c r="G2128" i="2"/>
  <c r="F2128" i="2"/>
  <c r="E2128" i="2"/>
  <c r="D2128" i="2"/>
  <c r="C2128" i="2"/>
  <c r="B2128" i="2"/>
  <c r="A2128" i="2"/>
  <c r="M2127" i="2"/>
  <c r="L2127" i="2"/>
  <c r="K2127" i="2"/>
  <c r="J2127" i="2"/>
  <c r="I2127" i="2"/>
  <c r="H2127" i="2"/>
  <c r="G2127" i="2"/>
  <c r="F2127" i="2"/>
  <c r="E2127" i="2"/>
  <c r="D2127" i="2"/>
  <c r="C2127" i="2"/>
  <c r="B2127" i="2"/>
  <c r="A2127" i="2"/>
  <c r="M2126" i="2"/>
  <c r="L2126" i="2"/>
  <c r="K2126" i="2"/>
  <c r="J2126" i="2"/>
  <c r="I2126" i="2"/>
  <c r="H2126" i="2"/>
  <c r="G2126" i="2"/>
  <c r="F2126" i="2"/>
  <c r="E2126" i="2"/>
  <c r="D2126" i="2"/>
  <c r="C2126" i="2"/>
  <c r="B2126" i="2"/>
  <c r="A2126" i="2"/>
  <c r="M2125" i="2"/>
  <c r="L2125" i="2"/>
  <c r="K2125" i="2"/>
  <c r="J2125" i="2"/>
  <c r="I2125" i="2"/>
  <c r="H2125" i="2"/>
  <c r="G2125" i="2"/>
  <c r="F2125" i="2"/>
  <c r="E2125" i="2"/>
  <c r="D2125" i="2"/>
  <c r="C2125" i="2"/>
  <c r="B2125" i="2"/>
  <c r="A2125" i="2"/>
  <c r="M2124" i="2"/>
  <c r="L2124" i="2"/>
  <c r="K2124" i="2"/>
  <c r="J2124" i="2"/>
  <c r="I2124" i="2"/>
  <c r="H2124" i="2"/>
  <c r="G2124" i="2"/>
  <c r="F2124" i="2"/>
  <c r="E2124" i="2"/>
  <c r="D2124" i="2"/>
  <c r="C2124" i="2"/>
  <c r="B2124" i="2"/>
  <c r="A2124" i="2"/>
  <c r="M2123" i="2"/>
  <c r="L2123" i="2"/>
  <c r="K2123" i="2"/>
  <c r="J2123" i="2"/>
  <c r="I2123" i="2"/>
  <c r="H2123" i="2"/>
  <c r="G2123" i="2"/>
  <c r="F2123" i="2"/>
  <c r="E2123" i="2"/>
  <c r="D2123" i="2"/>
  <c r="C2123" i="2"/>
  <c r="B2123" i="2"/>
  <c r="A2123" i="2"/>
  <c r="M2122" i="2"/>
  <c r="L2122" i="2"/>
  <c r="K2122" i="2"/>
  <c r="J2122" i="2"/>
  <c r="I2122" i="2"/>
  <c r="H2122" i="2"/>
  <c r="G2122" i="2"/>
  <c r="F2122" i="2"/>
  <c r="E2122" i="2"/>
  <c r="D2122" i="2"/>
  <c r="C2122" i="2"/>
  <c r="B2122" i="2"/>
  <c r="A2122" i="2"/>
  <c r="M2121" i="2"/>
  <c r="L2121" i="2"/>
  <c r="K2121" i="2"/>
  <c r="J2121" i="2"/>
  <c r="I2121" i="2"/>
  <c r="H2121" i="2"/>
  <c r="G2121" i="2"/>
  <c r="F2121" i="2"/>
  <c r="E2121" i="2"/>
  <c r="D2121" i="2"/>
  <c r="C2121" i="2"/>
  <c r="B2121" i="2"/>
  <c r="A2121" i="2"/>
  <c r="M2120" i="2"/>
  <c r="L2120" i="2"/>
  <c r="K2120" i="2"/>
  <c r="J2120" i="2"/>
  <c r="I2120" i="2"/>
  <c r="H2120" i="2"/>
  <c r="G2120" i="2"/>
  <c r="F2120" i="2"/>
  <c r="E2120" i="2"/>
  <c r="D2120" i="2"/>
  <c r="C2120" i="2"/>
  <c r="B2120" i="2"/>
  <c r="A2120" i="2"/>
  <c r="M2119" i="2"/>
  <c r="L2119" i="2"/>
  <c r="K2119" i="2"/>
  <c r="J2119" i="2"/>
  <c r="I2119" i="2"/>
  <c r="H2119" i="2"/>
  <c r="G2119" i="2"/>
  <c r="F2119" i="2"/>
  <c r="E2119" i="2"/>
  <c r="D2119" i="2"/>
  <c r="C2119" i="2"/>
  <c r="B2119" i="2"/>
  <c r="A2119" i="2"/>
  <c r="M2118" i="2"/>
  <c r="L2118" i="2"/>
  <c r="K2118" i="2"/>
  <c r="J2118" i="2"/>
  <c r="I2118" i="2"/>
  <c r="H2118" i="2"/>
  <c r="G2118" i="2"/>
  <c r="F2118" i="2"/>
  <c r="E2118" i="2"/>
  <c r="D2118" i="2"/>
  <c r="C2118" i="2"/>
  <c r="B2118" i="2"/>
  <c r="A2118" i="2"/>
  <c r="N2117" i="2"/>
  <c r="M2117" i="2"/>
  <c r="L2117" i="2"/>
  <c r="K2117" i="2"/>
  <c r="J2117" i="2"/>
  <c r="I2117" i="2"/>
  <c r="H2117" i="2"/>
  <c r="G2117" i="2"/>
  <c r="F2117" i="2"/>
  <c r="E2117" i="2"/>
  <c r="D2117" i="2"/>
  <c r="C2117" i="2"/>
  <c r="B2117" i="2"/>
  <c r="A2117" i="2"/>
  <c r="M2116" i="2"/>
  <c r="L2116" i="2"/>
  <c r="K2116" i="2"/>
  <c r="J2116" i="2"/>
  <c r="I2116" i="2"/>
  <c r="H2116" i="2"/>
  <c r="G2116" i="2"/>
  <c r="F2116" i="2"/>
  <c r="E2116" i="2"/>
  <c r="D2116" i="2"/>
  <c r="C2116" i="2"/>
  <c r="B2116" i="2"/>
  <c r="A2116" i="2"/>
  <c r="M2115" i="2"/>
  <c r="L2115" i="2"/>
  <c r="K2115" i="2"/>
  <c r="J2115" i="2"/>
  <c r="I2115" i="2"/>
  <c r="H2115" i="2"/>
  <c r="G2115" i="2"/>
  <c r="F2115" i="2"/>
  <c r="E2115" i="2"/>
  <c r="D2115" i="2"/>
  <c r="C2115" i="2"/>
  <c r="B2115" i="2"/>
  <c r="A2115" i="2"/>
  <c r="N2114" i="2"/>
  <c r="M2114" i="2"/>
  <c r="L2114" i="2"/>
  <c r="K2114" i="2"/>
  <c r="J2114" i="2"/>
  <c r="I2114" i="2"/>
  <c r="H2114" i="2"/>
  <c r="G2114" i="2"/>
  <c r="F2114" i="2"/>
  <c r="E2114" i="2"/>
  <c r="D2114" i="2"/>
  <c r="C2114" i="2"/>
  <c r="B2114" i="2"/>
  <c r="A2114" i="2"/>
  <c r="M2113" i="2"/>
  <c r="L2113" i="2"/>
  <c r="K2113" i="2"/>
  <c r="J2113" i="2"/>
  <c r="I2113" i="2"/>
  <c r="H2113" i="2"/>
  <c r="G2113" i="2"/>
  <c r="F2113" i="2"/>
  <c r="E2113" i="2"/>
  <c r="D2113" i="2"/>
  <c r="C2113" i="2"/>
  <c r="B2113" i="2"/>
  <c r="A2113" i="2"/>
  <c r="M2112" i="2"/>
  <c r="L2112" i="2"/>
  <c r="K2112" i="2"/>
  <c r="J2112" i="2"/>
  <c r="I2112" i="2"/>
  <c r="H2112" i="2"/>
  <c r="G2112" i="2"/>
  <c r="F2112" i="2"/>
  <c r="E2112" i="2"/>
  <c r="D2112" i="2"/>
  <c r="C2112" i="2"/>
  <c r="B2112" i="2"/>
  <c r="A2112" i="2"/>
  <c r="N2111" i="2"/>
  <c r="M2111" i="2"/>
  <c r="L2111" i="2"/>
  <c r="K2111" i="2"/>
  <c r="J2111" i="2"/>
  <c r="I2111" i="2"/>
  <c r="H2111" i="2"/>
  <c r="G2111" i="2"/>
  <c r="F2111" i="2"/>
  <c r="E2111" i="2"/>
  <c r="D2111" i="2"/>
  <c r="C2111" i="2"/>
  <c r="B2111" i="2"/>
  <c r="A2111" i="2"/>
  <c r="M2110" i="2"/>
  <c r="L2110" i="2"/>
  <c r="K2110" i="2"/>
  <c r="J2110" i="2"/>
  <c r="I2110" i="2"/>
  <c r="H2110" i="2"/>
  <c r="G2110" i="2"/>
  <c r="F2110" i="2"/>
  <c r="E2110" i="2"/>
  <c r="D2110" i="2"/>
  <c r="C2110" i="2"/>
  <c r="B2110" i="2"/>
  <c r="A2110" i="2"/>
  <c r="M2109" i="2"/>
  <c r="L2109" i="2"/>
  <c r="K2109" i="2"/>
  <c r="J2109" i="2"/>
  <c r="I2109" i="2"/>
  <c r="H2109" i="2"/>
  <c r="G2109" i="2"/>
  <c r="F2109" i="2"/>
  <c r="E2109" i="2"/>
  <c r="D2109" i="2"/>
  <c r="C2109" i="2"/>
  <c r="B2109" i="2"/>
  <c r="A2109" i="2"/>
  <c r="M2108" i="2"/>
  <c r="L2108" i="2"/>
  <c r="K2108" i="2"/>
  <c r="J2108" i="2"/>
  <c r="I2108" i="2"/>
  <c r="H2108" i="2"/>
  <c r="G2108" i="2"/>
  <c r="F2108" i="2"/>
  <c r="E2108" i="2"/>
  <c r="D2108" i="2"/>
  <c r="C2108" i="2"/>
  <c r="B2108" i="2"/>
  <c r="A2108" i="2"/>
  <c r="M2107" i="2"/>
  <c r="L2107" i="2"/>
  <c r="K2107" i="2"/>
  <c r="J2107" i="2"/>
  <c r="I2107" i="2"/>
  <c r="H2107" i="2"/>
  <c r="G2107" i="2"/>
  <c r="F2107" i="2"/>
  <c r="E2107" i="2"/>
  <c r="D2107" i="2"/>
  <c r="C2107" i="2"/>
  <c r="B2107" i="2"/>
  <c r="A2107" i="2"/>
  <c r="M2106" i="2"/>
  <c r="L2106" i="2"/>
  <c r="K2106" i="2"/>
  <c r="J2106" i="2"/>
  <c r="I2106" i="2"/>
  <c r="H2106" i="2"/>
  <c r="G2106" i="2"/>
  <c r="F2106" i="2"/>
  <c r="E2106" i="2"/>
  <c r="D2106" i="2"/>
  <c r="C2106" i="2"/>
  <c r="B2106" i="2"/>
  <c r="A2106" i="2"/>
  <c r="M2105" i="2"/>
  <c r="L2105" i="2"/>
  <c r="K2105" i="2"/>
  <c r="J2105" i="2"/>
  <c r="I2105" i="2"/>
  <c r="H2105" i="2"/>
  <c r="G2105" i="2"/>
  <c r="F2105" i="2"/>
  <c r="E2105" i="2"/>
  <c r="D2105" i="2"/>
  <c r="C2105" i="2"/>
  <c r="B2105" i="2"/>
  <c r="A2105" i="2"/>
  <c r="M2104" i="2"/>
  <c r="L2104" i="2"/>
  <c r="K2104" i="2"/>
  <c r="J2104" i="2"/>
  <c r="I2104" i="2"/>
  <c r="H2104" i="2"/>
  <c r="G2104" i="2"/>
  <c r="F2104" i="2"/>
  <c r="E2104" i="2"/>
  <c r="D2104" i="2"/>
  <c r="C2104" i="2"/>
  <c r="B2104" i="2"/>
  <c r="A2104" i="2"/>
  <c r="M2103" i="2"/>
  <c r="L2103" i="2"/>
  <c r="K2103" i="2"/>
  <c r="J2103" i="2"/>
  <c r="I2103" i="2"/>
  <c r="H2103" i="2"/>
  <c r="G2103" i="2"/>
  <c r="F2103" i="2"/>
  <c r="E2103" i="2"/>
  <c r="D2103" i="2"/>
  <c r="C2103" i="2"/>
  <c r="B2103" i="2"/>
  <c r="A2103" i="2"/>
  <c r="M2102" i="2"/>
  <c r="L2102" i="2"/>
  <c r="K2102" i="2"/>
  <c r="J2102" i="2"/>
  <c r="I2102" i="2"/>
  <c r="H2102" i="2"/>
  <c r="G2102" i="2"/>
  <c r="F2102" i="2"/>
  <c r="E2102" i="2"/>
  <c r="D2102" i="2"/>
  <c r="C2102" i="2"/>
  <c r="B2102" i="2"/>
  <c r="A2102" i="2"/>
  <c r="M2101" i="2"/>
  <c r="L2101" i="2"/>
  <c r="K2101" i="2"/>
  <c r="J2101" i="2"/>
  <c r="I2101" i="2"/>
  <c r="H2101" i="2"/>
  <c r="G2101" i="2"/>
  <c r="F2101" i="2"/>
  <c r="E2101" i="2"/>
  <c r="D2101" i="2"/>
  <c r="C2101" i="2"/>
  <c r="B2101" i="2"/>
  <c r="A2101" i="2"/>
  <c r="M2100" i="2"/>
  <c r="L2100" i="2"/>
  <c r="K2100" i="2"/>
  <c r="J2100" i="2"/>
  <c r="I2100" i="2"/>
  <c r="H2100" i="2"/>
  <c r="G2100" i="2"/>
  <c r="F2100" i="2"/>
  <c r="E2100" i="2"/>
  <c r="D2100" i="2"/>
  <c r="C2100" i="2"/>
  <c r="B2100" i="2"/>
  <c r="A2100" i="2"/>
  <c r="M2099" i="2"/>
  <c r="L2099" i="2"/>
  <c r="K2099" i="2"/>
  <c r="J2099" i="2"/>
  <c r="I2099" i="2"/>
  <c r="H2099" i="2"/>
  <c r="G2099" i="2"/>
  <c r="F2099" i="2"/>
  <c r="E2099" i="2"/>
  <c r="D2099" i="2"/>
  <c r="C2099" i="2"/>
  <c r="B2099" i="2"/>
  <c r="A2099" i="2"/>
  <c r="M2098" i="2"/>
  <c r="L2098" i="2"/>
  <c r="K2098" i="2"/>
  <c r="J2098" i="2"/>
  <c r="I2098" i="2"/>
  <c r="H2098" i="2"/>
  <c r="G2098" i="2"/>
  <c r="F2098" i="2"/>
  <c r="E2098" i="2"/>
  <c r="D2098" i="2"/>
  <c r="C2098" i="2"/>
  <c r="B2098" i="2"/>
  <c r="A2098" i="2"/>
  <c r="M2097" i="2"/>
  <c r="L2097" i="2"/>
  <c r="K2097" i="2"/>
  <c r="J2097" i="2"/>
  <c r="I2097" i="2"/>
  <c r="H2097" i="2"/>
  <c r="G2097" i="2"/>
  <c r="F2097" i="2"/>
  <c r="E2097" i="2"/>
  <c r="D2097" i="2"/>
  <c r="C2097" i="2"/>
  <c r="B2097" i="2"/>
  <c r="A2097" i="2"/>
  <c r="M2096" i="2"/>
  <c r="L2096" i="2"/>
  <c r="K2096" i="2"/>
  <c r="J2096" i="2"/>
  <c r="I2096" i="2"/>
  <c r="H2096" i="2"/>
  <c r="G2096" i="2"/>
  <c r="F2096" i="2"/>
  <c r="E2096" i="2"/>
  <c r="D2096" i="2"/>
  <c r="C2096" i="2"/>
  <c r="B2096" i="2"/>
  <c r="A2096" i="2"/>
  <c r="M2095" i="2"/>
  <c r="L2095" i="2"/>
  <c r="K2095" i="2"/>
  <c r="J2095" i="2"/>
  <c r="I2095" i="2"/>
  <c r="H2095" i="2"/>
  <c r="G2095" i="2"/>
  <c r="F2095" i="2"/>
  <c r="E2095" i="2"/>
  <c r="D2095" i="2"/>
  <c r="C2095" i="2"/>
  <c r="B2095" i="2"/>
  <c r="A2095" i="2"/>
  <c r="M2094" i="2"/>
  <c r="L2094" i="2"/>
  <c r="K2094" i="2"/>
  <c r="J2094" i="2"/>
  <c r="I2094" i="2"/>
  <c r="H2094" i="2"/>
  <c r="G2094" i="2"/>
  <c r="F2094" i="2"/>
  <c r="E2094" i="2"/>
  <c r="D2094" i="2"/>
  <c r="C2094" i="2"/>
  <c r="B2094" i="2"/>
  <c r="A2094" i="2"/>
  <c r="M2093" i="2"/>
  <c r="L2093" i="2"/>
  <c r="K2093" i="2"/>
  <c r="J2093" i="2"/>
  <c r="I2093" i="2"/>
  <c r="H2093" i="2"/>
  <c r="G2093" i="2"/>
  <c r="F2093" i="2"/>
  <c r="E2093" i="2"/>
  <c r="D2093" i="2"/>
  <c r="C2093" i="2"/>
  <c r="B2093" i="2"/>
  <c r="A2093" i="2"/>
  <c r="N2092" i="2"/>
  <c r="M2092" i="2"/>
  <c r="L2092" i="2"/>
  <c r="K2092" i="2"/>
  <c r="J2092" i="2"/>
  <c r="I2092" i="2"/>
  <c r="H2092" i="2"/>
  <c r="G2092" i="2"/>
  <c r="F2092" i="2"/>
  <c r="E2092" i="2"/>
  <c r="D2092" i="2"/>
  <c r="C2092" i="2"/>
  <c r="B2092" i="2"/>
  <c r="A2092" i="2"/>
  <c r="M2091" i="2"/>
  <c r="L2091" i="2"/>
  <c r="K2091" i="2"/>
  <c r="J2091" i="2"/>
  <c r="I2091" i="2"/>
  <c r="H2091" i="2"/>
  <c r="G2091" i="2"/>
  <c r="F2091" i="2"/>
  <c r="E2091" i="2"/>
  <c r="D2091" i="2"/>
  <c r="C2091" i="2"/>
  <c r="B2091" i="2"/>
  <c r="A2091" i="2"/>
  <c r="M2090" i="2"/>
  <c r="L2090" i="2"/>
  <c r="K2090" i="2"/>
  <c r="J2090" i="2"/>
  <c r="I2090" i="2"/>
  <c r="H2090" i="2"/>
  <c r="G2090" i="2"/>
  <c r="F2090" i="2"/>
  <c r="E2090" i="2"/>
  <c r="D2090" i="2"/>
  <c r="C2090" i="2"/>
  <c r="B2090" i="2"/>
  <c r="A2090" i="2"/>
  <c r="M2089" i="2"/>
  <c r="L2089" i="2"/>
  <c r="K2089" i="2"/>
  <c r="J2089" i="2"/>
  <c r="I2089" i="2"/>
  <c r="H2089" i="2"/>
  <c r="G2089" i="2"/>
  <c r="F2089" i="2"/>
  <c r="E2089" i="2"/>
  <c r="D2089" i="2"/>
  <c r="C2089" i="2"/>
  <c r="B2089" i="2"/>
  <c r="A2089" i="2"/>
  <c r="M2088" i="2"/>
  <c r="L2088" i="2"/>
  <c r="K2088" i="2"/>
  <c r="J2088" i="2"/>
  <c r="I2088" i="2"/>
  <c r="H2088" i="2"/>
  <c r="G2088" i="2"/>
  <c r="F2088" i="2"/>
  <c r="E2088" i="2"/>
  <c r="D2088" i="2"/>
  <c r="C2088" i="2"/>
  <c r="B2088" i="2"/>
  <c r="A2088" i="2"/>
  <c r="M2087" i="2"/>
  <c r="L2087" i="2"/>
  <c r="K2087" i="2"/>
  <c r="J2087" i="2"/>
  <c r="I2087" i="2"/>
  <c r="H2087" i="2"/>
  <c r="G2087" i="2"/>
  <c r="F2087" i="2"/>
  <c r="E2087" i="2"/>
  <c r="D2087" i="2"/>
  <c r="C2087" i="2"/>
  <c r="B2087" i="2"/>
  <c r="A2087" i="2"/>
  <c r="M2086" i="2"/>
  <c r="L2086" i="2"/>
  <c r="K2086" i="2"/>
  <c r="J2086" i="2"/>
  <c r="I2086" i="2"/>
  <c r="H2086" i="2"/>
  <c r="G2086" i="2"/>
  <c r="F2086" i="2"/>
  <c r="E2086" i="2"/>
  <c r="D2086" i="2"/>
  <c r="C2086" i="2"/>
  <c r="B2086" i="2"/>
  <c r="A2086" i="2"/>
  <c r="M2085" i="2"/>
  <c r="L2085" i="2"/>
  <c r="K2085" i="2"/>
  <c r="J2085" i="2"/>
  <c r="I2085" i="2"/>
  <c r="H2085" i="2"/>
  <c r="G2085" i="2"/>
  <c r="F2085" i="2"/>
  <c r="E2085" i="2"/>
  <c r="D2085" i="2"/>
  <c r="C2085" i="2"/>
  <c r="B2085" i="2"/>
  <c r="A2085" i="2"/>
  <c r="N2084" i="2"/>
  <c r="M2084" i="2"/>
  <c r="L2084" i="2"/>
  <c r="K2084" i="2"/>
  <c r="J2084" i="2"/>
  <c r="I2084" i="2"/>
  <c r="H2084" i="2"/>
  <c r="G2084" i="2"/>
  <c r="F2084" i="2"/>
  <c r="E2084" i="2"/>
  <c r="D2084" i="2"/>
  <c r="C2084" i="2"/>
  <c r="B2084" i="2"/>
  <c r="A2084" i="2"/>
  <c r="M2083" i="2"/>
  <c r="L2083" i="2"/>
  <c r="K2083" i="2"/>
  <c r="J2083" i="2"/>
  <c r="I2083" i="2"/>
  <c r="H2083" i="2"/>
  <c r="G2083" i="2"/>
  <c r="F2083" i="2"/>
  <c r="E2083" i="2"/>
  <c r="D2083" i="2"/>
  <c r="C2083" i="2"/>
  <c r="B2083" i="2"/>
  <c r="A2083" i="2"/>
  <c r="M2082" i="2"/>
  <c r="L2082" i="2"/>
  <c r="K2082" i="2"/>
  <c r="J2082" i="2"/>
  <c r="I2082" i="2"/>
  <c r="H2082" i="2"/>
  <c r="G2082" i="2"/>
  <c r="F2082" i="2"/>
  <c r="E2082" i="2"/>
  <c r="D2082" i="2"/>
  <c r="C2082" i="2"/>
  <c r="B2082" i="2"/>
  <c r="A2082" i="2"/>
  <c r="N2081" i="2"/>
  <c r="M2081" i="2"/>
  <c r="L2081" i="2"/>
  <c r="K2081" i="2"/>
  <c r="J2081" i="2"/>
  <c r="I2081" i="2"/>
  <c r="H2081" i="2"/>
  <c r="G2081" i="2"/>
  <c r="F2081" i="2"/>
  <c r="E2081" i="2"/>
  <c r="D2081" i="2"/>
  <c r="C2081" i="2"/>
  <c r="B2081" i="2"/>
  <c r="A2081" i="2"/>
  <c r="M2080" i="2"/>
  <c r="L2080" i="2"/>
  <c r="K2080" i="2"/>
  <c r="J2080" i="2"/>
  <c r="I2080" i="2"/>
  <c r="H2080" i="2"/>
  <c r="G2080" i="2"/>
  <c r="F2080" i="2"/>
  <c r="E2080" i="2"/>
  <c r="D2080" i="2"/>
  <c r="C2080" i="2"/>
  <c r="B2080" i="2"/>
  <c r="A2080" i="2"/>
  <c r="M2079" i="2"/>
  <c r="L2079" i="2"/>
  <c r="K2079" i="2"/>
  <c r="J2079" i="2"/>
  <c r="I2079" i="2"/>
  <c r="H2079" i="2"/>
  <c r="G2079" i="2"/>
  <c r="F2079" i="2"/>
  <c r="E2079" i="2"/>
  <c r="D2079" i="2"/>
  <c r="C2079" i="2"/>
  <c r="B2079" i="2"/>
  <c r="A2079" i="2"/>
  <c r="N2078" i="2"/>
  <c r="M2078" i="2"/>
  <c r="L2078" i="2"/>
  <c r="K2078" i="2"/>
  <c r="J2078" i="2"/>
  <c r="I2078" i="2"/>
  <c r="H2078" i="2"/>
  <c r="G2078" i="2"/>
  <c r="F2078" i="2"/>
  <c r="E2078" i="2"/>
  <c r="D2078" i="2"/>
  <c r="C2078" i="2"/>
  <c r="B2078" i="2"/>
  <c r="A2078" i="2"/>
  <c r="M2077" i="2"/>
  <c r="L2077" i="2"/>
  <c r="K2077" i="2"/>
  <c r="J2077" i="2"/>
  <c r="I2077" i="2"/>
  <c r="H2077" i="2"/>
  <c r="G2077" i="2"/>
  <c r="F2077" i="2"/>
  <c r="E2077" i="2"/>
  <c r="D2077" i="2"/>
  <c r="C2077" i="2"/>
  <c r="B2077" i="2"/>
  <c r="A2077" i="2"/>
  <c r="M2076" i="2"/>
  <c r="L2076" i="2"/>
  <c r="I2076" i="2"/>
  <c r="H2076" i="2"/>
  <c r="F2076" i="2"/>
  <c r="E2076" i="2"/>
  <c r="D2076" i="2"/>
  <c r="C2076" i="2"/>
  <c r="B2076" i="2"/>
  <c r="A2076" i="2"/>
  <c r="M2075" i="2"/>
  <c r="L2075" i="2"/>
  <c r="I2075" i="2"/>
  <c r="H2075" i="2"/>
  <c r="F2075" i="2"/>
  <c r="E2075" i="2"/>
  <c r="D2075" i="2"/>
  <c r="C2075" i="2"/>
  <c r="B2075" i="2"/>
  <c r="A2075" i="2"/>
  <c r="M2074" i="2"/>
  <c r="L2074" i="2"/>
  <c r="K2074" i="2"/>
  <c r="I2074" i="2"/>
  <c r="H2074" i="2"/>
  <c r="F2074" i="2"/>
  <c r="E2074" i="2"/>
  <c r="D2074" i="2"/>
  <c r="C2074" i="2"/>
  <c r="B2074" i="2"/>
  <c r="A2074" i="2"/>
  <c r="M2073" i="2"/>
  <c r="L2073" i="2"/>
  <c r="K2073" i="2"/>
  <c r="J2073" i="2"/>
  <c r="I2073" i="2"/>
  <c r="H2073" i="2"/>
  <c r="G2073" i="2"/>
  <c r="F2073" i="2"/>
  <c r="E2073" i="2"/>
  <c r="D2073" i="2"/>
  <c r="C2073" i="2"/>
  <c r="B2073" i="2"/>
  <c r="A2073" i="2"/>
  <c r="M2072" i="2"/>
  <c r="L2072" i="2"/>
  <c r="K2072" i="2"/>
  <c r="J2072" i="2"/>
  <c r="I2072" i="2"/>
  <c r="H2072" i="2"/>
  <c r="G2072" i="2"/>
  <c r="F2072" i="2"/>
  <c r="E2072" i="2"/>
  <c r="D2072" i="2"/>
  <c r="C2072" i="2"/>
  <c r="B2072" i="2"/>
  <c r="A2072" i="2"/>
  <c r="M2071" i="2"/>
  <c r="L2071" i="2"/>
  <c r="K2071" i="2"/>
  <c r="J2071" i="2"/>
  <c r="I2071" i="2"/>
  <c r="H2071" i="2"/>
  <c r="G2071" i="2"/>
  <c r="F2071" i="2"/>
  <c r="E2071" i="2"/>
  <c r="D2071" i="2"/>
  <c r="C2071" i="2"/>
  <c r="B2071" i="2"/>
  <c r="A2071" i="2"/>
  <c r="M2070" i="2"/>
  <c r="L2070" i="2"/>
  <c r="K2070" i="2"/>
  <c r="J2070" i="2"/>
  <c r="I2070" i="2"/>
  <c r="H2070" i="2"/>
  <c r="G2070" i="2"/>
  <c r="F2070" i="2"/>
  <c r="E2070" i="2"/>
  <c r="D2070" i="2"/>
  <c r="C2070" i="2"/>
  <c r="B2070" i="2"/>
  <c r="A2070" i="2"/>
  <c r="M2069" i="2"/>
  <c r="L2069" i="2"/>
  <c r="K2069" i="2"/>
  <c r="J2069" i="2"/>
  <c r="I2069" i="2"/>
  <c r="H2069" i="2"/>
  <c r="G2069" i="2"/>
  <c r="F2069" i="2"/>
  <c r="E2069" i="2"/>
  <c r="D2069" i="2"/>
  <c r="C2069" i="2"/>
  <c r="B2069" i="2"/>
  <c r="A2069" i="2"/>
  <c r="M2068" i="2"/>
  <c r="L2068" i="2"/>
  <c r="K2068" i="2"/>
  <c r="J2068" i="2"/>
  <c r="I2068" i="2"/>
  <c r="H2068" i="2"/>
  <c r="G2068" i="2"/>
  <c r="F2068" i="2"/>
  <c r="E2068" i="2"/>
  <c r="D2068" i="2"/>
  <c r="C2068" i="2"/>
  <c r="B2068" i="2"/>
  <c r="A2068" i="2"/>
  <c r="M2067" i="2"/>
  <c r="L2067" i="2"/>
  <c r="K2067" i="2"/>
  <c r="J2067" i="2"/>
  <c r="I2067" i="2"/>
  <c r="H2067" i="2"/>
  <c r="G2067" i="2"/>
  <c r="F2067" i="2"/>
  <c r="E2067" i="2"/>
  <c r="D2067" i="2"/>
  <c r="C2067" i="2"/>
  <c r="B2067" i="2"/>
  <c r="A2067" i="2"/>
  <c r="M2066" i="2"/>
  <c r="L2066" i="2"/>
  <c r="K2066" i="2"/>
  <c r="J2066" i="2"/>
  <c r="I2066" i="2"/>
  <c r="H2066" i="2"/>
  <c r="G2066" i="2"/>
  <c r="F2066" i="2"/>
  <c r="E2066" i="2"/>
  <c r="C2066" i="2"/>
  <c r="B2066" i="2"/>
  <c r="A2066" i="2"/>
  <c r="M2065" i="2"/>
  <c r="L2065" i="2"/>
  <c r="K2065" i="2"/>
  <c r="J2065" i="2"/>
  <c r="I2065" i="2"/>
  <c r="H2065" i="2"/>
  <c r="G2065" i="2"/>
  <c r="F2065" i="2"/>
  <c r="E2065" i="2"/>
  <c r="D2065" i="2"/>
  <c r="C2065" i="2"/>
  <c r="B2065" i="2"/>
  <c r="A2065" i="2"/>
  <c r="M2064" i="2"/>
  <c r="L2064" i="2"/>
  <c r="K2064" i="2"/>
  <c r="J2064" i="2"/>
  <c r="I2064" i="2"/>
  <c r="H2064" i="2"/>
  <c r="G2064" i="2"/>
  <c r="F2064" i="2"/>
  <c r="E2064" i="2"/>
  <c r="D2064" i="2"/>
  <c r="C2064" i="2"/>
  <c r="B2064" i="2"/>
  <c r="A2064" i="2"/>
  <c r="M2063" i="2"/>
  <c r="L2063" i="2"/>
  <c r="K2063" i="2"/>
  <c r="J2063" i="2"/>
  <c r="I2063" i="2"/>
  <c r="H2063" i="2"/>
  <c r="G2063" i="2"/>
  <c r="F2063" i="2"/>
  <c r="E2063" i="2"/>
  <c r="D2063" i="2"/>
  <c r="C2063" i="2"/>
  <c r="B2063" i="2"/>
  <c r="A2063" i="2"/>
  <c r="M2062" i="2"/>
  <c r="L2062" i="2"/>
  <c r="K2062" i="2"/>
  <c r="J2062" i="2"/>
  <c r="I2062" i="2"/>
  <c r="H2062" i="2"/>
  <c r="G2062" i="2"/>
  <c r="F2062" i="2"/>
  <c r="E2062" i="2"/>
  <c r="D2062" i="2"/>
  <c r="C2062" i="2"/>
  <c r="B2062" i="2"/>
  <c r="A2062" i="2"/>
  <c r="M2061" i="2"/>
  <c r="L2061" i="2"/>
  <c r="K2061" i="2"/>
  <c r="J2061" i="2"/>
  <c r="I2061" i="2"/>
  <c r="H2061" i="2"/>
  <c r="G2061" i="2"/>
  <c r="F2061" i="2"/>
  <c r="E2061" i="2"/>
  <c r="D2061" i="2"/>
  <c r="C2061" i="2"/>
  <c r="B2061" i="2"/>
  <c r="A2061" i="2"/>
  <c r="M2060" i="2"/>
  <c r="L2060" i="2"/>
  <c r="K2060" i="2"/>
  <c r="J2060" i="2"/>
  <c r="I2060" i="2"/>
  <c r="H2060" i="2"/>
  <c r="G2060" i="2"/>
  <c r="F2060" i="2"/>
  <c r="E2060" i="2"/>
  <c r="D2060" i="2"/>
  <c r="C2060" i="2"/>
  <c r="B2060" i="2"/>
  <c r="A2060" i="2"/>
  <c r="M2059" i="2"/>
  <c r="L2059" i="2"/>
  <c r="K2059" i="2"/>
  <c r="J2059" i="2"/>
  <c r="I2059" i="2"/>
  <c r="H2059" i="2"/>
  <c r="G2059" i="2"/>
  <c r="F2059" i="2"/>
  <c r="E2059" i="2"/>
  <c r="D2059" i="2"/>
  <c r="C2059" i="2"/>
  <c r="B2059" i="2"/>
  <c r="A2059" i="2"/>
  <c r="M2058" i="2"/>
  <c r="L2058" i="2"/>
  <c r="K2058" i="2"/>
  <c r="J2058" i="2"/>
  <c r="I2058" i="2"/>
  <c r="H2058" i="2"/>
  <c r="G2058" i="2"/>
  <c r="F2058" i="2"/>
  <c r="E2058" i="2"/>
  <c r="D2058" i="2"/>
  <c r="C2058" i="2"/>
  <c r="B2058" i="2"/>
  <c r="A2058" i="2"/>
  <c r="M2057" i="2"/>
  <c r="L2057" i="2"/>
  <c r="K2057" i="2"/>
  <c r="J2057" i="2"/>
  <c r="I2057" i="2"/>
  <c r="H2057" i="2"/>
  <c r="G2057" i="2"/>
  <c r="F2057" i="2"/>
  <c r="E2057" i="2"/>
  <c r="D2057" i="2"/>
  <c r="C2057" i="2"/>
  <c r="B2057" i="2"/>
  <c r="A2057" i="2"/>
  <c r="M2056" i="2"/>
  <c r="L2056" i="2"/>
  <c r="K2056" i="2"/>
  <c r="J2056" i="2"/>
  <c r="I2056" i="2"/>
  <c r="H2056" i="2"/>
  <c r="G2056" i="2"/>
  <c r="F2056" i="2"/>
  <c r="E2056" i="2"/>
  <c r="D2056" i="2"/>
  <c r="C2056" i="2"/>
  <c r="B2056" i="2"/>
  <c r="A2056" i="2"/>
  <c r="M2055" i="2"/>
  <c r="L2055" i="2"/>
  <c r="K2055" i="2"/>
  <c r="J2055" i="2"/>
  <c r="I2055" i="2"/>
  <c r="H2055" i="2"/>
  <c r="G2055" i="2"/>
  <c r="F2055" i="2"/>
  <c r="E2055" i="2"/>
  <c r="D2055" i="2"/>
  <c r="C2055" i="2"/>
  <c r="B2055" i="2"/>
  <c r="A2055" i="2"/>
  <c r="M2054" i="2"/>
  <c r="L2054" i="2"/>
  <c r="K2054" i="2"/>
  <c r="J2054" i="2"/>
  <c r="I2054" i="2"/>
  <c r="H2054" i="2"/>
  <c r="G2054" i="2"/>
  <c r="F2054" i="2"/>
  <c r="E2054" i="2"/>
  <c r="D2054" i="2"/>
  <c r="C2054" i="2"/>
  <c r="B2054" i="2"/>
  <c r="A2054" i="2"/>
  <c r="M2053" i="2"/>
  <c r="L2053" i="2"/>
  <c r="K2053" i="2"/>
  <c r="J2053" i="2"/>
  <c r="I2053" i="2"/>
  <c r="H2053" i="2"/>
  <c r="G2053" i="2"/>
  <c r="F2053" i="2"/>
  <c r="E2053" i="2"/>
  <c r="D2053" i="2"/>
  <c r="C2053" i="2"/>
  <c r="B2053" i="2"/>
  <c r="A2053" i="2"/>
  <c r="M2052" i="2"/>
  <c r="L2052" i="2"/>
  <c r="K2052" i="2"/>
  <c r="J2052" i="2"/>
  <c r="I2052" i="2"/>
  <c r="H2052" i="2"/>
  <c r="G2052" i="2"/>
  <c r="F2052" i="2"/>
  <c r="E2052" i="2"/>
  <c r="D2052" i="2"/>
  <c r="C2052" i="2"/>
  <c r="B2052" i="2"/>
  <c r="A2052" i="2"/>
  <c r="M2051" i="2"/>
  <c r="L2051" i="2"/>
  <c r="K2051" i="2"/>
  <c r="J2051" i="2"/>
  <c r="I2051" i="2"/>
  <c r="H2051" i="2"/>
  <c r="G2051" i="2"/>
  <c r="F2051" i="2"/>
  <c r="E2051" i="2"/>
  <c r="D2051" i="2"/>
  <c r="C2051" i="2"/>
  <c r="B2051" i="2"/>
  <c r="A2051" i="2"/>
  <c r="M2050" i="2"/>
  <c r="L2050" i="2"/>
  <c r="K2050" i="2"/>
  <c r="J2050" i="2"/>
  <c r="I2050" i="2"/>
  <c r="H2050" i="2"/>
  <c r="G2050" i="2"/>
  <c r="F2050" i="2"/>
  <c r="E2050" i="2"/>
  <c r="D2050" i="2"/>
  <c r="C2050" i="2"/>
  <c r="B2050" i="2"/>
  <c r="A2050" i="2"/>
  <c r="M2049" i="2"/>
  <c r="L2049" i="2"/>
  <c r="K2049" i="2"/>
  <c r="J2049" i="2"/>
  <c r="I2049" i="2"/>
  <c r="H2049" i="2"/>
  <c r="G2049" i="2"/>
  <c r="F2049" i="2"/>
  <c r="E2049" i="2"/>
  <c r="D2049" i="2"/>
  <c r="C2049" i="2"/>
  <c r="B2049" i="2"/>
  <c r="A2049" i="2"/>
  <c r="M2048" i="2"/>
  <c r="L2048" i="2"/>
  <c r="K2048" i="2"/>
  <c r="J2048" i="2"/>
  <c r="I2048" i="2"/>
  <c r="H2048" i="2"/>
  <c r="G2048" i="2"/>
  <c r="F2048" i="2"/>
  <c r="E2048" i="2"/>
  <c r="D2048" i="2"/>
  <c r="C2048" i="2"/>
  <c r="B2048" i="2"/>
  <c r="A2048" i="2"/>
  <c r="M2047" i="2"/>
  <c r="L2047" i="2"/>
  <c r="K2047" i="2"/>
  <c r="J2047" i="2"/>
  <c r="I2047" i="2"/>
  <c r="H2047" i="2"/>
  <c r="G2047" i="2"/>
  <c r="F2047" i="2"/>
  <c r="E2047" i="2"/>
  <c r="D2047" i="2"/>
  <c r="C2047" i="2"/>
  <c r="B2047" i="2"/>
  <c r="A2047" i="2"/>
  <c r="M2046" i="2"/>
  <c r="L2046" i="2"/>
  <c r="K2046" i="2"/>
  <c r="J2046" i="2"/>
  <c r="I2046" i="2"/>
  <c r="H2046" i="2"/>
  <c r="G2046" i="2"/>
  <c r="F2046" i="2"/>
  <c r="E2046" i="2"/>
  <c r="D2046" i="2"/>
  <c r="C2046" i="2"/>
  <c r="B2046" i="2"/>
  <c r="A2046" i="2"/>
  <c r="M2045" i="2"/>
  <c r="L2045" i="2"/>
  <c r="K2045" i="2"/>
  <c r="J2045" i="2"/>
  <c r="I2045" i="2"/>
  <c r="H2045" i="2"/>
  <c r="G2045" i="2"/>
  <c r="F2045" i="2"/>
  <c r="E2045" i="2"/>
  <c r="D2045" i="2"/>
  <c r="C2045" i="2"/>
  <c r="B2045" i="2"/>
  <c r="A2045" i="2"/>
  <c r="M2044" i="2"/>
  <c r="L2044" i="2"/>
  <c r="K2044" i="2"/>
  <c r="J2044" i="2"/>
  <c r="I2044" i="2"/>
  <c r="H2044" i="2"/>
  <c r="G2044" i="2"/>
  <c r="F2044" i="2"/>
  <c r="E2044" i="2"/>
  <c r="D2044" i="2"/>
  <c r="C2044" i="2"/>
  <c r="B2044" i="2"/>
  <c r="A2044" i="2"/>
  <c r="M2043" i="2"/>
  <c r="L2043" i="2"/>
  <c r="K2043" i="2"/>
  <c r="J2043" i="2"/>
  <c r="I2043" i="2"/>
  <c r="H2043" i="2"/>
  <c r="G2043" i="2"/>
  <c r="F2043" i="2"/>
  <c r="E2043" i="2"/>
  <c r="D2043" i="2"/>
  <c r="C2043" i="2"/>
  <c r="B2043" i="2"/>
  <c r="A2043" i="2"/>
  <c r="M2042" i="2"/>
  <c r="L2042" i="2"/>
  <c r="K2042" i="2"/>
  <c r="J2042" i="2"/>
  <c r="I2042" i="2"/>
  <c r="H2042" i="2"/>
  <c r="G2042" i="2"/>
  <c r="F2042" i="2"/>
  <c r="E2042" i="2"/>
  <c r="D2042" i="2"/>
  <c r="C2042" i="2"/>
  <c r="B2042" i="2"/>
  <c r="A2042" i="2"/>
  <c r="M2041" i="2"/>
  <c r="L2041" i="2"/>
  <c r="K2041" i="2"/>
  <c r="J2041" i="2"/>
  <c r="I2041" i="2"/>
  <c r="H2041" i="2"/>
  <c r="G2041" i="2"/>
  <c r="F2041" i="2"/>
  <c r="E2041" i="2"/>
  <c r="D2041" i="2"/>
  <c r="C2041" i="2"/>
  <c r="B2041" i="2"/>
  <c r="A2041" i="2"/>
  <c r="M2040" i="2"/>
  <c r="L2040" i="2"/>
  <c r="K2040" i="2"/>
  <c r="J2040" i="2"/>
  <c r="I2040" i="2"/>
  <c r="H2040" i="2"/>
  <c r="G2040" i="2"/>
  <c r="F2040" i="2"/>
  <c r="E2040" i="2"/>
  <c r="D2040" i="2"/>
  <c r="C2040" i="2"/>
  <c r="B2040" i="2"/>
  <c r="A2040" i="2"/>
  <c r="M2039" i="2"/>
  <c r="L2039" i="2"/>
  <c r="K2039" i="2"/>
  <c r="J2039" i="2"/>
  <c r="I2039" i="2"/>
  <c r="H2039" i="2"/>
  <c r="G2039" i="2"/>
  <c r="F2039" i="2"/>
  <c r="E2039" i="2"/>
  <c r="D2039" i="2"/>
  <c r="C2039" i="2"/>
  <c r="B2039" i="2"/>
  <c r="A2039" i="2"/>
  <c r="N2038" i="2"/>
  <c r="M2038" i="2"/>
  <c r="L2038" i="2"/>
  <c r="K2038" i="2"/>
  <c r="J2038" i="2"/>
  <c r="I2038" i="2"/>
  <c r="H2038" i="2"/>
  <c r="G2038" i="2"/>
  <c r="F2038" i="2"/>
  <c r="E2038" i="2"/>
  <c r="D2038" i="2"/>
  <c r="C2038" i="2"/>
  <c r="B2038" i="2"/>
  <c r="A2038" i="2"/>
  <c r="N2037" i="2"/>
  <c r="M2037" i="2"/>
  <c r="L2037" i="2"/>
  <c r="K2037" i="2"/>
  <c r="J2037" i="2"/>
  <c r="I2037" i="2"/>
  <c r="H2037" i="2"/>
  <c r="G2037" i="2"/>
  <c r="F2037" i="2"/>
  <c r="E2037" i="2"/>
  <c r="D2037" i="2"/>
  <c r="C2037" i="2"/>
  <c r="B2037" i="2"/>
  <c r="A2037" i="2"/>
  <c r="N2036" i="2"/>
  <c r="M2036" i="2"/>
  <c r="L2036" i="2"/>
  <c r="K2036" i="2"/>
  <c r="J2036" i="2"/>
  <c r="I2036" i="2"/>
  <c r="H2036" i="2"/>
  <c r="G2036" i="2"/>
  <c r="F2036" i="2"/>
  <c r="E2036" i="2"/>
  <c r="D2036" i="2"/>
  <c r="C2036" i="2"/>
  <c r="B2036" i="2"/>
  <c r="A2036" i="2"/>
  <c r="M2035" i="2"/>
  <c r="L2035" i="2"/>
  <c r="K2035" i="2"/>
  <c r="J2035" i="2"/>
  <c r="I2035" i="2"/>
  <c r="H2035" i="2"/>
  <c r="G2035" i="2"/>
  <c r="F2035" i="2"/>
  <c r="E2035" i="2"/>
  <c r="D2035" i="2"/>
  <c r="C2035" i="2"/>
  <c r="B2035" i="2"/>
  <c r="A2035" i="2"/>
  <c r="N2034" i="2"/>
  <c r="M2034" i="2"/>
  <c r="L2034" i="2"/>
  <c r="K2034" i="2"/>
  <c r="J2034" i="2"/>
  <c r="I2034" i="2"/>
  <c r="H2034" i="2"/>
  <c r="G2034" i="2"/>
  <c r="F2034" i="2"/>
  <c r="E2034" i="2"/>
  <c r="D2034" i="2"/>
  <c r="C2034" i="2"/>
  <c r="B2034" i="2"/>
  <c r="A2034" i="2"/>
  <c r="M2033" i="2"/>
  <c r="L2033" i="2"/>
  <c r="K2033" i="2"/>
  <c r="J2033" i="2"/>
  <c r="I2033" i="2"/>
  <c r="H2033" i="2"/>
  <c r="G2033" i="2"/>
  <c r="F2033" i="2"/>
  <c r="E2033" i="2"/>
  <c r="D2033" i="2"/>
  <c r="C2033" i="2"/>
  <c r="B2033" i="2"/>
  <c r="A2033" i="2"/>
  <c r="M2032" i="2"/>
  <c r="L2032" i="2"/>
  <c r="K2032" i="2"/>
  <c r="J2032" i="2"/>
  <c r="I2032" i="2"/>
  <c r="H2032" i="2"/>
  <c r="G2032" i="2"/>
  <c r="F2032" i="2"/>
  <c r="E2032" i="2"/>
  <c r="D2032" i="2"/>
  <c r="C2032" i="2"/>
  <c r="B2032" i="2"/>
  <c r="A2032" i="2"/>
  <c r="M2031" i="2"/>
  <c r="L2031" i="2"/>
  <c r="K2031" i="2"/>
  <c r="J2031" i="2"/>
  <c r="I2031" i="2"/>
  <c r="H2031" i="2"/>
  <c r="G2031" i="2"/>
  <c r="F2031" i="2"/>
  <c r="E2031" i="2"/>
  <c r="D2031" i="2"/>
  <c r="C2031" i="2"/>
  <c r="B2031" i="2"/>
  <c r="A2031" i="2"/>
  <c r="N2030" i="2"/>
  <c r="M2030" i="2"/>
  <c r="L2030" i="2"/>
  <c r="K2030" i="2"/>
  <c r="J2030" i="2"/>
  <c r="I2030" i="2"/>
  <c r="H2030" i="2"/>
  <c r="G2030" i="2"/>
  <c r="F2030" i="2"/>
  <c r="E2030" i="2"/>
  <c r="D2030" i="2"/>
  <c r="C2030" i="2"/>
  <c r="B2030" i="2"/>
  <c r="A2030" i="2"/>
  <c r="N2029" i="2"/>
  <c r="M2029" i="2"/>
  <c r="L2029" i="2"/>
  <c r="K2029" i="2"/>
  <c r="J2029" i="2"/>
  <c r="I2029" i="2"/>
  <c r="H2029" i="2"/>
  <c r="G2029" i="2"/>
  <c r="F2029" i="2"/>
  <c r="E2029" i="2"/>
  <c r="D2029" i="2"/>
  <c r="C2029" i="2"/>
  <c r="B2029" i="2"/>
  <c r="A2029" i="2"/>
  <c r="M2028" i="2"/>
  <c r="L2028" i="2"/>
  <c r="K2028" i="2"/>
  <c r="J2028" i="2"/>
  <c r="I2028" i="2"/>
  <c r="H2028" i="2"/>
  <c r="G2028" i="2"/>
  <c r="F2028" i="2"/>
  <c r="E2028" i="2"/>
  <c r="D2028" i="2"/>
  <c r="C2028" i="2"/>
  <c r="B2028" i="2"/>
  <c r="A2028" i="2"/>
  <c r="M2027" i="2"/>
  <c r="L2027" i="2"/>
  <c r="K2027" i="2"/>
  <c r="J2027" i="2"/>
  <c r="I2027" i="2"/>
  <c r="H2027" i="2"/>
  <c r="G2027" i="2"/>
  <c r="F2027" i="2"/>
  <c r="E2027" i="2"/>
  <c r="D2027" i="2"/>
  <c r="C2027" i="2"/>
  <c r="B2027" i="2"/>
  <c r="A2027" i="2"/>
  <c r="N2026" i="2"/>
  <c r="M2026" i="2"/>
  <c r="L2026" i="2"/>
  <c r="K2026" i="2"/>
  <c r="J2026" i="2"/>
  <c r="I2026" i="2"/>
  <c r="H2026" i="2"/>
  <c r="G2026" i="2"/>
  <c r="F2026" i="2"/>
  <c r="E2026" i="2"/>
  <c r="D2026" i="2"/>
  <c r="C2026" i="2"/>
  <c r="B2026" i="2"/>
  <c r="A2026" i="2"/>
  <c r="N2025" i="2"/>
  <c r="M2025" i="2"/>
  <c r="L2025" i="2"/>
  <c r="K2025" i="2"/>
  <c r="J2025" i="2"/>
  <c r="I2025" i="2"/>
  <c r="H2025" i="2"/>
  <c r="G2025" i="2"/>
  <c r="F2025" i="2"/>
  <c r="E2025" i="2"/>
  <c r="D2025" i="2"/>
  <c r="C2025" i="2"/>
  <c r="B2025" i="2"/>
  <c r="A2025" i="2"/>
  <c r="M2024" i="2"/>
  <c r="L2024" i="2"/>
  <c r="K2024" i="2"/>
  <c r="J2024" i="2"/>
  <c r="I2024" i="2"/>
  <c r="H2024" i="2"/>
  <c r="G2024" i="2"/>
  <c r="F2024" i="2"/>
  <c r="E2024" i="2"/>
  <c r="D2024" i="2"/>
  <c r="C2024" i="2"/>
  <c r="B2024" i="2"/>
  <c r="A2024" i="2"/>
  <c r="M2023" i="2"/>
  <c r="L2023" i="2"/>
  <c r="K2023" i="2"/>
  <c r="J2023" i="2"/>
  <c r="I2023" i="2"/>
  <c r="H2023" i="2"/>
  <c r="G2023" i="2"/>
  <c r="F2023" i="2"/>
  <c r="E2023" i="2"/>
  <c r="D2023" i="2"/>
  <c r="C2023" i="2"/>
  <c r="B2023" i="2"/>
  <c r="A2023" i="2"/>
  <c r="M2022" i="2"/>
  <c r="L2022" i="2"/>
  <c r="K2022" i="2"/>
  <c r="J2022" i="2"/>
  <c r="I2022" i="2"/>
  <c r="H2022" i="2"/>
  <c r="G2022" i="2"/>
  <c r="F2022" i="2"/>
  <c r="E2022" i="2"/>
  <c r="D2022" i="2"/>
  <c r="C2022" i="2"/>
  <c r="B2022" i="2"/>
  <c r="A2022" i="2"/>
  <c r="M2021" i="2"/>
  <c r="L2021" i="2"/>
  <c r="K2021" i="2"/>
  <c r="J2021" i="2"/>
  <c r="I2021" i="2"/>
  <c r="H2021" i="2"/>
  <c r="G2021" i="2"/>
  <c r="F2021" i="2"/>
  <c r="E2021" i="2"/>
  <c r="D2021" i="2"/>
  <c r="C2021" i="2"/>
  <c r="B2021" i="2"/>
  <c r="A2021" i="2"/>
  <c r="M2020" i="2"/>
  <c r="L2020" i="2"/>
  <c r="K2020" i="2"/>
  <c r="J2020" i="2"/>
  <c r="I2020" i="2"/>
  <c r="H2020" i="2"/>
  <c r="F2020" i="2"/>
  <c r="E2020" i="2"/>
  <c r="D2020" i="2"/>
  <c r="C2020" i="2"/>
  <c r="B2020" i="2"/>
  <c r="A2020" i="2"/>
  <c r="M2019" i="2"/>
  <c r="L2019" i="2"/>
  <c r="K2019" i="2"/>
  <c r="I2019" i="2"/>
  <c r="H2019" i="2"/>
  <c r="F2019" i="2"/>
  <c r="E2019" i="2"/>
  <c r="D2019" i="2"/>
  <c r="C2019" i="2"/>
  <c r="B2019" i="2"/>
  <c r="A2019" i="2"/>
  <c r="M2018" i="2"/>
  <c r="L2018" i="2"/>
  <c r="K2018" i="2"/>
  <c r="J2018" i="2"/>
  <c r="I2018" i="2"/>
  <c r="H2018" i="2"/>
  <c r="G2018" i="2"/>
  <c r="F2018" i="2"/>
  <c r="E2018" i="2"/>
  <c r="D2018" i="2"/>
  <c r="C2018" i="2"/>
  <c r="B2018" i="2"/>
  <c r="A2018" i="2"/>
  <c r="M2017" i="2"/>
  <c r="L2017" i="2"/>
  <c r="K2017" i="2"/>
  <c r="J2017" i="2"/>
  <c r="I2017" i="2"/>
  <c r="H2017" i="2"/>
  <c r="G2017" i="2"/>
  <c r="F2017" i="2"/>
  <c r="E2017" i="2"/>
  <c r="D2017" i="2"/>
  <c r="C2017" i="2"/>
  <c r="B2017" i="2"/>
  <c r="A2017" i="2"/>
  <c r="M2016" i="2"/>
  <c r="L2016" i="2"/>
  <c r="K2016" i="2"/>
  <c r="J2016" i="2"/>
  <c r="I2016" i="2"/>
  <c r="H2016" i="2"/>
  <c r="G2016" i="2"/>
  <c r="F2016" i="2"/>
  <c r="E2016" i="2"/>
  <c r="D2016" i="2"/>
  <c r="C2016" i="2"/>
  <c r="B2016" i="2"/>
  <c r="A2016" i="2"/>
  <c r="M2015" i="2"/>
  <c r="L2015" i="2"/>
  <c r="K2015" i="2"/>
  <c r="J2015" i="2"/>
  <c r="I2015" i="2"/>
  <c r="H2015" i="2"/>
  <c r="G2015" i="2"/>
  <c r="F2015" i="2"/>
  <c r="E2015" i="2"/>
  <c r="D2015" i="2"/>
  <c r="C2015" i="2"/>
  <c r="B2015" i="2"/>
  <c r="A2015" i="2"/>
  <c r="M2014" i="2"/>
  <c r="L2014" i="2"/>
  <c r="K2014" i="2"/>
  <c r="J2014" i="2"/>
  <c r="I2014" i="2"/>
  <c r="H2014" i="2"/>
  <c r="G2014" i="2"/>
  <c r="F2014" i="2"/>
  <c r="E2014" i="2"/>
  <c r="D2014" i="2"/>
  <c r="C2014" i="2"/>
  <c r="B2014" i="2"/>
  <c r="A2014" i="2"/>
  <c r="M2013" i="2"/>
  <c r="L2013" i="2"/>
  <c r="K2013" i="2"/>
  <c r="J2013" i="2"/>
  <c r="I2013" i="2"/>
  <c r="H2013" i="2"/>
  <c r="G2013" i="2"/>
  <c r="F2013" i="2"/>
  <c r="E2013" i="2"/>
  <c r="D2013" i="2"/>
  <c r="C2013" i="2"/>
  <c r="B2013" i="2"/>
  <c r="A2013" i="2"/>
  <c r="M2012" i="2"/>
  <c r="L2012" i="2"/>
  <c r="K2012" i="2"/>
  <c r="J2012" i="2"/>
  <c r="I2012" i="2"/>
  <c r="H2012" i="2"/>
  <c r="G2012" i="2"/>
  <c r="F2012" i="2"/>
  <c r="E2012" i="2"/>
  <c r="D2012" i="2"/>
  <c r="C2012" i="2"/>
  <c r="B2012" i="2"/>
  <c r="A2012" i="2"/>
  <c r="M2011" i="2"/>
  <c r="L2011" i="2"/>
  <c r="K2011" i="2"/>
  <c r="J2011" i="2"/>
  <c r="I2011" i="2"/>
  <c r="H2011" i="2"/>
  <c r="G2011" i="2"/>
  <c r="F2011" i="2"/>
  <c r="E2011" i="2"/>
  <c r="D2011" i="2"/>
  <c r="C2011" i="2"/>
  <c r="B2011" i="2"/>
  <c r="A2011" i="2"/>
  <c r="M2010" i="2"/>
  <c r="L2010" i="2"/>
  <c r="K2010" i="2"/>
  <c r="J2010" i="2"/>
  <c r="I2010" i="2"/>
  <c r="H2010" i="2"/>
  <c r="G2010" i="2"/>
  <c r="F2010" i="2"/>
  <c r="E2010" i="2"/>
  <c r="D2010" i="2"/>
  <c r="C2010" i="2"/>
  <c r="B2010" i="2"/>
  <c r="A2010" i="2"/>
  <c r="M2009" i="2"/>
  <c r="L2009" i="2"/>
  <c r="K2009" i="2"/>
  <c r="J2009" i="2"/>
  <c r="I2009" i="2"/>
  <c r="H2009" i="2"/>
  <c r="G2009" i="2"/>
  <c r="F2009" i="2"/>
  <c r="E2009" i="2"/>
  <c r="D2009" i="2"/>
  <c r="C2009" i="2"/>
  <c r="B2009" i="2"/>
  <c r="A2009" i="2"/>
  <c r="N2008" i="2"/>
  <c r="M2008" i="2"/>
  <c r="L2008" i="2"/>
  <c r="K2008" i="2"/>
  <c r="J2008" i="2"/>
  <c r="I2008" i="2"/>
  <c r="H2008" i="2"/>
  <c r="G2008" i="2"/>
  <c r="F2008" i="2"/>
  <c r="E2008" i="2"/>
  <c r="D2008" i="2"/>
  <c r="C2008" i="2"/>
  <c r="B2008" i="2"/>
  <c r="A2008" i="2"/>
  <c r="M2007" i="2"/>
  <c r="L2007" i="2"/>
  <c r="K2007" i="2"/>
  <c r="J2007" i="2"/>
  <c r="I2007" i="2"/>
  <c r="H2007" i="2"/>
  <c r="G2007" i="2"/>
  <c r="F2007" i="2"/>
  <c r="E2007" i="2"/>
  <c r="D2007" i="2"/>
  <c r="C2007" i="2"/>
  <c r="B2007" i="2"/>
  <c r="A2007" i="2"/>
  <c r="M2006" i="2"/>
  <c r="L2006" i="2"/>
  <c r="K2006" i="2"/>
  <c r="J2006" i="2"/>
  <c r="I2006" i="2"/>
  <c r="H2006" i="2"/>
  <c r="G2006" i="2"/>
  <c r="F2006" i="2"/>
  <c r="E2006" i="2"/>
  <c r="D2006" i="2"/>
  <c r="C2006" i="2"/>
  <c r="B2006" i="2"/>
  <c r="A2006" i="2"/>
  <c r="M2005" i="2"/>
  <c r="L2005" i="2"/>
  <c r="K2005" i="2"/>
  <c r="J2005" i="2"/>
  <c r="I2005" i="2"/>
  <c r="H2005" i="2"/>
  <c r="G2005" i="2"/>
  <c r="F2005" i="2"/>
  <c r="E2005" i="2"/>
  <c r="D2005" i="2"/>
  <c r="C2005" i="2"/>
  <c r="B2005" i="2"/>
  <c r="A2005" i="2"/>
  <c r="M2004" i="2"/>
  <c r="L2004" i="2"/>
  <c r="K2004" i="2"/>
  <c r="J2004" i="2"/>
  <c r="I2004" i="2"/>
  <c r="H2004" i="2"/>
  <c r="G2004" i="2"/>
  <c r="F2004" i="2"/>
  <c r="E2004" i="2"/>
  <c r="D2004" i="2"/>
  <c r="C2004" i="2"/>
  <c r="B2004" i="2"/>
  <c r="A2004" i="2"/>
  <c r="M2003" i="2"/>
  <c r="L2003" i="2"/>
  <c r="K2003" i="2"/>
  <c r="J2003" i="2"/>
  <c r="I2003" i="2"/>
  <c r="H2003" i="2"/>
  <c r="G2003" i="2"/>
  <c r="F2003" i="2"/>
  <c r="E2003" i="2"/>
  <c r="D2003" i="2"/>
  <c r="C2003" i="2"/>
  <c r="B2003" i="2"/>
  <c r="A2003" i="2"/>
  <c r="M2002" i="2"/>
  <c r="L2002" i="2"/>
  <c r="K2002" i="2"/>
  <c r="J2002" i="2"/>
  <c r="I2002" i="2"/>
  <c r="H2002" i="2"/>
  <c r="G2002" i="2"/>
  <c r="F2002" i="2"/>
  <c r="E2002" i="2"/>
  <c r="D2002" i="2"/>
  <c r="C2002" i="2"/>
  <c r="B2002" i="2"/>
  <c r="A2002" i="2"/>
  <c r="M2001" i="2"/>
  <c r="L2001" i="2"/>
  <c r="K2001" i="2"/>
  <c r="J2001" i="2"/>
  <c r="I2001" i="2"/>
  <c r="H2001" i="2"/>
  <c r="G2001" i="2"/>
  <c r="F2001" i="2"/>
  <c r="E2001" i="2"/>
  <c r="D2001" i="2"/>
  <c r="C2001" i="2"/>
  <c r="B2001" i="2"/>
  <c r="A2001" i="2"/>
  <c r="M2000" i="2"/>
  <c r="L2000" i="2"/>
  <c r="K2000" i="2"/>
  <c r="J2000" i="2"/>
  <c r="I2000" i="2"/>
  <c r="H2000" i="2"/>
  <c r="G2000" i="2"/>
  <c r="F2000" i="2"/>
  <c r="E2000" i="2"/>
  <c r="D2000" i="2"/>
  <c r="C2000" i="2"/>
  <c r="B2000" i="2"/>
  <c r="A2000" i="2"/>
  <c r="N1999" i="2"/>
  <c r="M1999" i="2"/>
  <c r="L1999" i="2"/>
  <c r="K1999" i="2"/>
  <c r="J1999" i="2"/>
  <c r="I1999" i="2"/>
  <c r="H1999" i="2"/>
  <c r="G1999" i="2"/>
  <c r="F1999" i="2"/>
  <c r="E1999" i="2"/>
  <c r="D1999" i="2"/>
  <c r="C1999" i="2"/>
  <c r="B1999" i="2"/>
  <c r="A1999" i="2"/>
  <c r="M1998" i="2"/>
  <c r="L1998" i="2"/>
  <c r="K1998" i="2"/>
  <c r="J1998" i="2"/>
  <c r="I1998" i="2"/>
  <c r="H1998" i="2"/>
  <c r="G1998" i="2"/>
  <c r="F1998" i="2"/>
  <c r="E1998" i="2"/>
  <c r="D1998" i="2"/>
  <c r="C1998" i="2"/>
  <c r="B1998" i="2"/>
  <c r="A1998" i="2"/>
  <c r="M1997" i="2"/>
  <c r="L1997" i="2"/>
  <c r="K1997" i="2"/>
  <c r="J1997" i="2"/>
  <c r="I1997" i="2"/>
  <c r="H1997" i="2"/>
  <c r="G1997" i="2"/>
  <c r="F1997" i="2"/>
  <c r="E1997" i="2"/>
  <c r="D1997" i="2"/>
  <c r="C1997" i="2"/>
  <c r="B1997" i="2"/>
  <c r="A1997" i="2"/>
  <c r="M1996" i="2"/>
  <c r="L1996" i="2"/>
  <c r="K1996" i="2"/>
  <c r="J1996" i="2"/>
  <c r="I1996" i="2"/>
  <c r="H1996" i="2"/>
  <c r="G1996" i="2"/>
  <c r="F1996" i="2"/>
  <c r="E1996" i="2"/>
  <c r="D1996" i="2"/>
  <c r="C1996" i="2"/>
  <c r="B1996" i="2"/>
  <c r="A1996" i="2"/>
  <c r="M1995" i="2"/>
  <c r="L1995" i="2"/>
  <c r="K1995" i="2"/>
  <c r="J1995" i="2"/>
  <c r="I1995" i="2"/>
  <c r="H1995" i="2"/>
  <c r="G1995" i="2"/>
  <c r="F1995" i="2"/>
  <c r="E1995" i="2"/>
  <c r="D1995" i="2"/>
  <c r="C1995" i="2"/>
  <c r="B1995" i="2"/>
  <c r="A1995" i="2"/>
  <c r="M1994" i="2"/>
  <c r="L1994" i="2"/>
  <c r="K1994" i="2"/>
  <c r="J1994" i="2"/>
  <c r="I1994" i="2"/>
  <c r="H1994" i="2"/>
  <c r="G1994" i="2"/>
  <c r="F1994" i="2"/>
  <c r="E1994" i="2"/>
  <c r="D1994" i="2"/>
  <c r="C1994" i="2"/>
  <c r="B1994" i="2"/>
  <c r="A1994" i="2"/>
  <c r="M1993" i="2"/>
  <c r="L1993" i="2"/>
  <c r="J1993" i="2"/>
  <c r="I1993" i="2"/>
  <c r="H1993" i="2"/>
  <c r="G1993" i="2"/>
  <c r="F1993" i="2"/>
  <c r="D1993" i="2"/>
  <c r="C1993" i="2"/>
  <c r="B1993" i="2"/>
  <c r="A1993" i="2"/>
  <c r="M1992" i="2"/>
  <c r="L1992" i="2"/>
  <c r="K1992" i="2"/>
  <c r="J1992" i="2"/>
  <c r="I1992" i="2"/>
  <c r="H1992" i="2"/>
  <c r="F1992" i="2"/>
  <c r="E1992" i="2"/>
  <c r="D1992" i="2"/>
  <c r="C1992" i="2"/>
  <c r="B1992" i="2"/>
  <c r="A1992" i="2"/>
  <c r="M1991" i="2"/>
  <c r="L1991" i="2"/>
  <c r="K1991" i="2"/>
  <c r="J1991" i="2"/>
  <c r="I1991" i="2"/>
  <c r="H1991" i="2"/>
  <c r="F1991" i="2"/>
  <c r="E1991" i="2"/>
  <c r="D1991" i="2"/>
  <c r="C1991" i="2"/>
  <c r="B1991" i="2"/>
  <c r="A1991" i="2"/>
  <c r="M1990" i="2"/>
  <c r="L1990" i="2"/>
  <c r="K1990" i="2"/>
  <c r="J1990" i="2"/>
  <c r="I1990" i="2"/>
  <c r="H1990" i="2"/>
  <c r="F1990" i="2"/>
  <c r="E1990" i="2"/>
  <c r="D1990" i="2"/>
  <c r="C1990" i="2"/>
  <c r="B1990" i="2"/>
  <c r="A1990" i="2"/>
  <c r="M1989" i="2"/>
  <c r="L1989" i="2"/>
  <c r="K1989" i="2"/>
  <c r="J1989" i="2"/>
  <c r="I1989" i="2"/>
  <c r="H1989" i="2"/>
  <c r="F1989" i="2"/>
  <c r="E1989" i="2"/>
  <c r="D1989" i="2"/>
  <c r="C1989" i="2"/>
  <c r="B1989" i="2"/>
  <c r="A1989" i="2"/>
  <c r="M1988" i="2"/>
  <c r="L1988" i="2"/>
  <c r="K1988" i="2"/>
  <c r="J1988" i="2"/>
  <c r="I1988" i="2"/>
  <c r="H1988" i="2"/>
  <c r="F1988" i="2"/>
  <c r="E1988" i="2"/>
  <c r="D1988" i="2"/>
  <c r="C1988" i="2"/>
  <c r="B1988" i="2"/>
  <c r="A1988" i="2"/>
  <c r="M1987" i="2"/>
  <c r="L1987" i="2"/>
  <c r="K1987" i="2"/>
  <c r="J1987" i="2"/>
  <c r="I1987" i="2"/>
  <c r="H1987" i="2"/>
  <c r="F1987" i="2"/>
  <c r="E1987" i="2"/>
  <c r="D1987" i="2"/>
  <c r="C1987" i="2"/>
  <c r="B1987" i="2"/>
  <c r="A1987" i="2"/>
  <c r="M1986" i="2"/>
  <c r="L1986" i="2"/>
  <c r="K1986" i="2"/>
  <c r="J1986" i="2"/>
  <c r="I1986" i="2"/>
  <c r="H1986" i="2"/>
  <c r="F1986" i="2"/>
  <c r="E1986" i="2"/>
  <c r="D1986" i="2"/>
  <c r="C1986" i="2"/>
  <c r="B1986" i="2"/>
  <c r="A1986" i="2"/>
  <c r="M1985" i="2"/>
  <c r="L1985" i="2"/>
  <c r="K1985" i="2"/>
  <c r="J1985" i="2"/>
  <c r="I1985" i="2"/>
  <c r="H1985" i="2"/>
  <c r="F1985" i="2"/>
  <c r="E1985" i="2"/>
  <c r="D1985" i="2"/>
  <c r="C1985" i="2"/>
  <c r="B1985" i="2"/>
  <c r="A1985" i="2"/>
  <c r="M1984" i="2"/>
  <c r="L1984" i="2"/>
  <c r="K1984" i="2"/>
  <c r="J1984" i="2"/>
  <c r="I1984" i="2"/>
  <c r="H1984" i="2"/>
  <c r="F1984" i="2"/>
  <c r="E1984" i="2"/>
  <c r="D1984" i="2"/>
  <c r="C1984" i="2"/>
  <c r="B1984" i="2"/>
  <c r="A1984" i="2"/>
  <c r="M1983" i="2"/>
  <c r="L1983" i="2"/>
  <c r="K1983" i="2"/>
  <c r="J1983" i="2"/>
  <c r="I1983" i="2"/>
  <c r="H1983" i="2"/>
  <c r="F1983" i="2"/>
  <c r="E1983" i="2"/>
  <c r="D1983" i="2"/>
  <c r="C1983" i="2"/>
  <c r="B1983" i="2"/>
  <c r="A1983" i="2"/>
  <c r="M1982" i="2"/>
  <c r="L1982" i="2"/>
  <c r="K1982" i="2"/>
  <c r="J1982" i="2"/>
  <c r="I1982" i="2"/>
  <c r="H1982" i="2"/>
  <c r="F1982" i="2"/>
  <c r="E1982" i="2"/>
  <c r="D1982" i="2"/>
  <c r="C1982" i="2"/>
  <c r="B1982" i="2"/>
  <c r="A1982" i="2"/>
  <c r="M1981" i="2"/>
  <c r="L1981" i="2"/>
  <c r="K1981" i="2"/>
  <c r="J1981" i="2"/>
  <c r="I1981" i="2"/>
  <c r="H1981" i="2"/>
  <c r="G1981" i="2"/>
  <c r="F1981" i="2"/>
  <c r="E1981" i="2"/>
  <c r="D1981" i="2"/>
  <c r="C1981" i="2"/>
  <c r="B1981" i="2"/>
  <c r="A1981" i="2"/>
  <c r="M1980" i="2"/>
  <c r="L1980" i="2"/>
  <c r="K1980" i="2"/>
  <c r="J1980" i="2"/>
  <c r="I1980" i="2"/>
  <c r="H1980" i="2"/>
  <c r="G1980" i="2"/>
  <c r="F1980" i="2"/>
  <c r="E1980" i="2"/>
  <c r="D1980" i="2"/>
  <c r="C1980" i="2"/>
  <c r="B1980" i="2"/>
  <c r="A1980" i="2"/>
  <c r="M1979" i="2"/>
  <c r="L1979" i="2"/>
  <c r="K1979" i="2"/>
  <c r="J1979" i="2"/>
  <c r="I1979" i="2"/>
  <c r="H1979" i="2"/>
  <c r="G1979" i="2"/>
  <c r="F1979" i="2"/>
  <c r="E1979" i="2"/>
  <c r="D1979" i="2"/>
  <c r="C1979" i="2"/>
  <c r="B1979" i="2"/>
  <c r="A1979" i="2"/>
  <c r="M1978" i="2"/>
  <c r="L1978" i="2"/>
  <c r="K1978" i="2"/>
  <c r="J1978" i="2"/>
  <c r="I1978" i="2"/>
  <c r="H1978" i="2"/>
  <c r="G1978" i="2"/>
  <c r="F1978" i="2"/>
  <c r="E1978" i="2"/>
  <c r="D1978" i="2"/>
  <c r="C1978" i="2"/>
  <c r="B1978" i="2"/>
  <c r="A1978" i="2"/>
  <c r="M1977" i="2"/>
  <c r="L1977" i="2"/>
  <c r="K1977" i="2"/>
  <c r="J1977" i="2"/>
  <c r="I1977" i="2"/>
  <c r="H1977" i="2"/>
  <c r="G1977" i="2"/>
  <c r="F1977" i="2"/>
  <c r="E1977" i="2"/>
  <c r="D1977" i="2"/>
  <c r="C1977" i="2"/>
  <c r="B1977" i="2"/>
  <c r="A1977" i="2"/>
  <c r="M1976" i="2"/>
  <c r="L1976" i="2"/>
  <c r="K1976" i="2"/>
  <c r="J1976" i="2"/>
  <c r="I1976" i="2"/>
  <c r="H1976" i="2"/>
  <c r="G1976" i="2"/>
  <c r="F1976" i="2"/>
  <c r="E1976" i="2"/>
  <c r="D1976" i="2"/>
  <c r="C1976" i="2"/>
  <c r="B1976" i="2"/>
  <c r="A1976" i="2"/>
  <c r="M1975" i="2"/>
  <c r="L1975" i="2"/>
  <c r="K1975" i="2"/>
  <c r="J1975" i="2"/>
  <c r="I1975" i="2"/>
  <c r="H1975" i="2"/>
  <c r="G1975" i="2"/>
  <c r="F1975" i="2"/>
  <c r="E1975" i="2"/>
  <c r="D1975" i="2"/>
  <c r="C1975" i="2"/>
  <c r="B1975" i="2"/>
  <c r="A1975" i="2"/>
  <c r="M1974" i="2"/>
  <c r="L1974" i="2"/>
  <c r="K1974" i="2"/>
  <c r="J1974" i="2"/>
  <c r="I1974" i="2"/>
  <c r="H1974" i="2"/>
  <c r="G1974" i="2"/>
  <c r="F1974" i="2"/>
  <c r="E1974" i="2"/>
  <c r="D1974" i="2"/>
  <c r="C1974" i="2"/>
  <c r="B1974" i="2"/>
  <c r="A1974" i="2"/>
  <c r="M1973" i="2"/>
  <c r="L1973" i="2"/>
  <c r="K1973" i="2"/>
  <c r="J1973" i="2"/>
  <c r="I1973" i="2"/>
  <c r="H1973" i="2"/>
  <c r="G1973" i="2"/>
  <c r="F1973" i="2"/>
  <c r="E1973" i="2"/>
  <c r="D1973" i="2"/>
  <c r="C1973" i="2"/>
  <c r="B1973" i="2"/>
  <c r="A1973" i="2"/>
  <c r="M1972" i="2"/>
  <c r="L1972" i="2"/>
  <c r="K1972" i="2"/>
  <c r="J1972" i="2"/>
  <c r="I1972" i="2"/>
  <c r="H1972" i="2"/>
  <c r="G1972" i="2"/>
  <c r="F1972" i="2"/>
  <c r="E1972" i="2"/>
  <c r="D1972" i="2"/>
  <c r="C1972" i="2"/>
  <c r="B1972" i="2"/>
  <c r="A1972" i="2"/>
  <c r="M1971" i="2"/>
  <c r="L1971" i="2"/>
  <c r="K1971" i="2"/>
  <c r="J1971" i="2"/>
  <c r="I1971" i="2"/>
  <c r="H1971" i="2"/>
  <c r="G1971" i="2"/>
  <c r="F1971" i="2"/>
  <c r="E1971" i="2"/>
  <c r="D1971" i="2"/>
  <c r="C1971" i="2"/>
  <c r="B1971" i="2"/>
  <c r="A1971" i="2"/>
  <c r="N1970" i="2"/>
  <c r="M1970" i="2"/>
  <c r="L1970" i="2"/>
  <c r="K1970" i="2"/>
  <c r="J1970" i="2"/>
  <c r="I1970" i="2"/>
  <c r="H1970" i="2"/>
  <c r="G1970" i="2"/>
  <c r="F1970" i="2"/>
  <c r="E1970" i="2"/>
  <c r="D1970" i="2"/>
  <c r="C1970" i="2"/>
  <c r="B1970" i="2"/>
  <c r="A1970" i="2"/>
  <c r="N1969" i="2"/>
  <c r="M1969" i="2"/>
  <c r="L1969" i="2"/>
  <c r="K1969" i="2"/>
  <c r="J1969" i="2"/>
  <c r="I1969" i="2"/>
  <c r="H1969" i="2"/>
  <c r="G1969" i="2"/>
  <c r="F1969" i="2"/>
  <c r="E1969" i="2"/>
  <c r="D1969" i="2"/>
  <c r="C1969" i="2"/>
  <c r="B1969" i="2"/>
  <c r="A1969" i="2"/>
  <c r="M1968" i="2"/>
  <c r="L1968" i="2"/>
  <c r="K1968" i="2"/>
  <c r="J1968" i="2"/>
  <c r="I1968" i="2"/>
  <c r="H1968" i="2"/>
  <c r="G1968" i="2"/>
  <c r="F1968" i="2"/>
  <c r="E1968" i="2"/>
  <c r="D1968" i="2"/>
  <c r="C1968" i="2"/>
  <c r="B1968" i="2"/>
  <c r="A1968" i="2"/>
  <c r="N1967" i="2"/>
  <c r="M1967" i="2"/>
  <c r="L1967" i="2"/>
  <c r="K1967" i="2"/>
  <c r="J1967" i="2"/>
  <c r="I1967" i="2"/>
  <c r="H1967" i="2"/>
  <c r="G1967" i="2"/>
  <c r="F1967" i="2"/>
  <c r="E1967" i="2"/>
  <c r="D1967" i="2"/>
  <c r="C1967" i="2"/>
  <c r="B1967" i="2"/>
  <c r="A1967" i="2"/>
  <c r="M1966" i="2"/>
  <c r="L1966" i="2"/>
  <c r="K1966" i="2"/>
  <c r="J1966" i="2"/>
  <c r="I1966" i="2"/>
  <c r="H1966" i="2"/>
  <c r="G1966" i="2"/>
  <c r="F1966" i="2"/>
  <c r="E1966" i="2"/>
  <c r="D1966" i="2"/>
  <c r="C1966" i="2"/>
  <c r="B1966" i="2"/>
  <c r="A1966" i="2"/>
  <c r="M1965" i="2"/>
  <c r="L1965" i="2"/>
  <c r="K1965" i="2"/>
  <c r="J1965" i="2"/>
  <c r="I1965" i="2"/>
  <c r="H1965" i="2"/>
  <c r="G1965" i="2"/>
  <c r="F1965" i="2"/>
  <c r="E1965" i="2"/>
  <c r="D1965" i="2"/>
  <c r="C1965" i="2"/>
  <c r="B1965" i="2"/>
  <c r="A1965" i="2"/>
  <c r="M1964" i="2"/>
  <c r="L1964" i="2"/>
  <c r="K1964" i="2"/>
  <c r="J1964" i="2"/>
  <c r="I1964" i="2"/>
  <c r="H1964" i="2"/>
  <c r="G1964" i="2"/>
  <c r="F1964" i="2"/>
  <c r="E1964" i="2"/>
  <c r="D1964" i="2"/>
  <c r="C1964" i="2"/>
  <c r="B1964" i="2"/>
  <c r="A1964" i="2"/>
  <c r="M1963" i="2"/>
  <c r="L1963" i="2"/>
  <c r="K1963" i="2"/>
  <c r="I1963" i="2"/>
  <c r="H1963" i="2"/>
  <c r="F1963" i="2"/>
  <c r="D1963" i="2"/>
  <c r="C1963" i="2"/>
  <c r="B1963" i="2"/>
  <c r="A1963" i="2"/>
  <c r="M1962" i="2"/>
  <c r="L1962" i="2"/>
  <c r="K1962" i="2"/>
  <c r="I1962" i="2"/>
  <c r="H1962" i="2"/>
  <c r="F1962" i="2"/>
  <c r="D1962" i="2"/>
  <c r="C1962" i="2"/>
  <c r="B1962" i="2"/>
  <c r="A1962" i="2"/>
  <c r="F1961" i="2"/>
  <c r="D1961" i="2"/>
  <c r="C1961" i="2"/>
  <c r="B1961" i="2"/>
  <c r="A1961" i="2"/>
  <c r="F1960" i="2"/>
  <c r="D1960" i="2"/>
  <c r="C1960" i="2"/>
  <c r="B1960" i="2"/>
  <c r="A1960" i="2"/>
  <c r="F1959" i="2"/>
  <c r="D1959" i="2"/>
  <c r="C1959" i="2"/>
  <c r="B1959" i="2"/>
  <c r="A1959" i="2"/>
  <c r="F1958" i="2"/>
  <c r="D1958" i="2"/>
  <c r="C1958" i="2"/>
  <c r="B1958" i="2"/>
  <c r="A1958" i="2"/>
  <c r="F1957" i="2"/>
  <c r="D1957" i="2"/>
  <c r="C1957" i="2"/>
  <c r="B1957" i="2"/>
  <c r="A1957" i="2"/>
  <c r="F1956" i="2"/>
  <c r="D1956" i="2"/>
  <c r="C1956" i="2"/>
  <c r="B1956" i="2"/>
  <c r="A1956" i="2"/>
  <c r="F1955" i="2"/>
  <c r="D1955" i="2"/>
  <c r="C1955" i="2"/>
  <c r="B1955" i="2"/>
  <c r="A1955" i="2"/>
  <c r="F1954" i="2"/>
  <c r="D1954" i="2"/>
  <c r="C1954" i="2"/>
  <c r="B1954" i="2"/>
  <c r="A1954" i="2"/>
  <c r="F1953" i="2"/>
  <c r="D1953" i="2"/>
  <c r="C1953" i="2"/>
  <c r="B1953" i="2"/>
  <c r="A1953" i="2"/>
  <c r="F1952" i="2"/>
  <c r="D1952" i="2"/>
  <c r="C1952" i="2"/>
  <c r="B1952" i="2"/>
  <c r="A1952" i="2"/>
  <c r="F1951" i="2"/>
  <c r="D1951" i="2"/>
  <c r="C1951" i="2"/>
  <c r="B1951" i="2"/>
  <c r="A1951" i="2"/>
  <c r="F1950" i="2"/>
  <c r="D1950" i="2"/>
  <c r="C1950" i="2"/>
  <c r="B1950" i="2"/>
  <c r="A1950" i="2"/>
  <c r="F1949" i="2"/>
  <c r="D1949" i="2"/>
  <c r="C1949" i="2"/>
  <c r="B1949" i="2"/>
  <c r="A1949" i="2"/>
  <c r="M1948" i="2"/>
  <c r="L1948" i="2"/>
  <c r="K1948" i="2"/>
  <c r="I1948" i="2"/>
  <c r="H1948" i="2"/>
  <c r="F1948" i="2"/>
  <c r="D1948" i="2"/>
  <c r="C1948" i="2"/>
  <c r="B1948" i="2"/>
  <c r="A1948" i="2"/>
  <c r="M1947" i="2"/>
  <c r="L1947" i="2"/>
  <c r="K1947" i="2"/>
  <c r="I1947" i="2"/>
  <c r="H1947" i="2"/>
  <c r="F1947" i="2"/>
  <c r="D1947" i="2"/>
  <c r="C1947" i="2"/>
  <c r="B1947" i="2"/>
  <c r="A1947" i="2"/>
  <c r="M1946" i="2"/>
  <c r="L1946" i="2"/>
  <c r="K1946" i="2"/>
  <c r="J1946" i="2"/>
  <c r="I1946" i="2"/>
  <c r="H1946" i="2"/>
  <c r="F1946" i="2"/>
  <c r="E1946" i="2"/>
  <c r="D1946" i="2"/>
  <c r="C1946" i="2"/>
  <c r="B1946" i="2"/>
  <c r="A1946" i="2"/>
  <c r="M1945" i="2"/>
  <c r="L1945" i="2"/>
  <c r="K1945" i="2"/>
  <c r="J1945" i="2"/>
  <c r="I1945" i="2"/>
  <c r="H1945" i="2"/>
  <c r="F1945" i="2"/>
  <c r="E1945" i="2"/>
  <c r="D1945" i="2"/>
  <c r="C1945" i="2"/>
  <c r="B1945" i="2"/>
  <c r="A1945" i="2"/>
  <c r="M1944" i="2"/>
  <c r="L1944" i="2"/>
  <c r="K1944" i="2"/>
  <c r="J1944" i="2"/>
  <c r="I1944" i="2"/>
  <c r="H1944" i="2"/>
  <c r="F1944" i="2"/>
  <c r="E1944" i="2"/>
  <c r="D1944" i="2"/>
  <c r="C1944" i="2"/>
  <c r="B1944" i="2"/>
  <c r="A1944" i="2"/>
  <c r="M1943" i="2"/>
  <c r="L1943" i="2"/>
  <c r="K1943" i="2"/>
  <c r="J1943" i="2"/>
  <c r="I1943" i="2"/>
  <c r="H1943" i="2"/>
  <c r="F1943" i="2"/>
  <c r="E1943" i="2"/>
  <c r="D1943" i="2"/>
  <c r="C1943" i="2"/>
  <c r="B1943" i="2"/>
  <c r="A1943" i="2"/>
  <c r="M1942" i="2"/>
  <c r="L1942" i="2"/>
  <c r="K1942" i="2"/>
  <c r="I1942" i="2"/>
  <c r="H1942" i="2"/>
  <c r="F1942" i="2"/>
  <c r="D1942" i="2"/>
  <c r="C1942" i="2"/>
  <c r="B1942" i="2"/>
  <c r="A1942" i="2"/>
  <c r="M1941" i="2"/>
  <c r="L1941" i="2"/>
  <c r="K1941" i="2"/>
  <c r="I1941" i="2"/>
  <c r="H1941" i="2"/>
  <c r="F1941" i="2"/>
  <c r="D1941" i="2"/>
  <c r="C1941" i="2"/>
  <c r="B1941" i="2"/>
  <c r="A1941" i="2"/>
  <c r="M1940" i="2"/>
  <c r="L1940" i="2"/>
  <c r="K1940" i="2"/>
  <c r="J1940" i="2"/>
  <c r="I1940" i="2"/>
  <c r="H1940" i="2"/>
  <c r="F1940" i="2"/>
  <c r="E1940" i="2"/>
  <c r="D1940" i="2"/>
  <c r="C1940" i="2"/>
  <c r="B1940" i="2"/>
  <c r="A1940" i="2"/>
  <c r="M1939" i="2"/>
  <c r="L1939" i="2"/>
  <c r="K1939" i="2"/>
  <c r="J1939" i="2"/>
  <c r="I1939" i="2"/>
  <c r="H1939" i="2"/>
  <c r="F1939" i="2"/>
  <c r="E1939" i="2"/>
  <c r="D1939" i="2"/>
  <c r="C1939" i="2"/>
  <c r="B1939" i="2"/>
  <c r="A1939" i="2"/>
  <c r="M1938" i="2"/>
  <c r="L1938" i="2"/>
  <c r="K1938" i="2"/>
  <c r="J1938" i="2"/>
  <c r="I1938" i="2"/>
  <c r="H1938" i="2"/>
  <c r="F1938" i="2"/>
  <c r="E1938" i="2"/>
  <c r="D1938" i="2"/>
  <c r="C1938" i="2"/>
  <c r="B1938" i="2"/>
  <c r="A1938" i="2"/>
  <c r="M1937" i="2"/>
  <c r="L1937" i="2"/>
  <c r="K1937" i="2"/>
  <c r="J1937" i="2"/>
  <c r="I1937" i="2"/>
  <c r="H1937" i="2"/>
  <c r="F1937" i="2"/>
  <c r="E1937" i="2"/>
  <c r="D1937" i="2"/>
  <c r="C1937" i="2"/>
  <c r="B1937" i="2"/>
  <c r="A1937" i="2"/>
  <c r="M1936" i="2"/>
  <c r="L1936" i="2"/>
  <c r="K1936" i="2"/>
  <c r="J1936" i="2"/>
  <c r="I1936" i="2"/>
  <c r="H1936" i="2"/>
  <c r="F1936" i="2"/>
  <c r="E1936" i="2"/>
  <c r="D1936" i="2"/>
  <c r="C1936" i="2"/>
  <c r="B1936" i="2"/>
  <c r="A1936" i="2"/>
  <c r="M1935" i="2"/>
  <c r="L1935" i="2"/>
  <c r="K1935" i="2"/>
  <c r="J1935" i="2"/>
  <c r="I1935" i="2"/>
  <c r="H1935" i="2"/>
  <c r="F1935" i="2"/>
  <c r="E1935" i="2"/>
  <c r="D1935" i="2"/>
  <c r="C1935" i="2"/>
  <c r="B1935" i="2"/>
  <c r="A1935" i="2"/>
  <c r="M1934" i="2"/>
  <c r="L1934" i="2"/>
  <c r="K1934" i="2"/>
  <c r="J1934" i="2"/>
  <c r="I1934" i="2"/>
  <c r="H1934" i="2"/>
  <c r="F1934" i="2"/>
  <c r="E1934" i="2"/>
  <c r="D1934" i="2"/>
  <c r="C1934" i="2"/>
  <c r="B1934" i="2"/>
  <c r="A1934" i="2"/>
  <c r="M1933" i="2"/>
  <c r="L1933" i="2"/>
  <c r="K1933" i="2"/>
  <c r="J1933" i="2"/>
  <c r="I1933" i="2"/>
  <c r="H1933" i="2"/>
  <c r="F1933" i="2"/>
  <c r="E1933" i="2"/>
  <c r="D1933" i="2"/>
  <c r="C1933" i="2"/>
  <c r="B1933" i="2"/>
  <c r="A1933" i="2"/>
  <c r="M1932" i="2"/>
  <c r="L1932" i="2"/>
  <c r="K1932" i="2"/>
  <c r="J1932" i="2"/>
  <c r="I1932" i="2"/>
  <c r="H1932" i="2"/>
  <c r="F1932" i="2"/>
  <c r="E1932" i="2"/>
  <c r="D1932" i="2"/>
  <c r="C1932" i="2"/>
  <c r="B1932" i="2"/>
  <c r="A1932" i="2"/>
  <c r="M1931" i="2"/>
  <c r="L1931" i="2"/>
  <c r="K1931" i="2"/>
  <c r="J1931" i="2"/>
  <c r="I1931" i="2"/>
  <c r="H1931" i="2"/>
  <c r="F1931" i="2"/>
  <c r="E1931" i="2"/>
  <c r="D1931" i="2"/>
  <c r="C1931" i="2"/>
  <c r="B1931" i="2"/>
  <c r="A1931" i="2"/>
  <c r="M1930" i="2"/>
  <c r="L1930" i="2"/>
  <c r="K1930" i="2"/>
  <c r="J1930" i="2"/>
  <c r="I1930" i="2"/>
  <c r="H1930" i="2"/>
  <c r="F1930" i="2"/>
  <c r="E1930" i="2"/>
  <c r="D1930" i="2"/>
  <c r="C1930" i="2"/>
  <c r="B1930" i="2"/>
  <c r="A1930" i="2"/>
  <c r="M1929" i="2"/>
  <c r="L1929" i="2"/>
  <c r="K1929" i="2"/>
  <c r="J1929" i="2"/>
  <c r="I1929" i="2"/>
  <c r="H1929" i="2"/>
  <c r="F1929" i="2"/>
  <c r="E1929" i="2"/>
  <c r="D1929" i="2"/>
  <c r="C1929" i="2"/>
  <c r="B1929" i="2"/>
  <c r="A1929" i="2"/>
  <c r="M1928" i="2"/>
  <c r="L1928" i="2"/>
  <c r="K1928" i="2"/>
  <c r="J1928" i="2"/>
  <c r="I1928" i="2"/>
  <c r="H1928" i="2"/>
  <c r="F1928" i="2"/>
  <c r="E1928" i="2"/>
  <c r="D1928" i="2"/>
  <c r="C1928" i="2"/>
  <c r="B1928" i="2"/>
  <c r="A1928" i="2"/>
  <c r="M1927" i="2"/>
  <c r="L1927" i="2"/>
  <c r="K1927" i="2"/>
  <c r="J1927" i="2"/>
  <c r="I1927" i="2"/>
  <c r="H1927" i="2"/>
  <c r="F1927" i="2"/>
  <c r="E1927" i="2"/>
  <c r="D1927" i="2"/>
  <c r="C1927" i="2"/>
  <c r="B1927" i="2"/>
  <c r="A1927" i="2"/>
  <c r="M1926" i="2"/>
  <c r="L1926" i="2"/>
  <c r="K1926" i="2"/>
  <c r="J1926" i="2"/>
  <c r="I1926" i="2"/>
  <c r="H1926" i="2"/>
  <c r="F1926" i="2"/>
  <c r="E1926" i="2"/>
  <c r="D1926" i="2"/>
  <c r="C1926" i="2"/>
  <c r="B1926" i="2"/>
  <c r="A1926" i="2"/>
  <c r="M1925" i="2"/>
  <c r="L1925" i="2"/>
  <c r="K1925" i="2"/>
  <c r="J1925" i="2"/>
  <c r="I1925" i="2"/>
  <c r="H1925" i="2"/>
  <c r="F1925" i="2"/>
  <c r="E1925" i="2"/>
  <c r="D1925" i="2"/>
  <c r="C1925" i="2"/>
  <c r="B1925" i="2"/>
  <c r="A1925" i="2"/>
  <c r="M1924" i="2"/>
  <c r="L1924" i="2"/>
  <c r="K1924" i="2"/>
  <c r="J1924" i="2"/>
  <c r="I1924" i="2"/>
  <c r="H1924" i="2"/>
  <c r="F1924" i="2"/>
  <c r="E1924" i="2"/>
  <c r="D1924" i="2"/>
  <c r="C1924" i="2"/>
  <c r="B1924" i="2"/>
  <c r="A1924" i="2"/>
  <c r="M1923" i="2"/>
  <c r="L1923" i="2"/>
  <c r="K1923" i="2"/>
  <c r="J1923" i="2"/>
  <c r="I1923" i="2"/>
  <c r="H1923" i="2"/>
  <c r="F1923" i="2"/>
  <c r="E1923" i="2"/>
  <c r="D1923" i="2"/>
  <c r="C1923" i="2"/>
  <c r="B1923" i="2"/>
  <c r="A1923" i="2"/>
  <c r="M1922" i="2"/>
  <c r="L1922" i="2"/>
  <c r="K1922" i="2"/>
  <c r="J1922" i="2"/>
  <c r="I1922" i="2"/>
  <c r="H1922" i="2"/>
  <c r="F1922" i="2"/>
  <c r="E1922" i="2"/>
  <c r="D1922" i="2"/>
  <c r="C1922" i="2"/>
  <c r="B1922" i="2"/>
  <c r="A1922" i="2"/>
  <c r="M1921" i="2"/>
  <c r="L1921" i="2"/>
  <c r="J1921" i="2"/>
  <c r="I1921" i="2"/>
  <c r="H1921" i="2"/>
  <c r="F1921" i="2"/>
  <c r="E1921" i="2"/>
  <c r="D1921" i="2"/>
  <c r="C1921" i="2"/>
  <c r="B1921" i="2"/>
  <c r="A1921" i="2"/>
  <c r="M1920" i="2"/>
  <c r="L1920" i="2"/>
  <c r="K1920" i="2"/>
  <c r="J1920" i="2"/>
  <c r="I1920" i="2"/>
  <c r="H1920" i="2"/>
  <c r="F1920" i="2"/>
  <c r="E1920" i="2"/>
  <c r="D1920" i="2"/>
  <c r="C1920" i="2"/>
  <c r="B1920" i="2"/>
  <c r="A1920" i="2"/>
  <c r="M1919" i="2"/>
  <c r="L1919" i="2"/>
  <c r="K1919" i="2"/>
  <c r="J1919" i="2"/>
  <c r="I1919" i="2"/>
  <c r="H1919" i="2"/>
  <c r="F1919" i="2"/>
  <c r="E1919" i="2"/>
  <c r="D1919" i="2"/>
  <c r="C1919" i="2"/>
  <c r="B1919" i="2"/>
  <c r="A1919" i="2"/>
  <c r="M1918" i="2"/>
  <c r="L1918" i="2"/>
  <c r="K1918" i="2"/>
  <c r="J1918" i="2"/>
  <c r="I1918" i="2"/>
  <c r="H1918" i="2"/>
  <c r="F1918" i="2"/>
  <c r="E1918" i="2"/>
  <c r="D1918" i="2"/>
  <c r="C1918" i="2"/>
  <c r="B1918" i="2"/>
  <c r="A1918" i="2"/>
  <c r="M1917" i="2"/>
  <c r="L1917" i="2"/>
  <c r="K1917" i="2"/>
  <c r="J1917" i="2"/>
  <c r="I1917" i="2"/>
  <c r="H1917" i="2"/>
  <c r="F1917" i="2"/>
  <c r="E1917" i="2"/>
  <c r="D1917" i="2"/>
  <c r="C1917" i="2"/>
  <c r="B1917" i="2"/>
  <c r="A1917" i="2"/>
  <c r="M1916" i="2"/>
  <c r="L1916" i="2"/>
  <c r="K1916" i="2"/>
  <c r="J1916" i="2"/>
  <c r="I1916" i="2"/>
  <c r="H1916" i="2"/>
  <c r="G1916" i="2"/>
  <c r="F1916" i="2"/>
  <c r="E1916" i="2"/>
  <c r="D1916" i="2"/>
  <c r="C1916" i="2"/>
  <c r="B1916" i="2"/>
  <c r="A1916" i="2"/>
  <c r="N1915" i="2"/>
  <c r="M1915" i="2"/>
  <c r="L1915" i="2"/>
  <c r="K1915" i="2"/>
  <c r="J1915" i="2"/>
  <c r="I1915" i="2"/>
  <c r="H1915" i="2"/>
  <c r="G1915" i="2"/>
  <c r="F1915" i="2"/>
  <c r="E1915" i="2"/>
  <c r="D1915" i="2"/>
  <c r="C1915" i="2"/>
  <c r="B1915" i="2"/>
  <c r="A1915" i="2"/>
  <c r="N1914" i="2"/>
  <c r="M1914" i="2"/>
  <c r="L1914" i="2"/>
  <c r="K1914" i="2"/>
  <c r="J1914" i="2"/>
  <c r="I1914" i="2"/>
  <c r="H1914" i="2"/>
  <c r="G1914" i="2"/>
  <c r="F1914" i="2"/>
  <c r="E1914" i="2"/>
  <c r="D1914" i="2"/>
  <c r="C1914" i="2"/>
  <c r="B1914" i="2"/>
  <c r="A1914" i="2"/>
  <c r="M1913" i="2"/>
  <c r="L1913" i="2"/>
  <c r="K1913" i="2"/>
  <c r="J1913" i="2"/>
  <c r="I1913" i="2"/>
  <c r="H1913" i="2"/>
  <c r="G1913" i="2"/>
  <c r="F1913" i="2"/>
  <c r="E1913" i="2"/>
  <c r="D1913" i="2"/>
  <c r="C1913" i="2"/>
  <c r="B1913" i="2"/>
  <c r="A1913" i="2"/>
  <c r="M1912" i="2"/>
  <c r="L1912" i="2"/>
  <c r="K1912" i="2"/>
  <c r="J1912" i="2"/>
  <c r="I1912" i="2"/>
  <c r="H1912" i="2"/>
  <c r="G1912" i="2"/>
  <c r="F1912" i="2"/>
  <c r="E1912" i="2"/>
  <c r="D1912" i="2"/>
  <c r="C1912" i="2"/>
  <c r="B1912" i="2"/>
  <c r="A1912" i="2"/>
  <c r="M1911" i="2"/>
  <c r="L1911" i="2"/>
  <c r="K1911" i="2"/>
  <c r="J1911" i="2"/>
  <c r="I1911" i="2"/>
  <c r="H1911" i="2"/>
  <c r="G1911" i="2"/>
  <c r="F1911" i="2"/>
  <c r="E1911" i="2"/>
  <c r="D1911" i="2"/>
  <c r="C1911" i="2"/>
  <c r="B1911" i="2"/>
  <c r="A1911" i="2"/>
  <c r="M1910" i="2"/>
  <c r="L1910" i="2"/>
  <c r="K1910" i="2"/>
  <c r="J1910" i="2"/>
  <c r="I1910" i="2"/>
  <c r="H1910" i="2"/>
  <c r="G1910" i="2"/>
  <c r="F1910" i="2"/>
  <c r="E1910" i="2"/>
  <c r="D1910" i="2"/>
  <c r="C1910" i="2"/>
  <c r="B1910" i="2"/>
  <c r="A1910" i="2"/>
  <c r="M1909" i="2"/>
  <c r="L1909" i="2"/>
  <c r="K1909" i="2"/>
  <c r="J1909" i="2"/>
  <c r="I1909" i="2"/>
  <c r="H1909" i="2"/>
  <c r="G1909" i="2"/>
  <c r="F1909" i="2"/>
  <c r="E1909" i="2"/>
  <c r="D1909" i="2"/>
  <c r="C1909" i="2"/>
  <c r="B1909" i="2"/>
  <c r="A1909" i="2"/>
  <c r="N1908" i="2"/>
  <c r="M1908" i="2"/>
  <c r="L1908" i="2"/>
  <c r="J1908" i="2"/>
  <c r="I1908" i="2"/>
  <c r="H1908" i="2"/>
  <c r="F1908" i="2"/>
  <c r="E1908" i="2"/>
  <c r="D1908" i="2"/>
  <c r="C1908" i="2"/>
  <c r="B1908" i="2"/>
  <c r="A1908" i="2"/>
  <c r="M1907" i="2"/>
  <c r="L1907" i="2"/>
  <c r="K1907" i="2"/>
  <c r="J1907" i="2"/>
  <c r="I1907" i="2"/>
  <c r="H1907" i="2"/>
  <c r="F1907" i="2"/>
  <c r="E1907" i="2"/>
  <c r="D1907" i="2"/>
  <c r="C1907" i="2"/>
  <c r="B1907" i="2"/>
  <c r="A1907" i="2"/>
  <c r="M1906" i="2"/>
  <c r="L1906" i="2"/>
  <c r="K1906" i="2"/>
  <c r="J1906" i="2"/>
  <c r="I1906" i="2"/>
  <c r="H1906" i="2"/>
  <c r="F1906" i="2"/>
  <c r="E1906" i="2"/>
  <c r="D1906" i="2"/>
  <c r="C1906" i="2"/>
  <c r="B1906" i="2"/>
  <c r="A1906" i="2"/>
  <c r="M1905" i="2"/>
  <c r="L1905" i="2"/>
  <c r="K1905" i="2"/>
  <c r="J1905" i="2"/>
  <c r="I1905" i="2"/>
  <c r="H1905" i="2"/>
  <c r="G1905" i="2"/>
  <c r="F1905" i="2"/>
  <c r="E1905" i="2"/>
  <c r="D1905" i="2"/>
  <c r="C1905" i="2"/>
  <c r="B1905" i="2"/>
  <c r="A1905" i="2"/>
  <c r="M1904" i="2"/>
  <c r="L1904" i="2"/>
  <c r="K1904" i="2"/>
  <c r="J1904" i="2"/>
  <c r="I1904" i="2"/>
  <c r="H1904" i="2"/>
  <c r="G1904" i="2"/>
  <c r="F1904" i="2"/>
  <c r="E1904" i="2"/>
  <c r="D1904" i="2"/>
  <c r="C1904" i="2"/>
  <c r="B1904" i="2"/>
  <c r="A1904" i="2"/>
  <c r="M1903" i="2"/>
  <c r="L1903" i="2"/>
  <c r="K1903" i="2"/>
  <c r="J1903" i="2"/>
  <c r="I1903" i="2"/>
  <c r="H1903" i="2"/>
  <c r="G1903" i="2"/>
  <c r="F1903" i="2"/>
  <c r="E1903" i="2"/>
  <c r="D1903" i="2"/>
  <c r="C1903" i="2"/>
  <c r="B1903" i="2"/>
  <c r="A1903" i="2"/>
  <c r="M1902" i="2"/>
  <c r="L1902" i="2"/>
  <c r="K1902" i="2"/>
  <c r="J1902" i="2"/>
  <c r="I1902" i="2"/>
  <c r="H1902" i="2"/>
  <c r="G1902" i="2"/>
  <c r="F1902" i="2"/>
  <c r="E1902" i="2"/>
  <c r="D1902" i="2"/>
  <c r="C1902" i="2"/>
  <c r="B1902" i="2"/>
  <c r="A1902" i="2"/>
  <c r="M1901" i="2"/>
  <c r="L1901" i="2"/>
  <c r="K1901" i="2"/>
  <c r="J1901" i="2"/>
  <c r="I1901" i="2"/>
  <c r="H1901" i="2"/>
  <c r="G1901" i="2"/>
  <c r="F1901" i="2"/>
  <c r="E1901" i="2"/>
  <c r="D1901" i="2"/>
  <c r="C1901" i="2"/>
  <c r="B1901" i="2"/>
  <c r="A1901" i="2"/>
  <c r="M1900" i="2"/>
  <c r="L1900" i="2"/>
  <c r="K1900" i="2"/>
  <c r="J1900" i="2"/>
  <c r="I1900" i="2"/>
  <c r="H1900" i="2"/>
  <c r="G1900" i="2"/>
  <c r="F1900" i="2"/>
  <c r="E1900" i="2"/>
  <c r="D1900" i="2"/>
  <c r="C1900" i="2"/>
  <c r="B1900" i="2"/>
  <c r="A1900" i="2"/>
  <c r="M1899" i="2"/>
  <c r="L1899" i="2"/>
  <c r="K1899" i="2"/>
  <c r="J1899" i="2"/>
  <c r="I1899" i="2"/>
  <c r="H1899" i="2"/>
  <c r="G1899" i="2"/>
  <c r="F1899" i="2"/>
  <c r="E1899" i="2"/>
  <c r="D1899" i="2"/>
  <c r="C1899" i="2"/>
  <c r="B1899" i="2"/>
  <c r="A1899" i="2"/>
  <c r="M1898" i="2"/>
  <c r="L1898" i="2"/>
  <c r="K1898" i="2"/>
  <c r="J1898" i="2"/>
  <c r="I1898" i="2"/>
  <c r="H1898" i="2"/>
  <c r="G1898" i="2"/>
  <c r="F1898" i="2"/>
  <c r="E1898" i="2"/>
  <c r="D1898" i="2"/>
  <c r="C1898" i="2"/>
  <c r="B1898" i="2"/>
  <c r="A1898" i="2"/>
  <c r="M1897" i="2"/>
  <c r="L1897" i="2"/>
  <c r="J1897" i="2"/>
  <c r="I1897" i="2"/>
  <c r="H1897" i="2"/>
  <c r="F1897" i="2"/>
  <c r="E1897" i="2"/>
  <c r="D1897" i="2"/>
  <c r="C1897" i="2"/>
  <c r="B1897" i="2"/>
  <c r="A1897" i="2"/>
  <c r="M1896" i="2"/>
  <c r="L1896" i="2"/>
  <c r="K1896" i="2"/>
  <c r="J1896" i="2"/>
  <c r="I1896" i="2"/>
  <c r="H1896" i="2"/>
  <c r="F1896" i="2"/>
  <c r="E1896" i="2"/>
  <c r="D1896" i="2"/>
  <c r="C1896" i="2"/>
  <c r="B1896" i="2"/>
  <c r="A1896" i="2"/>
  <c r="M1895" i="2"/>
  <c r="L1895" i="2"/>
  <c r="K1895" i="2"/>
  <c r="J1895" i="2"/>
  <c r="I1895" i="2"/>
  <c r="H1895" i="2"/>
  <c r="F1895" i="2"/>
  <c r="E1895" i="2"/>
  <c r="D1895" i="2"/>
  <c r="C1895" i="2"/>
  <c r="B1895" i="2"/>
  <c r="A1895" i="2"/>
  <c r="M1894" i="2"/>
  <c r="L1894" i="2"/>
  <c r="K1894" i="2"/>
  <c r="J1894" i="2"/>
  <c r="I1894" i="2"/>
  <c r="H1894" i="2"/>
  <c r="F1894" i="2"/>
  <c r="E1894" i="2"/>
  <c r="D1894" i="2"/>
  <c r="C1894" i="2"/>
  <c r="B1894" i="2"/>
  <c r="A1894" i="2"/>
  <c r="M1893" i="2"/>
  <c r="L1893" i="2"/>
  <c r="K1893" i="2"/>
  <c r="J1893" i="2"/>
  <c r="I1893" i="2"/>
  <c r="H1893" i="2"/>
  <c r="F1893" i="2"/>
  <c r="E1893" i="2"/>
  <c r="D1893" i="2"/>
  <c r="C1893" i="2"/>
  <c r="B1893" i="2"/>
  <c r="A1893" i="2"/>
  <c r="M1892" i="2"/>
  <c r="L1892" i="2"/>
  <c r="K1892" i="2"/>
  <c r="J1892" i="2"/>
  <c r="I1892" i="2"/>
  <c r="H1892" i="2"/>
  <c r="F1892" i="2"/>
  <c r="E1892" i="2"/>
  <c r="D1892" i="2"/>
  <c r="C1892" i="2"/>
  <c r="B1892" i="2"/>
  <c r="A1892" i="2"/>
  <c r="M1891" i="2"/>
  <c r="L1891" i="2"/>
  <c r="K1891" i="2"/>
  <c r="J1891" i="2"/>
  <c r="I1891" i="2"/>
  <c r="H1891" i="2"/>
  <c r="G1891" i="2"/>
  <c r="F1891" i="2"/>
  <c r="E1891" i="2"/>
  <c r="D1891" i="2"/>
  <c r="C1891" i="2"/>
  <c r="B1891" i="2"/>
  <c r="A1891" i="2"/>
  <c r="M1890" i="2"/>
  <c r="L1890" i="2"/>
  <c r="K1890" i="2"/>
  <c r="J1890" i="2"/>
  <c r="I1890" i="2"/>
  <c r="H1890" i="2"/>
  <c r="G1890" i="2"/>
  <c r="F1890" i="2"/>
  <c r="E1890" i="2"/>
  <c r="D1890" i="2"/>
  <c r="C1890" i="2"/>
  <c r="B1890" i="2"/>
  <c r="A1890" i="2"/>
  <c r="M1889" i="2"/>
  <c r="L1889" i="2"/>
  <c r="K1889" i="2"/>
  <c r="J1889" i="2"/>
  <c r="I1889" i="2"/>
  <c r="H1889" i="2"/>
  <c r="G1889" i="2"/>
  <c r="F1889" i="2"/>
  <c r="E1889" i="2"/>
  <c r="D1889" i="2"/>
  <c r="C1889" i="2"/>
  <c r="B1889" i="2"/>
  <c r="A1889" i="2"/>
  <c r="M1888" i="2"/>
  <c r="L1888" i="2"/>
  <c r="K1888" i="2"/>
  <c r="J1888" i="2"/>
  <c r="I1888" i="2"/>
  <c r="H1888" i="2"/>
  <c r="G1888" i="2"/>
  <c r="F1888" i="2"/>
  <c r="E1888" i="2"/>
  <c r="D1888" i="2"/>
  <c r="C1888" i="2"/>
  <c r="B1888" i="2"/>
  <c r="A1888" i="2"/>
  <c r="M1887" i="2"/>
  <c r="L1887" i="2"/>
  <c r="K1887" i="2"/>
  <c r="J1887" i="2"/>
  <c r="I1887" i="2"/>
  <c r="H1887" i="2"/>
  <c r="G1887" i="2"/>
  <c r="F1887" i="2"/>
  <c r="E1887" i="2"/>
  <c r="D1887" i="2"/>
  <c r="C1887" i="2"/>
  <c r="B1887" i="2"/>
  <c r="A1887" i="2"/>
  <c r="M1886" i="2"/>
  <c r="L1886" i="2"/>
  <c r="K1886" i="2"/>
  <c r="J1886" i="2"/>
  <c r="I1886" i="2"/>
  <c r="H1886" i="2"/>
  <c r="G1886" i="2"/>
  <c r="F1886" i="2"/>
  <c r="E1886" i="2"/>
  <c r="D1886" i="2"/>
  <c r="C1886" i="2"/>
  <c r="B1886" i="2"/>
  <c r="A1886" i="2"/>
  <c r="M1885" i="2"/>
  <c r="L1885" i="2"/>
  <c r="K1885" i="2"/>
  <c r="J1885" i="2"/>
  <c r="I1885" i="2"/>
  <c r="H1885" i="2"/>
  <c r="G1885" i="2"/>
  <c r="F1885" i="2"/>
  <c r="E1885" i="2"/>
  <c r="D1885" i="2"/>
  <c r="C1885" i="2"/>
  <c r="B1885" i="2"/>
  <c r="A1885" i="2"/>
  <c r="M1884" i="2"/>
  <c r="L1884" i="2"/>
  <c r="K1884" i="2"/>
  <c r="J1884" i="2"/>
  <c r="I1884" i="2"/>
  <c r="H1884" i="2"/>
  <c r="G1884" i="2"/>
  <c r="F1884" i="2"/>
  <c r="E1884" i="2"/>
  <c r="D1884" i="2"/>
  <c r="C1884" i="2"/>
  <c r="B1884" i="2"/>
  <c r="A1884" i="2"/>
  <c r="M1883" i="2"/>
  <c r="L1883" i="2"/>
  <c r="K1883" i="2"/>
  <c r="J1883" i="2"/>
  <c r="I1883" i="2"/>
  <c r="H1883" i="2"/>
  <c r="G1883" i="2"/>
  <c r="F1883" i="2"/>
  <c r="E1883" i="2"/>
  <c r="D1883" i="2"/>
  <c r="C1883" i="2"/>
  <c r="B1883" i="2"/>
  <c r="A1883" i="2"/>
  <c r="M1882" i="2"/>
  <c r="L1882" i="2"/>
  <c r="K1882" i="2"/>
  <c r="J1882" i="2"/>
  <c r="I1882" i="2"/>
  <c r="H1882" i="2"/>
  <c r="G1882" i="2"/>
  <c r="F1882" i="2"/>
  <c r="E1882" i="2"/>
  <c r="D1882" i="2"/>
  <c r="C1882" i="2"/>
  <c r="B1882" i="2"/>
  <c r="A1882" i="2"/>
  <c r="M1881" i="2"/>
  <c r="L1881" i="2"/>
  <c r="K1881" i="2"/>
  <c r="J1881" i="2"/>
  <c r="I1881" i="2"/>
  <c r="H1881" i="2"/>
  <c r="G1881" i="2"/>
  <c r="F1881" i="2"/>
  <c r="E1881" i="2"/>
  <c r="D1881" i="2"/>
  <c r="C1881" i="2"/>
  <c r="B1881" i="2"/>
  <c r="A1881" i="2"/>
  <c r="M1880" i="2"/>
  <c r="L1880" i="2"/>
  <c r="K1880" i="2"/>
  <c r="J1880" i="2"/>
  <c r="I1880" i="2"/>
  <c r="H1880" i="2"/>
  <c r="G1880" i="2"/>
  <c r="F1880" i="2"/>
  <c r="E1880" i="2"/>
  <c r="D1880" i="2"/>
  <c r="C1880" i="2"/>
  <c r="B1880" i="2"/>
  <c r="A1880" i="2"/>
  <c r="M1879" i="2"/>
  <c r="L1879" i="2"/>
  <c r="K1879" i="2"/>
  <c r="J1879" i="2"/>
  <c r="I1879" i="2"/>
  <c r="H1879" i="2"/>
  <c r="F1879" i="2"/>
  <c r="E1879" i="2"/>
  <c r="D1879" i="2"/>
  <c r="C1879" i="2"/>
  <c r="B1879" i="2"/>
  <c r="A1879" i="2"/>
  <c r="N1878" i="2"/>
  <c r="M1878" i="2"/>
  <c r="L1878" i="2"/>
  <c r="K1878" i="2"/>
  <c r="J1878" i="2"/>
  <c r="I1878" i="2"/>
  <c r="H1878" i="2"/>
  <c r="F1878" i="2"/>
  <c r="E1878" i="2"/>
  <c r="D1878" i="2"/>
  <c r="C1878" i="2"/>
  <c r="B1878" i="2"/>
  <c r="A1878" i="2"/>
  <c r="M1877" i="2"/>
  <c r="L1877" i="2"/>
  <c r="K1877" i="2"/>
  <c r="J1877" i="2"/>
  <c r="I1877" i="2"/>
  <c r="H1877" i="2"/>
  <c r="G1877" i="2"/>
  <c r="F1877" i="2"/>
  <c r="E1877" i="2"/>
  <c r="D1877" i="2"/>
  <c r="C1877" i="2"/>
  <c r="B1877" i="2"/>
  <c r="A1877" i="2"/>
  <c r="M1876" i="2"/>
  <c r="L1876" i="2"/>
  <c r="K1876" i="2"/>
  <c r="J1876" i="2"/>
  <c r="I1876" i="2"/>
  <c r="H1876" i="2"/>
  <c r="G1876" i="2"/>
  <c r="F1876" i="2"/>
  <c r="E1876" i="2"/>
  <c r="D1876" i="2"/>
  <c r="C1876" i="2"/>
  <c r="B1876" i="2"/>
  <c r="A1876" i="2"/>
  <c r="M1875" i="2"/>
  <c r="L1875" i="2"/>
  <c r="K1875" i="2"/>
  <c r="J1875" i="2"/>
  <c r="I1875" i="2"/>
  <c r="H1875" i="2"/>
  <c r="G1875" i="2"/>
  <c r="F1875" i="2"/>
  <c r="E1875" i="2"/>
  <c r="D1875" i="2"/>
  <c r="C1875" i="2"/>
  <c r="B1875" i="2"/>
  <c r="A1875" i="2"/>
  <c r="M1874" i="2"/>
  <c r="L1874" i="2"/>
  <c r="K1874" i="2"/>
  <c r="J1874" i="2"/>
  <c r="I1874" i="2"/>
  <c r="H1874" i="2"/>
  <c r="G1874" i="2"/>
  <c r="F1874" i="2"/>
  <c r="E1874" i="2"/>
  <c r="D1874" i="2"/>
  <c r="C1874" i="2"/>
  <c r="B1874" i="2"/>
  <c r="A1874" i="2"/>
  <c r="M1873" i="2"/>
  <c r="L1873" i="2"/>
  <c r="K1873" i="2"/>
  <c r="J1873" i="2"/>
  <c r="I1873" i="2"/>
  <c r="H1873" i="2"/>
  <c r="G1873" i="2"/>
  <c r="F1873" i="2"/>
  <c r="E1873" i="2"/>
  <c r="D1873" i="2"/>
  <c r="C1873" i="2"/>
  <c r="B1873" i="2"/>
  <c r="A1873" i="2"/>
  <c r="M1872" i="2"/>
  <c r="L1872" i="2"/>
  <c r="K1872" i="2"/>
  <c r="J1872" i="2"/>
  <c r="I1872" i="2"/>
  <c r="H1872" i="2"/>
  <c r="G1872" i="2"/>
  <c r="F1872" i="2"/>
  <c r="E1872" i="2"/>
  <c r="D1872" i="2"/>
  <c r="C1872" i="2"/>
  <c r="B1872" i="2"/>
  <c r="A1872" i="2"/>
  <c r="M1871" i="2"/>
  <c r="L1871" i="2"/>
  <c r="K1871" i="2"/>
  <c r="J1871" i="2"/>
  <c r="I1871" i="2"/>
  <c r="H1871" i="2"/>
  <c r="F1871" i="2"/>
  <c r="E1871" i="2"/>
  <c r="D1871" i="2"/>
  <c r="C1871" i="2"/>
  <c r="B1871" i="2"/>
  <c r="A1871" i="2"/>
  <c r="M1870" i="2"/>
  <c r="L1870" i="2"/>
  <c r="K1870" i="2"/>
  <c r="J1870" i="2"/>
  <c r="I1870" i="2"/>
  <c r="H1870" i="2"/>
  <c r="F1870" i="2"/>
  <c r="E1870" i="2"/>
  <c r="D1870" i="2"/>
  <c r="C1870" i="2"/>
  <c r="B1870" i="2"/>
  <c r="A1870" i="2"/>
  <c r="M1869" i="2"/>
  <c r="L1869" i="2"/>
  <c r="K1869" i="2"/>
  <c r="J1869" i="2"/>
  <c r="I1869" i="2"/>
  <c r="H1869" i="2"/>
  <c r="F1869" i="2"/>
  <c r="E1869" i="2"/>
  <c r="D1869" i="2"/>
  <c r="C1869" i="2"/>
  <c r="B1869" i="2"/>
  <c r="A1869" i="2"/>
  <c r="M1868" i="2"/>
  <c r="L1868" i="2"/>
  <c r="K1868" i="2"/>
  <c r="J1868" i="2"/>
  <c r="I1868" i="2"/>
  <c r="H1868" i="2"/>
  <c r="F1868" i="2"/>
  <c r="E1868" i="2"/>
  <c r="D1868" i="2"/>
  <c r="C1868" i="2"/>
  <c r="B1868" i="2"/>
  <c r="A1868" i="2"/>
  <c r="M1867" i="2"/>
  <c r="L1867" i="2"/>
  <c r="K1867" i="2"/>
  <c r="J1867" i="2"/>
  <c r="I1867" i="2"/>
  <c r="H1867" i="2"/>
  <c r="F1867" i="2"/>
  <c r="E1867" i="2"/>
  <c r="D1867" i="2"/>
  <c r="C1867" i="2"/>
  <c r="B1867" i="2"/>
  <c r="A1867" i="2"/>
  <c r="M1866" i="2"/>
  <c r="L1866" i="2"/>
  <c r="K1866" i="2"/>
  <c r="J1866" i="2"/>
  <c r="I1866" i="2"/>
  <c r="H1866" i="2"/>
  <c r="G1866" i="2"/>
  <c r="F1866" i="2"/>
  <c r="E1866" i="2"/>
  <c r="D1866" i="2"/>
  <c r="C1866" i="2"/>
  <c r="B1866" i="2"/>
  <c r="A1866" i="2"/>
  <c r="M1865" i="2"/>
  <c r="L1865" i="2"/>
  <c r="K1865" i="2"/>
  <c r="J1865" i="2"/>
  <c r="I1865" i="2"/>
  <c r="H1865" i="2"/>
  <c r="G1865" i="2"/>
  <c r="F1865" i="2"/>
  <c r="E1865" i="2"/>
  <c r="D1865" i="2"/>
  <c r="C1865" i="2"/>
  <c r="B1865" i="2"/>
  <c r="A1865" i="2"/>
  <c r="M1864" i="2"/>
  <c r="L1864" i="2"/>
  <c r="K1864" i="2"/>
  <c r="J1864" i="2"/>
  <c r="I1864" i="2"/>
  <c r="H1864" i="2"/>
  <c r="G1864" i="2"/>
  <c r="F1864" i="2"/>
  <c r="E1864" i="2"/>
  <c r="D1864" i="2"/>
  <c r="C1864" i="2"/>
  <c r="B1864" i="2"/>
  <c r="A1864" i="2"/>
  <c r="M1863" i="2"/>
  <c r="L1863" i="2"/>
  <c r="K1863" i="2"/>
  <c r="J1863" i="2"/>
  <c r="I1863" i="2"/>
  <c r="H1863" i="2"/>
  <c r="G1863" i="2"/>
  <c r="F1863" i="2"/>
  <c r="E1863" i="2"/>
  <c r="D1863" i="2"/>
  <c r="C1863" i="2"/>
  <c r="B1863" i="2"/>
  <c r="A1863" i="2"/>
  <c r="M1862" i="2"/>
  <c r="L1862" i="2"/>
  <c r="K1862" i="2"/>
  <c r="J1862" i="2"/>
  <c r="I1862" i="2"/>
  <c r="H1862" i="2"/>
  <c r="G1862" i="2"/>
  <c r="F1862" i="2"/>
  <c r="E1862" i="2"/>
  <c r="D1862" i="2"/>
  <c r="C1862" i="2"/>
  <c r="B1862" i="2"/>
  <c r="A1862" i="2"/>
  <c r="M1861" i="2"/>
  <c r="L1861" i="2"/>
  <c r="K1861" i="2"/>
  <c r="J1861" i="2"/>
  <c r="I1861" i="2"/>
  <c r="H1861" i="2"/>
  <c r="G1861" i="2"/>
  <c r="F1861" i="2"/>
  <c r="E1861" i="2"/>
  <c r="D1861" i="2"/>
  <c r="C1861" i="2"/>
  <c r="B1861" i="2"/>
  <c r="A1861" i="2"/>
  <c r="M1860" i="2"/>
  <c r="L1860" i="2"/>
  <c r="K1860" i="2"/>
  <c r="J1860" i="2"/>
  <c r="I1860" i="2"/>
  <c r="H1860" i="2"/>
  <c r="G1860" i="2"/>
  <c r="F1860" i="2"/>
  <c r="E1860" i="2"/>
  <c r="D1860" i="2"/>
  <c r="C1860" i="2"/>
  <c r="B1860" i="2"/>
  <c r="A1860" i="2"/>
  <c r="M1859" i="2"/>
  <c r="L1859" i="2"/>
  <c r="K1859" i="2"/>
  <c r="J1859" i="2"/>
  <c r="I1859" i="2"/>
  <c r="H1859" i="2"/>
  <c r="G1859" i="2"/>
  <c r="F1859" i="2"/>
  <c r="E1859" i="2"/>
  <c r="D1859" i="2"/>
  <c r="C1859" i="2"/>
  <c r="B1859" i="2"/>
  <c r="A1859" i="2"/>
  <c r="M1858" i="2"/>
  <c r="L1858" i="2"/>
  <c r="K1858" i="2"/>
  <c r="J1858" i="2"/>
  <c r="I1858" i="2"/>
  <c r="H1858" i="2"/>
  <c r="G1858" i="2"/>
  <c r="F1858" i="2"/>
  <c r="E1858" i="2"/>
  <c r="D1858" i="2"/>
  <c r="C1858" i="2"/>
  <c r="B1858" i="2"/>
  <c r="A1858" i="2"/>
  <c r="M1857" i="2"/>
  <c r="L1857" i="2"/>
  <c r="K1857" i="2"/>
  <c r="J1857" i="2"/>
  <c r="I1857" i="2"/>
  <c r="H1857" i="2"/>
  <c r="G1857" i="2"/>
  <c r="F1857" i="2"/>
  <c r="E1857" i="2"/>
  <c r="D1857" i="2"/>
  <c r="C1857" i="2"/>
  <c r="B1857" i="2"/>
  <c r="A1857" i="2"/>
  <c r="M1856" i="2"/>
  <c r="L1856" i="2"/>
  <c r="K1856" i="2"/>
  <c r="J1856" i="2"/>
  <c r="I1856" i="2"/>
  <c r="H1856" i="2"/>
  <c r="G1856" i="2"/>
  <c r="F1856" i="2"/>
  <c r="E1856" i="2"/>
  <c r="D1856" i="2"/>
  <c r="C1856" i="2"/>
  <c r="B1856" i="2"/>
  <c r="A1856" i="2"/>
  <c r="M1855" i="2"/>
  <c r="L1855" i="2"/>
  <c r="K1855" i="2"/>
  <c r="J1855" i="2"/>
  <c r="I1855" i="2"/>
  <c r="H1855" i="2"/>
  <c r="G1855" i="2"/>
  <c r="F1855" i="2"/>
  <c r="E1855" i="2"/>
  <c r="D1855" i="2"/>
  <c r="C1855" i="2"/>
  <c r="B1855" i="2"/>
  <c r="A1855" i="2"/>
  <c r="M1854" i="2"/>
  <c r="L1854" i="2"/>
  <c r="K1854" i="2"/>
  <c r="J1854" i="2"/>
  <c r="I1854" i="2"/>
  <c r="H1854" i="2"/>
  <c r="G1854" i="2"/>
  <c r="F1854" i="2"/>
  <c r="E1854" i="2"/>
  <c r="D1854" i="2"/>
  <c r="C1854" i="2"/>
  <c r="B1854" i="2"/>
  <c r="A1854" i="2"/>
  <c r="M1853" i="2"/>
  <c r="L1853" i="2"/>
  <c r="K1853" i="2"/>
  <c r="J1853" i="2"/>
  <c r="I1853" i="2"/>
  <c r="H1853" i="2"/>
  <c r="G1853" i="2"/>
  <c r="F1853" i="2"/>
  <c r="E1853" i="2"/>
  <c r="D1853" i="2"/>
  <c r="C1853" i="2"/>
  <c r="B1853" i="2"/>
  <c r="A1853" i="2"/>
  <c r="M1852" i="2"/>
  <c r="L1852" i="2"/>
  <c r="K1852" i="2"/>
  <c r="J1852" i="2"/>
  <c r="I1852" i="2"/>
  <c r="H1852" i="2"/>
  <c r="G1852" i="2"/>
  <c r="F1852" i="2"/>
  <c r="E1852" i="2"/>
  <c r="D1852" i="2"/>
  <c r="C1852" i="2"/>
  <c r="B1852" i="2"/>
  <c r="A1852" i="2"/>
  <c r="M1851" i="2"/>
  <c r="L1851" i="2"/>
  <c r="K1851" i="2"/>
  <c r="J1851" i="2"/>
  <c r="I1851" i="2"/>
  <c r="H1851" i="2"/>
  <c r="G1851" i="2"/>
  <c r="F1851" i="2"/>
  <c r="E1851" i="2"/>
  <c r="D1851" i="2"/>
  <c r="C1851" i="2"/>
  <c r="B1851" i="2"/>
  <c r="A1851" i="2"/>
  <c r="M1850" i="2"/>
  <c r="L1850" i="2"/>
  <c r="K1850" i="2"/>
  <c r="I1850" i="2"/>
  <c r="H1850" i="2"/>
  <c r="F1850" i="2"/>
  <c r="E1850" i="2"/>
  <c r="D1850" i="2"/>
  <c r="C1850" i="2"/>
  <c r="B1850" i="2"/>
  <c r="A1850" i="2"/>
  <c r="M1849" i="2"/>
  <c r="L1849" i="2"/>
  <c r="K1849" i="2"/>
  <c r="I1849" i="2"/>
  <c r="H1849" i="2"/>
  <c r="F1849" i="2"/>
  <c r="E1849" i="2"/>
  <c r="D1849" i="2"/>
  <c r="C1849" i="2"/>
  <c r="B1849" i="2"/>
  <c r="A1849" i="2"/>
  <c r="M1848" i="2"/>
  <c r="L1848" i="2"/>
  <c r="K1848" i="2"/>
  <c r="I1848" i="2"/>
  <c r="H1848" i="2"/>
  <c r="F1848" i="2"/>
  <c r="E1848" i="2"/>
  <c r="D1848" i="2"/>
  <c r="C1848" i="2"/>
  <c r="B1848" i="2"/>
  <c r="A1848" i="2"/>
  <c r="M1847" i="2"/>
  <c r="L1847" i="2"/>
  <c r="J1847" i="2"/>
  <c r="I1847" i="2"/>
  <c r="H1847" i="2"/>
  <c r="F1847" i="2"/>
  <c r="E1847" i="2"/>
  <c r="D1847" i="2"/>
  <c r="C1847" i="2"/>
  <c r="B1847" i="2"/>
  <c r="A1847" i="2"/>
  <c r="M1846" i="2"/>
  <c r="L1846" i="2"/>
  <c r="K1846" i="2"/>
  <c r="J1846" i="2"/>
  <c r="I1846" i="2"/>
  <c r="H1846" i="2"/>
  <c r="F1846" i="2"/>
  <c r="E1846" i="2"/>
  <c r="D1846" i="2"/>
  <c r="C1846" i="2"/>
  <c r="B1846" i="2"/>
  <c r="A1846" i="2"/>
  <c r="M1845" i="2"/>
  <c r="L1845" i="2"/>
  <c r="K1845" i="2"/>
  <c r="J1845" i="2"/>
  <c r="I1845" i="2"/>
  <c r="H1845" i="2"/>
  <c r="G1845" i="2"/>
  <c r="F1845" i="2"/>
  <c r="E1845" i="2"/>
  <c r="D1845" i="2"/>
  <c r="C1845" i="2"/>
  <c r="B1845" i="2"/>
  <c r="A1845" i="2"/>
  <c r="M1844" i="2"/>
  <c r="L1844" i="2"/>
  <c r="K1844" i="2"/>
  <c r="J1844" i="2"/>
  <c r="I1844" i="2"/>
  <c r="H1844" i="2"/>
  <c r="G1844" i="2"/>
  <c r="F1844" i="2"/>
  <c r="E1844" i="2"/>
  <c r="D1844" i="2"/>
  <c r="C1844" i="2"/>
  <c r="B1844" i="2"/>
  <c r="A1844" i="2"/>
  <c r="M1843" i="2"/>
  <c r="L1843" i="2"/>
  <c r="K1843" i="2"/>
  <c r="J1843" i="2"/>
  <c r="I1843" i="2"/>
  <c r="H1843" i="2"/>
  <c r="G1843" i="2"/>
  <c r="F1843" i="2"/>
  <c r="E1843" i="2"/>
  <c r="D1843" i="2"/>
  <c r="C1843" i="2"/>
  <c r="B1843" i="2"/>
  <c r="A1843" i="2"/>
  <c r="M1842" i="2"/>
  <c r="L1842" i="2"/>
  <c r="K1842" i="2"/>
  <c r="J1842" i="2"/>
  <c r="I1842" i="2"/>
  <c r="H1842" i="2"/>
  <c r="G1842" i="2"/>
  <c r="F1842" i="2"/>
  <c r="E1842" i="2"/>
  <c r="D1842" i="2"/>
  <c r="C1842" i="2"/>
  <c r="B1842" i="2"/>
  <c r="A1842" i="2"/>
  <c r="M1841" i="2"/>
  <c r="L1841" i="2"/>
  <c r="K1841" i="2"/>
  <c r="J1841" i="2"/>
  <c r="I1841" i="2"/>
  <c r="H1841" i="2"/>
  <c r="G1841" i="2"/>
  <c r="F1841" i="2"/>
  <c r="E1841" i="2"/>
  <c r="D1841" i="2"/>
  <c r="C1841" i="2"/>
  <c r="B1841" i="2"/>
  <c r="A1841" i="2"/>
  <c r="M1840" i="2"/>
  <c r="L1840" i="2"/>
  <c r="K1840" i="2"/>
  <c r="J1840" i="2"/>
  <c r="I1840" i="2"/>
  <c r="H1840" i="2"/>
  <c r="G1840" i="2"/>
  <c r="F1840" i="2"/>
  <c r="E1840" i="2"/>
  <c r="D1840" i="2"/>
  <c r="C1840" i="2"/>
  <c r="B1840" i="2"/>
  <c r="A1840" i="2"/>
  <c r="M1839" i="2"/>
  <c r="L1839" i="2"/>
  <c r="K1839" i="2"/>
  <c r="J1839" i="2"/>
  <c r="I1839" i="2"/>
  <c r="H1839" i="2"/>
  <c r="G1839" i="2"/>
  <c r="F1839" i="2"/>
  <c r="E1839" i="2"/>
  <c r="D1839" i="2"/>
  <c r="C1839" i="2"/>
  <c r="B1839" i="2"/>
  <c r="A1839" i="2"/>
  <c r="M1838" i="2"/>
  <c r="L1838" i="2"/>
  <c r="K1838" i="2"/>
  <c r="J1838" i="2"/>
  <c r="I1838" i="2"/>
  <c r="H1838" i="2"/>
  <c r="G1838" i="2"/>
  <c r="F1838" i="2"/>
  <c r="E1838" i="2"/>
  <c r="D1838" i="2"/>
  <c r="C1838" i="2"/>
  <c r="B1838" i="2"/>
  <c r="A1838" i="2"/>
  <c r="M1837" i="2"/>
  <c r="L1837" i="2"/>
  <c r="K1837" i="2"/>
  <c r="J1837" i="2"/>
  <c r="I1837" i="2"/>
  <c r="H1837" i="2"/>
  <c r="G1837" i="2"/>
  <c r="F1837" i="2"/>
  <c r="E1837" i="2"/>
  <c r="D1837" i="2"/>
  <c r="C1837" i="2"/>
  <c r="B1837" i="2"/>
  <c r="A1837" i="2"/>
  <c r="M1836" i="2"/>
  <c r="L1836" i="2"/>
  <c r="K1836" i="2"/>
  <c r="J1836" i="2"/>
  <c r="I1836" i="2"/>
  <c r="H1836" i="2"/>
  <c r="G1836" i="2"/>
  <c r="F1836" i="2"/>
  <c r="E1836" i="2"/>
  <c r="D1836" i="2"/>
  <c r="C1836" i="2"/>
  <c r="B1836" i="2"/>
  <c r="A1836" i="2"/>
  <c r="M1835" i="2"/>
  <c r="L1835" i="2"/>
  <c r="K1835" i="2"/>
  <c r="J1835" i="2"/>
  <c r="I1835" i="2"/>
  <c r="H1835" i="2"/>
  <c r="G1835" i="2"/>
  <c r="F1835" i="2"/>
  <c r="E1835" i="2"/>
  <c r="D1835" i="2"/>
  <c r="C1835" i="2"/>
  <c r="B1835" i="2"/>
  <c r="A1835" i="2"/>
  <c r="M1834" i="2"/>
  <c r="L1834" i="2"/>
  <c r="K1834" i="2"/>
  <c r="J1834" i="2"/>
  <c r="I1834" i="2"/>
  <c r="H1834" i="2"/>
  <c r="G1834" i="2"/>
  <c r="F1834" i="2"/>
  <c r="E1834" i="2"/>
  <c r="D1834" i="2"/>
  <c r="C1834" i="2"/>
  <c r="B1834" i="2"/>
  <c r="A1834" i="2"/>
  <c r="M1833" i="2"/>
  <c r="L1833" i="2"/>
  <c r="K1833" i="2"/>
  <c r="J1833" i="2"/>
  <c r="I1833" i="2"/>
  <c r="H1833" i="2"/>
  <c r="G1833" i="2"/>
  <c r="F1833" i="2"/>
  <c r="E1833" i="2"/>
  <c r="D1833" i="2"/>
  <c r="C1833" i="2"/>
  <c r="B1833" i="2"/>
  <c r="A1833" i="2"/>
  <c r="M1832" i="2"/>
  <c r="L1832" i="2"/>
  <c r="K1832" i="2"/>
  <c r="J1832" i="2"/>
  <c r="I1832" i="2"/>
  <c r="H1832" i="2"/>
  <c r="G1832" i="2"/>
  <c r="F1832" i="2"/>
  <c r="E1832" i="2"/>
  <c r="D1832" i="2"/>
  <c r="C1832" i="2"/>
  <c r="B1832" i="2"/>
  <c r="A1832" i="2"/>
  <c r="M1831" i="2"/>
  <c r="L1831" i="2"/>
  <c r="K1831" i="2"/>
  <c r="J1831" i="2"/>
  <c r="I1831" i="2"/>
  <c r="H1831" i="2"/>
  <c r="G1831" i="2"/>
  <c r="F1831" i="2"/>
  <c r="E1831" i="2"/>
  <c r="D1831" i="2"/>
  <c r="C1831" i="2"/>
  <c r="B1831" i="2"/>
  <c r="A1831" i="2"/>
  <c r="M1830" i="2"/>
  <c r="L1830" i="2"/>
  <c r="K1830" i="2"/>
  <c r="J1830" i="2"/>
  <c r="I1830" i="2"/>
  <c r="H1830" i="2"/>
  <c r="G1830" i="2"/>
  <c r="F1830" i="2"/>
  <c r="E1830" i="2"/>
  <c r="D1830" i="2"/>
  <c r="C1830" i="2"/>
  <c r="B1830" i="2"/>
  <c r="A1830" i="2"/>
  <c r="M1829" i="2"/>
  <c r="L1829" i="2"/>
  <c r="K1829" i="2"/>
  <c r="J1829" i="2"/>
  <c r="I1829" i="2"/>
  <c r="H1829" i="2"/>
  <c r="G1829" i="2"/>
  <c r="F1829" i="2"/>
  <c r="E1829" i="2"/>
  <c r="D1829" i="2"/>
  <c r="C1829" i="2"/>
  <c r="B1829" i="2"/>
  <c r="A1829" i="2"/>
  <c r="M1828" i="2"/>
  <c r="L1828" i="2"/>
  <c r="K1828" i="2"/>
  <c r="J1828" i="2"/>
  <c r="I1828" i="2"/>
  <c r="H1828" i="2"/>
  <c r="G1828" i="2"/>
  <c r="F1828" i="2"/>
  <c r="E1828" i="2"/>
  <c r="D1828" i="2"/>
  <c r="C1828" i="2"/>
  <c r="B1828" i="2"/>
  <c r="A1828" i="2"/>
  <c r="M1827" i="2"/>
  <c r="L1827" i="2"/>
  <c r="K1827" i="2"/>
  <c r="J1827" i="2"/>
  <c r="I1827" i="2"/>
  <c r="H1827" i="2"/>
  <c r="G1827" i="2"/>
  <c r="F1827" i="2"/>
  <c r="E1827" i="2"/>
  <c r="D1827" i="2"/>
  <c r="C1827" i="2"/>
  <c r="B1827" i="2"/>
  <c r="A1827" i="2"/>
  <c r="M1826" i="2"/>
  <c r="L1826" i="2"/>
  <c r="K1826" i="2"/>
  <c r="J1826" i="2"/>
  <c r="I1826" i="2"/>
  <c r="H1826" i="2"/>
  <c r="G1826" i="2"/>
  <c r="F1826" i="2"/>
  <c r="E1826" i="2"/>
  <c r="D1826" i="2"/>
  <c r="C1826" i="2"/>
  <c r="B1826" i="2"/>
  <c r="A1826" i="2"/>
  <c r="M1825" i="2"/>
  <c r="L1825" i="2"/>
  <c r="K1825" i="2"/>
  <c r="J1825" i="2"/>
  <c r="I1825" i="2"/>
  <c r="H1825" i="2"/>
  <c r="F1825" i="2"/>
  <c r="E1825" i="2"/>
  <c r="D1825" i="2"/>
  <c r="C1825" i="2"/>
  <c r="B1825" i="2"/>
  <c r="A1825" i="2"/>
  <c r="M1824" i="2"/>
  <c r="L1824" i="2"/>
  <c r="K1824" i="2"/>
  <c r="J1824" i="2"/>
  <c r="I1824" i="2"/>
  <c r="H1824" i="2"/>
  <c r="F1824" i="2"/>
  <c r="E1824" i="2"/>
  <c r="D1824" i="2"/>
  <c r="C1824" i="2"/>
  <c r="B1824" i="2"/>
  <c r="A1824" i="2"/>
  <c r="M1823" i="2"/>
  <c r="L1823" i="2"/>
  <c r="K1823" i="2"/>
  <c r="J1823" i="2"/>
  <c r="I1823" i="2"/>
  <c r="H1823" i="2"/>
  <c r="F1823" i="2"/>
  <c r="E1823" i="2"/>
  <c r="D1823" i="2"/>
  <c r="C1823" i="2"/>
  <c r="B1823" i="2"/>
  <c r="A1823" i="2"/>
  <c r="M1822" i="2"/>
  <c r="L1822" i="2"/>
  <c r="K1822" i="2"/>
  <c r="J1822" i="2"/>
  <c r="I1822" i="2"/>
  <c r="H1822" i="2"/>
  <c r="F1822" i="2"/>
  <c r="E1822" i="2"/>
  <c r="D1822" i="2"/>
  <c r="C1822" i="2"/>
  <c r="B1822" i="2"/>
  <c r="A1822" i="2"/>
  <c r="M1821" i="2"/>
  <c r="L1821" i="2"/>
  <c r="K1821" i="2"/>
  <c r="J1821" i="2"/>
  <c r="I1821" i="2"/>
  <c r="H1821" i="2"/>
  <c r="F1821" i="2"/>
  <c r="E1821" i="2"/>
  <c r="D1821" i="2"/>
  <c r="C1821" i="2"/>
  <c r="B1821" i="2"/>
  <c r="A1821" i="2"/>
  <c r="M1820" i="2"/>
  <c r="L1820" i="2"/>
  <c r="K1820" i="2"/>
  <c r="J1820" i="2"/>
  <c r="I1820" i="2"/>
  <c r="H1820" i="2"/>
  <c r="F1820" i="2"/>
  <c r="E1820" i="2"/>
  <c r="D1820" i="2"/>
  <c r="C1820" i="2"/>
  <c r="B1820" i="2"/>
  <c r="A1820" i="2"/>
  <c r="M1819" i="2"/>
  <c r="L1819" i="2"/>
  <c r="K1819" i="2"/>
  <c r="J1819" i="2"/>
  <c r="I1819" i="2"/>
  <c r="H1819" i="2"/>
  <c r="F1819" i="2"/>
  <c r="E1819" i="2"/>
  <c r="D1819" i="2"/>
  <c r="C1819" i="2"/>
  <c r="B1819" i="2"/>
  <c r="A1819" i="2"/>
  <c r="F1818" i="2"/>
  <c r="D1818" i="2"/>
  <c r="C1818" i="2"/>
  <c r="A1818" i="2"/>
  <c r="M1817" i="2"/>
  <c r="L1817" i="2"/>
  <c r="K1817" i="2"/>
  <c r="J1817" i="2"/>
  <c r="I1817" i="2"/>
  <c r="H1817" i="2"/>
  <c r="G1817" i="2"/>
  <c r="F1817" i="2"/>
  <c r="E1817" i="2"/>
  <c r="D1817" i="2"/>
  <c r="C1817" i="2"/>
  <c r="B1817" i="2"/>
  <c r="A1817" i="2"/>
  <c r="M1816" i="2"/>
  <c r="L1816" i="2"/>
  <c r="K1816" i="2"/>
  <c r="J1816" i="2"/>
  <c r="I1816" i="2"/>
  <c r="H1816" i="2"/>
  <c r="G1816" i="2"/>
  <c r="F1816" i="2"/>
  <c r="E1816" i="2"/>
  <c r="D1816" i="2"/>
  <c r="C1816" i="2"/>
  <c r="B1816" i="2"/>
  <c r="A1816" i="2"/>
  <c r="M1815" i="2"/>
  <c r="L1815" i="2"/>
  <c r="K1815" i="2"/>
  <c r="J1815" i="2"/>
  <c r="I1815" i="2"/>
  <c r="H1815" i="2"/>
  <c r="G1815" i="2"/>
  <c r="F1815" i="2"/>
  <c r="E1815" i="2"/>
  <c r="D1815" i="2"/>
  <c r="C1815" i="2"/>
  <c r="B1815" i="2"/>
  <c r="A1815" i="2"/>
  <c r="M1814" i="2"/>
  <c r="L1814" i="2"/>
  <c r="K1814" i="2"/>
  <c r="J1814" i="2"/>
  <c r="I1814" i="2"/>
  <c r="H1814" i="2"/>
  <c r="G1814" i="2"/>
  <c r="F1814" i="2"/>
  <c r="E1814" i="2"/>
  <c r="D1814" i="2"/>
  <c r="C1814" i="2"/>
  <c r="B1814" i="2"/>
  <c r="A1814" i="2"/>
  <c r="M1813" i="2"/>
  <c r="L1813" i="2"/>
  <c r="K1813" i="2"/>
  <c r="J1813" i="2"/>
  <c r="I1813" i="2"/>
  <c r="H1813" i="2"/>
  <c r="G1813" i="2"/>
  <c r="F1813" i="2"/>
  <c r="E1813" i="2"/>
  <c r="D1813" i="2"/>
  <c r="C1813" i="2"/>
  <c r="B1813" i="2"/>
  <c r="A1813" i="2"/>
  <c r="M1812" i="2"/>
  <c r="L1812" i="2"/>
  <c r="K1812" i="2"/>
  <c r="J1812" i="2"/>
  <c r="I1812" i="2"/>
  <c r="H1812" i="2"/>
  <c r="G1812" i="2"/>
  <c r="F1812" i="2"/>
  <c r="E1812" i="2"/>
  <c r="D1812" i="2"/>
  <c r="C1812" i="2"/>
  <c r="B1812" i="2"/>
  <c r="A1812" i="2"/>
  <c r="M1811" i="2"/>
  <c r="L1811" i="2"/>
  <c r="K1811" i="2"/>
  <c r="J1811" i="2"/>
  <c r="I1811" i="2"/>
  <c r="H1811" i="2"/>
  <c r="G1811" i="2"/>
  <c r="F1811" i="2"/>
  <c r="E1811" i="2"/>
  <c r="D1811" i="2"/>
  <c r="C1811" i="2"/>
  <c r="B1811" i="2"/>
  <c r="A1811" i="2"/>
  <c r="M1810" i="2"/>
  <c r="L1810" i="2"/>
  <c r="K1810" i="2"/>
  <c r="J1810" i="2"/>
  <c r="I1810" i="2"/>
  <c r="H1810" i="2"/>
  <c r="G1810" i="2"/>
  <c r="F1810" i="2"/>
  <c r="E1810" i="2"/>
  <c r="D1810" i="2"/>
  <c r="C1810" i="2"/>
  <c r="B1810" i="2"/>
  <c r="A1810" i="2"/>
  <c r="M1809" i="2"/>
  <c r="L1809" i="2"/>
  <c r="K1809" i="2"/>
  <c r="J1809" i="2"/>
  <c r="I1809" i="2"/>
  <c r="H1809" i="2"/>
  <c r="G1809" i="2"/>
  <c r="F1809" i="2"/>
  <c r="E1809" i="2"/>
  <c r="D1809" i="2"/>
  <c r="C1809" i="2"/>
  <c r="B1809" i="2"/>
  <c r="A1809" i="2"/>
  <c r="M1808" i="2"/>
  <c r="L1808" i="2"/>
  <c r="K1808" i="2"/>
  <c r="J1808" i="2"/>
  <c r="I1808" i="2"/>
  <c r="H1808" i="2"/>
  <c r="G1808" i="2"/>
  <c r="F1808" i="2"/>
  <c r="E1808" i="2"/>
  <c r="D1808" i="2"/>
  <c r="C1808" i="2"/>
  <c r="B1808" i="2"/>
  <c r="A1808" i="2"/>
  <c r="M1807" i="2"/>
  <c r="L1807" i="2"/>
  <c r="K1807" i="2"/>
  <c r="J1807" i="2"/>
  <c r="I1807" i="2"/>
  <c r="H1807" i="2"/>
  <c r="G1807" i="2"/>
  <c r="F1807" i="2"/>
  <c r="E1807" i="2"/>
  <c r="D1807" i="2"/>
  <c r="C1807" i="2"/>
  <c r="B1807" i="2"/>
  <c r="A1807" i="2"/>
  <c r="M1806" i="2"/>
  <c r="L1806" i="2"/>
  <c r="K1806" i="2"/>
  <c r="J1806" i="2"/>
  <c r="I1806" i="2"/>
  <c r="H1806" i="2"/>
  <c r="G1806" i="2"/>
  <c r="F1806" i="2"/>
  <c r="E1806" i="2"/>
  <c r="D1806" i="2"/>
  <c r="C1806" i="2"/>
  <c r="B1806" i="2"/>
  <c r="A1806" i="2"/>
  <c r="M1805" i="2"/>
  <c r="L1805" i="2"/>
  <c r="K1805" i="2"/>
  <c r="J1805" i="2"/>
  <c r="I1805" i="2"/>
  <c r="H1805" i="2"/>
  <c r="G1805" i="2"/>
  <c r="F1805" i="2"/>
  <c r="E1805" i="2"/>
  <c r="D1805" i="2"/>
  <c r="C1805" i="2"/>
  <c r="B1805" i="2"/>
  <c r="A1805" i="2"/>
  <c r="M1804" i="2"/>
  <c r="L1804" i="2"/>
  <c r="K1804" i="2"/>
  <c r="J1804" i="2"/>
  <c r="I1804" i="2"/>
  <c r="H1804" i="2"/>
  <c r="G1804" i="2"/>
  <c r="F1804" i="2"/>
  <c r="E1804" i="2"/>
  <c r="D1804" i="2"/>
  <c r="C1804" i="2"/>
  <c r="B1804" i="2"/>
  <c r="A1804" i="2"/>
  <c r="M1803" i="2"/>
  <c r="L1803" i="2"/>
  <c r="K1803" i="2"/>
  <c r="J1803" i="2"/>
  <c r="I1803" i="2"/>
  <c r="H1803" i="2"/>
  <c r="G1803" i="2"/>
  <c r="F1803" i="2"/>
  <c r="E1803" i="2"/>
  <c r="D1803" i="2"/>
  <c r="C1803" i="2"/>
  <c r="B1803" i="2"/>
  <c r="A1803" i="2"/>
  <c r="M1802" i="2"/>
  <c r="L1802" i="2"/>
  <c r="K1802" i="2"/>
  <c r="J1802" i="2"/>
  <c r="I1802" i="2"/>
  <c r="H1802" i="2"/>
  <c r="G1802" i="2"/>
  <c r="F1802" i="2"/>
  <c r="E1802" i="2"/>
  <c r="D1802" i="2"/>
  <c r="C1802" i="2"/>
  <c r="B1802" i="2"/>
  <c r="A1802" i="2"/>
  <c r="M1801" i="2"/>
  <c r="L1801" i="2"/>
  <c r="K1801" i="2"/>
  <c r="J1801" i="2"/>
  <c r="I1801" i="2"/>
  <c r="H1801" i="2"/>
  <c r="G1801" i="2"/>
  <c r="F1801" i="2"/>
  <c r="E1801" i="2"/>
  <c r="D1801" i="2"/>
  <c r="C1801" i="2"/>
  <c r="B1801" i="2"/>
  <c r="A1801" i="2"/>
  <c r="M1800" i="2"/>
  <c r="L1800" i="2"/>
  <c r="K1800" i="2"/>
  <c r="J1800" i="2"/>
  <c r="I1800" i="2"/>
  <c r="H1800" i="2"/>
  <c r="G1800" i="2"/>
  <c r="F1800" i="2"/>
  <c r="E1800" i="2"/>
  <c r="D1800" i="2"/>
  <c r="C1800" i="2"/>
  <c r="B1800" i="2"/>
  <c r="A1800" i="2"/>
  <c r="M1799" i="2"/>
  <c r="L1799" i="2"/>
  <c r="K1799" i="2"/>
  <c r="J1799" i="2"/>
  <c r="I1799" i="2"/>
  <c r="H1799" i="2"/>
  <c r="G1799" i="2"/>
  <c r="F1799" i="2"/>
  <c r="E1799" i="2"/>
  <c r="D1799" i="2"/>
  <c r="C1799" i="2"/>
  <c r="B1799" i="2"/>
  <c r="A1799" i="2"/>
  <c r="M1798" i="2"/>
  <c r="L1798" i="2"/>
  <c r="K1798" i="2"/>
  <c r="J1798" i="2"/>
  <c r="I1798" i="2"/>
  <c r="H1798" i="2"/>
  <c r="G1798" i="2"/>
  <c r="F1798" i="2"/>
  <c r="E1798" i="2"/>
  <c r="D1798" i="2"/>
  <c r="C1798" i="2"/>
  <c r="B1798" i="2"/>
  <c r="A1798" i="2"/>
  <c r="M1797" i="2"/>
  <c r="L1797" i="2"/>
  <c r="K1797" i="2"/>
  <c r="J1797" i="2"/>
  <c r="I1797" i="2"/>
  <c r="H1797" i="2"/>
  <c r="G1797" i="2"/>
  <c r="F1797" i="2"/>
  <c r="E1797" i="2"/>
  <c r="D1797" i="2"/>
  <c r="C1797" i="2"/>
  <c r="B1797" i="2"/>
  <c r="A1797" i="2"/>
  <c r="M1796" i="2"/>
  <c r="L1796" i="2"/>
  <c r="K1796" i="2"/>
  <c r="J1796" i="2"/>
  <c r="I1796" i="2"/>
  <c r="H1796" i="2"/>
  <c r="G1796" i="2"/>
  <c r="F1796" i="2"/>
  <c r="E1796" i="2"/>
  <c r="D1796" i="2"/>
  <c r="C1796" i="2"/>
  <c r="B1796" i="2"/>
  <c r="A1796" i="2"/>
  <c r="M1795" i="2"/>
  <c r="L1795" i="2"/>
  <c r="K1795" i="2"/>
  <c r="J1795" i="2"/>
  <c r="I1795" i="2"/>
  <c r="H1795" i="2"/>
  <c r="G1795" i="2"/>
  <c r="F1795" i="2"/>
  <c r="E1795" i="2"/>
  <c r="D1795" i="2"/>
  <c r="C1795" i="2"/>
  <c r="B1795" i="2"/>
  <c r="A1795" i="2"/>
  <c r="M1794" i="2"/>
  <c r="L1794" i="2"/>
  <c r="K1794" i="2"/>
  <c r="J1794" i="2"/>
  <c r="I1794" i="2"/>
  <c r="H1794" i="2"/>
  <c r="G1794" i="2"/>
  <c r="F1794" i="2"/>
  <c r="E1794" i="2"/>
  <c r="D1794" i="2"/>
  <c r="C1794" i="2"/>
  <c r="B1794" i="2"/>
  <c r="A1794" i="2"/>
  <c r="M1793" i="2"/>
  <c r="L1793" i="2"/>
  <c r="K1793" i="2"/>
  <c r="J1793" i="2"/>
  <c r="I1793" i="2"/>
  <c r="H1793" i="2"/>
  <c r="G1793" i="2"/>
  <c r="F1793" i="2"/>
  <c r="E1793" i="2"/>
  <c r="D1793" i="2"/>
  <c r="C1793" i="2"/>
  <c r="B1793" i="2"/>
  <c r="A1793" i="2"/>
  <c r="M1792" i="2"/>
  <c r="K1792" i="2"/>
  <c r="I1792" i="2"/>
  <c r="H1792" i="2"/>
  <c r="F1792" i="2"/>
  <c r="D1792" i="2"/>
  <c r="C1792" i="2"/>
  <c r="B1792" i="2"/>
  <c r="A1792" i="2"/>
  <c r="M1791" i="2"/>
  <c r="K1791" i="2"/>
  <c r="I1791" i="2"/>
  <c r="H1791" i="2"/>
  <c r="F1791" i="2"/>
  <c r="D1791" i="2"/>
  <c r="C1791" i="2"/>
  <c r="B1791" i="2"/>
  <c r="A1791" i="2"/>
  <c r="M1790" i="2"/>
  <c r="K1790" i="2"/>
  <c r="I1790" i="2"/>
  <c r="H1790" i="2"/>
  <c r="F1790" i="2"/>
  <c r="D1790" i="2"/>
  <c r="C1790" i="2"/>
  <c r="B1790" i="2"/>
  <c r="A1790" i="2"/>
  <c r="M1789" i="2"/>
  <c r="K1789" i="2"/>
  <c r="I1789" i="2"/>
  <c r="H1789" i="2"/>
  <c r="F1789" i="2"/>
  <c r="D1789" i="2"/>
  <c r="C1789" i="2"/>
  <c r="B1789" i="2"/>
  <c r="A1789" i="2"/>
  <c r="M1788" i="2"/>
  <c r="K1788" i="2"/>
  <c r="I1788" i="2"/>
  <c r="H1788" i="2"/>
  <c r="F1788" i="2"/>
  <c r="D1788" i="2"/>
  <c r="C1788" i="2"/>
  <c r="B1788" i="2"/>
  <c r="A1788" i="2"/>
  <c r="M1787" i="2"/>
  <c r="K1787" i="2"/>
  <c r="I1787" i="2"/>
  <c r="H1787" i="2"/>
  <c r="F1787" i="2"/>
  <c r="D1787" i="2"/>
  <c r="C1787" i="2"/>
  <c r="B1787" i="2"/>
  <c r="A1787" i="2"/>
  <c r="M1786" i="2"/>
  <c r="K1786" i="2"/>
  <c r="I1786" i="2"/>
  <c r="H1786" i="2"/>
  <c r="F1786" i="2"/>
  <c r="D1786" i="2"/>
  <c r="C1786" i="2"/>
  <c r="B1786" i="2"/>
  <c r="A1786" i="2"/>
  <c r="M1785" i="2"/>
  <c r="K1785" i="2"/>
  <c r="I1785" i="2"/>
  <c r="H1785" i="2"/>
  <c r="F1785" i="2"/>
  <c r="D1785" i="2"/>
  <c r="C1785" i="2"/>
  <c r="B1785" i="2"/>
  <c r="A1785" i="2"/>
  <c r="M1784" i="2"/>
  <c r="K1784" i="2"/>
  <c r="I1784" i="2"/>
  <c r="H1784" i="2"/>
  <c r="F1784" i="2"/>
  <c r="D1784" i="2"/>
  <c r="C1784" i="2"/>
  <c r="B1784" i="2"/>
  <c r="A1784" i="2"/>
  <c r="M1783" i="2"/>
  <c r="K1783" i="2"/>
  <c r="I1783" i="2"/>
  <c r="H1783" i="2"/>
  <c r="F1783" i="2"/>
  <c r="D1783" i="2"/>
  <c r="C1783" i="2"/>
  <c r="B1783" i="2"/>
  <c r="A1783" i="2"/>
  <c r="M1782" i="2"/>
  <c r="K1782" i="2"/>
  <c r="I1782" i="2"/>
  <c r="H1782" i="2"/>
  <c r="F1782" i="2"/>
  <c r="D1782" i="2"/>
  <c r="C1782" i="2"/>
  <c r="B1782" i="2"/>
  <c r="A1782" i="2"/>
  <c r="M1781" i="2"/>
  <c r="K1781" i="2"/>
  <c r="I1781" i="2"/>
  <c r="H1781" i="2"/>
  <c r="F1781" i="2"/>
  <c r="D1781" i="2"/>
  <c r="C1781" i="2"/>
  <c r="B1781" i="2"/>
  <c r="A1781" i="2"/>
  <c r="M1780" i="2"/>
  <c r="K1780" i="2"/>
  <c r="I1780" i="2"/>
  <c r="H1780" i="2"/>
  <c r="F1780" i="2"/>
  <c r="D1780" i="2"/>
  <c r="C1780" i="2"/>
  <c r="B1780" i="2"/>
  <c r="A1780" i="2"/>
  <c r="M1779" i="2"/>
  <c r="K1779" i="2"/>
  <c r="I1779" i="2"/>
  <c r="H1779" i="2"/>
  <c r="F1779" i="2"/>
  <c r="D1779" i="2"/>
  <c r="C1779" i="2"/>
  <c r="B1779" i="2"/>
  <c r="A1779" i="2"/>
  <c r="M1778" i="2"/>
  <c r="K1778" i="2"/>
  <c r="I1778" i="2"/>
  <c r="H1778" i="2"/>
  <c r="F1778" i="2"/>
  <c r="D1778" i="2"/>
  <c r="C1778" i="2"/>
  <c r="B1778" i="2"/>
  <c r="A1778" i="2"/>
  <c r="M1777" i="2"/>
  <c r="K1777" i="2"/>
  <c r="I1777" i="2"/>
  <c r="H1777" i="2"/>
  <c r="F1777" i="2"/>
  <c r="D1777" i="2"/>
  <c r="C1777" i="2"/>
  <c r="B1777" i="2"/>
  <c r="A1777" i="2"/>
  <c r="M1776" i="2"/>
  <c r="K1776" i="2"/>
  <c r="I1776" i="2"/>
  <c r="H1776" i="2"/>
  <c r="F1776" i="2"/>
  <c r="D1776" i="2"/>
  <c r="C1776" i="2"/>
  <c r="B1776" i="2"/>
  <c r="A1776" i="2"/>
  <c r="M1775" i="2"/>
  <c r="K1775" i="2"/>
  <c r="I1775" i="2"/>
  <c r="H1775" i="2"/>
  <c r="F1775" i="2"/>
  <c r="D1775" i="2"/>
  <c r="C1775" i="2"/>
  <c r="B1775" i="2"/>
  <c r="A1775" i="2"/>
  <c r="M1774" i="2"/>
  <c r="K1774" i="2"/>
  <c r="I1774" i="2"/>
  <c r="H1774" i="2"/>
  <c r="F1774" i="2"/>
  <c r="D1774" i="2"/>
  <c r="C1774" i="2"/>
  <c r="B1774" i="2"/>
  <c r="A1774" i="2"/>
  <c r="M1773" i="2"/>
  <c r="K1773" i="2"/>
  <c r="I1773" i="2"/>
  <c r="H1773" i="2"/>
  <c r="F1773" i="2"/>
  <c r="D1773" i="2"/>
  <c r="C1773" i="2"/>
  <c r="B1773" i="2"/>
  <c r="A1773" i="2"/>
  <c r="M1772" i="2"/>
  <c r="K1772" i="2"/>
  <c r="I1772" i="2"/>
  <c r="H1772" i="2"/>
  <c r="F1772" i="2"/>
  <c r="D1772" i="2"/>
  <c r="C1772" i="2"/>
  <c r="B1772" i="2"/>
  <c r="A1772" i="2"/>
  <c r="M1771" i="2"/>
  <c r="K1771" i="2"/>
  <c r="I1771" i="2"/>
  <c r="H1771" i="2"/>
  <c r="F1771" i="2"/>
  <c r="D1771" i="2"/>
  <c r="C1771" i="2"/>
  <c r="B1771" i="2"/>
  <c r="A1771" i="2"/>
  <c r="M1770" i="2"/>
  <c r="K1770" i="2"/>
  <c r="I1770" i="2"/>
  <c r="H1770" i="2"/>
  <c r="F1770" i="2"/>
  <c r="D1770" i="2"/>
  <c r="C1770" i="2"/>
  <c r="B1770" i="2"/>
  <c r="A1770" i="2"/>
  <c r="M1769" i="2"/>
  <c r="K1769" i="2"/>
  <c r="I1769" i="2"/>
  <c r="H1769" i="2"/>
  <c r="F1769" i="2"/>
  <c r="D1769" i="2"/>
  <c r="C1769" i="2"/>
  <c r="B1769" i="2"/>
  <c r="A1769" i="2"/>
  <c r="M1768" i="2"/>
  <c r="L1768" i="2"/>
  <c r="K1768" i="2"/>
  <c r="J1768" i="2"/>
  <c r="I1768" i="2"/>
  <c r="H1768" i="2"/>
  <c r="G1768" i="2"/>
  <c r="F1768" i="2"/>
  <c r="E1768" i="2"/>
  <c r="D1768" i="2"/>
  <c r="C1768" i="2"/>
  <c r="B1768" i="2"/>
  <c r="A1768" i="2"/>
  <c r="M1767" i="2"/>
  <c r="L1767" i="2"/>
  <c r="K1767" i="2"/>
  <c r="J1767" i="2"/>
  <c r="I1767" i="2"/>
  <c r="H1767" i="2"/>
  <c r="G1767" i="2"/>
  <c r="F1767" i="2"/>
  <c r="E1767" i="2"/>
  <c r="D1767" i="2"/>
  <c r="C1767" i="2"/>
  <c r="B1767" i="2"/>
  <c r="A1767" i="2"/>
  <c r="M1766" i="2"/>
  <c r="L1766" i="2"/>
  <c r="K1766" i="2"/>
  <c r="J1766" i="2"/>
  <c r="I1766" i="2"/>
  <c r="H1766" i="2"/>
  <c r="G1766" i="2"/>
  <c r="F1766" i="2"/>
  <c r="E1766" i="2"/>
  <c r="D1766" i="2"/>
  <c r="C1766" i="2"/>
  <c r="B1766" i="2"/>
  <c r="A1766" i="2"/>
  <c r="M1765" i="2"/>
  <c r="L1765" i="2"/>
  <c r="K1765" i="2"/>
  <c r="J1765" i="2"/>
  <c r="I1765" i="2"/>
  <c r="H1765" i="2"/>
  <c r="G1765" i="2"/>
  <c r="F1765" i="2"/>
  <c r="E1765" i="2"/>
  <c r="D1765" i="2"/>
  <c r="C1765" i="2"/>
  <c r="B1765" i="2"/>
  <c r="A1765" i="2"/>
  <c r="M1764" i="2"/>
  <c r="L1764" i="2"/>
  <c r="K1764" i="2"/>
  <c r="J1764" i="2"/>
  <c r="I1764" i="2"/>
  <c r="H1764" i="2"/>
  <c r="G1764" i="2"/>
  <c r="F1764" i="2"/>
  <c r="E1764" i="2"/>
  <c r="D1764" i="2"/>
  <c r="C1764" i="2"/>
  <c r="B1764" i="2"/>
  <c r="A1764" i="2"/>
  <c r="M1763" i="2"/>
  <c r="L1763" i="2"/>
  <c r="K1763" i="2"/>
  <c r="J1763" i="2"/>
  <c r="I1763" i="2"/>
  <c r="H1763" i="2"/>
  <c r="G1763" i="2"/>
  <c r="F1763" i="2"/>
  <c r="E1763" i="2"/>
  <c r="D1763" i="2"/>
  <c r="C1763" i="2"/>
  <c r="B1763" i="2"/>
  <c r="A1763" i="2"/>
  <c r="M1762" i="2"/>
  <c r="L1762" i="2"/>
  <c r="K1762" i="2"/>
  <c r="J1762" i="2"/>
  <c r="I1762" i="2"/>
  <c r="H1762" i="2"/>
  <c r="G1762" i="2"/>
  <c r="F1762" i="2"/>
  <c r="E1762" i="2"/>
  <c r="D1762" i="2"/>
  <c r="C1762" i="2"/>
  <c r="B1762" i="2"/>
  <c r="A1762" i="2"/>
  <c r="M1761" i="2"/>
  <c r="L1761" i="2"/>
  <c r="K1761" i="2"/>
  <c r="J1761" i="2"/>
  <c r="I1761" i="2"/>
  <c r="H1761" i="2"/>
  <c r="G1761" i="2"/>
  <c r="F1761" i="2"/>
  <c r="E1761" i="2"/>
  <c r="D1761" i="2"/>
  <c r="C1761" i="2"/>
  <c r="B1761" i="2"/>
  <c r="A1761" i="2"/>
  <c r="M1760" i="2"/>
  <c r="L1760" i="2"/>
  <c r="K1760" i="2"/>
  <c r="J1760" i="2"/>
  <c r="I1760" i="2"/>
  <c r="H1760" i="2"/>
  <c r="G1760" i="2"/>
  <c r="F1760" i="2"/>
  <c r="E1760" i="2"/>
  <c r="D1760" i="2"/>
  <c r="C1760" i="2"/>
  <c r="B1760" i="2"/>
  <c r="A1760" i="2"/>
  <c r="M1759" i="2"/>
  <c r="L1759" i="2"/>
  <c r="K1759" i="2"/>
  <c r="J1759" i="2"/>
  <c r="I1759" i="2"/>
  <c r="H1759" i="2"/>
  <c r="G1759" i="2"/>
  <c r="F1759" i="2"/>
  <c r="E1759" i="2"/>
  <c r="D1759" i="2"/>
  <c r="C1759" i="2"/>
  <c r="B1759" i="2"/>
  <c r="A1759" i="2"/>
  <c r="M1758" i="2"/>
  <c r="L1758" i="2"/>
  <c r="K1758" i="2"/>
  <c r="J1758" i="2"/>
  <c r="I1758" i="2"/>
  <c r="H1758" i="2"/>
  <c r="G1758" i="2"/>
  <c r="F1758" i="2"/>
  <c r="E1758" i="2"/>
  <c r="D1758" i="2"/>
  <c r="C1758" i="2"/>
  <c r="B1758" i="2"/>
  <c r="A1758" i="2"/>
  <c r="M1757" i="2"/>
  <c r="L1757" i="2"/>
  <c r="K1757" i="2"/>
  <c r="J1757" i="2"/>
  <c r="I1757" i="2"/>
  <c r="H1757" i="2"/>
  <c r="G1757" i="2"/>
  <c r="F1757" i="2"/>
  <c r="E1757" i="2"/>
  <c r="D1757" i="2"/>
  <c r="C1757" i="2"/>
  <c r="B1757" i="2"/>
  <c r="A1757" i="2"/>
  <c r="M1756" i="2"/>
  <c r="L1756" i="2"/>
  <c r="K1756" i="2"/>
  <c r="J1756" i="2"/>
  <c r="I1756" i="2"/>
  <c r="H1756" i="2"/>
  <c r="G1756" i="2"/>
  <c r="F1756" i="2"/>
  <c r="E1756" i="2"/>
  <c r="D1756" i="2"/>
  <c r="C1756" i="2"/>
  <c r="B1756" i="2"/>
  <c r="A1756" i="2"/>
  <c r="M1755" i="2"/>
  <c r="L1755" i="2"/>
  <c r="K1755" i="2"/>
  <c r="J1755" i="2"/>
  <c r="I1755" i="2"/>
  <c r="H1755" i="2"/>
  <c r="G1755" i="2"/>
  <c r="F1755" i="2"/>
  <c r="E1755" i="2"/>
  <c r="D1755" i="2"/>
  <c r="C1755" i="2"/>
  <c r="B1755" i="2"/>
  <c r="A1755" i="2"/>
  <c r="M1754" i="2"/>
  <c r="L1754" i="2"/>
  <c r="K1754" i="2"/>
  <c r="J1754" i="2"/>
  <c r="I1754" i="2"/>
  <c r="H1754" i="2"/>
  <c r="G1754" i="2"/>
  <c r="F1754" i="2"/>
  <c r="E1754" i="2"/>
  <c r="D1754" i="2"/>
  <c r="C1754" i="2"/>
  <c r="B1754" i="2"/>
  <c r="A1754" i="2"/>
  <c r="M1753" i="2"/>
  <c r="L1753" i="2"/>
  <c r="K1753" i="2"/>
  <c r="J1753" i="2"/>
  <c r="I1753" i="2"/>
  <c r="H1753" i="2"/>
  <c r="G1753" i="2"/>
  <c r="F1753" i="2"/>
  <c r="E1753" i="2"/>
  <c r="D1753" i="2"/>
  <c r="C1753" i="2"/>
  <c r="B1753" i="2"/>
  <c r="A1753" i="2"/>
  <c r="M1752" i="2"/>
  <c r="L1752" i="2"/>
  <c r="K1752" i="2"/>
  <c r="J1752" i="2"/>
  <c r="I1752" i="2"/>
  <c r="H1752" i="2"/>
  <c r="G1752" i="2"/>
  <c r="F1752" i="2"/>
  <c r="E1752" i="2"/>
  <c r="D1752" i="2"/>
  <c r="C1752" i="2"/>
  <c r="B1752" i="2"/>
  <c r="A1752" i="2"/>
  <c r="M1751" i="2"/>
  <c r="L1751" i="2"/>
  <c r="K1751" i="2"/>
  <c r="J1751" i="2"/>
  <c r="I1751" i="2"/>
  <c r="H1751" i="2"/>
  <c r="G1751" i="2"/>
  <c r="F1751" i="2"/>
  <c r="E1751" i="2"/>
  <c r="D1751" i="2"/>
  <c r="C1751" i="2"/>
  <c r="B1751" i="2"/>
  <c r="A1751" i="2"/>
  <c r="M1750" i="2"/>
  <c r="L1750" i="2"/>
  <c r="K1750" i="2"/>
  <c r="J1750" i="2"/>
  <c r="I1750" i="2"/>
  <c r="H1750" i="2"/>
  <c r="G1750" i="2"/>
  <c r="F1750" i="2"/>
  <c r="E1750" i="2"/>
  <c r="D1750" i="2"/>
  <c r="C1750" i="2"/>
  <c r="B1750" i="2"/>
  <c r="A1750" i="2"/>
  <c r="M1749" i="2"/>
  <c r="L1749" i="2"/>
  <c r="K1749" i="2"/>
  <c r="J1749" i="2"/>
  <c r="I1749" i="2"/>
  <c r="H1749" i="2"/>
  <c r="G1749" i="2"/>
  <c r="F1749" i="2"/>
  <c r="E1749" i="2"/>
  <c r="D1749" i="2"/>
  <c r="C1749" i="2"/>
  <c r="B1749" i="2"/>
  <c r="A1749" i="2"/>
  <c r="M1748" i="2"/>
  <c r="L1748" i="2"/>
  <c r="K1748" i="2"/>
  <c r="J1748" i="2"/>
  <c r="I1748" i="2"/>
  <c r="H1748" i="2"/>
  <c r="G1748" i="2"/>
  <c r="F1748" i="2"/>
  <c r="E1748" i="2"/>
  <c r="D1748" i="2"/>
  <c r="C1748" i="2"/>
  <c r="B1748" i="2"/>
  <c r="A1748" i="2"/>
  <c r="M1747" i="2"/>
  <c r="L1747" i="2"/>
  <c r="K1747" i="2"/>
  <c r="J1747" i="2"/>
  <c r="I1747" i="2"/>
  <c r="H1747" i="2"/>
  <c r="G1747" i="2"/>
  <c r="F1747" i="2"/>
  <c r="E1747" i="2"/>
  <c r="D1747" i="2"/>
  <c r="C1747" i="2"/>
  <c r="B1747" i="2"/>
  <c r="A1747" i="2"/>
  <c r="M1746" i="2"/>
  <c r="L1746" i="2"/>
  <c r="K1746" i="2"/>
  <c r="J1746" i="2"/>
  <c r="I1746" i="2"/>
  <c r="H1746" i="2"/>
  <c r="F1746" i="2"/>
  <c r="E1746" i="2"/>
  <c r="D1746" i="2"/>
  <c r="C1746" i="2"/>
  <c r="B1746" i="2"/>
  <c r="A1746" i="2"/>
  <c r="M1745" i="2"/>
  <c r="L1745" i="2"/>
  <c r="K1745" i="2"/>
  <c r="J1745" i="2"/>
  <c r="I1745" i="2"/>
  <c r="H1745" i="2"/>
  <c r="G1745" i="2"/>
  <c r="F1745" i="2"/>
  <c r="E1745" i="2"/>
  <c r="D1745" i="2"/>
  <c r="C1745" i="2"/>
  <c r="B1745" i="2"/>
  <c r="A1745" i="2"/>
  <c r="M1744" i="2"/>
  <c r="L1744" i="2"/>
  <c r="K1744" i="2"/>
  <c r="J1744" i="2"/>
  <c r="I1744" i="2"/>
  <c r="H1744" i="2"/>
  <c r="G1744" i="2"/>
  <c r="F1744" i="2"/>
  <c r="E1744" i="2"/>
  <c r="D1744" i="2"/>
  <c r="C1744" i="2"/>
  <c r="B1744" i="2"/>
  <c r="A1744" i="2"/>
  <c r="M1743" i="2"/>
  <c r="L1743" i="2"/>
  <c r="K1743" i="2"/>
  <c r="J1743" i="2"/>
  <c r="I1743" i="2"/>
  <c r="H1743" i="2"/>
  <c r="G1743" i="2"/>
  <c r="F1743" i="2"/>
  <c r="E1743" i="2"/>
  <c r="D1743" i="2"/>
  <c r="C1743" i="2"/>
  <c r="B1743" i="2"/>
  <c r="A1743" i="2"/>
  <c r="M1742" i="2"/>
  <c r="L1742" i="2"/>
  <c r="K1742" i="2"/>
  <c r="J1742" i="2"/>
  <c r="I1742" i="2"/>
  <c r="H1742" i="2"/>
  <c r="G1742" i="2"/>
  <c r="F1742" i="2"/>
  <c r="E1742" i="2"/>
  <c r="D1742" i="2"/>
  <c r="C1742" i="2"/>
  <c r="B1742" i="2"/>
  <c r="A1742" i="2"/>
  <c r="M1741" i="2"/>
  <c r="L1741" i="2"/>
  <c r="K1741" i="2"/>
  <c r="J1741" i="2"/>
  <c r="I1741" i="2"/>
  <c r="H1741" i="2"/>
  <c r="G1741" i="2"/>
  <c r="F1741" i="2"/>
  <c r="E1741" i="2"/>
  <c r="D1741" i="2"/>
  <c r="C1741" i="2"/>
  <c r="B1741" i="2"/>
  <c r="A1741" i="2"/>
  <c r="M1740" i="2"/>
  <c r="L1740" i="2"/>
  <c r="K1740" i="2"/>
  <c r="J1740" i="2"/>
  <c r="I1740" i="2"/>
  <c r="H1740" i="2"/>
  <c r="F1740" i="2"/>
  <c r="E1740" i="2"/>
  <c r="D1740" i="2"/>
  <c r="C1740" i="2"/>
  <c r="B1740" i="2"/>
  <c r="A1740" i="2"/>
  <c r="M1739" i="2"/>
  <c r="L1739" i="2"/>
  <c r="K1739" i="2"/>
  <c r="J1739" i="2"/>
  <c r="I1739" i="2"/>
  <c r="H1739" i="2"/>
  <c r="G1739" i="2"/>
  <c r="F1739" i="2"/>
  <c r="E1739" i="2"/>
  <c r="D1739" i="2"/>
  <c r="C1739" i="2"/>
  <c r="B1739" i="2"/>
  <c r="A1739" i="2"/>
  <c r="M1738" i="2"/>
  <c r="L1738" i="2"/>
  <c r="K1738" i="2"/>
  <c r="J1738" i="2"/>
  <c r="I1738" i="2"/>
  <c r="H1738" i="2"/>
  <c r="G1738" i="2"/>
  <c r="F1738" i="2"/>
  <c r="E1738" i="2"/>
  <c r="D1738" i="2"/>
  <c r="C1738" i="2"/>
  <c r="B1738" i="2"/>
  <c r="A1738" i="2"/>
  <c r="M1737" i="2"/>
  <c r="L1737" i="2"/>
  <c r="K1737" i="2"/>
  <c r="J1737" i="2"/>
  <c r="I1737" i="2"/>
  <c r="H1737" i="2"/>
  <c r="F1737" i="2"/>
  <c r="E1737" i="2"/>
  <c r="D1737" i="2"/>
  <c r="C1737" i="2"/>
  <c r="B1737" i="2"/>
  <c r="A1737" i="2"/>
  <c r="M1736" i="2"/>
  <c r="L1736" i="2"/>
  <c r="K1736" i="2"/>
  <c r="J1736" i="2"/>
  <c r="I1736" i="2"/>
  <c r="H1736" i="2"/>
  <c r="G1736" i="2"/>
  <c r="F1736" i="2"/>
  <c r="E1736" i="2"/>
  <c r="D1736" i="2"/>
  <c r="C1736" i="2"/>
  <c r="B1736" i="2"/>
  <c r="A1736" i="2"/>
  <c r="M1735" i="2"/>
  <c r="L1735" i="2"/>
  <c r="K1735" i="2"/>
  <c r="J1735" i="2"/>
  <c r="I1735" i="2"/>
  <c r="H1735" i="2"/>
  <c r="G1735" i="2"/>
  <c r="F1735" i="2"/>
  <c r="E1735" i="2"/>
  <c r="D1735" i="2"/>
  <c r="C1735" i="2"/>
  <c r="B1735" i="2"/>
  <c r="A1735" i="2"/>
  <c r="M1734" i="2"/>
  <c r="L1734" i="2"/>
  <c r="K1734" i="2"/>
  <c r="J1734" i="2"/>
  <c r="I1734" i="2"/>
  <c r="H1734" i="2"/>
  <c r="G1734" i="2"/>
  <c r="F1734" i="2"/>
  <c r="E1734" i="2"/>
  <c r="D1734" i="2"/>
  <c r="C1734" i="2"/>
  <c r="B1734" i="2"/>
  <c r="A1734" i="2"/>
  <c r="M1733" i="2"/>
  <c r="L1733" i="2"/>
  <c r="K1733" i="2"/>
  <c r="J1733" i="2"/>
  <c r="I1733" i="2"/>
  <c r="H1733" i="2"/>
  <c r="G1733" i="2"/>
  <c r="F1733" i="2"/>
  <c r="E1733" i="2"/>
  <c r="D1733" i="2"/>
  <c r="C1733" i="2"/>
  <c r="B1733" i="2"/>
  <c r="A1733" i="2"/>
  <c r="M1732" i="2"/>
  <c r="L1732" i="2"/>
  <c r="K1732" i="2"/>
  <c r="J1732" i="2"/>
  <c r="I1732" i="2"/>
  <c r="H1732" i="2"/>
  <c r="G1732" i="2"/>
  <c r="F1732" i="2"/>
  <c r="E1732" i="2"/>
  <c r="D1732" i="2"/>
  <c r="C1732" i="2"/>
  <c r="B1732" i="2"/>
  <c r="A1732" i="2"/>
  <c r="M1731" i="2"/>
  <c r="L1731" i="2"/>
  <c r="K1731" i="2"/>
  <c r="J1731" i="2"/>
  <c r="I1731" i="2"/>
  <c r="H1731" i="2"/>
  <c r="G1731" i="2"/>
  <c r="F1731" i="2"/>
  <c r="E1731" i="2"/>
  <c r="D1731" i="2"/>
  <c r="C1731" i="2"/>
  <c r="B1731" i="2"/>
  <c r="A1731" i="2"/>
  <c r="M1730" i="2"/>
  <c r="L1730" i="2"/>
  <c r="K1730" i="2"/>
  <c r="J1730" i="2"/>
  <c r="I1730" i="2"/>
  <c r="H1730" i="2"/>
  <c r="G1730" i="2"/>
  <c r="F1730" i="2"/>
  <c r="E1730" i="2"/>
  <c r="D1730" i="2"/>
  <c r="C1730" i="2"/>
  <c r="B1730" i="2"/>
  <c r="A1730" i="2"/>
  <c r="M1729" i="2"/>
  <c r="L1729" i="2"/>
  <c r="K1729" i="2"/>
  <c r="J1729" i="2"/>
  <c r="I1729" i="2"/>
  <c r="H1729" i="2"/>
  <c r="G1729" i="2"/>
  <c r="F1729" i="2"/>
  <c r="E1729" i="2"/>
  <c r="D1729" i="2"/>
  <c r="C1729" i="2"/>
  <c r="B1729" i="2"/>
  <c r="A1729" i="2"/>
  <c r="M1728" i="2"/>
  <c r="L1728" i="2"/>
  <c r="K1728" i="2"/>
  <c r="J1728" i="2"/>
  <c r="I1728" i="2"/>
  <c r="H1728" i="2"/>
  <c r="G1728" i="2"/>
  <c r="F1728" i="2"/>
  <c r="E1728" i="2"/>
  <c r="D1728" i="2"/>
  <c r="C1728" i="2"/>
  <c r="B1728" i="2"/>
  <c r="A1728" i="2"/>
  <c r="M1727" i="2"/>
  <c r="L1727" i="2"/>
  <c r="K1727" i="2"/>
  <c r="J1727" i="2"/>
  <c r="I1727" i="2"/>
  <c r="H1727" i="2"/>
  <c r="G1727" i="2"/>
  <c r="F1727" i="2"/>
  <c r="E1727" i="2"/>
  <c r="D1727" i="2"/>
  <c r="C1727" i="2"/>
  <c r="B1727" i="2"/>
  <c r="A1727" i="2"/>
  <c r="M1726" i="2"/>
  <c r="L1726" i="2"/>
  <c r="K1726" i="2"/>
  <c r="J1726" i="2"/>
  <c r="I1726" i="2"/>
  <c r="H1726" i="2"/>
  <c r="G1726" i="2"/>
  <c r="F1726" i="2"/>
  <c r="E1726" i="2"/>
  <c r="D1726" i="2"/>
  <c r="C1726" i="2"/>
  <c r="B1726" i="2"/>
  <c r="A1726" i="2"/>
  <c r="M1725" i="2"/>
  <c r="L1725" i="2"/>
  <c r="K1725" i="2"/>
  <c r="J1725" i="2"/>
  <c r="I1725" i="2"/>
  <c r="H1725" i="2"/>
  <c r="G1725" i="2"/>
  <c r="F1725" i="2"/>
  <c r="E1725" i="2"/>
  <c r="D1725" i="2"/>
  <c r="C1725" i="2"/>
  <c r="B1725" i="2"/>
  <c r="A1725" i="2"/>
  <c r="M1724" i="2"/>
  <c r="L1724" i="2"/>
  <c r="K1724" i="2"/>
  <c r="J1724" i="2"/>
  <c r="I1724" i="2"/>
  <c r="H1724" i="2"/>
  <c r="G1724" i="2"/>
  <c r="F1724" i="2"/>
  <c r="E1724" i="2"/>
  <c r="D1724" i="2"/>
  <c r="C1724" i="2"/>
  <c r="B1724" i="2"/>
  <c r="A1724" i="2"/>
  <c r="M1723" i="2"/>
  <c r="L1723" i="2"/>
  <c r="K1723" i="2"/>
  <c r="J1723" i="2"/>
  <c r="I1723" i="2"/>
  <c r="H1723" i="2"/>
  <c r="G1723" i="2"/>
  <c r="F1723" i="2"/>
  <c r="E1723" i="2"/>
  <c r="D1723" i="2"/>
  <c r="C1723" i="2"/>
  <c r="B1723" i="2"/>
  <c r="A1723" i="2"/>
  <c r="M1722" i="2"/>
  <c r="L1722" i="2"/>
  <c r="K1722" i="2"/>
  <c r="J1722" i="2"/>
  <c r="I1722" i="2"/>
  <c r="H1722" i="2"/>
  <c r="G1722" i="2"/>
  <c r="F1722" i="2"/>
  <c r="E1722" i="2"/>
  <c r="D1722" i="2"/>
  <c r="C1722" i="2"/>
  <c r="B1722" i="2"/>
  <c r="A1722" i="2"/>
  <c r="N1721" i="2"/>
  <c r="M1721" i="2"/>
  <c r="L1721" i="2"/>
  <c r="K1721" i="2"/>
  <c r="J1721" i="2"/>
  <c r="I1721" i="2"/>
  <c r="H1721" i="2"/>
  <c r="G1721" i="2"/>
  <c r="F1721" i="2"/>
  <c r="E1721" i="2"/>
  <c r="D1721" i="2"/>
  <c r="C1721" i="2"/>
  <c r="B1721" i="2"/>
  <c r="A1721" i="2"/>
  <c r="M1720" i="2"/>
  <c r="L1720" i="2"/>
  <c r="K1720" i="2"/>
  <c r="J1720" i="2"/>
  <c r="I1720" i="2"/>
  <c r="H1720" i="2"/>
  <c r="G1720" i="2"/>
  <c r="F1720" i="2"/>
  <c r="E1720" i="2"/>
  <c r="D1720" i="2"/>
  <c r="C1720" i="2"/>
  <c r="B1720" i="2"/>
  <c r="A1720" i="2"/>
  <c r="M1719" i="2"/>
  <c r="L1719" i="2"/>
  <c r="K1719" i="2"/>
  <c r="J1719" i="2"/>
  <c r="I1719" i="2"/>
  <c r="H1719" i="2"/>
  <c r="G1719" i="2"/>
  <c r="F1719" i="2"/>
  <c r="E1719" i="2"/>
  <c r="D1719" i="2"/>
  <c r="C1719" i="2"/>
  <c r="B1719" i="2"/>
  <c r="A1719" i="2"/>
  <c r="M1718" i="2"/>
  <c r="L1718" i="2"/>
  <c r="K1718" i="2"/>
  <c r="J1718" i="2"/>
  <c r="I1718" i="2"/>
  <c r="H1718" i="2"/>
  <c r="G1718" i="2"/>
  <c r="F1718" i="2"/>
  <c r="E1718" i="2"/>
  <c r="D1718" i="2"/>
  <c r="C1718" i="2"/>
  <c r="B1718" i="2"/>
  <c r="A1718" i="2"/>
  <c r="M1717" i="2"/>
  <c r="L1717" i="2"/>
  <c r="K1717" i="2"/>
  <c r="J1717" i="2"/>
  <c r="I1717" i="2"/>
  <c r="H1717" i="2"/>
  <c r="G1717" i="2"/>
  <c r="F1717" i="2"/>
  <c r="E1717" i="2"/>
  <c r="D1717" i="2"/>
  <c r="C1717" i="2"/>
  <c r="B1717" i="2"/>
  <c r="A1717" i="2"/>
  <c r="N1716" i="2"/>
  <c r="M1716" i="2"/>
  <c r="L1716" i="2"/>
  <c r="K1716" i="2"/>
  <c r="J1716" i="2"/>
  <c r="I1716" i="2"/>
  <c r="H1716" i="2"/>
  <c r="G1716" i="2"/>
  <c r="F1716" i="2"/>
  <c r="E1716" i="2"/>
  <c r="D1716" i="2"/>
  <c r="C1716" i="2"/>
  <c r="B1716" i="2"/>
  <c r="A1716" i="2"/>
  <c r="M1715" i="2"/>
  <c r="L1715" i="2"/>
  <c r="K1715" i="2"/>
  <c r="J1715" i="2"/>
  <c r="I1715" i="2"/>
  <c r="H1715" i="2"/>
  <c r="G1715" i="2"/>
  <c r="F1715" i="2"/>
  <c r="E1715" i="2"/>
  <c r="D1715" i="2"/>
  <c r="C1715" i="2"/>
  <c r="B1715" i="2"/>
  <c r="A1715" i="2"/>
  <c r="M1714" i="2"/>
  <c r="L1714" i="2"/>
  <c r="K1714" i="2"/>
  <c r="J1714" i="2"/>
  <c r="I1714" i="2"/>
  <c r="H1714" i="2"/>
  <c r="G1714" i="2"/>
  <c r="F1714" i="2"/>
  <c r="E1714" i="2"/>
  <c r="D1714" i="2"/>
  <c r="C1714" i="2"/>
  <c r="B1714" i="2"/>
  <c r="A1714" i="2"/>
  <c r="M1713" i="2"/>
  <c r="L1713" i="2"/>
  <c r="K1713" i="2"/>
  <c r="J1713" i="2"/>
  <c r="I1713" i="2"/>
  <c r="H1713" i="2"/>
  <c r="G1713" i="2"/>
  <c r="F1713" i="2"/>
  <c r="E1713" i="2"/>
  <c r="D1713" i="2"/>
  <c r="C1713" i="2"/>
  <c r="B1713" i="2"/>
  <c r="A1713" i="2"/>
  <c r="M1712" i="2"/>
  <c r="L1712" i="2"/>
  <c r="K1712" i="2"/>
  <c r="J1712" i="2"/>
  <c r="I1712" i="2"/>
  <c r="H1712" i="2"/>
  <c r="G1712" i="2"/>
  <c r="F1712" i="2"/>
  <c r="E1712" i="2"/>
  <c r="D1712" i="2"/>
  <c r="C1712" i="2"/>
  <c r="B1712" i="2"/>
  <c r="A1712" i="2"/>
  <c r="M1711" i="2"/>
  <c r="L1711" i="2"/>
  <c r="K1711" i="2"/>
  <c r="J1711" i="2"/>
  <c r="I1711" i="2"/>
  <c r="H1711" i="2"/>
  <c r="G1711" i="2"/>
  <c r="F1711" i="2"/>
  <c r="E1711" i="2"/>
  <c r="D1711" i="2"/>
  <c r="C1711" i="2"/>
  <c r="B1711" i="2"/>
  <c r="A1711" i="2"/>
  <c r="M1710" i="2"/>
  <c r="L1710" i="2"/>
  <c r="K1710" i="2"/>
  <c r="J1710" i="2"/>
  <c r="I1710" i="2"/>
  <c r="H1710" i="2"/>
  <c r="G1710" i="2"/>
  <c r="F1710" i="2"/>
  <c r="E1710" i="2"/>
  <c r="D1710" i="2"/>
  <c r="C1710" i="2"/>
  <c r="B1710" i="2"/>
  <c r="A1710" i="2"/>
  <c r="M1709" i="2"/>
  <c r="L1709" i="2"/>
  <c r="K1709" i="2"/>
  <c r="J1709" i="2"/>
  <c r="I1709" i="2"/>
  <c r="H1709" i="2"/>
  <c r="G1709" i="2"/>
  <c r="F1709" i="2"/>
  <c r="E1709" i="2"/>
  <c r="D1709" i="2"/>
  <c r="C1709" i="2"/>
  <c r="B1709" i="2"/>
  <c r="A1709" i="2"/>
  <c r="M1708" i="2"/>
  <c r="L1708" i="2"/>
  <c r="K1708" i="2"/>
  <c r="J1708" i="2"/>
  <c r="I1708" i="2"/>
  <c r="H1708" i="2"/>
  <c r="G1708" i="2"/>
  <c r="F1708" i="2"/>
  <c r="E1708" i="2"/>
  <c r="D1708" i="2"/>
  <c r="C1708" i="2"/>
  <c r="B1708" i="2"/>
  <c r="A1708" i="2"/>
  <c r="M1707" i="2"/>
  <c r="L1707" i="2"/>
  <c r="K1707" i="2"/>
  <c r="J1707" i="2"/>
  <c r="I1707" i="2"/>
  <c r="H1707" i="2"/>
  <c r="G1707" i="2"/>
  <c r="F1707" i="2"/>
  <c r="E1707" i="2"/>
  <c r="D1707" i="2"/>
  <c r="C1707" i="2"/>
  <c r="B1707" i="2"/>
  <c r="A1707" i="2"/>
  <c r="M1706" i="2"/>
  <c r="L1706" i="2"/>
  <c r="K1706" i="2"/>
  <c r="J1706" i="2"/>
  <c r="I1706" i="2"/>
  <c r="H1706" i="2"/>
  <c r="G1706" i="2"/>
  <c r="F1706" i="2"/>
  <c r="E1706" i="2"/>
  <c r="D1706" i="2"/>
  <c r="C1706" i="2"/>
  <c r="B1706" i="2"/>
  <c r="A1706" i="2"/>
  <c r="M1705" i="2"/>
  <c r="L1705" i="2"/>
  <c r="K1705" i="2"/>
  <c r="J1705" i="2"/>
  <c r="I1705" i="2"/>
  <c r="H1705" i="2"/>
  <c r="G1705" i="2"/>
  <c r="F1705" i="2"/>
  <c r="E1705" i="2"/>
  <c r="D1705" i="2"/>
  <c r="C1705" i="2"/>
  <c r="B1705" i="2"/>
  <c r="A1705" i="2"/>
  <c r="M1704" i="2"/>
  <c r="L1704" i="2"/>
  <c r="K1704" i="2"/>
  <c r="J1704" i="2"/>
  <c r="I1704" i="2"/>
  <c r="H1704" i="2"/>
  <c r="G1704" i="2"/>
  <c r="F1704" i="2"/>
  <c r="E1704" i="2"/>
  <c r="D1704" i="2"/>
  <c r="C1704" i="2"/>
  <c r="B1704" i="2"/>
  <c r="A1704" i="2"/>
  <c r="M1703" i="2"/>
  <c r="L1703" i="2"/>
  <c r="K1703" i="2"/>
  <c r="J1703" i="2"/>
  <c r="I1703" i="2"/>
  <c r="H1703" i="2"/>
  <c r="G1703" i="2"/>
  <c r="F1703" i="2"/>
  <c r="E1703" i="2"/>
  <c r="D1703" i="2"/>
  <c r="C1703" i="2"/>
  <c r="B1703" i="2"/>
  <c r="A1703" i="2"/>
  <c r="M1702" i="2"/>
  <c r="L1702" i="2"/>
  <c r="K1702" i="2"/>
  <c r="J1702" i="2"/>
  <c r="I1702" i="2"/>
  <c r="H1702" i="2"/>
  <c r="G1702" i="2"/>
  <c r="F1702" i="2"/>
  <c r="E1702" i="2"/>
  <c r="D1702" i="2"/>
  <c r="C1702" i="2"/>
  <c r="B1702" i="2"/>
  <c r="A1702" i="2"/>
  <c r="M1701" i="2"/>
  <c r="L1701" i="2"/>
  <c r="K1701" i="2"/>
  <c r="J1701" i="2"/>
  <c r="I1701" i="2"/>
  <c r="H1701" i="2"/>
  <c r="G1701" i="2"/>
  <c r="F1701" i="2"/>
  <c r="E1701" i="2"/>
  <c r="D1701" i="2"/>
  <c r="C1701" i="2"/>
  <c r="B1701" i="2"/>
  <c r="A1701" i="2"/>
  <c r="M1700" i="2"/>
  <c r="L1700" i="2"/>
  <c r="K1700" i="2"/>
  <c r="J1700" i="2"/>
  <c r="I1700" i="2"/>
  <c r="H1700" i="2"/>
  <c r="G1700" i="2"/>
  <c r="F1700" i="2"/>
  <c r="E1700" i="2"/>
  <c r="D1700" i="2"/>
  <c r="C1700" i="2"/>
  <c r="B1700" i="2"/>
  <c r="A1700" i="2"/>
  <c r="M1699" i="2"/>
  <c r="L1699" i="2"/>
  <c r="K1699" i="2"/>
  <c r="J1699" i="2"/>
  <c r="I1699" i="2"/>
  <c r="H1699" i="2"/>
  <c r="G1699" i="2"/>
  <c r="F1699" i="2"/>
  <c r="E1699" i="2"/>
  <c r="D1699" i="2"/>
  <c r="C1699" i="2"/>
  <c r="B1699" i="2"/>
  <c r="A1699" i="2"/>
  <c r="M1698" i="2"/>
  <c r="L1698" i="2"/>
  <c r="K1698" i="2"/>
  <c r="J1698" i="2"/>
  <c r="I1698" i="2"/>
  <c r="H1698" i="2"/>
  <c r="G1698" i="2"/>
  <c r="F1698" i="2"/>
  <c r="E1698" i="2"/>
  <c r="D1698" i="2"/>
  <c r="C1698" i="2"/>
  <c r="B1698" i="2"/>
  <c r="A1698" i="2"/>
  <c r="M1697" i="2"/>
  <c r="L1697" i="2"/>
  <c r="K1697" i="2"/>
  <c r="J1697" i="2"/>
  <c r="I1697" i="2"/>
  <c r="H1697" i="2"/>
  <c r="G1697" i="2"/>
  <c r="F1697" i="2"/>
  <c r="E1697" i="2"/>
  <c r="D1697" i="2"/>
  <c r="C1697" i="2"/>
  <c r="B1697" i="2"/>
  <c r="A1697" i="2"/>
  <c r="M1696" i="2"/>
  <c r="L1696" i="2"/>
  <c r="K1696" i="2"/>
  <c r="J1696" i="2"/>
  <c r="I1696" i="2"/>
  <c r="H1696" i="2"/>
  <c r="G1696" i="2"/>
  <c r="F1696" i="2"/>
  <c r="E1696" i="2"/>
  <c r="D1696" i="2"/>
  <c r="C1696" i="2"/>
  <c r="B1696" i="2"/>
  <c r="A1696" i="2"/>
  <c r="M1695" i="2"/>
  <c r="L1695" i="2"/>
  <c r="K1695" i="2"/>
  <c r="J1695" i="2"/>
  <c r="I1695" i="2"/>
  <c r="H1695" i="2"/>
  <c r="G1695" i="2"/>
  <c r="F1695" i="2"/>
  <c r="E1695" i="2"/>
  <c r="D1695" i="2"/>
  <c r="C1695" i="2"/>
  <c r="B1695" i="2"/>
  <c r="A1695" i="2"/>
  <c r="M1694" i="2"/>
  <c r="L1694" i="2"/>
  <c r="K1694" i="2"/>
  <c r="J1694" i="2"/>
  <c r="I1694" i="2"/>
  <c r="H1694" i="2"/>
  <c r="G1694" i="2"/>
  <c r="F1694" i="2"/>
  <c r="E1694" i="2"/>
  <c r="D1694" i="2"/>
  <c r="C1694" i="2"/>
  <c r="B1694" i="2"/>
  <c r="A1694" i="2"/>
  <c r="M1693" i="2"/>
  <c r="L1693" i="2"/>
  <c r="K1693" i="2"/>
  <c r="J1693" i="2"/>
  <c r="I1693" i="2"/>
  <c r="H1693" i="2"/>
  <c r="G1693" i="2"/>
  <c r="F1693" i="2"/>
  <c r="E1693" i="2"/>
  <c r="D1693" i="2"/>
  <c r="C1693" i="2"/>
  <c r="B1693" i="2"/>
  <c r="A1693" i="2"/>
  <c r="M1692" i="2"/>
  <c r="L1692" i="2"/>
  <c r="K1692" i="2"/>
  <c r="J1692" i="2"/>
  <c r="I1692" i="2"/>
  <c r="H1692" i="2"/>
  <c r="G1692" i="2"/>
  <c r="F1692" i="2"/>
  <c r="E1692" i="2"/>
  <c r="D1692" i="2"/>
  <c r="C1692" i="2"/>
  <c r="B1692" i="2"/>
  <c r="A1692" i="2"/>
  <c r="M1691" i="2"/>
  <c r="L1691" i="2"/>
  <c r="K1691" i="2"/>
  <c r="J1691" i="2"/>
  <c r="I1691" i="2"/>
  <c r="H1691" i="2"/>
  <c r="G1691" i="2"/>
  <c r="F1691" i="2"/>
  <c r="E1691" i="2"/>
  <c r="D1691" i="2"/>
  <c r="C1691" i="2"/>
  <c r="B1691" i="2"/>
  <c r="A1691" i="2"/>
  <c r="M1690" i="2"/>
  <c r="L1690" i="2"/>
  <c r="K1690" i="2"/>
  <c r="J1690" i="2"/>
  <c r="I1690" i="2"/>
  <c r="H1690" i="2"/>
  <c r="G1690" i="2"/>
  <c r="F1690" i="2"/>
  <c r="E1690" i="2"/>
  <c r="D1690" i="2"/>
  <c r="C1690" i="2"/>
  <c r="B1690" i="2"/>
  <c r="A1690" i="2"/>
  <c r="M1689" i="2"/>
  <c r="L1689" i="2"/>
  <c r="K1689" i="2"/>
  <c r="J1689" i="2"/>
  <c r="I1689" i="2"/>
  <c r="H1689" i="2"/>
  <c r="G1689" i="2"/>
  <c r="F1689" i="2"/>
  <c r="E1689" i="2"/>
  <c r="D1689" i="2"/>
  <c r="C1689" i="2"/>
  <c r="B1689" i="2"/>
  <c r="A1689" i="2"/>
  <c r="M1688" i="2"/>
  <c r="L1688" i="2"/>
  <c r="K1688" i="2"/>
  <c r="J1688" i="2"/>
  <c r="I1688" i="2"/>
  <c r="H1688" i="2"/>
  <c r="G1688" i="2"/>
  <c r="F1688" i="2"/>
  <c r="E1688" i="2"/>
  <c r="D1688" i="2"/>
  <c r="C1688" i="2"/>
  <c r="B1688" i="2"/>
  <c r="A1688" i="2"/>
  <c r="M1687" i="2"/>
  <c r="L1687" i="2"/>
  <c r="K1687" i="2"/>
  <c r="J1687" i="2"/>
  <c r="I1687" i="2"/>
  <c r="H1687" i="2"/>
  <c r="G1687" i="2"/>
  <c r="F1687" i="2"/>
  <c r="E1687" i="2"/>
  <c r="D1687" i="2"/>
  <c r="C1687" i="2"/>
  <c r="B1687" i="2"/>
  <c r="A1687" i="2"/>
  <c r="M1686" i="2"/>
  <c r="L1686" i="2"/>
  <c r="K1686" i="2"/>
  <c r="J1686" i="2"/>
  <c r="I1686" i="2"/>
  <c r="H1686" i="2"/>
  <c r="G1686" i="2"/>
  <c r="F1686" i="2"/>
  <c r="E1686" i="2"/>
  <c r="D1686" i="2"/>
  <c r="C1686" i="2"/>
  <c r="B1686" i="2"/>
  <c r="A1686" i="2"/>
  <c r="M1685" i="2"/>
  <c r="L1685" i="2"/>
  <c r="K1685" i="2"/>
  <c r="J1685" i="2"/>
  <c r="I1685" i="2"/>
  <c r="H1685" i="2"/>
  <c r="G1685" i="2"/>
  <c r="F1685" i="2"/>
  <c r="E1685" i="2"/>
  <c r="D1685" i="2"/>
  <c r="C1685" i="2"/>
  <c r="B1685" i="2"/>
  <c r="A1685" i="2"/>
  <c r="M1684" i="2"/>
  <c r="L1684" i="2"/>
  <c r="K1684" i="2"/>
  <c r="J1684" i="2"/>
  <c r="I1684" i="2"/>
  <c r="H1684" i="2"/>
  <c r="G1684" i="2"/>
  <c r="F1684" i="2"/>
  <c r="E1684" i="2"/>
  <c r="D1684" i="2"/>
  <c r="C1684" i="2"/>
  <c r="B1684" i="2"/>
  <c r="A1684" i="2"/>
  <c r="M1683" i="2"/>
  <c r="L1683" i="2"/>
  <c r="K1683" i="2"/>
  <c r="J1683" i="2"/>
  <c r="I1683" i="2"/>
  <c r="H1683" i="2"/>
  <c r="G1683" i="2"/>
  <c r="F1683" i="2"/>
  <c r="E1683" i="2"/>
  <c r="D1683" i="2"/>
  <c r="C1683" i="2"/>
  <c r="B1683" i="2"/>
  <c r="A1683" i="2"/>
  <c r="M1682" i="2"/>
  <c r="L1682" i="2"/>
  <c r="K1682" i="2"/>
  <c r="J1682" i="2"/>
  <c r="I1682" i="2"/>
  <c r="H1682" i="2"/>
  <c r="G1682" i="2"/>
  <c r="F1682" i="2"/>
  <c r="E1682" i="2"/>
  <c r="D1682" i="2"/>
  <c r="C1682" i="2"/>
  <c r="B1682" i="2"/>
  <c r="A1682" i="2"/>
  <c r="M1681" i="2"/>
  <c r="L1681" i="2"/>
  <c r="K1681" i="2"/>
  <c r="J1681" i="2"/>
  <c r="I1681" i="2"/>
  <c r="H1681" i="2"/>
  <c r="G1681" i="2"/>
  <c r="F1681" i="2"/>
  <c r="E1681" i="2"/>
  <c r="D1681" i="2"/>
  <c r="C1681" i="2"/>
  <c r="B1681" i="2"/>
  <c r="A1681" i="2"/>
  <c r="M1680" i="2"/>
  <c r="L1680" i="2"/>
  <c r="K1680" i="2"/>
  <c r="J1680" i="2"/>
  <c r="I1680" i="2"/>
  <c r="H1680" i="2"/>
  <c r="G1680" i="2"/>
  <c r="F1680" i="2"/>
  <c r="E1680" i="2"/>
  <c r="D1680" i="2"/>
  <c r="C1680" i="2"/>
  <c r="B1680" i="2"/>
  <c r="A1680" i="2"/>
  <c r="M1679" i="2"/>
  <c r="L1679" i="2"/>
  <c r="K1679" i="2"/>
  <c r="J1679" i="2"/>
  <c r="I1679" i="2"/>
  <c r="H1679" i="2"/>
  <c r="G1679" i="2"/>
  <c r="F1679" i="2"/>
  <c r="E1679" i="2"/>
  <c r="D1679" i="2"/>
  <c r="C1679" i="2"/>
  <c r="B1679" i="2"/>
  <c r="A1679" i="2"/>
  <c r="M1678" i="2"/>
  <c r="L1678" i="2"/>
  <c r="K1678" i="2"/>
  <c r="J1678" i="2"/>
  <c r="I1678" i="2"/>
  <c r="H1678" i="2"/>
  <c r="G1678" i="2"/>
  <c r="F1678" i="2"/>
  <c r="E1678" i="2"/>
  <c r="D1678" i="2"/>
  <c r="C1678" i="2"/>
  <c r="B1678" i="2"/>
  <c r="A1678" i="2"/>
  <c r="M1677" i="2"/>
  <c r="L1677" i="2"/>
  <c r="K1677" i="2"/>
  <c r="J1677" i="2"/>
  <c r="I1677" i="2"/>
  <c r="H1677" i="2"/>
  <c r="G1677" i="2"/>
  <c r="F1677" i="2"/>
  <c r="E1677" i="2"/>
  <c r="D1677" i="2"/>
  <c r="C1677" i="2"/>
  <c r="B1677" i="2"/>
  <c r="A1677" i="2"/>
  <c r="M1676" i="2"/>
  <c r="L1676" i="2"/>
  <c r="K1676" i="2"/>
  <c r="J1676" i="2"/>
  <c r="I1676" i="2"/>
  <c r="H1676" i="2"/>
  <c r="G1676" i="2"/>
  <c r="F1676" i="2"/>
  <c r="E1676" i="2"/>
  <c r="D1676" i="2"/>
  <c r="C1676" i="2"/>
  <c r="B1676" i="2"/>
  <c r="A1676" i="2"/>
  <c r="M1675" i="2"/>
  <c r="L1675" i="2"/>
  <c r="K1675" i="2"/>
  <c r="J1675" i="2"/>
  <c r="I1675" i="2"/>
  <c r="H1675" i="2"/>
  <c r="G1675" i="2"/>
  <c r="F1675" i="2"/>
  <c r="E1675" i="2"/>
  <c r="D1675" i="2"/>
  <c r="C1675" i="2"/>
  <c r="B1675" i="2"/>
  <c r="A1675" i="2"/>
  <c r="M1674" i="2"/>
  <c r="L1674" i="2"/>
  <c r="K1674" i="2"/>
  <c r="J1674" i="2"/>
  <c r="I1674" i="2"/>
  <c r="H1674" i="2"/>
  <c r="G1674" i="2"/>
  <c r="F1674" i="2"/>
  <c r="E1674" i="2"/>
  <c r="D1674" i="2"/>
  <c r="C1674" i="2"/>
  <c r="B1674" i="2"/>
  <c r="A1674" i="2"/>
  <c r="M1673" i="2"/>
  <c r="L1673" i="2"/>
  <c r="K1673" i="2"/>
  <c r="J1673" i="2"/>
  <c r="I1673" i="2"/>
  <c r="H1673" i="2"/>
  <c r="G1673" i="2"/>
  <c r="F1673" i="2"/>
  <c r="E1673" i="2"/>
  <c r="D1673" i="2"/>
  <c r="C1673" i="2"/>
  <c r="B1673" i="2"/>
  <c r="A1673" i="2"/>
  <c r="M1672" i="2"/>
  <c r="L1672" i="2"/>
  <c r="K1672" i="2"/>
  <c r="J1672" i="2"/>
  <c r="I1672" i="2"/>
  <c r="H1672" i="2"/>
  <c r="G1672" i="2"/>
  <c r="F1672" i="2"/>
  <c r="E1672" i="2"/>
  <c r="D1672" i="2"/>
  <c r="C1672" i="2"/>
  <c r="B1672" i="2"/>
  <c r="A1672" i="2"/>
  <c r="M1671" i="2"/>
  <c r="L1671" i="2"/>
  <c r="K1671" i="2"/>
  <c r="J1671" i="2"/>
  <c r="I1671" i="2"/>
  <c r="H1671" i="2"/>
  <c r="G1671" i="2"/>
  <c r="F1671" i="2"/>
  <c r="E1671" i="2"/>
  <c r="D1671" i="2"/>
  <c r="C1671" i="2"/>
  <c r="B1671" i="2"/>
  <c r="A1671" i="2"/>
  <c r="M1670" i="2"/>
  <c r="L1670" i="2"/>
  <c r="K1670" i="2"/>
  <c r="J1670" i="2"/>
  <c r="I1670" i="2"/>
  <c r="H1670" i="2"/>
  <c r="G1670" i="2"/>
  <c r="F1670" i="2"/>
  <c r="E1670" i="2"/>
  <c r="D1670" i="2"/>
  <c r="C1670" i="2"/>
  <c r="B1670" i="2"/>
  <c r="A1670" i="2"/>
  <c r="M1669" i="2"/>
  <c r="L1669" i="2"/>
  <c r="K1669" i="2"/>
  <c r="J1669" i="2"/>
  <c r="I1669" i="2"/>
  <c r="H1669" i="2"/>
  <c r="G1669" i="2"/>
  <c r="F1669" i="2"/>
  <c r="E1669" i="2"/>
  <c r="D1669" i="2"/>
  <c r="C1669" i="2"/>
  <c r="B1669" i="2"/>
  <c r="A1669" i="2"/>
  <c r="M1668" i="2"/>
  <c r="L1668" i="2"/>
  <c r="K1668" i="2"/>
  <c r="J1668" i="2"/>
  <c r="I1668" i="2"/>
  <c r="H1668" i="2"/>
  <c r="G1668" i="2"/>
  <c r="F1668" i="2"/>
  <c r="E1668" i="2"/>
  <c r="D1668" i="2"/>
  <c r="C1668" i="2"/>
  <c r="B1668" i="2"/>
  <c r="A1668" i="2"/>
  <c r="M1667" i="2"/>
  <c r="L1667" i="2"/>
  <c r="K1667" i="2"/>
  <c r="J1667" i="2"/>
  <c r="I1667" i="2"/>
  <c r="H1667" i="2"/>
  <c r="G1667" i="2"/>
  <c r="F1667" i="2"/>
  <c r="E1667" i="2"/>
  <c r="D1667" i="2"/>
  <c r="C1667" i="2"/>
  <c r="B1667" i="2"/>
  <c r="A1667" i="2"/>
  <c r="M1666" i="2"/>
  <c r="L1666" i="2"/>
  <c r="K1666" i="2"/>
  <c r="J1666" i="2"/>
  <c r="I1666" i="2"/>
  <c r="H1666" i="2"/>
  <c r="G1666" i="2"/>
  <c r="F1666" i="2"/>
  <c r="E1666" i="2"/>
  <c r="D1666" i="2"/>
  <c r="C1666" i="2"/>
  <c r="B1666" i="2"/>
  <c r="A1666" i="2"/>
  <c r="M1665" i="2"/>
  <c r="L1665" i="2"/>
  <c r="K1665" i="2"/>
  <c r="J1665" i="2"/>
  <c r="I1665" i="2"/>
  <c r="H1665" i="2"/>
  <c r="G1665" i="2"/>
  <c r="F1665" i="2"/>
  <c r="E1665" i="2"/>
  <c r="D1665" i="2"/>
  <c r="C1665" i="2"/>
  <c r="B1665" i="2"/>
  <c r="A1665" i="2"/>
  <c r="M1664" i="2"/>
  <c r="L1664" i="2"/>
  <c r="K1664" i="2"/>
  <c r="J1664" i="2"/>
  <c r="I1664" i="2"/>
  <c r="H1664" i="2"/>
  <c r="G1664" i="2"/>
  <c r="F1664" i="2"/>
  <c r="E1664" i="2"/>
  <c r="D1664" i="2"/>
  <c r="C1664" i="2"/>
  <c r="B1664" i="2"/>
  <c r="A1664" i="2"/>
  <c r="M1663" i="2"/>
  <c r="L1663" i="2"/>
  <c r="K1663" i="2"/>
  <c r="J1663" i="2"/>
  <c r="I1663" i="2"/>
  <c r="H1663" i="2"/>
  <c r="G1663" i="2"/>
  <c r="F1663" i="2"/>
  <c r="E1663" i="2"/>
  <c r="D1663" i="2"/>
  <c r="C1663" i="2"/>
  <c r="B1663" i="2"/>
  <c r="A1663" i="2"/>
  <c r="M1662" i="2"/>
  <c r="L1662" i="2"/>
  <c r="K1662" i="2"/>
  <c r="J1662" i="2"/>
  <c r="I1662" i="2"/>
  <c r="H1662" i="2"/>
  <c r="G1662" i="2"/>
  <c r="F1662" i="2"/>
  <c r="E1662" i="2"/>
  <c r="D1662" i="2"/>
  <c r="C1662" i="2"/>
  <c r="B1662" i="2"/>
  <c r="A1662" i="2"/>
  <c r="M1661" i="2"/>
  <c r="L1661" i="2"/>
  <c r="K1661" i="2"/>
  <c r="J1661" i="2"/>
  <c r="I1661" i="2"/>
  <c r="H1661" i="2"/>
  <c r="G1661" i="2"/>
  <c r="F1661" i="2"/>
  <c r="E1661" i="2"/>
  <c r="D1661" i="2"/>
  <c r="C1661" i="2"/>
  <c r="B1661" i="2"/>
  <c r="A1661" i="2"/>
  <c r="M1660" i="2"/>
  <c r="L1660" i="2"/>
  <c r="K1660" i="2"/>
  <c r="J1660" i="2"/>
  <c r="I1660" i="2"/>
  <c r="H1660" i="2"/>
  <c r="G1660" i="2"/>
  <c r="F1660" i="2"/>
  <c r="E1660" i="2"/>
  <c r="D1660" i="2"/>
  <c r="C1660" i="2"/>
  <c r="B1660" i="2"/>
  <c r="A1660" i="2"/>
  <c r="M1659" i="2"/>
  <c r="L1659" i="2"/>
  <c r="K1659" i="2"/>
  <c r="J1659" i="2"/>
  <c r="I1659" i="2"/>
  <c r="H1659" i="2"/>
  <c r="G1659" i="2"/>
  <c r="F1659" i="2"/>
  <c r="E1659" i="2"/>
  <c r="D1659" i="2"/>
  <c r="C1659" i="2"/>
  <c r="B1659" i="2"/>
  <c r="A1659" i="2"/>
  <c r="M1658" i="2"/>
  <c r="L1658" i="2"/>
  <c r="K1658" i="2"/>
  <c r="J1658" i="2"/>
  <c r="I1658" i="2"/>
  <c r="H1658" i="2"/>
  <c r="G1658" i="2"/>
  <c r="F1658" i="2"/>
  <c r="E1658" i="2"/>
  <c r="D1658" i="2"/>
  <c r="C1658" i="2"/>
  <c r="B1658" i="2"/>
  <c r="A1658" i="2"/>
  <c r="M1657" i="2"/>
  <c r="L1657" i="2"/>
  <c r="K1657" i="2"/>
  <c r="J1657" i="2"/>
  <c r="I1657" i="2"/>
  <c r="H1657" i="2"/>
  <c r="G1657" i="2"/>
  <c r="F1657" i="2"/>
  <c r="E1657" i="2"/>
  <c r="D1657" i="2"/>
  <c r="C1657" i="2"/>
  <c r="B1657" i="2"/>
  <c r="A1657" i="2"/>
  <c r="M1656" i="2"/>
  <c r="L1656" i="2"/>
  <c r="K1656" i="2"/>
  <c r="J1656" i="2"/>
  <c r="I1656" i="2"/>
  <c r="H1656" i="2"/>
  <c r="G1656" i="2"/>
  <c r="F1656" i="2"/>
  <c r="E1656" i="2"/>
  <c r="D1656" i="2"/>
  <c r="C1656" i="2"/>
  <c r="B1656" i="2"/>
  <c r="A1656" i="2"/>
  <c r="M1655" i="2"/>
  <c r="L1655" i="2"/>
  <c r="K1655" i="2"/>
  <c r="J1655" i="2"/>
  <c r="I1655" i="2"/>
  <c r="H1655" i="2"/>
  <c r="G1655" i="2"/>
  <c r="F1655" i="2"/>
  <c r="E1655" i="2"/>
  <c r="D1655" i="2"/>
  <c r="C1655" i="2"/>
  <c r="B1655" i="2"/>
  <c r="A1655" i="2"/>
  <c r="M1654" i="2"/>
  <c r="L1654" i="2"/>
  <c r="K1654" i="2"/>
  <c r="J1654" i="2"/>
  <c r="I1654" i="2"/>
  <c r="H1654" i="2"/>
  <c r="G1654" i="2"/>
  <c r="F1654" i="2"/>
  <c r="E1654" i="2"/>
  <c r="D1654" i="2"/>
  <c r="C1654" i="2"/>
  <c r="B1654" i="2"/>
  <c r="A1654" i="2"/>
  <c r="M1653" i="2"/>
  <c r="L1653" i="2"/>
  <c r="K1653" i="2"/>
  <c r="J1653" i="2"/>
  <c r="I1653" i="2"/>
  <c r="H1653" i="2"/>
  <c r="G1653" i="2"/>
  <c r="F1653" i="2"/>
  <c r="E1653" i="2"/>
  <c r="D1653" i="2"/>
  <c r="C1653" i="2"/>
  <c r="B1653" i="2"/>
  <c r="A1653" i="2"/>
  <c r="M1652" i="2"/>
  <c r="L1652" i="2"/>
  <c r="K1652" i="2"/>
  <c r="J1652" i="2"/>
  <c r="I1652" i="2"/>
  <c r="H1652" i="2"/>
  <c r="G1652" i="2"/>
  <c r="F1652" i="2"/>
  <c r="E1652" i="2"/>
  <c r="D1652" i="2"/>
  <c r="C1652" i="2"/>
  <c r="B1652" i="2"/>
  <c r="A1652" i="2"/>
  <c r="M1651" i="2"/>
  <c r="L1651" i="2"/>
  <c r="K1651" i="2"/>
  <c r="J1651" i="2"/>
  <c r="I1651" i="2"/>
  <c r="H1651" i="2"/>
  <c r="G1651" i="2"/>
  <c r="F1651" i="2"/>
  <c r="E1651" i="2"/>
  <c r="D1651" i="2"/>
  <c r="C1651" i="2"/>
  <c r="B1651" i="2"/>
  <c r="A1651" i="2"/>
  <c r="M1650" i="2"/>
  <c r="L1650" i="2"/>
  <c r="K1650" i="2"/>
  <c r="J1650" i="2"/>
  <c r="I1650" i="2"/>
  <c r="H1650" i="2"/>
  <c r="G1650" i="2"/>
  <c r="F1650" i="2"/>
  <c r="E1650" i="2"/>
  <c r="D1650" i="2"/>
  <c r="C1650" i="2"/>
  <c r="B1650" i="2"/>
  <c r="A1650" i="2"/>
  <c r="M1649" i="2"/>
  <c r="L1649" i="2"/>
  <c r="K1649" i="2"/>
  <c r="J1649" i="2"/>
  <c r="I1649" i="2"/>
  <c r="H1649" i="2"/>
  <c r="G1649" i="2"/>
  <c r="F1649" i="2"/>
  <c r="E1649" i="2"/>
  <c r="D1649" i="2"/>
  <c r="C1649" i="2"/>
  <c r="B1649" i="2"/>
  <c r="A1649" i="2"/>
  <c r="M1648" i="2"/>
  <c r="L1648" i="2"/>
  <c r="K1648" i="2"/>
  <c r="J1648" i="2"/>
  <c r="I1648" i="2"/>
  <c r="H1648" i="2"/>
  <c r="G1648" i="2"/>
  <c r="F1648" i="2"/>
  <c r="E1648" i="2"/>
  <c r="D1648" i="2"/>
  <c r="C1648" i="2"/>
  <c r="B1648" i="2"/>
  <c r="A1648" i="2"/>
  <c r="M1647" i="2"/>
  <c r="L1647" i="2"/>
  <c r="K1647" i="2"/>
  <c r="J1647" i="2"/>
  <c r="I1647" i="2"/>
  <c r="H1647" i="2"/>
  <c r="G1647" i="2"/>
  <c r="F1647" i="2"/>
  <c r="E1647" i="2"/>
  <c r="D1647" i="2"/>
  <c r="C1647" i="2"/>
  <c r="B1647" i="2"/>
  <c r="A1647" i="2"/>
  <c r="M1646" i="2"/>
  <c r="L1646" i="2"/>
  <c r="K1646" i="2"/>
  <c r="J1646" i="2"/>
  <c r="I1646" i="2"/>
  <c r="H1646" i="2"/>
  <c r="G1646" i="2"/>
  <c r="F1646" i="2"/>
  <c r="E1646" i="2"/>
  <c r="D1646" i="2"/>
  <c r="C1646" i="2"/>
  <c r="B1646" i="2"/>
  <c r="A1646" i="2"/>
  <c r="M1645" i="2"/>
  <c r="L1645" i="2"/>
  <c r="K1645" i="2"/>
  <c r="J1645" i="2"/>
  <c r="I1645" i="2"/>
  <c r="H1645" i="2"/>
  <c r="G1645" i="2"/>
  <c r="F1645" i="2"/>
  <c r="E1645" i="2"/>
  <c r="D1645" i="2"/>
  <c r="C1645" i="2"/>
  <c r="B1645" i="2"/>
  <c r="A1645" i="2"/>
  <c r="M1644" i="2"/>
  <c r="L1644" i="2"/>
  <c r="K1644" i="2"/>
  <c r="J1644" i="2"/>
  <c r="I1644" i="2"/>
  <c r="H1644" i="2"/>
  <c r="G1644" i="2"/>
  <c r="F1644" i="2"/>
  <c r="E1644" i="2"/>
  <c r="D1644" i="2"/>
  <c r="C1644" i="2"/>
  <c r="B1644" i="2"/>
  <c r="A1644" i="2"/>
  <c r="M1643" i="2"/>
  <c r="L1643" i="2"/>
  <c r="K1643" i="2"/>
  <c r="J1643" i="2"/>
  <c r="I1643" i="2"/>
  <c r="H1643" i="2"/>
  <c r="G1643" i="2"/>
  <c r="F1643" i="2"/>
  <c r="E1643" i="2"/>
  <c r="D1643" i="2"/>
  <c r="C1643" i="2"/>
  <c r="B1643" i="2"/>
  <c r="A1643" i="2"/>
  <c r="M1642" i="2"/>
  <c r="L1642" i="2"/>
  <c r="K1642" i="2"/>
  <c r="J1642" i="2"/>
  <c r="I1642" i="2"/>
  <c r="H1642" i="2"/>
  <c r="G1642" i="2"/>
  <c r="F1642" i="2"/>
  <c r="E1642" i="2"/>
  <c r="D1642" i="2"/>
  <c r="C1642" i="2"/>
  <c r="B1642" i="2"/>
  <c r="A1642" i="2"/>
  <c r="M1641" i="2"/>
  <c r="L1641" i="2"/>
  <c r="K1641" i="2"/>
  <c r="J1641" i="2"/>
  <c r="I1641" i="2"/>
  <c r="H1641" i="2"/>
  <c r="G1641" i="2"/>
  <c r="F1641" i="2"/>
  <c r="E1641" i="2"/>
  <c r="D1641" i="2"/>
  <c r="C1641" i="2"/>
  <c r="B1641" i="2"/>
  <c r="A1641" i="2"/>
  <c r="M1640" i="2"/>
  <c r="L1640" i="2"/>
  <c r="K1640" i="2"/>
  <c r="J1640" i="2"/>
  <c r="I1640" i="2"/>
  <c r="H1640" i="2"/>
  <c r="G1640" i="2"/>
  <c r="F1640" i="2"/>
  <c r="E1640" i="2"/>
  <c r="D1640" i="2"/>
  <c r="C1640" i="2"/>
  <c r="B1640" i="2"/>
  <c r="A1640" i="2"/>
  <c r="M1639" i="2"/>
  <c r="L1639" i="2"/>
  <c r="K1639" i="2"/>
  <c r="J1639" i="2"/>
  <c r="I1639" i="2"/>
  <c r="H1639" i="2"/>
  <c r="G1639" i="2"/>
  <c r="F1639" i="2"/>
  <c r="E1639" i="2"/>
  <c r="D1639" i="2"/>
  <c r="C1639" i="2"/>
  <c r="B1639" i="2"/>
  <c r="A1639" i="2"/>
  <c r="M1638" i="2"/>
  <c r="L1638" i="2"/>
  <c r="K1638" i="2"/>
  <c r="J1638" i="2"/>
  <c r="I1638" i="2"/>
  <c r="H1638" i="2"/>
  <c r="G1638" i="2"/>
  <c r="F1638" i="2"/>
  <c r="E1638" i="2"/>
  <c r="D1638" i="2"/>
  <c r="C1638" i="2"/>
  <c r="B1638" i="2"/>
  <c r="A1638" i="2"/>
  <c r="M1637" i="2"/>
  <c r="L1637" i="2"/>
  <c r="K1637" i="2"/>
  <c r="I1637" i="2"/>
  <c r="H1637" i="2"/>
  <c r="F1637" i="2"/>
  <c r="E1637" i="2"/>
  <c r="D1637" i="2"/>
  <c r="C1637" i="2"/>
  <c r="B1637" i="2"/>
  <c r="A1637" i="2"/>
  <c r="M1636" i="2"/>
  <c r="L1636" i="2"/>
  <c r="K1636" i="2"/>
  <c r="J1636" i="2"/>
  <c r="I1636" i="2"/>
  <c r="H1636" i="2"/>
  <c r="G1636" i="2"/>
  <c r="F1636" i="2"/>
  <c r="E1636" i="2"/>
  <c r="D1636" i="2"/>
  <c r="C1636" i="2"/>
  <c r="B1636" i="2"/>
  <c r="A1636" i="2"/>
  <c r="M1635" i="2"/>
  <c r="L1635" i="2"/>
  <c r="K1635" i="2"/>
  <c r="J1635" i="2"/>
  <c r="I1635" i="2"/>
  <c r="H1635" i="2"/>
  <c r="G1635" i="2"/>
  <c r="F1635" i="2"/>
  <c r="E1635" i="2"/>
  <c r="D1635" i="2"/>
  <c r="C1635" i="2"/>
  <c r="B1635" i="2"/>
  <c r="A1635" i="2"/>
  <c r="N1634" i="2"/>
  <c r="M1634" i="2"/>
  <c r="L1634" i="2"/>
  <c r="K1634" i="2"/>
  <c r="J1634" i="2"/>
  <c r="I1634" i="2"/>
  <c r="H1634" i="2"/>
  <c r="G1634" i="2"/>
  <c r="F1634" i="2"/>
  <c r="E1634" i="2"/>
  <c r="D1634" i="2"/>
  <c r="C1634" i="2"/>
  <c r="B1634" i="2"/>
  <c r="A1634" i="2"/>
  <c r="M1633" i="2"/>
  <c r="L1633" i="2"/>
  <c r="K1633" i="2"/>
  <c r="J1633" i="2"/>
  <c r="I1633" i="2"/>
  <c r="H1633" i="2"/>
  <c r="G1633" i="2"/>
  <c r="F1633" i="2"/>
  <c r="E1633" i="2"/>
  <c r="D1633" i="2"/>
  <c r="C1633" i="2"/>
  <c r="B1633" i="2"/>
  <c r="A1633" i="2"/>
  <c r="M1632" i="2"/>
  <c r="L1632" i="2"/>
  <c r="K1632" i="2"/>
  <c r="J1632" i="2"/>
  <c r="I1632" i="2"/>
  <c r="H1632" i="2"/>
  <c r="G1632" i="2"/>
  <c r="F1632" i="2"/>
  <c r="E1632" i="2"/>
  <c r="D1632" i="2"/>
  <c r="C1632" i="2"/>
  <c r="B1632" i="2"/>
  <c r="A1632" i="2"/>
  <c r="M1631" i="2"/>
  <c r="L1631" i="2"/>
  <c r="K1631" i="2"/>
  <c r="J1631" i="2"/>
  <c r="I1631" i="2"/>
  <c r="H1631" i="2"/>
  <c r="G1631" i="2"/>
  <c r="F1631" i="2"/>
  <c r="E1631" i="2"/>
  <c r="D1631" i="2"/>
  <c r="C1631" i="2"/>
  <c r="B1631" i="2"/>
  <c r="A1631" i="2"/>
  <c r="M1630" i="2"/>
  <c r="L1630" i="2"/>
  <c r="K1630" i="2"/>
  <c r="J1630" i="2"/>
  <c r="I1630" i="2"/>
  <c r="H1630" i="2"/>
  <c r="G1630" i="2"/>
  <c r="F1630" i="2"/>
  <c r="E1630" i="2"/>
  <c r="D1630" i="2"/>
  <c r="C1630" i="2"/>
  <c r="B1630" i="2"/>
  <c r="A1630" i="2"/>
  <c r="M1629" i="2"/>
  <c r="L1629" i="2"/>
  <c r="K1629" i="2"/>
  <c r="J1629" i="2"/>
  <c r="I1629" i="2"/>
  <c r="H1629" i="2"/>
  <c r="G1629" i="2"/>
  <c r="F1629" i="2"/>
  <c r="E1629" i="2"/>
  <c r="D1629" i="2"/>
  <c r="C1629" i="2"/>
  <c r="B1629" i="2"/>
  <c r="A1629" i="2"/>
  <c r="M1628" i="2"/>
  <c r="L1628" i="2"/>
  <c r="K1628" i="2"/>
  <c r="J1628" i="2"/>
  <c r="I1628" i="2"/>
  <c r="H1628" i="2"/>
  <c r="G1628" i="2"/>
  <c r="F1628" i="2"/>
  <c r="E1628" i="2"/>
  <c r="D1628" i="2"/>
  <c r="C1628" i="2"/>
  <c r="B1628" i="2"/>
  <c r="A1628" i="2"/>
  <c r="M1627" i="2"/>
  <c r="L1627" i="2"/>
  <c r="K1627" i="2"/>
  <c r="J1627" i="2"/>
  <c r="I1627" i="2"/>
  <c r="H1627" i="2"/>
  <c r="G1627" i="2"/>
  <c r="F1627" i="2"/>
  <c r="E1627" i="2"/>
  <c r="D1627" i="2"/>
  <c r="C1627" i="2"/>
  <c r="B1627" i="2"/>
  <c r="A1627" i="2"/>
  <c r="M1626" i="2"/>
  <c r="L1626" i="2"/>
  <c r="K1626" i="2"/>
  <c r="J1626" i="2"/>
  <c r="I1626" i="2"/>
  <c r="H1626" i="2"/>
  <c r="G1626" i="2"/>
  <c r="F1626" i="2"/>
  <c r="E1626" i="2"/>
  <c r="D1626" i="2"/>
  <c r="C1626" i="2"/>
  <c r="B1626" i="2"/>
  <c r="A1626" i="2"/>
  <c r="M1625" i="2"/>
  <c r="L1625" i="2"/>
  <c r="K1625" i="2"/>
  <c r="J1625" i="2"/>
  <c r="I1625" i="2"/>
  <c r="H1625" i="2"/>
  <c r="G1625" i="2"/>
  <c r="F1625" i="2"/>
  <c r="E1625" i="2"/>
  <c r="D1625" i="2"/>
  <c r="C1625" i="2"/>
  <c r="B1625" i="2"/>
  <c r="A1625" i="2"/>
  <c r="M1624" i="2"/>
  <c r="L1624" i="2"/>
  <c r="K1624" i="2"/>
  <c r="J1624" i="2"/>
  <c r="I1624" i="2"/>
  <c r="H1624" i="2"/>
  <c r="G1624" i="2"/>
  <c r="F1624" i="2"/>
  <c r="E1624" i="2"/>
  <c r="D1624" i="2"/>
  <c r="C1624" i="2"/>
  <c r="B1624" i="2"/>
  <c r="A1624" i="2"/>
  <c r="M1623" i="2"/>
  <c r="L1623" i="2"/>
  <c r="K1623" i="2"/>
  <c r="J1623" i="2"/>
  <c r="I1623" i="2"/>
  <c r="H1623" i="2"/>
  <c r="G1623" i="2"/>
  <c r="F1623" i="2"/>
  <c r="E1623" i="2"/>
  <c r="D1623" i="2"/>
  <c r="C1623" i="2"/>
  <c r="B1623" i="2"/>
  <c r="A1623" i="2"/>
  <c r="M1622" i="2"/>
  <c r="L1622" i="2"/>
  <c r="K1622" i="2"/>
  <c r="J1622" i="2"/>
  <c r="I1622" i="2"/>
  <c r="H1622" i="2"/>
  <c r="G1622" i="2"/>
  <c r="F1622" i="2"/>
  <c r="E1622" i="2"/>
  <c r="D1622" i="2"/>
  <c r="C1622" i="2"/>
  <c r="B1622" i="2"/>
  <c r="A1622" i="2"/>
  <c r="M1621" i="2"/>
  <c r="L1621" i="2"/>
  <c r="K1621" i="2"/>
  <c r="J1621" i="2"/>
  <c r="I1621" i="2"/>
  <c r="H1621" i="2"/>
  <c r="G1621" i="2"/>
  <c r="F1621" i="2"/>
  <c r="E1621" i="2"/>
  <c r="D1621" i="2"/>
  <c r="C1621" i="2"/>
  <c r="B1621" i="2"/>
  <c r="A1621" i="2"/>
  <c r="M1620" i="2"/>
  <c r="L1620" i="2"/>
  <c r="K1620" i="2"/>
  <c r="J1620" i="2"/>
  <c r="I1620" i="2"/>
  <c r="H1620" i="2"/>
  <c r="G1620" i="2"/>
  <c r="F1620" i="2"/>
  <c r="E1620" i="2"/>
  <c r="D1620" i="2"/>
  <c r="C1620" i="2"/>
  <c r="B1620" i="2"/>
  <c r="A1620" i="2"/>
  <c r="M1619" i="2"/>
  <c r="L1619" i="2"/>
  <c r="K1619" i="2"/>
  <c r="J1619" i="2"/>
  <c r="I1619" i="2"/>
  <c r="H1619" i="2"/>
  <c r="G1619" i="2"/>
  <c r="F1619" i="2"/>
  <c r="E1619" i="2"/>
  <c r="D1619" i="2"/>
  <c r="C1619" i="2"/>
  <c r="B1619" i="2"/>
  <c r="A1619" i="2"/>
  <c r="M1618" i="2"/>
  <c r="L1618" i="2"/>
  <c r="K1618" i="2"/>
  <c r="J1618" i="2"/>
  <c r="I1618" i="2"/>
  <c r="H1618" i="2"/>
  <c r="G1618" i="2"/>
  <c r="F1618" i="2"/>
  <c r="E1618" i="2"/>
  <c r="D1618" i="2"/>
  <c r="C1618" i="2"/>
  <c r="B1618" i="2"/>
  <c r="A1618" i="2"/>
  <c r="M1617" i="2"/>
  <c r="L1617" i="2"/>
  <c r="K1617" i="2"/>
  <c r="J1617" i="2"/>
  <c r="I1617" i="2"/>
  <c r="H1617" i="2"/>
  <c r="G1617" i="2"/>
  <c r="F1617" i="2"/>
  <c r="E1617" i="2"/>
  <c r="D1617" i="2"/>
  <c r="C1617" i="2"/>
  <c r="B1617" i="2"/>
  <c r="A1617" i="2"/>
  <c r="M1616" i="2"/>
  <c r="L1616" i="2"/>
  <c r="K1616" i="2"/>
  <c r="J1616" i="2"/>
  <c r="I1616" i="2"/>
  <c r="H1616" i="2"/>
  <c r="G1616" i="2"/>
  <c r="F1616" i="2"/>
  <c r="E1616" i="2"/>
  <c r="D1616" i="2"/>
  <c r="C1616" i="2"/>
  <c r="B1616" i="2"/>
  <c r="A1616" i="2"/>
  <c r="M1615" i="2"/>
  <c r="L1615" i="2"/>
  <c r="K1615" i="2"/>
  <c r="J1615" i="2"/>
  <c r="I1615" i="2"/>
  <c r="H1615" i="2"/>
  <c r="G1615" i="2"/>
  <c r="F1615" i="2"/>
  <c r="E1615" i="2"/>
  <c r="D1615" i="2"/>
  <c r="C1615" i="2"/>
  <c r="B1615" i="2"/>
  <c r="A1615" i="2"/>
  <c r="M1614" i="2"/>
  <c r="L1614" i="2"/>
  <c r="K1614" i="2"/>
  <c r="J1614" i="2"/>
  <c r="I1614" i="2"/>
  <c r="H1614" i="2"/>
  <c r="G1614" i="2"/>
  <c r="F1614" i="2"/>
  <c r="E1614" i="2"/>
  <c r="D1614" i="2"/>
  <c r="C1614" i="2"/>
  <c r="B1614" i="2"/>
  <c r="A1614" i="2"/>
  <c r="M1613" i="2"/>
  <c r="L1613" i="2"/>
  <c r="K1613" i="2"/>
  <c r="J1613" i="2"/>
  <c r="I1613" i="2"/>
  <c r="H1613" i="2"/>
  <c r="G1613" i="2"/>
  <c r="F1613" i="2"/>
  <c r="E1613" i="2"/>
  <c r="D1613" i="2"/>
  <c r="C1613" i="2"/>
  <c r="B1613" i="2"/>
  <c r="A1613" i="2"/>
  <c r="M1612" i="2"/>
  <c r="L1612" i="2"/>
  <c r="K1612" i="2"/>
  <c r="J1612" i="2"/>
  <c r="I1612" i="2"/>
  <c r="H1612" i="2"/>
  <c r="G1612" i="2"/>
  <c r="F1612" i="2"/>
  <c r="E1612" i="2"/>
  <c r="D1612" i="2"/>
  <c r="C1612" i="2"/>
  <c r="B1612" i="2"/>
  <c r="A1612" i="2"/>
  <c r="M1611" i="2"/>
  <c r="L1611" i="2"/>
  <c r="K1611" i="2"/>
  <c r="J1611" i="2"/>
  <c r="I1611" i="2"/>
  <c r="H1611" i="2"/>
  <c r="G1611" i="2"/>
  <c r="F1611" i="2"/>
  <c r="E1611" i="2"/>
  <c r="D1611" i="2"/>
  <c r="C1611" i="2"/>
  <c r="B1611" i="2"/>
  <c r="A1611" i="2"/>
  <c r="M1610" i="2"/>
  <c r="L1610" i="2"/>
  <c r="K1610" i="2"/>
  <c r="J1610" i="2"/>
  <c r="I1610" i="2"/>
  <c r="H1610" i="2"/>
  <c r="G1610" i="2"/>
  <c r="F1610" i="2"/>
  <c r="E1610" i="2"/>
  <c r="D1610" i="2"/>
  <c r="C1610" i="2"/>
  <c r="B1610" i="2"/>
  <c r="A1610" i="2"/>
  <c r="M1609" i="2"/>
  <c r="L1609" i="2"/>
  <c r="K1609" i="2"/>
  <c r="J1609" i="2"/>
  <c r="I1609" i="2"/>
  <c r="H1609" i="2"/>
  <c r="G1609" i="2"/>
  <c r="F1609" i="2"/>
  <c r="E1609" i="2"/>
  <c r="D1609" i="2"/>
  <c r="C1609" i="2"/>
  <c r="B1609" i="2"/>
  <c r="A1609" i="2"/>
  <c r="M1608" i="2"/>
  <c r="L1608" i="2"/>
  <c r="K1608" i="2"/>
  <c r="J1608" i="2"/>
  <c r="I1608" i="2"/>
  <c r="H1608" i="2"/>
  <c r="G1608" i="2"/>
  <c r="F1608" i="2"/>
  <c r="E1608" i="2"/>
  <c r="D1608" i="2"/>
  <c r="C1608" i="2"/>
  <c r="B1608" i="2"/>
  <c r="A1608" i="2"/>
  <c r="M1607" i="2"/>
  <c r="L1607" i="2"/>
  <c r="K1607" i="2"/>
  <c r="J1607" i="2"/>
  <c r="I1607" i="2"/>
  <c r="H1607" i="2"/>
  <c r="G1607" i="2"/>
  <c r="F1607" i="2"/>
  <c r="E1607" i="2"/>
  <c r="D1607" i="2"/>
  <c r="C1607" i="2"/>
  <c r="B1607" i="2"/>
  <c r="A1607" i="2"/>
  <c r="N1606" i="2"/>
  <c r="M1606" i="2"/>
  <c r="L1606" i="2"/>
  <c r="K1606" i="2"/>
  <c r="J1606" i="2"/>
  <c r="I1606" i="2"/>
  <c r="H1606" i="2"/>
  <c r="G1606" i="2"/>
  <c r="F1606" i="2"/>
  <c r="E1606" i="2"/>
  <c r="D1606" i="2"/>
  <c r="C1606" i="2"/>
  <c r="B1606" i="2"/>
  <c r="A1606" i="2"/>
  <c r="N1605" i="2"/>
  <c r="M1605" i="2"/>
  <c r="L1605" i="2"/>
  <c r="K1605" i="2"/>
  <c r="J1605" i="2"/>
  <c r="I1605" i="2"/>
  <c r="H1605" i="2"/>
  <c r="G1605" i="2"/>
  <c r="F1605" i="2"/>
  <c r="E1605" i="2"/>
  <c r="D1605" i="2"/>
  <c r="C1605" i="2"/>
  <c r="B1605" i="2"/>
  <c r="A1605" i="2"/>
  <c r="N1604" i="2"/>
  <c r="M1604" i="2"/>
  <c r="L1604" i="2"/>
  <c r="K1604" i="2"/>
  <c r="J1604" i="2"/>
  <c r="I1604" i="2"/>
  <c r="H1604" i="2"/>
  <c r="G1604" i="2"/>
  <c r="F1604" i="2"/>
  <c r="E1604" i="2"/>
  <c r="D1604" i="2"/>
  <c r="C1604" i="2"/>
  <c r="B1604" i="2"/>
  <c r="A1604" i="2"/>
  <c r="N1603" i="2"/>
  <c r="M1603" i="2"/>
  <c r="L1603" i="2"/>
  <c r="K1603" i="2"/>
  <c r="J1603" i="2"/>
  <c r="I1603" i="2"/>
  <c r="H1603" i="2"/>
  <c r="G1603" i="2"/>
  <c r="F1603" i="2"/>
  <c r="E1603" i="2"/>
  <c r="D1603" i="2"/>
  <c r="C1603" i="2"/>
  <c r="B1603" i="2"/>
  <c r="A1603" i="2"/>
  <c r="M1602" i="2"/>
  <c r="L1602" i="2"/>
  <c r="K1602" i="2"/>
  <c r="J1602" i="2"/>
  <c r="I1602" i="2"/>
  <c r="H1602" i="2"/>
  <c r="G1602" i="2"/>
  <c r="F1602" i="2"/>
  <c r="E1602" i="2"/>
  <c r="D1602" i="2"/>
  <c r="C1602" i="2"/>
  <c r="B1602" i="2"/>
  <c r="A1602" i="2"/>
  <c r="M1601" i="2"/>
  <c r="L1601" i="2"/>
  <c r="K1601" i="2"/>
  <c r="J1601" i="2"/>
  <c r="I1601" i="2"/>
  <c r="H1601" i="2"/>
  <c r="G1601" i="2"/>
  <c r="F1601" i="2"/>
  <c r="E1601" i="2"/>
  <c r="D1601" i="2"/>
  <c r="C1601" i="2"/>
  <c r="B1601" i="2"/>
  <c r="A1601" i="2"/>
  <c r="M1600" i="2"/>
  <c r="L1600" i="2"/>
  <c r="K1600" i="2"/>
  <c r="J1600" i="2"/>
  <c r="I1600" i="2"/>
  <c r="H1600" i="2"/>
  <c r="G1600" i="2"/>
  <c r="F1600" i="2"/>
  <c r="E1600" i="2"/>
  <c r="D1600" i="2"/>
  <c r="C1600" i="2"/>
  <c r="B1600" i="2"/>
  <c r="A1600" i="2"/>
  <c r="M1599" i="2"/>
  <c r="L1599" i="2"/>
  <c r="K1599" i="2"/>
  <c r="J1599" i="2"/>
  <c r="I1599" i="2"/>
  <c r="H1599" i="2"/>
  <c r="G1599" i="2"/>
  <c r="F1599" i="2"/>
  <c r="E1599" i="2"/>
  <c r="D1599" i="2"/>
  <c r="C1599" i="2"/>
  <c r="B1599" i="2"/>
  <c r="A1599" i="2"/>
  <c r="M1598" i="2"/>
  <c r="L1598" i="2"/>
  <c r="K1598" i="2"/>
  <c r="J1598" i="2"/>
  <c r="I1598" i="2"/>
  <c r="H1598" i="2"/>
  <c r="G1598" i="2"/>
  <c r="F1598" i="2"/>
  <c r="E1598" i="2"/>
  <c r="D1598" i="2"/>
  <c r="C1598" i="2"/>
  <c r="B1598" i="2"/>
  <c r="A1598" i="2"/>
  <c r="M1597" i="2"/>
  <c r="L1597" i="2"/>
  <c r="K1597" i="2"/>
  <c r="J1597" i="2"/>
  <c r="I1597" i="2"/>
  <c r="H1597" i="2"/>
  <c r="G1597" i="2"/>
  <c r="F1597" i="2"/>
  <c r="E1597" i="2"/>
  <c r="D1597" i="2"/>
  <c r="C1597" i="2"/>
  <c r="B1597" i="2"/>
  <c r="A1597" i="2"/>
  <c r="M1596" i="2"/>
  <c r="L1596" i="2"/>
  <c r="K1596" i="2"/>
  <c r="J1596" i="2"/>
  <c r="I1596" i="2"/>
  <c r="H1596" i="2"/>
  <c r="G1596" i="2"/>
  <c r="F1596" i="2"/>
  <c r="E1596" i="2"/>
  <c r="D1596" i="2"/>
  <c r="C1596" i="2"/>
  <c r="B1596" i="2"/>
  <c r="A1596" i="2"/>
  <c r="M1595" i="2"/>
  <c r="L1595" i="2"/>
  <c r="K1595" i="2"/>
  <c r="J1595" i="2"/>
  <c r="I1595" i="2"/>
  <c r="H1595" i="2"/>
  <c r="G1595" i="2"/>
  <c r="F1595" i="2"/>
  <c r="E1595" i="2"/>
  <c r="D1595" i="2"/>
  <c r="C1595" i="2"/>
  <c r="B1595" i="2"/>
  <c r="A1595" i="2"/>
  <c r="M1594" i="2"/>
  <c r="L1594" i="2"/>
  <c r="K1594" i="2"/>
  <c r="J1594" i="2"/>
  <c r="I1594" i="2"/>
  <c r="H1594" i="2"/>
  <c r="G1594" i="2"/>
  <c r="F1594" i="2"/>
  <c r="E1594" i="2"/>
  <c r="D1594" i="2"/>
  <c r="C1594" i="2"/>
  <c r="B1594" i="2"/>
  <c r="A1594" i="2"/>
  <c r="M1593" i="2"/>
  <c r="L1593" i="2"/>
  <c r="K1593" i="2"/>
  <c r="J1593" i="2"/>
  <c r="I1593" i="2"/>
  <c r="H1593" i="2"/>
  <c r="G1593" i="2"/>
  <c r="F1593" i="2"/>
  <c r="E1593" i="2"/>
  <c r="D1593" i="2"/>
  <c r="C1593" i="2"/>
  <c r="B1593" i="2"/>
  <c r="A1593" i="2"/>
  <c r="M1592" i="2"/>
  <c r="L1592" i="2"/>
  <c r="K1592" i="2"/>
  <c r="J1592" i="2"/>
  <c r="I1592" i="2"/>
  <c r="H1592" i="2"/>
  <c r="G1592" i="2"/>
  <c r="F1592" i="2"/>
  <c r="E1592" i="2"/>
  <c r="D1592" i="2"/>
  <c r="C1592" i="2"/>
  <c r="B1592" i="2"/>
  <c r="A1592" i="2"/>
  <c r="M1591" i="2"/>
  <c r="L1591" i="2"/>
  <c r="K1591" i="2"/>
  <c r="J1591" i="2"/>
  <c r="I1591" i="2"/>
  <c r="H1591" i="2"/>
  <c r="G1591" i="2"/>
  <c r="F1591" i="2"/>
  <c r="E1591" i="2"/>
  <c r="D1591" i="2"/>
  <c r="C1591" i="2"/>
  <c r="B1591" i="2"/>
  <c r="A1591" i="2"/>
  <c r="M1590" i="2"/>
  <c r="L1590" i="2"/>
  <c r="K1590" i="2"/>
  <c r="J1590" i="2"/>
  <c r="I1590" i="2"/>
  <c r="H1590" i="2"/>
  <c r="G1590" i="2"/>
  <c r="F1590" i="2"/>
  <c r="E1590" i="2"/>
  <c r="D1590" i="2"/>
  <c r="C1590" i="2"/>
  <c r="B1590" i="2"/>
  <c r="A1590" i="2"/>
  <c r="M1589" i="2"/>
  <c r="L1589" i="2"/>
  <c r="K1589" i="2"/>
  <c r="J1589" i="2"/>
  <c r="I1589" i="2"/>
  <c r="H1589" i="2"/>
  <c r="G1589" i="2"/>
  <c r="F1589" i="2"/>
  <c r="E1589" i="2"/>
  <c r="D1589" i="2"/>
  <c r="C1589" i="2"/>
  <c r="B1589" i="2"/>
  <c r="A1589" i="2"/>
  <c r="M1588" i="2"/>
  <c r="L1588" i="2"/>
  <c r="K1588" i="2"/>
  <c r="J1588" i="2"/>
  <c r="I1588" i="2"/>
  <c r="H1588" i="2"/>
  <c r="G1588" i="2"/>
  <c r="F1588" i="2"/>
  <c r="E1588" i="2"/>
  <c r="D1588" i="2"/>
  <c r="C1588" i="2"/>
  <c r="B1588" i="2"/>
  <c r="A1588" i="2"/>
  <c r="M1587" i="2"/>
  <c r="L1587" i="2"/>
  <c r="K1587" i="2"/>
  <c r="J1587" i="2"/>
  <c r="I1587" i="2"/>
  <c r="H1587" i="2"/>
  <c r="G1587" i="2"/>
  <c r="F1587" i="2"/>
  <c r="E1587" i="2"/>
  <c r="D1587" i="2"/>
  <c r="C1587" i="2"/>
  <c r="B1587" i="2"/>
  <c r="A1587" i="2"/>
  <c r="M1586" i="2"/>
  <c r="L1586" i="2"/>
  <c r="K1586" i="2"/>
  <c r="J1586" i="2"/>
  <c r="I1586" i="2"/>
  <c r="H1586" i="2"/>
  <c r="G1586" i="2"/>
  <c r="F1586" i="2"/>
  <c r="E1586" i="2"/>
  <c r="D1586" i="2"/>
  <c r="C1586" i="2"/>
  <c r="B1586" i="2"/>
  <c r="A1586" i="2"/>
  <c r="M1585" i="2"/>
  <c r="L1585" i="2"/>
  <c r="K1585" i="2"/>
  <c r="J1585" i="2"/>
  <c r="I1585" i="2"/>
  <c r="H1585" i="2"/>
  <c r="G1585" i="2"/>
  <c r="F1585" i="2"/>
  <c r="E1585" i="2"/>
  <c r="D1585" i="2"/>
  <c r="C1585" i="2"/>
  <c r="B1585" i="2"/>
  <c r="A1585" i="2"/>
  <c r="M1584" i="2"/>
  <c r="L1584" i="2"/>
  <c r="I1584" i="2"/>
  <c r="H1584" i="2"/>
  <c r="F1584" i="2"/>
  <c r="E1584" i="2"/>
  <c r="D1584" i="2"/>
  <c r="C1584" i="2"/>
  <c r="B1584" i="2"/>
  <c r="A1584" i="2"/>
  <c r="M1583" i="2"/>
  <c r="L1583" i="2"/>
  <c r="I1583" i="2"/>
  <c r="H1583" i="2"/>
  <c r="F1583" i="2"/>
  <c r="E1583" i="2"/>
  <c r="D1583" i="2"/>
  <c r="C1583" i="2"/>
  <c r="B1583" i="2"/>
  <c r="A1583" i="2"/>
  <c r="M1582" i="2"/>
  <c r="L1582" i="2"/>
  <c r="K1582" i="2"/>
  <c r="I1582" i="2"/>
  <c r="H1582" i="2"/>
  <c r="F1582" i="2"/>
  <c r="E1582" i="2"/>
  <c r="D1582" i="2"/>
  <c r="C1582" i="2"/>
  <c r="B1582" i="2"/>
  <c r="A1582" i="2"/>
  <c r="M1581" i="2"/>
  <c r="L1581" i="2"/>
  <c r="K1581" i="2"/>
  <c r="I1581" i="2"/>
  <c r="H1581" i="2"/>
  <c r="F1581" i="2"/>
  <c r="E1581" i="2"/>
  <c r="D1581" i="2"/>
  <c r="C1581" i="2"/>
  <c r="B1581" i="2"/>
  <c r="A1581" i="2"/>
  <c r="M1580" i="2"/>
  <c r="L1580" i="2"/>
  <c r="I1580" i="2"/>
  <c r="H1580" i="2"/>
  <c r="G1580" i="2"/>
  <c r="F1580" i="2"/>
  <c r="E1580" i="2"/>
  <c r="D1580" i="2"/>
  <c r="C1580" i="2"/>
  <c r="B1580" i="2"/>
  <c r="A1580" i="2"/>
  <c r="M1579" i="2"/>
  <c r="L1579" i="2"/>
  <c r="I1579" i="2"/>
  <c r="H1579" i="2"/>
  <c r="G1579" i="2"/>
  <c r="F1579" i="2"/>
  <c r="E1579" i="2"/>
  <c r="D1579" i="2"/>
  <c r="C1579" i="2"/>
  <c r="B1579" i="2"/>
  <c r="A1579" i="2"/>
  <c r="M1578" i="2"/>
  <c r="L1578" i="2"/>
  <c r="K1578" i="2"/>
  <c r="I1578" i="2"/>
  <c r="H1578" i="2"/>
  <c r="F1578" i="2"/>
  <c r="E1578" i="2"/>
  <c r="D1578" i="2"/>
  <c r="C1578" i="2"/>
  <c r="B1578" i="2"/>
  <c r="A1578" i="2"/>
  <c r="M1577" i="2"/>
  <c r="L1577" i="2"/>
  <c r="K1577" i="2"/>
  <c r="I1577" i="2"/>
  <c r="H1577" i="2"/>
  <c r="F1577" i="2"/>
  <c r="E1577" i="2"/>
  <c r="D1577" i="2"/>
  <c r="C1577" i="2"/>
  <c r="B1577" i="2"/>
  <c r="A1577" i="2"/>
  <c r="M1576" i="2"/>
  <c r="L1576" i="2"/>
  <c r="K1576" i="2"/>
  <c r="I1576" i="2"/>
  <c r="H1576" i="2"/>
  <c r="F1576" i="2"/>
  <c r="E1576" i="2"/>
  <c r="D1576" i="2"/>
  <c r="C1576" i="2"/>
  <c r="B1576" i="2"/>
  <c r="A1576" i="2"/>
  <c r="M1575" i="2"/>
  <c r="L1575" i="2"/>
  <c r="K1575" i="2"/>
  <c r="I1575" i="2"/>
  <c r="H1575" i="2"/>
  <c r="F1575" i="2"/>
  <c r="E1575" i="2"/>
  <c r="D1575" i="2"/>
  <c r="C1575" i="2"/>
  <c r="B1575" i="2"/>
  <c r="A1575" i="2"/>
  <c r="M1574" i="2"/>
  <c r="L1574" i="2"/>
  <c r="K1574" i="2"/>
  <c r="I1574" i="2"/>
  <c r="H1574" i="2"/>
  <c r="F1574" i="2"/>
  <c r="E1574" i="2"/>
  <c r="D1574" i="2"/>
  <c r="C1574" i="2"/>
  <c r="B1574" i="2"/>
  <c r="A1574" i="2"/>
  <c r="M1573" i="2"/>
  <c r="L1573" i="2"/>
  <c r="K1573" i="2"/>
  <c r="I1573" i="2"/>
  <c r="H1573" i="2"/>
  <c r="F1573" i="2"/>
  <c r="E1573" i="2"/>
  <c r="D1573" i="2"/>
  <c r="C1573" i="2"/>
  <c r="B1573" i="2"/>
  <c r="A1573" i="2"/>
  <c r="M1572" i="2"/>
  <c r="L1572" i="2"/>
  <c r="K1572" i="2"/>
  <c r="I1572" i="2"/>
  <c r="H1572" i="2"/>
  <c r="F1572" i="2"/>
  <c r="E1572" i="2"/>
  <c r="D1572" i="2"/>
  <c r="C1572" i="2"/>
  <c r="B1572" i="2"/>
  <c r="A1572" i="2"/>
  <c r="M1571" i="2"/>
  <c r="L1571" i="2"/>
  <c r="K1571" i="2"/>
  <c r="I1571" i="2"/>
  <c r="H1571" i="2"/>
  <c r="F1571" i="2"/>
  <c r="E1571" i="2"/>
  <c r="D1571" i="2"/>
  <c r="C1571" i="2"/>
  <c r="B1571" i="2"/>
  <c r="A1571" i="2"/>
  <c r="M1570" i="2"/>
  <c r="L1570" i="2"/>
  <c r="K1570" i="2"/>
  <c r="I1570" i="2"/>
  <c r="H1570" i="2"/>
  <c r="F1570" i="2"/>
  <c r="E1570" i="2"/>
  <c r="D1570" i="2"/>
  <c r="C1570" i="2"/>
  <c r="B1570" i="2"/>
  <c r="A1570" i="2"/>
  <c r="M1569" i="2"/>
  <c r="L1569" i="2"/>
  <c r="K1569" i="2"/>
  <c r="I1569" i="2"/>
  <c r="H1569" i="2"/>
  <c r="F1569" i="2"/>
  <c r="E1569" i="2"/>
  <c r="D1569" i="2"/>
  <c r="C1569" i="2"/>
  <c r="B1569" i="2"/>
  <c r="A1569" i="2"/>
  <c r="M1568" i="2"/>
  <c r="L1568" i="2"/>
  <c r="K1568" i="2"/>
  <c r="I1568" i="2"/>
  <c r="H1568" i="2"/>
  <c r="F1568" i="2"/>
  <c r="E1568" i="2"/>
  <c r="D1568" i="2"/>
  <c r="C1568" i="2"/>
  <c r="B1568" i="2"/>
  <c r="A1568" i="2"/>
  <c r="M1567" i="2"/>
  <c r="K1567" i="2"/>
  <c r="J1567" i="2"/>
  <c r="I1567" i="2"/>
  <c r="H1567" i="2"/>
  <c r="G1567" i="2"/>
  <c r="F1567" i="2"/>
  <c r="E1567" i="2"/>
  <c r="D1567" i="2"/>
  <c r="C1567" i="2"/>
  <c r="B1567" i="2"/>
  <c r="A1567" i="2"/>
  <c r="M1566" i="2"/>
  <c r="K1566" i="2"/>
  <c r="J1566" i="2"/>
  <c r="I1566" i="2"/>
  <c r="H1566" i="2"/>
  <c r="G1566" i="2"/>
  <c r="F1566" i="2"/>
  <c r="E1566" i="2"/>
  <c r="D1566" i="2"/>
  <c r="C1566" i="2"/>
  <c r="B1566" i="2"/>
  <c r="A1566" i="2"/>
  <c r="M1565" i="2"/>
  <c r="K1565" i="2"/>
  <c r="J1565" i="2"/>
  <c r="I1565" i="2"/>
  <c r="H1565" i="2"/>
  <c r="G1565" i="2"/>
  <c r="F1565" i="2"/>
  <c r="E1565" i="2"/>
  <c r="D1565" i="2"/>
  <c r="C1565" i="2"/>
  <c r="B1565" i="2"/>
  <c r="A1565" i="2"/>
  <c r="M1564" i="2"/>
  <c r="K1564" i="2"/>
  <c r="J1564" i="2"/>
  <c r="I1564" i="2"/>
  <c r="H1564" i="2"/>
  <c r="G1564" i="2"/>
  <c r="F1564" i="2"/>
  <c r="E1564" i="2"/>
  <c r="D1564" i="2"/>
  <c r="C1564" i="2"/>
  <c r="B1564" i="2"/>
  <c r="A1564" i="2"/>
  <c r="M1563" i="2"/>
  <c r="K1563" i="2"/>
  <c r="J1563" i="2"/>
  <c r="I1563" i="2"/>
  <c r="H1563" i="2"/>
  <c r="G1563" i="2"/>
  <c r="F1563" i="2"/>
  <c r="E1563" i="2"/>
  <c r="D1563" i="2"/>
  <c r="C1563" i="2"/>
  <c r="B1563" i="2"/>
  <c r="A1563" i="2"/>
  <c r="M1562" i="2"/>
  <c r="K1562" i="2"/>
  <c r="J1562" i="2"/>
  <c r="I1562" i="2"/>
  <c r="H1562" i="2"/>
  <c r="G1562" i="2"/>
  <c r="F1562" i="2"/>
  <c r="E1562" i="2"/>
  <c r="D1562" i="2"/>
  <c r="C1562" i="2"/>
  <c r="B1562" i="2"/>
  <c r="A1562" i="2"/>
  <c r="M1561" i="2"/>
  <c r="K1561" i="2"/>
  <c r="J1561" i="2"/>
  <c r="I1561" i="2"/>
  <c r="H1561" i="2"/>
  <c r="G1561" i="2"/>
  <c r="F1561" i="2"/>
  <c r="E1561" i="2"/>
  <c r="D1561" i="2"/>
  <c r="C1561" i="2"/>
  <c r="B1561" i="2"/>
  <c r="A1561" i="2"/>
  <c r="M1560" i="2"/>
  <c r="K1560" i="2"/>
  <c r="J1560" i="2"/>
  <c r="I1560" i="2"/>
  <c r="H1560" i="2"/>
  <c r="G1560" i="2"/>
  <c r="F1560" i="2"/>
  <c r="E1560" i="2"/>
  <c r="D1560" i="2"/>
  <c r="C1560" i="2"/>
  <c r="B1560" i="2"/>
  <c r="A1560" i="2"/>
  <c r="M1559" i="2"/>
  <c r="K1559" i="2"/>
  <c r="J1559" i="2"/>
  <c r="I1559" i="2"/>
  <c r="H1559" i="2"/>
  <c r="G1559" i="2"/>
  <c r="F1559" i="2"/>
  <c r="E1559" i="2"/>
  <c r="D1559" i="2"/>
  <c r="C1559" i="2"/>
  <c r="B1559" i="2"/>
  <c r="A1559" i="2"/>
  <c r="M1558" i="2"/>
  <c r="K1558" i="2"/>
  <c r="J1558" i="2"/>
  <c r="I1558" i="2"/>
  <c r="H1558" i="2"/>
  <c r="G1558" i="2"/>
  <c r="F1558" i="2"/>
  <c r="E1558" i="2"/>
  <c r="D1558" i="2"/>
  <c r="C1558" i="2"/>
  <c r="B1558" i="2"/>
  <c r="A1558" i="2"/>
  <c r="M1557" i="2"/>
  <c r="L1557" i="2"/>
  <c r="K1557" i="2"/>
  <c r="J1557" i="2"/>
  <c r="I1557" i="2"/>
  <c r="H1557" i="2"/>
  <c r="G1557" i="2"/>
  <c r="F1557" i="2"/>
  <c r="E1557" i="2"/>
  <c r="D1557" i="2"/>
  <c r="C1557" i="2"/>
  <c r="B1557" i="2"/>
  <c r="A1557" i="2"/>
  <c r="M1556" i="2"/>
  <c r="L1556" i="2"/>
  <c r="K1556" i="2"/>
  <c r="J1556" i="2"/>
  <c r="I1556" i="2"/>
  <c r="H1556" i="2"/>
  <c r="G1556" i="2"/>
  <c r="F1556" i="2"/>
  <c r="E1556" i="2"/>
  <c r="D1556" i="2"/>
  <c r="C1556" i="2"/>
  <c r="B1556" i="2"/>
  <c r="A1556" i="2"/>
  <c r="M1555" i="2"/>
  <c r="L1555" i="2"/>
  <c r="K1555" i="2"/>
  <c r="J1555" i="2"/>
  <c r="I1555" i="2"/>
  <c r="H1555" i="2"/>
  <c r="F1555" i="2"/>
  <c r="E1555" i="2"/>
  <c r="D1555" i="2"/>
  <c r="C1555" i="2"/>
  <c r="B1555" i="2"/>
  <c r="A1555" i="2"/>
  <c r="M1554" i="2"/>
  <c r="L1554" i="2"/>
  <c r="K1554" i="2"/>
  <c r="J1554" i="2"/>
  <c r="I1554" i="2"/>
  <c r="H1554" i="2"/>
  <c r="F1554" i="2"/>
  <c r="E1554" i="2"/>
  <c r="D1554" i="2"/>
  <c r="C1554" i="2"/>
  <c r="B1554" i="2"/>
  <c r="A1554" i="2"/>
  <c r="M1553" i="2"/>
  <c r="L1553" i="2"/>
  <c r="K1553" i="2"/>
  <c r="J1553" i="2"/>
  <c r="I1553" i="2"/>
  <c r="H1553" i="2"/>
  <c r="F1553" i="2"/>
  <c r="E1553" i="2"/>
  <c r="D1553" i="2"/>
  <c r="C1553" i="2"/>
  <c r="B1553" i="2"/>
  <c r="A1553" i="2"/>
  <c r="M1552" i="2"/>
  <c r="L1552" i="2"/>
  <c r="K1552" i="2"/>
  <c r="J1552" i="2"/>
  <c r="I1552" i="2"/>
  <c r="H1552" i="2"/>
  <c r="F1552" i="2"/>
  <c r="E1552" i="2"/>
  <c r="D1552" i="2"/>
  <c r="C1552" i="2"/>
  <c r="B1552" i="2"/>
  <c r="A1552" i="2"/>
  <c r="N1551" i="2"/>
  <c r="M1551" i="2"/>
  <c r="L1551" i="2"/>
  <c r="K1551" i="2"/>
  <c r="J1551" i="2"/>
  <c r="I1551" i="2"/>
  <c r="H1551" i="2"/>
  <c r="G1551" i="2"/>
  <c r="F1551" i="2"/>
  <c r="E1551" i="2"/>
  <c r="D1551" i="2"/>
  <c r="C1551" i="2"/>
  <c r="B1551" i="2"/>
  <c r="A1551" i="2"/>
  <c r="N1550" i="2"/>
  <c r="M1550" i="2"/>
  <c r="L1550" i="2"/>
  <c r="K1550" i="2"/>
  <c r="J1550" i="2"/>
  <c r="I1550" i="2"/>
  <c r="H1550" i="2"/>
  <c r="G1550" i="2"/>
  <c r="F1550" i="2"/>
  <c r="E1550" i="2"/>
  <c r="D1550" i="2"/>
  <c r="C1550" i="2"/>
  <c r="B1550" i="2"/>
  <c r="A1550" i="2"/>
  <c r="N1549" i="2"/>
  <c r="M1549" i="2"/>
  <c r="L1549" i="2"/>
  <c r="K1549" i="2"/>
  <c r="J1549" i="2"/>
  <c r="I1549" i="2"/>
  <c r="H1549" i="2"/>
  <c r="G1549" i="2"/>
  <c r="F1549" i="2"/>
  <c r="E1549" i="2"/>
  <c r="D1549" i="2"/>
  <c r="C1549" i="2"/>
  <c r="B1549" i="2"/>
  <c r="A1549" i="2"/>
  <c r="N1548" i="2"/>
  <c r="M1548" i="2"/>
  <c r="L1548" i="2"/>
  <c r="K1548" i="2"/>
  <c r="J1548" i="2"/>
  <c r="I1548" i="2"/>
  <c r="H1548" i="2"/>
  <c r="G1548" i="2"/>
  <c r="F1548" i="2"/>
  <c r="E1548" i="2"/>
  <c r="D1548" i="2"/>
  <c r="C1548" i="2"/>
  <c r="B1548" i="2"/>
  <c r="A1548" i="2"/>
  <c r="M1547" i="2"/>
  <c r="L1547" i="2"/>
  <c r="K1547" i="2"/>
  <c r="J1547" i="2"/>
  <c r="I1547" i="2"/>
  <c r="H1547" i="2"/>
  <c r="G1547" i="2"/>
  <c r="F1547" i="2"/>
  <c r="E1547" i="2"/>
  <c r="D1547" i="2"/>
  <c r="C1547" i="2"/>
  <c r="B1547" i="2"/>
  <c r="A1547" i="2"/>
  <c r="N1546" i="2"/>
  <c r="M1546" i="2"/>
  <c r="L1546" i="2"/>
  <c r="K1546" i="2"/>
  <c r="J1546" i="2"/>
  <c r="I1546" i="2"/>
  <c r="H1546" i="2"/>
  <c r="G1546" i="2"/>
  <c r="F1546" i="2"/>
  <c r="E1546" i="2"/>
  <c r="D1546" i="2"/>
  <c r="C1546" i="2"/>
  <c r="B1546" i="2"/>
  <c r="A1546" i="2"/>
  <c r="N1545" i="2"/>
  <c r="M1545" i="2"/>
  <c r="L1545" i="2"/>
  <c r="K1545" i="2"/>
  <c r="J1545" i="2"/>
  <c r="I1545" i="2"/>
  <c r="H1545" i="2"/>
  <c r="G1545" i="2"/>
  <c r="F1545" i="2"/>
  <c r="E1545" i="2"/>
  <c r="D1545" i="2"/>
  <c r="C1545" i="2"/>
  <c r="B1545" i="2"/>
  <c r="A1545" i="2"/>
  <c r="M1544" i="2"/>
  <c r="L1544" i="2"/>
  <c r="K1544" i="2"/>
  <c r="J1544" i="2"/>
  <c r="I1544" i="2"/>
  <c r="H1544" i="2"/>
  <c r="G1544" i="2"/>
  <c r="F1544" i="2"/>
  <c r="E1544" i="2"/>
  <c r="D1544" i="2"/>
  <c r="C1544" i="2"/>
  <c r="B1544" i="2"/>
  <c r="A1544" i="2"/>
  <c r="M1543" i="2"/>
  <c r="L1543" i="2"/>
  <c r="K1543" i="2"/>
  <c r="J1543" i="2"/>
  <c r="I1543" i="2"/>
  <c r="H1543" i="2"/>
  <c r="G1543" i="2"/>
  <c r="F1543" i="2"/>
  <c r="E1543" i="2"/>
  <c r="D1543" i="2"/>
  <c r="C1543" i="2"/>
  <c r="B1543" i="2"/>
  <c r="A1543" i="2"/>
  <c r="M1542" i="2"/>
  <c r="L1542" i="2"/>
  <c r="K1542" i="2"/>
  <c r="J1542" i="2"/>
  <c r="I1542" i="2"/>
  <c r="H1542" i="2"/>
  <c r="G1542" i="2"/>
  <c r="F1542" i="2"/>
  <c r="E1542" i="2"/>
  <c r="D1542" i="2"/>
  <c r="C1542" i="2"/>
  <c r="B1542" i="2"/>
  <c r="A1542" i="2"/>
  <c r="N1541" i="2"/>
  <c r="M1541" i="2"/>
  <c r="L1541" i="2"/>
  <c r="K1541" i="2"/>
  <c r="J1541" i="2"/>
  <c r="I1541" i="2"/>
  <c r="H1541" i="2"/>
  <c r="G1541" i="2"/>
  <c r="F1541" i="2"/>
  <c r="E1541" i="2"/>
  <c r="D1541" i="2"/>
  <c r="C1541" i="2"/>
  <c r="B1541" i="2"/>
  <c r="A1541" i="2"/>
  <c r="N1540" i="2"/>
  <c r="M1540" i="2"/>
  <c r="L1540" i="2"/>
  <c r="K1540" i="2"/>
  <c r="J1540" i="2"/>
  <c r="I1540" i="2"/>
  <c r="H1540" i="2"/>
  <c r="G1540" i="2"/>
  <c r="F1540" i="2"/>
  <c r="E1540" i="2"/>
  <c r="D1540" i="2"/>
  <c r="C1540" i="2"/>
  <c r="B1540" i="2"/>
  <c r="A1540" i="2"/>
  <c r="N1539" i="2"/>
  <c r="M1539" i="2"/>
  <c r="L1539" i="2"/>
  <c r="K1539" i="2"/>
  <c r="J1539" i="2"/>
  <c r="I1539" i="2"/>
  <c r="H1539" i="2"/>
  <c r="G1539" i="2"/>
  <c r="F1539" i="2"/>
  <c r="E1539" i="2"/>
  <c r="D1539" i="2"/>
  <c r="C1539" i="2"/>
  <c r="B1539" i="2"/>
  <c r="A1539" i="2"/>
  <c r="N1538" i="2"/>
  <c r="M1538" i="2"/>
  <c r="L1538" i="2"/>
  <c r="K1538" i="2"/>
  <c r="J1538" i="2"/>
  <c r="I1538" i="2"/>
  <c r="H1538" i="2"/>
  <c r="G1538" i="2"/>
  <c r="F1538" i="2"/>
  <c r="E1538" i="2"/>
  <c r="D1538" i="2"/>
  <c r="C1538" i="2"/>
  <c r="B1538" i="2"/>
  <c r="A1538" i="2"/>
  <c r="M1537" i="2"/>
  <c r="L1537" i="2"/>
  <c r="K1537" i="2"/>
  <c r="J1537" i="2"/>
  <c r="I1537" i="2"/>
  <c r="H1537" i="2"/>
  <c r="G1537" i="2"/>
  <c r="F1537" i="2"/>
  <c r="E1537" i="2"/>
  <c r="D1537" i="2"/>
  <c r="C1537" i="2"/>
  <c r="B1537" i="2"/>
  <c r="A1537" i="2"/>
  <c r="N1536" i="2"/>
  <c r="M1536" i="2"/>
  <c r="L1536" i="2"/>
  <c r="K1536" i="2"/>
  <c r="J1536" i="2"/>
  <c r="I1536" i="2"/>
  <c r="H1536" i="2"/>
  <c r="G1536" i="2"/>
  <c r="F1536" i="2"/>
  <c r="E1536" i="2"/>
  <c r="D1536" i="2"/>
  <c r="C1536" i="2"/>
  <c r="B1536" i="2"/>
  <c r="A1536" i="2"/>
  <c r="N1535" i="2"/>
  <c r="M1535" i="2"/>
  <c r="L1535" i="2"/>
  <c r="K1535" i="2"/>
  <c r="J1535" i="2"/>
  <c r="I1535" i="2"/>
  <c r="H1535" i="2"/>
  <c r="G1535" i="2"/>
  <c r="F1535" i="2"/>
  <c r="E1535" i="2"/>
  <c r="D1535" i="2"/>
  <c r="C1535" i="2"/>
  <c r="B1535" i="2"/>
  <c r="A1535" i="2"/>
  <c r="M1534" i="2"/>
  <c r="L1534" i="2"/>
  <c r="K1534" i="2"/>
  <c r="J1534" i="2"/>
  <c r="I1534" i="2"/>
  <c r="H1534" i="2"/>
  <c r="G1534" i="2"/>
  <c r="F1534" i="2"/>
  <c r="E1534" i="2"/>
  <c r="D1534" i="2"/>
  <c r="C1534" i="2"/>
  <c r="B1534" i="2"/>
  <c r="A1534" i="2"/>
  <c r="M1533" i="2"/>
  <c r="L1533" i="2"/>
  <c r="K1533" i="2"/>
  <c r="J1533" i="2"/>
  <c r="I1533" i="2"/>
  <c r="H1533" i="2"/>
  <c r="F1533" i="2"/>
  <c r="E1533" i="2"/>
  <c r="D1533" i="2"/>
  <c r="C1533" i="2"/>
  <c r="B1533" i="2"/>
  <c r="A1533" i="2"/>
  <c r="M1532" i="2"/>
  <c r="L1532" i="2"/>
  <c r="K1532" i="2"/>
  <c r="J1532" i="2"/>
  <c r="I1532" i="2"/>
  <c r="H1532" i="2"/>
  <c r="F1532" i="2"/>
  <c r="E1532" i="2"/>
  <c r="D1532" i="2"/>
  <c r="C1532" i="2"/>
  <c r="B1532" i="2"/>
  <c r="A1532" i="2"/>
  <c r="M1531" i="2"/>
  <c r="L1531" i="2"/>
  <c r="K1531" i="2"/>
  <c r="J1531" i="2"/>
  <c r="I1531" i="2"/>
  <c r="H1531" i="2"/>
  <c r="F1531" i="2"/>
  <c r="E1531" i="2"/>
  <c r="D1531" i="2"/>
  <c r="C1531" i="2"/>
  <c r="B1531" i="2"/>
  <c r="A1531" i="2"/>
  <c r="M1530" i="2"/>
  <c r="L1530" i="2"/>
  <c r="K1530" i="2"/>
  <c r="J1530" i="2"/>
  <c r="I1530" i="2"/>
  <c r="H1530" i="2"/>
  <c r="G1530" i="2"/>
  <c r="F1530" i="2"/>
  <c r="E1530" i="2"/>
  <c r="D1530" i="2"/>
  <c r="C1530" i="2"/>
  <c r="B1530" i="2"/>
  <c r="A1530" i="2"/>
  <c r="M1529" i="2"/>
  <c r="L1529" i="2"/>
  <c r="K1529" i="2"/>
  <c r="J1529" i="2"/>
  <c r="I1529" i="2"/>
  <c r="H1529" i="2"/>
  <c r="G1529" i="2"/>
  <c r="F1529" i="2"/>
  <c r="E1529" i="2"/>
  <c r="D1529" i="2"/>
  <c r="C1529" i="2"/>
  <c r="B1529" i="2"/>
  <c r="A1529" i="2"/>
  <c r="M1528" i="2"/>
  <c r="L1528" i="2"/>
  <c r="K1528" i="2"/>
  <c r="J1528" i="2"/>
  <c r="I1528" i="2"/>
  <c r="H1528" i="2"/>
  <c r="G1528" i="2"/>
  <c r="F1528" i="2"/>
  <c r="E1528" i="2"/>
  <c r="D1528" i="2"/>
  <c r="C1528" i="2"/>
  <c r="B1528" i="2"/>
  <c r="A1528" i="2"/>
  <c r="M1527" i="2"/>
  <c r="L1527" i="2"/>
  <c r="K1527" i="2"/>
  <c r="J1527" i="2"/>
  <c r="I1527" i="2"/>
  <c r="H1527" i="2"/>
  <c r="G1527" i="2"/>
  <c r="F1527" i="2"/>
  <c r="E1527" i="2"/>
  <c r="D1527" i="2"/>
  <c r="C1527" i="2"/>
  <c r="B1527" i="2"/>
  <c r="A1527" i="2"/>
  <c r="M1526" i="2"/>
  <c r="L1526" i="2"/>
  <c r="K1526" i="2"/>
  <c r="J1526" i="2"/>
  <c r="I1526" i="2"/>
  <c r="H1526" i="2"/>
  <c r="G1526" i="2"/>
  <c r="F1526" i="2"/>
  <c r="E1526" i="2"/>
  <c r="D1526" i="2"/>
  <c r="C1526" i="2"/>
  <c r="B1526" i="2"/>
  <c r="A1526" i="2"/>
  <c r="M1525" i="2"/>
  <c r="L1525" i="2"/>
  <c r="K1525" i="2"/>
  <c r="J1525" i="2"/>
  <c r="I1525" i="2"/>
  <c r="H1525" i="2"/>
  <c r="G1525" i="2"/>
  <c r="F1525" i="2"/>
  <c r="E1525" i="2"/>
  <c r="D1525" i="2"/>
  <c r="C1525" i="2"/>
  <c r="B1525" i="2"/>
  <c r="A1525" i="2"/>
  <c r="M1524" i="2"/>
  <c r="L1524" i="2"/>
  <c r="K1524" i="2"/>
  <c r="J1524" i="2"/>
  <c r="I1524" i="2"/>
  <c r="H1524" i="2"/>
  <c r="G1524" i="2"/>
  <c r="F1524" i="2"/>
  <c r="E1524" i="2"/>
  <c r="D1524" i="2"/>
  <c r="C1524" i="2"/>
  <c r="B1524" i="2"/>
  <c r="A1524" i="2"/>
  <c r="M1523" i="2"/>
  <c r="L1523" i="2"/>
  <c r="K1523" i="2"/>
  <c r="J1523" i="2"/>
  <c r="I1523" i="2"/>
  <c r="H1523" i="2"/>
  <c r="G1523" i="2"/>
  <c r="F1523" i="2"/>
  <c r="E1523" i="2"/>
  <c r="D1523" i="2"/>
  <c r="C1523" i="2"/>
  <c r="B1523" i="2"/>
  <c r="A1523" i="2"/>
  <c r="M1522" i="2"/>
  <c r="L1522" i="2"/>
  <c r="K1522" i="2"/>
  <c r="J1522" i="2"/>
  <c r="I1522" i="2"/>
  <c r="H1522" i="2"/>
  <c r="G1522" i="2"/>
  <c r="F1522" i="2"/>
  <c r="E1522" i="2"/>
  <c r="D1522" i="2"/>
  <c r="C1522" i="2"/>
  <c r="B1522" i="2"/>
  <c r="A1522" i="2"/>
  <c r="M1521" i="2"/>
  <c r="L1521" i="2"/>
  <c r="K1521" i="2"/>
  <c r="J1521" i="2"/>
  <c r="I1521" i="2"/>
  <c r="H1521" i="2"/>
  <c r="G1521" i="2"/>
  <c r="F1521" i="2"/>
  <c r="E1521" i="2"/>
  <c r="D1521" i="2"/>
  <c r="C1521" i="2"/>
  <c r="B1521" i="2"/>
  <c r="A1521" i="2"/>
  <c r="N1520" i="2"/>
  <c r="M1520" i="2"/>
  <c r="L1520" i="2"/>
  <c r="K1520" i="2"/>
  <c r="J1520" i="2"/>
  <c r="I1520" i="2"/>
  <c r="H1520" i="2"/>
  <c r="G1520" i="2"/>
  <c r="F1520" i="2"/>
  <c r="E1520" i="2"/>
  <c r="D1520" i="2"/>
  <c r="C1520" i="2"/>
  <c r="B1520" i="2"/>
  <c r="A1520" i="2"/>
  <c r="M1519" i="2"/>
  <c r="L1519" i="2"/>
  <c r="K1519" i="2"/>
  <c r="J1519" i="2"/>
  <c r="I1519" i="2"/>
  <c r="H1519" i="2"/>
  <c r="G1519" i="2"/>
  <c r="F1519" i="2"/>
  <c r="E1519" i="2"/>
  <c r="D1519" i="2"/>
  <c r="C1519" i="2"/>
  <c r="B1519" i="2"/>
  <c r="A1519" i="2"/>
  <c r="M1518" i="2"/>
  <c r="L1518" i="2"/>
  <c r="K1518" i="2"/>
  <c r="J1518" i="2"/>
  <c r="I1518" i="2"/>
  <c r="H1518" i="2"/>
  <c r="G1518" i="2"/>
  <c r="F1518" i="2"/>
  <c r="E1518" i="2"/>
  <c r="D1518" i="2"/>
  <c r="C1518" i="2"/>
  <c r="B1518" i="2"/>
  <c r="A1518" i="2"/>
  <c r="M1517" i="2"/>
  <c r="L1517" i="2"/>
  <c r="K1517" i="2"/>
  <c r="J1517" i="2"/>
  <c r="I1517" i="2"/>
  <c r="H1517" i="2"/>
  <c r="G1517" i="2"/>
  <c r="F1517" i="2"/>
  <c r="E1517" i="2"/>
  <c r="D1517" i="2"/>
  <c r="C1517" i="2"/>
  <c r="B1517" i="2"/>
  <c r="A1517" i="2"/>
  <c r="M1516" i="2"/>
  <c r="L1516" i="2"/>
  <c r="K1516" i="2"/>
  <c r="J1516" i="2"/>
  <c r="I1516" i="2"/>
  <c r="H1516" i="2"/>
  <c r="G1516" i="2"/>
  <c r="F1516" i="2"/>
  <c r="E1516" i="2"/>
  <c r="D1516" i="2"/>
  <c r="C1516" i="2"/>
  <c r="B1516" i="2"/>
  <c r="A1516" i="2"/>
  <c r="M1515" i="2"/>
  <c r="L1515" i="2"/>
  <c r="K1515" i="2"/>
  <c r="J1515" i="2"/>
  <c r="I1515" i="2"/>
  <c r="H1515" i="2"/>
  <c r="G1515" i="2"/>
  <c r="F1515" i="2"/>
  <c r="E1515" i="2"/>
  <c r="D1515" i="2"/>
  <c r="C1515" i="2"/>
  <c r="B1515" i="2"/>
  <c r="A1515" i="2"/>
  <c r="M1514" i="2"/>
  <c r="L1514" i="2"/>
  <c r="K1514" i="2"/>
  <c r="J1514" i="2"/>
  <c r="I1514" i="2"/>
  <c r="H1514" i="2"/>
  <c r="G1514" i="2"/>
  <c r="F1514" i="2"/>
  <c r="E1514" i="2"/>
  <c r="D1514" i="2"/>
  <c r="C1514" i="2"/>
  <c r="B1514" i="2"/>
  <c r="A1514" i="2"/>
  <c r="M1513" i="2"/>
  <c r="L1513" i="2"/>
  <c r="K1513" i="2"/>
  <c r="J1513" i="2"/>
  <c r="I1513" i="2"/>
  <c r="H1513" i="2"/>
  <c r="G1513" i="2"/>
  <c r="F1513" i="2"/>
  <c r="E1513" i="2"/>
  <c r="D1513" i="2"/>
  <c r="C1513" i="2"/>
  <c r="B1513" i="2"/>
  <c r="A1513" i="2"/>
  <c r="M1512" i="2"/>
  <c r="L1512" i="2"/>
  <c r="K1512" i="2"/>
  <c r="J1512" i="2"/>
  <c r="I1512" i="2"/>
  <c r="H1512" i="2"/>
  <c r="G1512" i="2"/>
  <c r="F1512" i="2"/>
  <c r="E1512" i="2"/>
  <c r="D1512" i="2"/>
  <c r="C1512" i="2"/>
  <c r="B1512" i="2"/>
  <c r="A1512" i="2"/>
  <c r="M1511" i="2"/>
  <c r="L1511" i="2"/>
  <c r="K1511" i="2"/>
  <c r="J1511" i="2"/>
  <c r="I1511" i="2"/>
  <c r="H1511" i="2"/>
  <c r="G1511" i="2"/>
  <c r="F1511" i="2"/>
  <c r="E1511" i="2"/>
  <c r="D1511" i="2"/>
  <c r="C1511" i="2"/>
  <c r="B1511" i="2"/>
  <c r="A1511" i="2"/>
  <c r="M1510" i="2"/>
  <c r="L1510" i="2"/>
  <c r="K1510" i="2"/>
  <c r="J1510" i="2"/>
  <c r="I1510" i="2"/>
  <c r="H1510" i="2"/>
  <c r="G1510" i="2"/>
  <c r="F1510" i="2"/>
  <c r="E1510" i="2"/>
  <c r="D1510" i="2"/>
  <c r="C1510" i="2"/>
  <c r="B1510" i="2"/>
  <c r="A1510" i="2"/>
  <c r="M1509" i="2"/>
  <c r="L1509" i="2"/>
  <c r="K1509" i="2"/>
  <c r="J1509" i="2"/>
  <c r="I1509" i="2"/>
  <c r="H1509" i="2"/>
  <c r="G1509" i="2"/>
  <c r="F1509" i="2"/>
  <c r="E1509" i="2"/>
  <c r="D1509" i="2"/>
  <c r="C1509" i="2"/>
  <c r="B1509" i="2"/>
  <c r="A1509" i="2"/>
  <c r="M1508" i="2"/>
  <c r="L1508" i="2"/>
  <c r="K1508" i="2"/>
  <c r="J1508" i="2"/>
  <c r="I1508" i="2"/>
  <c r="H1508" i="2"/>
  <c r="G1508" i="2"/>
  <c r="F1508" i="2"/>
  <c r="E1508" i="2"/>
  <c r="D1508" i="2"/>
  <c r="C1508" i="2"/>
  <c r="B1508" i="2"/>
  <c r="A1508" i="2"/>
  <c r="M1507" i="2"/>
  <c r="L1507" i="2"/>
  <c r="K1507" i="2"/>
  <c r="J1507" i="2"/>
  <c r="I1507" i="2"/>
  <c r="H1507" i="2"/>
  <c r="G1507" i="2"/>
  <c r="F1507" i="2"/>
  <c r="E1507" i="2"/>
  <c r="D1507" i="2"/>
  <c r="C1507" i="2"/>
  <c r="B1507" i="2"/>
  <c r="A1507" i="2"/>
  <c r="M1506" i="2"/>
  <c r="L1506" i="2"/>
  <c r="K1506" i="2"/>
  <c r="J1506" i="2"/>
  <c r="I1506" i="2"/>
  <c r="H1506" i="2"/>
  <c r="G1506" i="2"/>
  <c r="F1506" i="2"/>
  <c r="E1506" i="2"/>
  <c r="D1506" i="2"/>
  <c r="C1506" i="2"/>
  <c r="B1506" i="2"/>
  <c r="A1506" i="2"/>
  <c r="M1505" i="2"/>
  <c r="L1505" i="2"/>
  <c r="K1505" i="2"/>
  <c r="J1505" i="2"/>
  <c r="I1505" i="2"/>
  <c r="H1505" i="2"/>
  <c r="F1505" i="2"/>
  <c r="E1505" i="2"/>
  <c r="D1505" i="2"/>
  <c r="C1505" i="2"/>
  <c r="B1505" i="2"/>
  <c r="A1505" i="2"/>
  <c r="M1504" i="2"/>
  <c r="L1504" i="2"/>
  <c r="K1504" i="2"/>
  <c r="J1504" i="2"/>
  <c r="I1504" i="2"/>
  <c r="H1504" i="2"/>
  <c r="F1504" i="2"/>
  <c r="E1504" i="2"/>
  <c r="D1504" i="2"/>
  <c r="C1504" i="2"/>
  <c r="B1504" i="2"/>
  <c r="A1504" i="2"/>
  <c r="M1503" i="2"/>
  <c r="L1503" i="2"/>
  <c r="K1503" i="2"/>
  <c r="J1503" i="2"/>
  <c r="I1503" i="2"/>
  <c r="H1503" i="2"/>
  <c r="F1503" i="2"/>
  <c r="E1503" i="2"/>
  <c r="D1503" i="2"/>
  <c r="C1503" i="2"/>
  <c r="B1503" i="2"/>
  <c r="A1503" i="2"/>
  <c r="M1502" i="2"/>
  <c r="L1502" i="2"/>
  <c r="K1502" i="2"/>
  <c r="J1502" i="2"/>
  <c r="I1502" i="2"/>
  <c r="H1502" i="2"/>
  <c r="F1502" i="2"/>
  <c r="E1502" i="2"/>
  <c r="D1502" i="2"/>
  <c r="C1502" i="2"/>
  <c r="B1502" i="2"/>
  <c r="A1502" i="2"/>
  <c r="M1501" i="2"/>
  <c r="L1501" i="2"/>
  <c r="K1501" i="2"/>
  <c r="J1501" i="2"/>
  <c r="I1501" i="2"/>
  <c r="H1501" i="2"/>
  <c r="F1501" i="2"/>
  <c r="E1501" i="2"/>
  <c r="D1501" i="2"/>
  <c r="C1501" i="2"/>
  <c r="B1501" i="2"/>
  <c r="A1501" i="2"/>
  <c r="M1500" i="2"/>
  <c r="L1500" i="2"/>
  <c r="K1500" i="2"/>
  <c r="J1500" i="2"/>
  <c r="I1500" i="2"/>
  <c r="H1500" i="2"/>
  <c r="F1500" i="2"/>
  <c r="E1500" i="2"/>
  <c r="D1500" i="2"/>
  <c r="C1500" i="2"/>
  <c r="B1500" i="2"/>
  <c r="A1500" i="2"/>
  <c r="M1499" i="2"/>
  <c r="L1499" i="2"/>
  <c r="K1499" i="2"/>
  <c r="J1499" i="2"/>
  <c r="I1499" i="2"/>
  <c r="H1499" i="2"/>
  <c r="F1499" i="2"/>
  <c r="E1499" i="2"/>
  <c r="D1499" i="2"/>
  <c r="C1499" i="2"/>
  <c r="B1499" i="2"/>
  <c r="A1499" i="2"/>
  <c r="M1498" i="2"/>
  <c r="L1498" i="2"/>
  <c r="K1498" i="2"/>
  <c r="J1498" i="2"/>
  <c r="I1498" i="2"/>
  <c r="H1498" i="2"/>
  <c r="G1498" i="2"/>
  <c r="F1498" i="2"/>
  <c r="E1498" i="2"/>
  <c r="D1498" i="2"/>
  <c r="C1498" i="2"/>
  <c r="B1498" i="2"/>
  <c r="A1498" i="2"/>
  <c r="M1497" i="2"/>
  <c r="L1497" i="2"/>
  <c r="K1497" i="2"/>
  <c r="J1497" i="2"/>
  <c r="I1497" i="2"/>
  <c r="H1497" i="2"/>
  <c r="G1497" i="2"/>
  <c r="F1497" i="2"/>
  <c r="E1497" i="2"/>
  <c r="D1497" i="2"/>
  <c r="C1497" i="2"/>
  <c r="B1497" i="2"/>
  <c r="A1497" i="2"/>
  <c r="N1496" i="2"/>
  <c r="M1496" i="2"/>
  <c r="L1496" i="2"/>
  <c r="K1496" i="2"/>
  <c r="J1496" i="2"/>
  <c r="I1496" i="2"/>
  <c r="H1496" i="2"/>
  <c r="G1496" i="2"/>
  <c r="F1496" i="2"/>
  <c r="E1496" i="2"/>
  <c r="D1496" i="2"/>
  <c r="C1496" i="2"/>
  <c r="B1496" i="2"/>
  <c r="A1496" i="2"/>
  <c r="N1495" i="2"/>
  <c r="M1495" i="2"/>
  <c r="L1495" i="2"/>
  <c r="K1495" i="2"/>
  <c r="J1495" i="2"/>
  <c r="I1495" i="2"/>
  <c r="H1495" i="2"/>
  <c r="G1495" i="2"/>
  <c r="F1495" i="2"/>
  <c r="E1495" i="2"/>
  <c r="D1495" i="2"/>
  <c r="C1495" i="2"/>
  <c r="B1495" i="2"/>
  <c r="A1495" i="2"/>
  <c r="N1494" i="2"/>
  <c r="M1494" i="2"/>
  <c r="L1494" i="2"/>
  <c r="K1494" i="2"/>
  <c r="J1494" i="2"/>
  <c r="I1494" i="2"/>
  <c r="H1494" i="2"/>
  <c r="G1494" i="2"/>
  <c r="F1494" i="2"/>
  <c r="E1494" i="2"/>
  <c r="D1494" i="2"/>
  <c r="C1494" i="2"/>
  <c r="B1494" i="2"/>
  <c r="A1494" i="2"/>
  <c r="N1493" i="2"/>
  <c r="M1493" i="2"/>
  <c r="L1493" i="2"/>
  <c r="K1493" i="2"/>
  <c r="J1493" i="2"/>
  <c r="I1493" i="2"/>
  <c r="H1493" i="2"/>
  <c r="G1493" i="2"/>
  <c r="F1493" i="2"/>
  <c r="E1493" i="2"/>
  <c r="D1493" i="2"/>
  <c r="C1493" i="2"/>
  <c r="B1493" i="2"/>
  <c r="A1493" i="2"/>
  <c r="M1492" i="2"/>
  <c r="L1492" i="2"/>
  <c r="K1492" i="2"/>
  <c r="J1492" i="2"/>
  <c r="I1492" i="2"/>
  <c r="H1492" i="2"/>
  <c r="G1492" i="2"/>
  <c r="F1492" i="2"/>
  <c r="E1492" i="2"/>
  <c r="D1492" i="2"/>
  <c r="C1492" i="2"/>
  <c r="B1492" i="2"/>
  <c r="A1492" i="2"/>
  <c r="N1491" i="2"/>
  <c r="M1491" i="2"/>
  <c r="L1491" i="2"/>
  <c r="K1491" i="2"/>
  <c r="J1491" i="2"/>
  <c r="I1491" i="2"/>
  <c r="H1491" i="2"/>
  <c r="G1491" i="2"/>
  <c r="F1491" i="2"/>
  <c r="E1491" i="2"/>
  <c r="D1491" i="2"/>
  <c r="C1491" i="2"/>
  <c r="B1491" i="2"/>
  <c r="A1491" i="2"/>
  <c r="M1490" i="2"/>
  <c r="L1490" i="2"/>
  <c r="K1490" i="2"/>
  <c r="J1490" i="2"/>
  <c r="I1490" i="2"/>
  <c r="H1490" i="2"/>
  <c r="G1490" i="2"/>
  <c r="F1490" i="2"/>
  <c r="E1490" i="2"/>
  <c r="D1490" i="2"/>
  <c r="C1490" i="2"/>
  <c r="B1490" i="2"/>
  <c r="A1490" i="2"/>
  <c r="N1489" i="2"/>
  <c r="M1489" i="2"/>
  <c r="L1489" i="2"/>
  <c r="K1489" i="2"/>
  <c r="J1489" i="2"/>
  <c r="I1489" i="2"/>
  <c r="H1489" i="2"/>
  <c r="G1489" i="2"/>
  <c r="F1489" i="2"/>
  <c r="E1489" i="2"/>
  <c r="D1489" i="2"/>
  <c r="C1489" i="2"/>
  <c r="B1489" i="2"/>
  <c r="A1489" i="2"/>
  <c r="M1488" i="2"/>
  <c r="L1488" i="2"/>
  <c r="K1488" i="2"/>
  <c r="J1488" i="2"/>
  <c r="I1488" i="2"/>
  <c r="H1488" i="2"/>
  <c r="G1488" i="2"/>
  <c r="F1488" i="2"/>
  <c r="E1488" i="2"/>
  <c r="D1488" i="2"/>
  <c r="C1488" i="2"/>
  <c r="B1488" i="2"/>
  <c r="A1488" i="2"/>
  <c r="N1487" i="2"/>
  <c r="M1487" i="2"/>
  <c r="L1487" i="2"/>
  <c r="K1487" i="2"/>
  <c r="J1487" i="2"/>
  <c r="I1487" i="2"/>
  <c r="H1487" i="2"/>
  <c r="G1487" i="2"/>
  <c r="F1487" i="2"/>
  <c r="E1487" i="2"/>
  <c r="D1487" i="2"/>
  <c r="C1487" i="2"/>
  <c r="B1487" i="2"/>
  <c r="A1487" i="2"/>
  <c r="N1486" i="2"/>
  <c r="M1486" i="2"/>
  <c r="L1486" i="2"/>
  <c r="K1486" i="2"/>
  <c r="J1486" i="2"/>
  <c r="I1486" i="2"/>
  <c r="H1486" i="2"/>
  <c r="G1486" i="2"/>
  <c r="F1486" i="2"/>
  <c r="E1486" i="2"/>
  <c r="D1486" i="2"/>
  <c r="C1486" i="2"/>
  <c r="B1486" i="2"/>
  <c r="A1486" i="2"/>
  <c r="N1485" i="2"/>
  <c r="M1485" i="2"/>
  <c r="L1485" i="2"/>
  <c r="K1485" i="2"/>
  <c r="J1485" i="2"/>
  <c r="I1485" i="2"/>
  <c r="H1485" i="2"/>
  <c r="G1485" i="2"/>
  <c r="F1485" i="2"/>
  <c r="E1485" i="2"/>
  <c r="D1485" i="2"/>
  <c r="C1485" i="2"/>
  <c r="B1485" i="2"/>
  <c r="A1485" i="2"/>
  <c r="M1484" i="2"/>
  <c r="L1484" i="2"/>
  <c r="K1484" i="2"/>
  <c r="J1484" i="2"/>
  <c r="I1484" i="2"/>
  <c r="H1484" i="2"/>
  <c r="G1484" i="2"/>
  <c r="F1484" i="2"/>
  <c r="E1484" i="2"/>
  <c r="D1484" i="2"/>
  <c r="C1484" i="2"/>
  <c r="B1484" i="2"/>
  <c r="A1484" i="2"/>
  <c r="N1483" i="2"/>
  <c r="M1483" i="2"/>
  <c r="L1483" i="2"/>
  <c r="K1483" i="2"/>
  <c r="J1483" i="2"/>
  <c r="I1483" i="2"/>
  <c r="H1483" i="2"/>
  <c r="G1483" i="2"/>
  <c r="F1483" i="2"/>
  <c r="E1483" i="2"/>
  <c r="D1483" i="2"/>
  <c r="C1483" i="2"/>
  <c r="B1483" i="2"/>
  <c r="A1483" i="2"/>
  <c r="M1482" i="2"/>
  <c r="L1482" i="2"/>
  <c r="K1482" i="2"/>
  <c r="J1482" i="2"/>
  <c r="I1482" i="2"/>
  <c r="H1482" i="2"/>
  <c r="G1482" i="2"/>
  <c r="F1482" i="2"/>
  <c r="E1482" i="2"/>
  <c r="D1482" i="2"/>
  <c r="C1482" i="2"/>
  <c r="B1482" i="2"/>
  <c r="A1482" i="2"/>
  <c r="M1481" i="2"/>
  <c r="L1481" i="2"/>
  <c r="K1481" i="2"/>
  <c r="J1481" i="2"/>
  <c r="I1481" i="2"/>
  <c r="H1481" i="2"/>
  <c r="G1481" i="2"/>
  <c r="F1481" i="2"/>
  <c r="E1481" i="2"/>
  <c r="D1481" i="2"/>
  <c r="C1481" i="2"/>
  <c r="B1481" i="2"/>
  <c r="A1481" i="2"/>
  <c r="N1480" i="2"/>
  <c r="M1480" i="2"/>
  <c r="L1480" i="2"/>
  <c r="K1480" i="2"/>
  <c r="J1480" i="2"/>
  <c r="I1480" i="2"/>
  <c r="H1480" i="2"/>
  <c r="G1480" i="2"/>
  <c r="F1480" i="2"/>
  <c r="E1480" i="2"/>
  <c r="D1480" i="2"/>
  <c r="C1480" i="2"/>
  <c r="B1480" i="2"/>
  <c r="A1480" i="2"/>
  <c r="M1479" i="2"/>
  <c r="L1479" i="2"/>
  <c r="K1479" i="2"/>
  <c r="J1479" i="2"/>
  <c r="I1479" i="2"/>
  <c r="H1479" i="2"/>
  <c r="G1479" i="2"/>
  <c r="F1479" i="2"/>
  <c r="E1479" i="2"/>
  <c r="D1479" i="2"/>
  <c r="C1479" i="2"/>
  <c r="B1479" i="2"/>
  <c r="A1479" i="2"/>
  <c r="M1478" i="2"/>
  <c r="L1478" i="2"/>
  <c r="K1478" i="2"/>
  <c r="J1478" i="2"/>
  <c r="I1478" i="2"/>
  <c r="H1478" i="2"/>
  <c r="F1478" i="2"/>
  <c r="E1478" i="2"/>
  <c r="D1478" i="2"/>
  <c r="C1478" i="2"/>
  <c r="B1478" i="2"/>
  <c r="A1478" i="2"/>
  <c r="M1477" i="2"/>
  <c r="L1477" i="2"/>
  <c r="K1477" i="2"/>
  <c r="J1477" i="2"/>
  <c r="I1477" i="2"/>
  <c r="H1477" i="2"/>
  <c r="F1477" i="2"/>
  <c r="E1477" i="2"/>
  <c r="D1477" i="2"/>
  <c r="C1477" i="2"/>
  <c r="B1477" i="2"/>
  <c r="A1477" i="2"/>
  <c r="M1476" i="2"/>
  <c r="L1476" i="2"/>
  <c r="K1476" i="2"/>
  <c r="J1476" i="2"/>
  <c r="I1476" i="2"/>
  <c r="H1476" i="2"/>
  <c r="F1476" i="2"/>
  <c r="E1476" i="2"/>
  <c r="D1476" i="2"/>
  <c r="C1476" i="2"/>
  <c r="B1476" i="2"/>
  <c r="A1476" i="2"/>
  <c r="M1475" i="2"/>
  <c r="L1475" i="2"/>
  <c r="K1475" i="2"/>
  <c r="J1475" i="2"/>
  <c r="I1475" i="2"/>
  <c r="H1475" i="2"/>
  <c r="F1475" i="2"/>
  <c r="E1475" i="2"/>
  <c r="D1475" i="2"/>
  <c r="C1475" i="2"/>
  <c r="B1475" i="2"/>
  <c r="A1475" i="2"/>
  <c r="M1474" i="2"/>
  <c r="L1474" i="2"/>
  <c r="K1474" i="2"/>
  <c r="J1474" i="2"/>
  <c r="I1474" i="2"/>
  <c r="H1474" i="2"/>
  <c r="G1474" i="2"/>
  <c r="F1474" i="2"/>
  <c r="E1474" i="2"/>
  <c r="D1474" i="2"/>
  <c r="C1474" i="2"/>
  <c r="B1474" i="2"/>
  <c r="A1474" i="2"/>
  <c r="M1473" i="2"/>
  <c r="L1473" i="2"/>
  <c r="K1473" i="2"/>
  <c r="J1473" i="2"/>
  <c r="I1473" i="2"/>
  <c r="H1473" i="2"/>
  <c r="G1473" i="2"/>
  <c r="F1473" i="2"/>
  <c r="E1473" i="2"/>
  <c r="D1473" i="2"/>
  <c r="C1473" i="2"/>
  <c r="B1473" i="2"/>
  <c r="A1473" i="2"/>
  <c r="M1472" i="2"/>
  <c r="L1472" i="2"/>
  <c r="K1472" i="2"/>
  <c r="J1472" i="2"/>
  <c r="I1472" i="2"/>
  <c r="H1472" i="2"/>
  <c r="G1472" i="2"/>
  <c r="F1472" i="2"/>
  <c r="E1472" i="2"/>
  <c r="D1472" i="2"/>
  <c r="C1472" i="2"/>
  <c r="B1472" i="2"/>
  <c r="A1472" i="2"/>
  <c r="M1471" i="2"/>
  <c r="L1471" i="2"/>
  <c r="K1471" i="2"/>
  <c r="J1471" i="2"/>
  <c r="I1471" i="2"/>
  <c r="H1471" i="2"/>
  <c r="G1471" i="2"/>
  <c r="F1471" i="2"/>
  <c r="E1471" i="2"/>
  <c r="D1471" i="2"/>
  <c r="C1471" i="2"/>
  <c r="B1471" i="2"/>
  <c r="A1471" i="2"/>
  <c r="M1470" i="2"/>
  <c r="L1470" i="2"/>
  <c r="K1470" i="2"/>
  <c r="J1470" i="2"/>
  <c r="I1470" i="2"/>
  <c r="H1470" i="2"/>
  <c r="G1470" i="2"/>
  <c r="F1470" i="2"/>
  <c r="E1470" i="2"/>
  <c r="D1470" i="2"/>
  <c r="C1470" i="2"/>
  <c r="B1470" i="2"/>
  <c r="A1470" i="2"/>
  <c r="M1469" i="2"/>
  <c r="L1469" i="2"/>
  <c r="K1469" i="2"/>
  <c r="J1469" i="2"/>
  <c r="I1469" i="2"/>
  <c r="H1469" i="2"/>
  <c r="G1469" i="2"/>
  <c r="F1469" i="2"/>
  <c r="E1469" i="2"/>
  <c r="D1469" i="2"/>
  <c r="C1469" i="2"/>
  <c r="B1469" i="2"/>
  <c r="A1469" i="2"/>
  <c r="M1468" i="2"/>
  <c r="L1468" i="2"/>
  <c r="K1468" i="2"/>
  <c r="J1468" i="2"/>
  <c r="I1468" i="2"/>
  <c r="H1468" i="2"/>
  <c r="G1468" i="2"/>
  <c r="F1468" i="2"/>
  <c r="E1468" i="2"/>
  <c r="D1468" i="2"/>
  <c r="C1468" i="2"/>
  <c r="B1468" i="2"/>
  <c r="A1468" i="2"/>
  <c r="M1467" i="2"/>
  <c r="L1467" i="2"/>
  <c r="K1467" i="2"/>
  <c r="J1467" i="2"/>
  <c r="I1467" i="2"/>
  <c r="H1467" i="2"/>
  <c r="G1467" i="2"/>
  <c r="F1467" i="2"/>
  <c r="E1467" i="2"/>
  <c r="D1467" i="2"/>
  <c r="C1467" i="2"/>
  <c r="B1467" i="2"/>
  <c r="A1467" i="2"/>
  <c r="M1466" i="2"/>
  <c r="L1466" i="2"/>
  <c r="K1466" i="2"/>
  <c r="J1466" i="2"/>
  <c r="I1466" i="2"/>
  <c r="H1466" i="2"/>
  <c r="G1466" i="2"/>
  <c r="F1466" i="2"/>
  <c r="E1466" i="2"/>
  <c r="D1466" i="2"/>
  <c r="C1466" i="2"/>
  <c r="B1466" i="2"/>
  <c r="A1466" i="2"/>
  <c r="M1465" i="2"/>
  <c r="L1465" i="2"/>
  <c r="K1465" i="2"/>
  <c r="J1465" i="2"/>
  <c r="I1465" i="2"/>
  <c r="H1465" i="2"/>
  <c r="G1465" i="2"/>
  <c r="F1465" i="2"/>
  <c r="E1465" i="2"/>
  <c r="D1465" i="2"/>
  <c r="C1465" i="2"/>
  <c r="B1465" i="2"/>
  <c r="A1465" i="2"/>
  <c r="M1464" i="2"/>
  <c r="L1464" i="2"/>
  <c r="K1464" i="2"/>
  <c r="J1464" i="2"/>
  <c r="I1464" i="2"/>
  <c r="H1464" i="2"/>
  <c r="G1464" i="2"/>
  <c r="F1464" i="2"/>
  <c r="E1464" i="2"/>
  <c r="D1464" i="2"/>
  <c r="C1464" i="2"/>
  <c r="B1464" i="2"/>
  <c r="A1464" i="2"/>
  <c r="M1463" i="2"/>
  <c r="L1463" i="2"/>
  <c r="K1463" i="2"/>
  <c r="J1463" i="2"/>
  <c r="I1463" i="2"/>
  <c r="H1463" i="2"/>
  <c r="G1463" i="2"/>
  <c r="F1463" i="2"/>
  <c r="E1463" i="2"/>
  <c r="D1463" i="2"/>
  <c r="C1463" i="2"/>
  <c r="B1463" i="2"/>
  <c r="A1463" i="2"/>
  <c r="M1462" i="2"/>
  <c r="L1462" i="2"/>
  <c r="K1462" i="2"/>
  <c r="J1462" i="2"/>
  <c r="I1462" i="2"/>
  <c r="H1462" i="2"/>
  <c r="G1462" i="2"/>
  <c r="F1462" i="2"/>
  <c r="E1462" i="2"/>
  <c r="D1462" i="2"/>
  <c r="C1462" i="2"/>
  <c r="B1462" i="2"/>
  <c r="A1462" i="2"/>
  <c r="M1461" i="2"/>
  <c r="L1461" i="2"/>
  <c r="K1461" i="2"/>
  <c r="J1461" i="2"/>
  <c r="I1461" i="2"/>
  <c r="H1461" i="2"/>
  <c r="G1461" i="2"/>
  <c r="F1461" i="2"/>
  <c r="E1461" i="2"/>
  <c r="D1461" i="2"/>
  <c r="C1461" i="2"/>
  <c r="B1461" i="2"/>
  <c r="A1461" i="2"/>
  <c r="M1460" i="2"/>
  <c r="L1460" i="2"/>
  <c r="K1460" i="2"/>
  <c r="J1460" i="2"/>
  <c r="I1460" i="2"/>
  <c r="H1460" i="2"/>
  <c r="G1460" i="2"/>
  <c r="F1460" i="2"/>
  <c r="E1460" i="2"/>
  <c r="D1460" i="2"/>
  <c r="C1460" i="2"/>
  <c r="B1460" i="2"/>
  <c r="A1460" i="2"/>
  <c r="M1459" i="2"/>
  <c r="L1459" i="2"/>
  <c r="K1459" i="2"/>
  <c r="J1459" i="2"/>
  <c r="I1459" i="2"/>
  <c r="H1459" i="2"/>
  <c r="G1459" i="2"/>
  <c r="F1459" i="2"/>
  <c r="E1459" i="2"/>
  <c r="D1459" i="2"/>
  <c r="C1459" i="2"/>
  <c r="B1459" i="2"/>
  <c r="A1459" i="2"/>
  <c r="M1458" i="2"/>
  <c r="L1458" i="2"/>
  <c r="K1458" i="2"/>
  <c r="J1458" i="2"/>
  <c r="I1458" i="2"/>
  <c r="H1458" i="2"/>
  <c r="F1458" i="2"/>
  <c r="E1458" i="2"/>
  <c r="D1458" i="2"/>
  <c r="C1458" i="2"/>
  <c r="B1458" i="2"/>
  <c r="A1458" i="2"/>
  <c r="M1457" i="2"/>
  <c r="L1457" i="2"/>
  <c r="K1457" i="2"/>
  <c r="J1457" i="2"/>
  <c r="I1457" i="2"/>
  <c r="H1457" i="2"/>
  <c r="F1457" i="2"/>
  <c r="E1457" i="2"/>
  <c r="D1457" i="2"/>
  <c r="C1457" i="2"/>
  <c r="B1457" i="2"/>
  <c r="A1457" i="2"/>
  <c r="M1456" i="2"/>
  <c r="L1456" i="2"/>
  <c r="K1456" i="2"/>
  <c r="J1456" i="2"/>
  <c r="I1456" i="2"/>
  <c r="H1456" i="2"/>
  <c r="G1456" i="2"/>
  <c r="F1456" i="2"/>
  <c r="E1456" i="2"/>
  <c r="D1456" i="2"/>
  <c r="C1456" i="2"/>
  <c r="B1456" i="2"/>
  <c r="A1456" i="2"/>
  <c r="M1455" i="2"/>
  <c r="L1455" i="2"/>
  <c r="K1455" i="2"/>
  <c r="J1455" i="2"/>
  <c r="I1455" i="2"/>
  <c r="H1455" i="2"/>
  <c r="G1455" i="2"/>
  <c r="F1455" i="2"/>
  <c r="E1455" i="2"/>
  <c r="D1455" i="2"/>
  <c r="C1455" i="2"/>
  <c r="B1455" i="2"/>
  <c r="A1455" i="2"/>
  <c r="M1454" i="2"/>
  <c r="L1454" i="2"/>
  <c r="K1454" i="2"/>
  <c r="J1454" i="2"/>
  <c r="I1454" i="2"/>
  <c r="H1454" i="2"/>
  <c r="G1454" i="2"/>
  <c r="F1454" i="2"/>
  <c r="E1454" i="2"/>
  <c r="D1454" i="2"/>
  <c r="C1454" i="2"/>
  <c r="B1454" i="2"/>
  <c r="A1454" i="2"/>
  <c r="M1453" i="2"/>
  <c r="L1453" i="2"/>
  <c r="K1453" i="2"/>
  <c r="J1453" i="2"/>
  <c r="I1453" i="2"/>
  <c r="H1453" i="2"/>
  <c r="G1453" i="2"/>
  <c r="F1453" i="2"/>
  <c r="E1453" i="2"/>
  <c r="D1453" i="2"/>
  <c r="C1453" i="2"/>
  <c r="B1453" i="2"/>
  <c r="A1453" i="2"/>
  <c r="M1452" i="2"/>
  <c r="L1452" i="2"/>
  <c r="K1452" i="2"/>
  <c r="J1452" i="2"/>
  <c r="I1452" i="2"/>
  <c r="H1452" i="2"/>
  <c r="G1452" i="2"/>
  <c r="F1452" i="2"/>
  <c r="E1452" i="2"/>
  <c r="D1452" i="2"/>
  <c r="C1452" i="2"/>
  <c r="B1452" i="2"/>
  <c r="A1452" i="2"/>
  <c r="M1451" i="2"/>
  <c r="L1451" i="2"/>
  <c r="K1451" i="2"/>
  <c r="J1451" i="2"/>
  <c r="I1451" i="2"/>
  <c r="H1451" i="2"/>
  <c r="G1451" i="2"/>
  <c r="F1451" i="2"/>
  <c r="E1451" i="2"/>
  <c r="D1451" i="2"/>
  <c r="C1451" i="2"/>
  <c r="B1451" i="2"/>
  <c r="A1451" i="2"/>
  <c r="M1450" i="2"/>
  <c r="L1450" i="2"/>
  <c r="K1450" i="2"/>
  <c r="J1450" i="2"/>
  <c r="I1450" i="2"/>
  <c r="H1450" i="2"/>
  <c r="G1450" i="2"/>
  <c r="F1450" i="2"/>
  <c r="E1450" i="2"/>
  <c r="D1450" i="2"/>
  <c r="C1450" i="2"/>
  <c r="B1450" i="2"/>
  <c r="A1450" i="2"/>
  <c r="M1449" i="2"/>
  <c r="L1449" i="2"/>
  <c r="K1449" i="2"/>
  <c r="J1449" i="2"/>
  <c r="I1449" i="2"/>
  <c r="H1449" i="2"/>
  <c r="G1449" i="2"/>
  <c r="F1449" i="2"/>
  <c r="E1449" i="2"/>
  <c r="D1449" i="2"/>
  <c r="C1449" i="2"/>
  <c r="B1449" i="2"/>
  <c r="A1449" i="2"/>
  <c r="M1448" i="2"/>
  <c r="L1448" i="2"/>
  <c r="K1448" i="2"/>
  <c r="J1448" i="2"/>
  <c r="I1448" i="2"/>
  <c r="H1448" i="2"/>
  <c r="F1448" i="2"/>
  <c r="E1448" i="2"/>
  <c r="D1448" i="2"/>
  <c r="C1448" i="2"/>
  <c r="B1448" i="2"/>
  <c r="A1448" i="2"/>
  <c r="M1447" i="2"/>
  <c r="L1447" i="2"/>
  <c r="K1447" i="2"/>
  <c r="J1447" i="2"/>
  <c r="I1447" i="2"/>
  <c r="H1447" i="2"/>
  <c r="F1447" i="2"/>
  <c r="E1447" i="2"/>
  <c r="D1447" i="2"/>
  <c r="C1447" i="2"/>
  <c r="B1447" i="2"/>
  <c r="A1447" i="2"/>
  <c r="M1446" i="2"/>
  <c r="L1446" i="2"/>
  <c r="K1446" i="2"/>
  <c r="J1446" i="2"/>
  <c r="I1446" i="2"/>
  <c r="H1446" i="2"/>
  <c r="F1446" i="2"/>
  <c r="E1446" i="2"/>
  <c r="D1446" i="2"/>
  <c r="C1446" i="2"/>
  <c r="B1446" i="2"/>
  <c r="A1446" i="2"/>
  <c r="M1445" i="2"/>
  <c r="L1445" i="2"/>
  <c r="K1445" i="2"/>
  <c r="J1445" i="2"/>
  <c r="I1445" i="2"/>
  <c r="H1445" i="2"/>
  <c r="G1445" i="2"/>
  <c r="F1445" i="2"/>
  <c r="E1445" i="2"/>
  <c r="D1445" i="2"/>
  <c r="C1445" i="2"/>
  <c r="B1445" i="2"/>
  <c r="A1445" i="2"/>
  <c r="M1444" i="2"/>
  <c r="L1444" i="2"/>
  <c r="K1444" i="2"/>
  <c r="J1444" i="2"/>
  <c r="I1444" i="2"/>
  <c r="H1444" i="2"/>
  <c r="G1444" i="2"/>
  <c r="F1444" i="2"/>
  <c r="E1444" i="2"/>
  <c r="D1444" i="2"/>
  <c r="C1444" i="2"/>
  <c r="B1444" i="2"/>
  <c r="A1444" i="2"/>
  <c r="M1443" i="2"/>
  <c r="L1443" i="2"/>
  <c r="K1443" i="2"/>
  <c r="J1443" i="2"/>
  <c r="I1443" i="2"/>
  <c r="H1443" i="2"/>
  <c r="G1443" i="2"/>
  <c r="F1443" i="2"/>
  <c r="E1443" i="2"/>
  <c r="D1443" i="2"/>
  <c r="C1443" i="2"/>
  <c r="B1443" i="2"/>
  <c r="A1443" i="2"/>
  <c r="M1442" i="2"/>
  <c r="L1442" i="2"/>
  <c r="K1442" i="2"/>
  <c r="J1442" i="2"/>
  <c r="I1442" i="2"/>
  <c r="H1442" i="2"/>
  <c r="G1442" i="2"/>
  <c r="F1442" i="2"/>
  <c r="E1442" i="2"/>
  <c r="D1442" i="2"/>
  <c r="C1442" i="2"/>
  <c r="B1442" i="2"/>
  <c r="A1442" i="2"/>
  <c r="M1441" i="2"/>
  <c r="L1441" i="2"/>
  <c r="K1441" i="2"/>
  <c r="J1441" i="2"/>
  <c r="I1441" i="2"/>
  <c r="H1441" i="2"/>
  <c r="G1441" i="2"/>
  <c r="F1441" i="2"/>
  <c r="E1441" i="2"/>
  <c r="D1441" i="2"/>
  <c r="C1441" i="2"/>
  <c r="B1441" i="2"/>
  <c r="A1441" i="2"/>
  <c r="N1440" i="2"/>
  <c r="M1440" i="2"/>
  <c r="L1440" i="2"/>
  <c r="K1440" i="2"/>
  <c r="J1440" i="2"/>
  <c r="I1440" i="2"/>
  <c r="H1440" i="2"/>
  <c r="G1440" i="2"/>
  <c r="F1440" i="2"/>
  <c r="E1440" i="2"/>
  <c r="D1440" i="2"/>
  <c r="C1440" i="2"/>
  <c r="B1440" i="2"/>
  <c r="A1440" i="2"/>
  <c r="M1439" i="2"/>
  <c r="L1439" i="2"/>
  <c r="K1439" i="2"/>
  <c r="J1439" i="2"/>
  <c r="I1439" i="2"/>
  <c r="H1439" i="2"/>
  <c r="G1439" i="2"/>
  <c r="F1439" i="2"/>
  <c r="E1439" i="2"/>
  <c r="D1439" i="2"/>
  <c r="C1439" i="2"/>
  <c r="B1439" i="2"/>
  <c r="A1439" i="2"/>
  <c r="M1438" i="2"/>
  <c r="L1438" i="2"/>
  <c r="K1438" i="2"/>
  <c r="J1438" i="2"/>
  <c r="I1438" i="2"/>
  <c r="H1438" i="2"/>
  <c r="G1438" i="2"/>
  <c r="F1438" i="2"/>
  <c r="E1438" i="2"/>
  <c r="D1438" i="2"/>
  <c r="C1438" i="2"/>
  <c r="B1438" i="2"/>
  <c r="A1438" i="2"/>
  <c r="N1437" i="2"/>
  <c r="M1437" i="2"/>
  <c r="L1437" i="2"/>
  <c r="K1437" i="2"/>
  <c r="J1437" i="2"/>
  <c r="I1437" i="2"/>
  <c r="H1437" i="2"/>
  <c r="G1437" i="2"/>
  <c r="F1437" i="2"/>
  <c r="E1437" i="2"/>
  <c r="D1437" i="2"/>
  <c r="C1437" i="2"/>
  <c r="B1437" i="2"/>
  <c r="A1437" i="2"/>
  <c r="M1436" i="2"/>
  <c r="L1436" i="2"/>
  <c r="K1436" i="2"/>
  <c r="J1436" i="2"/>
  <c r="I1436" i="2"/>
  <c r="H1436" i="2"/>
  <c r="G1436" i="2"/>
  <c r="F1436" i="2"/>
  <c r="E1436" i="2"/>
  <c r="D1436" i="2"/>
  <c r="C1436" i="2"/>
  <c r="B1436" i="2"/>
  <c r="A1436" i="2"/>
  <c r="N1435" i="2"/>
  <c r="M1435" i="2"/>
  <c r="L1435" i="2"/>
  <c r="K1435" i="2"/>
  <c r="J1435" i="2"/>
  <c r="I1435" i="2"/>
  <c r="H1435" i="2"/>
  <c r="G1435" i="2"/>
  <c r="F1435" i="2"/>
  <c r="E1435" i="2"/>
  <c r="D1435" i="2"/>
  <c r="C1435" i="2"/>
  <c r="B1435" i="2"/>
  <c r="A1435" i="2"/>
  <c r="M1434" i="2"/>
  <c r="L1434" i="2"/>
  <c r="K1434" i="2"/>
  <c r="J1434" i="2"/>
  <c r="I1434" i="2"/>
  <c r="H1434" i="2"/>
  <c r="G1434" i="2"/>
  <c r="F1434" i="2"/>
  <c r="E1434" i="2"/>
  <c r="D1434" i="2"/>
  <c r="C1434" i="2"/>
  <c r="B1434" i="2"/>
  <c r="A1434" i="2"/>
  <c r="M1433" i="2"/>
  <c r="L1433" i="2"/>
  <c r="K1433" i="2"/>
  <c r="J1433" i="2"/>
  <c r="I1433" i="2"/>
  <c r="H1433" i="2"/>
  <c r="G1433" i="2"/>
  <c r="F1433" i="2"/>
  <c r="E1433" i="2"/>
  <c r="D1433" i="2"/>
  <c r="C1433" i="2"/>
  <c r="B1433" i="2"/>
  <c r="A1433" i="2"/>
  <c r="M1432" i="2"/>
  <c r="L1432" i="2"/>
  <c r="K1432" i="2"/>
  <c r="J1432" i="2"/>
  <c r="I1432" i="2"/>
  <c r="H1432" i="2"/>
  <c r="G1432" i="2"/>
  <c r="F1432" i="2"/>
  <c r="E1432" i="2"/>
  <c r="D1432" i="2"/>
  <c r="C1432" i="2"/>
  <c r="B1432" i="2"/>
  <c r="A1432" i="2"/>
  <c r="M1431" i="2"/>
  <c r="L1431" i="2"/>
  <c r="K1431" i="2"/>
  <c r="J1431" i="2"/>
  <c r="I1431" i="2"/>
  <c r="H1431" i="2"/>
  <c r="G1431" i="2"/>
  <c r="F1431" i="2"/>
  <c r="E1431" i="2"/>
  <c r="D1431" i="2"/>
  <c r="C1431" i="2"/>
  <c r="B1431" i="2"/>
  <c r="A1431" i="2"/>
  <c r="M1430" i="2"/>
  <c r="L1430" i="2"/>
  <c r="K1430" i="2"/>
  <c r="J1430" i="2"/>
  <c r="I1430" i="2"/>
  <c r="H1430" i="2"/>
  <c r="G1430" i="2"/>
  <c r="F1430" i="2"/>
  <c r="E1430" i="2"/>
  <c r="D1430" i="2"/>
  <c r="C1430" i="2"/>
  <c r="B1430" i="2"/>
  <c r="A1430" i="2"/>
  <c r="M1429" i="2"/>
  <c r="L1429" i="2"/>
  <c r="K1429" i="2"/>
  <c r="J1429" i="2"/>
  <c r="I1429" i="2"/>
  <c r="H1429" i="2"/>
  <c r="G1429" i="2"/>
  <c r="F1429" i="2"/>
  <c r="E1429" i="2"/>
  <c r="D1429" i="2"/>
  <c r="C1429" i="2"/>
  <c r="B1429" i="2"/>
  <c r="A1429" i="2"/>
  <c r="M1428" i="2"/>
  <c r="L1428" i="2"/>
  <c r="K1428" i="2"/>
  <c r="J1428" i="2"/>
  <c r="I1428" i="2"/>
  <c r="H1428" i="2"/>
  <c r="G1428" i="2"/>
  <c r="F1428" i="2"/>
  <c r="E1428" i="2"/>
  <c r="D1428" i="2"/>
  <c r="C1428" i="2"/>
  <c r="B1428" i="2"/>
  <c r="A1428" i="2"/>
  <c r="M1427" i="2"/>
  <c r="L1427" i="2"/>
  <c r="K1427" i="2"/>
  <c r="J1427" i="2"/>
  <c r="I1427" i="2"/>
  <c r="H1427" i="2"/>
  <c r="G1427" i="2"/>
  <c r="F1427" i="2"/>
  <c r="E1427" i="2"/>
  <c r="D1427" i="2"/>
  <c r="C1427" i="2"/>
  <c r="B1427" i="2"/>
  <c r="A1427" i="2"/>
  <c r="M1426" i="2"/>
  <c r="L1426" i="2"/>
  <c r="K1426" i="2"/>
  <c r="J1426" i="2"/>
  <c r="I1426" i="2"/>
  <c r="H1426" i="2"/>
  <c r="G1426" i="2"/>
  <c r="F1426" i="2"/>
  <c r="E1426" i="2"/>
  <c r="D1426" i="2"/>
  <c r="C1426" i="2"/>
  <c r="B1426" i="2"/>
  <c r="A1426" i="2"/>
  <c r="M1425" i="2"/>
  <c r="L1425" i="2"/>
  <c r="K1425" i="2"/>
  <c r="J1425" i="2"/>
  <c r="I1425" i="2"/>
  <c r="H1425" i="2"/>
  <c r="G1425" i="2"/>
  <c r="F1425" i="2"/>
  <c r="E1425" i="2"/>
  <c r="D1425" i="2"/>
  <c r="C1425" i="2"/>
  <c r="B1425" i="2"/>
  <c r="A1425" i="2"/>
  <c r="M1424" i="2"/>
  <c r="L1424" i="2"/>
  <c r="K1424" i="2"/>
  <c r="J1424" i="2"/>
  <c r="I1424" i="2"/>
  <c r="H1424" i="2"/>
  <c r="G1424" i="2"/>
  <c r="F1424" i="2"/>
  <c r="E1424" i="2"/>
  <c r="D1424" i="2"/>
  <c r="C1424" i="2"/>
  <c r="B1424" i="2"/>
  <c r="A1424" i="2"/>
  <c r="M1423" i="2"/>
  <c r="L1423" i="2"/>
  <c r="K1423" i="2"/>
  <c r="J1423" i="2"/>
  <c r="I1423" i="2"/>
  <c r="H1423" i="2"/>
  <c r="G1423" i="2"/>
  <c r="F1423" i="2"/>
  <c r="E1423" i="2"/>
  <c r="D1423" i="2"/>
  <c r="C1423" i="2"/>
  <c r="B1423" i="2"/>
  <c r="A1423" i="2"/>
  <c r="M1422" i="2"/>
  <c r="L1422" i="2"/>
  <c r="K1422" i="2"/>
  <c r="J1422" i="2"/>
  <c r="I1422" i="2"/>
  <c r="H1422" i="2"/>
  <c r="G1422" i="2"/>
  <c r="F1422" i="2"/>
  <c r="E1422" i="2"/>
  <c r="D1422" i="2"/>
  <c r="C1422" i="2"/>
  <c r="B1422" i="2"/>
  <c r="A1422" i="2"/>
  <c r="M1421" i="2"/>
  <c r="L1421" i="2"/>
  <c r="K1421" i="2"/>
  <c r="J1421" i="2"/>
  <c r="I1421" i="2"/>
  <c r="H1421" i="2"/>
  <c r="G1421" i="2"/>
  <c r="F1421" i="2"/>
  <c r="E1421" i="2"/>
  <c r="D1421" i="2"/>
  <c r="C1421" i="2"/>
  <c r="B1421" i="2"/>
  <c r="A1421" i="2"/>
  <c r="M1420" i="2"/>
  <c r="L1420" i="2"/>
  <c r="K1420" i="2"/>
  <c r="J1420" i="2"/>
  <c r="I1420" i="2"/>
  <c r="H1420" i="2"/>
  <c r="G1420" i="2"/>
  <c r="F1420" i="2"/>
  <c r="E1420" i="2"/>
  <c r="D1420" i="2"/>
  <c r="C1420" i="2"/>
  <c r="B1420" i="2"/>
  <c r="A1420" i="2"/>
  <c r="M1419" i="2"/>
  <c r="L1419" i="2"/>
  <c r="K1419" i="2"/>
  <c r="J1419" i="2"/>
  <c r="I1419" i="2"/>
  <c r="H1419" i="2"/>
  <c r="G1419" i="2"/>
  <c r="F1419" i="2"/>
  <c r="E1419" i="2"/>
  <c r="D1419" i="2"/>
  <c r="C1419" i="2"/>
  <c r="B1419" i="2"/>
  <c r="A1419" i="2"/>
  <c r="M1418" i="2"/>
  <c r="L1418" i="2"/>
  <c r="K1418" i="2"/>
  <c r="J1418" i="2"/>
  <c r="I1418" i="2"/>
  <c r="H1418" i="2"/>
  <c r="G1418" i="2"/>
  <c r="F1418" i="2"/>
  <c r="E1418" i="2"/>
  <c r="D1418" i="2"/>
  <c r="C1418" i="2"/>
  <c r="B1418" i="2"/>
  <c r="A1418" i="2"/>
  <c r="M1417" i="2"/>
  <c r="L1417" i="2"/>
  <c r="K1417" i="2"/>
  <c r="J1417" i="2"/>
  <c r="I1417" i="2"/>
  <c r="H1417" i="2"/>
  <c r="G1417" i="2"/>
  <c r="F1417" i="2"/>
  <c r="E1417" i="2"/>
  <c r="D1417" i="2"/>
  <c r="C1417" i="2"/>
  <c r="B1417" i="2"/>
  <c r="A1417" i="2"/>
  <c r="M1416" i="2"/>
  <c r="L1416" i="2"/>
  <c r="K1416" i="2"/>
  <c r="J1416" i="2"/>
  <c r="I1416" i="2"/>
  <c r="H1416" i="2"/>
  <c r="G1416" i="2"/>
  <c r="F1416" i="2"/>
  <c r="E1416" i="2"/>
  <c r="D1416" i="2"/>
  <c r="C1416" i="2"/>
  <c r="B1416" i="2"/>
  <c r="A1416" i="2"/>
  <c r="M1415" i="2"/>
  <c r="L1415" i="2"/>
  <c r="K1415" i="2"/>
  <c r="J1415" i="2"/>
  <c r="I1415" i="2"/>
  <c r="H1415" i="2"/>
  <c r="G1415" i="2"/>
  <c r="F1415" i="2"/>
  <c r="E1415" i="2"/>
  <c r="D1415" i="2"/>
  <c r="C1415" i="2"/>
  <c r="B1415" i="2"/>
  <c r="A1415" i="2"/>
  <c r="M1414" i="2"/>
  <c r="L1414" i="2"/>
  <c r="K1414" i="2"/>
  <c r="J1414" i="2"/>
  <c r="I1414" i="2"/>
  <c r="H1414" i="2"/>
  <c r="G1414" i="2"/>
  <c r="F1414" i="2"/>
  <c r="E1414" i="2"/>
  <c r="D1414" i="2"/>
  <c r="C1414" i="2"/>
  <c r="B1414" i="2"/>
  <c r="A1414" i="2"/>
  <c r="M1413" i="2"/>
  <c r="L1413" i="2"/>
  <c r="K1413" i="2"/>
  <c r="J1413" i="2"/>
  <c r="I1413" i="2"/>
  <c r="H1413" i="2"/>
  <c r="G1413" i="2"/>
  <c r="F1413" i="2"/>
  <c r="E1413" i="2"/>
  <c r="D1413" i="2"/>
  <c r="C1413" i="2"/>
  <c r="B1413" i="2"/>
  <c r="A1413" i="2"/>
  <c r="M1412" i="2"/>
  <c r="L1412" i="2"/>
  <c r="K1412" i="2"/>
  <c r="J1412" i="2"/>
  <c r="I1412" i="2"/>
  <c r="H1412" i="2"/>
  <c r="G1412" i="2"/>
  <c r="F1412" i="2"/>
  <c r="E1412" i="2"/>
  <c r="D1412" i="2"/>
  <c r="C1412" i="2"/>
  <c r="B1412" i="2"/>
  <c r="A1412" i="2"/>
  <c r="M1411" i="2"/>
  <c r="L1411" i="2"/>
  <c r="K1411" i="2"/>
  <c r="J1411" i="2"/>
  <c r="I1411" i="2"/>
  <c r="H1411" i="2"/>
  <c r="F1411" i="2"/>
  <c r="E1411" i="2"/>
  <c r="D1411" i="2"/>
  <c r="C1411" i="2"/>
  <c r="B1411" i="2"/>
  <c r="A1411" i="2"/>
  <c r="M1410" i="2"/>
  <c r="L1410" i="2"/>
  <c r="K1410" i="2"/>
  <c r="J1410" i="2"/>
  <c r="I1410" i="2"/>
  <c r="H1410" i="2"/>
  <c r="F1410" i="2"/>
  <c r="E1410" i="2"/>
  <c r="D1410" i="2"/>
  <c r="C1410" i="2"/>
  <c r="B1410" i="2"/>
  <c r="A1410" i="2"/>
  <c r="M1409" i="2"/>
  <c r="L1409" i="2"/>
  <c r="K1409" i="2"/>
  <c r="J1409" i="2"/>
  <c r="I1409" i="2"/>
  <c r="H1409" i="2"/>
  <c r="F1409" i="2"/>
  <c r="E1409" i="2"/>
  <c r="D1409" i="2"/>
  <c r="C1409" i="2"/>
  <c r="B1409" i="2"/>
  <c r="A1409" i="2"/>
  <c r="N1408" i="2"/>
  <c r="M1408" i="2"/>
  <c r="L1408" i="2"/>
  <c r="K1408" i="2"/>
  <c r="J1408" i="2"/>
  <c r="I1408" i="2"/>
  <c r="H1408" i="2"/>
  <c r="F1408" i="2"/>
  <c r="E1408" i="2"/>
  <c r="D1408" i="2"/>
  <c r="C1408" i="2"/>
  <c r="B1408" i="2"/>
  <c r="A1408" i="2"/>
  <c r="M1407" i="2"/>
  <c r="L1407" i="2"/>
  <c r="K1407" i="2"/>
  <c r="J1407" i="2"/>
  <c r="I1407" i="2"/>
  <c r="H1407" i="2"/>
  <c r="G1407" i="2"/>
  <c r="F1407" i="2"/>
  <c r="E1407" i="2"/>
  <c r="D1407" i="2"/>
  <c r="C1407" i="2"/>
  <c r="B1407" i="2"/>
  <c r="A1407" i="2"/>
  <c r="M1406" i="2"/>
  <c r="L1406" i="2"/>
  <c r="K1406" i="2"/>
  <c r="J1406" i="2"/>
  <c r="I1406" i="2"/>
  <c r="H1406" i="2"/>
  <c r="G1406" i="2"/>
  <c r="F1406" i="2"/>
  <c r="E1406" i="2"/>
  <c r="D1406" i="2"/>
  <c r="C1406" i="2"/>
  <c r="B1406" i="2"/>
  <c r="A1406" i="2"/>
  <c r="M1405" i="2"/>
  <c r="L1405" i="2"/>
  <c r="K1405" i="2"/>
  <c r="J1405" i="2"/>
  <c r="I1405" i="2"/>
  <c r="H1405" i="2"/>
  <c r="G1405" i="2"/>
  <c r="F1405" i="2"/>
  <c r="E1405" i="2"/>
  <c r="D1405" i="2"/>
  <c r="C1405" i="2"/>
  <c r="B1405" i="2"/>
  <c r="A1405" i="2"/>
  <c r="M1404" i="2"/>
  <c r="L1404" i="2"/>
  <c r="K1404" i="2"/>
  <c r="J1404" i="2"/>
  <c r="I1404" i="2"/>
  <c r="H1404" i="2"/>
  <c r="G1404" i="2"/>
  <c r="F1404" i="2"/>
  <c r="E1404" i="2"/>
  <c r="D1404" i="2"/>
  <c r="C1404" i="2"/>
  <c r="B1404" i="2"/>
  <c r="A1404" i="2"/>
  <c r="M1403" i="2"/>
  <c r="L1403" i="2"/>
  <c r="K1403" i="2"/>
  <c r="J1403" i="2"/>
  <c r="I1403" i="2"/>
  <c r="H1403" i="2"/>
  <c r="G1403" i="2"/>
  <c r="F1403" i="2"/>
  <c r="E1403" i="2"/>
  <c r="D1403" i="2"/>
  <c r="C1403" i="2"/>
  <c r="B1403" i="2"/>
  <c r="A1403" i="2"/>
  <c r="M1402" i="2"/>
  <c r="L1402" i="2"/>
  <c r="K1402" i="2"/>
  <c r="J1402" i="2"/>
  <c r="I1402" i="2"/>
  <c r="H1402" i="2"/>
  <c r="G1402" i="2"/>
  <c r="F1402" i="2"/>
  <c r="E1402" i="2"/>
  <c r="D1402" i="2"/>
  <c r="C1402" i="2"/>
  <c r="B1402" i="2"/>
  <c r="A1402" i="2"/>
  <c r="M1401" i="2"/>
  <c r="L1401" i="2"/>
  <c r="K1401" i="2"/>
  <c r="J1401" i="2"/>
  <c r="I1401" i="2"/>
  <c r="H1401" i="2"/>
  <c r="G1401" i="2"/>
  <c r="F1401" i="2"/>
  <c r="E1401" i="2"/>
  <c r="D1401" i="2"/>
  <c r="C1401" i="2"/>
  <c r="B1401" i="2"/>
  <c r="A1401" i="2"/>
  <c r="M1400" i="2"/>
  <c r="L1400" i="2"/>
  <c r="K1400" i="2"/>
  <c r="J1400" i="2"/>
  <c r="I1400" i="2"/>
  <c r="H1400" i="2"/>
  <c r="G1400" i="2"/>
  <c r="F1400" i="2"/>
  <c r="E1400" i="2"/>
  <c r="D1400" i="2"/>
  <c r="C1400" i="2"/>
  <c r="B1400" i="2"/>
  <c r="A1400" i="2"/>
  <c r="M1399" i="2"/>
  <c r="L1399" i="2"/>
  <c r="K1399" i="2"/>
  <c r="J1399" i="2"/>
  <c r="I1399" i="2"/>
  <c r="H1399" i="2"/>
  <c r="G1399" i="2"/>
  <c r="F1399" i="2"/>
  <c r="E1399" i="2"/>
  <c r="D1399" i="2"/>
  <c r="C1399" i="2"/>
  <c r="B1399" i="2"/>
  <c r="A1399" i="2"/>
  <c r="M1398" i="2"/>
  <c r="L1398" i="2"/>
  <c r="K1398" i="2"/>
  <c r="J1398" i="2"/>
  <c r="I1398" i="2"/>
  <c r="H1398" i="2"/>
  <c r="G1398" i="2"/>
  <c r="F1398" i="2"/>
  <c r="E1398" i="2"/>
  <c r="D1398" i="2"/>
  <c r="C1398" i="2"/>
  <c r="B1398" i="2"/>
  <c r="A1398" i="2"/>
  <c r="M1397" i="2"/>
  <c r="L1397" i="2"/>
  <c r="K1397" i="2"/>
  <c r="J1397" i="2"/>
  <c r="I1397" i="2"/>
  <c r="H1397" i="2"/>
  <c r="G1397" i="2"/>
  <c r="F1397" i="2"/>
  <c r="E1397" i="2"/>
  <c r="D1397" i="2"/>
  <c r="C1397" i="2"/>
  <c r="B1397" i="2"/>
  <c r="A1397" i="2"/>
  <c r="M1396" i="2"/>
  <c r="L1396" i="2"/>
  <c r="K1396" i="2"/>
  <c r="J1396" i="2"/>
  <c r="I1396" i="2"/>
  <c r="H1396" i="2"/>
  <c r="G1396" i="2"/>
  <c r="F1396" i="2"/>
  <c r="E1396" i="2"/>
  <c r="D1396" i="2"/>
  <c r="C1396" i="2"/>
  <c r="B1396" i="2"/>
  <c r="A1396" i="2"/>
  <c r="M1395" i="2"/>
  <c r="L1395" i="2"/>
  <c r="K1395" i="2"/>
  <c r="J1395" i="2"/>
  <c r="I1395" i="2"/>
  <c r="H1395" i="2"/>
  <c r="G1395" i="2"/>
  <c r="F1395" i="2"/>
  <c r="E1395" i="2"/>
  <c r="D1395" i="2"/>
  <c r="C1395" i="2"/>
  <c r="B1395" i="2"/>
  <c r="A1395" i="2"/>
  <c r="M1394" i="2"/>
  <c r="L1394" i="2"/>
  <c r="K1394" i="2"/>
  <c r="J1394" i="2"/>
  <c r="I1394" i="2"/>
  <c r="H1394" i="2"/>
  <c r="G1394" i="2"/>
  <c r="F1394" i="2"/>
  <c r="E1394" i="2"/>
  <c r="D1394" i="2"/>
  <c r="C1394" i="2"/>
  <c r="B1394" i="2"/>
  <c r="A1394" i="2"/>
  <c r="M1393" i="2"/>
  <c r="L1393" i="2"/>
  <c r="K1393" i="2"/>
  <c r="J1393" i="2"/>
  <c r="I1393" i="2"/>
  <c r="H1393" i="2"/>
  <c r="G1393" i="2"/>
  <c r="F1393" i="2"/>
  <c r="E1393" i="2"/>
  <c r="D1393" i="2"/>
  <c r="C1393" i="2"/>
  <c r="B1393" i="2"/>
  <c r="A1393" i="2"/>
  <c r="M1392" i="2"/>
  <c r="L1392" i="2"/>
  <c r="K1392" i="2"/>
  <c r="J1392" i="2"/>
  <c r="I1392" i="2"/>
  <c r="H1392" i="2"/>
  <c r="G1392" i="2"/>
  <c r="F1392" i="2"/>
  <c r="E1392" i="2"/>
  <c r="D1392" i="2"/>
  <c r="C1392" i="2"/>
  <c r="B1392" i="2"/>
  <c r="A1392" i="2"/>
  <c r="M1391" i="2"/>
  <c r="L1391" i="2"/>
  <c r="K1391" i="2"/>
  <c r="J1391" i="2"/>
  <c r="I1391" i="2"/>
  <c r="H1391" i="2"/>
  <c r="G1391" i="2"/>
  <c r="F1391" i="2"/>
  <c r="E1391" i="2"/>
  <c r="D1391" i="2"/>
  <c r="C1391" i="2"/>
  <c r="B1391" i="2"/>
  <c r="A1391" i="2"/>
  <c r="M1390" i="2"/>
  <c r="L1390" i="2"/>
  <c r="K1390" i="2"/>
  <c r="J1390" i="2"/>
  <c r="I1390" i="2"/>
  <c r="H1390" i="2"/>
  <c r="G1390" i="2"/>
  <c r="F1390" i="2"/>
  <c r="E1390" i="2"/>
  <c r="D1390" i="2"/>
  <c r="C1390" i="2"/>
  <c r="B1390" i="2"/>
  <c r="A1390" i="2"/>
  <c r="M1389" i="2"/>
  <c r="L1389" i="2"/>
  <c r="K1389" i="2"/>
  <c r="J1389" i="2"/>
  <c r="I1389" i="2"/>
  <c r="H1389" i="2"/>
  <c r="G1389" i="2"/>
  <c r="F1389" i="2"/>
  <c r="E1389" i="2"/>
  <c r="D1389" i="2"/>
  <c r="C1389" i="2"/>
  <c r="B1389" i="2"/>
  <c r="A1389" i="2"/>
  <c r="M1388" i="2"/>
  <c r="L1388" i="2"/>
  <c r="K1388" i="2"/>
  <c r="J1388" i="2"/>
  <c r="I1388" i="2"/>
  <c r="H1388" i="2"/>
  <c r="G1388" i="2"/>
  <c r="F1388" i="2"/>
  <c r="E1388" i="2"/>
  <c r="D1388" i="2"/>
  <c r="C1388" i="2"/>
  <c r="B1388" i="2"/>
  <c r="A1388" i="2"/>
  <c r="M1387" i="2"/>
  <c r="L1387" i="2"/>
  <c r="K1387" i="2"/>
  <c r="J1387" i="2"/>
  <c r="I1387" i="2"/>
  <c r="H1387" i="2"/>
  <c r="G1387" i="2"/>
  <c r="F1387" i="2"/>
  <c r="E1387" i="2"/>
  <c r="D1387" i="2"/>
  <c r="C1387" i="2"/>
  <c r="B1387" i="2"/>
  <c r="A1387" i="2"/>
  <c r="M1386" i="2"/>
  <c r="L1386" i="2"/>
  <c r="K1386" i="2"/>
  <c r="J1386" i="2"/>
  <c r="I1386" i="2"/>
  <c r="H1386" i="2"/>
  <c r="G1386" i="2"/>
  <c r="F1386" i="2"/>
  <c r="E1386" i="2"/>
  <c r="D1386" i="2"/>
  <c r="C1386" i="2"/>
  <c r="B1386" i="2"/>
  <c r="A1386" i="2"/>
  <c r="M1385" i="2"/>
  <c r="L1385" i="2"/>
  <c r="K1385" i="2"/>
  <c r="J1385" i="2"/>
  <c r="I1385" i="2"/>
  <c r="H1385" i="2"/>
  <c r="G1385" i="2"/>
  <c r="F1385" i="2"/>
  <c r="E1385" i="2"/>
  <c r="D1385" i="2"/>
  <c r="C1385" i="2"/>
  <c r="B1385" i="2"/>
  <c r="A1385" i="2"/>
  <c r="M1384" i="2"/>
  <c r="L1384" i="2"/>
  <c r="J1384" i="2"/>
  <c r="I1384" i="2"/>
  <c r="G1384" i="2"/>
  <c r="F1384" i="2"/>
  <c r="D1384" i="2"/>
  <c r="C1384" i="2"/>
  <c r="B1384" i="2"/>
  <c r="A1384" i="2"/>
  <c r="M1383" i="2"/>
  <c r="L1383" i="2"/>
  <c r="J1383" i="2"/>
  <c r="I1383" i="2"/>
  <c r="G1383" i="2"/>
  <c r="F1383" i="2"/>
  <c r="D1383" i="2"/>
  <c r="C1383" i="2"/>
  <c r="B1383" i="2"/>
  <c r="A1383" i="2"/>
  <c r="M1382" i="2"/>
  <c r="L1382" i="2"/>
  <c r="K1382" i="2"/>
  <c r="J1382" i="2"/>
  <c r="I1382" i="2"/>
  <c r="H1382" i="2"/>
  <c r="G1382" i="2"/>
  <c r="F1382" i="2"/>
  <c r="E1382" i="2"/>
  <c r="D1382" i="2"/>
  <c r="C1382" i="2"/>
  <c r="B1382" i="2"/>
  <c r="A1382" i="2"/>
  <c r="M1381" i="2"/>
  <c r="L1381" i="2"/>
  <c r="K1381" i="2"/>
  <c r="J1381" i="2"/>
  <c r="I1381" i="2"/>
  <c r="H1381" i="2"/>
  <c r="G1381" i="2"/>
  <c r="F1381" i="2"/>
  <c r="E1381" i="2"/>
  <c r="D1381" i="2"/>
  <c r="C1381" i="2"/>
  <c r="B1381" i="2"/>
  <c r="A1381" i="2"/>
  <c r="M1380" i="2"/>
  <c r="L1380" i="2"/>
  <c r="K1380" i="2"/>
  <c r="J1380" i="2"/>
  <c r="I1380" i="2"/>
  <c r="H1380" i="2"/>
  <c r="G1380" i="2"/>
  <c r="F1380" i="2"/>
  <c r="E1380" i="2"/>
  <c r="D1380" i="2"/>
  <c r="C1380" i="2"/>
  <c r="B1380" i="2"/>
  <c r="A1380" i="2"/>
  <c r="M1379" i="2"/>
  <c r="L1379" i="2"/>
  <c r="K1379" i="2"/>
  <c r="J1379" i="2"/>
  <c r="I1379" i="2"/>
  <c r="H1379" i="2"/>
  <c r="G1379" i="2"/>
  <c r="F1379" i="2"/>
  <c r="E1379" i="2"/>
  <c r="D1379" i="2"/>
  <c r="C1379" i="2"/>
  <c r="B1379" i="2"/>
  <c r="A1379" i="2"/>
  <c r="M1378" i="2"/>
  <c r="L1378" i="2"/>
  <c r="K1378" i="2"/>
  <c r="J1378" i="2"/>
  <c r="I1378" i="2"/>
  <c r="H1378" i="2"/>
  <c r="G1378" i="2"/>
  <c r="F1378" i="2"/>
  <c r="E1378" i="2"/>
  <c r="D1378" i="2"/>
  <c r="C1378" i="2"/>
  <c r="B1378" i="2"/>
  <c r="A1378" i="2"/>
  <c r="M1377" i="2"/>
  <c r="L1377" i="2"/>
  <c r="K1377" i="2"/>
  <c r="J1377" i="2"/>
  <c r="I1377" i="2"/>
  <c r="H1377" i="2"/>
  <c r="G1377" i="2"/>
  <c r="F1377" i="2"/>
  <c r="E1377" i="2"/>
  <c r="D1377" i="2"/>
  <c r="C1377" i="2"/>
  <c r="B1377" i="2"/>
  <c r="A1377" i="2"/>
  <c r="M1376" i="2"/>
  <c r="L1376" i="2"/>
  <c r="K1376" i="2"/>
  <c r="J1376" i="2"/>
  <c r="I1376" i="2"/>
  <c r="H1376" i="2"/>
  <c r="G1376" i="2"/>
  <c r="F1376" i="2"/>
  <c r="E1376" i="2"/>
  <c r="D1376" i="2"/>
  <c r="C1376" i="2"/>
  <c r="B1376" i="2"/>
  <c r="A1376" i="2"/>
  <c r="M1375" i="2"/>
  <c r="L1375" i="2"/>
  <c r="K1375" i="2"/>
  <c r="J1375" i="2"/>
  <c r="I1375" i="2"/>
  <c r="H1375" i="2"/>
  <c r="G1375" i="2"/>
  <c r="F1375" i="2"/>
  <c r="E1375" i="2"/>
  <c r="D1375" i="2"/>
  <c r="C1375" i="2"/>
  <c r="B1375" i="2"/>
  <c r="A1375" i="2"/>
  <c r="M1374" i="2"/>
  <c r="L1374" i="2"/>
  <c r="K1374" i="2"/>
  <c r="J1374" i="2"/>
  <c r="I1374" i="2"/>
  <c r="H1374" i="2"/>
  <c r="G1374" i="2"/>
  <c r="F1374" i="2"/>
  <c r="E1374" i="2"/>
  <c r="D1374" i="2"/>
  <c r="C1374" i="2"/>
  <c r="B1374" i="2"/>
  <c r="A1374" i="2"/>
  <c r="M1373" i="2"/>
  <c r="L1373" i="2"/>
  <c r="K1373" i="2"/>
  <c r="J1373" i="2"/>
  <c r="I1373" i="2"/>
  <c r="H1373" i="2"/>
  <c r="G1373" i="2"/>
  <c r="F1373" i="2"/>
  <c r="E1373" i="2"/>
  <c r="D1373" i="2"/>
  <c r="C1373" i="2"/>
  <c r="B1373" i="2"/>
  <c r="A1373" i="2"/>
  <c r="M1372" i="2"/>
  <c r="L1372" i="2"/>
  <c r="K1372" i="2"/>
  <c r="J1372" i="2"/>
  <c r="I1372" i="2"/>
  <c r="H1372" i="2"/>
  <c r="G1372" i="2"/>
  <c r="F1372" i="2"/>
  <c r="E1372" i="2"/>
  <c r="D1372" i="2"/>
  <c r="C1372" i="2"/>
  <c r="B1372" i="2"/>
  <c r="A1372" i="2"/>
  <c r="M1371" i="2"/>
  <c r="L1371" i="2"/>
  <c r="K1371" i="2"/>
  <c r="J1371" i="2"/>
  <c r="I1371" i="2"/>
  <c r="H1371" i="2"/>
  <c r="G1371" i="2"/>
  <c r="F1371" i="2"/>
  <c r="E1371" i="2"/>
  <c r="D1371" i="2"/>
  <c r="C1371" i="2"/>
  <c r="B1371" i="2"/>
  <c r="A1371" i="2"/>
  <c r="M1370" i="2"/>
  <c r="L1370" i="2"/>
  <c r="K1370" i="2"/>
  <c r="J1370" i="2"/>
  <c r="I1370" i="2"/>
  <c r="H1370" i="2"/>
  <c r="G1370" i="2"/>
  <c r="F1370" i="2"/>
  <c r="E1370" i="2"/>
  <c r="D1370" i="2"/>
  <c r="C1370" i="2"/>
  <c r="B1370" i="2"/>
  <c r="A1370" i="2"/>
  <c r="M1369" i="2"/>
  <c r="L1369" i="2"/>
  <c r="K1369" i="2"/>
  <c r="J1369" i="2"/>
  <c r="I1369" i="2"/>
  <c r="H1369" i="2"/>
  <c r="G1369" i="2"/>
  <c r="F1369" i="2"/>
  <c r="E1369" i="2"/>
  <c r="D1369" i="2"/>
  <c r="C1369" i="2"/>
  <c r="B1369" i="2"/>
  <c r="A1369" i="2"/>
  <c r="M1368" i="2"/>
  <c r="L1368" i="2"/>
  <c r="K1368" i="2"/>
  <c r="J1368" i="2"/>
  <c r="I1368" i="2"/>
  <c r="H1368" i="2"/>
  <c r="G1368" i="2"/>
  <c r="F1368" i="2"/>
  <c r="E1368" i="2"/>
  <c r="D1368" i="2"/>
  <c r="C1368" i="2"/>
  <c r="B1368" i="2"/>
  <c r="A1368" i="2"/>
  <c r="M1367" i="2"/>
  <c r="L1367" i="2"/>
  <c r="K1367" i="2"/>
  <c r="J1367" i="2"/>
  <c r="I1367" i="2"/>
  <c r="H1367" i="2"/>
  <c r="G1367" i="2"/>
  <c r="F1367" i="2"/>
  <c r="E1367" i="2"/>
  <c r="D1367" i="2"/>
  <c r="C1367" i="2"/>
  <c r="B1367" i="2"/>
  <c r="A1367" i="2"/>
  <c r="M1366" i="2"/>
  <c r="L1366" i="2"/>
  <c r="K1366" i="2"/>
  <c r="J1366" i="2"/>
  <c r="I1366" i="2"/>
  <c r="H1366" i="2"/>
  <c r="G1366" i="2"/>
  <c r="F1366" i="2"/>
  <c r="E1366" i="2"/>
  <c r="D1366" i="2"/>
  <c r="C1366" i="2"/>
  <c r="B1366" i="2"/>
  <c r="A1366" i="2"/>
  <c r="M1365" i="2"/>
  <c r="L1365" i="2"/>
  <c r="K1365" i="2"/>
  <c r="J1365" i="2"/>
  <c r="I1365" i="2"/>
  <c r="H1365" i="2"/>
  <c r="G1365" i="2"/>
  <c r="F1365" i="2"/>
  <c r="E1365" i="2"/>
  <c r="D1365" i="2"/>
  <c r="C1365" i="2"/>
  <c r="B1365" i="2"/>
  <c r="A1365" i="2"/>
  <c r="M1364" i="2"/>
  <c r="L1364" i="2"/>
  <c r="K1364" i="2"/>
  <c r="J1364" i="2"/>
  <c r="I1364" i="2"/>
  <c r="H1364" i="2"/>
  <c r="G1364" i="2"/>
  <c r="F1364" i="2"/>
  <c r="E1364" i="2"/>
  <c r="D1364" i="2"/>
  <c r="C1364" i="2"/>
  <c r="B1364" i="2"/>
  <c r="A1364" i="2"/>
  <c r="M1363" i="2"/>
  <c r="L1363" i="2"/>
  <c r="K1363" i="2"/>
  <c r="J1363" i="2"/>
  <c r="I1363" i="2"/>
  <c r="H1363" i="2"/>
  <c r="G1363" i="2"/>
  <c r="F1363" i="2"/>
  <c r="E1363" i="2"/>
  <c r="D1363" i="2"/>
  <c r="C1363" i="2"/>
  <c r="B1363" i="2"/>
  <c r="A1363" i="2"/>
  <c r="M1362" i="2"/>
  <c r="L1362" i="2"/>
  <c r="K1362" i="2"/>
  <c r="J1362" i="2"/>
  <c r="I1362" i="2"/>
  <c r="H1362" i="2"/>
  <c r="G1362" i="2"/>
  <c r="F1362" i="2"/>
  <c r="E1362" i="2"/>
  <c r="D1362" i="2"/>
  <c r="C1362" i="2"/>
  <c r="B1362" i="2"/>
  <c r="A1362" i="2"/>
  <c r="M1361" i="2"/>
  <c r="L1361" i="2"/>
  <c r="K1361" i="2"/>
  <c r="J1361" i="2"/>
  <c r="I1361" i="2"/>
  <c r="H1361" i="2"/>
  <c r="G1361" i="2"/>
  <c r="F1361" i="2"/>
  <c r="E1361" i="2"/>
  <c r="D1361" i="2"/>
  <c r="C1361" i="2"/>
  <c r="B1361" i="2"/>
  <c r="A1361" i="2"/>
  <c r="M1360" i="2"/>
  <c r="L1360" i="2"/>
  <c r="K1360" i="2"/>
  <c r="J1360" i="2"/>
  <c r="I1360" i="2"/>
  <c r="H1360" i="2"/>
  <c r="G1360" i="2"/>
  <c r="F1360" i="2"/>
  <c r="E1360" i="2"/>
  <c r="D1360" i="2"/>
  <c r="C1360" i="2"/>
  <c r="B1360" i="2"/>
  <c r="A1360" i="2"/>
  <c r="M1359" i="2"/>
  <c r="L1359" i="2"/>
  <c r="K1359" i="2"/>
  <c r="J1359" i="2"/>
  <c r="I1359" i="2"/>
  <c r="H1359" i="2"/>
  <c r="G1359" i="2"/>
  <c r="F1359" i="2"/>
  <c r="E1359" i="2"/>
  <c r="D1359" i="2"/>
  <c r="C1359" i="2"/>
  <c r="B1359" i="2"/>
  <c r="A1359" i="2"/>
  <c r="M1358" i="2"/>
  <c r="L1358" i="2"/>
  <c r="K1358" i="2"/>
  <c r="J1358" i="2"/>
  <c r="I1358" i="2"/>
  <c r="H1358" i="2"/>
  <c r="G1358" i="2"/>
  <c r="F1358" i="2"/>
  <c r="E1358" i="2"/>
  <c r="D1358" i="2"/>
  <c r="C1358" i="2"/>
  <c r="B1358" i="2"/>
  <c r="A1358" i="2"/>
  <c r="M1357" i="2"/>
  <c r="L1357" i="2"/>
  <c r="K1357" i="2"/>
  <c r="J1357" i="2"/>
  <c r="I1357" i="2"/>
  <c r="H1357" i="2"/>
  <c r="G1357" i="2"/>
  <c r="F1357" i="2"/>
  <c r="E1357" i="2"/>
  <c r="D1357" i="2"/>
  <c r="C1357" i="2"/>
  <c r="B1357" i="2"/>
  <c r="A1357" i="2"/>
  <c r="M1356" i="2"/>
  <c r="L1356" i="2"/>
  <c r="K1356" i="2"/>
  <c r="J1356" i="2"/>
  <c r="I1356" i="2"/>
  <c r="H1356" i="2"/>
  <c r="G1356" i="2"/>
  <c r="F1356" i="2"/>
  <c r="E1356" i="2"/>
  <c r="D1356" i="2"/>
  <c r="C1356" i="2"/>
  <c r="B1356" i="2"/>
  <c r="A1356" i="2"/>
  <c r="M1355" i="2"/>
  <c r="L1355" i="2"/>
  <c r="K1355" i="2"/>
  <c r="J1355" i="2"/>
  <c r="I1355" i="2"/>
  <c r="H1355" i="2"/>
  <c r="G1355" i="2"/>
  <c r="F1355" i="2"/>
  <c r="E1355" i="2"/>
  <c r="D1355" i="2"/>
  <c r="C1355" i="2"/>
  <c r="B1355" i="2"/>
  <c r="A1355" i="2"/>
  <c r="M1354" i="2"/>
  <c r="L1354" i="2"/>
  <c r="K1354" i="2"/>
  <c r="J1354" i="2"/>
  <c r="I1354" i="2"/>
  <c r="H1354" i="2"/>
  <c r="G1354" i="2"/>
  <c r="F1354" i="2"/>
  <c r="E1354" i="2"/>
  <c r="D1354" i="2"/>
  <c r="C1354" i="2"/>
  <c r="B1354" i="2"/>
  <c r="A1354" i="2"/>
  <c r="M1353" i="2"/>
  <c r="L1353" i="2"/>
  <c r="K1353" i="2"/>
  <c r="J1353" i="2"/>
  <c r="I1353" i="2"/>
  <c r="H1353" i="2"/>
  <c r="G1353" i="2"/>
  <c r="F1353" i="2"/>
  <c r="E1353" i="2"/>
  <c r="D1353" i="2"/>
  <c r="C1353" i="2"/>
  <c r="B1353" i="2"/>
  <c r="A1353" i="2"/>
  <c r="M1352" i="2"/>
  <c r="L1352" i="2"/>
  <c r="K1352" i="2"/>
  <c r="J1352" i="2"/>
  <c r="I1352" i="2"/>
  <c r="H1352" i="2"/>
  <c r="G1352" i="2"/>
  <c r="F1352" i="2"/>
  <c r="E1352" i="2"/>
  <c r="D1352" i="2"/>
  <c r="C1352" i="2"/>
  <c r="B1352" i="2"/>
  <c r="A1352" i="2"/>
  <c r="M1351" i="2"/>
  <c r="L1351" i="2"/>
  <c r="K1351" i="2"/>
  <c r="J1351" i="2"/>
  <c r="I1351" i="2"/>
  <c r="H1351" i="2"/>
  <c r="G1351" i="2"/>
  <c r="F1351" i="2"/>
  <c r="E1351" i="2"/>
  <c r="D1351" i="2"/>
  <c r="C1351" i="2"/>
  <c r="B1351" i="2"/>
  <c r="A1351" i="2"/>
  <c r="M1350" i="2"/>
  <c r="L1350" i="2"/>
  <c r="K1350" i="2"/>
  <c r="J1350" i="2"/>
  <c r="I1350" i="2"/>
  <c r="H1350" i="2"/>
  <c r="G1350" i="2"/>
  <c r="F1350" i="2"/>
  <c r="E1350" i="2"/>
  <c r="D1350" i="2"/>
  <c r="C1350" i="2"/>
  <c r="B1350" i="2"/>
  <c r="A1350" i="2"/>
  <c r="M1349" i="2"/>
  <c r="L1349" i="2"/>
  <c r="K1349" i="2"/>
  <c r="J1349" i="2"/>
  <c r="I1349" i="2"/>
  <c r="H1349" i="2"/>
  <c r="G1349" i="2"/>
  <c r="F1349" i="2"/>
  <c r="E1349" i="2"/>
  <c r="D1349" i="2"/>
  <c r="C1349" i="2"/>
  <c r="B1349" i="2"/>
  <c r="A1349" i="2"/>
  <c r="M1348" i="2"/>
  <c r="L1348" i="2"/>
  <c r="K1348" i="2"/>
  <c r="J1348" i="2"/>
  <c r="I1348" i="2"/>
  <c r="H1348" i="2"/>
  <c r="G1348" i="2"/>
  <c r="F1348" i="2"/>
  <c r="E1348" i="2"/>
  <c r="D1348" i="2"/>
  <c r="C1348" i="2"/>
  <c r="B1348" i="2"/>
  <c r="A1348" i="2"/>
  <c r="M1347" i="2"/>
  <c r="L1347" i="2"/>
  <c r="K1347" i="2"/>
  <c r="J1347" i="2"/>
  <c r="I1347" i="2"/>
  <c r="H1347" i="2"/>
  <c r="G1347" i="2"/>
  <c r="F1347" i="2"/>
  <c r="E1347" i="2"/>
  <c r="D1347" i="2"/>
  <c r="C1347" i="2"/>
  <c r="B1347" i="2"/>
  <c r="A1347" i="2"/>
  <c r="M1346" i="2"/>
  <c r="L1346" i="2"/>
  <c r="K1346" i="2"/>
  <c r="J1346" i="2"/>
  <c r="I1346" i="2"/>
  <c r="H1346" i="2"/>
  <c r="G1346" i="2"/>
  <c r="F1346" i="2"/>
  <c r="E1346" i="2"/>
  <c r="D1346" i="2"/>
  <c r="C1346" i="2"/>
  <c r="B1346" i="2"/>
  <c r="A1346" i="2"/>
  <c r="M1345" i="2"/>
  <c r="L1345" i="2"/>
  <c r="K1345" i="2"/>
  <c r="J1345" i="2"/>
  <c r="I1345" i="2"/>
  <c r="H1345" i="2"/>
  <c r="G1345" i="2"/>
  <c r="F1345" i="2"/>
  <c r="E1345" i="2"/>
  <c r="D1345" i="2"/>
  <c r="C1345" i="2"/>
  <c r="B1345" i="2"/>
  <c r="A1345" i="2"/>
  <c r="N1344" i="2"/>
  <c r="M1344" i="2"/>
  <c r="L1344" i="2"/>
  <c r="K1344" i="2"/>
  <c r="J1344" i="2"/>
  <c r="I1344" i="2"/>
  <c r="H1344" i="2"/>
  <c r="G1344" i="2"/>
  <c r="F1344" i="2"/>
  <c r="E1344" i="2"/>
  <c r="D1344" i="2"/>
  <c r="C1344" i="2"/>
  <c r="B1344" i="2"/>
  <c r="A1344" i="2"/>
  <c r="M1343" i="2"/>
  <c r="L1343" i="2"/>
  <c r="K1343" i="2"/>
  <c r="J1343" i="2"/>
  <c r="I1343" i="2"/>
  <c r="H1343" i="2"/>
  <c r="G1343" i="2"/>
  <c r="F1343" i="2"/>
  <c r="E1343" i="2"/>
  <c r="D1343" i="2"/>
  <c r="C1343" i="2"/>
  <c r="B1343" i="2"/>
  <c r="A1343" i="2"/>
  <c r="M1342" i="2"/>
  <c r="L1342" i="2"/>
  <c r="K1342" i="2"/>
  <c r="J1342" i="2"/>
  <c r="I1342" i="2"/>
  <c r="H1342" i="2"/>
  <c r="G1342" i="2"/>
  <c r="F1342" i="2"/>
  <c r="E1342" i="2"/>
  <c r="D1342" i="2"/>
  <c r="C1342" i="2"/>
  <c r="B1342" i="2"/>
  <c r="A1342" i="2"/>
  <c r="M1341" i="2"/>
  <c r="L1341" i="2"/>
  <c r="K1341" i="2"/>
  <c r="J1341" i="2"/>
  <c r="I1341" i="2"/>
  <c r="H1341" i="2"/>
  <c r="G1341" i="2"/>
  <c r="F1341" i="2"/>
  <c r="E1341" i="2"/>
  <c r="D1341" i="2"/>
  <c r="C1341" i="2"/>
  <c r="B1341" i="2"/>
  <c r="A1341" i="2"/>
  <c r="M1340" i="2"/>
  <c r="L1340" i="2"/>
  <c r="K1340" i="2"/>
  <c r="J1340" i="2"/>
  <c r="I1340" i="2"/>
  <c r="H1340" i="2"/>
  <c r="G1340" i="2"/>
  <c r="F1340" i="2"/>
  <c r="E1340" i="2"/>
  <c r="D1340" i="2"/>
  <c r="C1340" i="2"/>
  <c r="B1340" i="2"/>
  <c r="A1340" i="2"/>
  <c r="M1339" i="2"/>
  <c r="L1339" i="2"/>
  <c r="K1339" i="2"/>
  <c r="J1339" i="2"/>
  <c r="I1339" i="2"/>
  <c r="H1339" i="2"/>
  <c r="G1339" i="2"/>
  <c r="F1339" i="2"/>
  <c r="E1339" i="2"/>
  <c r="D1339" i="2"/>
  <c r="C1339" i="2"/>
  <c r="B1339" i="2"/>
  <c r="A1339" i="2"/>
  <c r="M1338" i="2"/>
  <c r="L1338" i="2"/>
  <c r="K1338" i="2"/>
  <c r="J1338" i="2"/>
  <c r="I1338" i="2"/>
  <c r="H1338" i="2"/>
  <c r="G1338" i="2"/>
  <c r="F1338" i="2"/>
  <c r="E1338" i="2"/>
  <c r="D1338" i="2"/>
  <c r="C1338" i="2"/>
  <c r="B1338" i="2"/>
  <c r="A1338" i="2"/>
  <c r="M1337" i="2"/>
  <c r="L1337" i="2"/>
  <c r="K1337" i="2"/>
  <c r="J1337" i="2"/>
  <c r="I1337" i="2"/>
  <c r="H1337" i="2"/>
  <c r="G1337" i="2"/>
  <c r="F1337" i="2"/>
  <c r="E1337" i="2"/>
  <c r="D1337" i="2"/>
  <c r="C1337" i="2"/>
  <c r="B1337" i="2"/>
  <c r="A1337" i="2"/>
  <c r="M1336" i="2"/>
  <c r="L1336" i="2"/>
  <c r="K1336" i="2"/>
  <c r="J1336" i="2"/>
  <c r="I1336" i="2"/>
  <c r="H1336" i="2"/>
  <c r="G1336" i="2"/>
  <c r="F1336" i="2"/>
  <c r="E1336" i="2"/>
  <c r="D1336" i="2"/>
  <c r="C1336" i="2"/>
  <c r="B1336" i="2"/>
  <c r="A1336" i="2"/>
  <c r="M1335" i="2"/>
  <c r="L1335" i="2"/>
  <c r="K1335" i="2"/>
  <c r="J1335" i="2"/>
  <c r="I1335" i="2"/>
  <c r="H1335" i="2"/>
  <c r="G1335" i="2"/>
  <c r="F1335" i="2"/>
  <c r="E1335" i="2"/>
  <c r="D1335" i="2"/>
  <c r="C1335" i="2"/>
  <c r="B1335" i="2"/>
  <c r="A1335" i="2"/>
  <c r="M1334" i="2"/>
  <c r="L1334" i="2"/>
  <c r="K1334" i="2"/>
  <c r="J1334" i="2"/>
  <c r="I1334" i="2"/>
  <c r="H1334" i="2"/>
  <c r="G1334" i="2"/>
  <c r="F1334" i="2"/>
  <c r="E1334" i="2"/>
  <c r="D1334" i="2"/>
  <c r="C1334" i="2"/>
  <c r="B1334" i="2"/>
  <c r="A1334" i="2"/>
  <c r="M1333" i="2"/>
  <c r="L1333" i="2"/>
  <c r="K1333" i="2"/>
  <c r="J1333" i="2"/>
  <c r="I1333" i="2"/>
  <c r="H1333" i="2"/>
  <c r="G1333" i="2"/>
  <c r="F1333" i="2"/>
  <c r="E1333" i="2"/>
  <c r="D1333" i="2"/>
  <c r="C1333" i="2"/>
  <c r="B1333" i="2"/>
  <c r="A1333" i="2"/>
  <c r="M1332" i="2"/>
  <c r="L1332" i="2"/>
  <c r="K1332" i="2"/>
  <c r="J1332" i="2"/>
  <c r="I1332" i="2"/>
  <c r="H1332" i="2"/>
  <c r="G1332" i="2"/>
  <c r="F1332" i="2"/>
  <c r="E1332" i="2"/>
  <c r="D1332" i="2"/>
  <c r="C1332" i="2"/>
  <c r="B1332" i="2"/>
  <c r="A1332" i="2"/>
  <c r="M1331" i="2"/>
  <c r="L1331" i="2"/>
  <c r="K1331" i="2"/>
  <c r="J1331" i="2"/>
  <c r="I1331" i="2"/>
  <c r="H1331" i="2"/>
  <c r="G1331" i="2"/>
  <c r="F1331" i="2"/>
  <c r="E1331" i="2"/>
  <c r="D1331" i="2"/>
  <c r="C1331" i="2"/>
  <c r="B1331" i="2"/>
  <c r="A1331" i="2"/>
  <c r="M1330" i="2"/>
  <c r="L1330" i="2"/>
  <c r="K1330" i="2"/>
  <c r="J1330" i="2"/>
  <c r="I1330" i="2"/>
  <c r="H1330" i="2"/>
  <c r="G1330" i="2"/>
  <c r="F1330" i="2"/>
  <c r="E1330" i="2"/>
  <c r="D1330" i="2"/>
  <c r="C1330" i="2"/>
  <c r="B1330" i="2"/>
  <c r="A1330" i="2"/>
  <c r="M1329" i="2"/>
  <c r="L1329" i="2"/>
  <c r="K1329" i="2"/>
  <c r="J1329" i="2"/>
  <c r="I1329" i="2"/>
  <c r="H1329" i="2"/>
  <c r="G1329" i="2"/>
  <c r="F1329" i="2"/>
  <c r="E1329" i="2"/>
  <c r="D1329" i="2"/>
  <c r="C1329" i="2"/>
  <c r="B1329" i="2"/>
  <c r="A1329" i="2"/>
  <c r="M1328" i="2"/>
  <c r="L1328" i="2"/>
  <c r="K1328" i="2"/>
  <c r="J1328" i="2"/>
  <c r="I1328" i="2"/>
  <c r="H1328" i="2"/>
  <c r="G1328" i="2"/>
  <c r="F1328" i="2"/>
  <c r="E1328" i="2"/>
  <c r="D1328" i="2"/>
  <c r="C1328" i="2"/>
  <c r="B1328" i="2"/>
  <c r="A1328" i="2"/>
  <c r="M1327" i="2"/>
  <c r="L1327" i="2"/>
  <c r="K1327" i="2"/>
  <c r="J1327" i="2"/>
  <c r="I1327" i="2"/>
  <c r="H1327" i="2"/>
  <c r="G1327" i="2"/>
  <c r="F1327" i="2"/>
  <c r="E1327" i="2"/>
  <c r="D1327" i="2"/>
  <c r="C1327" i="2"/>
  <c r="B1327" i="2"/>
  <c r="A1327" i="2"/>
  <c r="M1326" i="2"/>
  <c r="L1326" i="2"/>
  <c r="K1326" i="2"/>
  <c r="J1326" i="2"/>
  <c r="I1326" i="2"/>
  <c r="H1326" i="2"/>
  <c r="G1326" i="2"/>
  <c r="F1326" i="2"/>
  <c r="E1326" i="2"/>
  <c r="D1326" i="2"/>
  <c r="C1326" i="2"/>
  <c r="B1326" i="2"/>
  <c r="A1326" i="2"/>
  <c r="M1325" i="2"/>
  <c r="L1325" i="2"/>
  <c r="K1325" i="2"/>
  <c r="J1325" i="2"/>
  <c r="I1325" i="2"/>
  <c r="H1325" i="2"/>
  <c r="G1325" i="2"/>
  <c r="F1325" i="2"/>
  <c r="E1325" i="2"/>
  <c r="D1325" i="2"/>
  <c r="C1325" i="2"/>
  <c r="B1325" i="2"/>
  <c r="A1325" i="2"/>
  <c r="M1324" i="2"/>
  <c r="L1324" i="2"/>
  <c r="K1324" i="2"/>
  <c r="J1324" i="2"/>
  <c r="I1324" i="2"/>
  <c r="H1324" i="2"/>
  <c r="G1324" i="2"/>
  <c r="F1324" i="2"/>
  <c r="E1324" i="2"/>
  <c r="D1324" i="2"/>
  <c r="C1324" i="2"/>
  <c r="B1324" i="2"/>
  <c r="A1324" i="2"/>
  <c r="M1323" i="2"/>
  <c r="L1323" i="2"/>
  <c r="K1323" i="2"/>
  <c r="J1323" i="2"/>
  <c r="I1323" i="2"/>
  <c r="H1323" i="2"/>
  <c r="G1323" i="2"/>
  <c r="F1323" i="2"/>
  <c r="E1323" i="2"/>
  <c r="D1323" i="2"/>
  <c r="C1323" i="2"/>
  <c r="B1323" i="2"/>
  <c r="A1323" i="2"/>
  <c r="M1322" i="2"/>
  <c r="L1322" i="2"/>
  <c r="K1322" i="2"/>
  <c r="J1322" i="2"/>
  <c r="I1322" i="2"/>
  <c r="H1322" i="2"/>
  <c r="G1322" i="2"/>
  <c r="F1322" i="2"/>
  <c r="E1322" i="2"/>
  <c r="D1322" i="2"/>
  <c r="C1322" i="2"/>
  <c r="B1322" i="2"/>
  <c r="A1322" i="2"/>
  <c r="M1321" i="2"/>
  <c r="L1321" i="2"/>
  <c r="K1321" i="2"/>
  <c r="J1321" i="2"/>
  <c r="I1321" i="2"/>
  <c r="H1321" i="2"/>
  <c r="G1321" i="2"/>
  <c r="F1321" i="2"/>
  <c r="D1321" i="2"/>
  <c r="C1321" i="2"/>
  <c r="B1321" i="2"/>
  <c r="A1321" i="2"/>
  <c r="M1320" i="2"/>
  <c r="L1320" i="2"/>
  <c r="K1320" i="2"/>
  <c r="J1320" i="2"/>
  <c r="I1320" i="2"/>
  <c r="H1320" i="2"/>
  <c r="G1320" i="2"/>
  <c r="F1320" i="2"/>
  <c r="D1320" i="2"/>
  <c r="C1320" i="2"/>
  <c r="B1320" i="2"/>
  <c r="A1320" i="2"/>
  <c r="M1319" i="2"/>
  <c r="L1319" i="2"/>
  <c r="K1319" i="2"/>
  <c r="J1319" i="2"/>
  <c r="I1319" i="2"/>
  <c r="H1319" i="2"/>
  <c r="G1319" i="2"/>
  <c r="F1319" i="2"/>
  <c r="D1319" i="2"/>
  <c r="C1319" i="2"/>
  <c r="B1319" i="2"/>
  <c r="A1319" i="2"/>
  <c r="M1318" i="2"/>
  <c r="L1318" i="2"/>
  <c r="K1318" i="2"/>
  <c r="J1318" i="2"/>
  <c r="I1318" i="2"/>
  <c r="H1318" i="2"/>
  <c r="G1318" i="2"/>
  <c r="F1318" i="2"/>
  <c r="D1318" i="2"/>
  <c r="C1318" i="2"/>
  <c r="B1318" i="2"/>
  <c r="A1318" i="2"/>
  <c r="M1317" i="2"/>
  <c r="L1317" i="2"/>
  <c r="K1317" i="2"/>
  <c r="J1317" i="2"/>
  <c r="I1317" i="2"/>
  <c r="H1317" i="2"/>
  <c r="F1317" i="2"/>
  <c r="D1317" i="2"/>
  <c r="C1317" i="2"/>
  <c r="B1317" i="2"/>
  <c r="A1317" i="2"/>
  <c r="M1316" i="2"/>
  <c r="L1316" i="2"/>
  <c r="K1316" i="2"/>
  <c r="J1316" i="2"/>
  <c r="I1316" i="2"/>
  <c r="H1316" i="2"/>
  <c r="G1316" i="2"/>
  <c r="F1316" i="2"/>
  <c r="D1316" i="2"/>
  <c r="C1316" i="2"/>
  <c r="B1316" i="2"/>
  <c r="A1316" i="2"/>
  <c r="M1315" i="2"/>
  <c r="L1315" i="2"/>
  <c r="K1315" i="2"/>
  <c r="J1315" i="2"/>
  <c r="I1315" i="2"/>
  <c r="H1315" i="2"/>
  <c r="G1315" i="2"/>
  <c r="F1315" i="2"/>
  <c r="D1315" i="2"/>
  <c r="C1315" i="2"/>
  <c r="B1315" i="2"/>
  <c r="A1315" i="2"/>
  <c r="M1314" i="2"/>
  <c r="L1314" i="2"/>
  <c r="K1314" i="2"/>
  <c r="J1314" i="2"/>
  <c r="I1314" i="2"/>
  <c r="H1314" i="2"/>
  <c r="G1314" i="2"/>
  <c r="F1314" i="2"/>
  <c r="D1314" i="2"/>
  <c r="C1314" i="2"/>
  <c r="B1314" i="2"/>
  <c r="A1314" i="2"/>
  <c r="M1313" i="2"/>
  <c r="L1313" i="2"/>
  <c r="K1313" i="2"/>
  <c r="J1313" i="2"/>
  <c r="I1313" i="2"/>
  <c r="H1313" i="2"/>
  <c r="G1313" i="2"/>
  <c r="F1313" i="2"/>
  <c r="D1313" i="2"/>
  <c r="C1313" i="2"/>
  <c r="B1313" i="2"/>
  <c r="A1313" i="2"/>
  <c r="M1312" i="2"/>
  <c r="L1312" i="2"/>
  <c r="K1312" i="2"/>
  <c r="J1312" i="2"/>
  <c r="I1312" i="2"/>
  <c r="H1312" i="2"/>
  <c r="G1312" i="2"/>
  <c r="F1312" i="2"/>
  <c r="D1312" i="2"/>
  <c r="C1312" i="2"/>
  <c r="B1312" i="2"/>
  <c r="A1312" i="2"/>
  <c r="M1311" i="2"/>
  <c r="L1311" i="2"/>
  <c r="K1311" i="2"/>
  <c r="J1311" i="2"/>
  <c r="I1311" i="2"/>
  <c r="H1311" i="2"/>
  <c r="G1311" i="2"/>
  <c r="F1311" i="2"/>
  <c r="D1311" i="2"/>
  <c r="C1311" i="2"/>
  <c r="B1311" i="2"/>
  <c r="A1311" i="2"/>
  <c r="M1310" i="2"/>
  <c r="L1310" i="2"/>
  <c r="K1310" i="2"/>
  <c r="J1310" i="2"/>
  <c r="I1310" i="2"/>
  <c r="H1310" i="2"/>
  <c r="G1310" i="2"/>
  <c r="F1310" i="2"/>
  <c r="D1310" i="2"/>
  <c r="C1310" i="2"/>
  <c r="B1310" i="2"/>
  <c r="A1310" i="2"/>
  <c r="M1309" i="2"/>
  <c r="L1309" i="2"/>
  <c r="K1309" i="2"/>
  <c r="J1309" i="2"/>
  <c r="I1309" i="2"/>
  <c r="H1309" i="2"/>
  <c r="F1309" i="2"/>
  <c r="D1309" i="2"/>
  <c r="C1309" i="2"/>
  <c r="B1309" i="2"/>
  <c r="A1309" i="2"/>
  <c r="M1308" i="2"/>
  <c r="L1308" i="2"/>
  <c r="K1308" i="2"/>
  <c r="J1308" i="2"/>
  <c r="I1308" i="2"/>
  <c r="H1308" i="2"/>
  <c r="F1308" i="2"/>
  <c r="D1308" i="2"/>
  <c r="C1308" i="2"/>
  <c r="B1308" i="2"/>
  <c r="A1308" i="2"/>
  <c r="M1307" i="2"/>
  <c r="L1307" i="2"/>
  <c r="K1307" i="2"/>
  <c r="J1307" i="2"/>
  <c r="I1307" i="2"/>
  <c r="H1307" i="2"/>
  <c r="G1307" i="2"/>
  <c r="F1307" i="2"/>
  <c r="D1307" i="2"/>
  <c r="C1307" i="2"/>
  <c r="B1307" i="2"/>
  <c r="A1307" i="2"/>
  <c r="M1306" i="2"/>
  <c r="L1306" i="2"/>
  <c r="K1306" i="2"/>
  <c r="J1306" i="2"/>
  <c r="I1306" i="2"/>
  <c r="H1306" i="2"/>
  <c r="G1306" i="2"/>
  <c r="F1306" i="2"/>
  <c r="D1306" i="2"/>
  <c r="C1306" i="2"/>
  <c r="B1306" i="2"/>
  <c r="A1306" i="2"/>
  <c r="M1305" i="2"/>
  <c r="L1305" i="2"/>
  <c r="K1305" i="2"/>
  <c r="J1305" i="2"/>
  <c r="I1305" i="2"/>
  <c r="H1305" i="2"/>
  <c r="G1305" i="2"/>
  <c r="F1305" i="2"/>
  <c r="D1305" i="2"/>
  <c r="C1305" i="2"/>
  <c r="B1305" i="2"/>
  <c r="A1305" i="2"/>
  <c r="M1304" i="2"/>
  <c r="L1304" i="2"/>
  <c r="K1304" i="2"/>
  <c r="J1304" i="2"/>
  <c r="I1304" i="2"/>
  <c r="H1304" i="2"/>
  <c r="G1304" i="2"/>
  <c r="F1304" i="2"/>
  <c r="D1304" i="2"/>
  <c r="C1304" i="2"/>
  <c r="B1304" i="2"/>
  <c r="A1304" i="2"/>
  <c r="M1303" i="2"/>
  <c r="L1303" i="2"/>
  <c r="K1303" i="2"/>
  <c r="J1303" i="2"/>
  <c r="I1303" i="2"/>
  <c r="H1303" i="2"/>
  <c r="G1303" i="2"/>
  <c r="F1303" i="2"/>
  <c r="D1303" i="2"/>
  <c r="C1303" i="2"/>
  <c r="B1303" i="2"/>
  <c r="A1303" i="2"/>
  <c r="M1302" i="2"/>
  <c r="L1302" i="2"/>
  <c r="K1302" i="2"/>
  <c r="J1302" i="2"/>
  <c r="I1302" i="2"/>
  <c r="H1302" i="2"/>
  <c r="G1302" i="2"/>
  <c r="F1302" i="2"/>
  <c r="D1302" i="2"/>
  <c r="C1302" i="2"/>
  <c r="B1302" i="2"/>
  <c r="A1302" i="2"/>
  <c r="M1301" i="2"/>
  <c r="L1301" i="2"/>
  <c r="K1301" i="2"/>
  <c r="J1301" i="2"/>
  <c r="I1301" i="2"/>
  <c r="H1301" i="2"/>
  <c r="G1301" i="2"/>
  <c r="F1301" i="2"/>
  <c r="E1301" i="2"/>
  <c r="D1301" i="2"/>
  <c r="C1301" i="2"/>
  <c r="B1301" i="2"/>
  <c r="A1301" i="2"/>
  <c r="M1300" i="2"/>
  <c r="L1300" i="2"/>
  <c r="K1300" i="2"/>
  <c r="J1300" i="2"/>
  <c r="I1300" i="2"/>
  <c r="H1300" i="2"/>
  <c r="G1300" i="2"/>
  <c r="F1300" i="2"/>
  <c r="E1300" i="2"/>
  <c r="D1300" i="2"/>
  <c r="C1300" i="2"/>
  <c r="B1300" i="2"/>
  <c r="A1300" i="2"/>
  <c r="M1299" i="2"/>
  <c r="L1299" i="2"/>
  <c r="K1299" i="2"/>
  <c r="J1299" i="2"/>
  <c r="I1299" i="2"/>
  <c r="H1299" i="2"/>
  <c r="G1299" i="2"/>
  <c r="F1299" i="2"/>
  <c r="E1299" i="2"/>
  <c r="D1299" i="2"/>
  <c r="C1299" i="2"/>
  <c r="B1299" i="2"/>
  <c r="A1299" i="2"/>
  <c r="N1298" i="2"/>
  <c r="M1298" i="2"/>
  <c r="L1298" i="2"/>
  <c r="K1298" i="2"/>
  <c r="J1298" i="2"/>
  <c r="I1298" i="2"/>
  <c r="H1298" i="2"/>
  <c r="G1298" i="2"/>
  <c r="F1298" i="2"/>
  <c r="E1298" i="2"/>
  <c r="D1298" i="2"/>
  <c r="C1298" i="2"/>
  <c r="B1298" i="2"/>
  <c r="A1298" i="2"/>
  <c r="N1297" i="2"/>
  <c r="M1297" i="2"/>
  <c r="L1297" i="2"/>
  <c r="K1297" i="2"/>
  <c r="J1297" i="2"/>
  <c r="I1297" i="2"/>
  <c r="H1297" i="2"/>
  <c r="G1297" i="2"/>
  <c r="F1297" i="2"/>
  <c r="E1297" i="2"/>
  <c r="D1297" i="2"/>
  <c r="C1297" i="2"/>
  <c r="B1297" i="2"/>
  <c r="A1297" i="2"/>
  <c r="M1296" i="2"/>
  <c r="L1296" i="2"/>
  <c r="K1296" i="2"/>
  <c r="J1296" i="2"/>
  <c r="I1296" i="2"/>
  <c r="H1296" i="2"/>
  <c r="G1296" i="2"/>
  <c r="F1296" i="2"/>
  <c r="E1296" i="2"/>
  <c r="D1296" i="2"/>
  <c r="C1296" i="2"/>
  <c r="B1296" i="2"/>
  <c r="A1296" i="2"/>
  <c r="M1295" i="2"/>
  <c r="L1295" i="2"/>
  <c r="K1295" i="2"/>
  <c r="J1295" i="2"/>
  <c r="I1295" i="2"/>
  <c r="H1295" i="2"/>
  <c r="G1295" i="2"/>
  <c r="F1295" i="2"/>
  <c r="E1295" i="2"/>
  <c r="D1295" i="2"/>
  <c r="C1295" i="2"/>
  <c r="B1295" i="2"/>
  <c r="A1295" i="2"/>
  <c r="M1294" i="2"/>
  <c r="L1294" i="2"/>
  <c r="K1294" i="2"/>
  <c r="J1294" i="2"/>
  <c r="I1294" i="2"/>
  <c r="H1294" i="2"/>
  <c r="G1294" i="2"/>
  <c r="F1294" i="2"/>
  <c r="E1294" i="2"/>
  <c r="D1294" i="2"/>
  <c r="C1294" i="2"/>
  <c r="B1294" i="2"/>
  <c r="A1294" i="2"/>
  <c r="M1293" i="2"/>
  <c r="L1293" i="2"/>
  <c r="K1293" i="2"/>
  <c r="J1293" i="2"/>
  <c r="I1293" i="2"/>
  <c r="H1293" i="2"/>
  <c r="G1293" i="2"/>
  <c r="F1293" i="2"/>
  <c r="E1293" i="2"/>
  <c r="D1293" i="2"/>
  <c r="C1293" i="2"/>
  <c r="B1293" i="2"/>
  <c r="A1293" i="2"/>
  <c r="M1292" i="2"/>
  <c r="L1292" i="2"/>
  <c r="K1292" i="2"/>
  <c r="J1292" i="2"/>
  <c r="I1292" i="2"/>
  <c r="H1292" i="2"/>
  <c r="G1292" i="2"/>
  <c r="F1292" i="2"/>
  <c r="E1292" i="2"/>
  <c r="D1292" i="2"/>
  <c r="C1292" i="2"/>
  <c r="B1292" i="2"/>
  <c r="A1292" i="2"/>
  <c r="M1291" i="2"/>
  <c r="L1291" i="2"/>
  <c r="K1291" i="2"/>
  <c r="J1291" i="2"/>
  <c r="I1291" i="2"/>
  <c r="H1291" i="2"/>
  <c r="G1291" i="2"/>
  <c r="F1291" i="2"/>
  <c r="E1291" i="2"/>
  <c r="D1291" i="2"/>
  <c r="C1291" i="2"/>
  <c r="B1291" i="2"/>
  <c r="A1291" i="2"/>
  <c r="M1290" i="2"/>
  <c r="L1290" i="2"/>
  <c r="K1290" i="2"/>
  <c r="J1290" i="2"/>
  <c r="I1290" i="2"/>
  <c r="H1290" i="2"/>
  <c r="G1290" i="2"/>
  <c r="F1290" i="2"/>
  <c r="E1290" i="2"/>
  <c r="D1290" i="2"/>
  <c r="C1290" i="2"/>
  <c r="B1290" i="2"/>
  <c r="A1290" i="2"/>
  <c r="M1289" i="2"/>
  <c r="L1289" i="2"/>
  <c r="K1289" i="2"/>
  <c r="J1289" i="2"/>
  <c r="I1289" i="2"/>
  <c r="H1289" i="2"/>
  <c r="G1289" i="2"/>
  <c r="F1289" i="2"/>
  <c r="E1289" i="2"/>
  <c r="D1289" i="2"/>
  <c r="C1289" i="2"/>
  <c r="B1289" i="2"/>
  <c r="A1289" i="2"/>
  <c r="M1288" i="2"/>
  <c r="L1288" i="2"/>
  <c r="K1288" i="2"/>
  <c r="J1288" i="2"/>
  <c r="I1288" i="2"/>
  <c r="H1288" i="2"/>
  <c r="G1288" i="2"/>
  <c r="F1288" i="2"/>
  <c r="E1288" i="2"/>
  <c r="D1288" i="2"/>
  <c r="C1288" i="2"/>
  <c r="B1288" i="2"/>
  <c r="A1288" i="2"/>
  <c r="M1287" i="2"/>
  <c r="L1287" i="2"/>
  <c r="K1287" i="2"/>
  <c r="J1287" i="2"/>
  <c r="I1287" i="2"/>
  <c r="H1287" i="2"/>
  <c r="G1287" i="2"/>
  <c r="F1287" i="2"/>
  <c r="E1287" i="2"/>
  <c r="D1287" i="2"/>
  <c r="C1287" i="2"/>
  <c r="B1287" i="2"/>
  <c r="A1287" i="2"/>
  <c r="M1286" i="2"/>
  <c r="L1286" i="2"/>
  <c r="K1286" i="2"/>
  <c r="J1286" i="2"/>
  <c r="I1286" i="2"/>
  <c r="H1286" i="2"/>
  <c r="G1286" i="2"/>
  <c r="F1286" i="2"/>
  <c r="E1286" i="2"/>
  <c r="D1286" i="2"/>
  <c r="C1286" i="2"/>
  <c r="B1286" i="2"/>
  <c r="A1286" i="2"/>
  <c r="M1285" i="2"/>
  <c r="L1285" i="2"/>
  <c r="K1285" i="2"/>
  <c r="J1285" i="2"/>
  <c r="I1285" i="2"/>
  <c r="H1285" i="2"/>
  <c r="G1285" i="2"/>
  <c r="F1285" i="2"/>
  <c r="E1285" i="2"/>
  <c r="D1285" i="2"/>
  <c r="C1285" i="2"/>
  <c r="B1285" i="2"/>
  <c r="A1285" i="2"/>
  <c r="M1284" i="2"/>
  <c r="L1284" i="2"/>
  <c r="K1284" i="2"/>
  <c r="J1284" i="2"/>
  <c r="I1284" i="2"/>
  <c r="H1284" i="2"/>
  <c r="G1284" i="2"/>
  <c r="F1284" i="2"/>
  <c r="E1284" i="2"/>
  <c r="D1284" i="2"/>
  <c r="C1284" i="2"/>
  <c r="B1284" i="2"/>
  <c r="A1284" i="2"/>
  <c r="M1283" i="2"/>
  <c r="L1283" i="2"/>
  <c r="K1283" i="2"/>
  <c r="J1283" i="2"/>
  <c r="I1283" i="2"/>
  <c r="H1283" i="2"/>
  <c r="G1283" i="2"/>
  <c r="F1283" i="2"/>
  <c r="E1283" i="2"/>
  <c r="D1283" i="2"/>
  <c r="C1283" i="2"/>
  <c r="B1283" i="2"/>
  <c r="A1283" i="2"/>
  <c r="M1282" i="2"/>
  <c r="L1282" i="2"/>
  <c r="K1282" i="2"/>
  <c r="J1282" i="2"/>
  <c r="I1282" i="2"/>
  <c r="H1282" i="2"/>
  <c r="G1282" i="2"/>
  <c r="F1282" i="2"/>
  <c r="E1282" i="2"/>
  <c r="D1282" i="2"/>
  <c r="C1282" i="2"/>
  <c r="B1282" i="2"/>
  <c r="A1282" i="2"/>
  <c r="M1281" i="2"/>
  <c r="L1281" i="2"/>
  <c r="K1281" i="2"/>
  <c r="J1281" i="2"/>
  <c r="I1281" i="2"/>
  <c r="H1281" i="2"/>
  <c r="G1281" i="2"/>
  <c r="F1281" i="2"/>
  <c r="E1281" i="2"/>
  <c r="D1281" i="2"/>
  <c r="C1281" i="2"/>
  <c r="B1281" i="2"/>
  <c r="A1281" i="2"/>
  <c r="M1280" i="2"/>
  <c r="L1280" i="2"/>
  <c r="K1280" i="2"/>
  <c r="J1280" i="2"/>
  <c r="I1280" i="2"/>
  <c r="H1280" i="2"/>
  <c r="G1280" i="2"/>
  <c r="F1280" i="2"/>
  <c r="E1280" i="2"/>
  <c r="D1280" i="2"/>
  <c r="C1280" i="2"/>
  <c r="B1280" i="2"/>
  <c r="A1280" i="2"/>
  <c r="M1279" i="2"/>
  <c r="L1279" i="2"/>
  <c r="K1279" i="2"/>
  <c r="J1279" i="2"/>
  <c r="I1279" i="2"/>
  <c r="H1279" i="2"/>
  <c r="G1279" i="2"/>
  <c r="F1279" i="2"/>
  <c r="E1279" i="2"/>
  <c r="D1279" i="2"/>
  <c r="C1279" i="2"/>
  <c r="B1279" i="2"/>
  <c r="A1279" i="2"/>
  <c r="M1278" i="2"/>
  <c r="L1278" i="2"/>
  <c r="K1278" i="2"/>
  <c r="J1278" i="2"/>
  <c r="I1278" i="2"/>
  <c r="H1278" i="2"/>
  <c r="G1278" i="2"/>
  <c r="F1278" i="2"/>
  <c r="E1278" i="2"/>
  <c r="D1278" i="2"/>
  <c r="C1278" i="2"/>
  <c r="B1278" i="2"/>
  <c r="A1278" i="2"/>
  <c r="M1277" i="2"/>
  <c r="L1277" i="2"/>
  <c r="K1277" i="2"/>
  <c r="J1277" i="2"/>
  <c r="I1277" i="2"/>
  <c r="H1277" i="2"/>
  <c r="G1277" i="2"/>
  <c r="F1277" i="2"/>
  <c r="E1277" i="2"/>
  <c r="D1277" i="2"/>
  <c r="C1277" i="2"/>
  <c r="B1277" i="2"/>
  <c r="A1277" i="2"/>
  <c r="M1276" i="2"/>
  <c r="L1276" i="2"/>
  <c r="K1276" i="2"/>
  <c r="J1276" i="2"/>
  <c r="I1276" i="2"/>
  <c r="H1276" i="2"/>
  <c r="G1276" i="2"/>
  <c r="F1276" i="2"/>
  <c r="E1276" i="2"/>
  <c r="D1276" i="2"/>
  <c r="C1276" i="2"/>
  <c r="B1276" i="2"/>
  <c r="A1276" i="2"/>
  <c r="M1275" i="2"/>
  <c r="L1275" i="2"/>
  <c r="K1275" i="2"/>
  <c r="J1275" i="2"/>
  <c r="I1275" i="2"/>
  <c r="H1275" i="2"/>
  <c r="G1275" i="2"/>
  <c r="F1275" i="2"/>
  <c r="E1275" i="2"/>
  <c r="D1275" i="2"/>
  <c r="C1275" i="2"/>
  <c r="B1275" i="2"/>
  <c r="A1275" i="2"/>
  <c r="M1274" i="2"/>
  <c r="L1274" i="2"/>
  <c r="K1274" i="2"/>
  <c r="J1274" i="2"/>
  <c r="I1274" i="2"/>
  <c r="H1274" i="2"/>
  <c r="G1274" i="2"/>
  <c r="F1274" i="2"/>
  <c r="E1274" i="2"/>
  <c r="D1274" i="2"/>
  <c r="C1274" i="2"/>
  <c r="B1274" i="2"/>
  <c r="A1274" i="2"/>
  <c r="M1273" i="2"/>
  <c r="L1273" i="2"/>
  <c r="K1273" i="2"/>
  <c r="J1273" i="2"/>
  <c r="I1273" i="2"/>
  <c r="H1273" i="2"/>
  <c r="G1273" i="2"/>
  <c r="F1273" i="2"/>
  <c r="E1273" i="2"/>
  <c r="D1273" i="2"/>
  <c r="C1273" i="2"/>
  <c r="B1273" i="2"/>
  <c r="A1273" i="2"/>
  <c r="M1272" i="2"/>
  <c r="L1272" i="2"/>
  <c r="K1272" i="2"/>
  <c r="J1272" i="2"/>
  <c r="I1272" i="2"/>
  <c r="H1272" i="2"/>
  <c r="G1272" i="2"/>
  <c r="F1272" i="2"/>
  <c r="E1272" i="2"/>
  <c r="D1272" i="2"/>
  <c r="C1272" i="2"/>
  <c r="B1272" i="2"/>
  <c r="A1272" i="2"/>
  <c r="M1271" i="2"/>
  <c r="L1271" i="2"/>
  <c r="K1271" i="2"/>
  <c r="J1271" i="2"/>
  <c r="I1271" i="2"/>
  <c r="H1271" i="2"/>
  <c r="G1271" i="2"/>
  <c r="F1271" i="2"/>
  <c r="E1271" i="2"/>
  <c r="D1271" i="2"/>
  <c r="C1271" i="2"/>
  <c r="B1271" i="2"/>
  <c r="A1271" i="2"/>
  <c r="M1270" i="2"/>
  <c r="L1270" i="2"/>
  <c r="K1270" i="2"/>
  <c r="J1270" i="2"/>
  <c r="I1270" i="2"/>
  <c r="H1270" i="2"/>
  <c r="G1270" i="2"/>
  <c r="F1270" i="2"/>
  <c r="E1270" i="2"/>
  <c r="D1270" i="2"/>
  <c r="C1270" i="2"/>
  <c r="B1270" i="2"/>
  <c r="A1270" i="2"/>
  <c r="N1269" i="2"/>
  <c r="M1269" i="2"/>
  <c r="L1269" i="2"/>
  <c r="K1269" i="2"/>
  <c r="J1269" i="2"/>
  <c r="I1269" i="2"/>
  <c r="H1269" i="2"/>
  <c r="G1269" i="2"/>
  <c r="F1269" i="2"/>
  <c r="E1269" i="2"/>
  <c r="D1269" i="2"/>
  <c r="C1269" i="2"/>
  <c r="B1269" i="2"/>
  <c r="A1269" i="2"/>
  <c r="M1268" i="2"/>
  <c r="L1268" i="2"/>
  <c r="K1268" i="2"/>
  <c r="J1268" i="2"/>
  <c r="I1268" i="2"/>
  <c r="H1268" i="2"/>
  <c r="G1268" i="2"/>
  <c r="F1268" i="2"/>
  <c r="E1268" i="2"/>
  <c r="D1268" i="2"/>
  <c r="C1268" i="2"/>
  <c r="B1268" i="2"/>
  <c r="A1268" i="2"/>
  <c r="N1267" i="2"/>
  <c r="M1267" i="2"/>
  <c r="L1267" i="2"/>
  <c r="K1267" i="2"/>
  <c r="J1267" i="2"/>
  <c r="I1267" i="2"/>
  <c r="H1267" i="2"/>
  <c r="G1267" i="2"/>
  <c r="F1267" i="2"/>
  <c r="E1267" i="2"/>
  <c r="D1267" i="2"/>
  <c r="C1267" i="2"/>
  <c r="B1267" i="2"/>
  <c r="A1267" i="2"/>
  <c r="M1266" i="2"/>
  <c r="L1266" i="2"/>
  <c r="K1266" i="2"/>
  <c r="J1266" i="2"/>
  <c r="I1266" i="2"/>
  <c r="H1266" i="2"/>
  <c r="G1266" i="2"/>
  <c r="F1266" i="2"/>
  <c r="E1266" i="2"/>
  <c r="D1266" i="2"/>
  <c r="C1266" i="2"/>
  <c r="B1266" i="2"/>
  <c r="A1266" i="2"/>
  <c r="N1265" i="2"/>
  <c r="M1265" i="2"/>
  <c r="L1265" i="2"/>
  <c r="K1265" i="2"/>
  <c r="J1265" i="2"/>
  <c r="I1265" i="2"/>
  <c r="H1265" i="2"/>
  <c r="G1265" i="2"/>
  <c r="F1265" i="2"/>
  <c r="E1265" i="2"/>
  <c r="D1265" i="2"/>
  <c r="C1265" i="2"/>
  <c r="B1265" i="2"/>
  <c r="A1265" i="2"/>
  <c r="N1264" i="2"/>
  <c r="M1264" i="2"/>
  <c r="L1264" i="2"/>
  <c r="K1264" i="2"/>
  <c r="J1264" i="2"/>
  <c r="I1264" i="2"/>
  <c r="H1264" i="2"/>
  <c r="G1264" i="2"/>
  <c r="F1264" i="2"/>
  <c r="E1264" i="2"/>
  <c r="D1264" i="2"/>
  <c r="C1264" i="2"/>
  <c r="B1264" i="2"/>
  <c r="A1264" i="2"/>
  <c r="N1263" i="2"/>
  <c r="M1263" i="2"/>
  <c r="L1263" i="2"/>
  <c r="K1263" i="2"/>
  <c r="J1263" i="2"/>
  <c r="I1263" i="2"/>
  <c r="H1263" i="2"/>
  <c r="G1263" i="2"/>
  <c r="F1263" i="2"/>
  <c r="E1263" i="2"/>
  <c r="D1263" i="2"/>
  <c r="C1263" i="2"/>
  <c r="B1263" i="2"/>
  <c r="A1263" i="2"/>
  <c r="M1262" i="2"/>
  <c r="L1262" i="2"/>
  <c r="K1262" i="2"/>
  <c r="J1262" i="2"/>
  <c r="I1262" i="2"/>
  <c r="H1262" i="2"/>
  <c r="G1262" i="2"/>
  <c r="F1262" i="2"/>
  <c r="E1262" i="2"/>
  <c r="D1262" i="2"/>
  <c r="C1262" i="2"/>
  <c r="B1262" i="2"/>
  <c r="A1262" i="2"/>
  <c r="M1261" i="2"/>
  <c r="L1261" i="2"/>
  <c r="K1261" i="2"/>
  <c r="J1261" i="2"/>
  <c r="I1261" i="2"/>
  <c r="H1261" i="2"/>
  <c r="G1261" i="2"/>
  <c r="F1261" i="2"/>
  <c r="E1261" i="2"/>
  <c r="D1261" i="2"/>
  <c r="C1261" i="2"/>
  <c r="B1261" i="2"/>
  <c r="A1261" i="2"/>
  <c r="M1260" i="2"/>
  <c r="L1260" i="2"/>
  <c r="K1260" i="2"/>
  <c r="J1260" i="2"/>
  <c r="I1260" i="2"/>
  <c r="H1260" i="2"/>
  <c r="G1260" i="2"/>
  <c r="F1260" i="2"/>
  <c r="E1260" i="2"/>
  <c r="D1260" i="2"/>
  <c r="C1260" i="2"/>
  <c r="B1260" i="2"/>
  <c r="A1260" i="2"/>
  <c r="M1259" i="2"/>
  <c r="L1259" i="2"/>
  <c r="K1259" i="2"/>
  <c r="J1259" i="2"/>
  <c r="I1259" i="2"/>
  <c r="H1259" i="2"/>
  <c r="G1259" i="2"/>
  <c r="F1259" i="2"/>
  <c r="E1259" i="2"/>
  <c r="D1259" i="2"/>
  <c r="C1259" i="2"/>
  <c r="B1259" i="2"/>
  <c r="A1259" i="2"/>
  <c r="M1258" i="2"/>
  <c r="L1258" i="2"/>
  <c r="K1258" i="2"/>
  <c r="J1258" i="2"/>
  <c r="I1258" i="2"/>
  <c r="H1258" i="2"/>
  <c r="G1258" i="2"/>
  <c r="F1258" i="2"/>
  <c r="E1258" i="2"/>
  <c r="D1258" i="2"/>
  <c r="C1258" i="2"/>
  <c r="B1258" i="2"/>
  <c r="A1258" i="2"/>
  <c r="M1257" i="2"/>
  <c r="L1257" i="2"/>
  <c r="K1257" i="2"/>
  <c r="J1257" i="2"/>
  <c r="I1257" i="2"/>
  <c r="H1257" i="2"/>
  <c r="G1257" i="2"/>
  <c r="F1257" i="2"/>
  <c r="E1257" i="2"/>
  <c r="D1257" i="2"/>
  <c r="C1257" i="2"/>
  <c r="B1257" i="2"/>
  <c r="A1257" i="2"/>
  <c r="M1256" i="2"/>
  <c r="L1256" i="2"/>
  <c r="K1256" i="2"/>
  <c r="J1256" i="2"/>
  <c r="I1256" i="2"/>
  <c r="H1256" i="2"/>
  <c r="G1256" i="2"/>
  <c r="F1256" i="2"/>
  <c r="E1256" i="2"/>
  <c r="D1256" i="2"/>
  <c r="C1256" i="2"/>
  <c r="B1256" i="2"/>
  <c r="A1256" i="2"/>
  <c r="M1255" i="2"/>
  <c r="L1255" i="2"/>
  <c r="K1255" i="2"/>
  <c r="J1255" i="2"/>
  <c r="I1255" i="2"/>
  <c r="H1255" i="2"/>
  <c r="G1255" i="2"/>
  <c r="F1255" i="2"/>
  <c r="E1255" i="2"/>
  <c r="D1255" i="2"/>
  <c r="C1255" i="2"/>
  <c r="B1255" i="2"/>
  <c r="A1255" i="2"/>
  <c r="M1254" i="2"/>
  <c r="L1254" i="2"/>
  <c r="K1254" i="2"/>
  <c r="J1254" i="2"/>
  <c r="I1254" i="2"/>
  <c r="H1254" i="2"/>
  <c r="G1254" i="2"/>
  <c r="F1254" i="2"/>
  <c r="E1254" i="2"/>
  <c r="D1254" i="2"/>
  <c r="C1254" i="2"/>
  <c r="B1254" i="2"/>
  <c r="A1254" i="2"/>
  <c r="M1253" i="2"/>
  <c r="L1253" i="2"/>
  <c r="K1253" i="2"/>
  <c r="J1253" i="2"/>
  <c r="I1253" i="2"/>
  <c r="H1253" i="2"/>
  <c r="G1253" i="2"/>
  <c r="F1253" i="2"/>
  <c r="E1253" i="2"/>
  <c r="D1253" i="2"/>
  <c r="C1253" i="2"/>
  <c r="B1253" i="2"/>
  <c r="A1253" i="2"/>
  <c r="M1252" i="2"/>
  <c r="L1252" i="2"/>
  <c r="K1252" i="2"/>
  <c r="J1252" i="2"/>
  <c r="I1252" i="2"/>
  <c r="H1252" i="2"/>
  <c r="G1252" i="2"/>
  <c r="F1252" i="2"/>
  <c r="E1252" i="2"/>
  <c r="D1252" i="2"/>
  <c r="C1252" i="2"/>
  <c r="B1252" i="2"/>
  <c r="A1252" i="2"/>
  <c r="M1251" i="2"/>
  <c r="L1251" i="2"/>
  <c r="K1251" i="2"/>
  <c r="J1251" i="2"/>
  <c r="I1251" i="2"/>
  <c r="H1251" i="2"/>
  <c r="G1251" i="2"/>
  <c r="F1251" i="2"/>
  <c r="E1251" i="2"/>
  <c r="D1251" i="2"/>
  <c r="C1251" i="2"/>
  <c r="B1251" i="2"/>
  <c r="A1251" i="2"/>
  <c r="M1250" i="2"/>
  <c r="L1250" i="2"/>
  <c r="K1250" i="2"/>
  <c r="J1250" i="2"/>
  <c r="I1250" i="2"/>
  <c r="H1250" i="2"/>
  <c r="G1250" i="2"/>
  <c r="F1250" i="2"/>
  <c r="E1250" i="2"/>
  <c r="D1250" i="2"/>
  <c r="C1250" i="2"/>
  <c r="B1250" i="2"/>
  <c r="A1250" i="2"/>
  <c r="M1249" i="2"/>
  <c r="L1249" i="2"/>
  <c r="K1249" i="2"/>
  <c r="J1249" i="2"/>
  <c r="I1249" i="2"/>
  <c r="H1249" i="2"/>
  <c r="G1249" i="2"/>
  <c r="F1249" i="2"/>
  <c r="E1249" i="2"/>
  <c r="D1249" i="2"/>
  <c r="C1249" i="2"/>
  <c r="B1249" i="2"/>
  <c r="A1249" i="2"/>
  <c r="M1248" i="2"/>
  <c r="L1248" i="2"/>
  <c r="K1248" i="2"/>
  <c r="J1248" i="2"/>
  <c r="I1248" i="2"/>
  <c r="H1248" i="2"/>
  <c r="G1248" i="2"/>
  <c r="F1248" i="2"/>
  <c r="E1248" i="2"/>
  <c r="D1248" i="2"/>
  <c r="C1248" i="2"/>
  <c r="B1248" i="2"/>
  <c r="A1248" i="2"/>
  <c r="M1247" i="2"/>
  <c r="L1247" i="2"/>
  <c r="K1247" i="2"/>
  <c r="J1247" i="2"/>
  <c r="I1247" i="2"/>
  <c r="H1247" i="2"/>
  <c r="G1247" i="2"/>
  <c r="F1247" i="2"/>
  <c r="E1247" i="2"/>
  <c r="D1247" i="2"/>
  <c r="C1247" i="2"/>
  <c r="B1247" i="2"/>
  <c r="A1247" i="2"/>
  <c r="M1246" i="2"/>
  <c r="L1246" i="2"/>
  <c r="K1246" i="2"/>
  <c r="J1246" i="2"/>
  <c r="I1246" i="2"/>
  <c r="H1246" i="2"/>
  <c r="G1246" i="2"/>
  <c r="F1246" i="2"/>
  <c r="E1246" i="2"/>
  <c r="D1246" i="2"/>
  <c r="C1246" i="2"/>
  <c r="B1246" i="2"/>
  <c r="A1246" i="2"/>
  <c r="M1245" i="2"/>
  <c r="L1245" i="2"/>
  <c r="K1245" i="2"/>
  <c r="J1245" i="2"/>
  <c r="I1245" i="2"/>
  <c r="H1245" i="2"/>
  <c r="G1245" i="2"/>
  <c r="F1245" i="2"/>
  <c r="E1245" i="2"/>
  <c r="D1245" i="2"/>
  <c r="C1245" i="2"/>
  <c r="B1245" i="2"/>
  <c r="A1245" i="2"/>
  <c r="M1244" i="2"/>
  <c r="L1244" i="2"/>
  <c r="K1244" i="2"/>
  <c r="J1244" i="2"/>
  <c r="I1244" i="2"/>
  <c r="H1244" i="2"/>
  <c r="G1244" i="2"/>
  <c r="F1244" i="2"/>
  <c r="E1244" i="2"/>
  <c r="D1244" i="2"/>
  <c r="C1244" i="2"/>
  <c r="B1244" i="2"/>
  <c r="A1244" i="2"/>
  <c r="M1243" i="2"/>
  <c r="L1243" i="2"/>
  <c r="K1243" i="2"/>
  <c r="J1243" i="2"/>
  <c r="I1243" i="2"/>
  <c r="H1243" i="2"/>
  <c r="G1243" i="2"/>
  <c r="F1243" i="2"/>
  <c r="E1243" i="2"/>
  <c r="D1243" i="2"/>
  <c r="C1243" i="2"/>
  <c r="B1243" i="2"/>
  <c r="A1243" i="2"/>
  <c r="M1242" i="2"/>
  <c r="L1242" i="2"/>
  <c r="K1242" i="2"/>
  <c r="J1242" i="2"/>
  <c r="I1242" i="2"/>
  <c r="H1242" i="2"/>
  <c r="G1242" i="2"/>
  <c r="F1242" i="2"/>
  <c r="E1242" i="2"/>
  <c r="D1242" i="2"/>
  <c r="C1242" i="2"/>
  <c r="B1242" i="2"/>
  <c r="A1242" i="2"/>
  <c r="M1241" i="2"/>
  <c r="L1241" i="2"/>
  <c r="K1241" i="2"/>
  <c r="J1241" i="2"/>
  <c r="I1241" i="2"/>
  <c r="H1241" i="2"/>
  <c r="G1241" i="2"/>
  <c r="F1241" i="2"/>
  <c r="E1241" i="2"/>
  <c r="D1241" i="2"/>
  <c r="C1241" i="2"/>
  <c r="B1241" i="2"/>
  <c r="A1241" i="2"/>
  <c r="M1240" i="2"/>
  <c r="L1240" i="2"/>
  <c r="K1240" i="2"/>
  <c r="J1240" i="2"/>
  <c r="I1240" i="2"/>
  <c r="H1240" i="2"/>
  <c r="G1240" i="2"/>
  <c r="F1240" i="2"/>
  <c r="E1240" i="2"/>
  <c r="D1240" i="2"/>
  <c r="C1240" i="2"/>
  <c r="B1240" i="2"/>
  <c r="A1240" i="2"/>
  <c r="M1239" i="2"/>
  <c r="L1239" i="2"/>
  <c r="K1239" i="2"/>
  <c r="J1239" i="2"/>
  <c r="I1239" i="2"/>
  <c r="H1239" i="2"/>
  <c r="G1239" i="2"/>
  <c r="F1239" i="2"/>
  <c r="E1239" i="2"/>
  <c r="D1239" i="2"/>
  <c r="C1239" i="2"/>
  <c r="B1239" i="2"/>
  <c r="A1239" i="2"/>
  <c r="M1238" i="2"/>
  <c r="L1238" i="2"/>
  <c r="K1238" i="2"/>
  <c r="J1238" i="2"/>
  <c r="I1238" i="2"/>
  <c r="H1238" i="2"/>
  <c r="G1238" i="2"/>
  <c r="F1238" i="2"/>
  <c r="E1238" i="2"/>
  <c r="D1238" i="2"/>
  <c r="C1238" i="2"/>
  <c r="B1238" i="2"/>
  <c r="A1238" i="2"/>
  <c r="N1237" i="2"/>
  <c r="M1237" i="2"/>
  <c r="L1237" i="2"/>
  <c r="K1237" i="2"/>
  <c r="J1237" i="2"/>
  <c r="I1237" i="2"/>
  <c r="H1237" i="2"/>
  <c r="G1237" i="2"/>
  <c r="F1237" i="2"/>
  <c r="E1237" i="2"/>
  <c r="D1237" i="2"/>
  <c r="C1237" i="2"/>
  <c r="B1237" i="2"/>
  <c r="A1237" i="2"/>
  <c r="M1236" i="2"/>
  <c r="L1236" i="2"/>
  <c r="K1236" i="2"/>
  <c r="J1236" i="2"/>
  <c r="I1236" i="2"/>
  <c r="H1236" i="2"/>
  <c r="G1236" i="2"/>
  <c r="F1236" i="2"/>
  <c r="E1236" i="2"/>
  <c r="D1236" i="2"/>
  <c r="C1236" i="2"/>
  <c r="B1236" i="2"/>
  <c r="A1236" i="2"/>
  <c r="M1235" i="2"/>
  <c r="L1235" i="2"/>
  <c r="K1235" i="2"/>
  <c r="J1235" i="2"/>
  <c r="I1235" i="2"/>
  <c r="H1235" i="2"/>
  <c r="G1235" i="2"/>
  <c r="F1235" i="2"/>
  <c r="E1235" i="2"/>
  <c r="D1235" i="2"/>
  <c r="C1235" i="2"/>
  <c r="B1235" i="2"/>
  <c r="A1235" i="2"/>
  <c r="M1234" i="2"/>
  <c r="L1234" i="2"/>
  <c r="K1234" i="2"/>
  <c r="J1234" i="2"/>
  <c r="I1234" i="2"/>
  <c r="H1234" i="2"/>
  <c r="G1234" i="2"/>
  <c r="F1234" i="2"/>
  <c r="E1234" i="2"/>
  <c r="D1234" i="2"/>
  <c r="C1234" i="2"/>
  <c r="B1234" i="2"/>
  <c r="A1234" i="2"/>
  <c r="M1233" i="2"/>
  <c r="L1233" i="2"/>
  <c r="K1233" i="2"/>
  <c r="J1233" i="2"/>
  <c r="I1233" i="2"/>
  <c r="H1233" i="2"/>
  <c r="G1233" i="2"/>
  <c r="F1233" i="2"/>
  <c r="E1233" i="2"/>
  <c r="D1233" i="2"/>
  <c r="C1233" i="2"/>
  <c r="B1233" i="2"/>
  <c r="A1233" i="2"/>
  <c r="M1232" i="2"/>
  <c r="L1232" i="2"/>
  <c r="K1232" i="2"/>
  <c r="J1232" i="2"/>
  <c r="I1232" i="2"/>
  <c r="H1232" i="2"/>
  <c r="G1232" i="2"/>
  <c r="F1232" i="2"/>
  <c r="E1232" i="2"/>
  <c r="D1232" i="2"/>
  <c r="C1232" i="2"/>
  <c r="B1232" i="2"/>
  <c r="A1232" i="2"/>
  <c r="M1231" i="2"/>
  <c r="L1231" i="2"/>
  <c r="K1231" i="2"/>
  <c r="J1231" i="2"/>
  <c r="I1231" i="2"/>
  <c r="H1231" i="2"/>
  <c r="G1231" i="2"/>
  <c r="F1231" i="2"/>
  <c r="E1231" i="2"/>
  <c r="D1231" i="2"/>
  <c r="C1231" i="2"/>
  <c r="B1231" i="2"/>
  <c r="A1231" i="2"/>
  <c r="M1230" i="2"/>
  <c r="L1230" i="2"/>
  <c r="K1230" i="2"/>
  <c r="J1230" i="2"/>
  <c r="I1230" i="2"/>
  <c r="H1230" i="2"/>
  <c r="G1230" i="2"/>
  <c r="F1230" i="2"/>
  <c r="E1230" i="2"/>
  <c r="D1230" i="2"/>
  <c r="C1230" i="2"/>
  <c r="B1230" i="2"/>
  <c r="A1230" i="2"/>
  <c r="M1229" i="2"/>
  <c r="L1229" i="2"/>
  <c r="K1229" i="2"/>
  <c r="J1229" i="2"/>
  <c r="I1229" i="2"/>
  <c r="H1229" i="2"/>
  <c r="G1229" i="2"/>
  <c r="F1229" i="2"/>
  <c r="E1229" i="2"/>
  <c r="D1229" i="2"/>
  <c r="C1229" i="2"/>
  <c r="B1229" i="2"/>
  <c r="A1229" i="2"/>
  <c r="M1228" i="2"/>
  <c r="L1228" i="2"/>
  <c r="K1228" i="2"/>
  <c r="J1228" i="2"/>
  <c r="I1228" i="2"/>
  <c r="H1228" i="2"/>
  <c r="G1228" i="2"/>
  <c r="F1228" i="2"/>
  <c r="E1228" i="2"/>
  <c r="D1228" i="2"/>
  <c r="C1228" i="2"/>
  <c r="B1228" i="2"/>
  <c r="A1228" i="2"/>
  <c r="M1227" i="2"/>
  <c r="L1227" i="2"/>
  <c r="K1227" i="2"/>
  <c r="J1227" i="2"/>
  <c r="I1227" i="2"/>
  <c r="H1227" i="2"/>
  <c r="G1227" i="2"/>
  <c r="F1227" i="2"/>
  <c r="E1227" i="2"/>
  <c r="D1227" i="2"/>
  <c r="C1227" i="2"/>
  <c r="B1227" i="2"/>
  <c r="A1227" i="2"/>
  <c r="M1226" i="2"/>
  <c r="L1226" i="2"/>
  <c r="K1226" i="2"/>
  <c r="J1226" i="2"/>
  <c r="I1226" i="2"/>
  <c r="H1226" i="2"/>
  <c r="G1226" i="2"/>
  <c r="F1226" i="2"/>
  <c r="E1226" i="2"/>
  <c r="D1226" i="2"/>
  <c r="C1226" i="2"/>
  <c r="B1226" i="2"/>
  <c r="A1226" i="2"/>
  <c r="M1225" i="2"/>
  <c r="L1225" i="2"/>
  <c r="K1225" i="2"/>
  <c r="J1225" i="2"/>
  <c r="I1225" i="2"/>
  <c r="H1225" i="2"/>
  <c r="G1225" i="2"/>
  <c r="F1225" i="2"/>
  <c r="E1225" i="2"/>
  <c r="D1225" i="2"/>
  <c r="C1225" i="2"/>
  <c r="B1225" i="2"/>
  <c r="A1225" i="2"/>
  <c r="M1224" i="2"/>
  <c r="L1224" i="2"/>
  <c r="K1224" i="2"/>
  <c r="J1224" i="2"/>
  <c r="I1224" i="2"/>
  <c r="H1224" i="2"/>
  <c r="G1224" i="2"/>
  <c r="F1224" i="2"/>
  <c r="E1224" i="2"/>
  <c r="D1224" i="2"/>
  <c r="C1224" i="2"/>
  <c r="B1224" i="2"/>
  <c r="A1224" i="2"/>
  <c r="M1223" i="2"/>
  <c r="L1223" i="2"/>
  <c r="K1223" i="2"/>
  <c r="J1223" i="2"/>
  <c r="I1223" i="2"/>
  <c r="H1223" i="2"/>
  <c r="G1223" i="2"/>
  <c r="F1223" i="2"/>
  <c r="E1223" i="2"/>
  <c r="D1223" i="2"/>
  <c r="C1223" i="2"/>
  <c r="B1223" i="2"/>
  <c r="A1223" i="2"/>
  <c r="M1222" i="2"/>
  <c r="L1222" i="2"/>
  <c r="K1222" i="2"/>
  <c r="J1222" i="2"/>
  <c r="I1222" i="2"/>
  <c r="H1222" i="2"/>
  <c r="G1222" i="2"/>
  <c r="F1222" i="2"/>
  <c r="E1222" i="2"/>
  <c r="D1222" i="2"/>
  <c r="C1222" i="2"/>
  <c r="B1222" i="2"/>
  <c r="A1222" i="2"/>
  <c r="M1221" i="2"/>
  <c r="L1221" i="2"/>
  <c r="K1221" i="2"/>
  <c r="J1221" i="2"/>
  <c r="I1221" i="2"/>
  <c r="H1221" i="2"/>
  <c r="G1221" i="2"/>
  <c r="F1221" i="2"/>
  <c r="E1221" i="2"/>
  <c r="D1221" i="2"/>
  <c r="C1221" i="2"/>
  <c r="B1221" i="2"/>
  <c r="A1221" i="2"/>
  <c r="M1220" i="2"/>
  <c r="L1220" i="2"/>
  <c r="K1220" i="2"/>
  <c r="J1220" i="2"/>
  <c r="I1220" i="2"/>
  <c r="H1220" i="2"/>
  <c r="G1220" i="2"/>
  <c r="F1220" i="2"/>
  <c r="E1220" i="2"/>
  <c r="D1220" i="2"/>
  <c r="C1220" i="2"/>
  <c r="B1220" i="2"/>
  <c r="A1220" i="2"/>
  <c r="N1219" i="2"/>
  <c r="M1219" i="2"/>
  <c r="L1219" i="2"/>
  <c r="K1219" i="2"/>
  <c r="J1219" i="2"/>
  <c r="I1219" i="2"/>
  <c r="H1219" i="2"/>
  <c r="G1219" i="2"/>
  <c r="F1219" i="2"/>
  <c r="E1219" i="2"/>
  <c r="D1219" i="2"/>
  <c r="C1219" i="2"/>
  <c r="B1219" i="2"/>
  <c r="A1219" i="2"/>
  <c r="N1218" i="2"/>
  <c r="M1218" i="2"/>
  <c r="L1218" i="2"/>
  <c r="K1218" i="2"/>
  <c r="J1218" i="2"/>
  <c r="I1218" i="2"/>
  <c r="H1218" i="2"/>
  <c r="G1218" i="2"/>
  <c r="F1218" i="2"/>
  <c r="E1218" i="2"/>
  <c r="D1218" i="2"/>
  <c r="C1218" i="2"/>
  <c r="B1218" i="2"/>
  <c r="A1218" i="2"/>
  <c r="M1217" i="2"/>
  <c r="L1217" i="2"/>
  <c r="K1217" i="2"/>
  <c r="J1217" i="2"/>
  <c r="I1217" i="2"/>
  <c r="H1217" i="2"/>
  <c r="G1217" i="2"/>
  <c r="F1217" i="2"/>
  <c r="E1217" i="2"/>
  <c r="D1217" i="2"/>
  <c r="C1217" i="2"/>
  <c r="B1217" i="2"/>
  <c r="A1217" i="2"/>
  <c r="M1216" i="2"/>
  <c r="L1216" i="2"/>
  <c r="K1216" i="2"/>
  <c r="J1216" i="2"/>
  <c r="I1216" i="2"/>
  <c r="H1216" i="2"/>
  <c r="G1216" i="2"/>
  <c r="F1216" i="2"/>
  <c r="E1216" i="2"/>
  <c r="D1216" i="2"/>
  <c r="C1216" i="2"/>
  <c r="B1216" i="2"/>
  <c r="A1216" i="2"/>
  <c r="M1215" i="2"/>
  <c r="L1215" i="2"/>
  <c r="K1215" i="2"/>
  <c r="J1215" i="2"/>
  <c r="I1215" i="2"/>
  <c r="H1215" i="2"/>
  <c r="G1215" i="2"/>
  <c r="F1215" i="2"/>
  <c r="E1215" i="2"/>
  <c r="D1215" i="2"/>
  <c r="C1215" i="2"/>
  <c r="B1215" i="2"/>
  <c r="A1215" i="2"/>
  <c r="M1214" i="2"/>
  <c r="L1214" i="2"/>
  <c r="K1214" i="2"/>
  <c r="J1214" i="2"/>
  <c r="I1214" i="2"/>
  <c r="H1214" i="2"/>
  <c r="G1214" i="2"/>
  <c r="F1214" i="2"/>
  <c r="E1214" i="2"/>
  <c r="D1214" i="2"/>
  <c r="C1214" i="2"/>
  <c r="B1214" i="2"/>
  <c r="A1214" i="2"/>
  <c r="M1213" i="2"/>
  <c r="L1213" i="2"/>
  <c r="K1213" i="2"/>
  <c r="J1213" i="2"/>
  <c r="I1213" i="2"/>
  <c r="H1213" i="2"/>
  <c r="G1213" i="2"/>
  <c r="F1213" i="2"/>
  <c r="E1213" i="2"/>
  <c r="D1213" i="2"/>
  <c r="C1213" i="2"/>
  <c r="B1213" i="2"/>
  <c r="A1213" i="2"/>
  <c r="N1212" i="2"/>
  <c r="M1212" i="2"/>
  <c r="L1212" i="2"/>
  <c r="K1212" i="2"/>
  <c r="J1212" i="2"/>
  <c r="I1212" i="2"/>
  <c r="H1212" i="2"/>
  <c r="G1212" i="2"/>
  <c r="F1212" i="2"/>
  <c r="E1212" i="2"/>
  <c r="D1212" i="2"/>
  <c r="C1212" i="2"/>
  <c r="B1212" i="2"/>
  <c r="A1212" i="2"/>
  <c r="M1211" i="2"/>
  <c r="L1211" i="2"/>
  <c r="K1211" i="2"/>
  <c r="J1211" i="2"/>
  <c r="I1211" i="2"/>
  <c r="H1211" i="2"/>
  <c r="G1211" i="2"/>
  <c r="F1211" i="2"/>
  <c r="E1211" i="2"/>
  <c r="D1211" i="2"/>
  <c r="C1211" i="2"/>
  <c r="B1211" i="2"/>
  <c r="A1211" i="2"/>
  <c r="N1210" i="2"/>
  <c r="M1210" i="2"/>
  <c r="L1210" i="2"/>
  <c r="K1210" i="2"/>
  <c r="J1210" i="2"/>
  <c r="I1210" i="2"/>
  <c r="H1210" i="2"/>
  <c r="G1210" i="2"/>
  <c r="F1210" i="2"/>
  <c r="E1210" i="2"/>
  <c r="D1210" i="2"/>
  <c r="C1210" i="2"/>
  <c r="B1210" i="2"/>
  <c r="A1210" i="2"/>
  <c r="M1209" i="2"/>
  <c r="L1209" i="2"/>
  <c r="K1209" i="2"/>
  <c r="J1209" i="2"/>
  <c r="I1209" i="2"/>
  <c r="H1209" i="2"/>
  <c r="G1209" i="2"/>
  <c r="F1209" i="2"/>
  <c r="E1209" i="2"/>
  <c r="D1209" i="2"/>
  <c r="C1209" i="2"/>
  <c r="B1209" i="2"/>
  <c r="A1209" i="2"/>
  <c r="M1208" i="2"/>
  <c r="L1208" i="2"/>
  <c r="K1208" i="2"/>
  <c r="J1208" i="2"/>
  <c r="I1208" i="2"/>
  <c r="H1208" i="2"/>
  <c r="G1208" i="2"/>
  <c r="F1208" i="2"/>
  <c r="E1208" i="2"/>
  <c r="D1208" i="2"/>
  <c r="C1208" i="2"/>
  <c r="B1208" i="2"/>
  <c r="A1208" i="2"/>
  <c r="M1207" i="2"/>
  <c r="L1207" i="2"/>
  <c r="K1207" i="2"/>
  <c r="J1207" i="2"/>
  <c r="I1207" i="2"/>
  <c r="H1207" i="2"/>
  <c r="G1207" i="2"/>
  <c r="F1207" i="2"/>
  <c r="E1207" i="2"/>
  <c r="D1207" i="2"/>
  <c r="C1207" i="2"/>
  <c r="B1207" i="2"/>
  <c r="A1207" i="2"/>
  <c r="M1206" i="2"/>
  <c r="L1206" i="2"/>
  <c r="K1206" i="2"/>
  <c r="J1206" i="2"/>
  <c r="I1206" i="2"/>
  <c r="H1206" i="2"/>
  <c r="G1206" i="2"/>
  <c r="F1206" i="2"/>
  <c r="E1206" i="2"/>
  <c r="D1206" i="2"/>
  <c r="C1206" i="2"/>
  <c r="B1206" i="2"/>
  <c r="A1206" i="2"/>
  <c r="M1205" i="2"/>
  <c r="L1205" i="2"/>
  <c r="K1205" i="2"/>
  <c r="J1205" i="2"/>
  <c r="I1205" i="2"/>
  <c r="H1205" i="2"/>
  <c r="G1205" i="2"/>
  <c r="F1205" i="2"/>
  <c r="E1205" i="2"/>
  <c r="D1205" i="2"/>
  <c r="C1205" i="2"/>
  <c r="B1205" i="2"/>
  <c r="A1205" i="2"/>
  <c r="M1204" i="2"/>
  <c r="L1204" i="2"/>
  <c r="K1204" i="2"/>
  <c r="J1204" i="2"/>
  <c r="I1204" i="2"/>
  <c r="H1204" i="2"/>
  <c r="G1204" i="2"/>
  <c r="F1204" i="2"/>
  <c r="E1204" i="2"/>
  <c r="D1204" i="2"/>
  <c r="C1204" i="2"/>
  <c r="B1204" i="2"/>
  <c r="A1204" i="2"/>
  <c r="M1203" i="2"/>
  <c r="L1203" i="2"/>
  <c r="K1203" i="2"/>
  <c r="J1203" i="2"/>
  <c r="I1203" i="2"/>
  <c r="H1203" i="2"/>
  <c r="G1203" i="2"/>
  <c r="F1203" i="2"/>
  <c r="E1203" i="2"/>
  <c r="D1203" i="2"/>
  <c r="C1203" i="2"/>
  <c r="B1203" i="2"/>
  <c r="A1203" i="2"/>
  <c r="N1202" i="2"/>
  <c r="M1202" i="2"/>
  <c r="L1202" i="2"/>
  <c r="K1202" i="2"/>
  <c r="J1202" i="2"/>
  <c r="I1202" i="2"/>
  <c r="H1202" i="2"/>
  <c r="G1202" i="2"/>
  <c r="F1202" i="2"/>
  <c r="E1202" i="2"/>
  <c r="D1202" i="2"/>
  <c r="C1202" i="2"/>
  <c r="B1202" i="2"/>
  <c r="A1202" i="2"/>
  <c r="M1201" i="2"/>
  <c r="L1201" i="2"/>
  <c r="K1201" i="2"/>
  <c r="J1201" i="2"/>
  <c r="I1201" i="2"/>
  <c r="H1201" i="2"/>
  <c r="G1201" i="2"/>
  <c r="F1201" i="2"/>
  <c r="E1201" i="2"/>
  <c r="D1201" i="2"/>
  <c r="C1201" i="2"/>
  <c r="B1201" i="2"/>
  <c r="A1201" i="2"/>
  <c r="M1200" i="2"/>
  <c r="L1200" i="2"/>
  <c r="K1200" i="2"/>
  <c r="J1200" i="2"/>
  <c r="I1200" i="2"/>
  <c r="H1200" i="2"/>
  <c r="G1200" i="2"/>
  <c r="F1200" i="2"/>
  <c r="E1200" i="2"/>
  <c r="D1200" i="2"/>
  <c r="C1200" i="2"/>
  <c r="B1200" i="2"/>
  <c r="A1200" i="2"/>
  <c r="N1199" i="2"/>
  <c r="M1199" i="2"/>
  <c r="L1199" i="2"/>
  <c r="K1199" i="2"/>
  <c r="J1199" i="2"/>
  <c r="I1199" i="2"/>
  <c r="H1199" i="2"/>
  <c r="G1199" i="2"/>
  <c r="F1199" i="2"/>
  <c r="E1199" i="2"/>
  <c r="D1199" i="2"/>
  <c r="C1199" i="2"/>
  <c r="B1199" i="2"/>
  <c r="A1199" i="2"/>
  <c r="N1198" i="2"/>
  <c r="M1198" i="2"/>
  <c r="L1198" i="2"/>
  <c r="K1198" i="2"/>
  <c r="J1198" i="2"/>
  <c r="I1198" i="2"/>
  <c r="H1198" i="2"/>
  <c r="G1198" i="2"/>
  <c r="F1198" i="2"/>
  <c r="E1198" i="2"/>
  <c r="D1198" i="2"/>
  <c r="C1198" i="2"/>
  <c r="B1198" i="2"/>
  <c r="A1198" i="2"/>
  <c r="N1197" i="2"/>
  <c r="M1197" i="2"/>
  <c r="L1197" i="2"/>
  <c r="K1197" i="2"/>
  <c r="I1197" i="2"/>
  <c r="H1197" i="2"/>
  <c r="G1197" i="2"/>
  <c r="F1197" i="2"/>
  <c r="E1197" i="2"/>
  <c r="D1197" i="2"/>
  <c r="C1197" i="2"/>
  <c r="B1197" i="2"/>
  <c r="A1197" i="2"/>
  <c r="M1196" i="2"/>
  <c r="L1196" i="2"/>
  <c r="K1196" i="2"/>
  <c r="J1196" i="2"/>
  <c r="I1196" i="2"/>
  <c r="H1196" i="2"/>
  <c r="G1196" i="2"/>
  <c r="F1196" i="2"/>
  <c r="E1196" i="2"/>
  <c r="D1196" i="2"/>
  <c r="C1196" i="2"/>
  <c r="B1196" i="2"/>
  <c r="A1196" i="2"/>
  <c r="M1195" i="2"/>
  <c r="L1195" i="2"/>
  <c r="K1195" i="2"/>
  <c r="J1195" i="2"/>
  <c r="I1195" i="2"/>
  <c r="H1195" i="2"/>
  <c r="G1195" i="2"/>
  <c r="F1195" i="2"/>
  <c r="E1195" i="2"/>
  <c r="D1195" i="2"/>
  <c r="C1195" i="2"/>
  <c r="B1195" i="2"/>
  <c r="A1195" i="2"/>
  <c r="N1194" i="2"/>
  <c r="M1194" i="2"/>
  <c r="L1194" i="2"/>
  <c r="K1194" i="2"/>
  <c r="J1194" i="2"/>
  <c r="I1194" i="2"/>
  <c r="H1194" i="2"/>
  <c r="G1194" i="2"/>
  <c r="F1194" i="2"/>
  <c r="E1194" i="2"/>
  <c r="D1194" i="2"/>
  <c r="C1194" i="2"/>
  <c r="B1194" i="2"/>
  <c r="A1194" i="2"/>
  <c r="M1193" i="2"/>
  <c r="L1193" i="2"/>
  <c r="K1193" i="2"/>
  <c r="J1193" i="2"/>
  <c r="I1193" i="2"/>
  <c r="H1193" i="2"/>
  <c r="G1193" i="2"/>
  <c r="F1193" i="2"/>
  <c r="E1193" i="2"/>
  <c r="D1193" i="2"/>
  <c r="C1193" i="2"/>
  <c r="B1193" i="2"/>
  <c r="A1193" i="2"/>
  <c r="N1192" i="2"/>
  <c r="M1192" i="2"/>
  <c r="L1192" i="2"/>
  <c r="K1192" i="2"/>
  <c r="J1192" i="2"/>
  <c r="I1192" i="2"/>
  <c r="H1192" i="2"/>
  <c r="G1192" i="2"/>
  <c r="F1192" i="2"/>
  <c r="E1192" i="2"/>
  <c r="D1192" i="2"/>
  <c r="C1192" i="2"/>
  <c r="B1192" i="2"/>
  <c r="A1192" i="2"/>
  <c r="N1191" i="2"/>
  <c r="M1191" i="2"/>
  <c r="L1191" i="2"/>
  <c r="K1191" i="2"/>
  <c r="J1191" i="2"/>
  <c r="I1191" i="2"/>
  <c r="H1191" i="2"/>
  <c r="G1191" i="2"/>
  <c r="F1191" i="2"/>
  <c r="E1191" i="2"/>
  <c r="D1191" i="2"/>
  <c r="C1191" i="2"/>
  <c r="B1191" i="2"/>
  <c r="A1191" i="2"/>
  <c r="M1190" i="2"/>
  <c r="L1190" i="2"/>
  <c r="K1190" i="2"/>
  <c r="J1190" i="2"/>
  <c r="I1190" i="2"/>
  <c r="H1190" i="2"/>
  <c r="G1190" i="2"/>
  <c r="F1190" i="2"/>
  <c r="E1190" i="2"/>
  <c r="D1190" i="2"/>
  <c r="C1190" i="2"/>
  <c r="B1190" i="2"/>
  <c r="A1190" i="2"/>
  <c r="M1189" i="2"/>
  <c r="L1189" i="2"/>
  <c r="K1189" i="2"/>
  <c r="J1189" i="2"/>
  <c r="I1189" i="2"/>
  <c r="H1189" i="2"/>
  <c r="G1189" i="2"/>
  <c r="F1189" i="2"/>
  <c r="E1189" i="2"/>
  <c r="D1189" i="2"/>
  <c r="C1189" i="2"/>
  <c r="B1189" i="2"/>
  <c r="A1189" i="2"/>
  <c r="M1188" i="2"/>
  <c r="L1188" i="2"/>
  <c r="K1188" i="2"/>
  <c r="J1188" i="2"/>
  <c r="I1188" i="2"/>
  <c r="H1188" i="2"/>
  <c r="G1188" i="2"/>
  <c r="F1188" i="2"/>
  <c r="E1188" i="2"/>
  <c r="D1188" i="2"/>
  <c r="C1188" i="2"/>
  <c r="B1188" i="2"/>
  <c r="A1188" i="2"/>
  <c r="M1187" i="2"/>
  <c r="L1187" i="2"/>
  <c r="K1187" i="2"/>
  <c r="J1187" i="2"/>
  <c r="I1187" i="2"/>
  <c r="H1187" i="2"/>
  <c r="G1187" i="2"/>
  <c r="F1187" i="2"/>
  <c r="E1187" i="2"/>
  <c r="D1187" i="2"/>
  <c r="C1187" i="2"/>
  <c r="B1187" i="2"/>
  <c r="A1187" i="2"/>
  <c r="M1186" i="2"/>
  <c r="L1186" i="2"/>
  <c r="K1186" i="2"/>
  <c r="J1186" i="2"/>
  <c r="I1186" i="2"/>
  <c r="H1186" i="2"/>
  <c r="G1186" i="2"/>
  <c r="F1186" i="2"/>
  <c r="E1186" i="2"/>
  <c r="D1186" i="2"/>
  <c r="C1186" i="2"/>
  <c r="B1186" i="2"/>
  <c r="A1186" i="2"/>
  <c r="M1185" i="2"/>
  <c r="L1185" i="2"/>
  <c r="K1185" i="2"/>
  <c r="J1185" i="2"/>
  <c r="I1185" i="2"/>
  <c r="H1185" i="2"/>
  <c r="G1185" i="2"/>
  <c r="F1185" i="2"/>
  <c r="E1185" i="2"/>
  <c r="D1185" i="2"/>
  <c r="C1185" i="2"/>
  <c r="B1185" i="2"/>
  <c r="A1185" i="2"/>
  <c r="M1184" i="2"/>
  <c r="L1184" i="2"/>
  <c r="K1184" i="2"/>
  <c r="J1184" i="2"/>
  <c r="I1184" i="2"/>
  <c r="H1184" i="2"/>
  <c r="G1184" i="2"/>
  <c r="F1184" i="2"/>
  <c r="E1184" i="2"/>
  <c r="D1184" i="2"/>
  <c r="C1184" i="2"/>
  <c r="B1184" i="2"/>
  <c r="A1184" i="2"/>
  <c r="M1183" i="2"/>
  <c r="L1183" i="2"/>
  <c r="K1183" i="2"/>
  <c r="J1183" i="2"/>
  <c r="I1183" i="2"/>
  <c r="H1183" i="2"/>
  <c r="G1183" i="2"/>
  <c r="F1183" i="2"/>
  <c r="E1183" i="2"/>
  <c r="D1183" i="2"/>
  <c r="C1183" i="2"/>
  <c r="B1183" i="2"/>
  <c r="A1183" i="2"/>
  <c r="N1182" i="2"/>
  <c r="M1182" i="2"/>
  <c r="L1182" i="2"/>
  <c r="K1182" i="2"/>
  <c r="J1182" i="2"/>
  <c r="I1182" i="2"/>
  <c r="H1182" i="2"/>
  <c r="G1182" i="2"/>
  <c r="F1182" i="2"/>
  <c r="E1182" i="2"/>
  <c r="D1182" i="2"/>
  <c r="C1182" i="2"/>
  <c r="B1182" i="2"/>
  <c r="A1182" i="2"/>
  <c r="N1181" i="2"/>
  <c r="M1181" i="2"/>
  <c r="L1181" i="2"/>
  <c r="K1181" i="2"/>
  <c r="J1181" i="2"/>
  <c r="I1181" i="2"/>
  <c r="H1181" i="2"/>
  <c r="G1181" i="2"/>
  <c r="F1181" i="2"/>
  <c r="E1181" i="2"/>
  <c r="D1181" i="2"/>
  <c r="C1181" i="2"/>
  <c r="B1181" i="2"/>
  <c r="A1181" i="2"/>
  <c r="M1180" i="2"/>
  <c r="L1180" i="2"/>
  <c r="K1180" i="2"/>
  <c r="J1180" i="2"/>
  <c r="I1180" i="2"/>
  <c r="H1180" i="2"/>
  <c r="G1180" i="2"/>
  <c r="F1180" i="2"/>
  <c r="E1180" i="2"/>
  <c r="D1180" i="2"/>
  <c r="C1180" i="2"/>
  <c r="B1180" i="2"/>
  <c r="A1180" i="2"/>
  <c r="M1179" i="2"/>
  <c r="L1179" i="2"/>
  <c r="K1179" i="2"/>
  <c r="J1179" i="2"/>
  <c r="I1179" i="2"/>
  <c r="H1179" i="2"/>
  <c r="G1179" i="2"/>
  <c r="F1179" i="2"/>
  <c r="E1179" i="2"/>
  <c r="D1179" i="2"/>
  <c r="C1179" i="2"/>
  <c r="B1179" i="2"/>
  <c r="A1179" i="2"/>
  <c r="M1178" i="2"/>
  <c r="L1178" i="2"/>
  <c r="K1178" i="2"/>
  <c r="J1178" i="2"/>
  <c r="I1178" i="2"/>
  <c r="H1178" i="2"/>
  <c r="G1178" i="2"/>
  <c r="F1178" i="2"/>
  <c r="E1178" i="2"/>
  <c r="D1178" i="2"/>
  <c r="C1178" i="2"/>
  <c r="B1178" i="2"/>
  <c r="A1178" i="2"/>
  <c r="M1177" i="2"/>
  <c r="L1177" i="2"/>
  <c r="K1177" i="2"/>
  <c r="J1177" i="2"/>
  <c r="I1177" i="2"/>
  <c r="H1177" i="2"/>
  <c r="G1177" i="2"/>
  <c r="F1177" i="2"/>
  <c r="E1177" i="2"/>
  <c r="D1177" i="2"/>
  <c r="C1177" i="2"/>
  <c r="B1177" i="2"/>
  <c r="A1177" i="2"/>
  <c r="M1176" i="2"/>
  <c r="L1176" i="2"/>
  <c r="K1176" i="2"/>
  <c r="J1176" i="2"/>
  <c r="I1176" i="2"/>
  <c r="H1176" i="2"/>
  <c r="G1176" i="2"/>
  <c r="F1176" i="2"/>
  <c r="E1176" i="2"/>
  <c r="D1176" i="2"/>
  <c r="C1176" i="2"/>
  <c r="B1176" i="2"/>
  <c r="A1176" i="2"/>
  <c r="M1175" i="2"/>
  <c r="L1175" i="2"/>
  <c r="K1175" i="2"/>
  <c r="J1175" i="2"/>
  <c r="I1175" i="2"/>
  <c r="H1175" i="2"/>
  <c r="G1175" i="2"/>
  <c r="F1175" i="2"/>
  <c r="E1175" i="2"/>
  <c r="D1175" i="2"/>
  <c r="C1175" i="2"/>
  <c r="B1175" i="2"/>
  <c r="A1175" i="2"/>
  <c r="N1174" i="2"/>
  <c r="M1174" i="2"/>
  <c r="L1174" i="2"/>
  <c r="K1174" i="2"/>
  <c r="J1174" i="2"/>
  <c r="I1174" i="2"/>
  <c r="H1174" i="2"/>
  <c r="G1174" i="2"/>
  <c r="F1174" i="2"/>
  <c r="E1174" i="2"/>
  <c r="D1174" i="2"/>
  <c r="C1174" i="2"/>
  <c r="B1174" i="2"/>
  <c r="A1174" i="2"/>
  <c r="M1173" i="2"/>
  <c r="L1173" i="2"/>
  <c r="K1173" i="2"/>
  <c r="J1173" i="2"/>
  <c r="I1173" i="2"/>
  <c r="H1173" i="2"/>
  <c r="G1173" i="2"/>
  <c r="F1173" i="2"/>
  <c r="E1173" i="2"/>
  <c r="D1173" i="2"/>
  <c r="C1173" i="2"/>
  <c r="B1173" i="2"/>
  <c r="A1173" i="2"/>
  <c r="M1172" i="2"/>
  <c r="L1172" i="2"/>
  <c r="K1172" i="2"/>
  <c r="J1172" i="2"/>
  <c r="I1172" i="2"/>
  <c r="H1172" i="2"/>
  <c r="G1172" i="2"/>
  <c r="F1172" i="2"/>
  <c r="E1172" i="2"/>
  <c r="D1172" i="2"/>
  <c r="C1172" i="2"/>
  <c r="B1172" i="2"/>
  <c r="A1172" i="2"/>
  <c r="M1171" i="2"/>
  <c r="L1171" i="2"/>
  <c r="K1171" i="2"/>
  <c r="J1171" i="2"/>
  <c r="I1171" i="2"/>
  <c r="H1171" i="2"/>
  <c r="G1171" i="2"/>
  <c r="F1171" i="2"/>
  <c r="E1171" i="2"/>
  <c r="D1171" i="2"/>
  <c r="C1171" i="2"/>
  <c r="B1171" i="2"/>
  <c r="A1171" i="2"/>
  <c r="N1170" i="2"/>
  <c r="M1170" i="2"/>
  <c r="L1170" i="2"/>
  <c r="K1170" i="2"/>
  <c r="J1170" i="2"/>
  <c r="I1170" i="2"/>
  <c r="H1170" i="2"/>
  <c r="G1170" i="2"/>
  <c r="F1170" i="2"/>
  <c r="E1170" i="2"/>
  <c r="D1170" i="2"/>
  <c r="C1170" i="2"/>
  <c r="B1170" i="2"/>
  <c r="A1170" i="2"/>
  <c r="N1169" i="2"/>
  <c r="M1169" i="2"/>
  <c r="L1169" i="2"/>
  <c r="K1169" i="2"/>
  <c r="J1169" i="2"/>
  <c r="I1169" i="2"/>
  <c r="H1169" i="2"/>
  <c r="G1169" i="2"/>
  <c r="F1169" i="2"/>
  <c r="E1169" i="2"/>
  <c r="D1169" i="2"/>
  <c r="C1169" i="2"/>
  <c r="B1169" i="2"/>
  <c r="A1169" i="2"/>
  <c r="N1168" i="2"/>
  <c r="M1168" i="2"/>
  <c r="L1168" i="2"/>
  <c r="K1168" i="2"/>
  <c r="J1168" i="2"/>
  <c r="I1168" i="2"/>
  <c r="H1168" i="2"/>
  <c r="G1168" i="2"/>
  <c r="F1168" i="2"/>
  <c r="E1168" i="2"/>
  <c r="D1168" i="2"/>
  <c r="C1168" i="2"/>
  <c r="B1168" i="2"/>
  <c r="A1168" i="2"/>
  <c r="N1167" i="2"/>
  <c r="M1167" i="2"/>
  <c r="L1167" i="2"/>
  <c r="K1167" i="2"/>
  <c r="J1167" i="2"/>
  <c r="I1167" i="2"/>
  <c r="H1167" i="2"/>
  <c r="G1167" i="2"/>
  <c r="F1167" i="2"/>
  <c r="E1167" i="2"/>
  <c r="D1167" i="2"/>
  <c r="C1167" i="2"/>
  <c r="B1167" i="2"/>
  <c r="A1167" i="2"/>
  <c r="N1166" i="2"/>
  <c r="M1166" i="2"/>
  <c r="L1166" i="2"/>
  <c r="K1166" i="2"/>
  <c r="J1166" i="2"/>
  <c r="I1166" i="2"/>
  <c r="H1166" i="2"/>
  <c r="G1166" i="2"/>
  <c r="F1166" i="2"/>
  <c r="E1166" i="2"/>
  <c r="D1166" i="2"/>
  <c r="C1166" i="2"/>
  <c r="B1166" i="2"/>
  <c r="A1166" i="2"/>
  <c r="M1165" i="2"/>
  <c r="L1165" i="2"/>
  <c r="K1165" i="2"/>
  <c r="J1165" i="2"/>
  <c r="I1165" i="2"/>
  <c r="H1165" i="2"/>
  <c r="G1165" i="2"/>
  <c r="F1165" i="2"/>
  <c r="E1165" i="2"/>
  <c r="D1165" i="2"/>
  <c r="C1165" i="2"/>
  <c r="B1165" i="2"/>
  <c r="A1165" i="2"/>
  <c r="M1164" i="2"/>
  <c r="L1164" i="2"/>
  <c r="K1164" i="2"/>
  <c r="J1164" i="2"/>
  <c r="I1164" i="2"/>
  <c r="H1164" i="2"/>
  <c r="G1164" i="2"/>
  <c r="F1164" i="2"/>
  <c r="E1164" i="2"/>
  <c r="D1164" i="2"/>
  <c r="C1164" i="2"/>
  <c r="B1164" i="2"/>
  <c r="A1164" i="2"/>
  <c r="M1163" i="2"/>
  <c r="L1163" i="2"/>
  <c r="K1163" i="2"/>
  <c r="J1163" i="2"/>
  <c r="I1163" i="2"/>
  <c r="H1163" i="2"/>
  <c r="G1163" i="2"/>
  <c r="F1163" i="2"/>
  <c r="E1163" i="2"/>
  <c r="D1163" i="2"/>
  <c r="C1163" i="2"/>
  <c r="B1163" i="2"/>
  <c r="A1163" i="2"/>
  <c r="M1162" i="2"/>
  <c r="L1162" i="2"/>
  <c r="K1162" i="2"/>
  <c r="J1162" i="2"/>
  <c r="I1162" i="2"/>
  <c r="H1162" i="2"/>
  <c r="G1162" i="2"/>
  <c r="F1162" i="2"/>
  <c r="E1162" i="2"/>
  <c r="D1162" i="2"/>
  <c r="C1162" i="2"/>
  <c r="B1162" i="2"/>
  <c r="A1162" i="2"/>
  <c r="M1161" i="2"/>
  <c r="L1161" i="2"/>
  <c r="K1161" i="2"/>
  <c r="J1161" i="2"/>
  <c r="I1161" i="2"/>
  <c r="H1161" i="2"/>
  <c r="G1161" i="2"/>
  <c r="F1161" i="2"/>
  <c r="E1161" i="2"/>
  <c r="D1161" i="2"/>
  <c r="C1161" i="2"/>
  <c r="B1161" i="2"/>
  <c r="A1161" i="2"/>
  <c r="M1160" i="2"/>
  <c r="L1160" i="2"/>
  <c r="K1160" i="2"/>
  <c r="J1160" i="2"/>
  <c r="I1160" i="2"/>
  <c r="H1160" i="2"/>
  <c r="G1160" i="2"/>
  <c r="F1160" i="2"/>
  <c r="E1160" i="2"/>
  <c r="D1160" i="2"/>
  <c r="C1160" i="2"/>
  <c r="B1160" i="2"/>
  <c r="A1160" i="2"/>
  <c r="M1159" i="2"/>
  <c r="L1159" i="2"/>
  <c r="K1159" i="2"/>
  <c r="J1159" i="2"/>
  <c r="I1159" i="2"/>
  <c r="H1159" i="2"/>
  <c r="G1159" i="2"/>
  <c r="F1159" i="2"/>
  <c r="E1159" i="2"/>
  <c r="D1159" i="2"/>
  <c r="C1159" i="2"/>
  <c r="B1159" i="2"/>
  <c r="A1159" i="2"/>
  <c r="M1158" i="2"/>
  <c r="L1158" i="2"/>
  <c r="K1158" i="2"/>
  <c r="J1158" i="2"/>
  <c r="I1158" i="2"/>
  <c r="H1158" i="2"/>
  <c r="G1158" i="2"/>
  <c r="F1158" i="2"/>
  <c r="E1158" i="2"/>
  <c r="D1158" i="2"/>
  <c r="C1158" i="2"/>
  <c r="B1158" i="2"/>
  <c r="A1158" i="2"/>
  <c r="M1157" i="2"/>
  <c r="L1157" i="2"/>
  <c r="K1157" i="2"/>
  <c r="J1157" i="2"/>
  <c r="I1157" i="2"/>
  <c r="H1157" i="2"/>
  <c r="G1157" i="2"/>
  <c r="F1157" i="2"/>
  <c r="E1157" i="2"/>
  <c r="D1157" i="2"/>
  <c r="C1157" i="2"/>
  <c r="B1157" i="2"/>
  <c r="A1157" i="2"/>
  <c r="M1156" i="2"/>
  <c r="L1156" i="2"/>
  <c r="K1156" i="2"/>
  <c r="J1156" i="2"/>
  <c r="I1156" i="2"/>
  <c r="H1156" i="2"/>
  <c r="G1156" i="2"/>
  <c r="F1156" i="2"/>
  <c r="E1156" i="2"/>
  <c r="D1156" i="2"/>
  <c r="C1156" i="2"/>
  <c r="B1156" i="2"/>
  <c r="A1156" i="2"/>
  <c r="M1155" i="2"/>
  <c r="L1155" i="2"/>
  <c r="K1155" i="2"/>
  <c r="J1155" i="2"/>
  <c r="I1155" i="2"/>
  <c r="H1155" i="2"/>
  <c r="G1155" i="2"/>
  <c r="F1155" i="2"/>
  <c r="E1155" i="2"/>
  <c r="D1155" i="2"/>
  <c r="C1155" i="2"/>
  <c r="B1155" i="2"/>
  <c r="A1155" i="2"/>
  <c r="M1154" i="2"/>
  <c r="L1154" i="2"/>
  <c r="K1154" i="2"/>
  <c r="J1154" i="2"/>
  <c r="I1154" i="2"/>
  <c r="H1154" i="2"/>
  <c r="G1154" i="2"/>
  <c r="F1154" i="2"/>
  <c r="E1154" i="2"/>
  <c r="D1154" i="2"/>
  <c r="C1154" i="2"/>
  <c r="B1154" i="2"/>
  <c r="A1154" i="2"/>
  <c r="M1153" i="2"/>
  <c r="L1153" i="2"/>
  <c r="K1153" i="2"/>
  <c r="J1153" i="2"/>
  <c r="I1153" i="2"/>
  <c r="H1153" i="2"/>
  <c r="G1153" i="2"/>
  <c r="F1153" i="2"/>
  <c r="E1153" i="2"/>
  <c r="D1153" i="2"/>
  <c r="C1153" i="2"/>
  <c r="B1153" i="2"/>
  <c r="A1153" i="2"/>
  <c r="M1152" i="2"/>
  <c r="L1152" i="2"/>
  <c r="K1152" i="2"/>
  <c r="J1152" i="2"/>
  <c r="I1152" i="2"/>
  <c r="H1152" i="2"/>
  <c r="G1152" i="2"/>
  <c r="F1152" i="2"/>
  <c r="E1152" i="2"/>
  <c r="D1152" i="2"/>
  <c r="C1152" i="2"/>
  <c r="B1152" i="2"/>
  <c r="A1152" i="2"/>
  <c r="M1151" i="2"/>
  <c r="L1151" i="2"/>
  <c r="K1151" i="2"/>
  <c r="J1151" i="2"/>
  <c r="I1151" i="2"/>
  <c r="H1151" i="2"/>
  <c r="G1151" i="2"/>
  <c r="F1151" i="2"/>
  <c r="E1151" i="2"/>
  <c r="D1151" i="2"/>
  <c r="C1151" i="2"/>
  <c r="B1151" i="2"/>
  <c r="A1151" i="2"/>
  <c r="M1150" i="2"/>
  <c r="L1150" i="2"/>
  <c r="K1150" i="2"/>
  <c r="J1150" i="2"/>
  <c r="I1150" i="2"/>
  <c r="H1150" i="2"/>
  <c r="G1150" i="2"/>
  <c r="F1150" i="2"/>
  <c r="E1150" i="2"/>
  <c r="D1150" i="2"/>
  <c r="C1150" i="2"/>
  <c r="B1150" i="2"/>
  <c r="A1150" i="2"/>
  <c r="M1149" i="2"/>
  <c r="L1149" i="2"/>
  <c r="K1149" i="2"/>
  <c r="J1149" i="2"/>
  <c r="I1149" i="2"/>
  <c r="H1149" i="2"/>
  <c r="G1149" i="2"/>
  <c r="F1149" i="2"/>
  <c r="E1149" i="2"/>
  <c r="D1149" i="2"/>
  <c r="C1149" i="2"/>
  <c r="B1149" i="2"/>
  <c r="A1149" i="2"/>
  <c r="M1148" i="2"/>
  <c r="L1148" i="2"/>
  <c r="K1148" i="2"/>
  <c r="J1148" i="2"/>
  <c r="I1148" i="2"/>
  <c r="H1148" i="2"/>
  <c r="G1148" i="2"/>
  <c r="F1148" i="2"/>
  <c r="E1148" i="2"/>
  <c r="D1148" i="2"/>
  <c r="C1148" i="2"/>
  <c r="B1148" i="2"/>
  <c r="A1148" i="2"/>
  <c r="M1147" i="2"/>
  <c r="L1147" i="2"/>
  <c r="K1147" i="2"/>
  <c r="J1147" i="2"/>
  <c r="I1147" i="2"/>
  <c r="H1147" i="2"/>
  <c r="G1147" i="2"/>
  <c r="F1147" i="2"/>
  <c r="E1147" i="2"/>
  <c r="D1147" i="2"/>
  <c r="C1147" i="2"/>
  <c r="B1147" i="2"/>
  <c r="A1147" i="2"/>
  <c r="M1146" i="2"/>
  <c r="L1146" i="2"/>
  <c r="K1146" i="2"/>
  <c r="J1146" i="2"/>
  <c r="I1146" i="2"/>
  <c r="H1146" i="2"/>
  <c r="G1146" i="2"/>
  <c r="F1146" i="2"/>
  <c r="E1146" i="2"/>
  <c r="D1146" i="2"/>
  <c r="C1146" i="2"/>
  <c r="B1146" i="2"/>
  <c r="A1146" i="2"/>
  <c r="M1145" i="2"/>
  <c r="L1145" i="2"/>
  <c r="K1145" i="2"/>
  <c r="J1145" i="2"/>
  <c r="I1145" i="2"/>
  <c r="H1145" i="2"/>
  <c r="G1145" i="2"/>
  <c r="F1145" i="2"/>
  <c r="E1145" i="2"/>
  <c r="D1145" i="2"/>
  <c r="C1145" i="2"/>
  <c r="B1145" i="2"/>
  <c r="A1145" i="2"/>
  <c r="M1144" i="2"/>
  <c r="L1144" i="2"/>
  <c r="K1144" i="2"/>
  <c r="J1144" i="2"/>
  <c r="I1144" i="2"/>
  <c r="H1144" i="2"/>
  <c r="G1144" i="2"/>
  <c r="F1144" i="2"/>
  <c r="E1144" i="2"/>
  <c r="D1144" i="2"/>
  <c r="C1144" i="2"/>
  <c r="B1144" i="2"/>
  <c r="A1144" i="2"/>
  <c r="M1143" i="2"/>
  <c r="L1143" i="2"/>
  <c r="K1143" i="2"/>
  <c r="J1143" i="2"/>
  <c r="I1143" i="2"/>
  <c r="H1143" i="2"/>
  <c r="G1143" i="2"/>
  <c r="F1143" i="2"/>
  <c r="D1143" i="2"/>
  <c r="C1143" i="2"/>
  <c r="B1143" i="2"/>
  <c r="A1143" i="2"/>
  <c r="M1142" i="2"/>
  <c r="L1142" i="2"/>
  <c r="K1142" i="2"/>
  <c r="J1142" i="2"/>
  <c r="I1142" i="2"/>
  <c r="H1142" i="2"/>
  <c r="G1142" i="2"/>
  <c r="F1142" i="2"/>
  <c r="D1142" i="2"/>
  <c r="C1142" i="2"/>
  <c r="B1142" i="2"/>
  <c r="A1142" i="2"/>
  <c r="M1141" i="2"/>
  <c r="L1141" i="2"/>
  <c r="K1141" i="2"/>
  <c r="J1141" i="2"/>
  <c r="I1141" i="2"/>
  <c r="H1141" i="2"/>
  <c r="G1141" i="2"/>
  <c r="F1141" i="2"/>
  <c r="D1141" i="2"/>
  <c r="C1141" i="2"/>
  <c r="B1141" i="2"/>
  <c r="A1141" i="2"/>
  <c r="M1140" i="2"/>
  <c r="L1140" i="2"/>
  <c r="K1140" i="2"/>
  <c r="J1140" i="2"/>
  <c r="I1140" i="2"/>
  <c r="H1140" i="2"/>
  <c r="G1140" i="2"/>
  <c r="F1140" i="2"/>
  <c r="D1140" i="2"/>
  <c r="C1140" i="2"/>
  <c r="B1140" i="2"/>
  <c r="A1140" i="2"/>
  <c r="M1139" i="2"/>
  <c r="L1139" i="2"/>
  <c r="K1139" i="2"/>
  <c r="J1139" i="2"/>
  <c r="I1139" i="2"/>
  <c r="H1139" i="2"/>
  <c r="G1139" i="2"/>
  <c r="F1139" i="2"/>
  <c r="D1139" i="2"/>
  <c r="C1139" i="2"/>
  <c r="B1139" i="2"/>
  <c r="A1139" i="2"/>
  <c r="M1138" i="2"/>
  <c r="L1138" i="2"/>
  <c r="K1138" i="2"/>
  <c r="J1138" i="2"/>
  <c r="I1138" i="2"/>
  <c r="H1138" i="2"/>
  <c r="G1138" i="2"/>
  <c r="F1138" i="2"/>
  <c r="D1138" i="2"/>
  <c r="C1138" i="2"/>
  <c r="B1138" i="2"/>
  <c r="A1138" i="2"/>
  <c r="M1137" i="2"/>
  <c r="L1137" i="2"/>
  <c r="K1137" i="2"/>
  <c r="J1137" i="2"/>
  <c r="I1137" i="2"/>
  <c r="H1137" i="2"/>
  <c r="G1137" i="2"/>
  <c r="F1137" i="2"/>
  <c r="D1137" i="2"/>
  <c r="C1137" i="2"/>
  <c r="B1137" i="2"/>
  <c r="A1137" i="2"/>
  <c r="M1136" i="2"/>
  <c r="L1136" i="2"/>
  <c r="K1136" i="2"/>
  <c r="J1136" i="2"/>
  <c r="I1136" i="2"/>
  <c r="H1136" i="2"/>
  <c r="G1136" i="2"/>
  <c r="F1136" i="2"/>
  <c r="D1136" i="2"/>
  <c r="C1136" i="2"/>
  <c r="B1136" i="2"/>
  <c r="A1136" i="2"/>
  <c r="M1135" i="2"/>
  <c r="L1135" i="2"/>
  <c r="K1135" i="2"/>
  <c r="J1135" i="2"/>
  <c r="I1135" i="2"/>
  <c r="H1135" i="2"/>
  <c r="G1135" i="2"/>
  <c r="F1135" i="2"/>
  <c r="D1135" i="2"/>
  <c r="C1135" i="2"/>
  <c r="B1135" i="2"/>
  <c r="A1135" i="2"/>
  <c r="M1134" i="2"/>
  <c r="L1134" i="2"/>
  <c r="K1134" i="2"/>
  <c r="J1134" i="2"/>
  <c r="I1134" i="2"/>
  <c r="H1134" i="2"/>
  <c r="G1134" i="2"/>
  <c r="F1134" i="2"/>
  <c r="D1134" i="2"/>
  <c r="C1134" i="2"/>
  <c r="B1134" i="2"/>
  <c r="A1134" i="2"/>
  <c r="M1133" i="2"/>
  <c r="L1133" i="2"/>
  <c r="K1133" i="2"/>
  <c r="J1133" i="2"/>
  <c r="I1133" i="2"/>
  <c r="H1133" i="2"/>
  <c r="G1133" i="2"/>
  <c r="F1133" i="2"/>
  <c r="D1133" i="2"/>
  <c r="C1133" i="2"/>
  <c r="B1133" i="2"/>
  <c r="A1133" i="2"/>
  <c r="M1132" i="2"/>
  <c r="L1132" i="2"/>
  <c r="K1132" i="2"/>
  <c r="J1132" i="2"/>
  <c r="I1132" i="2"/>
  <c r="H1132" i="2"/>
  <c r="G1132" i="2"/>
  <c r="F1132" i="2"/>
  <c r="D1132" i="2"/>
  <c r="C1132" i="2"/>
  <c r="B1132" i="2"/>
  <c r="A1132" i="2"/>
  <c r="M1131" i="2"/>
  <c r="L1131" i="2"/>
  <c r="K1131" i="2"/>
  <c r="J1131" i="2"/>
  <c r="I1131" i="2"/>
  <c r="H1131" i="2"/>
  <c r="G1131" i="2"/>
  <c r="F1131" i="2"/>
  <c r="D1131" i="2"/>
  <c r="C1131" i="2"/>
  <c r="B1131" i="2"/>
  <c r="A1131" i="2"/>
  <c r="M1130" i="2"/>
  <c r="L1130" i="2"/>
  <c r="K1130" i="2"/>
  <c r="J1130" i="2"/>
  <c r="I1130" i="2"/>
  <c r="H1130" i="2"/>
  <c r="G1130" i="2"/>
  <c r="F1130" i="2"/>
  <c r="D1130" i="2"/>
  <c r="C1130" i="2"/>
  <c r="B1130" i="2"/>
  <c r="A1130" i="2"/>
  <c r="M1129" i="2"/>
  <c r="L1129" i="2"/>
  <c r="K1129" i="2"/>
  <c r="J1129" i="2"/>
  <c r="I1129" i="2"/>
  <c r="H1129" i="2"/>
  <c r="G1129" i="2"/>
  <c r="F1129" i="2"/>
  <c r="D1129" i="2"/>
  <c r="C1129" i="2"/>
  <c r="B1129" i="2"/>
  <c r="A1129" i="2"/>
  <c r="M1128" i="2"/>
  <c r="L1128" i="2"/>
  <c r="K1128" i="2"/>
  <c r="J1128" i="2"/>
  <c r="I1128" i="2"/>
  <c r="H1128" i="2"/>
  <c r="G1128" i="2"/>
  <c r="F1128" i="2"/>
  <c r="D1128" i="2"/>
  <c r="C1128" i="2"/>
  <c r="B1128" i="2"/>
  <c r="A1128" i="2"/>
  <c r="M1127" i="2"/>
  <c r="L1127" i="2"/>
  <c r="K1127" i="2"/>
  <c r="J1127" i="2"/>
  <c r="I1127" i="2"/>
  <c r="H1127" i="2"/>
  <c r="G1127" i="2"/>
  <c r="F1127" i="2"/>
  <c r="D1127" i="2"/>
  <c r="C1127" i="2"/>
  <c r="B1127" i="2"/>
  <c r="A1127" i="2"/>
  <c r="M1126" i="2"/>
  <c r="L1126" i="2"/>
  <c r="K1126" i="2"/>
  <c r="J1126" i="2"/>
  <c r="I1126" i="2"/>
  <c r="H1126" i="2"/>
  <c r="G1126" i="2"/>
  <c r="F1126" i="2"/>
  <c r="D1126" i="2"/>
  <c r="C1126" i="2"/>
  <c r="B1126" i="2"/>
  <c r="A1126" i="2"/>
  <c r="N1125" i="2"/>
  <c r="M1125" i="2"/>
  <c r="L1125" i="2"/>
  <c r="K1125" i="2"/>
  <c r="J1125" i="2"/>
  <c r="I1125" i="2"/>
  <c r="H1125" i="2"/>
  <c r="G1125" i="2"/>
  <c r="F1125" i="2"/>
  <c r="D1125" i="2"/>
  <c r="C1125" i="2"/>
  <c r="B1125" i="2"/>
  <c r="A1125" i="2"/>
  <c r="N1124" i="2"/>
  <c r="M1124" i="2"/>
  <c r="L1124" i="2"/>
  <c r="K1124" i="2"/>
  <c r="J1124" i="2"/>
  <c r="I1124" i="2"/>
  <c r="H1124" i="2"/>
  <c r="G1124" i="2"/>
  <c r="F1124" i="2"/>
  <c r="D1124" i="2"/>
  <c r="C1124" i="2"/>
  <c r="B1124" i="2"/>
  <c r="A1124" i="2"/>
  <c r="N1123" i="2"/>
  <c r="M1123" i="2"/>
  <c r="L1123" i="2"/>
  <c r="K1123" i="2"/>
  <c r="J1123" i="2"/>
  <c r="I1123" i="2"/>
  <c r="H1123" i="2"/>
  <c r="G1123" i="2"/>
  <c r="F1123" i="2"/>
  <c r="D1123" i="2"/>
  <c r="C1123" i="2"/>
  <c r="B1123" i="2"/>
  <c r="A1123" i="2"/>
  <c r="M1122" i="2"/>
  <c r="L1122" i="2"/>
  <c r="K1122" i="2"/>
  <c r="J1122" i="2"/>
  <c r="I1122" i="2"/>
  <c r="H1122" i="2"/>
  <c r="G1122" i="2"/>
  <c r="F1122" i="2"/>
  <c r="D1122" i="2"/>
  <c r="C1122" i="2"/>
  <c r="B1122" i="2"/>
  <c r="A1122" i="2"/>
  <c r="M1121" i="2"/>
  <c r="L1121" i="2"/>
  <c r="K1121" i="2"/>
  <c r="J1121" i="2"/>
  <c r="I1121" i="2"/>
  <c r="H1121" i="2"/>
  <c r="G1121" i="2"/>
  <c r="F1121" i="2"/>
  <c r="D1121" i="2"/>
  <c r="C1121" i="2"/>
  <c r="B1121" i="2"/>
  <c r="A1121" i="2"/>
  <c r="M1120" i="2"/>
  <c r="L1120" i="2"/>
  <c r="K1120" i="2"/>
  <c r="J1120" i="2"/>
  <c r="I1120" i="2"/>
  <c r="H1120" i="2"/>
  <c r="G1120" i="2"/>
  <c r="F1120" i="2"/>
  <c r="D1120" i="2"/>
  <c r="C1120" i="2"/>
  <c r="B1120" i="2"/>
  <c r="A1120" i="2"/>
  <c r="M1119" i="2"/>
  <c r="L1119" i="2"/>
  <c r="K1119" i="2"/>
  <c r="J1119" i="2"/>
  <c r="I1119" i="2"/>
  <c r="H1119" i="2"/>
  <c r="G1119" i="2"/>
  <c r="F1119" i="2"/>
  <c r="D1119" i="2"/>
  <c r="C1119" i="2"/>
  <c r="B1119" i="2"/>
  <c r="A1119" i="2"/>
  <c r="M1118" i="2"/>
  <c r="L1118" i="2"/>
  <c r="K1118" i="2"/>
  <c r="J1118" i="2"/>
  <c r="I1118" i="2"/>
  <c r="H1118" i="2"/>
  <c r="G1118" i="2"/>
  <c r="F1118" i="2"/>
  <c r="D1118" i="2"/>
  <c r="C1118" i="2"/>
  <c r="B1118" i="2"/>
  <c r="A1118" i="2"/>
  <c r="M1117" i="2"/>
  <c r="L1117" i="2"/>
  <c r="K1117" i="2"/>
  <c r="J1117" i="2"/>
  <c r="I1117" i="2"/>
  <c r="H1117" i="2"/>
  <c r="G1117" i="2"/>
  <c r="F1117" i="2"/>
  <c r="D1117" i="2"/>
  <c r="C1117" i="2"/>
  <c r="B1117" i="2"/>
  <c r="A1117" i="2"/>
  <c r="M1116" i="2"/>
  <c r="L1116" i="2"/>
  <c r="K1116" i="2"/>
  <c r="J1116" i="2"/>
  <c r="I1116" i="2"/>
  <c r="H1116" i="2"/>
  <c r="G1116" i="2"/>
  <c r="F1116" i="2"/>
  <c r="D1116" i="2"/>
  <c r="C1116" i="2"/>
  <c r="B1116" i="2"/>
  <c r="A1116" i="2"/>
  <c r="M1115" i="2"/>
  <c r="L1115" i="2"/>
  <c r="K1115" i="2"/>
  <c r="J1115" i="2"/>
  <c r="I1115" i="2"/>
  <c r="H1115" i="2"/>
  <c r="G1115" i="2"/>
  <c r="F1115" i="2"/>
  <c r="D1115" i="2"/>
  <c r="C1115" i="2"/>
  <c r="B1115" i="2"/>
  <c r="A1115" i="2"/>
  <c r="M1114" i="2"/>
  <c r="L1114" i="2"/>
  <c r="K1114" i="2"/>
  <c r="J1114" i="2"/>
  <c r="I1114" i="2"/>
  <c r="H1114" i="2"/>
  <c r="G1114" i="2"/>
  <c r="F1114" i="2"/>
  <c r="D1114" i="2"/>
  <c r="C1114" i="2"/>
  <c r="B1114" i="2"/>
  <c r="A1114" i="2"/>
  <c r="M1113" i="2"/>
  <c r="L1113" i="2"/>
  <c r="K1113" i="2"/>
  <c r="J1113" i="2"/>
  <c r="I1113" i="2"/>
  <c r="H1113" i="2"/>
  <c r="G1113" i="2"/>
  <c r="F1113" i="2"/>
  <c r="D1113" i="2"/>
  <c r="C1113" i="2"/>
  <c r="B1113" i="2"/>
  <c r="A1113" i="2"/>
  <c r="M1112" i="2"/>
  <c r="L1112" i="2"/>
  <c r="K1112" i="2"/>
  <c r="J1112" i="2"/>
  <c r="I1112" i="2"/>
  <c r="H1112" i="2"/>
  <c r="G1112" i="2"/>
  <c r="F1112" i="2"/>
  <c r="D1112" i="2"/>
  <c r="C1112" i="2"/>
  <c r="B1112" i="2"/>
  <c r="A1112" i="2"/>
  <c r="M1111" i="2"/>
  <c r="L1111" i="2"/>
  <c r="K1111" i="2"/>
  <c r="J1111" i="2"/>
  <c r="I1111" i="2"/>
  <c r="H1111" i="2"/>
  <c r="G1111" i="2"/>
  <c r="F1111" i="2"/>
  <c r="D1111" i="2"/>
  <c r="C1111" i="2"/>
  <c r="B1111" i="2"/>
  <c r="A1111" i="2"/>
  <c r="M1110" i="2"/>
  <c r="L1110" i="2"/>
  <c r="K1110" i="2"/>
  <c r="J1110" i="2"/>
  <c r="I1110" i="2"/>
  <c r="H1110" i="2"/>
  <c r="G1110" i="2"/>
  <c r="F1110" i="2"/>
  <c r="D1110" i="2"/>
  <c r="C1110" i="2"/>
  <c r="B1110" i="2"/>
  <c r="A1110" i="2"/>
  <c r="M1109" i="2"/>
  <c r="L1109" i="2"/>
  <c r="K1109" i="2"/>
  <c r="J1109" i="2"/>
  <c r="I1109" i="2"/>
  <c r="H1109" i="2"/>
  <c r="G1109" i="2"/>
  <c r="F1109" i="2"/>
  <c r="D1109" i="2"/>
  <c r="C1109" i="2"/>
  <c r="B1109" i="2"/>
  <c r="A1109" i="2"/>
  <c r="M1108" i="2"/>
  <c r="L1108" i="2"/>
  <c r="K1108" i="2"/>
  <c r="I1108" i="2"/>
  <c r="H1108" i="2"/>
  <c r="F1108" i="2"/>
  <c r="E1108" i="2"/>
  <c r="D1108" i="2"/>
  <c r="C1108" i="2"/>
  <c r="B1108" i="2"/>
  <c r="A1108" i="2"/>
  <c r="M1107" i="2"/>
  <c r="L1107" i="2"/>
  <c r="K1107" i="2"/>
  <c r="I1107" i="2"/>
  <c r="H1107" i="2"/>
  <c r="F1107" i="2"/>
  <c r="D1107" i="2"/>
  <c r="C1107" i="2"/>
  <c r="B1107" i="2"/>
  <c r="A1107" i="2"/>
  <c r="M1106" i="2"/>
  <c r="L1106" i="2"/>
  <c r="K1106" i="2"/>
  <c r="I1106" i="2"/>
  <c r="H1106" i="2"/>
  <c r="F1106" i="2"/>
  <c r="D1106" i="2"/>
  <c r="C1106" i="2"/>
  <c r="B1106" i="2"/>
  <c r="A1106" i="2"/>
  <c r="M1105" i="2"/>
  <c r="L1105" i="2"/>
  <c r="K1105" i="2"/>
  <c r="I1105" i="2"/>
  <c r="H1105" i="2"/>
  <c r="F1105" i="2"/>
  <c r="D1105" i="2"/>
  <c r="C1105" i="2"/>
  <c r="B1105" i="2"/>
  <c r="A1105" i="2"/>
  <c r="M1104" i="2"/>
  <c r="L1104" i="2"/>
  <c r="K1104" i="2"/>
  <c r="I1104" i="2"/>
  <c r="H1104" i="2"/>
  <c r="F1104" i="2"/>
  <c r="D1104" i="2"/>
  <c r="C1104" i="2"/>
  <c r="B1104" i="2"/>
  <c r="A1104" i="2"/>
  <c r="M1103" i="2"/>
  <c r="L1103" i="2"/>
  <c r="K1103" i="2"/>
  <c r="I1103" i="2"/>
  <c r="H1103" i="2"/>
  <c r="F1103" i="2"/>
  <c r="D1103" i="2"/>
  <c r="C1103" i="2"/>
  <c r="B1103" i="2"/>
  <c r="A1103" i="2"/>
  <c r="M1102" i="2"/>
  <c r="L1102" i="2"/>
  <c r="K1102" i="2"/>
  <c r="I1102" i="2"/>
  <c r="H1102" i="2"/>
  <c r="F1102" i="2"/>
  <c r="D1102" i="2"/>
  <c r="C1102" i="2"/>
  <c r="B1102" i="2"/>
  <c r="A1102" i="2"/>
  <c r="M1101" i="2"/>
  <c r="L1101" i="2"/>
  <c r="K1101" i="2"/>
  <c r="I1101" i="2"/>
  <c r="H1101" i="2"/>
  <c r="F1101" i="2"/>
  <c r="D1101" i="2"/>
  <c r="C1101" i="2"/>
  <c r="B1101" i="2"/>
  <c r="A1101" i="2"/>
  <c r="M1100" i="2"/>
  <c r="L1100" i="2"/>
  <c r="K1100" i="2"/>
  <c r="I1100" i="2"/>
  <c r="H1100" i="2"/>
  <c r="F1100" i="2"/>
  <c r="D1100" i="2"/>
  <c r="C1100" i="2"/>
  <c r="B1100" i="2"/>
  <c r="A1100" i="2"/>
  <c r="M1099" i="2"/>
  <c r="L1099" i="2"/>
  <c r="K1099" i="2"/>
  <c r="I1099" i="2"/>
  <c r="H1099" i="2"/>
  <c r="F1099" i="2"/>
  <c r="D1099" i="2"/>
  <c r="C1099" i="2"/>
  <c r="B1099" i="2"/>
  <c r="A1099" i="2"/>
  <c r="M1098" i="2"/>
  <c r="L1098" i="2"/>
  <c r="K1098" i="2"/>
  <c r="I1098" i="2"/>
  <c r="H1098" i="2"/>
  <c r="F1098" i="2"/>
  <c r="D1098" i="2"/>
  <c r="C1098" i="2"/>
  <c r="B1098" i="2"/>
  <c r="A1098" i="2"/>
  <c r="M1097" i="2"/>
  <c r="L1097" i="2"/>
  <c r="K1097" i="2"/>
  <c r="I1097" i="2"/>
  <c r="H1097" i="2"/>
  <c r="F1097" i="2"/>
  <c r="D1097" i="2"/>
  <c r="C1097" i="2"/>
  <c r="B1097" i="2"/>
  <c r="A1097" i="2"/>
  <c r="M1096" i="2"/>
  <c r="L1096" i="2"/>
  <c r="K1096" i="2"/>
  <c r="I1096" i="2"/>
  <c r="H1096" i="2"/>
  <c r="F1096" i="2"/>
  <c r="D1096" i="2"/>
  <c r="C1096" i="2"/>
  <c r="B1096" i="2"/>
  <c r="A1096" i="2"/>
  <c r="M1095" i="2"/>
  <c r="L1095" i="2"/>
  <c r="K1095" i="2"/>
  <c r="I1095" i="2"/>
  <c r="H1095" i="2"/>
  <c r="F1095" i="2"/>
  <c r="D1095" i="2"/>
  <c r="C1095" i="2"/>
  <c r="B1095" i="2"/>
  <c r="A1095" i="2"/>
  <c r="M1094" i="2"/>
  <c r="L1094" i="2"/>
  <c r="K1094" i="2"/>
  <c r="I1094" i="2"/>
  <c r="H1094" i="2"/>
  <c r="F1094" i="2"/>
  <c r="D1094" i="2"/>
  <c r="C1094" i="2"/>
  <c r="B1094" i="2"/>
  <c r="A1094" i="2"/>
  <c r="N1093" i="2"/>
  <c r="L1093" i="2"/>
  <c r="K1093" i="2"/>
  <c r="I1093" i="2"/>
  <c r="H1093" i="2"/>
  <c r="F1093" i="2"/>
  <c r="E1093" i="2"/>
  <c r="D1093" i="2"/>
  <c r="C1093" i="2"/>
  <c r="B1093" i="2"/>
  <c r="A1093" i="2"/>
  <c r="M1092" i="2"/>
  <c r="L1092" i="2"/>
  <c r="K1092" i="2"/>
  <c r="I1092" i="2"/>
  <c r="H1092" i="2"/>
  <c r="F1092" i="2"/>
  <c r="E1092" i="2"/>
  <c r="D1092" i="2"/>
  <c r="C1092" i="2"/>
  <c r="B1092" i="2"/>
  <c r="A1092" i="2"/>
  <c r="N1091" i="2"/>
  <c r="M1091" i="2"/>
  <c r="F1091" i="2"/>
  <c r="E1091" i="2"/>
  <c r="D1091" i="2"/>
  <c r="C1091" i="2"/>
  <c r="B1091" i="2"/>
  <c r="A1091" i="2"/>
  <c r="N1090" i="2"/>
  <c r="M1090" i="2"/>
  <c r="L1090" i="2"/>
  <c r="K1090" i="2"/>
  <c r="J1090" i="2"/>
  <c r="I1090" i="2"/>
  <c r="H1090" i="2"/>
  <c r="F1090" i="2"/>
  <c r="E1090" i="2"/>
  <c r="D1090" i="2"/>
  <c r="C1090" i="2"/>
  <c r="B1090" i="2"/>
  <c r="A1090" i="2"/>
  <c r="N1089" i="2"/>
  <c r="M1089" i="2"/>
  <c r="L1089" i="2"/>
  <c r="K1089" i="2"/>
  <c r="J1089" i="2"/>
  <c r="I1089" i="2"/>
  <c r="H1089" i="2"/>
  <c r="F1089" i="2"/>
  <c r="E1089" i="2"/>
  <c r="D1089" i="2"/>
  <c r="C1089" i="2"/>
  <c r="B1089" i="2"/>
  <c r="A1089" i="2"/>
  <c r="N1088" i="2"/>
  <c r="M1088" i="2"/>
  <c r="L1088" i="2"/>
  <c r="K1088" i="2"/>
  <c r="J1088" i="2"/>
  <c r="I1088" i="2"/>
  <c r="H1088" i="2"/>
  <c r="F1088" i="2"/>
  <c r="E1088" i="2"/>
  <c r="D1088" i="2"/>
  <c r="C1088" i="2"/>
  <c r="B1088" i="2"/>
  <c r="A1088" i="2"/>
  <c r="M1087" i="2"/>
  <c r="L1087" i="2"/>
  <c r="K1087" i="2"/>
  <c r="J1087" i="2"/>
  <c r="I1087" i="2"/>
  <c r="H1087" i="2"/>
  <c r="F1087" i="2"/>
  <c r="E1087" i="2"/>
  <c r="D1087" i="2"/>
  <c r="C1087" i="2"/>
  <c r="B1087" i="2"/>
  <c r="A1087" i="2"/>
  <c r="M1086" i="2"/>
  <c r="L1086" i="2"/>
  <c r="K1086" i="2"/>
  <c r="J1086" i="2"/>
  <c r="I1086" i="2"/>
  <c r="H1086" i="2"/>
  <c r="F1086" i="2"/>
  <c r="E1086" i="2"/>
  <c r="D1086" i="2"/>
  <c r="C1086" i="2"/>
  <c r="B1086" i="2"/>
  <c r="A1086" i="2"/>
  <c r="M1085" i="2"/>
  <c r="L1085" i="2"/>
  <c r="K1085" i="2"/>
  <c r="J1085" i="2"/>
  <c r="I1085" i="2"/>
  <c r="H1085" i="2"/>
  <c r="G1085" i="2"/>
  <c r="F1085" i="2"/>
  <c r="E1085" i="2"/>
  <c r="D1085" i="2"/>
  <c r="C1085" i="2"/>
  <c r="B1085" i="2"/>
  <c r="A1085" i="2"/>
  <c r="M1084" i="2"/>
  <c r="L1084" i="2"/>
  <c r="K1084" i="2"/>
  <c r="J1084" i="2"/>
  <c r="I1084" i="2"/>
  <c r="H1084" i="2"/>
  <c r="G1084" i="2"/>
  <c r="F1084" i="2"/>
  <c r="E1084" i="2"/>
  <c r="D1084" i="2"/>
  <c r="C1084" i="2"/>
  <c r="B1084" i="2"/>
  <c r="A1084" i="2"/>
  <c r="M1083" i="2"/>
  <c r="L1083" i="2"/>
  <c r="K1083" i="2"/>
  <c r="J1083" i="2"/>
  <c r="I1083" i="2"/>
  <c r="H1083" i="2"/>
  <c r="G1083" i="2"/>
  <c r="F1083" i="2"/>
  <c r="E1083" i="2"/>
  <c r="D1083" i="2"/>
  <c r="C1083" i="2"/>
  <c r="B1083" i="2"/>
  <c r="A1083" i="2"/>
  <c r="M1082" i="2"/>
  <c r="L1082" i="2"/>
  <c r="K1082" i="2"/>
  <c r="J1082" i="2"/>
  <c r="I1082" i="2"/>
  <c r="H1082" i="2"/>
  <c r="G1082" i="2"/>
  <c r="F1082" i="2"/>
  <c r="E1082" i="2"/>
  <c r="D1082" i="2"/>
  <c r="C1082" i="2"/>
  <c r="B1082" i="2"/>
  <c r="A1082" i="2"/>
  <c r="M1081" i="2"/>
  <c r="L1081" i="2"/>
  <c r="K1081" i="2"/>
  <c r="J1081" i="2"/>
  <c r="I1081" i="2"/>
  <c r="H1081" i="2"/>
  <c r="G1081" i="2"/>
  <c r="F1081" i="2"/>
  <c r="E1081" i="2"/>
  <c r="D1081" i="2"/>
  <c r="C1081" i="2"/>
  <c r="B1081" i="2"/>
  <c r="A1081" i="2"/>
  <c r="M1080" i="2"/>
  <c r="L1080" i="2"/>
  <c r="K1080" i="2"/>
  <c r="J1080" i="2"/>
  <c r="I1080" i="2"/>
  <c r="H1080" i="2"/>
  <c r="G1080" i="2"/>
  <c r="F1080" i="2"/>
  <c r="E1080" i="2"/>
  <c r="D1080" i="2"/>
  <c r="C1080" i="2"/>
  <c r="B1080" i="2"/>
  <c r="A1080" i="2"/>
  <c r="M1079" i="2"/>
  <c r="L1079" i="2"/>
  <c r="K1079" i="2"/>
  <c r="J1079" i="2"/>
  <c r="I1079" i="2"/>
  <c r="H1079" i="2"/>
  <c r="G1079" i="2"/>
  <c r="F1079" i="2"/>
  <c r="E1079" i="2"/>
  <c r="D1079" i="2"/>
  <c r="C1079" i="2"/>
  <c r="B1079" i="2"/>
  <c r="A1079" i="2"/>
  <c r="M1078" i="2"/>
  <c r="L1078" i="2"/>
  <c r="K1078" i="2"/>
  <c r="J1078" i="2"/>
  <c r="I1078" i="2"/>
  <c r="H1078" i="2"/>
  <c r="G1078" i="2"/>
  <c r="F1078" i="2"/>
  <c r="E1078" i="2"/>
  <c r="D1078" i="2"/>
  <c r="C1078" i="2"/>
  <c r="B1078" i="2"/>
  <c r="A1078" i="2"/>
  <c r="M1077" i="2"/>
  <c r="L1077" i="2"/>
  <c r="K1077" i="2"/>
  <c r="J1077" i="2"/>
  <c r="I1077" i="2"/>
  <c r="H1077" i="2"/>
  <c r="G1077" i="2"/>
  <c r="F1077" i="2"/>
  <c r="E1077" i="2"/>
  <c r="D1077" i="2"/>
  <c r="C1077" i="2"/>
  <c r="B1077" i="2"/>
  <c r="A1077" i="2"/>
  <c r="M1076" i="2"/>
  <c r="L1076" i="2"/>
  <c r="K1076" i="2"/>
  <c r="J1076" i="2"/>
  <c r="I1076" i="2"/>
  <c r="H1076" i="2"/>
  <c r="G1076" i="2"/>
  <c r="F1076" i="2"/>
  <c r="E1076" i="2"/>
  <c r="D1076" i="2"/>
  <c r="C1076" i="2"/>
  <c r="B1076" i="2"/>
  <c r="A1076" i="2"/>
  <c r="M1075" i="2"/>
  <c r="L1075" i="2"/>
  <c r="K1075" i="2"/>
  <c r="J1075" i="2"/>
  <c r="I1075" i="2"/>
  <c r="H1075" i="2"/>
  <c r="G1075" i="2"/>
  <c r="F1075" i="2"/>
  <c r="E1075" i="2"/>
  <c r="D1075" i="2"/>
  <c r="C1075" i="2"/>
  <c r="B1075" i="2"/>
  <c r="A1075" i="2"/>
  <c r="N1074" i="2"/>
  <c r="M1074" i="2"/>
  <c r="L1074" i="2"/>
  <c r="K1074" i="2"/>
  <c r="J1074" i="2"/>
  <c r="I1074" i="2"/>
  <c r="H1074" i="2"/>
  <c r="G1074" i="2"/>
  <c r="F1074" i="2"/>
  <c r="E1074" i="2"/>
  <c r="D1074" i="2"/>
  <c r="C1074" i="2"/>
  <c r="B1074" i="2"/>
  <c r="A1074" i="2"/>
  <c r="M1073" i="2"/>
  <c r="L1073" i="2"/>
  <c r="K1073" i="2"/>
  <c r="J1073" i="2"/>
  <c r="I1073" i="2"/>
  <c r="H1073" i="2"/>
  <c r="G1073" i="2"/>
  <c r="F1073" i="2"/>
  <c r="E1073" i="2"/>
  <c r="D1073" i="2"/>
  <c r="C1073" i="2"/>
  <c r="B1073" i="2"/>
  <c r="A1073" i="2"/>
  <c r="M1072" i="2"/>
  <c r="L1072" i="2"/>
  <c r="K1072" i="2"/>
  <c r="J1072" i="2"/>
  <c r="I1072" i="2"/>
  <c r="H1072" i="2"/>
  <c r="G1072" i="2"/>
  <c r="F1072" i="2"/>
  <c r="E1072" i="2"/>
  <c r="D1072" i="2"/>
  <c r="C1072" i="2"/>
  <c r="B1072" i="2"/>
  <c r="A1072" i="2"/>
  <c r="M1071" i="2"/>
  <c r="L1071" i="2"/>
  <c r="K1071" i="2"/>
  <c r="J1071" i="2"/>
  <c r="I1071" i="2"/>
  <c r="H1071" i="2"/>
  <c r="G1071" i="2"/>
  <c r="F1071" i="2"/>
  <c r="E1071" i="2"/>
  <c r="D1071" i="2"/>
  <c r="C1071" i="2"/>
  <c r="B1071" i="2"/>
  <c r="A1071" i="2"/>
  <c r="M1070" i="2"/>
  <c r="L1070" i="2"/>
  <c r="K1070" i="2"/>
  <c r="J1070" i="2"/>
  <c r="I1070" i="2"/>
  <c r="H1070" i="2"/>
  <c r="G1070" i="2"/>
  <c r="F1070" i="2"/>
  <c r="E1070" i="2"/>
  <c r="D1070" i="2"/>
  <c r="C1070" i="2"/>
  <c r="B1070" i="2"/>
  <c r="A1070" i="2"/>
  <c r="M1069" i="2"/>
  <c r="L1069" i="2"/>
  <c r="K1069" i="2"/>
  <c r="J1069" i="2"/>
  <c r="I1069" i="2"/>
  <c r="H1069" i="2"/>
  <c r="G1069" i="2"/>
  <c r="F1069" i="2"/>
  <c r="E1069" i="2"/>
  <c r="D1069" i="2"/>
  <c r="C1069" i="2"/>
  <c r="B1069" i="2"/>
  <c r="A1069" i="2"/>
  <c r="N1068" i="2"/>
  <c r="M1068" i="2"/>
  <c r="L1068" i="2"/>
  <c r="K1068" i="2"/>
  <c r="J1068" i="2"/>
  <c r="I1068" i="2"/>
  <c r="H1068" i="2"/>
  <c r="G1068" i="2"/>
  <c r="F1068" i="2"/>
  <c r="E1068" i="2"/>
  <c r="D1068" i="2"/>
  <c r="C1068" i="2"/>
  <c r="B1068" i="2"/>
  <c r="A1068" i="2"/>
  <c r="N1067" i="2"/>
  <c r="M1067" i="2"/>
  <c r="L1067" i="2"/>
  <c r="K1067" i="2"/>
  <c r="J1067" i="2"/>
  <c r="I1067" i="2"/>
  <c r="H1067" i="2"/>
  <c r="G1067" i="2"/>
  <c r="F1067" i="2"/>
  <c r="E1067" i="2"/>
  <c r="D1067" i="2"/>
  <c r="C1067" i="2"/>
  <c r="B1067" i="2"/>
  <c r="A1067" i="2"/>
  <c r="M1066" i="2"/>
  <c r="L1066" i="2"/>
  <c r="K1066" i="2"/>
  <c r="J1066" i="2"/>
  <c r="I1066" i="2"/>
  <c r="H1066" i="2"/>
  <c r="G1066" i="2"/>
  <c r="F1066" i="2"/>
  <c r="E1066" i="2"/>
  <c r="D1066" i="2"/>
  <c r="C1066" i="2"/>
  <c r="B1066" i="2"/>
  <c r="A1066" i="2"/>
  <c r="N1065" i="2"/>
  <c r="M1065" i="2"/>
  <c r="L1065" i="2"/>
  <c r="K1065" i="2"/>
  <c r="J1065" i="2"/>
  <c r="I1065" i="2"/>
  <c r="H1065" i="2"/>
  <c r="G1065" i="2"/>
  <c r="F1065" i="2"/>
  <c r="E1065" i="2"/>
  <c r="D1065" i="2"/>
  <c r="C1065" i="2"/>
  <c r="B1065" i="2"/>
  <c r="A1065" i="2"/>
  <c r="N1064" i="2"/>
  <c r="M1064" i="2"/>
  <c r="L1064" i="2"/>
  <c r="K1064" i="2"/>
  <c r="J1064" i="2"/>
  <c r="I1064" i="2"/>
  <c r="H1064" i="2"/>
  <c r="G1064" i="2"/>
  <c r="F1064" i="2"/>
  <c r="E1064" i="2"/>
  <c r="D1064" i="2"/>
  <c r="C1064" i="2"/>
  <c r="B1064" i="2"/>
  <c r="A1064" i="2"/>
  <c r="M1063" i="2"/>
  <c r="L1063" i="2"/>
  <c r="K1063" i="2"/>
  <c r="J1063" i="2"/>
  <c r="I1063" i="2"/>
  <c r="H1063" i="2"/>
  <c r="G1063" i="2"/>
  <c r="F1063" i="2"/>
  <c r="E1063" i="2"/>
  <c r="D1063" i="2"/>
  <c r="C1063" i="2"/>
  <c r="B1063" i="2"/>
  <c r="A1063" i="2"/>
  <c r="N1062" i="2"/>
  <c r="M1062" i="2"/>
  <c r="L1062" i="2"/>
  <c r="K1062" i="2"/>
  <c r="J1062" i="2"/>
  <c r="I1062" i="2"/>
  <c r="H1062" i="2"/>
  <c r="G1062" i="2"/>
  <c r="F1062" i="2"/>
  <c r="E1062" i="2"/>
  <c r="D1062" i="2"/>
  <c r="C1062" i="2"/>
  <c r="B1062" i="2"/>
  <c r="A1062" i="2"/>
  <c r="N1061" i="2"/>
  <c r="M1061" i="2"/>
  <c r="L1061" i="2"/>
  <c r="K1061" i="2"/>
  <c r="J1061" i="2"/>
  <c r="I1061" i="2"/>
  <c r="H1061" i="2"/>
  <c r="G1061" i="2"/>
  <c r="F1061" i="2"/>
  <c r="E1061" i="2"/>
  <c r="D1061" i="2"/>
  <c r="C1061" i="2"/>
  <c r="B1061" i="2"/>
  <c r="A1061" i="2"/>
  <c r="M1060" i="2"/>
  <c r="L1060" i="2"/>
  <c r="K1060" i="2"/>
  <c r="J1060" i="2"/>
  <c r="I1060" i="2"/>
  <c r="H1060" i="2"/>
  <c r="G1060" i="2"/>
  <c r="F1060" i="2"/>
  <c r="E1060" i="2"/>
  <c r="D1060" i="2"/>
  <c r="C1060" i="2"/>
  <c r="B1060" i="2"/>
  <c r="A1060" i="2"/>
  <c r="N1059" i="2"/>
  <c r="M1059" i="2"/>
  <c r="L1059" i="2"/>
  <c r="K1059" i="2"/>
  <c r="J1059" i="2"/>
  <c r="I1059" i="2"/>
  <c r="H1059" i="2"/>
  <c r="G1059" i="2"/>
  <c r="F1059" i="2"/>
  <c r="E1059" i="2"/>
  <c r="D1059" i="2"/>
  <c r="C1059" i="2"/>
  <c r="B1059" i="2"/>
  <c r="A1059" i="2"/>
  <c r="N1058" i="2"/>
  <c r="M1058" i="2"/>
  <c r="L1058" i="2"/>
  <c r="K1058" i="2"/>
  <c r="J1058" i="2"/>
  <c r="I1058" i="2"/>
  <c r="H1058" i="2"/>
  <c r="G1058" i="2"/>
  <c r="F1058" i="2"/>
  <c r="E1058" i="2"/>
  <c r="D1058" i="2"/>
  <c r="C1058" i="2"/>
  <c r="B1058" i="2"/>
  <c r="A1058" i="2"/>
  <c r="M1057" i="2"/>
  <c r="L1057" i="2"/>
  <c r="K1057" i="2"/>
  <c r="J1057" i="2"/>
  <c r="I1057" i="2"/>
  <c r="H1057" i="2"/>
  <c r="G1057" i="2"/>
  <c r="F1057" i="2"/>
  <c r="E1057" i="2"/>
  <c r="D1057" i="2"/>
  <c r="C1057" i="2"/>
  <c r="B1057" i="2"/>
  <c r="A1057" i="2"/>
  <c r="M1056" i="2"/>
  <c r="L1056" i="2"/>
  <c r="K1056" i="2"/>
  <c r="J1056" i="2"/>
  <c r="I1056" i="2"/>
  <c r="H1056" i="2"/>
  <c r="G1056" i="2"/>
  <c r="F1056" i="2"/>
  <c r="E1056" i="2"/>
  <c r="D1056" i="2"/>
  <c r="C1056" i="2"/>
  <c r="B1056" i="2"/>
  <c r="A1056" i="2"/>
  <c r="M1055" i="2"/>
  <c r="L1055" i="2"/>
  <c r="K1055" i="2"/>
  <c r="J1055" i="2"/>
  <c r="I1055" i="2"/>
  <c r="H1055" i="2"/>
  <c r="G1055" i="2"/>
  <c r="F1055" i="2"/>
  <c r="E1055" i="2"/>
  <c r="D1055" i="2"/>
  <c r="C1055" i="2"/>
  <c r="B1055" i="2"/>
  <c r="A1055" i="2"/>
  <c r="M1054" i="2"/>
  <c r="L1054" i="2"/>
  <c r="K1054" i="2"/>
  <c r="J1054" i="2"/>
  <c r="I1054" i="2"/>
  <c r="H1054" i="2"/>
  <c r="G1054" i="2"/>
  <c r="F1054" i="2"/>
  <c r="E1054" i="2"/>
  <c r="D1054" i="2"/>
  <c r="C1054" i="2"/>
  <c r="B1054" i="2"/>
  <c r="A1054" i="2"/>
  <c r="M1053" i="2"/>
  <c r="L1053" i="2"/>
  <c r="K1053" i="2"/>
  <c r="J1053" i="2"/>
  <c r="I1053" i="2"/>
  <c r="H1053" i="2"/>
  <c r="G1053" i="2"/>
  <c r="F1053" i="2"/>
  <c r="E1053" i="2"/>
  <c r="D1053" i="2"/>
  <c r="C1053" i="2"/>
  <c r="B1053" i="2"/>
  <c r="A1053" i="2"/>
  <c r="M1052" i="2"/>
  <c r="L1052" i="2"/>
  <c r="K1052" i="2"/>
  <c r="J1052" i="2"/>
  <c r="I1052" i="2"/>
  <c r="H1052" i="2"/>
  <c r="G1052" i="2"/>
  <c r="F1052" i="2"/>
  <c r="E1052" i="2"/>
  <c r="D1052" i="2"/>
  <c r="C1052" i="2"/>
  <c r="B1052" i="2"/>
  <c r="A1052" i="2"/>
  <c r="M1051" i="2"/>
  <c r="L1051" i="2"/>
  <c r="K1051" i="2"/>
  <c r="J1051" i="2"/>
  <c r="I1051" i="2"/>
  <c r="H1051" i="2"/>
  <c r="G1051" i="2"/>
  <c r="F1051" i="2"/>
  <c r="E1051" i="2"/>
  <c r="D1051" i="2"/>
  <c r="C1051" i="2"/>
  <c r="B1051" i="2"/>
  <c r="A1051" i="2"/>
  <c r="M1050" i="2"/>
  <c r="L1050" i="2"/>
  <c r="K1050" i="2"/>
  <c r="J1050" i="2"/>
  <c r="I1050" i="2"/>
  <c r="H1050" i="2"/>
  <c r="G1050" i="2"/>
  <c r="F1050" i="2"/>
  <c r="E1050" i="2"/>
  <c r="D1050" i="2"/>
  <c r="C1050" i="2"/>
  <c r="B1050" i="2"/>
  <c r="A1050" i="2"/>
  <c r="M1049" i="2"/>
  <c r="L1049" i="2"/>
  <c r="K1049" i="2"/>
  <c r="J1049" i="2"/>
  <c r="I1049" i="2"/>
  <c r="H1049" i="2"/>
  <c r="G1049" i="2"/>
  <c r="F1049" i="2"/>
  <c r="E1049" i="2"/>
  <c r="D1049" i="2"/>
  <c r="C1049" i="2"/>
  <c r="B1049" i="2"/>
  <c r="A1049" i="2"/>
  <c r="M1048" i="2"/>
  <c r="L1048" i="2"/>
  <c r="K1048" i="2"/>
  <c r="J1048" i="2"/>
  <c r="I1048" i="2"/>
  <c r="H1048" i="2"/>
  <c r="G1048" i="2"/>
  <c r="F1048" i="2"/>
  <c r="E1048" i="2"/>
  <c r="D1048" i="2"/>
  <c r="C1048" i="2"/>
  <c r="B1048" i="2"/>
  <c r="A1048" i="2"/>
  <c r="M1047" i="2"/>
  <c r="L1047" i="2"/>
  <c r="K1047" i="2"/>
  <c r="J1047" i="2"/>
  <c r="I1047" i="2"/>
  <c r="H1047" i="2"/>
  <c r="G1047" i="2"/>
  <c r="F1047" i="2"/>
  <c r="E1047" i="2"/>
  <c r="D1047" i="2"/>
  <c r="C1047" i="2"/>
  <c r="B1047" i="2"/>
  <c r="A1047" i="2"/>
  <c r="M1046" i="2"/>
  <c r="L1046" i="2"/>
  <c r="K1046" i="2"/>
  <c r="J1046" i="2"/>
  <c r="I1046" i="2"/>
  <c r="H1046" i="2"/>
  <c r="G1046" i="2"/>
  <c r="F1046" i="2"/>
  <c r="E1046" i="2"/>
  <c r="D1046" i="2"/>
  <c r="C1046" i="2"/>
  <c r="B1046" i="2"/>
  <c r="A1046" i="2"/>
  <c r="M1045" i="2"/>
  <c r="L1045" i="2"/>
  <c r="K1045" i="2"/>
  <c r="J1045" i="2"/>
  <c r="I1045" i="2"/>
  <c r="H1045" i="2"/>
  <c r="G1045" i="2"/>
  <c r="F1045" i="2"/>
  <c r="E1045" i="2"/>
  <c r="D1045" i="2"/>
  <c r="C1045" i="2"/>
  <c r="B1045" i="2"/>
  <c r="A1045" i="2"/>
  <c r="M1044" i="2"/>
  <c r="L1044" i="2"/>
  <c r="K1044" i="2"/>
  <c r="J1044" i="2"/>
  <c r="I1044" i="2"/>
  <c r="H1044" i="2"/>
  <c r="G1044" i="2"/>
  <c r="F1044" i="2"/>
  <c r="E1044" i="2"/>
  <c r="D1044" i="2"/>
  <c r="C1044" i="2"/>
  <c r="B1044" i="2"/>
  <c r="A1044" i="2"/>
  <c r="M1043" i="2"/>
  <c r="L1043" i="2"/>
  <c r="K1043" i="2"/>
  <c r="J1043" i="2"/>
  <c r="I1043" i="2"/>
  <c r="H1043" i="2"/>
  <c r="G1043" i="2"/>
  <c r="F1043" i="2"/>
  <c r="E1043" i="2"/>
  <c r="D1043" i="2"/>
  <c r="C1043" i="2"/>
  <c r="B1043" i="2"/>
  <c r="A1043" i="2"/>
  <c r="M1042" i="2"/>
  <c r="L1042" i="2"/>
  <c r="K1042" i="2"/>
  <c r="J1042" i="2"/>
  <c r="I1042" i="2"/>
  <c r="H1042" i="2"/>
  <c r="G1042" i="2"/>
  <c r="F1042" i="2"/>
  <c r="E1042" i="2"/>
  <c r="D1042" i="2"/>
  <c r="C1042" i="2"/>
  <c r="B1042" i="2"/>
  <c r="A1042" i="2"/>
  <c r="M1041" i="2"/>
  <c r="L1041" i="2"/>
  <c r="K1041" i="2"/>
  <c r="J1041" i="2"/>
  <c r="I1041" i="2"/>
  <c r="H1041" i="2"/>
  <c r="G1041" i="2"/>
  <c r="F1041" i="2"/>
  <c r="E1041" i="2"/>
  <c r="D1041" i="2"/>
  <c r="C1041" i="2"/>
  <c r="B1041" i="2"/>
  <c r="A1041" i="2"/>
  <c r="M1040" i="2"/>
  <c r="L1040" i="2"/>
  <c r="K1040" i="2"/>
  <c r="J1040" i="2"/>
  <c r="I1040" i="2"/>
  <c r="H1040" i="2"/>
  <c r="G1040" i="2"/>
  <c r="F1040" i="2"/>
  <c r="E1040" i="2"/>
  <c r="D1040" i="2"/>
  <c r="C1040" i="2"/>
  <c r="B1040" i="2"/>
  <c r="A1040" i="2"/>
  <c r="M1039" i="2"/>
  <c r="L1039" i="2"/>
  <c r="K1039" i="2"/>
  <c r="J1039" i="2"/>
  <c r="I1039" i="2"/>
  <c r="H1039" i="2"/>
  <c r="G1039" i="2"/>
  <c r="F1039" i="2"/>
  <c r="E1039" i="2"/>
  <c r="D1039" i="2"/>
  <c r="C1039" i="2"/>
  <c r="B1039" i="2"/>
  <c r="A1039" i="2"/>
  <c r="M1038" i="2"/>
  <c r="L1038" i="2"/>
  <c r="K1038" i="2"/>
  <c r="J1038" i="2"/>
  <c r="I1038" i="2"/>
  <c r="H1038" i="2"/>
  <c r="G1038" i="2"/>
  <c r="F1038" i="2"/>
  <c r="E1038" i="2"/>
  <c r="D1038" i="2"/>
  <c r="C1038" i="2"/>
  <c r="B1038" i="2"/>
  <c r="A1038" i="2"/>
  <c r="M1037" i="2"/>
  <c r="L1037" i="2"/>
  <c r="K1037" i="2"/>
  <c r="J1037" i="2"/>
  <c r="I1037" i="2"/>
  <c r="H1037" i="2"/>
  <c r="G1037" i="2"/>
  <c r="F1037" i="2"/>
  <c r="E1037" i="2"/>
  <c r="D1037" i="2"/>
  <c r="C1037" i="2"/>
  <c r="B1037" i="2"/>
  <c r="A1037" i="2"/>
  <c r="M1036" i="2"/>
  <c r="L1036" i="2"/>
  <c r="K1036" i="2"/>
  <c r="J1036" i="2"/>
  <c r="I1036" i="2"/>
  <c r="H1036" i="2"/>
  <c r="G1036" i="2"/>
  <c r="F1036" i="2"/>
  <c r="E1036" i="2"/>
  <c r="D1036" i="2"/>
  <c r="C1036" i="2"/>
  <c r="B1036" i="2"/>
  <c r="A1036" i="2"/>
  <c r="M1035" i="2"/>
  <c r="L1035" i="2"/>
  <c r="K1035" i="2"/>
  <c r="J1035" i="2"/>
  <c r="I1035" i="2"/>
  <c r="H1035" i="2"/>
  <c r="G1035" i="2"/>
  <c r="F1035" i="2"/>
  <c r="E1035" i="2"/>
  <c r="D1035" i="2"/>
  <c r="C1035" i="2"/>
  <c r="B1035" i="2"/>
  <c r="A1035" i="2"/>
  <c r="M1034" i="2"/>
  <c r="L1034" i="2"/>
  <c r="K1034" i="2"/>
  <c r="J1034" i="2"/>
  <c r="I1034" i="2"/>
  <c r="H1034" i="2"/>
  <c r="G1034" i="2"/>
  <c r="F1034" i="2"/>
  <c r="E1034" i="2"/>
  <c r="D1034" i="2"/>
  <c r="C1034" i="2"/>
  <c r="B1034" i="2"/>
  <c r="A1034" i="2"/>
  <c r="M1033" i="2"/>
  <c r="L1033" i="2"/>
  <c r="K1033" i="2"/>
  <c r="J1033" i="2"/>
  <c r="I1033" i="2"/>
  <c r="H1033" i="2"/>
  <c r="G1033" i="2"/>
  <c r="F1033" i="2"/>
  <c r="E1033" i="2"/>
  <c r="D1033" i="2"/>
  <c r="C1033" i="2"/>
  <c r="B1033" i="2"/>
  <c r="A1033" i="2"/>
  <c r="M1032" i="2"/>
  <c r="L1032" i="2"/>
  <c r="K1032" i="2"/>
  <c r="J1032" i="2"/>
  <c r="I1032" i="2"/>
  <c r="H1032" i="2"/>
  <c r="G1032" i="2"/>
  <c r="F1032" i="2"/>
  <c r="E1032" i="2"/>
  <c r="D1032" i="2"/>
  <c r="C1032" i="2"/>
  <c r="B1032" i="2"/>
  <c r="A1032" i="2"/>
  <c r="M1031" i="2"/>
  <c r="L1031" i="2"/>
  <c r="K1031" i="2"/>
  <c r="J1031" i="2"/>
  <c r="I1031" i="2"/>
  <c r="H1031" i="2"/>
  <c r="G1031" i="2"/>
  <c r="F1031" i="2"/>
  <c r="E1031" i="2"/>
  <c r="D1031" i="2"/>
  <c r="C1031" i="2"/>
  <c r="B1031" i="2"/>
  <c r="A1031" i="2"/>
  <c r="M1030" i="2"/>
  <c r="L1030" i="2"/>
  <c r="K1030" i="2"/>
  <c r="J1030" i="2"/>
  <c r="I1030" i="2"/>
  <c r="H1030" i="2"/>
  <c r="G1030" i="2"/>
  <c r="F1030" i="2"/>
  <c r="E1030" i="2"/>
  <c r="D1030" i="2"/>
  <c r="C1030" i="2"/>
  <c r="B1030" i="2"/>
  <c r="A1030" i="2"/>
  <c r="M1029" i="2"/>
  <c r="L1029" i="2"/>
  <c r="K1029" i="2"/>
  <c r="J1029" i="2"/>
  <c r="I1029" i="2"/>
  <c r="H1029" i="2"/>
  <c r="G1029" i="2"/>
  <c r="F1029" i="2"/>
  <c r="E1029" i="2"/>
  <c r="D1029" i="2"/>
  <c r="C1029" i="2"/>
  <c r="B1029" i="2"/>
  <c r="A1029" i="2"/>
  <c r="M1028" i="2"/>
  <c r="L1028" i="2"/>
  <c r="K1028" i="2"/>
  <c r="J1028" i="2"/>
  <c r="I1028" i="2"/>
  <c r="H1028" i="2"/>
  <c r="G1028" i="2"/>
  <c r="F1028" i="2"/>
  <c r="E1028" i="2"/>
  <c r="D1028" i="2"/>
  <c r="C1028" i="2"/>
  <c r="B1028" i="2"/>
  <c r="A1028" i="2"/>
  <c r="M1027" i="2"/>
  <c r="L1027" i="2"/>
  <c r="K1027" i="2"/>
  <c r="J1027" i="2"/>
  <c r="I1027" i="2"/>
  <c r="H1027" i="2"/>
  <c r="G1027" i="2"/>
  <c r="F1027" i="2"/>
  <c r="E1027" i="2"/>
  <c r="D1027" i="2"/>
  <c r="C1027" i="2"/>
  <c r="B1027" i="2"/>
  <c r="A1027" i="2"/>
  <c r="M1026" i="2"/>
  <c r="L1026" i="2"/>
  <c r="K1026" i="2"/>
  <c r="J1026" i="2"/>
  <c r="I1026" i="2"/>
  <c r="H1026" i="2"/>
  <c r="G1026" i="2"/>
  <c r="F1026" i="2"/>
  <c r="E1026" i="2"/>
  <c r="D1026" i="2"/>
  <c r="C1026" i="2"/>
  <c r="B1026" i="2"/>
  <c r="A1026" i="2"/>
  <c r="M1025" i="2"/>
  <c r="L1025" i="2"/>
  <c r="K1025" i="2"/>
  <c r="J1025" i="2"/>
  <c r="I1025" i="2"/>
  <c r="H1025" i="2"/>
  <c r="G1025" i="2"/>
  <c r="F1025" i="2"/>
  <c r="E1025" i="2"/>
  <c r="D1025" i="2"/>
  <c r="C1025" i="2"/>
  <c r="B1025" i="2"/>
  <c r="A1025" i="2"/>
  <c r="M1024" i="2"/>
  <c r="L1024" i="2"/>
  <c r="K1024" i="2"/>
  <c r="J1024" i="2"/>
  <c r="I1024" i="2"/>
  <c r="H1024" i="2"/>
  <c r="G1024" i="2"/>
  <c r="F1024" i="2"/>
  <c r="E1024" i="2"/>
  <c r="D1024" i="2"/>
  <c r="C1024" i="2"/>
  <c r="B1024" i="2"/>
  <c r="A1024" i="2"/>
  <c r="M1023" i="2"/>
  <c r="L1023" i="2"/>
  <c r="K1023" i="2"/>
  <c r="J1023" i="2"/>
  <c r="I1023" i="2"/>
  <c r="H1023" i="2"/>
  <c r="G1023" i="2"/>
  <c r="F1023" i="2"/>
  <c r="E1023" i="2"/>
  <c r="D1023" i="2"/>
  <c r="C1023" i="2"/>
  <c r="B1023" i="2"/>
  <c r="A1023" i="2"/>
  <c r="M1022" i="2"/>
  <c r="L1022" i="2"/>
  <c r="K1022" i="2"/>
  <c r="J1022" i="2"/>
  <c r="I1022" i="2"/>
  <c r="H1022" i="2"/>
  <c r="G1022" i="2"/>
  <c r="F1022" i="2"/>
  <c r="E1022" i="2"/>
  <c r="D1022" i="2"/>
  <c r="C1022" i="2"/>
  <c r="B1022" i="2"/>
  <c r="A1022" i="2"/>
  <c r="M1021" i="2"/>
  <c r="L1021" i="2"/>
  <c r="K1021" i="2"/>
  <c r="J1021" i="2"/>
  <c r="I1021" i="2"/>
  <c r="H1021" i="2"/>
  <c r="G1021" i="2"/>
  <c r="F1021" i="2"/>
  <c r="E1021" i="2"/>
  <c r="D1021" i="2"/>
  <c r="C1021" i="2"/>
  <c r="B1021" i="2"/>
  <c r="A1021" i="2"/>
  <c r="M1020" i="2"/>
  <c r="L1020" i="2"/>
  <c r="K1020" i="2"/>
  <c r="J1020" i="2"/>
  <c r="I1020" i="2"/>
  <c r="H1020" i="2"/>
  <c r="G1020" i="2"/>
  <c r="F1020" i="2"/>
  <c r="E1020" i="2"/>
  <c r="D1020" i="2"/>
  <c r="C1020" i="2"/>
  <c r="B1020" i="2"/>
  <c r="A1020" i="2"/>
  <c r="M1019" i="2"/>
  <c r="L1019" i="2"/>
  <c r="K1019" i="2"/>
  <c r="J1019" i="2"/>
  <c r="I1019" i="2"/>
  <c r="H1019" i="2"/>
  <c r="G1019" i="2"/>
  <c r="F1019" i="2"/>
  <c r="E1019" i="2"/>
  <c r="D1019" i="2"/>
  <c r="C1019" i="2"/>
  <c r="B1019" i="2"/>
  <c r="A1019" i="2"/>
  <c r="M1018" i="2"/>
  <c r="L1018" i="2"/>
  <c r="K1018" i="2"/>
  <c r="J1018" i="2"/>
  <c r="I1018" i="2"/>
  <c r="H1018" i="2"/>
  <c r="G1018" i="2"/>
  <c r="F1018" i="2"/>
  <c r="E1018" i="2"/>
  <c r="D1018" i="2"/>
  <c r="C1018" i="2"/>
  <c r="B1018" i="2"/>
  <c r="A1018" i="2"/>
  <c r="M1017" i="2"/>
  <c r="L1017" i="2"/>
  <c r="K1017" i="2"/>
  <c r="J1017" i="2"/>
  <c r="I1017" i="2"/>
  <c r="H1017" i="2"/>
  <c r="G1017" i="2"/>
  <c r="F1017" i="2"/>
  <c r="E1017" i="2"/>
  <c r="D1017" i="2"/>
  <c r="C1017" i="2"/>
  <c r="B1017" i="2"/>
  <c r="A1017" i="2"/>
  <c r="M1016" i="2"/>
  <c r="L1016" i="2"/>
  <c r="K1016" i="2"/>
  <c r="J1016" i="2"/>
  <c r="I1016" i="2"/>
  <c r="H1016" i="2"/>
  <c r="G1016" i="2"/>
  <c r="F1016" i="2"/>
  <c r="E1016" i="2"/>
  <c r="D1016" i="2"/>
  <c r="C1016" i="2"/>
  <c r="B1016" i="2"/>
  <c r="A1016" i="2"/>
  <c r="M1015" i="2"/>
  <c r="L1015" i="2"/>
  <c r="K1015" i="2"/>
  <c r="J1015" i="2"/>
  <c r="I1015" i="2"/>
  <c r="H1015" i="2"/>
  <c r="F1015" i="2"/>
  <c r="E1015" i="2"/>
  <c r="D1015" i="2"/>
  <c r="C1015" i="2"/>
  <c r="B1015" i="2"/>
  <c r="A1015" i="2"/>
  <c r="N1014" i="2"/>
  <c r="M1014" i="2"/>
  <c r="L1014" i="2"/>
  <c r="K1014" i="2"/>
  <c r="J1014" i="2"/>
  <c r="I1014" i="2"/>
  <c r="H1014" i="2"/>
  <c r="G1014" i="2"/>
  <c r="F1014" i="2"/>
  <c r="E1014" i="2"/>
  <c r="D1014" i="2"/>
  <c r="C1014" i="2"/>
  <c r="B1014" i="2"/>
  <c r="A1014" i="2"/>
  <c r="N1013" i="2"/>
  <c r="M1013" i="2"/>
  <c r="L1013" i="2"/>
  <c r="K1013" i="2"/>
  <c r="J1013" i="2"/>
  <c r="I1013" i="2"/>
  <c r="H1013" i="2"/>
  <c r="G1013" i="2"/>
  <c r="F1013" i="2"/>
  <c r="E1013" i="2"/>
  <c r="D1013" i="2"/>
  <c r="C1013" i="2"/>
  <c r="B1013" i="2"/>
  <c r="A1013" i="2"/>
  <c r="N1012" i="2"/>
  <c r="M1012" i="2"/>
  <c r="L1012" i="2"/>
  <c r="K1012" i="2"/>
  <c r="J1012" i="2"/>
  <c r="I1012" i="2"/>
  <c r="H1012" i="2"/>
  <c r="G1012" i="2"/>
  <c r="F1012" i="2"/>
  <c r="E1012" i="2"/>
  <c r="D1012" i="2"/>
  <c r="C1012" i="2"/>
  <c r="B1012" i="2"/>
  <c r="A1012" i="2"/>
  <c r="M1011" i="2"/>
  <c r="L1011" i="2"/>
  <c r="K1011" i="2"/>
  <c r="J1011" i="2"/>
  <c r="I1011" i="2"/>
  <c r="H1011" i="2"/>
  <c r="G1011" i="2"/>
  <c r="F1011" i="2"/>
  <c r="E1011" i="2"/>
  <c r="D1011" i="2"/>
  <c r="C1011" i="2"/>
  <c r="B1011" i="2"/>
  <c r="A1011" i="2"/>
  <c r="M1010" i="2"/>
  <c r="L1010" i="2"/>
  <c r="K1010" i="2"/>
  <c r="J1010" i="2"/>
  <c r="I1010" i="2"/>
  <c r="H1010" i="2"/>
  <c r="G1010" i="2"/>
  <c r="F1010" i="2"/>
  <c r="E1010" i="2"/>
  <c r="D1010" i="2"/>
  <c r="C1010" i="2"/>
  <c r="B1010" i="2"/>
  <c r="A1010" i="2"/>
  <c r="M1009" i="2"/>
  <c r="L1009" i="2"/>
  <c r="K1009" i="2"/>
  <c r="J1009" i="2"/>
  <c r="I1009" i="2"/>
  <c r="H1009" i="2"/>
  <c r="G1009" i="2"/>
  <c r="F1009" i="2"/>
  <c r="E1009" i="2"/>
  <c r="D1009" i="2"/>
  <c r="C1009" i="2"/>
  <c r="B1009" i="2"/>
  <c r="A1009" i="2"/>
  <c r="M1008" i="2"/>
  <c r="L1008" i="2"/>
  <c r="K1008" i="2"/>
  <c r="J1008" i="2"/>
  <c r="I1008" i="2"/>
  <c r="H1008" i="2"/>
  <c r="G1008" i="2"/>
  <c r="F1008" i="2"/>
  <c r="E1008" i="2"/>
  <c r="D1008" i="2"/>
  <c r="C1008" i="2"/>
  <c r="B1008" i="2"/>
  <c r="A1008" i="2"/>
  <c r="M1007" i="2"/>
  <c r="L1007" i="2"/>
  <c r="K1007" i="2"/>
  <c r="J1007" i="2"/>
  <c r="I1007" i="2"/>
  <c r="H1007" i="2"/>
  <c r="G1007" i="2"/>
  <c r="F1007" i="2"/>
  <c r="E1007" i="2"/>
  <c r="D1007" i="2"/>
  <c r="C1007" i="2"/>
  <c r="B1007" i="2"/>
  <c r="A1007" i="2"/>
  <c r="M1006" i="2"/>
  <c r="L1006" i="2"/>
  <c r="K1006" i="2"/>
  <c r="J1006" i="2"/>
  <c r="I1006" i="2"/>
  <c r="H1006" i="2"/>
  <c r="G1006" i="2"/>
  <c r="F1006" i="2"/>
  <c r="E1006" i="2"/>
  <c r="D1006" i="2"/>
  <c r="C1006" i="2"/>
  <c r="B1006" i="2"/>
  <c r="A1006" i="2"/>
  <c r="M1005" i="2"/>
  <c r="L1005" i="2"/>
  <c r="K1005" i="2"/>
  <c r="J1005" i="2"/>
  <c r="I1005" i="2"/>
  <c r="H1005" i="2"/>
  <c r="G1005" i="2"/>
  <c r="F1005" i="2"/>
  <c r="E1005" i="2"/>
  <c r="D1005" i="2"/>
  <c r="C1005" i="2"/>
  <c r="B1005" i="2"/>
  <c r="A1005" i="2"/>
  <c r="M1004" i="2"/>
  <c r="L1004" i="2"/>
  <c r="K1004" i="2"/>
  <c r="J1004" i="2"/>
  <c r="I1004" i="2"/>
  <c r="H1004" i="2"/>
  <c r="G1004" i="2"/>
  <c r="F1004" i="2"/>
  <c r="E1004" i="2"/>
  <c r="D1004" i="2"/>
  <c r="C1004" i="2"/>
  <c r="B1004" i="2"/>
  <c r="A1004" i="2"/>
  <c r="M1003" i="2"/>
  <c r="L1003" i="2"/>
  <c r="K1003" i="2"/>
  <c r="J1003" i="2"/>
  <c r="I1003" i="2"/>
  <c r="H1003" i="2"/>
  <c r="G1003" i="2"/>
  <c r="F1003" i="2"/>
  <c r="E1003" i="2"/>
  <c r="D1003" i="2"/>
  <c r="C1003" i="2"/>
  <c r="B1003" i="2"/>
  <c r="A1003" i="2"/>
  <c r="M1002" i="2"/>
  <c r="L1002" i="2"/>
  <c r="K1002" i="2"/>
  <c r="J1002" i="2"/>
  <c r="I1002" i="2"/>
  <c r="H1002" i="2"/>
  <c r="G1002" i="2"/>
  <c r="F1002" i="2"/>
  <c r="E1002" i="2"/>
  <c r="D1002" i="2"/>
  <c r="C1002" i="2"/>
  <c r="B1002" i="2"/>
  <c r="A1002" i="2"/>
  <c r="M1001" i="2"/>
  <c r="L1001" i="2"/>
  <c r="K1001" i="2"/>
  <c r="J1001" i="2"/>
  <c r="I1001" i="2"/>
  <c r="H1001" i="2"/>
  <c r="G1001" i="2"/>
  <c r="F1001" i="2"/>
  <c r="E1001" i="2"/>
  <c r="D1001" i="2"/>
  <c r="C1001" i="2"/>
  <c r="B1001" i="2"/>
  <c r="A1001" i="2"/>
  <c r="M1000" i="2"/>
  <c r="L1000" i="2"/>
  <c r="K1000" i="2"/>
  <c r="J1000" i="2"/>
  <c r="I1000" i="2"/>
  <c r="H1000" i="2"/>
  <c r="G1000" i="2"/>
  <c r="F1000" i="2"/>
  <c r="E1000" i="2"/>
  <c r="D1000" i="2"/>
  <c r="C1000" i="2"/>
  <c r="B1000" i="2"/>
  <c r="A1000" i="2"/>
  <c r="M999" i="2"/>
  <c r="L999" i="2"/>
  <c r="K999" i="2"/>
  <c r="J999" i="2"/>
  <c r="I999" i="2"/>
  <c r="H999" i="2"/>
  <c r="G999" i="2"/>
  <c r="F999" i="2"/>
  <c r="E999" i="2"/>
  <c r="D999" i="2"/>
  <c r="C999" i="2"/>
  <c r="B999" i="2"/>
  <c r="A999" i="2"/>
  <c r="M998" i="2"/>
  <c r="L998" i="2"/>
  <c r="K998" i="2"/>
  <c r="J998" i="2"/>
  <c r="I998" i="2"/>
  <c r="H998" i="2"/>
  <c r="G998" i="2"/>
  <c r="F998" i="2"/>
  <c r="E998" i="2"/>
  <c r="D998" i="2"/>
  <c r="C998" i="2"/>
  <c r="B998" i="2"/>
  <c r="A998" i="2"/>
  <c r="M997" i="2"/>
  <c r="L997" i="2"/>
  <c r="K997" i="2"/>
  <c r="J997" i="2"/>
  <c r="I997" i="2"/>
  <c r="H997" i="2"/>
  <c r="G997" i="2"/>
  <c r="F997" i="2"/>
  <c r="E997" i="2"/>
  <c r="D997" i="2"/>
  <c r="C997" i="2"/>
  <c r="B997" i="2"/>
  <c r="A997" i="2"/>
  <c r="M996" i="2"/>
  <c r="L996" i="2"/>
  <c r="K996" i="2"/>
  <c r="J996" i="2"/>
  <c r="I996" i="2"/>
  <c r="H996" i="2"/>
  <c r="G996" i="2"/>
  <c r="F996" i="2"/>
  <c r="E996" i="2"/>
  <c r="D996" i="2"/>
  <c r="C996" i="2"/>
  <c r="B996" i="2"/>
  <c r="A996" i="2"/>
  <c r="M995" i="2"/>
  <c r="L995" i="2"/>
  <c r="K995" i="2"/>
  <c r="J995" i="2"/>
  <c r="I995" i="2"/>
  <c r="H995" i="2"/>
  <c r="G995" i="2"/>
  <c r="F995" i="2"/>
  <c r="E995" i="2"/>
  <c r="D995" i="2"/>
  <c r="C995" i="2"/>
  <c r="B995" i="2"/>
  <c r="A995" i="2"/>
  <c r="M994" i="2"/>
  <c r="L994" i="2"/>
  <c r="K994" i="2"/>
  <c r="J994" i="2"/>
  <c r="I994" i="2"/>
  <c r="H994" i="2"/>
  <c r="G994" i="2"/>
  <c r="F994" i="2"/>
  <c r="E994" i="2"/>
  <c r="D994" i="2"/>
  <c r="C994" i="2"/>
  <c r="B994" i="2"/>
  <c r="A994" i="2"/>
  <c r="M993" i="2"/>
  <c r="L993" i="2"/>
  <c r="K993" i="2"/>
  <c r="J993" i="2"/>
  <c r="I993" i="2"/>
  <c r="H993" i="2"/>
  <c r="G993" i="2"/>
  <c r="F993" i="2"/>
  <c r="E993" i="2"/>
  <c r="D993" i="2"/>
  <c r="C993" i="2"/>
  <c r="B993" i="2"/>
  <c r="A993" i="2"/>
  <c r="M992" i="2"/>
  <c r="L992" i="2"/>
  <c r="K992" i="2"/>
  <c r="J992" i="2"/>
  <c r="I992" i="2"/>
  <c r="H992" i="2"/>
  <c r="G992" i="2"/>
  <c r="F992" i="2"/>
  <c r="E992" i="2"/>
  <c r="D992" i="2"/>
  <c r="C992" i="2"/>
  <c r="B992" i="2"/>
  <c r="A992" i="2"/>
  <c r="M991" i="2"/>
  <c r="L991" i="2"/>
  <c r="K991" i="2"/>
  <c r="J991" i="2"/>
  <c r="I991" i="2"/>
  <c r="H991" i="2"/>
  <c r="G991" i="2"/>
  <c r="F991" i="2"/>
  <c r="E991" i="2"/>
  <c r="D991" i="2"/>
  <c r="C991" i="2"/>
  <c r="B991" i="2"/>
  <c r="A991" i="2"/>
  <c r="M990" i="2"/>
  <c r="L990" i="2"/>
  <c r="K990" i="2"/>
  <c r="J990" i="2"/>
  <c r="I990" i="2"/>
  <c r="H990" i="2"/>
  <c r="F990" i="2"/>
  <c r="E990" i="2"/>
  <c r="D990" i="2"/>
  <c r="C990" i="2"/>
  <c r="B990" i="2"/>
  <c r="A990" i="2"/>
  <c r="M989" i="2"/>
  <c r="L989" i="2"/>
  <c r="K989" i="2"/>
  <c r="J989" i="2"/>
  <c r="I989" i="2"/>
  <c r="H989" i="2"/>
  <c r="F989" i="2"/>
  <c r="E989" i="2"/>
  <c r="D989" i="2"/>
  <c r="C989" i="2"/>
  <c r="B989" i="2"/>
  <c r="A989" i="2"/>
  <c r="M988" i="2"/>
  <c r="L988" i="2"/>
  <c r="K988" i="2"/>
  <c r="J988" i="2"/>
  <c r="I988" i="2"/>
  <c r="H988" i="2"/>
  <c r="F988" i="2"/>
  <c r="E988" i="2"/>
  <c r="D988" i="2"/>
  <c r="C988" i="2"/>
  <c r="B988" i="2"/>
  <c r="A988" i="2"/>
  <c r="M987" i="2"/>
  <c r="L987" i="2"/>
  <c r="K987" i="2"/>
  <c r="J987" i="2"/>
  <c r="I987" i="2"/>
  <c r="H987" i="2"/>
  <c r="F987" i="2"/>
  <c r="E987" i="2"/>
  <c r="D987" i="2"/>
  <c r="C987" i="2"/>
  <c r="B987" i="2"/>
  <c r="A987" i="2"/>
  <c r="M986" i="2"/>
  <c r="L986" i="2"/>
  <c r="K986" i="2"/>
  <c r="J986" i="2"/>
  <c r="I986" i="2"/>
  <c r="H986" i="2"/>
  <c r="F986" i="2"/>
  <c r="E986" i="2"/>
  <c r="D986" i="2"/>
  <c r="C986" i="2"/>
  <c r="B986" i="2"/>
  <c r="A986" i="2"/>
  <c r="M985" i="2"/>
  <c r="L985" i="2"/>
  <c r="K985" i="2"/>
  <c r="J985" i="2"/>
  <c r="I985" i="2"/>
  <c r="H985" i="2"/>
  <c r="F985" i="2"/>
  <c r="E985" i="2"/>
  <c r="D985" i="2"/>
  <c r="C985" i="2"/>
  <c r="B985" i="2"/>
  <c r="A985" i="2"/>
  <c r="M984" i="2"/>
  <c r="L984" i="2"/>
  <c r="K984" i="2"/>
  <c r="J984" i="2"/>
  <c r="I984" i="2"/>
  <c r="H984" i="2"/>
  <c r="F984" i="2"/>
  <c r="E984" i="2"/>
  <c r="D984" i="2"/>
  <c r="C984" i="2"/>
  <c r="B984" i="2"/>
  <c r="A984" i="2"/>
  <c r="M983" i="2"/>
  <c r="L983" i="2"/>
  <c r="K983" i="2"/>
  <c r="J983" i="2"/>
  <c r="I983" i="2"/>
  <c r="H983" i="2"/>
  <c r="F983" i="2"/>
  <c r="E983" i="2"/>
  <c r="D983" i="2"/>
  <c r="C983" i="2"/>
  <c r="B983" i="2"/>
  <c r="A983" i="2"/>
  <c r="M982" i="2"/>
  <c r="L982" i="2"/>
  <c r="K982" i="2"/>
  <c r="J982" i="2"/>
  <c r="I982" i="2"/>
  <c r="H982" i="2"/>
  <c r="F982" i="2"/>
  <c r="E982" i="2"/>
  <c r="D982" i="2"/>
  <c r="C982" i="2"/>
  <c r="B982" i="2"/>
  <c r="A982" i="2"/>
  <c r="M981" i="2"/>
  <c r="L981" i="2"/>
  <c r="K981" i="2"/>
  <c r="J981" i="2"/>
  <c r="I981" i="2"/>
  <c r="H981" i="2"/>
  <c r="F981" i="2"/>
  <c r="E981" i="2"/>
  <c r="D981" i="2"/>
  <c r="C981" i="2"/>
  <c r="B981" i="2"/>
  <c r="A981" i="2"/>
  <c r="M980" i="2"/>
  <c r="L980" i="2"/>
  <c r="K980" i="2"/>
  <c r="J980" i="2"/>
  <c r="I980" i="2"/>
  <c r="H980" i="2"/>
  <c r="F980" i="2"/>
  <c r="E980" i="2"/>
  <c r="D980" i="2"/>
  <c r="C980" i="2"/>
  <c r="B980" i="2"/>
  <c r="A980" i="2"/>
  <c r="M979" i="2"/>
  <c r="L979" i="2"/>
  <c r="K979" i="2"/>
  <c r="J979" i="2"/>
  <c r="I979" i="2"/>
  <c r="H979" i="2"/>
  <c r="F979" i="2"/>
  <c r="E979" i="2"/>
  <c r="D979" i="2"/>
  <c r="C979" i="2"/>
  <c r="B979" i="2"/>
  <c r="A979" i="2"/>
  <c r="M978" i="2"/>
  <c r="L978" i="2"/>
  <c r="K978" i="2"/>
  <c r="J978" i="2"/>
  <c r="I978" i="2"/>
  <c r="H978" i="2"/>
  <c r="F978" i="2"/>
  <c r="E978" i="2"/>
  <c r="D978" i="2"/>
  <c r="C978" i="2"/>
  <c r="B978" i="2"/>
  <c r="A978" i="2"/>
  <c r="M977" i="2"/>
  <c r="L977" i="2"/>
  <c r="K977" i="2"/>
  <c r="J977" i="2"/>
  <c r="I977" i="2"/>
  <c r="H977" i="2"/>
  <c r="F977" i="2"/>
  <c r="E977" i="2"/>
  <c r="D977" i="2"/>
  <c r="C977" i="2"/>
  <c r="B977" i="2"/>
  <c r="A977" i="2"/>
  <c r="M976" i="2"/>
  <c r="L976" i="2"/>
  <c r="K976" i="2"/>
  <c r="J976" i="2"/>
  <c r="I976" i="2"/>
  <c r="H976" i="2"/>
  <c r="F976" i="2"/>
  <c r="E976" i="2"/>
  <c r="D976" i="2"/>
  <c r="C976" i="2"/>
  <c r="B976" i="2"/>
  <c r="A976" i="2"/>
  <c r="M975" i="2"/>
  <c r="L975" i="2"/>
  <c r="K975" i="2"/>
  <c r="J975" i="2"/>
  <c r="I975" i="2"/>
  <c r="H975" i="2"/>
  <c r="F975" i="2"/>
  <c r="E975" i="2"/>
  <c r="D975" i="2"/>
  <c r="C975" i="2"/>
  <c r="B975" i="2"/>
  <c r="A975" i="2"/>
  <c r="M974" i="2"/>
  <c r="L974" i="2"/>
  <c r="K974" i="2"/>
  <c r="J974" i="2"/>
  <c r="I974" i="2"/>
  <c r="H974" i="2"/>
  <c r="F974" i="2"/>
  <c r="E974" i="2"/>
  <c r="D974" i="2"/>
  <c r="C974" i="2"/>
  <c r="B974" i="2"/>
  <c r="A974" i="2"/>
  <c r="M973" i="2"/>
  <c r="L973" i="2"/>
  <c r="K973" i="2"/>
  <c r="J973" i="2"/>
  <c r="I973" i="2"/>
  <c r="H973" i="2"/>
  <c r="F973" i="2"/>
  <c r="E973" i="2"/>
  <c r="D973" i="2"/>
  <c r="C973" i="2"/>
  <c r="B973" i="2"/>
  <c r="A973" i="2"/>
  <c r="M972" i="2"/>
  <c r="L972" i="2"/>
  <c r="K972" i="2"/>
  <c r="J972" i="2"/>
  <c r="I972" i="2"/>
  <c r="H972" i="2"/>
  <c r="F972" i="2"/>
  <c r="E972" i="2"/>
  <c r="D972" i="2"/>
  <c r="C972" i="2"/>
  <c r="B972" i="2"/>
  <c r="A972" i="2"/>
  <c r="M971" i="2"/>
  <c r="L971" i="2"/>
  <c r="K971" i="2"/>
  <c r="J971" i="2"/>
  <c r="I971" i="2"/>
  <c r="H971" i="2"/>
  <c r="F971" i="2"/>
  <c r="E971" i="2"/>
  <c r="D971" i="2"/>
  <c r="C971" i="2"/>
  <c r="B971" i="2"/>
  <c r="A971" i="2"/>
  <c r="M970" i="2"/>
  <c r="L970" i="2"/>
  <c r="K970" i="2"/>
  <c r="J970" i="2"/>
  <c r="I970" i="2"/>
  <c r="H970" i="2"/>
  <c r="F970" i="2"/>
  <c r="E970" i="2"/>
  <c r="D970" i="2"/>
  <c r="C970" i="2"/>
  <c r="B970" i="2"/>
  <c r="A970" i="2"/>
  <c r="M969" i="2"/>
  <c r="L969" i="2"/>
  <c r="K969" i="2"/>
  <c r="J969" i="2"/>
  <c r="I969" i="2"/>
  <c r="H969" i="2"/>
  <c r="F969" i="2"/>
  <c r="E969" i="2"/>
  <c r="D969" i="2"/>
  <c r="C969" i="2"/>
  <c r="B969" i="2"/>
  <c r="A969" i="2"/>
  <c r="M968" i="2"/>
  <c r="L968" i="2"/>
  <c r="J968" i="2"/>
  <c r="I968" i="2"/>
  <c r="H968" i="2"/>
  <c r="F968" i="2"/>
  <c r="E968" i="2"/>
  <c r="D968" i="2"/>
  <c r="C968" i="2"/>
  <c r="B968" i="2"/>
  <c r="A968" i="2"/>
  <c r="M967" i="2"/>
  <c r="L967" i="2"/>
  <c r="K967" i="2"/>
  <c r="J967" i="2"/>
  <c r="I967" i="2"/>
  <c r="H967" i="2"/>
  <c r="G967" i="2"/>
  <c r="F967" i="2"/>
  <c r="E967" i="2"/>
  <c r="D967" i="2"/>
  <c r="C967" i="2"/>
  <c r="B967" i="2"/>
  <c r="A967" i="2"/>
  <c r="M966" i="2"/>
  <c r="L966" i="2"/>
  <c r="K966" i="2"/>
  <c r="J966" i="2"/>
  <c r="I966" i="2"/>
  <c r="H966" i="2"/>
  <c r="G966" i="2"/>
  <c r="F966" i="2"/>
  <c r="E966" i="2"/>
  <c r="D966" i="2"/>
  <c r="C966" i="2"/>
  <c r="B966" i="2"/>
  <c r="A966" i="2"/>
  <c r="M965" i="2"/>
  <c r="L965" i="2"/>
  <c r="K965" i="2"/>
  <c r="J965" i="2"/>
  <c r="I965" i="2"/>
  <c r="H965" i="2"/>
  <c r="G965" i="2"/>
  <c r="F965" i="2"/>
  <c r="E965" i="2"/>
  <c r="D965" i="2"/>
  <c r="C965" i="2"/>
  <c r="B965" i="2"/>
  <c r="A965" i="2"/>
  <c r="M964" i="2"/>
  <c r="L964" i="2"/>
  <c r="K964" i="2"/>
  <c r="J964" i="2"/>
  <c r="I964" i="2"/>
  <c r="H964" i="2"/>
  <c r="G964" i="2"/>
  <c r="F964" i="2"/>
  <c r="E964" i="2"/>
  <c r="D964" i="2"/>
  <c r="C964" i="2"/>
  <c r="B964" i="2"/>
  <c r="A964" i="2"/>
  <c r="M963" i="2"/>
  <c r="L963" i="2"/>
  <c r="K963" i="2"/>
  <c r="J963" i="2"/>
  <c r="I963" i="2"/>
  <c r="H963" i="2"/>
  <c r="G963" i="2"/>
  <c r="F963" i="2"/>
  <c r="E963" i="2"/>
  <c r="D963" i="2"/>
  <c r="C963" i="2"/>
  <c r="B963" i="2"/>
  <c r="A963" i="2"/>
  <c r="M962" i="2"/>
  <c r="J962" i="2"/>
  <c r="I962" i="2"/>
  <c r="H962" i="2"/>
  <c r="G962" i="2"/>
  <c r="F962" i="2"/>
  <c r="E962" i="2"/>
  <c r="D962" i="2"/>
  <c r="C962" i="2"/>
  <c r="B962" i="2"/>
  <c r="A962" i="2"/>
  <c r="M961" i="2"/>
  <c r="J961" i="2"/>
  <c r="H961" i="2"/>
  <c r="G961" i="2"/>
  <c r="F961" i="2"/>
  <c r="E961" i="2"/>
  <c r="D961" i="2"/>
  <c r="C961" i="2"/>
  <c r="B961" i="2"/>
  <c r="A961" i="2"/>
  <c r="M960" i="2"/>
  <c r="J960" i="2"/>
  <c r="H960" i="2"/>
  <c r="G960" i="2"/>
  <c r="F960" i="2"/>
  <c r="E960" i="2"/>
  <c r="D960" i="2"/>
  <c r="C960" i="2"/>
  <c r="B960" i="2"/>
  <c r="A960" i="2"/>
  <c r="M959" i="2"/>
  <c r="J959" i="2"/>
  <c r="H959" i="2"/>
  <c r="G959" i="2"/>
  <c r="F959" i="2"/>
  <c r="E959" i="2"/>
  <c r="D959" i="2"/>
  <c r="C959" i="2"/>
  <c r="B959" i="2"/>
  <c r="A959" i="2"/>
  <c r="M958" i="2"/>
  <c r="L958" i="2"/>
  <c r="K958" i="2"/>
  <c r="J958" i="2"/>
  <c r="I958" i="2"/>
  <c r="H958" i="2"/>
  <c r="G958" i="2"/>
  <c r="F958" i="2"/>
  <c r="E958" i="2"/>
  <c r="D958" i="2"/>
  <c r="C958" i="2"/>
  <c r="B958" i="2"/>
  <c r="A958" i="2"/>
  <c r="M957" i="2"/>
  <c r="K957" i="2"/>
  <c r="J957" i="2"/>
  <c r="I957" i="2"/>
  <c r="H957" i="2"/>
  <c r="G957" i="2"/>
  <c r="F957" i="2"/>
  <c r="E957" i="2"/>
  <c r="D957" i="2"/>
  <c r="C957" i="2"/>
  <c r="B957" i="2"/>
  <c r="A957" i="2"/>
  <c r="M956" i="2"/>
  <c r="K956" i="2"/>
  <c r="J956" i="2"/>
  <c r="I956" i="2"/>
  <c r="H956" i="2"/>
  <c r="G956" i="2"/>
  <c r="F956" i="2"/>
  <c r="E956" i="2"/>
  <c r="D956" i="2"/>
  <c r="C956" i="2"/>
  <c r="B956" i="2"/>
  <c r="A956" i="2"/>
  <c r="M955" i="2"/>
  <c r="K955" i="2"/>
  <c r="J955" i="2"/>
  <c r="I955" i="2"/>
  <c r="H955" i="2"/>
  <c r="G955" i="2"/>
  <c r="F955" i="2"/>
  <c r="E955" i="2"/>
  <c r="D955" i="2"/>
  <c r="C955" i="2"/>
  <c r="B955" i="2"/>
  <c r="A955" i="2"/>
  <c r="M954" i="2"/>
  <c r="J954" i="2"/>
  <c r="H954" i="2"/>
  <c r="G954" i="2"/>
  <c r="F954" i="2"/>
  <c r="E954" i="2"/>
  <c r="D954" i="2"/>
  <c r="C954" i="2"/>
  <c r="B954" i="2"/>
  <c r="A954" i="2"/>
  <c r="M953" i="2"/>
  <c r="K953" i="2"/>
  <c r="J953" i="2"/>
  <c r="I953" i="2"/>
  <c r="H953" i="2"/>
  <c r="G953" i="2"/>
  <c r="F953" i="2"/>
  <c r="E953" i="2"/>
  <c r="D953" i="2"/>
  <c r="C953" i="2"/>
  <c r="B953" i="2"/>
  <c r="A953" i="2"/>
  <c r="M952" i="2"/>
  <c r="K952" i="2"/>
  <c r="J952" i="2"/>
  <c r="I952" i="2"/>
  <c r="H952" i="2"/>
  <c r="G952" i="2"/>
  <c r="F952" i="2"/>
  <c r="E952" i="2"/>
  <c r="D952" i="2"/>
  <c r="C952" i="2"/>
  <c r="B952" i="2"/>
  <c r="A952" i="2"/>
  <c r="M951" i="2"/>
  <c r="K951" i="2"/>
  <c r="J951" i="2"/>
  <c r="I951" i="2"/>
  <c r="H951" i="2"/>
  <c r="G951" i="2"/>
  <c r="F951" i="2"/>
  <c r="E951" i="2"/>
  <c r="D951" i="2"/>
  <c r="C951" i="2"/>
  <c r="B951" i="2"/>
  <c r="A951" i="2"/>
  <c r="M950" i="2"/>
  <c r="K950" i="2"/>
  <c r="J950" i="2"/>
  <c r="I950" i="2"/>
  <c r="H950" i="2"/>
  <c r="G950" i="2"/>
  <c r="F950" i="2"/>
  <c r="E950" i="2"/>
  <c r="D950" i="2"/>
  <c r="C950" i="2"/>
  <c r="B950" i="2"/>
  <c r="A950" i="2"/>
  <c r="M949" i="2"/>
  <c r="L949" i="2"/>
  <c r="K949" i="2"/>
  <c r="J949" i="2"/>
  <c r="I949" i="2"/>
  <c r="H949" i="2"/>
  <c r="G949" i="2"/>
  <c r="F949" i="2"/>
  <c r="E949" i="2"/>
  <c r="D949" i="2"/>
  <c r="C949" i="2"/>
  <c r="B949" i="2"/>
  <c r="A949" i="2"/>
  <c r="M948" i="2"/>
  <c r="L948" i="2"/>
  <c r="K948" i="2"/>
  <c r="I948" i="2"/>
  <c r="H948" i="2"/>
  <c r="G948" i="2"/>
  <c r="F948" i="2"/>
  <c r="E948" i="2"/>
  <c r="D948" i="2"/>
  <c r="C948" i="2"/>
  <c r="B948" i="2"/>
  <c r="A948" i="2"/>
  <c r="M947" i="2"/>
  <c r="L947" i="2"/>
  <c r="K947" i="2"/>
  <c r="J947" i="2"/>
  <c r="I947" i="2"/>
  <c r="H947" i="2"/>
  <c r="G947" i="2"/>
  <c r="F947" i="2"/>
  <c r="E947" i="2"/>
  <c r="D947" i="2"/>
  <c r="C947" i="2"/>
  <c r="B947" i="2"/>
  <c r="A947" i="2"/>
  <c r="M946" i="2"/>
  <c r="J946" i="2"/>
  <c r="H946" i="2"/>
  <c r="G946" i="2"/>
  <c r="F946" i="2"/>
  <c r="E946" i="2"/>
  <c r="D946" i="2"/>
  <c r="C946" i="2"/>
  <c r="B946" i="2"/>
  <c r="A946" i="2"/>
  <c r="M945" i="2"/>
  <c r="J945" i="2"/>
  <c r="H945" i="2"/>
  <c r="G945" i="2"/>
  <c r="F945" i="2"/>
  <c r="E945" i="2"/>
  <c r="D945" i="2"/>
  <c r="C945" i="2"/>
  <c r="B945" i="2"/>
  <c r="A945" i="2"/>
  <c r="M944" i="2"/>
  <c r="J944" i="2"/>
  <c r="H944" i="2"/>
  <c r="G944" i="2"/>
  <c r="F944" i="2"/>
  <c r="E944" i="2"/>
  <c r="D944" i="2"/>
  <c r="C944" i="2"/>
  <c r="B944" i="2"/>
  <c r="A944" i="2"/>
  <c r="M943" i="2"/>
  <c r="L943" i="2"/>
  <c r="K943" i="2"/>
  <c r="J943" i="2"/>
  <c r="I943" i="2"/>
  <c r="H943" i="2"/>
  <c r="G943" i="2"/>
  <c r="F943" i="2"/>
  <c r="E943" i="2"/>
  <c r="D943" i="2"/>
  <c r="C943" i="2"/>
  <c r="B943" i="2"/>
  <c r="A943" i="2"/>
  <c r="M942" i="2"/>
  <c r="K942" i="2"/>
  <c r="J942" i="2"/>
  <c r="I942" i="2"/>
  <c r="H942" i="2"/>
  <c r="G942" i="2"/>
  <c r="F942" i="2"/>
  <c r="E942" i="2"/>
  <c r="D942" i="2"/>
  <c r="C942" i="2"/>
  <c r="B942" i="2"/>
  <c r="A942" i="2"/>
  <c r="M941" i="2"/>
  <c r="K941" i="2"/>
  <c r="J941" i="2"/>
  <c r="I941" i="2"/>
  <c r="H941" i="2"/>
  <c r="G941" i="2"/>
  <c r="F941" i="2"/>
  <c r="E941" i="2"/>
  <c r="D941" i="2"/>
  <c r="C941" i="2"/>
  <c r="B941" i="2"/>
  <c r="A941" i="2"/>
  <c r="M940" i="2"/>
  <c r="K940" i="2"/>
  <c r="J940" i="2"/>
  <c r="I940" i="2"/>
  <c r="H940" i="2"/>
  <c r="G940" i="2"/>
  <c r="F940" i="2"/>
  <c r="E940" i="2"/>
  <c r="D940" i="2"/>
  <c r="C940" i="2"/>
  <c r="B940" i="2"/>
  <c r="A940" i="2"/>
  <c r="M939" i="2"/>
  <c r="K939" i="2"/>
  <c r="J939" i="2"/>
  <c r="I939" i="2"/>
  <c r="H939" i="2"/>
  <c r="G939" i="2"/>
  <c r="F939" i="2"/>
  <c r="E939" i="2"/>
  <c r="D939" i="2"/>
  <c r="C939" i="2"/>
  <c r="B939" i="2"/>
  <c r="A939" i="2"/>
  <c r="M938" i="2"/>
  <c r="K938" i="2"/>
  <c r="J938" i="2"/>
  <c r="I938" i="2"/>
  <c r="H938" i="2"/>
  <c r="G938" i="2"/>
  <c r="F938" i="2"/>
  <c r="E938" i="2"/>
  <c r="D938" i="2"/>
  <c r="C938" i="2"/>
  <c r="B938" i="2"/>
  <c r="A938" i="2"/>
  <c r="M937" i="2"/>
  <c r="K937" i="2"/>
  <c r="J937" i="2"/>
  <c r="I937" i="2"/>
  <c r="H937" i="2"/>
  <c r="G937" i="2"/>
  <c r="F937" i="2"/>
  <c r="E937" i="2"/>
  <c r="D937" i="2"/>
  <c r="C937" i="2"/>
  <c r="B937" i="2"/>
  <c r="A937" i="2"/>
  <c r="M936" i="2"/>
  <c r="K936" i="2"/>
  <c r="J936" i="2"/>
  <c r="I936" i="2"/>
  <c r="H936" i="2"/>
  <c r="G936" i="2"/>
  <c r="F936" i="2"/>
  <c r="E936" i="2"/>
  <c r="D936" i="2"/>
  <c r="C936" i="2"/>
  <c r="B936" i="2"/>
  <c r="A936" i="2"/>
  <c r="M935" i="2"/>
  <c r="K935" i="2"/>
  <c r="J935" i="2"/>
  <c r="I935" i="2"/>
  <c r="H935" i="2"/>
  <c r="G935" i="2"/>
  <c r="F935" i="2"/>
  <c r="E935" i="2"/>
  <c r="D935" i="2"/>
  <c r="C935" i="2"/>
  <c r="B935" i="2"/>
  <c r="A935" i="2"/>
  <c r="M934" i="2"/>
  <c r="K934" i="2"/>
  <c r="J934" i="2"/>
  <c r="I934" i="2"/>
  <c r="H934" i="2"/>
  <c r="G934" i="2"/>
  <c r="F934" i="2"/>
  <c r="E934" i="2"/>
  <c r="D934" i="2"/>
  <c r="C934" i="2"/>
  <c r="B934" i="2"/>
  <c r="A934" i="2"/>
  <c r="M933" i="2"/>
  <c r="K933" i="2"/>
  <c r="J933" i="2"/>
  <c r="I933" i="2"/>
  <c r="H933" i="2"/>
  <c r="G933" i="2"/>
  <c r="F933" i="2"/>
  <c r="E933" i="2"/>
  <c r="D933" i="2"/>
  <c r="C933" i="2"/>
  <c r="B933" i="2"/>
  <c r="A933" i="2"/>
  <c r="M932" i="2"/>
  <c r="L932" i="2"/>
  <c r="K932" i="2"/>
  <c r="I932" i="2"/>
  <c r="H932" i="2"/>
  <c r="G932" i="2"/>
  <c r="F932" i="2"/>
  <c r="E932" i="2"/>
  <c r="D932" i="2"/>
  <c r="C932" i="2"/>
  <c r="B932" i="2"/>
  <c r="A932" i="2"/>
  <c r="M931" i="2"/>
  <c r="L931" i="2"/>
  <c r="K931" i="2"/>
  <c r="J931" i="2"/>
  <c r="I931" i="2"/>
  <c r="H931" i="2"/>
  <c r="G931" i="2"/>
  <c r="F931" i="2"/>
  <c r="E931" i="2"/>
  <c r="D931" i="2"/>
  <c r="C931" i="2"/>
  <c r="B931" i="2"/>
  <c r="A931" i="2"/>
  <c r="M930" i="2"/>
  <c r="L930" i="2"/>
  <c r="J930" i="2"/>
  <c r="I930" i="2"/>
  <c r="H930" i="2"/>
  <c r="F930" i="2"/>
  <c r="E930" i="2"/>
  <c r="D930" i="2"/>
  <c r="C930" i="2"/>
  <c r="B930" i="2"/>
  <c r="A930" i="2"/>
  <c r="E929" i="2"/>
  <c r="D929" i="2"/>
  <c r="C929" i="2"/>
  <c r="B929" i="2"/>
  <c r="A929" i="2"/>
  <c r="M928" i="2"/>
  <c r="L928" i="2"/>
  <c r="K928" i="2"/>
  <c r="J928" i="2"/>
  <c r="I928" i="2"/>
  <c r="H928" i="2"/>
  <c r="G928" i="2"/>
  <c r="F928" i="2"/>
  <c r="E928" i="2"/>
  <c r="D928" i="2"/>
  <c r="C928" i="2"/>
  <c r="B928" i="2"/>
  <c r="A928" i="2"/>
  <c r="M927" i="2"/>
  <c r="K927" i="2"/>
  <c r="J927" i="2"/>
  <c r="I927" i="2"/>
  <c r="H927" i="2"/>
  <c r="G927" i="2"/>
  <c r="F927" i="2"/>
  <c r="E927" i="2"/>
  <c r="D927" i="2"/>
  <c r="C927" i="2"/>
  <c r="B927" i="2"/>
  <c r="A927" i="2"/>
  <c r="M926" i="2"/>
  <c r="L926" i="2"/>
  <c r="K926" i="2"/>
  <c r="J926" i="2"/>
  <c r="I926" i="2"/>
  <c r="H926" i="2"/>
  <c r="G926" i="2"/>
  <c r="F926" i="2"/>
  <c r="E926" i="2"/>
  <c r="D926" i="2"/>
  <c r="C926" i="2"/>
  <c r="B926" i="2"/>
  <c r="A926" i="2"/>
  <c r="M925" i="2"/>
  <c r="L925" i="2"/>
  <c r="K925" i="2"/>
  <c r="J925" i="2"/>
  <c r="I925" i="2"/>
  <c r="H925" i="2"/>
  <c r="G925" i="2"/>
  <c r="F925" i="2"/>
  <c r="E925" i="2"/>
  <c r="D925" i="2"/>
  <c r="C925" i="2"/>
  <c r="B925" i="2"/>
  <c r="A925" i="2"/>
  <c r="M924" i="2"/>
  <c r="K924" i="2"/>
  <c r="J924" i="2"/>
  <c r="I924" i="2"/>
  <c r="H924" i="2"/>
  <c r="G924" i="2"/>
  <c r="F924" i="2"/>
  <c r="E924" i="2"/>
  <c r="D924" i="2"/>
  <c r="C924" i="2"/>
  <c r="B924" i="2"/>
  <c r="A924" i="2"/>
  <c r="M923" i="2"/>
  <c r="K923" i="2"/>
  <c r="J923" i="2"/>
  <c r="I923" i="2"/>
  <c r="H923" i="2"/>
  <c r="G923" i="2"/>
  <c r="F923" i="2"/>
  <c r="E923" i="2"/>
  <c r="D923" i="2"/>
  <c r="C923" i="2"/>
  <c r="B923" i="2"/>
  <c r="A923" i="2"/>
  <c r="M922" i="2"/>
  <c r="K922" i="2"/>
  <c r="J922" i="2"/>
  <c r="I922" i="2"/>
  <c r="H922" i="2"/>
  <c r="G922" i="2"/>
  <c r="F922" i="2"/>
  <c r="E922" i="2"/>
  <c r="D922" i="2"/>
  <c r="C922" i="2"/>
  <c r="B922" i="2"/>
  <c r="A922" i="2"/>
  <c r="M921" i="2"/>
  <c r="K921" i="2"/>
  <c r="J921" i="2"/>
  <c r="I921" i="2"/>
  <c r="H921" i="2"/>
  <c r="G921" i="2"/>
  <c r="F921" i="2"/>
  <c r="E921" i="2"/>
  <c r="D921" i="2"/>
  <c r="C921" i="2"/>
  <c r="B921" i="2"/>
  <c r="A921" i="2"/>
  <c r="M920" i="2"/>
  <c r="K920" i="2"/>
  <c r="J920" i="2"/>
  <c r="I920" i="2"/>
  <c r="H920" i="2"/>
  <c r="G920" i="2"/>
  <c r="F920" i="2"/>
  <c r="E920" i="2"/>
  <c r="D920" i="2"/>
  <c r="C920" i="2"/>
  <c r="B920" i="2"/>
  <c r="A920" i="2"/>
  <c r="M919" i="2"/>
  <c r="K919" i="2"/>
  <c r="J919" i="2"/>
  <c r="I919" i="2"/>
  <c r="H919" i="2"/>
  <c r="G919" i="2"/>
  <c r="F919" i="2"/>
  <c r="E919" i="2"/>
  <c r="D919" i="2"/>
  <c r="C919" i="2"/>
  <c r="B919" i="2"/>
  <c r="A919" i="2"/>
  <c r="M918" i="2"/>
  <c r="K918" i="2"/>
  <c r="J918" i="2"/>
  <c r="I918" i="2"/>
  <c r="H918" i="2"/>
  <c r="G918" i="2"/>
  <c r="F918" i="2"/>
  <c r="E918" i="2"/>
  <c r="D918" i="2"/>
  <c r="C918" i="2"/>
  <c r="B918" i="2"/>
  <c r="A918" i="2"/>
  <c r="M917" i="2"/>
  <c r="K917" i="2"/>
  <c r="J917" i="2"/>
  <c r="I917" i="2"/>
  <c r="H917" i="2"/>
  <c r="G917" i="2"/>
  <c r="F917" i="2"/>
  <c r="E917" i="2"/>
  <c r="D917" i="2"/>
  <c r="C917" i="2"/>
  <c r="B917" i="2"/>
  <c r="A917" i="2"/>
  <c r="M916" i="2"/>
  <c r="K916" i="2"/>
  <c r="J916" i="2"/>
  <c r="I916" i="2"/>
  <c r="H916" i="2"/>
  <c r="G916" i="2"/>
  <c r="F916" i="2"/>
  <c r="E916" i="2"/>
  <c r="D916" i="2"/>
  <c r="C916" i="2"/>
  <c r="B916" i="2"/>
  <c r="A916" i="2"/>
  <c r="M915" i="2"/>
  <c r="K915" i="2"/>
  <c r="J915" i="2"/>
  <c r="I915" i="2"/>
  <c r="H915" i="2"/>
  <c r="G915" i="2"/>
  <c r="F915" i="2"/>
  <c r="E915" i="2"/>
  <c r="D915" i="2"/>
  <c r="C915" i="2"/>
  <c r="B915" i="2"/>
  <c r="A915" i="2"/>
  <c r="M914" i="2"/>
  <c r="K914" i="2"/>
  <c r="J914" i="2"/>
  <c r="I914" i="2"/>
  <c r="H914" i="2"/>
  <c r="G914" i="2"/>
  <c r="F914" i="2"/>
  <c r="E914" i="2"/>
  <c r="D914" i="2"/>
  <c r="C914" i="2"/>
  <c r="B914" i="2"/>
  <c r="A914" i="2"/>
  <c r="M913" i="2"/>
  <c r="K913" i="2"/>
  <c r="J913" i="2"/>
  <c r="I913" i="2"/>
  <c r="H913" i="2"/>
  <c r="G913" i="2"/>
  <c r="F913" i="2"/>
  <c r="E913" i="2"/>
  <c r="D913" i="2"/>
  <c r="C913" i="2"/>
  <c r="B913" i="2"/>
  <c r="A913" i="2"/>
  <c r="M912" i="2"/>
  <c r="K912" i="2"/>
  <c r="J912" i="2"/>
  <c r="I912" i="2"/>
  <c r="H912" i="2"/>
  <c r="G912" i="2"/>
  <c r="F912" i="2"/>
  <c r="E912" i="2"/>
  <c r="D912" i="2"/>
  <c r="C912" i="2"/>
  <c r="B912" i="2"/>
  <c r="A912" i="2"/>
  <c r="M911" i="2"/>
  <c r="K911" i="2"/>
  <c r="J911" i="2"/>
  <c r="I911" i="2"/>
  <c r="H911" i="2"/>
  <c r="G911" i="2"/>
  <c r="F911" i="2"/>
  <c r="E911" i="2"/>
  <c r="D911" i="2"/>
  <c r="C911" i="2"/>
  <c r="B911" i="2"/>
  <c r="A911" i="2"/>
  <c r="M910" i="2"/>
  <c r="K910" i="2"/>
  <c r="J910" i="2"/>
  <c r="I910" i="2"/>
  <c r="H910" i="2"/>
  <c r="G910" i="2"/>
  <c r="F910" i="2"/>
  <c r="E910" i="2"/>
  <c r="D910" i="2"/>
  <c r="C910" i="2"/>
  <c r="B910" i="2"/>
  <c r="A910" i="2"/>
  <c r="M909" i="2"/>
  <c r="K909" i="2"/>
  <c r="J909" i="2"/>
  <c r="I909" i="2"/>
  <c r="H909" i="2"/>
  <c r="G909" i="2"/>
  <c r="F909" i="2"/>
  <c r="E909" i="2"/>
  <c r="D909" i="2"/>
  <c r="C909" i="2"/>
  <c r="B909" i="2"/>
  <c r="A909" i="2"/>
  <c r="M908" i="2"/>
  <c r="K908" i="2"/>
  <c r="J908" i="2"/>
  <c r="I908" i="2"/>
  <c r="H908" i="2"/>
  <c r="G908" i="2"/>
  <c r="F908" i="2"/>
  <c r="E908" i="2"/>
  <c r="D908" i="2"/>
  <c r="C908" i="2"/>
  <c r="B908" i="2"/>
  <c r="A908" i="2"/>
  <c r="M907" i="2"/>
  <c r="L907" i="2"/>
  <c r="K907" i="2"/>
  <c r="J907" i="2"/>
  <c r="I907" i="2"/>
  <c r="H907" i="2"/>
  <c r="G907" i="2"/>
  <c r="F907" i="2"/>
  <c r="E907" i="2"/>
  <c r="D907" i="2"/>
  <c r="C907" i="2"/>
  <c r="B907" i="2"/>
  <c r="A907" i="2"/>
  <c r="M906" i="2"/>
  <c r="K906" i="2"/>
  <c r="J906" i="2"/>
  <c r="I906" i="2"/>
  <c r="H906" i="2"/>
  <c r="G906" i="2"/>
  <c r="F906" i="2"/>
  <c r="E906" i="2"/>
  <c r="D906" i="2"/>
  <c r="C906" i="2"/>
  <c r="B906" i="2"/>
  <c r="A906" i="2"/>
  <c r="M905" i="2"/>
  <c r="L905" i="2"/>
  <c r="K905" i="2"/>
  <c r="J905" i="2"/>
  <c r="I905" i="2"/>
  <c r="H905" i="2"/>
  <c r="G905" i="2"/>
  <c r="F905" i="2"/>
  <c r="E905" i="2"/>
  <c r="D905" i="2"/>
  <c r="C905" i="2"/>
  <c r="B905" i="2"/>
  <c r="A905" i="2"/>
  <c r="M904" i="2"/>
  <c r="L904" i="2"/>
  <c r="K904" i="2"/>
  <c r="J904" i="2"/>
  <c r="I904" i="2"/>
  <c r="H904" i="2"/>
  <c r="G904" i="2"/>
  <c r="F904" i="2"/>
  <c r="E904" i="2"/>
  <c r="D904" i="2"/>
  <c r="C904" i="2"/>
  <c r="B904" i="2"/>
  <c r="A904" i="2"/>
  <c r="M903" i="2"/>
  <c r="K903" i="2"/>
  <c r="J903" i="2"/>
  <c r="I903" i="2"/>
  <c r="H903" i="2"/>
  <c r="G903" i="2"/>
  <c r="F903" i="2"/>
  <c r="E903" i="2"/>
  <c r="D903" i="2"/>
  <c r="C903" i="2"/>
  <c r="B903" i="2"/>
  <c r="A903" i="2"/>
  <c r="M902" i="2"/>
  <c r="K902" i="2"/>
  <c r="J902" i="2"/>
  <c r="I902" i="2"/>
  <c r="H902" i="2"/>
  <c r="G902" i="2"/>
  <c r="F902" i="2"/>
  <c r="E902" i="2"/>
  <c r="D902" i="2"/>
  <c r="C902" i="2"/>
  <c r="B902" i="2"/>
  <c r="A902" i="2"/>
  <c r="M901" i="2"/>
  <c r="K901" i="2"/>
  <c r="J901" i="2"/>
  <c r="I901" i="2"/>
  <c r="H901" i="2"/>
  <c r="G901" i="2"/>
  <c r="F901" i="2"/>
  <c r="E901" i="2"/>
  <c r="D901" i="2"/>
  <c r="C901" i="2"/>
  <c r="B901" i="2"/>
  <c r="A901" i="2"/>
  <c r="M900" i="2"/>
  <c r="K900" i="2"/>
  <c r="J900" i="2"/>
  <c r="I900" i="2"/>
  <c r="H900" i="2"/>
  <c r="G900" i="2"/>
  <c r="F900" i="2"/>
  <c r="E900" i="2"/>
  <c r="D900" i="2"/>
  <c r="C900" i="2"/>
  <c r="B900" i="2"/>
  <c r="A900" i="2"/>
  <c r="M899" i="2"/>
  <c r="K899" i="2"/>
  <c r="J899" i="2"/>
  <c r="I899" i="2"/>
  <c r="H899" i="2"/>
  <c r="G899" i="2"/>
  <c r="F899" i="2"/>
  <c r="E899" i="2"/>
  <c r="D899" i="2"/>
  <c r="C899" i="2"/>
  <c r="B899" i="2"/>
  <c r="A899" i="2"/>
  <c r="M898" i="2"/>
  <c r="K898" i="2"/>
  <c r="J898" i="2"/>
  <c r="I898" i="2"/>
  <c r="H898" i="2"/>
  <c r="G898" i="2"/>
  <c r="F898" i="2"/>
  <c r="E898" i="2"/>
  <c r="D898" i="2"/>
  <c r="C898" i="2"/>
  <c r="B898" i="2"/>
  <c r="A898" i="2"/>
  <c r="M897" i="2"/>
  <c r="K897" i="2"/>
  <c r="J897" i="2"/>
  <c r="I897" i="2"/>
  <c r="H897" i="2"/>
  <c r="G897" i="2"/>
  <c r="F897" i="2"/>
  <c r="E897" i="2"/>
  <c r="D897" i="2"/>
  <c r="C897" i="2"/>
  <c r="B897" i="2"/>
  <c r="A897" i="2"/>
  <c r="M896" i="2"/>
  <c r="K896" i="2"/>
  <c r="J896" i="2"/>
  <c r="I896" i="2"/>
  <c r="H896" i="2"/>
  <c r="G896" i="2"/>
  <c r="F896" i="2"/>
  <c r="E896" i="2"/>
  <c r="D896" i="2"/>
  <c r="C896" i="2"/>
  <c r="B896" i="2"/>
  <c r="A896" i="2"/>
  <c r="M895" i="2"/>
  <c r="K895" i="2"/>
  <c r="J895" i="2"/>
  <c r="I895" i="2"/>
  <c r="H895" i="2"/>
  <c r="G895" i="2"/>
  <c r="F895" i="2"/>
  <c r="E895" i="2"/>
  <c r="D895" i="2"/>
  <c r="C895" i="2"/>
  <c r="B895" i="2"/>
  <c r="A895" i="2"/>
  <c r="M894" i="2"/>
  <c r="K894" i="2"/>
  <c r="J894" i="2"/>
  <c r="I894" i="2"/>
  <c r="H894" i="2"/>
  <c r="G894" i="2"/>
  <c r="F894" i="2"/>
  <c r="E894" i="2"/>
  <c r="D894" i="2"/>
  <c r="C894" i="2"/>
  <c r="B894" i="2"/>
  <c r="A894" i="2"/>
  <c r="M893" i="2"/>
  <c r="K893" i="2"/>
  <c r="J893" i="2"/>
  <c r="I893" i="2"/>
  <c r="H893" i="2"/>
  <c r="G893" i="2"/>
  <c r="F893" i="2"/>
  <c r="E893" i="2"/>
  <c r="D893" i="2"/>
  <c r="C893" i="2"/>
  <c r="B893" i="2"/>
  <c r="A893" i="2"/>
  <c r="M892" i="2"/>
  <c r="K892" i="2"/>
  <c r="J892" i="2"/>
  <c r="I892" i="2"/>
  <c r="H892" i="2"/>
  <c r="G892" i="2"/>
  <c r="F892" i="2"/>
  <c r="E892" i="2"/>
  <c r="D892" i="2"/>
  <c r="C892" i="2"/>
  <c r="B892" i="2"/>
  <c r="A892" i="2"/>
  <c r="M891" i="2"/>
  <c r="K891" i="2"/>
  <c r="J891" i="2"/>
  <c r="I891" i="2"/>
  <c r="H891" i="2"/>
  <c r="G891" i="2"/>
  <c r="F891" i="2"/>
  <c r="E891" i="2"/>
  <c r="D891" i="2"/>
  <c r="C891" i="2"/>
  <c r="B891" i="2"/>
  <c r="A891" i="2"/>
  <c r="M890" i="2"/>
  <c r="K890" i="2"/>
  <c r="J890" i="2"/>
  <c r="I890" i="2"/>
  <c r="H890" i="2"/>
  <c r="G890" i="2"/>
  <c r="F890" i="2"/>
  <c r="E890" i="2"/>
  <c r="D890" i="2"/>
  <c r="C890" i="2"/>
  <c r="B890" i="2"/>
  <c r="A890" i="2"/>
  <c r="M889" i="2"/>
  <c r="K889" i="2"/>
  <c r="J889" i="2"/>
  <c r="I889" i="2"/>
  <c r="H889" i="2"/>
  <c r="G889" i="2"/>
  <c r="F889" i="2"/>
  <c r="E889" i="2"/>
  <c r="D889" i="2"/>
  <c r="C889" i="2"/>
  <c r="B889" i="2"/>
  <c r="A889" i="2"/>
  <c r="M888" i="2"/>
  <c r="K888" i="2"/>
  <c r="J888" i="2"/>
  <c r="I888" i="2"/>
  <c r="H888" i="2"/>
  <c r="G888" i="2"/>
  <c r="F888" i="2"/>
  <c r="E888" i="2"/>
  <c r="D888" i="2"/>
  <c r="C888" i="2"/>
  <c r="B888" i="2"/>
  <c r="A888" i="2"/>
  <c r="M887" i="2"/>
  <c r="K887" i="2"/>
  <c r="J887" i="2"/>
  <c r="I887" i="2"/>
  <c r="H887" i="2"/>
  <c r="G887" i="2"/>
  <c r="F887" i="2"/>
  <c r="E887" i="2"/>
  <c r="D887" i="2"/>
  <c r="C887" i="2"/>
  <c r="B887" i="2"/>
  <c r="A887" i="2"/>
  <c r="M886" i="2"/>
  <c r="L886" i="2"/>
  <c r="K886" i="2"/>
  <c r="J886" i="2"/>
  <c r="I886" i="2"/>
  <c r="H886" i="2"/>
  <c r="G886" i="2"/>
  <c r="F886" i="2"/>
  <c r="E886" i="2"/>
  <c r="D886" i="2"/>
  <c r="C886" i="2"/>
  <c r="B886" i="2"/>
  <c r="A886" i="2"/>
  <c r="M885" i="2"/>
  <c r="L885" i="2"/>
  <c r="K885" i="2"/>
  <c r="J885" i="2"/>
  <c r="I885" i="2"/>
  <c r="H885" i="2"/>
  <c r="G885" i="2"/>
  <c r="F885" i="2"/>
  <c r="E885" i="2"/>
  <c r="D885" i="2"/>
  <c r="C885" i="2"/>
  <c r="B885" i="2"/>
  <c r="A885" i="2"/>
  <c r="M884" i="2"/>
  <c r="L884" i="2"/>
  <c r="J884" i="2"/>
  <c r="I884" i="2"/>
  <c r="H884" i="2"/>
  <c r="F884" i="2"/>
  <c r="E884" i="2"/>
  <c r="D884" i="2"/>
  <c r="C884" i="2"/>
  <c r="B884" i="2"/>
  <c r="A884" i="2"/>
  <c r="M883" i="2"/>
  <c r="L883" i="2"/>
  <c r="K883" i="2"/>
  <c r="J883" i="2"/>
  <c r="I883" i="2"/>
  <c r="H883" i="2"/>
  <c r="G883" i="2"/>
  <c r="F883" i="2"/>
  <c r="E883" i="2"/>
  <c r="D883" i="2"/>
  <c r="C883" i="2"/>
  <c r="B883" i="2"/>
  <c r="A883" i="2"/>
  <c r="M882" i="2"/>
  <c r="K882" i="2"/>
  <c r="J882" i="2"/>
  <c r="I882" i="2"/>
  <c r="H882" i="2"/>
  <c r="F882" i="2"/>
  <c r="E882" i="2"/>
  <c r="D882" i="2"/>
  <c r="C882" i="2"/>
  <c r="B882" i="2"/>
  <c r="A882" i="2"/>
  <c r="M881" i="2"/>
  <c r="L881" i="2"/>
  <c r="K881" i="2"/>
  <c r="J881" i="2"/>
  <c r="I881" i="2"/>
  <c r="H881" i="2"/>
  <c r="G881" i="2"/>
  <c r="F881" i="2"/>
  <c r="E881" i="2"/>
  <c r="D881" i="2"/>
  <c r="C881" i="2"/>
  <c r="B881" i="2"/>
  <c r="A881" i="2"/>
  <c r="M880" i="2"/>
  <c r="L880" i="2"/>
  <c r="J880" i="2"/>
  <c r="I880" i="2"/>
  <c r="H880" i="2"/>
  <c r="F880" i="2"/>
  <c r="E880" i="2"/>
  <c r="D880" i="2"/>
  <c r="C880" i="2"/>
  <c r="B880" i="2"/>
  <c r="A880" i="2"/>
  <c r="M879" i="2"/>
  <c r="L879" i="2"/>
  <c r="K879" i="2"/>
  <c r="J879" i="2"/>
  <c r="I879" i="2"/>
  <c r="H879" i="2"/>
  <c r="G879" i="2"/>
  <c r="F879" i="2"/>
  <c r="E879" i="2"/>
  <c r="D879" i="2"/>
  <c r="C879" i="2"/>
  <c r="B879" i="2"/>
  <c r="A879" i="2"/>
  <c r="M878" i="2"/>
  <c r="K878" i="2"/>
  <c r="J878" i="2"/>
  <c r="I878" i="2"/>
  <c r="H878" i="2"/>
  <c r="G878" i="2"/>
  <c r="F878" i="2"/>
  <c r="E878" i="2"/>
  <c r="D878" i="2"/>
  <c r="C878" i="2"/>
  <c r="B878" i="2"/>
  <c r="A878" i="2"/>
  <c r="M877" i="2"/>
  <c r="L877" i="2"/>
  <c r="K877" i="2"/>
  <c r="J877" i="2"/>
  <c r="I877" i="2"/>
  <c r="H877" i="2"/>
  <c r="G877" i="2"/>
  <c r="F877" i="2"/>
  <c r="E877" i="2"/>
  <c r="D877" i="2"/>
  <c r="C877" i="2"/>
  <c r="B877" i="2"/>
  <c r="A877" i="2"/>
  <c r="M876" i="2"/>
  <c r="L876" i="2"/>
  <c r="K876" i="2"/>
  <c r="J876" i="2"/>
  <c r="I876" i="2"/>
  <c r="H876" i="2"/>
  <c r="G876" i="2"/>
  <c r="F876" i="2"/>
  <c r="E876" i="2"/>
  <c r="D876" i="2"/>
  <c r="C876" i="2"/>
  <c r="B876" i="2"/>
  <c r="A876" i="2"/>
  <c r="M875" i="2"/>
  <c r="K875" i="2"/>
  <c r="J875" i="2"/>
  <c r="I875" i="2"/>
  <c r="H875" i="2"/>
  <c r="G875" i="2"/>
  <c r="F875" i="2"/>
  <c r="E875" i="2"/>
  <c r="D875" i="2"/>
  <c r="C875" i="2"/>
  <c r="B875" i="2"/>
  <c r="A875" i="2"/>
  <c r="M874" i="2"/>
  <c r="K874" i="2"/>
  <c r="J874" i="2"/>
  <c r="I874" i="2"/>
  <c r="H874" i="2"/>
  <c r="G874" i="2"/>
  <c r="F874" i="2"/>
  <c r="E874" i="2"/>
  <c r="D874" i="2"/>
  <c r="C874" i="2"/>
  <c r="B874" i="2"/>
  <c r="A874" i="2"/>
  <c r="M873" i="2"/>
  <c r="K873" i="2"/>
  <c r="J873" i="2"/>
  <c r="I873" i="2"/>
  <c r="H873" i="2"/>
  <c r="G873" i="2"/>
  <c r="F873" i="2"/>
  <c r="E873" i="2"/>
  <c r="D873" i="2"/>
  <c r="C873" i="2"/>
  <c r="B873" i="2"/>
  <c r="A873" i="2"/>
  <c r="M872" i="2"/>
  <c r="K872" i="2"/>
  <c r="J872" i="2"/>
  <c r="I872" i="2"/>
  <c r="H872" i="2"/>
  <c r="G872" i="2"/>
  <c r="F872" i="2"/>
  <c r="E872" i="2"/>
  <c r="D872" i="2"/>
  <c r="C872" i="2"/>
  <c r="B872" i="2"/>
  <c r="A872" i="2"/>
  <c r="M871" i="2"/>
  <c r="K871" i="2"/>
  <c r="J871" i="2"/>
  <c r="I871" i="2"/>
  <c r="H871" i="2"/>
  <c r="G871" i="2"/>
  <c r="F871" i="2"/>
  <c r="E871" i="2"/>
  <c r="D871" i="2"/>
  <c r="C871" i="2"/>
  <c r="B871" i="2"/>
  <c r="A871" i="2"/>
  <c r="M870" i="2"/>
  <c r="K870" i="2"/>
  <c r="J870" i="2"/>
  <c r="I870" i="2"/>
  <c r="H870" i="2"/>
  <c r="G870" i="2"/>
  <c r="F870" i="2"/>
  <c r="E870" i="2"/>
  <c r="D870" i="2"/>
  <c r="C870" i="2"/>
  <c r="B870" i="2"/>
  <c r="A870" i="2"/>
  <c r="M869" i="2"/>
  <c r="K869" i="2"/>
  <c r="J869" i="2"/>
  <c r="I869" i="2"/>
  <c r="H869" i="2"/>
  <c r="G869" i="2"/>
  <c r="F869" i="2"/>
  <c r="E869" i="2"/>
  <c r="D869" i="2"/>
  <c r="C869" i="2"/>
  <c r="B869" i="2"/>
  <c r="A869" i="2"/>
  <c r="M868" i="2"/>
  <c r="K868" i="2"/>
  <c r="J868" i="2"/>
  <c r="I868" i="2"/>
  <c r="H868" i="2"/>
  <c r="G868" i="2"/>
  <c r="F868" i="2"/>
  <c r="E868" i="2"/>
  <c r="D868" i="2"/>
  <c r="C868" i="2"/>
  <c r="B868" i="2"/>
  <c r="A868" i="2"/>
  <c r="M867" i="2"/>
  <c r="K867" i="2"/>
  <c r="J867" i="2"/>
  <c r="I867" i="2"/>
  <c r="H867" i="2"/>
  <c r="G867" i="2"/>
  <c r="F867" i="2"/>
  <c r="E867" i="2"/>
  <c r="D867" i="2"/>
  <c r="C867" i="2"/>
  <c r="B867" i="2"/>
  <c r="A867" i="2"/>
  <c r="M866" i="2"/>
  <c r="K866" i="2"/>
  <c r="J866" i="2"/>
  <c r="I866" i="2"/>
  <c r="H866" i="2"/>
  <c r="G866" i="2"/>
  <c r="F866" i="2"/>
  <c r="E866" i="2"/>
  <c r="D866" i="2"/>
  <c r="C866" i="2"/>
  <c r="B866" i="2"/>
  <c r="A866" i="2"/>
  <c r="M865" i="2"/>
  <c r="K865" i="2"/>
  <c r="J865" i="2"/>
  <c r="I865" i="2"/>
  <c r="H865" i="2"/>
  <c r="G865" i="2"/>
  <c r="F865" i="2"/>
  <c r="E865" i="2"/>
  <c r="D865" i="2"/>
  <c r="C865" i="2"/>
  <c r="B865" i="2"/>
  <c r="A865" i="2"/>
  <c r="M864" i="2"/>
  <c r="K864" i="2"/>
  <c r="J864" i="2"/>
  <c r="I864" i="2"/>
  <c r="H864" i="2"/>
  <c r="G864" i="2"/>
  <c r="F864" i="2"/>
  <c r="E864" i="2"/>
  <c r="D864" i="2"/>
  <c r="C864" i="2"/>
  <c r="B864" i="2"/>
  <c r="A864" i="2"/>
  <c r="M863" i="2"/>
  <c r="K863" i="2"/>
  <c r="J863" i="2"/>
  <c r="I863" i="2"/>
  <c r="H863" i="2"/>
  <c r="G863" i="2"/>
  <c r="F863" i="2"/>
  <c r="E863" i="2"/>
  <c r="D863" i="2"/>
  <c r="C863" i="2"/>
  <c r="B863" i="2"/>
  <c r="A863" i="2"/>
  <c r="M862" i="2"/>
  <c r="K862" i="2"/>
  <c r="J862" i="2"/>
  <c r="I862" i="2"/>
  <c r="H862" i="2"/>
  <c r="G862" i="2"/>
  <c r="F862" i="2"/>
  <c r="E862" i="2"/>
  <c r="D862" i="2"/>
  <c r="C862" i="2"/>
  <c r="B862" i="2"/>
  <c r="A862" i="2"/>
  <c r="M861" i="2"/>
  <c r="K861" i="2"/>
  <c r="J861" i="2"/>
  <c r="I861" i="2"/>
  <c r="H861" i="2"/>
  <c r="G861" i="2"/>
  <c r="F861" i="2"/>
  <c r="E861" i="2"/>
  <c r="D861" i="2"/>
  <c r="C861" i="2"/>
  <c r="B861" i="2"/>
  <c r="A861" i="2"/>
  <c r="M860" i="2"/>
  <c r="K860" i="2"/>
  <c r="J860" i="2"/>
  <c r="I860" i="2"/>
  <c r="H860" i="2"/>
  <c r="G860" i="2"/>
  <c r="F860" i="2"/>
  <c r="E860" i="2"/>
  <c r="D860" i="2"/>
  <c r="C860" i="2"/>
  <c r="B860" i="2"/>
  <c r="A860" i="2"/>
  <c r="M859" i="2"/>
  <c r="K859" i="2"/>
  <c r="J859" i="2"/>
  <c r="I859" i="2"/>
  <c r="H859" i="2"/>
  <c r="G859" i="2"/>
  <c r="F859" i="2"/>
  <c r="E859" i="2"/>
  <c r="D859" i="2"/>
  <c r="C859" i="2"/>
  <c r="B859" i="2"/>
  <c r="A859" i="2"/>
  <c r="M858" i="2"/>
  <c r="J858" i="2"/>
  <c r="I858" i="2"/>
  <c r="H858" i="2"/>
  <c r="F858" i="2"/>
  <c r="E858" i="2"/>
  <c r="D858" i="2"/>
  <c r="C858" i="2"/>
  <c r="B858" i="2"/>
  <c r="A858" i="2"/>
  <c r="M857" i="2"/>
  <c r="L857" i="2"/>
  <c r="K857" i="2"/>
  <c r="J857" i="2"/>
  <c r="I857" i="2"/>
  <c r="H857" i="2"/>
  <c r="G857" i="2"/>
  <c r="F857" i="2"/>
  <c r="E857" i="2"/>
  <c r="D857" i="2"/>
  <c r="C857" i="2"/>
  <c r="B857" i="2"/>
  <c r="A857" i="2"/>
  <c r="M856" i="2"/>
  <c r="L856" i="2"/>
  <c r="K856" i="2"/>
  <c r="J856" i="2"/>
  <c r="I856" i="2"/>
  <c r="H856" i="2"/>
  <c r="F856" i="2"/>
  <c r="E856" i="2"/>
  <c r="D856" i="2"/>
  <c r="C856" i="2"/>
  <c r="B856" i="2"/>
  <c r="A856" i="2"/>
  <c r="M855" i="2"/>
  <c r="L855" i="2"/>
  <c r="K855" i="2"/>
  <c r="I855" i="2"/>
  <c r="H855" i="2"/>
  <c r="F855" i="2"/>
  <c r="E855" i="2"/>
  <c r="D855" i="2"/>
  <c r="C855" i="2"/>
  <c r="B855" i="2"/>
  <c r="A855" i="2"/>
  <c r="M854" i="2"/>
  <c r="L854" i="2"/>
  <c r="K854" i="2"/>
  <c r="I854" i="2"/>
  <c r="H854" i="2"/>
  <c r="F854" i="2"/>
  <c r="E854" i="2"/>
  <c r="D854" i="2"/>
  <c r="C854" i="2"/>
  <c r="B854" i="2"/>
  <c r="A854" i="2"/>
  <c r="M853" i="2"/>
  <c r="L853" i="2"/>
  <c r="K853" i="2"/>
  <c r="I853" i="2"/>
  <c r="H853" i="2"/>
  <c r="F853" i="2"/>
  <c r="E853" i="2"/>
  <c r="D853" i="2"/>
  <c r="C853" i="2"/>
  <c r="B853" i="2"/>
  <c r="A853" i="2"/>
  <c r="M852" i="2"/>
  <c r="L852" i="2"/>
  <c r="K852" i="2"/>
  <c r="I852" i="2"/>
  <c r="H852" i="2"/>
  <c r="F852" i="2"/>
  <c r="E852" i="2"/>
  <c r="D852" i="2"/>
  <c r="C852" i="2"/>
  <c r="B852" i="2"/>
  <c r="A852" i="2"/>
  <c r="M851" i="2"/>
  <c r="L851" i="2"/>
  <c r="K851" i="2"/>
  <c r="I851" i="2"/>
  <c r="H851" i="2"/>
  <c r="F851" i="2"/>
  <c r="E851" i="2"/>
  <c r="D851" i="2"/>
  <c r="C851" i="2"/>
  <c r="B851" i="2"/>
  <c r="A851" i="2"/>
  <c r="M850" i="2"/>
  <c r="L850" i="2"/>
  <c r="K850" i="2"/>
  <c r="I850" i="2"/>
  <c r="H850" i="2"/>
  <c r="F850" i="2"/>
  <c r="E850" i="2"/>
  <c r="D850" i="2"/>
  <c r="C850" i="2"/>
  <c r="B850" i="2"/>
  <c r="A850" i="2"/>
  <c r="M849" i="2"/>
  <c r="L849" i="2"/>
  <c r="K849" i="2"/>
  <c r="I849" i="2"/>
  <c r="H849" i="2"/>
  <c r="F849" i="2"/>
  <c r="E849" i="2"/>
  <c r="D849" i="2"/>
  <c r="C849" i="2"/>
  <c r="B849" i="2"/>
  <c r="A849" i="2"/>
  <c r="M848" i="2"/>
  <c r="L848" i="2"/>
  <c r="K848" i="2"/>
  <c r="I848" i="2"/>
  <c r="H848" i="2"/>
  <c r="F848" i="2"/>
  <c r="E848" i="2"/>
  <c r="D848" i="2"/>
  <c r="C848" i="2"/>
  <c r="B848" i="2"/>
  <c r="A848" i="2"/>
  <c r="M847" i="2"/>
  <c r="L847" i="2"/>
  <c r="K847" i="2"/>
  <c r="I847" i="2"/>
  <c r="H847" i="2"/>
  <c r="F847" i="2"/>
  <c r="E847" i="2"/>
  <c r="D847" i="2"/>
  <c r="C847" i="2"/>
  <c r="B847" i="2"/>
  <c r="A847" i="2"/>
  <c r="M846" i="2"/>
  <c r="L846" i="2"/>
  <c r="K846" i="2"/>
  <c r="I846" i="2"/>
  <c r="H846" i="2"/>
  <c r="F846" i="2"/>
  <c r="E846" i="2"/>
  <c r="D846" i="2"/>
  <c r="C846" i="2"/>
  <c r="B846" i="2"/>
  <c r="A846" i="2"/>
  <c r="M845" i="2"/>
  <c r="L845" i="2"/>
  <c r="K845" i="2"/>
  <c r="I845" i="2"/>
  <c r="H845" i="2"/>
  <c r="F845" i="2"/>
  <c r="E845" i="2"/>
  <c r="D845" i="2"/>
  <c r="C845" i="2"/>
  <c r="B845" i="2"/>
  <c r="A845" i="2"/>
  <c r="M844" i="2"/>
  <c r="L844" i="2"/>
  <c r="K844" i="2"/>
  <c r="I844" i="2"/>
  <c r="H844" i="2"/>
  <c r="F844" i="2"/>
  <c r="E844" i="2"/>
  <c r="D844" i="2"/>
  <c r="C844" i="2"/>
  <c r="B844" i="2"/>
  <c r="A844" i="2"/>
  <c r="M843" i="2"/>
  <c r="L843" i="2"/>
  <c r="K843" i="2"/>
  <c r="I843" i="2"/>
  <c r="H843" i="2"/>
  <c r="F843" i="2"/>
  <c r="E843" i="2"/>
  <c r="D843" i="2"/>
  <c r="C843" i="2"/>
  <c r="B843" i="2"/>
  <c r="A843" i="2"/>
  <c r="M842" i="2"/>
  <c r="L842" i="2"/>
  <c r="K842" i="2"/>
  <c r="I842" i="2"/>
  <c r="H842" i="2"/>
  <c r="F842" i="2"/>
  <c r="E842" i="2"/>
  <c r="D842" i="2"/>
  <c r="C842" i="2"/>
  <c r="B842" i="2"/>
  <c r="A842" i="2"/>
  <c r="M841" i="2"/>
  <c r="L841" i="2"/>
  <c r="K841" i="2"/>
  <c r="I841" i="2"/>
  <c r="H841" i="2"/>
  <c r="F841" i="2"/>
  <c r="E841" i="2"/>
  <c r="D841" i="2"/>
  <c r="C841" i="2"/>
  <c r="B841" i="2"/>
  <c r="A841" i="2"/>
  <c r="M840" i="2"/>
  <c r="L840" i="2"/>
  <c r="K840" i="2"/>
  <c r="I840" i="2"/>
  <c r="H840" i="2"/>
  <c r="F840" i="2"/>
  <c r="E840" i="2"/>
  <c r="D840" i="2"/>
  <c r="C840" i="2"/>
  <c r="B840" i="2"/>
  <c r="A840" i="2"/>
  <c r="M839" i="2"/>
  <c r="L839" i="2"/>
  <c r="K839" i="2"/>
  <c r="I839" i="2"/>
  <c r="H839" i="2"/>
  <c r="F839" i="2"/>
  <c r="E839" i="2"/>
  <c r="D839" i="2"/>
  <c r="C839" i="2"/>
  <c r="B839" i="2"/>
  <c r="A839" i="2"/>
  <c r="M838" i="2"/>
  <c r="L838" i="2"/>
  <c r="K838" i="2"/>
  <c r="J838" i="2"/>
  <c r="I838" i="2"/>
  <c r="H838" i="2"/>
  <c r="G838" i="2"/>
  <c r="F838" i="2"/>
  <c r="E838" i="2"/>
  <c r="D838" i="2"/>
  <c r="C838" i="2"/>
  <c r="B838" i="2"/>
  <c r="A838" i="2"/>
  <c r="M837" i="2"/>
  <c r="L837" i="2"/>
  <c r="K837" i="2"/>
  <c r="J837" i="2"/>
  <c r="I837" i="2"/>
  <c r="H837" i="2"/>
  <c r="G837" i="2"/>
  <c r="F837" i="2"/>
  <c r="E837" i="2"/>
  <c r="D837" i="2"/>
  <c r="C837" i="2"/>
  <c r="B837" i="2"/>
  <c r="A837" i="2"/>
  <c r="M836" i="2"/>
  <c r="L836" i="2"/>
  <c r="K836" i="2"/>
  <c r="J836" i="2"/>
  <c r="I836" i="2"/>
  <c r="H836" i="2"/>
  <c r="G836" i="2"/>
  <c r="F836" i="2"/>
  <c r="E836" i="2"/>
  <c r="D836" i="2"/>
  <c r="C836" i="2"/>
  <c r="B836" i="2"/>
  <c r="A836" i="2"/>
  <c r="M835" i="2"/>
  <c r="L835" i="2"/>
  <c r="K835" i="2"/>
  <c r="J835" i="2"/>
  <c r="I835" i="2"/>
  <c r="H835" i="2"/>
  <c r="G835" i="2"/>
  <c r="F835" i="2"/>
  <c r="E835" i="2"/>
  <c r="D835" i="2"/>
  <c r="C835" i="2"/>
  <c r="B835" i="2"/>
  <c r="A835" i="2"/>
  <c r="N834" i="2"/>
  <c r="M834" i="2"/>
  <c r="L834" i="2"/>
  <c r="K834" i="2"/>
  <c r="J834" i="2"/>
  <c r="I834" i="2"/>
  <c r="H834" i="2"/>
  <c r="G834" i="2"/>
  <c r="F834" i="2"/>
  <c r="E834" i="2"/>
  <c r="D834" i="2"/>
  <c r="C834" i="2"/>
  <c r="B834" i="2"/>
  <c r="A834" i="2"/>
  <c r="N833" i="2"/>
  <c r="M833" i="2"/>
  <c r="L833" i="2"/>
  <c r="K833" i="2"/>
  <c r="J833" i="2"/>
  <c r="I833" i="2"/>
  <c r="H833" i="2"/>
  <c r="G833" i="2"/>
  <c r="F833" i="2"/>
  <c r="E833" i="2"/>
  <c r="D833" i="2"/>
  <c r="C833" i="2"/>
  <c r="B833" i="2"/>
  <c r="A833" i="2"/>
  <c r="N832" i="2"/>
  <c r="M832" i="2"/>
  <c r="L832" i="2"/>
  <c r="K832" i="2"/>
  <c r="J832" i="2"/>
  <c r="I832" i="2"/>
  <c r="H832" i="2"/>
  <c r="G832" i="2"/>
  <c r="F832" i="2"/>
  <c r="E832" i="2"/>
  <c r="D832" i="2"/>
  <c r="C832" i="2"/>
  <c r="B832" i="2"/>
  <c r="A832" i="2"/>
  <c r="M831" i="2"/>
  <c r="L831" i="2"/>
  <c r="K831" i="2"/>
  <c r="J831" i="2"/>
  <c r="I831" i="2"/>
  <c r="H831" i="2"/>
  <c r="G831" i="2"/>
  <c r="F831" i="2"/>
  <c r="E831" i="2"/>
  <c r="D831" i="2"/>
  <c r="C831" i="2"/>
  <c r="B831" i="2"/>
  <c r="A831" i="2"/>
  <c r="N830" i="2"/>
  <c r="M830" i="2"/>
  <c r="L830" i="2"/>
  <c r="K830" i="2"/>
  <c r="J830" i="2"/>
  <c r="I830" i="2"/>
  <c r="H830" i="2"/>
  <c r="G830" i="2"/>
  <c r="F830" i="2"/>
  <c r="E830" i="2"/>
  <c r="D830" i="2"/>
  <c r="C830" i="2"/>
  <c r="B830" i="2"/>
  <c r="A830" i="2"/>
  <c r="M829" i="2"/>
  <c r="L829" i="2"/>
  <c r="K829" i="2"/>
  <c r="J829" i="2"/>
  <c r="I829" i="2"/>
  <c r="H829" i="2"/>
  <c r="G829" i="2"/>
  <c r="F829" i="2"/>
  <c r="E829" i="2"/>
  <c r="D829" i="2"/>
  <c r="C829" i="2"/>
  <c r="B829" i="2"/>
  <c r="A829" i="2"/>
  <c r="N828" i="2"/>
  <c r="M828" i="2"/>
  <c r="L828" i="2"/>
  <c r="K828" i="2"/>
  <c r="J828" i="2"/>
  <c r="I828" i="2"/>
  <c r="H828" i="2"/>
  <c r="G828" i="2"/>
  <c r="F828" i="2"/>
  <c r="E828" i="2"/>
  <c r="D828" i="2"/>
  <c r="C828" i="2"/>
  <c r="B828" i="2"/>
  <c r="A828" i="2"/>
  <c r="M827" i="2"/>
  <c r="L827" i="2"/>
  <c r="K827" i="2"/>
  <c r="J827" i="2"/>
  <c r="I827" i="2"/>
  <c r="H827" i="2"/>
  <c r="G827" i="2"/>
  <c r="F827" i="2"/>
  <c r="E827" i="2"/>
  <c r="D827" i="2"/>
  <c r="C827" i="2"/>
  <c r="B827" i="2"/>
  <c r="A827" i="2"/>
  <c r="M826" i="2"/>
  <c r="L826" i="2"/>
  <c r="K826" i="2"/>
  <c r="J826" i="2"/>
  <c r="I826" i="2"/>
  <c r="H826" i="2"/>
  <c r="G826" i="2"/>
  <c r="F826" i="2"/>
  <c r="E826" i="2"/>
  <c r="D826" i="2"/>
  <c r="C826" i="2"/>
  <c r="B826" i="2"/>
  <c r="A826" i="2"/>
  <c r="N825" i="2"/>
  <c r="M825" i="2"/>
  <c r="L825" i="2"/>
  <c r="K825" i="2"/>
  <c r="J825" i="2"/>
  <c r="I825" i="2"/>
  <c r="H825" i="2"/>
  <c r="G825" i="2"/>
  <c r="F825" i="2"/>
  <c r="E825" i="2"/>
  <c r="D825" i="2"/>
  <c r="C825" i="2"/>
  <c r="B825" i="2"/>
  <c r="A825" i="2"/>
  <c r="M824" i="2"/>
  <c r="L824" i="2"/>
  <c r="K824" i="2"/>
  <c r="J824" i="2"/>
  <c r="I824" i="2"/>
  <c r="H824" i="2"/>
  <c r="G824" i="2"/>
  <c r="F824" i="2"/>
  <c r="E824" i="2"/>
  <c r="D824" i="2"/>
  <c r="C824" i="2"/>
  <c r="B824" i="2"/>
  <c r="A824" i="2"/>
  <c r="N823" i="2"/>
  <c r="M823" i="2"/>
  <c r="L823" i="2"/>
  <c r="K823" i="2"/>
  <c r="J823" i="2"/>
  <c r="I823" i="2"/>
  <c r="H823" i="2"/>
  <c r="G823" i="2"/>
  <c r="F823" i="2"/>
  <c r="E823" i="2"/>
  <c r="D823" i="2"/>
  <c r="C823" i="2"/>
  <c r="B823" i="2"/>
  <c r="A823" i="2"/>
  <c r="M822" i="2"/>
  <c r="L822" i="2"/>
  <c r="K822" i="2"/>
  <c r="J822" i="2"/>
  <c r="I822" i="2"/>
  <c r="H822" i="2"/>
  <c r="G822" i="2"/>
  <c r="F822" i="2"/>
  <c r="E822" i="2"/>
  <c r="D822" i="2"/>
  <c r="C822" i="2"/>
  <c r="B822" i="2"/>
  <c r="A822" i="2"/>
  <c r="M821" i="2"/>
  <c r="L821" i="2"/>
  <c r="K821" i="2"/>
  <c r="J821" i="2"/>
  <c r="I821" i="2"/>
  <c r="H821" i="2"/>
  <c r="G821" i="2"/>
  <c r="F821" i="2"/>
  <c r="E821" i="2"/>
  <c r="D821" i="2"/>
  <c r="C821" i="2"/>
  <c r="B821" i="2"/>
  <c r="A821" i="2"/>
  <c r="M820" i="2"/>
  <c r="L820" i="2"/>
  <c r="K820" i="2"/>
  <c r="J820" i="2"/>
  <c r="I820" i="2"/>
  <c r="H820" i="2"/>
  <c r="G820" i="2"/>
  <c r="F820" i="2"/>
  <c r="E820" i="2"/>
  <c r="D820" i="2"/>
  <c r="C820" i="2"/>
  <c r="B820" i="2"/>
  <c r="A820" i="2"/>
  <c r="M819" i="2"/>
  <c r="L819" i="2"/>
  <c r="K819" i="2"/>
  <c r="J819" i="2"/>
  <c r="I819" i="2"/>
  <c r="H819" i="2"/>
  <c r="G819" i="2"/>
  <c r="F819" i="2"/>
  <c r="E819" i="2"/>
  <c r="D819" i="2"/>
  <c r="C819" i="2"/>
  <c r="B819" i="2"/>
  <c r="A819" i="2"/>
  <c r="M818" i="2"/>
  <c r="L818" i="2"/>
  <c r="K818" i="2"/>
  <c r="J818" i="2"/>
  <c r="I818" i="2"/>
  <c r="H818" i="2"/>
  <c r="G818" i="2"/>
  <c r="F818" i="2"/>
  <c r="E818" i="2"/>
  <c r="D818" i="2"/>
  <c r="C818" i="2"/>
  <c r="B818" i="2"/>
  <c r="A818" i="2"/>
  <c r="M817" i="2"/>
  <c r="L817" i="2"/>
  <c r="K817" i="2"/>
  <c r="J817" i="2"/>
  <c r="I817" i="2"/>
  <c r="H817" i="2"/>
  <c r="G817" i="2"/>
  <c r="F817" i="2"/>
  <c r="E817" i="2"/>
  <c r="D817" i="2"/>
  <c r="C817" i="2"/>
  <c r="B817" i="2"/>
  <c r="A817" i="2"/>
  <c r="M816" i="2"/>
  <c r="L816" i="2"/>
  <c r="K816" i="2"/>
  <c r="J816" i="2"/>
  <c r="I816" i="2"/>
  <c r="H816" i="2"/>
  <c r="F816" i="2"/>
  <c r="E816" i="2"/>
  <c r="D816" i="2"/>
  <c r="C816" i="2"/>
  <c r="B816" i="2"/>
  <c r="A816" i="2"/>
  <c r="M815" i="2"/>
  <c r="L815" i="2"/>
  <c r="K815" i="2"/>
  <c r="J815" i="2"/>
  <c r="I815" i="2"/>
  <c r="H815" i="2"/>
  <c r="G815" i="2"/>
  <c r="F815" i="2"/>
  <c r="E815" i="2"/>
  <c r="D815" i="2"/>
  <c r="C815" i="2"/>
  <c r="B815" i="2"/>
  <c r="A815" i="2"/>
  <c r="M814" i="2"/>
  <c r="L814" i="2"/>
  <c r="J814" i="2"/>
  <c r="I814" i="2"/>
  <c r="H814" i="2"/>
  <c r="G814" i="2"/>
  <c r="F814" i="2"/>
  <c r="E814" i="2"/>
  <c r="D814" i="2"/>
  <c r="C814" i="2"/>
  <c r="B814" i="2"/>
  <c r="A814" i="2"/>
  <c r="M813" i="2"/>
  <c r="L813" i="2"/>
  <c r="K813" i="2"/>
  <c r="J813" i="2"/>
  <c r="I813" i="2"/>
  <c r="H813" i="2"/>
  <c r="G813" i="2"/>
  <c r="F813" i="2"/>
  <c r="E813" i="2"/>
  <c r="D813" i="2"/>
  <c r="C813" i="2"/>
  <c r="B813" i="2"/>
  <c r="A813" i="2"/>
  <c r="M812" i="2"/>
  <c r="L812" i="2"/>
  <c r="K812" i="2"/>
  <c r="J812" i="2"/>
  <c r="I812" i="2"/>
  <c r="H812" i="2"/>
  <c r="G812" i="2"/>
  <c r="F812" i="2"/>
  <c r="E812" i="2"/>
  <c r="D812" i="2"/>
  <c r="C812" i="2"/>
  <c r="B812" i="2"/>
  <c r="A812" i="2"/>
  <c r="M811" i="2"/>
  <c r="L811" i="2"/>
  <c r="K811" i="2"/>
  <c r="J811" i="2"/>
  <c r="I811" i="2"/>
  <c r="H811" i="2"/>
  <c r="G811" i="2"/>
  <c r="F811" i="2"/>
  <c r="E811" i="2"/>
  <c r="D811" i="2"/>
  <c r="C811" i="2"/>
  <c r="B811" i="2"/>
  <c r="A811" i="2"/>
  <c r="M810" i="2"/>
  <c r="L810" i="2"/>
  <c r="K810" i="2"/>
  <c r="J810" i="2"/>
  <c r="I810" i="2"/>
  <c r="H810" i="2"/>
  <c r="G810" i="2"/>
  <c r="F810" i="2"/>
  <c r="E810" i="2"/>
  <c r="D810" i="2"/>
  <c r="C810" i="2"/>
  <c r="B810" i="2"/>
  <c r="A810" i="2"/>
  <c r="M809" i="2"/>
  <c r="L809" i="2"/>
  <c r="K809" i="2"/>
  <c r="J809" i="2"/>
  <c r="I809" i="2"/>
  <c r="H809" i="2"/>
  <c r="G809" i="2"/>
  <c r="F809" i="2"/>
  <c r="E809" i="2"/>
  <c r="D809" i="2"/>
  <c r="C809" i="2"/>
  <c r="B809" i="2"/>
  <c r="A809" i="2"/>
  <c r="M808" i="2"/>
  <c r="L808" i="2"/>
  <c r="K808" i="2"/>
  <c r="J808" i="2"/>
  <c r="I808" i="2"/>
  <c r="H808" i="2"/>
  <c r="G808" i="2"/>
  <c r="F808" i="2"/>
  <c r="E808" i="2"/>
  <c r="D808" i="2"/>
  <c r="C808" i="2"/>
  <c r="B808" i="2"/>
  <c r="A808" i="2"/>
  <c r="M807" i="2"/>
  <c r="L807" i="2"/>
  <c r="J807" i="2"/>
  <c r="I807" i="2"/>
  <c r="H807" i="2"/>
  <c r="G807" i="2"/>
  <c r="F807" i="2"/>
  <c r="E807" i="2"/>
  <c r="D807" i="2"/>
  <c r="C807" i="2"/>
  <c r="B807" i="2"/>
  <c r="A807" i="2"/>
  <c r="M806" i="2"/>
  <c r="L806" i="2"/>
  <c r="J806" i="2"/>
  <c r="I806" i="2"/>
  <c r="H806" i="2"/>
  <c r="G806" i="2"/>
  <c r="F806" i="2"/>
  <c r="E806" i="2"/>
  <c r="D806" i="2"/>
  <c r="C806" i="2"/>
  <c r="B806" i="2"/>
  <c r="A806" i="2"/>
  <c r="M805" i="2"/>
  <c r="L805" i="2"/>
  <c r="J805" i="2"/>
  <c r="I805" i="2"/>
  <c r="H805" i="2"/>
  <c r="G805" i="2"/>
  <c r="F805" i="2"/>
  <c r="E805" i="2"/>
  <c r="D805" i="2"/>
  <c r="C805" i="2"/>
  <c r="B805" i="2"/>
  <c r="A805" i="2"/>
  <c r="M804" i="2"/>
  <c r="L804" i="2"/>
  <c r="J804" i="2"/>
  <c r="I804" i="2"/>
  <c r="H804" i="2"/>
  <c r="G804" i="2"/>
  <c r="F804" i="2"/>
  <c r="E804" i="2"/>
  <c r="D804" i="2"/>
  <c r="C804" i="2"/>
  <c r="B804" i="2"/>
  <c r="A804" i="2"/>
  <c r="M803" i="2"/>
  <c r="L803" i="2"/>
  <c r="J803" i="2"/>
  <c r="I803" i="2"/>
  <c r="H803" i="2"/>
  <c r="G803" i="2"/>
  <c r="F803" i="2"/>
  <c r="E803" i="2"/>
  <c r="D803" i="2"/>
  <c r="C803" i="2"/>
  <c r="B803" i="2"/>
  <c r="A803" i="2"/>
  <c r="M802" i="2"/>
  <c r="L802" i="2"/>
  <c r="J802" i="2"/>
  <c r="I802" i="2"/>
  <c r="H802" i="2"/>
  <c r="G802" i="2"/>
  <c r="F802" i="2"/>
  <c r="E802" i="2"/>
  <c r="D802" i="2"/>
  <c r="C802" i="2"/>
  <c r="B802" i="2"/>
  <c r="A802" i="2"/>
  <c r="M801" i="2"/>
  <c r="L801" i="2"/>
  <c r="J801" i="2"/>
  <c r="I801" i="2"/>
  <c r="H801" i="2"/>
  <c r="G801" i="2"/>
  <c r="F801" i="2"/>
  <c r="E801" i="2"/>
  <c r="D801" i="2"/>
  <c r="C801" i="2"/>
  <c r="B801" i="2"/>
  <c r="A801" i="2"/>
  <c r="M800" i="2"/>
  <c r="L800" i="2"/>
  <c r="J800" i="2"/>
  <c r="I800" i="2"/>
  <c r="H800" i="2"/>
  <c r="G800" i="2"/>
  <c r="F800" i="2"/>
  <c r="E800" i="2"/>
  <c r="D800" i="2"/>
  <c r="C800" i="2"/>
  <c r="B800" i="2"/>
  <c r="A800" i="2"/>
  <c r="M799" i="2"/>
  <c r="L799" i="2"/>
  <c r="J799" i="2"/>
  <c r="I799" i="2"/>
  <c r="H799" i="2"/>
  <c r="G799" i="2"/>
  <c r="F799" i="2"/>
  <c r="E799" i="2"/>
  <c r="D799" i="2"/>
  <c r="C799" i="2"/>
  <c r="B799" i="2"/>
  <c r="A799" i="2"/>
  <c r="M798" i="2"/>
  <c r="L798" i="2"/>
  <c r="J798" i="2"/>
  <c r="I798" i="2"/>
  <c r="H798" i="2"/>
  <c r="G798" i="2"/>
  <c r="F798" i="2"/>
  <c r="E798" i="2"/>
  <c r="D798" i="2"/>
  <c r="C798" i="2"/>
  <c r="B798" i="2"/>
  <c r="A798" i="2"/>
  <c r="M797" i="2"/>
  <c r="L797" i="2"/>
  <c r="J797" i="2"/>
  <c r="I797" i="2"/>
  <c r="H797" i="2"/>
  <c r="G797" i="2"/>
  <c r="F797" i="2"/>
  <c r="E797" i="2"/>
  <c r="D797" i="2"/>
  <c r="C797" i="2"/>
  <c r="B797" i="2"/>
  <c r="A797" i="2"/>
  <c r="M796" i="2"/>
  <c r="L796" i="2"/>
  <c r="J796" i="2"/>
  <c r="I796" i="2"/>
  <c r="H796" i="2"/>
  <c r="G796" i="2"/>
  <c r="F796" i="2"/>
  <c r="E796" i="2"/>
  <c r="D796" i="2"/>
  <c r="C796" i="2"/>
  <c r="B796" i="2"/>
  <c r="A796" i="2"/>
  <c r="M795" i="2"/>
  <c r="L795" i="2"/>
  <c r="J795" i="2"/>
  <c r="I795" i="2"/>
  <c r="H795" i="2"/>
  <c r="G795" i="2"/>
  <c r="F795" i="2"/>
  <c r="E795" i="2"/>
  <c r="D795" i="2"/>
  <c r="C795" i="2"/>
  <c r="B795" i="2"/>
  <c r="A795" i="2"/>
  <c r="M794" i="2"/>
  <c r="L794" i="2"/>
  <c r="J794" i="2"/>
  <c r="I794" i="2"/>
  <c r="H794" i="2"/>
  <c r="G794" i="2"/>
  <c r="F794" i="2"/>
  <c r="E794" i="2"/>
  <c r="D794" i="2"/>
  <c r="C794" i="2"/>
  <c r="B794" i="2"/>
  <c r="A794" i="2"/>
  <c r="M793" i="2"/>
  <c r="L793" i="2"/>
  <c r="K793" i="2"/>
  <c r="J793" i="2"/>
  <c r="I793" i="2"/>
  <c r="H793" i="2"/>
  <c r="G793" i="2"/>
  <c r="F793" i="2"/>
  <c r="E793" i="2"/>
  <c r="D793" i="2"/>
  <c r="C793" i="2"/>
  <c r="B793" i="2"/>
  <c r="A793" i="2"/>
  <c r="M792" i="2"/>
  <c r="L792" i="2"/>
  <c r="K792" i="2"/>
  <c r="J792" i="2"/>
  <c r="I792" i="2"/>
  <c r="H792" i="2"/>
  <c r="F792" i="2"/>
  <c r="E792" i="2"/>
  <c r="D792" i="2"/>
  <c r="C792" i="2"/>
  <c r="B792" i="2"/>
  <c r="A792" i="2"/>
  <c r="M791" i="2"/>
  <c r="L791" i="2"/>
  <c r="K791" i="2"/>
  <c r="J791" i="2"/>
  <c r="I791" i="2"/>
  <c r="H791" i="2"/>
  <c r="G791" i="2"/>
  <c r="F791" i="2"/>
  <c r="E791" i="2"/>
  <c r="D791" i="2"/>
  <c r="C791" i="2"/>
  <c r="B791" i="2"/>
  <c r="A791" i="2"/>
  <c r="M790" i="2"/>
  <c r="L790" i="2"/>
  <c r="J790" i="2"/>
  <c r="I790" i="2"/>
  <c r="H790" i="2"/>
  <c r="F790" i="2"/>
  <c r="E790" i="2"/>
  <c r="D790" i="2"/>
  <c r="C790" i="2"/>
  <c r="B790" i="2"/>
  <c r="A790" i="2"/>
  <c r="M789" i="2"/>
  <c r="L789" i="2"/>
  <c r="K789" i="2"/>
  <c r="J789" i="2"/>
  <c r="I789" i="2"/>
  <c r="H789" i="2"/>
  <c r="G789" i="2"/>
  <c r="F789" i="2"/>
  <c r="E789" i="2"/>
  <c r="D789" i="2"/>
  <c r="C789" i="2"/>
  <c r="B789" i="2"/>
  <c r="A789" i="2"/>
  <c r="M788" i="2"/>
  <c r="L788" i="2"/>
  <c r="K788" i="2"/>
  <c r="J788" i="2"/>
  <c r="I788" i="2"/>
  <c r="H788" i="2"/>
  <c r="G788" i="2"/>
  <c r="F788" i="2"/>
  <c r="E788" i="2"/>
  <c r="D788" i="2"/>
  <c r="C788" i="2"/>
  <c r="B788" i="2"/>
  <c r="A788" i="2"/>
  <c r="M787" i="2"/>
  <c r="L787" i="2"/>
  <c r="K787" i="2"/>
  <c r="J787" i="2"/>
  <c r="I787" i="2"/>
  <c r="H787" i="2"/>
  <c r="G787" i="2"/>
  <c r="F787" i="2"/>
  <c r="E787" i="2"/>
  <c r="D787" i="2"/>
  <c r="C787" i="2"/>
  <c r="B787" i="2"/>
  <c r="A787" i="2"/>
  <c r="M786" i="2"/>
  <c r="L786" i="2"/>
  <c r="K786" i="2"/>
  <c r="J786" i="2"/>
  <c r="I786" i="2"/>
  <c r="H786" i="2"/>
  <c r="G786" i="2"/>
  <c r="F786" i="2"/>
  <c r="E786" i="2"/>
  <c r="D786" i="2"/>
  <c r="C786" i="2"/>
  <c r="B786" i="2"/>
  <c r="A786" i="2"/>
  <c r="M785" i="2"/>
  <c r="L785" i="2"/>
  <c r="K785" i="2"/>
  <c r="J785" i="2"/>
  <c r="I785" i="2"/>
  <c r="H785" i="2"/>
  <c r="G785" i="2"/>
  <c r="F785" i="2"/>
  <c r="E785" i="2"/>
  <c r="D785" i="2"/>
  <c r="C785" i="2"/>
  <c r="B785" i="2"/>
  <c r="A785" i="2"/>
  <c r="N784" i="2"/>
  <c r="M784" i="2"/>
  <c r="L784" i="2"/>
  <c r="K784" i="2"/>
  <c r="J784" i="2"/>
  <c r="I784" i="2"/>
  <c r="H784" i="2"/>
  <c r="G784" i="2"/>
  <c r="F784" i="2"/>
  <c r="E784" i="2"/>
  <c r="D784" i="2"/>
  <c r="C784" i="2"/>
  <c r="B784" i="2"/>
  <c r="A784" i="2"/>
  <c r="N783" i="2"/>
  <c r="M783" i="2"/>
  <c r="L783" i="2"/>
  <c r="K783" i="2"/>
  <c r="J783" i="2"/>
  <c r="I783" i="2"/>
  <c r="H783" i="2"/>
  <c r="G783" i="2"/>
  <c r="F783" i="2"/>
  <c r="E783" i="2"/>
  <c r="D783" i="2"/>
  <c r="C783" i="2"/>
  <c r="B783" i="2"/>
  <c r="A783" i="2"/>
  <c r="M782" i="2"/>
  <c r="L782" i="2"/>
  <c r="K782" i="2"/>
  <c r="J782" i="2"/>
  <c r="I782" i="2"/>
  <c r="H782" i="2"/>
  <c r="G782" i="2"/>
  <c r="F782" i="2"/>
  <c r="E782" i="2"/>
  <c r="D782" i="2"/>
  <c r="C782" i="2"/>
  <c r="B782" i="2"/>
  <c r="A782" i="2"/>
  <c r="M781" i="2"/>
  <c r="L781" i="2"/>
  <c r="K781" i="2"/>
  <c r="J781" i="2"/>
  <c r="I781" i="2"/>
  <c r="H781" i="2"/>
  <c r="G781" i="2"/>
  <c r="F781" i="2"/>
  <c r="E781" i="2"/>
  <c r="D781" i="2"/>
  <c r="C781" i="2"/>
  <c r="B781" i="2"/>
  <c r="A781" i="2"/>
  <c r="N780" i="2"/>
  <c r="M780" i="2"/>
  <c r="L780" i="2"/>
  <c r="K780" i="2"/>
  <c r="J780" i="2"/>
  <c r="I780" i="2"/>
  <c r="H780" i="2"/>
  <c r="G780" i="2"/>
  <c r="F780" i="2"/>
  <c r="E780" i="2"/>
  <c r="D780" i="2"/>
  <c r="C780" i="2"/>
  <c r="B780" i="2"/>
  <c r="A780" i="2"/>
  <c r="N779" i="2"/>
  <c r="M779" i="2"/>
  <c r="L779" i="2"/>
  <c r="K779" i="2"/>
  <c r="J779" i="2"/>
  <c r="I779" i="2"/>
  <c r="H779" i="2"/>
  <c r="G779" i="2"/>
  <c r="F779" i="2"/>
  <c r="E779" i="2"/>
  <c r="D779" i="2"/>
  <c r="C779" i="2"/>
  <c r="B779" i="2"/>
  <c r="A779" i="2"/>
  <c r="N778" i="2"/>
  <c r="M778" i="2"/>
  <c r="L778" i="2"/>
  <c r="K778" i="2"/>
  <c r="J778" i="2"/>
  <c r="I778" i="2"/>
  <c r="H778" i="2"/>
  <c r="G778" i="2"/>
  <c r="F778" i="2"/>
  <c r="E778" i="2"/>
  <c r="D778" i="2"/>
  <c r="C778" i="2"/>
  <c r="B778" i="2"/>
  <c r="A778" i="2"/>
  <c r="M777" i="2"/>
  <c r="L777" i="2"/>
  <c r="K777" i="2"/>
  <c r="J777" i="2"/>
  <c r="I777" i="2"/>
  <c r="H777" i="2"/>
  <c r="G777" i="2"/>
  <c r="F777" i="2"/>
  <c r="E777" i="2"/>
  <c r="D777" i="2"/>
  <c r="C777" i="2"/>
  <c r="B777" i="2"/>
  <c r="A777" i="2"/>
  <c r="N776" i="2"/>
  <c r="M776" i="2"/>
  <c r="L776" i="2"/>
  <c r="K776" i="2"/>
  <c r="J776" i="2"/>
  <c r="I776" i="2"/>
  <c r="H776" i="2"/>
  <c r="G776" i="2"/>
  <c r="F776" i="2"/>
  <c r="E776" i="2"/>
  <c r="D776" i="2"/>
  <c r="C776" i="2"/>
  <c r="B776" i="2"/>
  <c r="A776" i="2"/>
  <c r="M775" i="2"/>
  <c r="L775" i="2"/>
  <c r="K775" i="2"/>
  <c r="J775" i="2"/>
  <c r="I775" i="2"/>
  <c r="H775" i="2"/>
  <c r="G775" i="2"/>
  <c r="F775" i="2"/>
  <c r="E775" i="2"/>
  <c r="D775" i="2"/>
  <c r="C775" i="2"/>
  <c r="B775" i="2"/>
  <c r="A775" i="2"/>
  <c r="N774" i="2"/>
  <c r="M774" i="2"/>
  <c r="L774" i="2"/>
  <c r="K774" i="2"/>
  <c r="J774" i="2"/>
  <c r="I774" i="2"/>
  <c r="H774" i="2"/>
  <c r="G774" i="2"/>
  <c r="F774" i="2"/>
  <c r="E774" i="2"/>
  <c r="D774" i="2"/>
  <c r="C774" i="2"/>
  <c r="B774" i="2"/>
  <c r="A774" i="2"/>
  <c r="M773" i="2"/>
  <c r="L773" i="2"/>
  <c r="K773" i="2"/>
  <c r="J773" i="2"/>
  <c r="I773" i="2"/>
  <c r="H773" i="2"/>
  <c r="G773" i="2"/>
  <c r="F773" i="2"/>
  <c r="E773" i="2"/>
  <c r="D773" i="2"/>
  <c r="C773" i="2"/>
  <c r="B773" i="2"/>
  <c r="A773" i="2"/>
  <c r="N772" i="2"/>
  <c r="M772" i="2"/>
  <c r="L772" i="2"/>
  <c r="K772" i="2"/>
  <c r="J772" i="2"/>
  <c r="I772" i="2"/>
  <c r="H772" i="2"/>
  <c r="G772" i="2"/>
  <c r="F772" i="2"/>
  <c r="E772" i="2"/>
  <c r="D772" i="2"/>
  <c r="C772" i="2"/>
  <c r="B772" i="2"/>
  <c r="A772" i="2"/>
  <c r="N771" i="2"/>
  <c r="M771" i="2"/>
  <c r="L771" i="2"/>
  <c r="K771" i="2"/>
  <c r="J771" i="2"/>
  <c r="I771" i="2"/>
  <c r="H771" i="2"/>
  <c r="G771" i="2"/>
  <c r="F771" i="2"/>
  <c r="E771" i="2"/>
  <c r="D771" i="2"/>
  <c r="C771" i="2"/>
  <c r="B771" i="2"/>
  <c r="A771" i="2"/>
  <c r="M770" i="2"/>
  <c r="L770" i="2"/>
  <c r="K770" i="2"/>
  <c r="J770" i="2"/>
  <c r="I770" i="2"/>
  <c r="H770" i="2"/>
  <c r="G770" i="2"/>
  <c r="F770" i="2"/>
  <c r="E770" i="2"/>
  <c r="D770" i="2"/>
  <c r="C770" i="2"/>
  <c r="B770" i="2"/>
  <c r="A770" i="2"/>
  <c r="M769" i="2"/>
  <c r="L769" i="2"/>
  <c r="K769" i="2"/>
  <c r="J769" i="2"/>
  <c r="I769" i="2"/>
  <c r="H769" i="2"/>
  <c r="G769" i="2"/>
  <c r="F769" i="2"/>
  <c r="E769" i="2"/>
  <c r="D769" i="2"/>
  <c r="C769" i="2"/>
  <c r="B769" i="2"/>
  <c r="A769" i="2"/>
  <c r="M768" i="2"/>
  <c r="L768" i="2"/>
  <c r="K768" i="2"/>
  <c r="J768" i="2"/>
  <c r="I768" i="2"/>
  <c r="H768" i="2"/>
  <c r="G768" i="2"/>
  <c r="F768" i="2"/>
  <c r="E768" i="2"/>
  <c r="D768" i="2"/>
  <c r="C768" i="2"/>
  <c r="B768" i="2"/>
  <c r="A768" i="2"/>
  <c r="M767" i="2"/>
  <c r="L767" i="2"/>
  <c r="K767" i="2"/>
  <c r="J767" i="2"/>
  <c r="I767" i="2"/>
  <c r="H767" i="2"/>
  <c r="G767" i="2"/>
  <c r="F767" i="2"/>
  <c r="E767" i="2"/>
  <c r="D767" i="2"/>
  <c r="C767" i="2"/>
  <c r="B767" i="2"/>
  <c r="A767" i="2"/>
  <c r="M766" i="2"/>
  <c r="L766" i="2"/>
  <c r="K766" i="2"/>
  <c r="J766" i="2"/>
  <c r="I766" i="2"/>
  <c r="H766" i="2"/>
  <c r="G766" i="2"/>
  <c r="F766" i="2"/>
  <c r="E766" i="2"/>
  <c r="D766" i="2"/>
  <c r="C766" i="2"/>
  <c r="B766" i="2"/>
  <c r="A766" i="2"/>
  <c r="M765" i="2"/>
  <c r="L765" i="2"/>
  <c r="K765" i="2"/>
  <c r="J765" i="2"/>
  <c r="I765" i="2"/>
  <c r="H765" i="2"/>
  <c r="G765" i="2"/>
  <c r="F765" i="2"/>
  <c r="E765" i="2"/>
  <c r="D765" i="2"/>
  <c r="C765" i="2"/>
  <c r="B765" i="2"/>
  <c r="A765" i="2"/>
  <c r="M764" i="2"/>
  <c r="L764" i="2"/>
  <c r="K764" i="2"/>
  <c r="J764" i="2"/>
  <c r="I764" i="2"/>
  <c r="H764" i="2"/>
  <c r="F764" i="2"/>
  <c r="E764" i="2"/>
  <c r="D764" i="2"/>
  <c r="C764" i="2"/>
  <c r="B764" i="2"/>
  <c r="A764" i="2"/>
  <c r="M763" i="2"/>
  <c r="L763" i="2"/>
  <c r="K763" i="2"/>
  <c r="J763" i="2"/>
  <c r="I763" i="2"/>
  <c r="H763" i="2"/>
  <c r="G763" i="2"/>
  <c r="F763" i="2"/>
  <c r="E763" i="2"/>
  <c r="D763" i="2"/>
  <c r="C763" i="2"/>
  <c r="B763" i="2"/>
  <c r="A763" i="2"/>
  <c r="M762" i="2"/>
  <c r="L762" i="2"/>
  <c r="K762" i="2"/>
  <c r="J762" i="2"/>
  <c r="I762" i="2"/>
  <c r="H762" i="2"/>
  <c r="G762" i="2"/>
  <c r="F762" i="2"/>
  <c r="E762" i="2"/>
  <c r="D762" i="2"/>
  <c r="C762" i="2"/>
  <c r="B762" i="2"/>
  <c r="A762" i="2"/>
  <c r="M761" i="2"/>
  <c r="L761" i="2"/>
  <c r="K761" i="2"/>
  <c r="I761" i="2"/>
  <c r="H761" i="2"/>
  <c r="F761" i="2"/>
  <c r="E761" i="2"/>
  <c r="D761" i="2"/>
  <c r="C761" i="2"/>
  <c r="B761" i="2"/>
  <c r="A761" i="2"/>
  <c r="M760" i="2"/>
  <c r="L760" i="2"/>
  <c r="K760" i="2"/>
  <c r="I760" i="2"/>
  <c r="H760" i="2"/>
  <c r="F760" i="2"/>
  <c r="E760" i="2"/>
  <c r="D760" i="2"/>
  <c r="C760" i="2"/>
  <c r="B760" i="2"/>
  <c r="A760" i="2"/>
  <c r="M759" i="2"/>
  <c r="L759" i="2"/>
  <c r="J759" i="2"/>
  <c r="I759" i="2"/>
  <c r="H759" i="2"/>
  <c r="G759" i="2"/>
  <c r="F759" i="2"/>
  <c r="E759" i="2"/>
  <c r="D759" i="2"/>
  <c r="C759" i="2"/>
  <c r="B759" i="2"/>
  <c r="A759" i="2"/>
  <c r="M758" i="2"/>
  <c r="L758" i="2"/>
  <c r="K758" i="2"/>
  <c r="J758" i="2"/>
  <c r="I758" i="2"/>
  <c r="H758" i="2"/>
  <c r="G758" i="2"/>
  <c r="F758" i="2"/>
  <c r="E758" i="2"/>
  <c r="D758" i="2"/>
  <c r="C758" i="2"/>
  <c r="B758" i="2"/>
  <c r="A758" i="2"/>
  <c r="M757" i="2"/>
  <c r="L757" i="2"/>
  <c r="K757" i="2"/>
  <c r="J757" i="2"/>
  <c r="I757" i="2"/>
  <c r="H757" i="2"/>
  <c r="G757" i="2"/>
  <c r="F757" i="2"/>
  <c r="E757" i="2"/>
  <c r="D757" i="2"/>
  <c r="C757" i="2"/>
  <c r="B757" i="2"/>
  <c r="A757" i="2"/>
  <c r="M756" i="2"/>
  <c r="L756" i="2"/>
  <c r="K756" i="2"/>
  <c r="J756" i="2"/>
  <c r="I756" i="2"/>
  <c r="H756" i="2"/>
  <c r="G756" i="2"/>
  <c r="F756" i="2"/>
  <c r="E756" i="2"/>
  <c r="D756" i="2"/>
  <c r="C756" i="2"/>
  <c r="B756" i="2"/>
  <c r="A756" i="2"/>
  <c r="M755" i="2"/>
  <c r="L755" i="2"/>
  <c r="K755" i="2"/>
  <c r="J755" i="2"/>
  <c r="I755" i="2"/>
  <c r="H755" i="2"/>
  <c r="G755" i="2"/>
  <c r="F755" i="2"/>
  <c r="E755" i="2"/>
  <c r="D755" i="2"/>
  <c r="C755" i="2"/>
  <c r="B755" i="2"/>
  <c r="A755" i="2"/>
  <c r="M754" i="2"/>
  <c r="L754" i="2"/>
  <c r="K754" i="2"/>
  <c r="J754" i="2"/>
  <c r="I754" i="2"/>
  <c r="H754" i="2"/>
  <c r="G754" i="2"/>
  <c r="F754" i="2"/>
  <c r="E754" i="2"/>
  <c r="D754" i="2"/>
  <c r="C754" i="2"/>
  <c r="B754" i="2"/>
  <c r="A754" i="2"/>
  <c r="M753" i="2"/>
  <c r="L753" i="2"/>
  <c r="K753" i="2"/>
  <c r="J753" i="2"/>
  <c r="I753" i="2"/>
  <c r="H753" i="2"/>
  <c r="G753" i="2"/>
  <c r="F753" i="2"/>
  <c r="E753" i="2"/>
  <c r="D753" i="2"/>
  <c r="C753" i="2"/>
  <c r="B753" i="2"/>
  <c r="A753" i="2"/>
  <c r="M752" i="2"/>
  <c r="L752" i="2"/>
  <c r="K752" i="2"/>
  <c r="J752" i="2"/>
  <c r="I752" i="2"/>
  <c r="H752" i="2"/>
  <c r="G752" i="2"/>
  <c r="F752" i="2"/>
  <c r="E752" i="2"/>
  <c r="D752" i="2"/>
  <c r="C752" i="2"/>
  <c r="B752" i="2"/>
  <c r="A752" i="2"/>
  <c r="M751" i="2"/>
  <c r="L751" i="2"/>
  <c r="K751" i="2"/>
  <c r="J751" i="2"/>
  <c r="I751" i="2"/>
  <c r="H751" i="2"/>
  <c r="G751" i="2"/>
  <c r="F751" i="2"/>
  <c r="E751" i="2"/>
  <c r="D751" i="2"/>
  <c r="C751" i="2"/>
  <c r="B751" i="2"/>
  <c r="A751" i="2"/>
  <c r="M750" i="2"/>
  <c r="L750" i="2"/>
  <c r="K750" i="2"/>
  <c r="J750" i="2"/>
  <c r="I750" i="2"/>
  <c r="H750" i="2"/>
  <c r="G750" i="2"/>
  <c r="F750" i="2"/>
  <c r="E750" i="2"/>
  <c r="D750" i="2"/>
  <c r="C750" i="2"/>
  <c r="B750" i="2"/>
  <c r="A750" i="2"/>
  <c r="M749" i="2"/>
  <c r="L749" i="2"/>
  <c r="K749" i="2"/>
  <c r="J749" i="2"/>
  <c r="I749" i="2"/>
  <c r="H749" i="2"/>
  <c r="G749" i="2"/>
  <c r="F749" i="2"/>
  <c r="E749" i="2"/>
  <c r="D749" i="2"/>
  <c r="C749" i="2"/>
  <c r="B749" i="2"/>
  <c r="A749" i="2"/>
  <c r="M748" i="2"/>
  <c r="L748" i="2"/>
  <c r="K748" i="2"/>
  <c r="J748" i="2"/>
  <c r="I748" i="2"/>
  <c r="H748" i="2"/>
  <c r="G748" i="2"/>
  <c r="F748" i="2"/>
  <c r="E748" i="2"/>
  <c r="D748" i="2"/>
  <c r="C748" i="2"/>
  <c r="B748" i="2"/>
  <c r="A748" i="2"/>
  <c r="M747" i="2"/>
  <c r="L747" i="2"/>
  <c r="K747" i="2"/>
  <c r="J747" i="2"/>
  <c r="I747" i="2"/>
  <c r="H747" i="2"/>
  <c r="G747" i="2"/>
  <c r="F747" i="2"/>
  <c r="E747" i="2"/>
  <c r="D747" i="2"/>
  <c r="C747" i="2"/>
  <c r="B747" i="2"/>
  <c r="A747" i="2"/>
  <c r="M746" i="2"/>
  <c r="L746" i="2"/>
  <c r="K746" i="2"/>
  <c r="J746" i="2"/>
  <c r="I746" i="2"/>
  <c r="H746" i="2"/>
  <c r="G746" i="2"/>
  <c r="F746" i="2"/>
  <c r="E746" i="2"/>
  <c r="D746" i="2"/>
  <c r="C746" i="2"/>
  <c r="B746" i="2"/>
  <c r="A746" i="2"/>
  <c r="M745" i="2"/>
  <c r="L745" i="2"/>
  <c r="K745" i="2"/>
  <c r="J745" i="2"/>
  <c r="I745" i="2"/>
  <c r="H745" i="2"/>
  <c r="G745" i="2"/>
  <c r="F745" i="2"/>
  <c r="E745" i="2"/>
  <c r="D745" i="2"/>
  <c r="C745" i="2"/>
  <c r="B745" i="2"/>
  <c r="A745" i="2"/>
  <c r="M744" i="2"/>
  <c r="L744" i="2"/>
  <c r="K744" i="2"/>
  <c r="J744" i="2"/>
  <c r="I744" i="2"/>
  <c r="H744" i="2"/>
  <c r="G744" i="2"/>
  <c r="F744" i="2"/>
  <c r="E744" i="2"/>
  <c r="D744" i="2"/>
  <c r="C744" i="2"/>
  <c r="B744" i="2"/>
  <c r="A744" i="2"/>
  <c r="M743" i="2"/>
  <c r="L743" i="2"/>
  <c r="K743" i="2"/>
  <c r="J743" i="2"/>
  <c r="I743" i="2"/>
  <c r="H743" i="2"/>
  <c r="G743" i="2"/>
  <c r="F743" i="2"/>
  <c r="E743" i="2"/>
  <c r="D743" i="2"/>
  <c r="C743" i="2"/>
  <c r="B743" i="2"/>
  <c r="A743" i="2"/>
  <c r="M742" i="2"/>
  <c r="L742" i="2"/>
  <c r="K742" i="2"/>
  <c r="J742" i="2"/>
  <c r="I742" i="2"/>
  <c r="H742" i="2"/>
  <c r="G742" i="2"/>
  <c r="F742" i="2"/>
  <c r="E742" i="2"/>
  <c r="D742" i="2"/>
  <c r="C742" i="2"/>
  <c r="B742" i="2"/>
  <c r="A742" i="2"/>
  <c r="M741" i="2"/>
  <c r="L741" i="2"/>
  <c r="K741" i="2"/>
  <c r="J741" i="2"/>
  <c r="I741" i="2"/>
  <c r="H741" i="2"/>
  <c r="G741" i="2"/>
  <c r="F741" i="2"/>
  <c r="E741" i="2"/>
  <c r="D741" i="2"/>
  <c r="C741" i="2"/>
  <c r="B741" i="2"/>
  <c r="A741" i="2"/>
  <c r="M740" i="2"/>
  <c r="L740" i="2"/>
  <c r="K740" i="2"/>
  <c r="J740" i="2"/>
  <c r="I740" i="2"/>
  <c r="H740" i="2"/>
  <c r="G740" i="2"/>
  <c r="F740" i="2"/>
  <c r="E740" i="2"/>
  <c r="D740" i="2"/>
  <c r="C740" i="2"/>
  <c r="B740" i="2"/>
  <c r="A740" i="2"/>
  <c r="M739" i="2"/>
  <c r="L739" i="2"/>
  <c r="K739" i="2"/>
  <c r="J739" i="2"/>
  <c r="I739" i="2"/>
  <c r="H739" i="2"/>
  <c r="G739" i="2"/>
  <c r="F739" i="2"/>
  <c r="E739" i="2"/>
  <c r="D739" i="2"/>
  <c r="C739" i="2"/>
  <c r="B739" i="2"/>
  <c r="A739" i="2"/>
  <c r="M738" i="2"/>
  <c r="L738" i="2"/>
  <c r="K738" i="2"/>
  <c r="J738" i="2"/>
  <c r="I738" i="2"/>
  <c r="H738" i="2"/>
  <c r="G738" i="2"/>
  <c r="F738" i="2"/>
  <c r="E738" i="2"/>
  <c r="D738" i="2"/>
  <c r="C738" i="2"/>
  <c r="B738" i="2"/>
  <c r="A738" i="2"/>
  <c r="M737" i="2"/>
  <c r="L737" i="2"/>
  <c r="K737" i="2"/>
  <c r="J737" i="2"/>
  <c r="I737" i="2"/>
  <c r="H737" i="2"/>
  <c r="G737" i="2"/>
  <c r="F737" i="2"/>
  <c r="E737" i="2"/>
  <c r="D737" i="2"/>
  <c r="C737" i="2"/>
  <c r="B737" i="2"/>
  <c r="A737" i="2"/>
  <c r="M736" i="2"/>
  <c r="L736" i="2"/>
  <c r="K736" i="2"/>
  <c r="J736" i="2"/>
  <c r="I736" i="2"/>
  <c r="H736" i="2"/>
  <c r="G736" i="2"/>
  <c r="F736" i="2"/>
  <c r="E736" i="2"/>
  <c r="D736" i="2"/>
  <c r="C736" i="2"/>
  <c r="B736" i="2"/>
  <c r="A736" i="2"/>
  <c r="M735" i="2"/>
  <c r="L735" i="2"/>
  <c r="K735" i="2"/>
  <c r="J735" i="2"/>
  <c r="I735" i="2"/>
  <c r="H735" i="2"/>
  <c r="G735" i="2"/>
  <c r="F735" i="2"/>
  <c r="E735" i="2"/>
  <c r="D735" i="2"/>
  <c r="C735" i="2"/>
  <c r="B735" i="2"/>
  <c r="A735" i="2"/>
  <c r="M734" i="2"/>
  <c r="L734" i="2"/>
  <c r="K734" i="2"/>
  <c r="J734" i="2"/>
  <c r="I734" i="2"/>
  <c r="H734" i="2"/>
  <c r="G734" i="2"/>
  <c r="F734" i="2"/>
  <c r="E734" i="2"/>
  <c r="D734" i="2"/>
  <c r="C734" i="2"/>
  <c r="B734" i="2"/>
  <c r="A734" i="2"/>
  <c r="M733" i="2"/>
  <c r="L733" i="2"/>
  <c r="K733" i="2"/>
  <c r="J733" i="2"/>
  <c r="I733" i="2"/>
  <c r="H733" i="2"/>
  <c r="G733" i="2"/>
  <c r="F733" i="2"/>
  <c r="E733" i="2"/>
  <c r="D733" i="2"/>
  <c r="C733" i="2"/>
  <c r="B733" i="2"/>
  <c r="A733" i="2"/>
  <c r="M732" i="2"/>
  <c r="L732" i="2"/>
  <c r="K732" i="2"/>
  <c r="J732" i="2"/>
  <c r="I732" i="2"/>
  <c r="H732" i="2"/>
  <c r="G732" i="2"/>
  <c r="F732" i="2"/>
  <c r="E732" i="2"/>
  <c r="D732" i="2"/>
  <c r="C732" i="2"/>
  <c r="B732" i="2"/>
  <c r="A732" i="2"/>
  <c r="M731" i="2"/>
  <c r="L731" i="2"/>
  <c r="G731" i="2"/>
  <c r="F731" i="2"/>
  <c r="D731" i="2"/>
  <c r="C731" i="2"/>
  <c r="B731" i="2"/>
  <c r="A731" i="2"/>
  <c r="M730" i="2"/>
  <c r="L730" i="2"/>
  <c r="H730" i="2"/>
  <c r="G730" i="2"/>
  <c r="F730" i="2"/>
  <c r="D730" i="2"/>
  <c r="C730" i="2"/>
  <c r="B730" i="2"/>
  <c r="A730" i="2"/>
  <c r="M729" i="2"/>
  <c r="L729" i="2"/>
  <c r="G729" i="2"/>
  <c r="F729" i="2"/>
  <c r="D729" i="2"/>
  <c r="C729" i="2"/>
  <c r="B729" i="2"/>
  <c r="A729" i="2"/>
  <c r="M728" i="2"/>
  <c r="L728" i="2"/>
  <c r="K728" i="2"/>
  <c r="G728" i="2"/>
  <c r="F728" i="2"/>
  <c r="D728" i="2"/>
  <c r="C728" i="2"/>
  <c r="B728" i="2"/>
  <c r="A728" i="2"/>
  <c r="M727" i="2"/>
  <c r="L727" i="2"/>
  <c r="G727" i="2"/>
  <c r="F727" i="2"/>
  <c r="D727" i="2"/>
  <c r="C727" i="2"/>
  <c r="B727" i="2"/>
  <c r="A727" i="2"/>
  <c r="M726" i="2"/>
  <c r="L726" i="2"/>
  <c r="G726" i="2"/>
  <c r="F726" i="2"/>
  <c r="D726" i="2"/>
  <c r="C726" i="2"/>
  <c r="B726" i="2"/>
  <c r="A726" i="2"/>
  <c r="M725" i="2"/>
  <c r="L725" i="2"/>
  <c r="G725" i="2"/>
  <c r="F725" i="2"/>
  <c r="D725" i="2"/>
  <c r="C725" i="2"/>
  <c r="B725" i="2"/>
  <c r="A725" i="2"/>
  <c r="M724" i="2"/>
  <c r="L724" i="2"/>
  <c r="G724" i="2"/>
  <c r="F724" i="2"/>
  <c r="D724" i="2"/>
  <c r="C724" i="2"/>
  <c r="B724" i="2"/>
  <c r="A724" i="2"/>
  <c r="M723" i="2"/>
  <c r="L723" i="2"/>
  <c r="K723" i="2"/>
  <c r="G723" i="2"/>
  <c r="F723" i="2"/>
  <c r="D723" i="2"/>
  <c r="C723" i="2"/>
  <c r="B723" i="2"/>
  <c r="A723" i="2"/>
  <c r="M722" i="2"/>
  <c r="L722" i="2"/>
  <c r="K722" i="2"/>
  <c r="G722" i="2"/>
  <c r="F722" i="2"/>
  <c r="D722" i="2"/>
  <c r="C722" i="2"/>
  <c r="B722" i="2"/>
  <c r="A722" i="2"/>
  <c r="M721" i="2"/>
  <c r="L721" i="2"/>
  <c r="K721" i="2"/>
  <c r="G721" i="2"/>
  <c r="F721" i="2"/>
  <c r="D721" i="2"/>
  <c r="C721" i="2"/>
  <c r="B721" i="2"/>
  <c r="A721" i="2"/>
  <c r="M720" i="2"/>
  <c r="L720" i="2"/>
  <c r="K720" i="2"/>
  <c r="G720" i="2"/>
  <c r="F720" i="2"/>
  <c r="D720" i="2"/>
  <c r="C720" i="2"/>
  <c r="B720" i="2"/>
  <c r="A720" i="2"/>
  <c r="M719" i="2"/>
  <c r="L719" i="2"/>
  <c r="G719" i="2"/>
  <c r="F719" i="2"/>
  <c r="D719" i="2"/>
  <c r="C719" i="2"/>
  <c r="B719" i="2"/>
  <c r="A719" i="2"/>
  <c r="M718" i="2"/>
  <c r="L718" i="2"/>
  <c r="K718" i="2"/>
  <c r="G718" i="2"/>
  <c r="F718" i="2"/>
  <c r="D718" i="2"/>
  <c r="C718" i="2"/>
  <c r="B718" i="2"/>
  <c r="A718" i="2"/>
  <c r="M717" i="2"/>
  <c r="L717" i="2"/>
  <c r="G717" i="2"/>
  <c r="F717" i="2"/>
  <c r="D717" i="2"/>
  <c r="C717" i="2"/>
  <c r="B717" i="2"/>
  <c r="A717" i="2"/>
  <c r="M716" i="2"/>
  <c r="L716" i="2"/>
  <c r="G716" i="2"/>
  <c r="F716" i="2"/>
  <c r="D716" i="2"/>
  <c r="C716" i="2"/>
  <c r="B716" i="2"/>
  <c r="A716" i="2"/>
  <c r="M715" i="2"/>
  <c r="L715" i="2"/>
  <c r="G715" i="2"/>
  <c r="F715" i="2"/>
  <c r="D715" i="2"/>
  <c r="C715" i="2"/>
  <c r="B715" i="2"/>
  <c r="A715" i="2"/>
  <c r="M714" i="2"/>
  <c r="L714" i="2"/>
  <c r="G714" i="2"/>
  <c r="F714" i="2"/>
  <c r="D714" i="2"/>
  <c r="C714" i="2"/>
  <c r="B714" i="2"/>
  <c r="A714" i="2"/>
  <c r="M713" i="2"/>
  <c r="L713" i="2"/>
  <c r="G713" i="2"/>
  <c r="F713" i="2"/>
  <c r="D713" i="2"/>
  <c r="C713" i="2"/>
  <c r="B713" i="2"/>
  <c r="A713" i="2"/>
  <c r="M712" i="2"/>
  <c r="L712" i="2"/>
  <c r="G712" i="2"/>
  <c r="F712" i="2"/>
  <c r="D712" i="2"/>
  <c r="C712" i="2"/>
  <c r="B712" i="2"/>
  <c r="A712" i="2"/>
  <c r="M711" i="2"/>
  <c r="L711" i="2"/>
  <c r="G711" i="2"/>
  <c r="F711" i="2"/>
  <c r="D711" i="2"/>
  <c r="C711" i="2"/>
  <c r="B711" i="2"/>
  <c r="A711" i="2"/>
  <c r="M710" i="2"/>
  <c r="L710" i="2"/>
  <c r="G710" i="2"/>
  <c r="F710" i="2"/>
  <c r="D710" i="2"/>
  <c r="C710" i="2"/>
  <c r="B710" i="2"/>
  <c r="A710" i="2"/>
  <c r="M709" i="2"/>
  <c r="L709" i="2"/>
  <c r="K709" i="2"/>
  <c r="G709" i="2"/>
  <c r="F709" i="2"/>
  <c r="D709" i="2"/>
  <c r="C709" i="2"/>
  <c r="B709" i="2"/>
  <c r="A709" i="2"/>
  <c r="M708" i="2"/>
  <c r="L708" i="2"/>
  <c r="G708" i="2"/>
  <c r="F708" i="2"/>
  <c r="D708" i="2"/>
  <c r="C708" i="2"/>
  <c r="B708" i="2"/>
  <c r="A708" i="2"/>
  <c r="M707" i="2"/>
  <c r="L707" i="2"/>
  <c r="G707" i="2"/>
  <c r="F707" i="2"/>
  <c r="D707" i="2"/>
  <c r="C707" i="2"/>
  <c r="B707" i="2"/>
  <c r="A707" i="2"/>
  <c r="M706" i="2"/>
  <c r="L706" i="2"/>
  <c r="G706" i="2"/>
  <c r="F706" i="2"/>
  <c r="D706" i="2"/>
  <c r="C706" i="2"/>
  <c r="B706" i="2"/>
  <c r="A706" i="2"/>
  <c r="M705" i="2"/>
  <c r="L705" i="2"/>
  <c r="G705" i="2"/>
  <c r="F705" i="2"/>
  <c r="D705" i="2"/>
  <c r="C705" i="2"/>
  <c r="B705" i="2"/>
  <c r="A705" i="2"/>
  <c r="M704" i="2"/>
  <c r="L704" i="2"/>
  <c r="G704" i="2"/>
  <c r="F704" i="2"/>
  <c r="D704" i="2"/>
  <c r="C704" i="2"/>
  <c r="B704" i="2"/>
  <c r="A704" i="2"/>
  <c r="M703" i="2"/>
  <c r="L703" i="2"/>
  <c r="G703" i="2"/>
  <c r="F703" i="2"/>
  <c r="D703" i="2"/>
  <c r="C703" i="2"/>
  <c r="B703" i="2"/>
  <c r="A703" i="2"/>
  <c r="M702" i="2"/>
  <c r="L702" i="2"/>
  <c r="G702" i="2"/>
  <c r="F702" i="2"/>
  <c r="D702" i="2"/>
  <c r="C702" i="2"/>
  <c r="B702" i="2"/>
  <c r="A702" i="2"/>
  <c r="M701" i="2"/>
  <c r="L701" i="2"/>
  <c r="G701" i="2"/>
  <c r="F701" i="2"/>
  <c r="D701" i="2"/>
  <c r="C701" i="2"/>
  <c r="B701" i="2"/>
  <c r="A701" i="2"/>
  <c r="M700" i="2"/>
  <c r="L700" i="2"/>
  <c r="G700" i="2"/>
  <c r="F700" i="2"/>
  <c r="D700" i="2"/>
  <c r="C700" i="2"/>
  <c r="B700" i="2"/>
  <c r="A700" i="2"/>
  <c r="M699" i="2"/>
  <c r="L699" i="2"/>
  <c r="G699" i="2"/>
  <c r="F699" i="2"/>
  <c r="D699" i="2"/>
  <c r="C699" i="2"/>
  <c r="B699" i="2"/>
  <c r="A699" i="2"/>
  <c r="M698" i="2"/>
  <c r="L698" i="2"/>
  <c r="G698" i="2"/>
  <c r="F698" i="2"/>
  <c r="D698" i="2"/>
  <c r="C698" i="2"/>
  <c r="B698" i="2"/>
  <c r="A698" i="2"/>
  <c r="M697" i="2"/>
  <c r="L697" i="2"/>
  <c r="G697" i="2"/>
  <c r="F697" i="2"/>
  <c r="D697" i="2"/>
  <c r="C697" i="2"/>
  <c r="B697" i="2"/>
  <c r="A697" i="2"/>
  <c r="M696" i="2"/>
  <c r="L696" i="2"/>
  <c r="G696" i="2"/>
  <c r="F696" i="2"/>
  <c r="D696" i="2"/>
  <c r="C696" i="2"/>
  <c r="B696" i="2"/>
  <c r="A696" i="2"/>
  <c r="M695" i="2"/>
  <c r="L695" i="2"/>
  <c r="G695" i="2"/>
  <c r="F695" i="2"/>
  <c r="D695" i="2"/>
  <c r="C695" i="2"/>
  <c r="B695" i="2"/>
  <c r="A695" i="2"/>
  <c r="M694" i="2"/>
  <c r="L694" i="2"/>
  <c r="G694" i="2"/>
  <c r="F694" i="2"/>
  <c r="D694" i="2"/>
  <c r="C694" i="2"/>
  <c r="B694" i="2"/>
  <c r="A694" i="2"/>
  <c r="M693" i="2"/>
  <c r="L693" i="2"/>
  <c r="G693" i="2"/>
  <c r="F693" i="2"/>
  <c r="D693" i="2"/>
  <c r="C693" i="2"/>
  <c r="B693" i="2"/>
  <c r="A693" i="2"/>
  <c r="M692" i="2"/>
  <c r="L692" i="2"/>
  <c r="G692" i="2"/>
  <c r="F692" i="2"/>
  <c r="D692" i="2"/>
  <c r="C692" i="2"/>
  <c r="B692" i="2"/>
  <c r="A692" i="2"/>
  <c r="M691" i="2"/>
  <c r="L691" i="2"/>
  <c r="G691" i="2"/>
  <c r="F691" i="2"/>
  <c r="D691" i="2"/>
  <c r="C691" i="2"/>
  <c r="B691" i="2"/>
  <c r="A691" i="2"/>
  <c r="M690" i="2"/>
  <c r="L690" i="2"/>
  <c r="F690" i="2"/>
  <c r="C690" i="2"/>
  <c r="B690" i="2"/>
  <c r="A690" i="2"/>
  <c r="M689" i="2"/>
  <c r="L689" i="2"/>
  <c r="F689" i="2"/>
  <c r="C689" i="2"/>
  <c r="B689" i="2"/>
  <c r="A689" i="2"/>
  <c r="M688" i="2"/>
  <c r="L688" i="2"/>
  <c r="F688" i="2"/>
  <c r="C688" i="2"/>
  <c r="B688" i="2"/>
  <c r="A688" i="2"/>
  <c r="M687" i="2"/>
  <c r="L687" i="2"/>
  <c r="F687" i="2"/>
  <c r="C687" i="2"/>
  <c r="B687" i="2"/>
  <c r="A687" i="2"/>
  <c r="M686" i="2"/>
  <c r="L686" i="2"/>
  <c r="F686" i="2"/>
  <c r="C686" i="2"/>
  <c r="B686" i="2"/>
  <c r="A686" i="2"/>
  <c r="M685" i="2"/>
  <c r="L685" i="2"/>
  <c r="F685" i="2"/>
  <c r="C685" i="2"/>
  <c r="B685" i="2"/>
  <c r="A685" i="2"/>
  <c r="M684" i="2"/>
  <c r="L684" i="2"/>
  <c r="F684" i="2"/>
  <c r="C684" i="2"/>
  <c r="B684" i="2"/>
  <c r="A684" i="2"/>
  <c r="M683" i="2"/>
  <c r="L683" i="2"/>
  <c r="F683" i="2"/>
  <c r="C683" i="2"/>
  <c r="B683" i="2"/>
  <c r="A683" i="2"/>
  <c r="M682" i="2"/>
  <c r="L682" i="2"/>
  <c r="F682" i="2"/>
  <c r="C682" i="2"/>
  <c r="B682" i="2"/>
  <c r="A682" i="2"/>
  <c r="M681" i="2"/>
  <c r="L681" i="2"/>
  <c r="F681" i="2"/>
  <c r="C681" i="2"/>
  <c r="B681" i="2"/>
  <c r="A681" i="2"/>
  <c r="M680" i="2"/>
  <c r="L680" i="2"/>
  <c r="F680" i="2"/>
  <c r="C680" i="2"/>
  <c r="B680" i="2"/>
  <c r="A680" i="2"/>
  <c r="M679" i="2"/>
  <c r="L679" i="2"/>
  <c r="F679" i="2"/>
  <c r="C679" i="2"/>
  <c r="B679" i="2"/>
  <c r="A679" i="2"/>
  <c r="M678" i="2"/>
  <c r="L678" i="2"/>
  <c r="F678" i="2"/>
  <c r="C678" i="2"/>
  <c r="B678" i="2"/>
  <c r="A678" i="2"/>
  <c r="M677" i="2"/>
  <c r="L677" i="2"/>
  <c r="F677" i="2"/>
  <c r="C677" i="2"/>
  <c r="B677" i="2"/>
  <c r="A677" i="2"/>
  <c r="M676" i="2"/>
  <c r="L676" i="2"/>
  <c r="F676" i="2"/>
  <c r="C676" i="2"/>
  <c r="B676" i="2"/>
  <c r="A676" i="2"/>
  <c r="M675" i="2"/>
  <c r="L675" i="2"/>
  <c r="F675" i="2"/>
  <c r="C675" i="2"/>
  <c r="B675" i="2"/>
  <c r="A675" i="2"/>
  <c r="M674" i="2"/>
  <c r="L674" i="2"/>
  <c r="F674" i="2"/>
  <c r="C674" i="2"/>
  <c r="B674" i="2"/>
  <c r="A674" i="2"/>
  <c r="M673" i="2"/>
  <c r="L673" i="2"/>
  <c r="F673" i="2"/>
  <c r="C673" i="2"/>
  <c r="B673" i="2"/>
  <c r="A673" i="2"/>
  <c r="N672" i="2"/>
  <c r="M672" i="2"/>
  <c r="L672" i="2"/>
  <c r="F672" i="2"/>
  <c r="C672" i="2"/>
  <c r="B672" i="2"/>
  <c r="A672" i="2"/>
  <c r="M671" i="2"/>
  <c r="L671" i="2"/>
  <c r="F671" i="2"/>
  <c r="C671" i="2"/>
  <c r="B671" i="2"/>
  <c r="A671" i="2"/>
  <c r="M670" i="2"/>
  <c r="L670" i="2"/>
  <c r="F670" i="2"/>
  <c r="C670" i="2"/>
  <c r="B670" i="2"/>
  <c r="A670" i="2"/>
  <c r="M669" i="2"/>
  <c r="L669" i="2"/>
  <c r="F669" i="2"/>
  <c r="C669" i="2"/>
  <c r="B669" i="2"/>
  <c r="A669" i="2"/>
  <c r="M668" i="2"/>
  <c r="L668" i="2"/>
  <c r="F668" i="2"/>
  <c r="C668" i="2"/>
  <c r="B668" i="2"/>
  <c r="A668" i="2"/>
  <c r="M667" i="2"/>
  <c r="L667" i="2"/>
  <c r="F667" i="2"/>
  <c r="C667" i="2"/>
  <c r="B667" i="2"/>
  <c r="A667" i="2"/>
  <c r="M666" i="2"/>
  <c r="L666" i="2"/>
  <c r="F666" i="2"/>
  <c r="C666" i="2"/>
  <c r="B666" i="2"/>
  <c r="A666" i="2"/>
  <c r="M665" i="2"/>
  <c r="L665" i="2"/>
  <c r="F665" i="2"/>
  <c r="C665" i="2"/>
  <c r="B665" i="2"/>
  <c r="A665" i="2"/>
  <c r="M664" i="2"/>
  <c r="L664" i="2"/>
  <c r="F664" i="2"/>
  <c r="C664" i="2"/>
  <c r="B664" i="2"/>
  <c r="A664" i="2"/>
  <c r="M663" i="2"/>
  <c r="L663" i="2"/>
  <c r="F663" i="2"/>
  <c r="C663" i="2"/>
  <c r="B663" i="2"/>
  <c r="A663" i="2"/>
  <c r="M662" i="2"/>
  <c r="L662" i="2"/>
  <c r="F662" i="2"/>
  <c r="C662" i="2"/>
  <c r="B662" i="2"/>
  <c r="A662" i="2"/>
  <c r="M661" i="2"/>
  <c r="L661" i="2"/>
  <c r="F661" i="2"/>
  <c r="C661" i="2"/>
  <c r="B661" i="2"/>
  <c r="A661" i="2"/>
  <c r="M660" i="2"/>
  <c r="L660" i="2"/>
  <c r="F660" i="2"/>
  <c r="C660" i="2"/>
  <c r="B660" i="2"/>
  <c r="A660" i="2"/>
  <c r="M659" i="2"/>
  <c r="L659" i="2"/>
  <c r="F659" i="2"/>
  <c r="C659" i="2"/>
  <c r="B659" i="2"/>
  <c r="A659" i="2"/>
  <c r="M658" i="2"/>
  <c r="L658" i="2"/>
  <c r="F658" i="2"/>
  <c r="C658" i="2"/>
  <c r="B658" i="2"/>
  <c r="A658" i="2"/>
  <c r="M657" i="2"/>
  <c r="L657" i="2"/>
  <c r="F657" i="2"/>
  <c r="C657" i="2"/>
  <c r="B657" i="2"/>
  <c r="A657" i="2"/>
  <c r="M656" i="2"/>
  <c r="L656" i="2"/>
  <c r="F656" i="2"/>
  <c r="C656" i="2"/>
  <c r="B656" i="2"/>
  <c r="A656" i="2"/>
  <c r="M655" i="2"/>
  <c r="L655" i="2"/>
  <c r="F655" i="2"/>
  <c r="C655" i="2"/>
  <c r="B655" i="2"/>
  <c r="A655" i="2"/>
  <c r="M654" i="2"/>
  <c r="L654" i="2"/>
  <c r="F654" i="2"/>
  <c r="C654" i="2"/>
  <c r="B654" i="2"/>
  <c r="A654" i="2"/>
  <c r="M653" i="2"/>
  <c r="L653" i="2"/>
  <c r="F653" i="2"/>
  <c r="C653" i="2"/>
  <c r="B653" i="2"/>
  <c r="A653" i="2"/>
  <c r="M652" i="2"/>
  <c r="L652" i="2"/>
  <c r="F652" i="2"/>
  <c r="C652" i="2"/>
  <c r="B652" i="2"/>
  <c r="A652" i="2"/>
  <c r="M651" i="2"/>
  <c r="L651" i="2"/>
  <c r="F651" i="2"/>
  <c r="C651" i="2"/>
  <c r="B651" i="2"/>
  <c r="A651" i="2"/>
  <c r="M650" i="2"/>
  <c r="L650" i="2"/>
  <c r="F650" i="2"/>
  <c r="C650" i="2"/>
  <c r="B650" i="2"/>
  <c r="A650" i="2"/>
  <c r="M649" i="2"/>
  <c r="L649" i="2"/>
  <c r="F649" i="2"/>
  <c r="C649" i="2"/>
  <c r="B649" i="2"/>
  <c r="A649" i="2"/>
  <c r="M648" i="2"/>
  <c r="L648" i="2"/>
  <c r="F648" i="2"/>
  <c r="C648" i="2"/>
  <c r="B648" i="2"/>
  <c r="A648" i="2"/>
  <c r="M647" i="2"/>
  <c r="L647" i="2"/>
  <c r="F647" i="2"/>
  <c r="C647" i="2"/>
  <c r="B647" i="2"/>
  <c r="A647" i="2"/>
  <c r="M646" i="2"/>
  <c r="L646" i="2"/>
  <c r="F646" i="2"/>
  <c r="C646" i="2"/>
  <c r="B646" i="2"/>
  <c r="A646" i="2"/>
  <c r="M645" i="2"/>
  <c r="L645" i="2"/>
  <c r="F645" i="2"/>
  <c r="C645" i="2"/>
  <c r="B645" i="2"/>
  <c r="A645" i="2"/>
  <c r="M644" i="2"/>
  <c r="L644" i="2"/>
  <c r="F644" i="2"/>
  <c r="C644" i="2"/>
  <c r="B644" i="2"/>
  <c r="A644" i="2"/>
  <c r="M643" i="2"/>
  <c r="L643" i="2"/>
  <c r="F643" i="2"/>
  <c r="C643" i="2"/>
  <c r="B643" i="2"/>
  <c r="A643" i="2"/>
  <c r="M642" i="2"/>
  <c r="L642" i="2"/>
  <c r="F642" i="2"/>
  <c r="C642" i="2"/>
  <c r="B642" i="2"/>
  <c r="A642" i="2"/>
  <c r="M641" i="2"/>
  <c r="L641" i="2"/>
  <c r="F641" i="2"/>
  <c r="C641" i="2"/>
  <c r="B641" i="2"/>
  <c r="A641" i="2"/>
  <c r="M640" i="2"/>
  <c r="L640" i="2"/>
  <c r="F640" i="2"/>
  <c r="C640" i="2"/>
  <c r="B640" i="2"/>
  <c r="A640" i="2"/>
  <c r="M639" i="2"/>
  <c r="L639" i="2"/>
  <c r="F639" i="2"/>
  <c r="C639" i="2"/>
  <c r="B639" i="2"/>
  <c r="A639" i="2"/>
  <c r="M638" i="2"/>
  <c r="L638" i="2"/>
  <c r="F638" i="2"/>
  <c r="C638" i="2"/>
  <c r="B638" i="2"/>
  <c r="A638" i="2"/>
  <c r="M637" i="2"/>
  <c r="L637" i="2"/>
  <c r="F637" i="2"/>
  <c r="C637" i="2"/>
  <c r="B637" i="2"/>
  <c r="A637" i="2"/>
  <c r="M636" i="2"/>
  <c r="L636" i="2"/>
  <c r="F636" i="2"/>
  <c r="C636" i="2"/>
  <c r="B636" i="2"/>
  <c r="A636" i="2"/>
  <c r="M635" i="2"/>
  <c r="L635" i="2"/>
  <c r="F635" i="2"/>
  <c r="C635" i="2"/>
  <c r="B635" i="2"/>
  <c r="A635" i="2"/>
  <c r="M634" i="2"/>
  <c r="L634" i="2"/>
  <c r="F634" i="2"/>
  <c r="C634" i="2"/>
  <c r="B634" i="2"/>
  <c r="A634" i="2"/>
  <c r="M633" i="2"/>
  <c r="L633" i="2"/>
  <c r="F633" i="2"/>
  <c r="C633" i="2"/>
  <c r="B633" i="2"/>
  <c r="A633" i="2"/>
  <c r="M632" i="2"/>
  <c r="L632" i="2"/>
  <c r="F632" i="2"/>
  <c r="C632" i="2"/>
  <c r="B632" i="2"/>
  <c r="A632" i="2"/>
  <c r="M631" i="2"/>
  <c r="L631" i="2"/>
  <c r="F631" i="2"/>
  <c r="C631" i="2"/>
  <c r="B631" i="2"/>
  <c r="A631" i="2"/>
  <c r="M630" i="2"/>
  <c r="L630" i="2"/>
  <c r="F630" i="2"/>
  <c r="C630" i="2"/>
  <c r="B630" i="2"/>
  <c r="A630" i="2"/>
  <c r="M629" i="2"/>
  <c r="L629" i="2"/>
  <c r="F629" i="2"/>
  <c r="C629" i="2"/>
  <c r="B629" i="2"/>
  <c r="A629" i="2"/>
  <c r="M628" i="2"/>
  <c r="L628" i="2"/>
  <c r="F628" i="2"/>
  <c r="C628" i="2"/>
  <c r="B628" i="2"/>
  <c r="A628" i="2"/>
  <c r="M627" i="2"/>
  <c r="L627" i="2"/>
  <c r="F627" i="2"/>
  <c r="C627" i="2"/>
  <c r="B627" i="2"/>
  <c r="A627" i="2"/>
  <c r="M626" i="2"/>
  <c r="L626" i="2"/>
  <c r="F626" i="2"/>
  <c r="C626" i="2"/>
  <c r="B626" i="2"/>
  <c r="A626" i="2"/>
  <c r="M625" i="2"/>
  <c r="L625" i="2"/>
  <c r="F625" i="2"/>
  <c r="C625" i="2"/>
  <c r="B625" i="2"/>
  <c r="A625" i="2"/>
  <c r="M624" i="2"/>
  <c r="L624" i="2"/>
  <c r="F624" i="2"/>
  <c r="C624" i="2"/>
  <c r="B624" i="2"/>
  <c r="A624" i="2"/>
  <c r="M623" i="2"/>
  <c r="L623" i="2"/>
  <c r="F623" i="2"/>
  <c r="C623" i="2"/>
  <c r="B623" i="2"/>
  <c r="A623" i="2"/>
  <c r="M622" i="2"/>
  <c r="L622" i="2"/>
  <c r="F622" i="2"/>
  <c r="C622" i="2"/>
  <c r="B622" i="2"/>
  <c r="A622" i="2"/>
  <c r="M621" i="2"/>
  <c r="L621" i="2"/>
  <c r="F621" i="2"/>
  <c r="C621" i="2"/>
  <c r="B621" i="2"/>
  <c r="A621" i="2"/>
  <c r="M620" i="2"/>
  <c r="L620" i="2"/>
  <c r="F620" i="2"/>
  <c r="C620" i="2"/>
  <c r="B620" i="2"/>
  <c r="A620" i="2"/>
  <c r="M619" i="2"/>
  <c r="L619" i="2"/>
  <c r="F619" i="2"/>
  <c r="C619" i="2"/>
  <c r="B619" i="2"/>
  <c r="A619" i="2"/>
  <c r="M618" i="2"/>
  <c r="L618" i="2"/>
  <c r="F618" i="2"/>
  <c r="C618" i="2"/>
  <c r="B618" i="2"/>
  <c r="A618" i="2"/>
  <c r="M617" i="2"/>
  <c r="L617" i="2"/>
  <c r="F617" i="2"/>
  <c r="C617" i="2"/>
  <c r="B617" i="2"/>
  <c r="A617" i="2"/>
  <c r="M616" i="2"/>
  <c r="L616" i="2"/>
  <c r="F616" i="2"/>
  <c r="C616" i="2"/>
  <c r="B616" i="2"/>
  <c r="A616" i="2"/>
  <c r="M615" i="2"/>
  <c r="L615" i="2"/>
  <c r="F615" i="2"/>
  <c r="C615" i="2"/>
  <c r="B615" i="2"/>
  <c r="A615" i="2"/>
  <c r="M614" i="2"/>
  <c r="L614" i="2"/>
  <c r="F614" i="2"/>
  <c r="C614" i="2"/>
  <c r="B614" i="2"/>
  <c r="A614" i="2"/>
  <c r="M613" i="2"/>
  <c r="L613" i="2"/>
  <c r="F613" i="2"/>
  <c r="C613" i="2"/>
  <c r="B613" i="2"/>
  <c r="A613" i="2"/>
  <c r="M612" i="2"/>
  <c r="L612" i="2"/>
  <c r="F612" i="2"/>
  <c r="C612" i="2"/>
  <c r="B612" i="2"/>
  <c r="A612" i="2"/>
  <c r="M611" i="2"/>
  <c r="L611" i="2"/>
  <c r="F611" i="2"/>
  <c r="C611" i="2"/>
  <c r="B611" i="2"/>
  <c r="A611" i="2"/>
  <c r="M610" i="2"/>
  <c r="L610" i="2"/>
  <c r="F610" i="2"/>
  <c r="C610" i="2"/>
  <c r="B610" i="2"/>
  <c r="A610" i="2"/>
  <c r="M609" i="2"/>
  <c r="L609" i="2"/>
  <c r="F609" i="2"/>
  <c r="C609" i="2"/>
  <c r="B609" i="2"/>
  <c r="A609" i="2"/>
  <c r="M608" i="2"/>
  <c r="L608" i="2"/>
  <c r="F608" i="2"/>
  <c r="C608" i="2"/>
  <c r="B608" i="2"/>
  <c r="A608" i="2"/>
  <c r="M607" i="2"/>
  <c r="L607" i="2"/>
  <c r="F607" i="2"/>
  <c r="C607" i="2"/>
  <c r="B607" i="2"/>
  <c r="A607" i="2"/>
  <c r="M606" i="2"/>
  <c r="L606" i="2"/>
  <c r="F606" i="2"/>
  <c r="C606" i="2"/>
  <c r="B606" i="2"/>
  <c r="A606" i="2"/>
  <c r="M605" i="2"/>
  <c r="L605" i="2"/>
  <c r="F605" i="2"/>
  <c r="C605" i="2"/>
  <c r="B605" i="2"/>
  <c r="A605" i="2"/>
  <c r="M604" i="2"/>
  <c r="L604" i="2"/>
  <c r="F604" i="2"/>
  <c r="C604" i="2"/>
  <c r="B604" i="2"/>
  <c r="A604" i="2"/>
  <c r="M603" i="2"/>
  <c r="L603" i="2"/>
  <c r="F603" i="2"/>
  <c r="C603" i="2"/>
  <c r="B603" i="2"/>
  <c r="A603" i="2"/>
  <c r="M602" i="2"/>
  <c r="L602" i="2"/>
  <c r="F602" i="2"/>
  <c r="C602" i="2"/>
  <c r="B602" i="2"/>
  <c r="A602" i="2"/>
  <c r="M601" i="2"/>
  <c r="L601" i="2"/>
  <c r="F601" i="2"/>
  <c r="C601" i="2"/>
  <c r="B601" i="2"/>
  <c r="A601" i="2"/>
  <c r="M600" i="2"/>
  <c r="L600" i="2"/>
  <c r="F600" i="2"/>
  <c r="C600" i="2"/>
  <c r="B600" i="2"/>
  <c r="A600" i="2"/>
  <c r="M599" i="2"/>
  <c r="L599" i="2"/>
  <c r="F599" i="2"/>
  <c r="C599" i="2"/>
  <c r="B599" i="2"/>
  <c r="A599" i="2"/>
  <c r="M598" i="2"/>
  <c r="L598" i="2"/>
  <c r="F598" i="2"/>
  <c r="C598" i="2"/>
  <c r="B598" i="2"/>
  <c r="A598" i="2"/>
  <c r="M597" i="2"/>
  <c r="L597" i="2"/>
  <c r="F597" i="2"/>
  <c r="C597" i="2"/>
  <c r="B597" i="2"/>
  <c r="A597" i="2"/>
  <c r="M596" i="2"/>
  <c r="L596" i="2"/>
  <c r="F596" i="2"/>
  <c r="C596" i="2"/>
  <c r="B596" i="2"/>
  <c r="A596" i="2"/>
  <c r="M595" i="2"/>
  <c r="L595" i="2"/>
  <c r="F595" i="2"/>
  <c r="C595" i="2"/>
  <c r="B595" i="2"/>
  <c r="A595" i="2"/>
  <c r="M594" i="2"/>
  <c r="L594" i="2"/>
  <c r="F594" i="2"/>
  <c r="C594" i="2"/>
  <c r="B594" i="2"/>
  <c r="A594" i="2"/>
  <c r="M593" i="2"/>
  <c r="L593" i="2"/>
  <c r="F593" i="2"/>
  <c r="C593" i="2"/>
  <c r="B593" i="2"/>
  <c r="A593" i="2"/>
  <c r="M592" i="2"/>
  <c r="L592" i="2"/>
  <c r="F592" i="2"/>
  <c r="C592" i="2"/>
  <c r="B592" i="2"/>
  <c r="A592" i="2"/>
  <c r="M591" i="2"/>
  <c r="L591" i="2"/>
  <c r="F591" i="2"/>
  <c r="C591" i="2"/>
  <c r="B591" i="2"/>
  <c r="A591" i="2"/>
  <c r="M590" i="2"/>
  <c r="L590" i="2"/>
  <c r="F590" i="2"/>
  <c r="C590" i="2"/>
  <c r="B590" i="2"/>
  <c r="A590" i="2"/>
  <c r="M589" i="2"/>
  <c r="L589" i="2"/>
  <c r="F589" i="2"/>
  <c r="C589" i="2"/>
  <c r="B589" i="2"/>
  <c r="A589" i="2"/>
  <c r="M588" i="2"/>
  <c r="L588" i="2"/>
  <c r="F588" i="2"/>
  <c r="C588" i="2"/>
  <c r="B588" i="2"/>
  <c r="A588" i="2"/>
  <c r="M587" i="2"/>
  <c r="L587" i="2"/>
  <c r="F587" i="2"/>
  <c r="C587" i="2"/>
  <c r="B587" i="2"/>
  <c r="A587" i="2"/>
  <c r="M586" i="2"/>
  <c r="L586" i="2"/>
  <c r="F586" i="2"/>
  <c r="C586" i="2"/>
  <c r="B586" i="2"/>
  <c r="A586" i="2"/>
  <c r="M585" i="2"/>
  <c r="L585" i="2"/>
  <c r="F585" i="2"/>
  <c r="C585" i="2"/>
  <c r="B585" i="2"/>
  <c r="A585" i="2"/>
  <c r="M584" i="2"/>
  <c r="L584" i="2"/>
  <c r="F584" i="2"/>
  <c r="C584" i="2"/>
  <c r="B584" i="2"/>
  <c r="A584" i="2"/>
  <c r="M583" i="2"/>
  <c r="L583" i="2"/>
  <c r="F583" i="2"/>
  <c r="C583" i="2"/>
  <c r="B583" i="2"/>
  <c r="A583" i="2"/>
  <c r="M582" i="2"/>
  <c r="L582" i="2"/>
  <c r="F582" i="2"/>
  <c r="C582" i="2"/>
  <c r="B582" i="2"/>
  <c r="A582" i="2"/>
  <c r="M581" i="2"/>
  <c r="L581" i="2"/>
  <c r="F581" i="2"/>
  <c r="C581" i="2"/>
  <c r="B581" i="2"/>
  <c r="A581" i="2"/>
  <c r="M580" i="2"/>
  <c r="L580" i="2"/>
  <c r="F580" i="2"/>
  <c r="C580" i="2"/>
  <c r="B580" i="2"/>
  <c r="A580" i="2"/>
  <c r="M579" i="2"/>
  <c r="L579" i="2"/>
  <c r="F579" i="2"/>
  <c r="C579" i="2"/>
  <c r="B579" i="2"/>
  <c r="A579" i="2"/>
  <c r="M578" i="2"/>
  <c r="L578" i="2"/>
  <c r="F578" i="2"/>
  <c r="C578" i="2"/>
  <c r="B578" i="2"/>
  <c r="A578" i="2"/>
  <c r="M577" i="2"/>
  <c r="L577" i="2"/>
  <c r="F577" i="2"/>
  <c r="C577" i="2"/>
  <c r="B577" i="2"/>
  <c r="A577" i="2"/>
  <c r="M576" i="2"/>
  <c r="L576" i="2"/>
  <c r="F576" i="2"/>
  <c r="C576" i="2"/>
  <c r="B576" i="2"/>
  <c r="A576" i="2"/>
  <c r="M575" i="2"/>
  <c r="L575" i="2"/>
  <c r="F575" i="2"/>
  <c r="C575" i="2"/>
  <c r="B575" i="2"/>
  <c r="A575" i="2"/>
  <c r="M574" i="2"/>
  <c r="L574" i="2"/>
  <c r="F574" i="2"/>
  <c r="C574" i="2"/>
  <c r="B574" i="2"/>
  <c r="A574" i="2"/>
  <c r="M573" i="2"/>
  <c r="L573" i="2"/>
  <c r="F573" i="2"/>
  <c r="C573" i="2"/>
  <c r="B573" i="2"/>
  <c r="A573" i="2"/>
  <c r="M572" i="2"/>
  <c r="L572" i="2"/>
  <c r="F572" i="2"/>
  <c r="C572" i="2"/>
  <c r="B572" i="2"/>
  <c r="A572" i="2"/>
  <c r="M571" i="2"/>
  <c r="L571" i="2"/>
  <c r="F571" i="2"/>
  <c r="C571" i="2"/>
  <c r="B571" i="2"/>
  <c r="A571" i="2"/>
  <c r="M570" i="2"/>
  <c r="L570" i="2"/>
  <c r="F570" i="2"/>
  <c r="C570" i="2"/>
  <c r="B570" i="2"/>
  <c r="A570" i="2"/>
  <c r="M569" i="2"/>
  <c r="L569" i="2"/>
  <c r="F569" i="2"/>
  <c r="C569" i="2"/>
  <c r="B569" i="2"/>
  <c r="A569" i="2"/>
  <c r="M568" i="2"/>
  <c r="L568" i="2"/>
  <c r="F568" i="2"/>
  <c r="C568" i="2"/>
  <c r="B568" i="2"/>
  <c r="A568" i="2"/>
  <c r="M567" i="2"/>
  <c r="L567" i="2"/>
  <c r="F567" i="2"/>
  <c r="C567" i="2"/>
  <c r="B567" i="2"/>
  <c r="A567" i="2"/>
  <c r="M566" i="2"/>
  <c r="L566" i="2"/>
  <c r="F566" i="2"/>
  <c r="C566" i="2"/>
  <c r="B566" i="2"/>
  <c r="A566" i="2"/>
  <c r="M565" i="2"/>
  <c r="L565" i="2"/>
  <c r="F565" i="2"/>
  <c r="C565" i="2"/>
  <c r="B565" i="2"/>
  <c r="A565" i="2"/>
  <c r="M564" i="2"/>
  <c r="L564" i="2"/>
  <c r="F564" i="2"/>
  <c r="C564" i="2"/>
  <c r="B564" i="2"/>
  <c r="A564" i="2"/>
  <c r="M563" i="2"/>
  <c r="L563" i="2"/>
  <c r="F563" i="2"/>
  <c r="C563" i="2"/>
  <c r="B563" i="2"/>
  <c r="A563" i="2"/>
  <c r="M562" i="2"/>
  <c r="L562" i="2"/>
  <c r="F562" i="2"/>
  <c r="C562" i="2"/>
  <c r="B562" i="2"/>
  <c r="A562" i="2"/>
  <c r="M561" i="2"/>
  <c r="L561" i="2"/>
  <c r="F561" i="2"/>
  <c r="C561" i="2"/>
  <c r="B561" i="2"/>
  <c r="A561" i="2"/>
  <c r="M560" i="2"/>
  <c r="L560" i="2"/>
  <c r="F560" i="2"/>
  <c r="C560" i="2"/>
  <c r="B560" i="2"/>
  <c r="A560" i="2"/>
  <c r="M559" i="2"/>
  <c r="L559" i="2"/>
  <c r="F559" i="2"/>
  <c r="C559" i="2"/>
  <c r="B559" i="2"/>
  <c r="A559" i="2"/>
  <c r="M558" i="2"/>
  <c r="L558" i="2"/>
  <c r="F558" i="2"/>
  <c r="C558" i="2"/>
  <c r="B558" i="2"/>
  <c r="A558" i="2"/>
  <c r="M557" i="2"/>
  <c r="L557" i="2"/>
  <c r="F557" i="2"/>
  <c r="C557" i="2"/>
  <c r="B557" i="2"/>
  <c r="A557" i="2"/>
  <c r="M556" i="2"/>
  <c r="L556" i="2"/>
  <c r="F556" i="2"/>
  <c r="C556" i="2"/>
  <c r="B556" i="2"/>
  <c r="A556" i="2"/>
  <c r="M555" i="2"/>
  <c r="L555" i="2"/>
  <c r="F555" i="2"/>
  <c r="C555" i="2"/>
  <c r="B555" i="2"/>
  <c r="A555" i="2"/>
  <c r="M554" i="2"/>
  <c r="L554" i="2"/>
  <c r="F554" i="2"/>
  <c r="C554" i="2"/>
  <c r="B554" i="2"/>
  <c r="A554" i="2"/>
  <c r="M553" i="2"/>
  <c r="L553" i="2"/>
  <c r="F553" i="2"/>
  <c r="C553" i="2"/>
  <c r="B553" i="2"/>
  <c r="A553" i="2"/>
  <c r="M552" i="2"/>
  <c r="L552" i="2"/>
  <c r="F552" i="2"/>
  <c r="C552" i="2"/>
  <c r="B552" i="2"/>
  <c r="A552" i="2"/>
  <c r="M551" i="2"/>
  <c r="L551" i="2"/>
  <c r="F551" i="2"/>
  <c r="C551" i="2"/>
  <c r="B551" i="2"/>
  <c r="A551" i="2"/>
  <c r="M550" i="2"/>
  <c r="L550" i="2"/>
  <c r="F550" i="2"/>
  <c r="C550" i="2"/>
  <c r="B550" i="2"/>
  <c r="A550" i="2"/>
  <c r="M549" i="2"/>
  <c r="L549" i="2"/>
  <c r="F549" i="2"/>
  <c r="C549" i="2"/>
  <c r="B549" i="2"/>
  <c r="A549" i="2"/>
  <c r="M548" i="2"/>
  <c r="L548" i="2"/>
  <c r="F548" i="2"/>
  <c r="C548" i="2"/>
  <c r="B548" i="2"/>
  <c r="A548" i="2"/>
  <c r="M547" i="2"/>
  <c r="L547" i="2"/>
  <c r="F547" i="2"/>
  <c r="C547" i="2"/>
  <c r="B547" i="2"/>
  <c r="A547" i="2"/>
  <c r="M546" i="2"/>
  <c r="L546" i="2"/>
  <c r="F546" i="2"/>
  <c r="C546" i="2"/>
  <c r="B546" i="2"/>
  <c r="A546" i="2"/>
  <c r="M545" i="2"/>
  <c r="L545" i="2"/>
  <c r="F545" i="2"/>
  <c r="C545" i="2"/>
  <c r="B545" i="2"/>
  <c r="A545" i="2"/>
  <c r="M544" i="2"/>
  <c r="L544" i="2"/>
  <c r="F544" i="2"/>
  <c r="C544" i="2"/>
  <c r="B544" i="2"/>
  <c r="A544" i="2"/>
  <c r="M543" i="2"/>
  <c r="L543" i="2"/>
  <c r="F543" i="2"/>
  <c r="C543" i="2"/>
  <c r="B543" i="2"/>
  <c r="A543" i="2"/>
  <c r="M542" i="2"/>
  <c r="L542" i="2"/>
  <c r="F542" i="2"/>
  <c r="C542" i="2"/>
  <c r="B542" i="2"/>
  <c r="A542" i="2"/>
  <c r="M541" i="2"/>
  <c r="L541" i="2"/>
  <c r="F541" i="2"/>
  <c r="C541" i="2"/>
  <c r="B541" i="2"/>
  <c r="A541" i="2"/>
  <c r="N540" i="2"/>
  <c r="M540" i="2"/>
  <c r="L540" i="2"/>
  <c r="F540" i="2"/>
  <c r="C540" i="2"/>
  <c r="B540" i="2"/>
  <c r="A540" i="2"/>
  <c r="M539" i="2"/>
  <c r="L539" i="2"/>
  <c r="F539" i="2"/>
  <c r="C539" i="2"/>
  <c r="B539" i="2"/>
  <c r="A539" i="2"/>
  <c r="M538" i="2"/>
  <c r="L538" i="2"/>
  <c r="F538" i="2"/>
  <c r="C538" i="2"/>
  <c r="B538" i="2"/>
  <c r="A538" i="2"/>
  <c r="M537" i="2"/>
  <c r="L537" i="2"/>
  <c r="F537" i="2"/>
  <c r="C537" i="2"/>
  <c r="B537" i="2"/>
  <c r="A537" i="2"/>
  <c r="M536" i="2"/>
  <c r="L536" i="2"/>
  <c r="F536" i="2"/>
  <c r="C536" i="2"/>
  <c r="B536" i="2"/>
  <c r="A536" i="2"/>
  <c r="N535" i="2"/>
  <c r="M535" i="2"/>
  <c r="L535" i="2"/>
  <c r="F535" i="2"/>
  <c r="C535" i="2"/>
  <c r="B535" i="2"/>
  <c r="A535" i="2"/>
  <c r="M534" i="2"/>
  <c r="L534" i="2"/>
  <c r="F534" i="2"/>
  <c r="C534" i="2"/>
  <c r="B534" i="2"/>
  <c r="A534" i="2"/>
  <c r="M533" i="2"/>
  <c r="L533" i="2"/>
  <c r="F533" i="2"/>
  <c r="C533" i="2"/>
  <c r="B533" i="2"/>
  <c r="A533" i="2"/>
  <c r="M532" i="2"/>
  <c r="L532" i="2"/>
  <c r="F532" i="2"/>
  <c r="C532" i="2"/>
  <c r="B532" i="2"/>
  <c r="A532" i="2"/>
  <c r="M531" i="2"/>
  <c r="L531" i="2"/>
  <c r="F531" i="2"/>
  <c r="C531" i="2"/>
  <c r="B531" i="2"/>
  <c r="A531" i="2"/>
  <c r="M530" i="2"/>
  <c r="L530" i="2"/>
  <c r="F530" i="2"/>
  <c r="C530" i="2"/>
  <c r="B530" i="2"/>
  <c r="A530" i="2"/>
  <c r="M529" i="2"/>
  <c r="L529" i="2"/>
  <c r="F529" i="2"/>
  <c r="C529" i="2"/>
  <c r="B529" i="2"/>
  <c r="A529" i="2"/>
  <c r="M528" i="2"/>
  <c r="L528" i="2"/>
  <c r="F528" i="2"/>
  <c r="C528" i="2"/>
  <c r="B528" i="2"/>
  <c r="A528" i="2"/>
  <c r="M527" i="2"/>
  <c r="L527" i="2"/>
  <c r="F527" i="2"/>
  <c r="C527" i="2"/>
  <c r="B527" i="2"/>
  <c r="A527" i="2"/>
  <c r="M526" i="2"/>
  <c r="L526" i="2"/>
  <c r="F526" i="2"/>
  <c r="C526" i="2"/>
  <c r="B526" i="2"/>
  <c r="A526" i="2"/>
  <c r="M525" i="2"/>
  <c r="L525" i="2"/>
  <c r="F525" i="2"/>
  <c r="C525" i="2"/>
  <c r="B525" i="2"/>
  <c r="A525" i="2"/>
  <c r="M524" i="2"/>
  <c r="L524" i="2"/>
  <c r="F524" i="2"/>
  <c r="C524" i="2"/>
  <c r="B524" i="2"/>
  <c r="A524" i="2"/>
  <c r="M523" i="2"/>
  <c r="L523" i="2"/>
  <c r="F523" i="2"/>
  <c r="C523" i="2"/>
  <c r="B523" i="2"/>
  <c r="A523" i="2"/>
  <c r="M522" i="2"/>
  <c r="L522" i="2"/>
  <c r="F522" i="2"/>
  <c r="C522" i="2"/>
  <c r="B522" i="2"/>
  <c r="A522" i="2"/>
  <c r="M521" i="2"/>
  <c r="L521" i="2"/>
  <c r="F521" i="2"/>
  <c r="C521" i="2"/>
  <c r="B521" i="2"/>
  <c r="A521" i="2"/>
  <c r="M520" i="2"/>
  <c r="L520" i="2"/>
  <c r="F520" i="2"/>
  <c r="C520" i="2"/>
  <c r="B520" i="2"/>
  <c r="A520" i="2"/>
  <c r="M519" i="2"/>
  <c r="L519" i="2"/>
  <c r="F519" i="2"/>
  <c r="C519" i="2"/>
  <c r="B519" i="2"/>
  <c r="A519" i="2"/>
  <c r="M518" i="2"/>
  <c r="L518" i="2"/>
  <c r="F518" i="2"/>
  <c r="C518" i="2"/>
  <c r="B518" i="2"/>
  <c r="A518" i="2"/>
  <c r="M517" i="2"/>
  <c r="L517" i="2"/>
  <c r="F517" i="2"/>
  <c r="C517" i="2"/>
  <c r="B517" i="2"/>
  <c r="A517" i="2"/>
  <c r="M516" i="2"/>
  <c r="L516" i="2"/>
  <c r="F516" i="2"/>
  <c r="C516" i="2"/>
  <c r="B516" i="2"/>
  <c r="A516" i="2"/>
  <c r="M515" i="2"/>
  <c r="L515" i="2"/>
  <c r="F515" i="2"/>
  <c r="C515" i="2"/>
  <c r="B515" i="2"/>
  <c r="A515" i="2"/>
  <c r="M514" i="2"/>
  <c r="L514" i="2"/>
  <c r="F514" i="2"/>
  <c r="C514" i="2"/>
  <c r="B514" i="2"/>
  <c r="A514" i="2"/>
  <c r="M513" i="2"/>
  <c r="L513" i="2"/>
  <c r="F513" i="2"/>
  <c r="C513" i="2"/>
  <c r="B513" i="2"/>
  <c r="A513" i="2"/>
  <c r="M512" i="2"/>
  <c r="L512" i="2"/>
  <c r="F512" i="2"/>
  <c r="C512" i="2"/>
  <c r="B512" i="2"/>
  <c r="A512" i="2"/>
  <c r="M511" i="2"/>
  <c r="L511" i="2"/>
  <c r="F511" i="2"/>
  <c r="C511" i="2"/>
  <c r="B511" i="2"/>
  <c r="A511" i="2"/>
  <c r="M510" i="2"/>
  <c r="L510" i="2"/>
  <c r="F510" i="2"/>
  <c r="C510" i="2"/>
  <c r="B510" i="2"/>
  <c r="A510" i="2"/>
  <c r="M509" i="2"/>
  <c r="L509" i="2"/>
  <c r="F509" i="2"/>
  <c r="C509" i="2"/>
  <c r="B509" i="2"/>
  <c r="A509" i="2"/>
  <c r="M508" i="2"/>
  <c r="L508" i="2"/>
  <c r="F508" i="2"/>
  <c r="C508" i="2"/>
  <c r="B508" i="2"/>
  <c r="A508" i="2"/>
  <c r="M507" i="2"/>
  <c r="L507" i="2"/>
  <c r="F507" i="2"/>
  <c r="C507" i="2"/>
  <c r="B507" i="2"/>
  <c r="A507" i="2"/>
  <c r="M506" i="2"/>
  <c r="L506" i="2"/>
  <c r="F506" i="2"/>
  <c r="C506" i="2"/>
  <c r="B506" i="2"/>
  <c r="A506" i="2"/>
  <c r="M505" i="2"/>
  <c r="L505" i="2"/>
  <c r="F505" i="2"/>
  <c r="C505" i="2"/>
  <c r="B505" i="2"/>
  <c r="A505" i="2"/>
  <c r="M504" i="2"/>
  <c r="L504" i="2"/>
  <c r="F504" i="2"/>
  <c r="C504" i="2"/>
  <c r="B504" i="2"/>
  <c r="A504" i="2"/>
  <c r="M503" i="2"/>
  <c r="L503" i="2"/>
  <c r="F503" i="2"/>
  <c r="C503" i="2"/>
  <c r="B503" i="2"/>
  <c r="A503" i="2"/>
  <c r="M502" i="2"/>
  <c r="L502" i="2"/>
  <c r="F502" i="2"/>
  <c r="C502" i="2"/>
  <c r="B502" i="2"/>
  <c r="A502" i="2"/>
  <c r="M501" i="2"/>
  <c r="L501" i="2"/>
  <c r="F501" i="2"/>
  <c r="C501" i="2"/>
  <c r="B501" i="2"/>
  <c r="A501" i="2"/>
  <c r="M500" i="2"/>
  <c r="L500" i="2"/>
  <c r="F500" i="2"/>
  <c r="C500" i="2"/>
  <c r="B500" i="2"/>
  <c r="A500" i="2"/>
  <c r="M499" i="2"/>
  <c r="L499" i="2"/>
  <c r="F499" i="2"/>
  <c r="C499" i="2"/>
  <c r="B499" i="2"/>
  <c r="A499" i="2"/>
  <c r="M498" i="2"/>
  <c r="L498" i="2"/>
  <c r="F498" i="2"/>
  <c r="C498" i="2"/>
  <c r="B498" i="2"/>
  <c r="A498" i="2"/>
  <c r="M497" i="2"/>
  <c r="L497" i="2"/>
  <c r="F497" i="2"/>
  <c r="C497" i="2"/>
  <c r="B497" i="2"/>
  <c r="A497" i="2"/>
  <c r="M496" i="2"/>
  <c r="L496" i="2"/>
  <c r="F496" i="2"/>
  <c r="C496" i="2"/>
  <c r="B496" i="2"/>
  <c r="A496" i="2"/>
  <c r="M495" i="2"/>
  <c r="L495" i="2"/>
  <c r="J495" i="2"/>
  <c r="H495" i="2"/>
  <c r="F495" i="2"/>
  <c r="D495" i="2"/>
  <c r="C495" i="2"/>
  <c r="B495" i="2"/>
  <c r="A495" i="2"/>
  <c r="M494" i="2"/>
  <c r="L494" i="2"/>
  <c r="J494" i="2"/>
  <c r="H494" i="2"/>
  <c r="F494" i="2"/>
  <c r="D494" i="2"/>
  <c r="C494" i="2"/>
  <c r="B494" i="2"/>
  <c r="A494" i="2"/>
  <c r="M493" i="2"/>
  <c r="L493" i="2"/>
  <c r="J493" i="2"/>
  <c r="H493" i="2"/>
  <c r="F493" i="2"/>
  <c r="D493" i="2"/>
  <c r="C493" i="2"/>
  <c r="B493" i="2"/>
  <c r="A493" i="2"/>
  <c r="M492" i="2"/>
  <c r="L492" i="2"/>
  <c r="J492" i="2"/>
  <c r="H492" i="2"/>
  <c r="F492" i="2"/>
  <c r="D492" i="2"/>
  <c r="C492" i="2"/>
  <c r="B492" i="2"/>
  <c r="A492" i="2"/>
  <c r="M491" i="2"/>
  <c r="L491" i="2"/>
  <c r="J491" i="2"/>
  <c r="H491" i="2"/>
  <c r="F491" i="2"/>
  <c r="D491" i="2"/>
  <c r="C491" i="2"/>
  <c r="B491" i="2"/>
  <c r="A491" i="2"/>
  <c r="M490" i="2"/>
  <c r="L490" i="2"/>
  <c r="J490" i="2"/>
  <c r="H490" i="2"/>
  <c r="F490" i="2"/>
  <c r="D490" i="2"/>
  <c r="C490" i="2"/>
  <c r="B490" i="2"/>
  <c r="A490" i="2"/>
  <c r="M489" i="2"/>
  <c r="L489" i="2"/>
  <c r="J489" i="2"/>
  <c r="H489" i="2"/>
  <c r="F489" i="2"/>
  <c r="D489" i="2"/>
  <c r="C489" i="2"/>
  <c r="B489" i="2"/>
  <c r="A489" i="2"/>
  <c r="M488" i="2"/>
  <c r="L488" i="2"/>
  <c r="J488" i="2"/>
  <c r="I488" i="2"/>
  <c r="H488" i="2"/>
  <c r="F488" i="2"/>
  <c r="D488" i="2"/>
  <c r="C488" i="2"/>
  <c r="B488" i="2"/>
  <c r="A488" i="2"/>
  <c r="M487" i="2"/>
  <c r="L487" i="2"/>
  <c r="J487" i="2"/>
  <c r="I487" i="2"/>
  <c r="H487" i="2"/>
  <c r="F487" i="2"/>
  <c r="D487" i="2"/>
  <c r="C487" i="2"/>
  <c r="B487" i="2"/>
  <c r="A487" i="2"/>
  <c r="M486" i="2"/>
  <c r="L486" i="2"/>
  <c r="J486" i="2"/>
  <c r="I486" i="2"/>
  <c r="H486" i="2"/>
  <c r="F486" i="2"/>
  <c r="D486" i="2"/>
  <c r="C486" i="2"/>
  <c r="B486" i="2"/>
  <c r="A486" i="2"/>
  <c r="M485" i="2"/>
  <c r="L485" i="2"/>
  <c r="J485" i="2"/>
  <c r="I485" i="2"/>
  <c r="H485" i="2"/>
  <c r="F485" i="2"/>
  <c r="D485" i="2"/>
  <c r="C485" i="2"/>
  <c r="B485" i="2"/>
  <c r="A485" i="2"/>
  <c r="M484" i="2"/>
  <c r="L484" i="2"/>
  <c r="J484" i="2"/>
  <c r="I484" i="2"/>
  <c r="H484" i="2"/>
  <c r="F484" i="2"/>
  <c r="D484" i="2"/>
  <c r="C484" i="2"/>
  <c r="B484" i="2"/>
  <c r="A484" i="2"/>
  <c r="M483" i="2"/>
  <c r="L483" i="2"/>
  <c r="J483" i="2"/>
  <c r="I483" i="2"/>
  <c r="H483" i="2"/>
  <c r="F483" i="2"/>
  <c r="D483" i="2"/>
  <c r="C483" i="2"/>
  <c r="B483" i="2"/>
  <c r="A483" i="2"/>
  <c r="M482" i="2"/>
  <c r="L482" i="2"/>
  <c r="J482" i="2"/>
  <c r="F482" i="2"/>
  <c r="D482" i="2"/>
  <c r="C482" i="2"/>
  <c r="B482" i="2"/>
  <c r="A482" i="2"/>
  <c r="M481" i="2"/>
  <c r="L481" i="2"/>
  <c r="J481" i="2"/>
  <c r="F481" i="2"/>
  <c r="D481" i="2"/>
  <c r="C481" i="2"/>
  <c r="B481" i="2"/>
  <c r="A481" i="2"/>
  <c r="M480" i="2"/>
  <c r="L480" i="2"/>
  <c r="J480" i="2"/>
  <c r="I480" i="2"/>
  <c r="H480" i="2"/>
  <c r="F480" i="2"/>
  <c r="D480" i="2"/>
  <c r="C480" i="2"/>
  <c r="B480" i="2"/>
  <c r="A480" i="2"/>
  <c r="M479" i="2"/>
  <c r="L479" i="2"/>
  <c r="J479" i="2"/>
  <c r="I479" i="2"/>
  <c r="H479" i="2"/>
  <c r="F479" i="2"/>
  <c r="D479" i="2"/>
  <c r="C479" i="2"/>
  <c r="B479" i="2"/>
  <c r="A479" i="2"/>
  <c r="M478" i="2"/>
  <c r="L478" i="2"/>
  <c r="J478" i="2"/>
  <c r="I478" i="2"/>
  <c r="H478" i="2"/>
  <c r="F478" i="2"/>
  <c r="D478" i="2"/>
  <c r="C478" i="2"/>
  <c r="B478" i="2"/>
  <c r="A478" i="2"/>
  <c r="M477" i="2"/>
  <c r="L477" i="2"/>
  <c r="J477" i="2"/>
  <c r="I477" i="2"/>
  <c r="H477" i="2"/>
  <c r="F477" i="2"/>
  <c r="D477" i="2"/>
  <c r="C477" i="2"/>
  <c r="B477" i="2"/>
  <c r="A477" i="2"/>
  <c r="M476" i="2"/>
  <c r="L476" i="2"/>
  <c r="J476" i="2"/>
  <c r="I476" i="2"/>
  <c r="H476" i="2"/>
  <c r="F476" i="2"/>
  <c r="D476" i="2"/>
  <c r="C476" i="2"/>
  <c r="B476" i="2"/>
  <c r="A476" i="2"/>
  <c r="M475" i="2"/>
  <c r="L475" i="2"/>
  <c r="J475" i="2"/>
  <c r="I475" i="2"/>
  <c r="F475" i="2"/>
  <c r="D475" i="2"/>
  <c r="C475" i="2"/>
  <c r="B475" i="2"/>
  <c r="A475" i="2"/>
  <c r="M474" i="2"/>
  <c r="L474" i="2"/>
  <c r="J474" i="2"/>
  <c r="I474" i="2"/>
  <c r="F474" i="2"/>
  <c r="D474" i="2"/>
  <c r="C474" i="2"/>
  <c r="B474" i="2"/>
  <c r="A474" i="2"/>
  <c r="M473" i="2"/>
  <c r="L473" i="2"/>
  <c r="J473" i="2"/>
  <c r="I473" i="2"/>
  <c r="H473" i="2"/>
  <c r="F473" i="2"/>
  <c r="D473" i="2"/>
  <c r="C473" i="2"/>
  <c r="B473" i="2"/>
  <c r="A473" i="2"/>
  <c r="M472" i="2"/>
  <c r="L472" i="2"/>
  <c r="J472" i="2"/>
  <c r="I472" i="2"/>
  <c r="H472" i="2"/>
  <c r="F472" i="2"/>
  <c r="D472" i="2"/>
  <c r="C472" i="2"/>
  <c r="B472" i="2"/>
  <c r="A472" i="2"/>
  <c r="M471" i="2"/>
  <c r="L471" i="2"/>
  <c r="J471" i="2"/>
  <c r="I471" i="2"/>
  <c r="H471" i="2"/>
  <c r="F471" i="2"/>
  <c r="D471" i="2"/>
  <c r="C471" i="2"/>
  <c r="B471" i="2"/>
  <c r="A471" i="2"/>
  <c r="M470" i="2"/>
  <c r="L470" i="2"/>
  <c r="J470" i="2"/>
  <c r="I470" i="2"/>
  <c r="H470" i="2"/>
  <c r="F470" i="2"/>
  <c r="D470" i="2"/>
  <c r="C470" i="2"/>
  <c r="B470" i="2"/>
  <c r="A470" i="2"/>
  <c r="M469" i="2"/>
  <c r="L469" i="2"/>
  <c r="J469" i="2"/>
  <c r="I469" i="2"/>
  <c r="H469" i="2"/>
  <c r="F469" i="2"/>
  <c r="D469" i="2"/>
  <c r="C469" i="2"/>
  <c r="B469" i="2"/>
  <c r="A469" i="2"/>
  <c r="M468" i="2"/>
  <c r="L468" i="2"/>
  <c r="J468" i="2"/>
  <c r="I468" i="2"/>
  <c r="H468" i="2"/>
  <c r="F468" i="2"/>
  <c r="D468" i="2"/>
  <c r="C468" i="2"/>
  <c r="B468" i="2"/>
  <c r="A468" i="2"/>
  <c r="M467" i="2"/>
  <c r="L467" i="2"/>
  <c r="J467" i="2"/>
  <c r="I467" i="2"/>
  <c r="H467" i="2"/>
  <c r="F467" i="2"/>
  <c r="D467" i="2"/>
  <c r="C467" i="2"/>
  <c r="B467" i="2"/>
  <c r="A467" i="2"/>
  <c r="M466" i="2"/>
  <c r="L466" i="2"/>
  <c r="J466" i="2"/>
  <c r="I466" i="2"/>
  <c r="H466" i="2"/>
  <c r="F466" i="2"/>
  <c r="D466" i="2"/>
  <c r="C466" i="2"/>
  <c r="B466" i="2"/>
  <c r="A466" i="2"/>
  <c r="M465" i="2"/>
  <c r="L465" i="2"/>
  <c r="J465" i="2"/>
  <c r="I465" i="2"/>
  <c r="H465" i="2"/>
  <c r="F465" i="2"/>
  <c r="D465" i="2"/>
  <c r="C465" i="2"/>
  <c r="B465" i="2"/>
  <c r="A465" i="2"/>
  <c r="M464" i="2"/>
  <c r="L464" i="2"/>
  <c r="J464" i="2"/>
  <c r="I464" i="2"/>
  <c r="H464" i="2"/>
  <c r="F464" i="2"/>
  <c r="D464" i="2"/>
  <c r="C464" i="2"/>
  <c r="B464" i="2"/>
  <c r="A464" i="2"/>
  <c r="M463" i="2"/>
  <c r="L463" i="2"/>
  <c r="J463" i="2"/>
  <c r="I463" i="2"/>
  <c r="H463" i="2"/>
  <c r="F463" i="2"/>
  <c r="D463" i="2"/>
  <c r="C463" i="2"/>
  <c r="B463" i="2"/>
  <c r="A463" i="2"/>
  <c r="M462" i="2"/>
  <c r="L462" i="2"/>
  <c r="J462" i="2"/>
  <c r="I462" i="2"/>
  <c r="H462" i="2"/>
  <c r="F462" i="2"/>
  <c r="D462" i="2"/>
  <c r="C462" i="2"/>
  <c r="B462" i="2"/>
  <c r="A462" i="2"/>
  <c r="M461" i="2"/>
  <c r="L461" i="2"/>
  <c r="J461" i="2"/>
  <c r="I461" i="2"/>
  <c r="H461" i="2"/>
  <c r="F461" i="2"/>
  <c r="D461" i="2"/>
  <c r="C461" i="2"/>
  <c r="B461" i="2"/>
  <c r="A461" i="2"/>
  <c r="M460" i="2"/>
  <c r="L460" i="2"/>
  <c r="J460" i="2"/>
  <c r="I460" i="2"/>
  <c r="H460" i="2"/>
  <c r="F460" i="2"/>
  <c r="D460" i="2"/>
  <c r="C460" i="2"/>
  <c r="B460" i="2"/>
  <c r="A460" i="2"/>
  <c r="M459" i="2"/>
  <c r="L459" i="2"/>
  <c r="J459" i="2"/>
  <c r="I459" i="2"/>
  <c r="H459" i="2"/>
  <c r="F459" i="2"/>
  <c r="D459" i="2"/>
  <c r="C459" i="2"/>
  <c r="B459" i="2"/>
  <c r="A459" i="2"/>
  <c r="M458" i="2"/>
  <c r="L458" i="2"/>
  <c r="J458" i="2"/>
  <c r="I458" i="2"/>
  <c r="H458" i="2"/>
  <c r="F458" i="2"/>
  <c r="D458" i="2"/>
  <c r="C458" i="2"/>
  <c r="B458" i="2"/>
  <c r="A458" i="2"/>
  <c r="M457" i="2"/>
  <c r="L457" i="2"/>
  <c r="J457" i="2"/>
  <c r="I457" i="2"/>
  <c r="H457" i="2"/>
  <c r="F457" i="2"/>
  <c r="D457" i="2"/>
  <c r="C457" i="2"/>
  <c r="B457" i="2"/>
  <c r="A457" i="2"/>
  <c r="M456" i="2"/>
  <c r="L456" i="2"/>
  <c r="J456" i="2"/>
  <c r="I456" i="2"/>
  <c r="H456" i="2"/>
  <c r="F456" i="2"/>
  <c r="D456" i="2"/>
  <c r="C456" i="2"/>
  <c r="B456" i="2"/>
  <c r="A456" i="2"/>
  <c r="M455" i="2"/>
  <c r="L455" i="2"/>
  <c r="J455" i="2"/>
  <c r="I455" i="2"/>
  <c r="H455" i="2"/>
  <c r="F455" i="2"/>
  <c r="D455" i="2"/>
  <c r="C455" i="2"/>
  <c r="B455" i="2"/>
  <c r="A455" i="2"/>
  <c r="M454" i="2"/>
  <c r="L454" i="2"/>
  <c r="J454" i="2"/>
  <c r="I454" i="2"/>
  <c r="H454" i="2"/>
  <c r="F454" i="2"/>
  <c r="D454" i="2"/>
  <c r="C454" i="2"/>
  <c r="B454" i="2"/>
  <c r="A454" i="2"/>
  <c r="M453" i="2"/>
  <c r="L453" i="2"/>
  <c r="J453" i="2"/>
  <c r="H453" i="2"/>
  <c r="F453" i="2"/>
  <c r="D453" i="2"/>
  <c r="C453" i="2"/>
  <c r="B453" i="2"/>
  <c r="A453" i="2"/>
  <c r="M452" i="2"/>
  <c r="L452" i="2"/>
  <c r="J452" i="2"/>
  <c r="H452" i="2"/>
  <c r="F452" i="2"/>
  <c r="D452" i="2"/>
  <c r="C452" i="2"/>
  <c r="B452" i="2"/>
  <c r="A452" i="2"/>
  <c r="M451" i="2"/>
  <c r="L451" i="2"/>
  <c r="J451" i="2"/>
  <c r="F451" i="2"/>
  <c r="D451" i="2"/>
  <c r="C451" i="2"/>
  <c r="B451" i="2"/>
  <c r="A451" i="2"/>
  <c r="F450" i="2"/>
  <c r="D450" i="2"/>
  <c r="C450" i="2"/>
  <c r="B450" i="2"/>
  <c r="A450" i="2"/>
  <c r="F449" i="2"/>
  <c r="D449" i="2"/>
  <c r="C449" i="2"/>
  <c r="B449" i="2"/>
  <c r="A449" i="2"/>
  <c r="F448" i="2"/>
  <c r="D448" i="2"/>
  <c r="C448" i="2"/>
  <c r="B448" i="2"/>
  <c r="A448" i="2"/>
  <c r="F447" i="2"/>
  <c r="D447" i="2"/>
  <c r="C447" i="2"/>
  <c r="B447" i="2"/>
  <c r="A447" i="2"/>
  <c r="F446" i="2"/>
  <c r="D446" i="2"/>
  <c r="C446" i="2"/>
  <c r="B446" i="2"/>
  <c r="A446" i="2"/>
  <c r="F445" i="2"/>
  <c r="D445" i="2"/>
  <c r="C445" i="2"/>
  <c r="B445" i="2"/>
  <c r="A445" i="2"/>
  <c r="F444" i="2"/>
  <c r="D444" i="2"/>
  <c r="C444" i="2"/>
  <c r="B444" i="2"/>
  <c r="A444" i="2"/>
  <c r="M443" i="2"/>
  <c r="L443" i="2"/>
  <c r="J443" i="2"/>
  <c r="F443" i="2"/>
  <c r="D443" i="2"/>
  <c r="C443" i="2"/>
  <c r="B443" i="2"/>
  <c r="A443" i="2"/>
  <c r="M442" i="2"/>
  <c r="L442" i="2"/>
  <c r="J442" i="2"/>
  <c r="F442" i="2"/>
  <c r="D442" i="2"/>
  <c r="C442" i="2"/>
  <c r="B442" i="2"/>
  <c r="A442" i="2"/>
  <c r="F441" i="2"/>
  <c r="D441" i="2"/>
  <c r="C441" i="2"/>
  <c r="B441" i="2"/>
  <c r="A441" i="2"/>
  <c r="M440" i="2"/>
  <c r="L440" i="2"/>
  <c r="J440" i="2"/>
  <c r="I440" i="2"/>
  <c r="H440" i="2"/>
  <c r="F440" i="2"/>
  <c r="D440" i="2"/>
  <c r="C440" i="2"/>
  <c r="B440" i="2"/>
  <c r="A440" i="2"/>
  <c r="M439" i="2"/>
  <c r="L439" i="2"/>
  <c r="J439" i="2"/>
  <c r="I439" i="2"/>
  <c r="H439" i="2"/>
  <c r="F439" i="2"/>
  <c r="D439" i="2"/>
  <c r="C439" i="2"/>
  <c r="B439" i="2"/>
  <c r="A439" i="2"/>
  <c r="M438" i="2"/>
  <c r="L438" i="2"/>
  <c r="J438" i="2"/>
  <c r="F438" i="2"/>
  <c r="D438" i="2"/>
  <c r="C438" i="2"/>
  <c r="B438" i="2"/>
  <c r="A438" i="2"/>
  <c r="M437" i="2"/>
  <c r="L437" i="2"/>
  <c r="J437" i="2"/>
  <c r="F437" i="2"/>
  <c r="D437" i="2"/>
  <c r="C437" i="2"/>
  <c r="B437" i="2"/>
  <c r="A437" i="2"/>
  <c r="M436" i="2"/>
  <c r="L436" i="2"/>
  <c r="J436" i="2"/>
  <c r="F436" i="2"/>
  <c r="D436" i="2"/>
  <c r="C436" i="2"/>
  <c r="B436" i="2"/>
  <c r="A436" i="2"/>
  <c r="M435" i="2"/>
  <c r="L435" i="2"/>
  <c r="J435" i="2"/>
  <c r="F435" i="2"/>
  <c r="D435" i="2"/>
  <c r="C435" i="2"/>
  <c r="B435" i="2"/>
  <c r="A435" i="2"/>
  <c r="M434" i="2"/>
  <c r="L434" i="2"/>
  <c r="J434" i="2"/>
  <c r="F434" i="2"/>
  <c r="D434" i="2"/>
  <c r="C434" i="2"/>
  <c r="B434" i="2"/>
  <c r="A434" i="2"/>
  <c r="M433" i="2"/>
  <c r="L433" i="2"/>
  <c r="J433" i="2"/>
  <c r="I433" i="2"/>
  <c r="F433" i="2"/>
  <c r="D433" i="2"/>
  <c r="C433" i="2"/>
  <c r="B433" i="2"/>
  <c r="A433" i="2"/>
  <c r="M432" i="2"/>
  <c r="L432" i="2"/>
  <c r="J432" i="2"/>
  <c r="I432" i="2"/>
  <c r="F432" i="2"/>
  <c r="D432" i="2"/>
  <c r="C432" i="2"/>
  <c r="B432" i="2"/>
  <c r="A432" i="2"/>
  <c r="M431" i="2"/>
  <c r="L431" i="2"/>
  <c r="J431" i="2"/>
  <c r="I431" i="2"/>
  <c r="F431" i="2"/>
  <c r="D431" i="2"/>
  <c r="C431" i="2"/>
  <c r="B431" i="2"/>
  <c r="A431" i="2"/>
  <c r="M430" i="2"/>
  <c r="L430" i="2"/>
  <c r="J430" i="2"/>
  <c r="I430" i="2"/>
  <c r="F430" i="2"/>
  <c r="D430" i="2"/>
  <c r="C430" i="2"/>
  <c r="B430" i="2"/>
  <c r="A430" i="2"/>
  <c r="M429" i="2"/>
  <c r="L429" i="2"/>
  <c r="J429" i="2"/>
  <c r="I429" i="2"/>
  <c r="F429" i="2"/>
  <c r="D429" i="2"/>
  <c r="C429" i="2"/>
  <c r="B429" i="2"/>
  <c r="A429" i="2"/>
  <c r="M428" i="2"/>
  <c r="L428" i="2"/>
  <c r="J428" i="2"/>
  <c r="H428" i="2"/>
  <c r="F428" i="2"/>
  <c r="D428" i="2"/>
  <c r="C428" i="2"/>
  <c r="B428" i="2"/>
  <c r="A428" i="2"/>
  <c r="M427" i="2"/>
  <c r="L427" i="2"/>
  <c r="J427" i="2"/>
  <c r="H427" i="2"/>
  <c r="F427" i="2"/>
  <c r="D427" i="2"/>
  <c r="C427" i="2"/>
  <c r="B427" i="2"/>
  <c r="A427" i="2"/>
  <c r="M426" i="2"/>
  <c r="L426" i="2"/>
  <c r="J426" i="2"/>
  <c r="H426" i="2"/>
  <c r="F426" i="2"/>
  <c r="D426" i="2"/>
  <c r="C426" i="2"/>
  <c r="B426" i="2"/>
  <c r="A426" i="2"/>
  <c r="M425" i="2"/>
  <c r="L425" i="2"/>
  <c r="J425" i="2"/>
  <c r="I425" i="2"/>
  <c r="H425" i="2"/>
  <c r="F425" i="2"/>
  <c r="D425" i="2"/>
  <c r="C425" i="2"/>
  <c r="B425" i="2"/>
  <c r="A425" i="2"/>
  <c r="M424" i="2"/>
  <c r="L424" i="2"/>
  <c r="J424" i="2"/>
  <c r="I424" i="2"/>
  <c r="H424" i="2"/>
  <c r="F424" i="2"/>
  <c r="D424" i="2"/>
  <c r="C424" i="2"/>
  <c r="B424" i="2"/>
  <c r="A424" i="2"/>
  <c r="M423" i="2"/>
  <c r="L423" i="2"/>
  <c r="J423" i="2"/>
  <c r="I423" i="2"/>
  <c r="H423" i="2"/>
  <c r="F423" i="2"/>
  <c r="D423" i="2"/>
  <c r="C423" i="2"/>
  <c r="B423" i="2"/>
  <c r="A423" i="2"/>
  <c r="M422" i="2"/>
  <c r="L422" i="2"/>
  <c r="J422" i="2"/>
  <c r="H422" i="2"/>
  <c r="F422" i="2"/>
  <c r="D422" i="2"/>
  <c r="C422" i="2"/>
  <c r="B422" i="2"/>
  <c r="A422" i="2"/>
  <c r="M421" i="2"/>
  <c r="L421" i="2"/>
  <c r="J421" i="2"/>
  <c r="H421" i="2"/>
  <c r="F421" i="2"/>
  <c r="D421" i="2"/>
  <c r="C421" i="2"/>
  <c r="B421" i="2"/>
  <c r="A421" i="2"/>
  <c r="M420" i="2"/>
  <c r="L420" i="2"/>
  <c r="J420" i="2"/>
  <c r="H420" i="2"/>
  <c r="F420" i="2"/>
  <c r="D420" i="2"/>
  <c r="C420" i="2"/>
  <c r="B420" i="2"/>
  <c r="A420" i="2"/>
  <c r="M419" i="2"/>
  <c r="L419" i="2"/>
  <c r="J419" i="2"/>
  <c r="H419" i="2"/>
  <c r="F419" i="2"/>
  <c r="D419" i="2"/>
  <c r="C419" i="2"/>
  <c r="B419" i="2"/>
  <c r="A419" i="2"/>
  <c r="M418" i="2"/>
  <c r="L418" i="2"/>
  <c r="J418" i="2"/>
  <c r="H418" i="2"/>
  <c r="F418" i="2"/>
  <c r="D418" i="2"/>
  <c r="C418" i="2"/>
  <c r="B418" i="2"/>
  <c r="A418" i="2"/>
  <c r="M417" i="2"/>
  <c r="L417" i="2"/>
  <c r="J417" i="2"/>
  <c r="H417" i="2"/>
  <c r="F417" i="2"/>
  <c r="D417" i="2"/>
  <c r="C417" i="2"/>
  <c r="B417" i="2"/>
  <c r="A417" i="2"/>
  <c r="M416" i="2"/>
  <c r="L416" i="2"/>
  <c r="J416" i="2"/>
  <c r="H416" i="2"/>
  <c r="F416" i="2"/>
  <c r="D416" i="2"/>
  <c r="C416" i="2"/>
  <c r="B416" i="2"/>
  <c r="A416" i="2"/>
  <c r="M415" i="2"/>
  <c r="L415" i="2"/>
  <c r="J415" i="2"/>
  <c r="H415" i="2"/>
  <c r="F415" i="2"/>
  <c r="D415" i="2"/>
  <c r="C415" i="2"/>
  <c r="B415" i="2"/>
  <c r="A415" i="2"/>
  <c r="M414" i="2"/>
  <c r="L414" i="2"/>
  <c r="J414" i="2"/>
  <c r="H414" i="2"/>
  <c r="F414" i="2"/>
  <c r="D414" i="2"/>
  <c r="C414" i="2"/>
  <c r="B414" i="2"/>
  <c r="A414" i="2"/>
  <c r="M413" i="2"/>
  <c r="L413" i="2"/>
  <c r="J413" i="2"/>
  <c r="H413" i="2"/>
  <c r="F413" i="2"/>
  <c r="D413" i="2"/>
  <c r="C413" i="2"/>
  <c r="B413" i="2"/>
  <c r="A413" i="2"/>
  <c r="M412" i="2"/>
  <c r="L412" i="2"/>
  <c r="J412" i="2"/>
  <c r="F412" i="2"/>
  <c r="D412" i="2"/>
  <c r="C412" i="2"/>
  <c r="B412" i="2"/>
  <c r="A412" i="2"/>
  <c r="M411" i="2"/>
  <c r="L411" i="2"/>
  <c r="J411" i="2"/>
  <c r="F411" i="2"/>
  <c r="D411" i="2"/>
  <c r="C411" i="2"/>
  <c r="B411" i="2"/>
  <c r="A411" i="2"/>
  <c r="M410" i="2"/>
  <c r="L410" i="2"/>
  <c r="J410" i="2"/>
  <c r="F410" i="2"/>
  <c r="D410" i="2"/>
  <c r="C410" i="2"/>
  <c r="B410" i="2"/>
  <c r="A410" i="2"/>
  <c r="M409" i="2"/>
  <c r="L409" i="2"/>
  <c r="J409" i="2"/>
  <c r="F409" i="2"/>
  <c r="D409" i="2"/>
  <c r="C409" i="2"/>
  <c r="B409" i="2"/>
  <c r="A409" i="2"/>
  <c r="M408" i="2"/>
  <c r="L408" i="2"/>
  <c r="J408" i="2"/>
  <c r="F408" i="2"/>
  <c r="D408" i="2"/>
  <c r="C408" i="2"/>
  <c r="B408" i="2"/>
  <c r="A408" i="2"/>
  <c r="M407" i="2"/>
  <c r="L407" i="2"/>
  <c r="J407" i="2"/>
  <c r="F407" i="2"/>
  <c r="D407" i="2"/>
  <c r="C407" i="2"/>
  <c r="B407" i="2"/>
  <c r="A407" i="2"/>
  <c r="M406" i="2"/>
  <c r="L406" i="2"/>
  <c r="J406" i="2"/>
  <c r="F406" i="2"/>
  <c r="D406" i="2"/>
  <c r="C406" i="2"/>
  <c r="B406" i="2"/>
  <c r="A406" i="2"/>
  <c r="M405" i="2"/>
  <c r="L405" i="2"/>
  <c r="J405" i="2"/>
  <c r="F405" i="2"/>
  <c r="D405" i="2"/>
  <c r="C405" i="2"/>
  <c r="B405" i="2"/>
  <c r="A405" i="2"/>
  <c r="M404" i="2"/>
  <c r="L404" i="2"/>
  <c r="J404" i="2"/>
  <c r="F404" i="2"/>
  <c r="D404" i="2"/>
  <c r="C404" i="2"/>
  <c r="B404" i="2"/>
  <c r="A404" i="2"/>
  <c r="M403" i="2"/>
  <c r="L403" i="2"/>
  <c r="J403" i="2"/>
  <c r="F403" i="2"/>
  <c r="D403" i="2"/>
  <c r="C403" i="2"/>
  <c r="B403" i="2"/>
  <c r="A403" i="2"/>
  <c r="M402" i="2"/>
  <c r="L402" i="2"/>
  <c r="J402" i="2"/>
  <c r="F402" i="2"/>
  <c r="D402" i="2"/>
  <c r="C402" i="2"/>
  <c r="B402" i="2"/>
  <c r="A402" i="2"/>
  <c r="M401" i="2"/>
  <c r="L401" i="2"/>
  <c r="J401" i="2"/>
  <c r="F401" i="2"/>
  <c r="D401" i="2"/>
  <c r="C401" i="2"/>
  <c r="B401" i="2"/>
  <c r="A401" i="2"/>
  <c r="M400" i="2"/>
  <c r="L400" i="2"/>
  <c r="J400" i="2"/>
  <c r="F400" i="2"/>
  <c r="D400" i="2"/>
  <c r="C400" i="2"/>
  <c r="B400" i="2"/>
  <c r="A400" i="2"/>
  <c r="M399" i="2"/>
  <c r="L399" i="2"/>
  <c r="J399" i="2"/>
  <c r="F399" i="2"/>
  <c r="D399" i="2"/>
  <c r="C399" i="2"/>
  <c r="B399" i="2"/>
  <c r="A399" i="2"/>
  <c r="M398" i="2"/>
  <c r="L398" i="2"/>
  <c r="J398" i="2"/>
  <c r="F398" i="2"/>
  <c r="D398" i="2"/>
  <c r="C398" i="2"/>
  <c r="B398" i="2"/>
  <c r="A398" i="2"/>
  <c r="F397" i="2"/>
  <c r="D397" i="2"/>
  <c r="C397" i="2"/>
  <c r="B397" i="2"/>
  <c r="A397" i="2"/>
  <c r="M396" i="2"/>
  <c r="L396" i="2"/>
  <c r="H396" i="2"/>
  <c r="F396" i="2"/>
  <c r="D396" i="2"/>
  <c r="C396" i="2"/>
  <c r="B396" i="2"/>
  <c r="A396" i="2"/>
  <c r="F395" i="2"/>
  <c r="D395" i="2"/>
  <c r="C395" i="2"/>
  <c r="B395" i="2"/>
  <c r="A395" i="2"/>
  <c r="I394" i="2"/>
  <c r="F394" i="2"/>
  <c r="D394" i="2"/>
  <c r="C394" i="2"/>
  <c r="B394" i="2"/>
  <c r="A394" i="2"/>
  <c r="M393" i="2"/>
  <c r="L393" i="2"/>
  <c r="J393" i="2"/>
  <c r="H393" i="2"/>
  <c r="F393" i="2"/>
  <c r="D393" i="2"/>
  <c r="C393" i="2"/>
  <c r="B393" i="2"/>
  <c r="A393" i="2"/>
  <c r="M392" i="2"/>
  <c r="L392" i="2"/>
  <c r="J392" i="2"/>
  <c r="H392" i="2"/>
  <c r="F392" i="2"/>
  <c r="D392" i="2"/>
  <c r="C392" i="2"/>
  <c r="B392" i="2"/>
  <c r="A392" i="2"/>
  <c r="M391" i="2"/>
  <c r="L391" i="2"/>
  <c r="J391" i="2"/>
  <c r="H391" i="2"/>
  <c r="F391" i="2"/>
  <c r="D391" i="2"/>
  <c r="C391" i="2"/>
  <c r="B391" i="2"/>
  <c r="A391" i="2"/>
  <c r="M390" i="2"/>
  <c r="L390" i="2"/>
  <c r="J390" i="2"/>
  <c r="H390" i="2"/>
  <c r="F390" i="2"/>
  <c r="D390" i="2"/>
  <c r="C390" i="2"/>
  <c r="B390" i="2"/>
  <c r="A390" i="2"/>
  <c r="M389" i="2"/>
  <c r="L389" i="2"/>
  <c r="J389" i="2"/>
  <c r="H389" i="2"/>
  <c r="F389" i="2"/>
  <c r="D389" i="2"/>
  <c r="C389" i="2"/>
  <c r="B389" i="2"/>
  <c r="A389" i="2"/>
  <c r="M388" i="2"/>
  <c r="L388" i="2"/>
  <c r="J388" i="2"/>
  <c r="I388" i="2"/>
  <c r="H388" i="2"/>
  <c r="F388" i="2"/>
  <c r="D388" i="2"/>
  <c r="C388" i="2"/>
  <c r="B388" i="2"/>
  <c r="A388" i="2"/>
  <c r="M387" i="2"/>
  <c r="L387" i="2"/>
  <c r="J387" i="2"/>
  <c r="I387" i="2"/>
  <c r="H387" i="2"/>
  <c r="F387" i="2"/>
  <c r="D387" i="2"/>
  <c r="C387" i="2"/>
  <c r="B387" i="2"/>
  <c r="A387" i="2"/>
  <c r="M386" i="2"/>
  <c r="L386" i="2"/>
  <c r="J386" i="2"/>
  <c r="I386" i="2"/>
  <c r="H386" i="2"/>
  <c r="F386" i="2"/>
  <c r="D386" i="2"/>
  <c r="C386" i="2"/>
  <c r="B386" i="2"/>
  <c r="A386" i="2"/>
  <c r="M385" i="2"/>
  <c r="L385" i="2"/>
  <c r="J385" i="2"/>
  <c r="I385" i="2"/>
  <c r="H385" i="2"/>
  <c r="F385" i="2"/>
  <c r="D385" i="2"/>
  <c r="C385" i="2"/>
  <c r="B385" i="2"/>
  <c r="A385" i="2"/>
  <c r="M384" i="2"/>
  <c r="L384" i="2"/>
  <c r="J384" i="2"/>
  <c r="I384" i="2"/>
  <c r="H384" i="2"/>
  <c r="F384" i="2"/>
  <c r="D384" i="2"/>
  <c r="C384" i="2"/>
  <c r="B384" i="2"/>
  <c r="A384" i="2"/>
  <c r="M383" i="2"/>
  <c r="L383" i="2"/>
  <c r="J383" i="2"/>
  <c r="I383" i="2"/>
  <c r="H383" i="2"/>
  <c r="F383" i="2"/>
  <c r="D383" i="2"/>
  <c r="C383" i="2"/>
  <c r="B383" i="2"/>
  <c r="A383" i="2"/>
  <c r="M382" i="2"/>
  <c r="L382" i="2"/>
  <c r="J382" i="2"/>
  <c r="I382" i="2"/>
  <c r="H382" i="2"/>
  <c r="F382" i="2"/>
  <c r="D382" i="2"/>
  <c r="C382" i="2"/>
  <c r="B382" i="2"/>
  <c r="A382" i="2"/>
  <c r="M381" i="2"/>
  <c r="L381" i="2"/>
  <c r="J381" i="2"/>
  <c r="I381" i="2"/>
  <c r="H381" i="2"/>
  <c r="F381" i="2"/>
  <c r="D381" i="2"/>
  <c r="C381" i="2"/>
  <c r="B381" i="2"/>
  <c r="A381" i="2"/>
  <c r="M380" i="2"/>
  <c r="L380" i="2"/>
  <c r="J380" i="2"/>
  <c r="I380" i="2"/>
  <c r="H380" i="2"/>
  <c r="F380" i="2"/>
  <c r="D380" i="2"/>
  <c r="C380" i="2"/>
  <c r="B380" i="2"/>
  <c r="A380" i="2"/>
  <c r="M379" i="2"/>
  <c r="L379" i="2"/>
  <c r="J379" i="2"/>
  <c r="I379" i="2"/>
  <c r="H379" i="2"/>
  <c r="F379" i="2"/>
  <c r="D379" i="2"/>
  <c r="C379" i="2"/>
  <c r="B379" i="2"/>
  <c r="A379" i="2"/>
  <c r="M378" i="2"/>
  <c r="L378" i="2"/>
  <c r="J378" i="2"/>
  <c r="I378" i="2"/>
  <c r="H378" i="2"/>
  <c r="F378" i="2"/>
  <c r="D378" i="2"/>
  <c r="C378" i="2"/>
  <c r="B378" i="2"/>
  <c r="A378" i="2"/>
  <c r="M377" i="2"/>
  <c r="L377" i="2"/>
  <c r="J377" i="2"/>
  <c r="I377" i="2"/>
  <c r="H377" i="2"/>
  <c r="F377" i="2"/>
  <c r="D377" i="2"/>
  <c r="C377" i="2"/>
  <c r="B377" i="2"/>
  <c r="A377" i="2"/>
  <c r="M376" i="2"/>
  <c r="L376" i="2"/>
  <c r="J376" i="2"/>
  <c r="I376" i="2"/>
  <c r="H376" i="2"/>
  <c r="F376" i="2"/>
  <c r="D376" i="2"/>
  <c r="C376" i="2"/>
  <c r="B376" i="2"/>
  <c r="A376" i="2"/>
  <c r="M375" i="2"/>
  <c r="L375" i="2"/>
  <c r="J375" i="2"/>
  <c r="I375" i="2"/>
  <c r="H375" i="2"/>
  <c r="F375" i="2"/>
  <c r="D375" i="2"/>
  <c r="C375" i="2"/>
  <c r="B375" i="2"/>
  <c r="A375" i="2"/>
  <c r="M374" i="2"/>
  <c r="L374" i="2"/>
  <c r="J374" i="2"/>
  <c r="I374" i="2"/>
  <c r="H374" i="2"/>
  <c r="F374" i="2"/>
  <c r="D374" i="2"/>
  <c r="C374" i="2"/>
  <c r="B374" i="2"/>
  <c r="A374" i="2"/>
  <c r="M373" i="2"/>
  <c r="L373" i="2"/>
  <c r="J373" i="2"/>
  <c r="I373" i="2"/>
  <c r="H373" i="2"/>
  <c r="F373" i="2"/>
  <c r="D373" i="2"/>
  <c r="C373" i="2"/>
  <c r="B373" i="2"/>
  <c r="A373" i="2"/>
  <c r="M372" i="2"/>
  <c r="L372" i="2"/>
  <c r="J372" i="2"/>
  <c r="I372" i="2"/>
  <c r="H372" i="2"/>
  <c r="F372" i="2"/>
  <c r="D372" i="2"/>
  <c r="C372" i="2"/>
  <c r="B372" i="2"/>
  <c r="A372" i="2"/>
  <c r="M371" i="2"/>
  <c r="L371" i="2"/>
  <c r="J371" i="2"/>
  <c r="I371" i="2"/>
  <c r="H371" i="2"/>
  <c r="F371" i="2"/>
  <c r="D371" i="2"/>
  <c r="C371" i="2"/>
  <c r="B371" i="2"/>
  <c r="A371" i="2"/>
  <c r="M370" i="2"/>
  <c r="L370" i="2"/>
  <c r="J370" i="2"/>
  <c r="I370" i="2"/>
  <c r="H370" i="2"/>
  <c r="F370" i="2"/>
  <c r="D370" i="2"/>
  <c r="C370" i="2"/>
  <c r="B370" i="2"/>
  <c r="A370" i="2"/>
  <c r="M369" i="2"/>
  <c r="L369" i="2"/>
  <c r="J369" i="2"/>
  <c r="I369" i="2"/>
  <c r="H369" i="2"/>
  <c r="F369" i="2"/>
  <c r="D369" i="2"/>
  <c r="C369" i="2"/>
  <c r="B369" i="2"/>
  <c r="A369" i="2"/>
  <c r="M368" i="2"/>
  <c r="L368" i="2"/>
  <c r="J368" i="2"/>
  <c r="I368" i="2"/>
  <c r="H368" i="2"/>
  <c r="F368" i="2"/>
  <c r="D368" i="2"/>
  <c r="C368" i="2"/>
  <c r="B368" i="2"/>
  <c r="A368" i="2"/>
  <c r="M367" i="2"/>
  <c r="L367" i="2"/>
  <c r="J367" i="2"/>
  <c r="I367" i="2"/>
  <c r="H367" i="2"/>
  <c r="F367" i="2"/>
  <c r="D367" i="2"/>
  <c r="C367" i="2"/>
  <c r="B367" i="2"/>
  <c r="A367" i="2"/>
  <c r="M366" i="2"/>
  <c r="L366" i="2"/>
  <c r="J366" i="2"/>
  <c r="I366" i="2"/>
  <c r="H366" i="2"/>
  <c r="F366" i="2"/>
  <c r="D366" i="2"/>
  <c r="C366" i="2"/>
  <c r="B366" i="2"/>
  <c r="A366" i="2"/>
  <c r="M365" i="2"/>
  <c r="L365" i="2"/>
  <c r="J365" i="2"/>
  <c r="I365" i="2"/>
  <c r="H365" i="2"/>
  <c r="F365" i="2"/>
  <c r="D365" i="2"/>
  <c r="C365" i="2"/>
  <c r="B365" i="2"/>
  <c r="A365" i="2"/>
  <c r="M364" i="2"/>
  <c r="L364" i="2"/>
  <c r="J364" i="2"/>
  <c r="I364" i="2"/>
  <c r="H364" i="2"/>
  <c r="F364" i="2"/>
  <c r="D364" i="2"/>
  <c r="C364" i="2"/>
  <c r="B364" i="2"/>
  <c r="A364" i="2"/>
  <c r="M363" i="2"/>
  <c r="L363" i="2"/>
  <c r="J363" i="2"/>
  <c r="I363" i="2"/>
  <c r="H363" i="2"/>
  <c r="F363" i="2"/>
  <c r="D363" i="2"/>
  <c r="C363" i="2"/>
  <c r="B363" i="2"/>
  <c r="A363" i="2"/>
  <c r="M362" i="2"/>
  <c r="L362" i="2"/>
  <c r="J362" i="2"/>
  <c r="I362" i="2"/>
  <c r="H362" i="2"/>
  <c r="F362" i="2"/>
  <c r="D362" i="2"/>
  <c r="C362" i="2"/>
  <c r="B362" i="2"/>
  <c r="A362" i="2"/>
  <c r="M361" i="2"/>
  <c r="L361" i="2"/>
  <c r="J361" i="2"/>
  <c r="I361" i="2"/>
  <c r="H361" i="2"/>
  <c r="F361" i="2"/>
  <c r="D361" i="2"/>
  <c r="C361" i="2"/>
  <c r="B361" i="2"/>
  <c r="A361" i="2"/>
  <c r="M360" i="2"/>
  <c r="L360" i="2"/>
  <c r="J360" i="2"/>
  <c r="I360" i="2"/>
  <c r="H360" i="2"/>
  <c r="F360" i="2"/>
  <c r="D360" i="2"/>
  <c r="C360" i="2"/>
  <c r="B360" i="2"/>
  <c r="A360" i="2"/>
  <c r="M359" i="2"/>
  <c r="L359" i="2"/>
  <c r="J359" i="2"/>
  <c r="I359" i="2"/>
  <c r="H359" i="2"/>
  <c r="F359" i="2"/>
  <c r="D359" i="2"/>
  <c r="C359" i="2"/>
  <c r="B359" i="2"/>
  <c r="A359" i="2"/>
  <c r="M358" i="2"/>
  <c r="L358" i="2"/>
  <c r="J358" i="2"/>
  <c r="I358" i="2"/>
  <c r="H358" i="2"/>
  <c r="F358" i="2"/>
  <c r="D358" i="2"/>
  <c r="C358" i="2"/>
  <c r="B358" i="2"/>
  <c r="A358" i="2"/>
  <c r="M357" i="2"/>
  <c r="L357" i="2"/>
  <c r="J357" i="2"/>
  <c r="I357" i="2"/>
  <c r="H357" i="2"/>
  <c r="F357" i="2"/>
  <c r="D357" i="2"/>
  <c r="C357" i="2"/>
  <c r="B357" i="2"/>
  <c r="A357" i="2"/>
  <c r="M356" i="2"/>
  <c r="L356" i="2"/>
  <c r="J356" i="2"/>
  <c r="I356" i="2"/>
  <c r="H356" i="2"/>
  <c r="F356" i="2"/>
  <c r="D356" i="2"/>
  <c r="C356" i="2"/>
  <c r="B356" i="2"/>
  <c r="A356" i="2"/>
  <c r="M355" i="2"/>
  <c r="L355" i="2"/>
  <c r="J355" i="2"/>
  <c r="I355" i="2"/>
  <c r="H355" i="2"/>
  <c r="F355" i="2"/>
  <c r="D355" i="2"/>
  <c r="C355" i="2"/>
  <c r="B355" i="2"/>
  <c r="A355" i="2"/>
  <c r="M354" i="2"/>
  <c r="L354" i="2"/>
  <c r="J354" i="2"/>
  <c r="I354" i="2"/>
  <c r="H354" i="2"/>
  <c r="F354" i="2"/>
  <c r="D354" i="2"/>
  <c r="C354" i="2"/>
  <c r="B354" i="2"/>
  <c r="A354" i="2"/>
  <c r="M353" i="2"/>
  <c r="L353" i="2"/>
  <c r="J353" i="2"/>
  <c r="I353" i="2"/>
  <c r="H353" i="2"/>
  <c r="F353" i="2"/>
  <c r="D353" i="2"/>
  <c r="C353" i="2"/>
  <c r="B353" i="2"/>
  <c r="A353" i="2"/>
  <c r="M352" i="2"/>
  <c r="L352" i="2"/>
  <c r="J352" i="2"/>
  <c r="I352" i="2"/>
  <c r="H352" i="2"/>
  <c r="F352" i="2"/>
  <c r="D352" i="2"/>
  <c r="C352" i="2"/>
  <c r="B352" i="2"/>
  <c r="A352" i="2"/>
  <c r="M351" i="2"/>
  <c r="L351" i="2"/>
  <c r="J351" i="2"/>
  <c r="I351" i="2"/>
  <c r="H351" i="2"/>
  <c r="F351" i="2"/>
  <c r="D351" i="2"/>
  <c r="C351" i="2"/>
  <c r="B351" i="2"/>
  <c r="A351" i="2"/>
  <c r="M350" i="2"/>
  <c r="L350" i="2"/>
  <c r="J350" i="2"/>
  <c r="I350" i="2"/>
  <c r="H350" i="2"/>
  <c r="F350" i="2"/>
  <c r="D350" i="2"/>
  <c r="C350" i="2"/>
  <c r="B350" i="2"/>
  <c r="A350" i="2"/>
  <c r="M349" i="2"/>
  <c r="L349" i="2"/>
  <c r="J349" i="2"/>
  <c r="I349" i="2"/>
  <c r="H349" i="2"/>
  <c r="F349" i="2"/>
  <c r="D349" i="2"/>
  <c r="C349" i="2"/>
  <c r="B349" i="2"/>
  <c r="A349" i="2"/>
  <c r="M348" i="2"/>
  <c r="L348" i="2"/>
  <c r="J348" i="2"/>
  <c r="I348" i="2"/>
  <c r="H348" i="2"/>
  <c r="F348" i="2"/>
  <c r="D348" i="2"/>
  <c r="C348" i="2"/>
  <c r="B348" i="2"/>
  <c r="A348" i="2"/>
  <c r="M347" i="2"/>
  <c r="L347" i="2"/>
  <c r="J347" i="2"/>
  <c r="I347" i="2"/>
  <c r="H347" i="2"/>
  <c r="F347" i="2"/>
  <c r="D347" i="2"/>
  <c r="C347" i="2"/>
  <c r="B347" i="2"/>
  <c r="A347" i="2"/>
  <c r="M346" i="2"/>
  <c r="L346" i="2"/>
  <c r="J346" i="2"/>
  <c r="I346" i="2"/>
  <c r="H346" i="2"/>
  <c r="F346" i="2"/>
  <c r="D346" i="2"/>
  <c r="C346" i="2"/>
  <c r="B346" i="2"/>
  <c r="A346" i="2"/>
  <c r="M345" i="2"/>
  <c r="L345" i="2"/>
  <c r="J345" i="2"/>
  <c r="F345" i="2"/>
  <c r="D345" i="2"/>
  <c r="C345" i="2"/>
  <c r="B345" i="2"/>
  <c r="A345" i="2"/>
  <c r="M344" i="2"/>
  <c r="L344" i="2"/>
  <c r="J344" i="2"/>
  <c r="F344" i="2"/>
  <c r="D344" i="2"/>
  <c r="C344" i="2"/>
  <c r="B344" i="2"/>
  <c r="A344" i="2"/>
  <c r="M343" i="2"/>
  <c r="L343" i="2"/>
  <c r="J343" i="2"/>
  <c r="F343" i="2"/>
  <c r="D343" i="2"/>
  <c r="C343" i="2"/>
  <c r="B343" i="2"/>
  <c r="A343" i="2"/>
  <c r="M342" i="2"/>
  <c r="L342" i="2"/>
  <c r="J342" i="2"/>
  <c r="F342" i="2"/>
  <c r="D342" i="2"/>
  <c r="C342" i="2"/>
  <c r="B342" i="2"/>
  <c r="A342" i="2"/>
  <c r="M341" i="2"/>
  <c r="L341" i="2"/>
  <c r="J341" i="2"/>
  <c r="F341" i="2"/>
  <c r="D341" i="2"/>
  <c r="C341" i="2"/>
  <c r="B341" i="2"/>
  <c r="A341" i="2"/>
  <c r="M340" i="2"/>
  <c r="L340" i="2"/>
  <c r="J340" i="2"/>
  <c r="F340" i="2"/>
  <c r="D340" i="2"/>
  <c r="C340" i="2"/>
  <c r="B340" i="2"/>
  <c r="A340" i="2"/>
  <c r="M339" i="2"/>
  <c r="L339" i="2"/>
  <c r="J339" i="2"/>
  <c r="F339" i="2"/>
  <c r="D339" i="2"/>
  <c r="C339" i="2"/>
  <c r="B339" i="2"/>
  <c r="A339" i="2"/>
  <c r="M338" i="2"/>
  <c r="L338" i="2"/>
  <c r="J338" i="2"/>
  <c r="F338" i="2"/>
  <c r="D338" i="2"/>
  <c r="C338" i="2"/>
  <c r="B338" i="2"/>
  <c r="A338" i="2"/>
  <c r="M337" i="2"/>
  <c r="L337" i="2"/>
  <c r="J337" i="2"/>
  <c r="F337" i="2"/>
  <c r="D337" i="2"/>
  <c r="C337" i="2"/>
  <c r="B337" i="2"/>
  <c r="A337" i="2"/>
  <c r="M336" i="2"/>
  <c r="L336" i="2"/>
  <c r="J336" i="2"/>
  <c r="F336" i="2"/>
  <c r="D336" i="2"/>
  <c r="C336" i="2"/>
  <c r="B336" i="2"/>
  <c r="A336" i="2"/>
  <c r="M335" i="2"/>
  <c r="L335" i="2"/>
  <c r="J335" i="2"/>
  <c r="F335" i="2"/>
  <c r="D335" i="2"/>
  <c r="C335" i="2"/>
  <c r="B335" i="2"/>
  <c r="A335" i="2"/>
  <c r="M334" i="2"/>
  <c r="L334" i="2"/>
  <c r="J334" i="2"/>
  <c r="F334" i="2"/>
  <c r="D334" i="2"/>
  <c r="C334" i="2"/>
  <c r="B334" i="2"/>
  <c r="A334" i="2"/>
  <c r="M333" i="2"/>
  <c r="L333" i="2"/>
  <c r="J333" i="2"/>
  <c r="F333" i="2"/>
  <c r="D333" i="2"/>
  <c r="C333" i="2"/>
  <c r="B333" i="2"/>
  <c r="A333" i="2"/>
  <c r="M332" i="2"/>
  <c r="L332" i="2"/>
  <c r="J332" i="2"/>
  <c r="F332" i="2"/>
  <c r="D332" i="2"/>
  <c r="C332" i="2"/>
  <c r="B332" i="2"/>
  <c r="A332" i="2"/>
  <c r="M331" i="2"/>
  <c r="L331" i="2"/>
  <c r="J331" i="2"/>
  <c r="F331" i="2"/>
  <c r="D331" i="2"/>
  <c r="C331" i="2"/>
  <c r="B331" i="2"/>
  <c r="A331" i="2"/>
  <c r="M330" i="2"/>
  <c r="L330" i="2"/>
  <c r="J330" i="2"/>
  <c r="F330" i="2"/>
  <c r="D330" i="2"/>
  <c r="C330" i="2"/>
  <c r="B330" i="2"/>
  <c r="A330" i="2"/>
  <c r="M329" i="2"/>
  <c r="L329" i="2"/>
  <c r="J329" i="2"/>
  <c r="F329" i="2"/>
  <c r="D329" i="2"/>
  <c r="C329" i="2"/>
  <c r="B329" i="2"/>
  <c r="A329" i="2"/>
  <c r="M328" i="2"/>
  <c r="L328" i="2"/>
  <c r="J328" i="2"/>
  <c r="F328" i="2"/>
  <c r="D328" i="2"/>
  <c r="C328" i="2"/>
  <c r="B328" i="2"/>
  <c r="A328" i="2"/>
  <c r="M327" i="2"/>
  <c r="L327" i="2"/>
  <c r="J327" i="2"/>
  <c r="F327" i="2"/>
  <c r="D327" i="2"/>
  <c r="C327" i="2"/>
  <c r="B327" i="2"/>
  <c r="A327" i="2"/>
  <c r="M326" i="2"/>
  <c r="L326" i="2"/>
  <c r="J326" i="2"/>
  <c r="F326" i="2"/>
  <c r="D326" i="2"/>
  <c r="C326" i="2"/>
  <c r="B326" i="2"/>
  <c r="A326" i="2"/>
  <c r="M325" i="2"/>
  <c r="L325" i="2"/>
  <c r="J325" i="2"/>
  <c r="F325" i="2"/>
  <c r="D325" i="2"/>
  <c r="C325" i="2"/>
  <c r="B325" i="2"/>
  <c r="A325" i="2"/>
  <c r="M324" i="2"/>
  <c r="L324" i="2"/>
  <c r="J324" i="2"/>
  <c r="F324" i="2"/>
  <c r="D324" i="2"/>
  <c r="C324" i="2"/>
  <c r="B324" i="2"/>
  <c r="A324" i="2"/>
  <c r="M323" i="2"/>
  <c r="L323" i="2"/>
  <c r="J323" i="2"/>
  <c r="F323" i="2"/>
  <c r="D323" i="2"/>
  <c r="C323" i="2"/>
  <c r="B323" i="2"/>
  <c r="A323" i="2"/>
  <c r="M322" i="2"/>
  <c r="L322" i="2"/>
  <c r="J322" i="2"/>
  <c r="I322" i="2"/>
  <c r="H322" i="2"/>
  <c r="F322" i="2"/>
  <c r="D322" i="2"/>
  <c r="C322" i="2"/>
  <c r="B322" i="2"/>
  <c r="A322" i="2"/>
  <c r="M321" i="2"/>
  <c r="L321" i="2"/>
  <c r="J321" i="2"/>
  <c r="I321" i="2"/>
  <c r="H321" i="2"/>
  <c r="F321" i="2"/>
  <c r="D321" i="2"/>
  <c r="C321" i="2"/>
  <c r="B321" i="2"/>
  <c r="A321" i="2"/>
  <c r="M320" i="2"/>
  <c r="L320" i="2"/>
  <c r="J320" i="2"/>
  <c r="I320" i="2"/>
  <c r="H320" i="2"/>
  <c r="F320" i="2"/>
  <c r="D320" i="2"/>
  <c r="C320" i="2"/>
  <c r="B320" i="2"/>
  <c r="A320" i="2"/>
  <c r="M319" i="2"/>
  <c r="L319" i="2"/>
  <c r="J319" i="2"/>
  <c r="I319" i="2"/>
  <c r="H319" i="2"/>
  <c r="F319" i="2"/>
  <c r="D319" i="2"/>
  <c r="C319" i="2"/>
  <c r="B319" i="2"/>
  <c r="A319" i="2"/>
  <c r="M318" i="2"/>
  <c r="L318" i="2"/>
  <c r="J318" i="2"/>
  <c r="I318" i="2"/>
  <c r="H318" i="2"/>
  <c r="F318" i="2"/>
  <c r="D318" i="2"/>
  <c r="C318" i="2"/>
  <c r="B318" i="2"/>
  <c r="A318" i="2"/>
  <c r="M317" i="2"/>
  <c r="L317" i="2"/>
  <c r="J317" i="2"/>
  <c r="I317" i="2"/>
  <c r="H317" i="2"/>
  <c r="F317" i="2"/>
  <c r="D317" i="2"/>
  <c r="C317" i="2"/>
  <c r="B317" i="2"/>
  <c r="A317" i="2"/>
  <c r="M316" i="2"/>
  <c r="L316" i="2"/>
  <c r="J316" i="2"/>
  <c r="I316" i="2"/>
  <c r="H316" i="2"/>
  <c r="F316" i="2"/>
  <c r="D316" i="2"/>
  <c r="C316" i="2"/>
  <c r="B316" i="2"/>
  <c r="A316" i="2"/>
  <c r="M315" i="2"/>
  <c r="L315" i="2"/>
  <c r="J315" i="2"/>
  <c r="I315" i="2"/>
  <c r="H315" i="2"/>
  <c r="F315" i="2"/>
  <c r="D315" i="2"/>
  <c r="C315" i="2"/>
  <c r="B315" i="2"/>
  <c r="A315" i="2"/>
  <c r="M314" i="2"/>
  <c r="L314" i="2"/>
  <c r="J314" i="2"/>
  <c r="I314" i="2"/>
  <c r="H314" i="2"/>
  <c r="F314" i="2"/>
  <c r="D314" i="2"/>
  <c r="C314" i="2"/>
  <c r="B314" i="2"/>
  <c r="A314" i="2"/>
  <c r="M313" i="2"/>
  <c r="L313" i="2"/>
  <c r="J313" i="2"/>
  <c r="I313" i="2"/>
  <c r="H313" i="2"/>
  <c r="F313" i="2"/>
  <c r="D313" i="2"/>
  <c r="C313" i="2"/>
  <c r="B313" i="2"/>
  <c r="A313" i="2"/>
  <c r="M312" i="2"/>
  <c r="L312" i="2"/>
  <c r="J312" i="2"/>
  <c r="I312" i="2"/>
  <c r="H312" i="2"/>
  <c r="F312" i="2"/>
  <c r="D312" i="2"/>
  <c r="C312" i="2"/>
  <c r="B312" i="2"/>
  <c r="A312" i="2"/>
  <c r="M311" i="2"/>
  <c r="L311" i="2"/>
  <c r="J311" i="2"/>
  <c r="I311" i="2"/>
  <c r="H311" i="2"/>
  <c r="F311" i="2"/>
  <c r="D311" i="2"/>
  <c r="C311" i="2"/>
  <c r="B311" i="2"/>
  <c r="A311" i="2"/>
  <c r="M310" i="2"/>
  <c r="L310" i="2"/>
  <c r="J310" i="2"/>
  <c r="I310" i="2"/>
  <c r="H310" i="2"/>
  <c r="F310" i="2"/>
  <c r="D310" i="2"/>
  <c r="C310" i="2"/>
  <c r="B310" i="2"/>
  <c r="A310" i="2"/>
  <c r="M309" i="2"/>
  <c r="L309" i="2"/>
  <c r="J309" i="2"/>
  <c r="I309" i="2"/>
  <c r="H309" i="2"/>
  <c r="F309" i="2"/>
  <c r="D309" i="2"/>
  <c r="C309" i="2"/>
  <c r="B309" i="2"/>
  <c r="A309" i="2"/>
  <c r="M308" i="2"/>
  <c r="L308" i="2"/>
  <c r="J308" i="2"/>
  <c r="F308" i="2"/>
  <c r="D308" i="2"/>
  <c r="C308" i="2"/>
  <c r="B308" i="2"/>
  <c r="A308" i="2"/>
  <c r="M307" i="2"/>
  <c r="L307" i="2"/>
  <c r="J307" i="2"/>
  <c r="F307" i="2"/>
  <c r="D307" i="2"/>
  <c r="C307" i="2"/>
  <c r="B307" i="2"/>
  <c r="A307" i="2"/>
  <c r="M306" i="2"/>
  <c r="L306" i="2"/>
  <c r="J306" i="2"/>
  <c r="I306" i="2"/>
  <c r="H306" i="2"/>
  <c r="F306" i="2"/>
  <c r="D306" i="2"/>
  <c r="C306" i="2"/>
  <c r="B306" i="2"/>
  <c r="A306" i="2"/>
  <c r="M305" i="2"/>
  <c r="L305" i="2"/>
  <c r="J305" i="2"/>
  <c r="I305" i="2"/>
  <c r="H305" i="2"/>
  <c r="F305" i="2"/>
  <c r="D305" i="2"/>
  <c r="C305" i="2"/>
  <c r="B305" i="2"/>
  <c r="A305" i="2"/>
  <c r="M304" i="2"/>
  <c r="L304" i="2"/>
  <c r="J304" i="2"/>
  <c r="I304" i="2"/>
  <c r="H304" i="2"/>
  <c r="F304" i="2"/>
  <c r="D304" i="2"/>
  <c r="C304" i="2"/>
  <c r="B304" i="2"/>
  <c r="A304" i="2"/>
  <c r="M303" i="2"/>
  <c r="L303" i="2"/>
  <c r="J303" i="2"/>
  <c r="I303" i="2"/>
  <c r="H303" i="2"/>
  <c r="F303" i="2"/>
  <c r="D303" i="2"/>
  <c r="C303" i="2"/>
  <c r="B303" i="2"/>
  <c r="A303" i="2"/>
  <c r="M302" i="2"/>
  <c r="L302" i="2"/>
  <c r="J302" i="2"/>
  <c r="I302" i="2"/>
  <c r="H302" i="2"/>
  <c r="F302" i="2"/>
  <c r="D302" i="2"/>
  <c r="C302" i="2"/>
  <c r="B302" i="2"/>
  <c r="A302" i="2"/>
  <c r="M301" i="2"/>
  <c r="L301" i="2"/>
  <c r="J301" i="2"/>
  <c r="I301" i="2"/>
  <c r="H301" i="2"/>
  <c r="F301" i="2"/>
  <c r="D301" i="2"/>
  <c r="C301" i="2"/>
  <c r="B301" i="2"/>
  <c r="A301" i="2"/>
  <c r="M300" i="2"/>
  <c r="L300" i="2"/>
  <c r="J300" i="2"/>
  <c r="I300" i="2"/>
  <c r="H300" i="2"/>
  <c r="F300" i="2"/>
  <c r="D300" i="2"/>
  <c r="C300" i="2"/>
  <c r="B300" i="2"/>
  <c r="A300" i="2"/>
  <c r="M299" i="2"/>
  <c r="L299" i="2"/>
  <c r="J299" i="2"/>
  <c r="I299" i="2"/>
  <c r="H299" i="2"/>
  <c r="F299" i="2"/>
  <c r="D299" i="2"/>
  <c r="C299" i="2"/>
  <c r="B299" i="2"/>
  <c r="A299" i="2"/>
  <c r="M298" i="2"/>
  <c r="L298" i="2"/>
  <c r="J298" i="2"/>
  <c r="I298" i="2"/>
  <c r="H298" i="2"/>
  <c r="F298" i="2"/>
  <c r="D298" i="2"/>
  <c r="C298" i="2"/>
  <c r="B298" i="2"/>
  <c r="A298" i="2"/>
  <c r="M297" i="2"/>
  <c r="L297" i="2"/>
  <c r="J297" i="2"/>
  <c r="I297" i="2"/>
  <c r="H297" i="2"/>
  <c r="F297" i="2"/>
  <c r="D297" i="2"/>
  <c r="C297" i="2"/>
  <c r="B297" i="2"/>
  <c r="A297" i="2"/>
  <c r="M296" i="2"/>
  <c r="L296" i="2"/>
  <c r="J296" i="2"/>
  <c r="I296" i="2"/>
  <c r="H296" i="2"/>
  <c r="F296" i="2"/>
  <c r="D296" i="2"/>
  <c r="C296" i="2"/>
  <c r="B296" i="2"/>
  <c r="A296" i="2"/>
  <c r="M295" i="2"/>
  <c r="L295" i="2"/>
  <c r="J295" i="2"/>
  <c r="F295" i="2"/>
  <c r="D295" i="2"/>
  <c r="C295" i="2"/>
  <c r="B295" i="2"/>
  <c r="A295" i="2"/>
  <c r="M294" i="2"/>
  <c r="L294" i="2"/>
  <c r="J294" i="2"/>
  <c r="F294" i="2"/>
  <c r="D294" i="2"/>
  <c r="C294" i="2"/>
  <c r="B294" i="2"/>
  <c r="A294" i="2"/>
  <c r="M293" i="2"/>
  <c r="L293" i="2"/>
  <c r="J293" i="2"/>
  <c r="I293" i="2"/>
  <c r="H293" i="2"/>
  <c r="F293" i="2"/>
  <c r="D293" i="2"/>
  <c r="C293" i="2"/>
  <c r="B293" i="2"/>
  <c r="A293" i="2"/>
  <c r="M292" i="2"/>
  <c r="L292" i="2"/>
  <c r="J292" i="2"/>
  <c r="I292" i="2"/>
  <c r="H292" i="2"/>
  <c r="F292" i="2"/>
  <c r="D292" i="2"/>
  <c r="C292" i="2"/>
  <c r="B292" i="2"/>
  <c r="A292" i="2"/>
  <c r="M291" i="2"/>
  <c r="L291" i="2"/>
  <c r="J291" i="2"/>
  <c r="I291" i="2"/>
  <c r="H291" i="2"/>
  <c r="F291" i="2"/>
  <c r="D291" i="2"/>
  <c r="C291" i="2"/>
  <c r="B291" i="2"/>
  <c r="A291" i="2"/>
  <c r="M290" i="2"/>
  <c r="L290" i="2"/>
  <c r="J290" i="2"/>
  <c r="I290" i="2"/>
  <c r="H290" i="2"/>
  <c r="F290" i="2"/>
  <c r="D290" i="2"/>
  <c r="C290" i="2"/>
  <c r="B290" i="2"/>
  <c r="A290" i="2"/>
  <c r="M289" i="2"/>
  <c r="L289" i="2"/>
  <c r="J289" i="2"/>
  <c r="I289" i="2"/>
  <c r="H289" i="2"/>
  <c r="F289" i="2"/>
  <c r="D289" i="2"/>
  <c r="C289" i="2"/>
  <c r="B289" i="2"/>
  <c r="A289" i="2"/>
  <c r="M288" i="2"/>
  <c r="L288" i="2"/>
  <c r="J288" i="2"/>
  <c r="I288" i="2"/>
  <c r="H288" i="2"/>
  <c r="F288" i="2"/>
  <c r="D288" i="2"/>
  <c r="C288" i="2"/>
  <c r="B288" i="2"/>
  <c r="A288" i="2"/>
  <c r="M287" i="2"/>
  <c r="L287" i="2"/>
  <c r="J287" i="2"/>
  <c r="I287" i="2"/>
  <c r="H287" i="2"/>
  <c r="F287" i="2"/>
  <c r="D287" i="2"/>
  <c r="C287" i="2"/>
  <c r="B287" i="2"/>
  <c r="A287" i="2"/>
  <c r="M286" i="2"/>
  <c r="L286" i="2"/>
  <c r="J286" i="2"/>
  <c r="I286" i="2"/>
  <c r="H286" i="2"/>
  <c r="F286" i="2"/>
  <c r="D286" i="2"/>
  <c r="C286" i="2"/>
  <c r="B286" i="2"/>
  <c r="A286" i="2"/>
  <c r="M285" i="2"/>
  <c r="L285" i="2"/>
  <c r="J285" i="2"/>
  <c r="I285" i="2"/>
  <c r="H285" i="2"/>
  <c r="F285" i="2"/>
  <c r="D285" i="2"/>
  <c r="C285" i="2"/>
  <c r="B285" i="2"/>
  <c r="A285" i="2"/>
  <c r="M284" i="2"/>
  <c r="L284" i="2"/>
  <c r="J284" i="2"/>
  <c r="I284" i="2"/>
  <c r="H284" i="2"/>
  <c r="F284" i="2"/>
  <c r="D284" i="2"/>
  <c r="C284" i="2"/>
  <c r="B284" i="2"/>
  <c r="A284" i="2"/>
  <c r="M283" i="2"/>
  <c r="L283" i="2"/>
  <c r="J283" i="2"/>
  <c r="I283" i="2"/>
  <c r="H283" i="2"/>
  <c r="F283" i="2"/>
  <c r="D283" i="2"/>
  <c r="C283" i="2"/>
  <c r="B283" i="2"/>
  <c r="A283" i="2"/>
  <c r="M282" i="2"/>
  <c r="L282" i="2"/>
  <c r="J282" i="2"/>
  <c r="I282" i="2"/>
  <c r="H282" i="2"/>
  <c r="F282" i="2"/>
  <c r="D282" i="2"/>
  <c r="C282" i="2"/>
  <c r="B282" i="2"/>
  <c r="A282" i="2"/>
  <c r="M281" i="2"/>
  <c r="L281" i="2"/>
  <c r="J281" i="2"/>
  <c r="I281" i="2"/>
  <c r="H281" i="2"/>
  <c r="F281" i="2"/>
  <c r="D281" i="2"/>
  <c r="C281" i="2"/>
  <c r="B281" i="2"/>
  <c r="A281" i="2"/>
  <c r="M280" i="2"/>
  <c r="L280" i="2"/>
  <c r="J280" i="2"/>
  <c r="I280" i="2"/>
  <c r="H280" i="2"/>
  <c r="F280" i="2"/>
  <c r="D280" i="2"/>
  <c r="C280" i="2"/>
  <c r="B280" i="2"/>
  <c r="A280" i="2"/>
  <c r="M279" i="2"/>
  <c r="L279" i="2"/>
  <c r="J279" i="2"/>
  <c r="I279" i="2"/>
  <c r="H279" i="2"/>
  <c r="F279" i="2"/>
  <c r="D279" i="2"/>
  <c r="C279" i="2"/>
  <c r="B279" i="2"/>
  <c r="A279" i="2"/>
  <c r="M278" i="2"/>
  <c r="L278" i="2"/>
  <c r="J278" i="2"/>
  <c r="I278" i="2"/>
  <c r="H278" i="2"/>
  <c r="F278" i="2"/>
  <c r="D278" i="2"/>
  <c r="C278" i="2"/>
  <c r="B278" i="2"/>
  <c r="A278" i="2"/>
  <c r="M277" i="2"/>
  <c r="L277" i="2"/>
  <c r="J277" i="2"/>
  <c r="I277" i="2"/>
  <c r="H277" i="2"/>
  <c r="F277" i="2"/>
  <c r="D277" i="2"/>
  <c r="C277" i="2"/>
  <c r="B277" i="2"/>
  <c r="A277" i="2"/>
  <c r="M276" i="2"/>
  <c r="L276" i="2"/>
  <c r="J276" i="2"/>
  <c r="I276" i="2"/>
  <c r="H276" i="2"/>
  <c r="F276" i="2"/>
  <c r="D276" i="2"/>
  <c r="C276" i="2"/>
  <c r="B276" i="2"/>
  <c r="A276" i="2"/>
  <c r="M275" i="2"/>
  <c r="L275" i="2"/>
  <c r="J275" i="2"/>
  <c r="I275" i="2"/>
  <c r="H275" i="2"/>
  <c r="F275" i="2"/>
  <c r="D275" i="2"/>
  <c r="C275" i="2"/>
  <c r="B275" i="2"/>
  <c r="A275" i="2"/>
  <c r="M274" i="2"/>
  <c r="L274" i="2"/>
  <c r="J274" i="2"/>
  <c r="I274" i="2"/>
  <c r="H274" i="2"/>
  <c r="F274" i="2"/>
  <c r="D274" i="2"/>
  <c r="C274" i="2"/>
  <c r="B274" i="2"/>
  <c r="A274" i="2"/>
  <c r="M273" i="2"/>
  <c r="L273" i="2"/>
  <c r="J273" i="2"/>
  <c r="I273" i="2"/>
  <c r="H273" i="2"/>
  <c r="F273" i="2"/>
  <c r="D273" i="2"/>
  <c r="C273" i="2"/>
  <c r="B273" i="2"/>
  <c r="A273" i="2"/>
  <c r="M272" i="2"/>
  <c r="L272" i="2"/>
  <c r="J272" i="2"/>
  <c r="I272" i="2"/>
  <c r="H272" i="2"/>
  <c r="F272" i="2"/>
  <c r="D272" i="2"/>
  <c r="C272" i="2"/>
  <c r="B272" i="2"/>
  <c r="A272" i="2"/>
  <c r="M271" i="2"/>
  <c r="L271" i="2"/>
  <c r="J271" i="2"/>
  <c r="I271" i="2"/>
  <c r="H271" i="2"/>
  <c r="F271" i="2"/>
  <c r="D271" i="2"/>
  <c r="C271" i="2"/>
  <c r="B271" i="2"/>
  <c r="A271" i="2"/>
  <c r="M270" i="2"/>
  <c r="L270" i="2"/>
  <c r="J270" i="2"/>
  <c r="I270" i="2"/>
  <c r="H270" i="2"/>
  <c r="F270" i="2"/>
  <c r="D270" i="2"/>
  <c r="C270" i="2"/>
  <c r="B270" i="2"/>
  <c r="A270" i="2"/>
  <c r="M269" i="2"/>
  <c r="L269" i="2"/>
  <c r="J269" i="2"/>
  <c r="F269" i="2"/>
  <c r="D269" i="2"/>
  <c r="C269" i="2"/>
  <c r="B269" i="2"/>
  <c r="A269" i="2"/>
  <c r="M268" i="2"/>
  <c r="L268" i="2"/>
  <c r="J268" i="2"/>
  <c r="F268" i="2"/>
  <c r="D268" i="2"/>
  <c r="C268" i="2"/>
  <c r="B268" i="2"/>
  <c r="A268" i="2"/>
  <c r="M267" i="2"/>
  <c r="L267" i="2"/>
  <c r="J267" i="2"/>
  <c r="F267" i="2"/>
  <c r="D267" i="2"/>
  <c r="C267" i="2"/>
  <c r="B267" i="2"/>
  <c r="A267" i="2"/>
  <c r="M266" i="2"/>
  <c r="L266" i="2"/>
  <c r="J266" i="2"/>
  <c r="F266" i="2"/>
  <c r="D266" i="2"/>
  <c r="C266" i="2"/>
  <c r="B266" i="2"/>
  <c r="A266" i="2"/>
  <c r="M265" i="2"/>
  <c r="L265" i="2"/>
  <c r="J265" i="2"/>
  <c r="F265" i="2"/>
  <c r="D265" i="2"/>
  <c r="C265" i="2"/>
  <c r="B265" i="2"/>
  <c r="A265" i="2"/>
  <c r="M264" i="2"/>
  <c r="L264" i="2"/>
  <c r="J264" i="2"/>
  <c r="F264" i="2"/>
  <c r="D264" i="2"/>
  <c r="C264" i="2"/>
  <c r="B264" i="2"/>
  <c r="A264" i="2"/>
  <c r="M263" i="2"/>
  <c r="L263" i="2"/>
  <c r="J263" i="2"/>
  <c r="F263" i="2"/>
  <c r="D263" i="2"/>
  <c r="C263" i="2"/>
  <c r="B263" i="2"/>
  <c r="A263" i="2"/>
  <c r="M262" i="2"/>
  <c r="L262" i="2"/>
  <c r="J262" i="2"/>
  <c r="F262" i="2"/>
  <c r="D262" i="2"/>
  <c r="C262" i="2"/>
  <c r="B262" i="2"/>
  <c r="A262" i="2"/>
  <c r="M261" i="2"/>
  <c r="L261" i="2"/>
  <c r="J261" i="2"/>
  <c r="F261" i="2"/>
  <c r="D261" i="2"/>
  <c r="C261" i="2"/>
  <c r="B261" i="2"/>
  <c r="A261" i="2"/>
  <c r="M260" i="2"/>
  <c r="L260" i="2"/>
  <c r="J260" i="2"/>
  <c r="F260" i="2"/>
  <c r="D260" i="2"/>
  <c r="C260" i="2"/>
  <c r="B260" i="2"/>
  <c r="A260" i="2"/>
  <c r="M259" i="2"/>
  <c r="L259" i="2"/>
  <c r="J259" i="2"/>
  <c r="I259" i="2"/>
  <c r="H259" i="2"/>
  <c r="F259" i="2"/>
  <c r="D259" i="2"/>
  <c r="C259" i="2"/>
  <c r="B259" i="2"/>
  <c r="A259" i="2"/>
  <c r="M258" i="2"/>
  <c r="L258" i="2"/>
  <c r="J258" i="2"/>
  <c r="I258" i="2"/>
  <c r="H258" i="2"/>
  <c r="F258" i="2"/>
  <c r="D258" i="2"/>
  <c r="C258" i="2"/>
  <c r="B258" i="2"/>
  <c r="A258" i="2"/>
  <c r="M257" i="2"/>
  <c r="L257" i="2"/>
  <c r="J257" i="2"/>
  <c r="I257" i="2"/>
  <c r="H257" i="2"/>
  <c r="F257" i="2"/>
  <c r="D257" i="2"/>
  <c r="C257" i="2"/>
  <c r="B257" i="2"/>
  <c r="A257" i="2"/>
  <c r="M256" i="2"/>
  <c r="L256" i="2"/>
  <c r="J256" i="2"/>
  <c r="I256" i="2"/>
  <c r="H256" i="2"/>
  <c r="F256" i="2"/>
  <c r="D256" i="2"/>
  <c r="C256" i="2"/>
  <c r="B256" i="2"/>
  <c r="A256" i="2"/>
  <c r="M255" i="2"/>
  <c r="L255" i="2"/>
  <c r="J255" i="2"/>
  <c r="I255" i="2"/>
  <c r="H255" i="2"/>
  <c r="F255" i="2"/>
  <c r="D255" i="2"/>
  <c r="C255" i="2"/>
  <c r="B255" i="2"/>
  <c r="A255" i="2"/>
  <c r="M254" i="2"/>
  <c r="L254" i="2"/>
  <c r="J254" i="2"/>
  <c r="I254" i="2"/>
  <c r="H254" i="2"/>
  <c r="F254" i="2"/>
  <c r="D254" i="2"/>
  <c r="C254" i="2"/>
  <c r="B254" i="2"/>
  <c r="A254" i="2"/>
  <c r="M253" i="2"/>
  <c r="L253" i="2"/>
  <c r="J253" i="2"/>
  <c r="I253" i="2"/>
  <c r="H253" i="2"/>
  <c r="F253" i="2"/>
  <c r="D253" i="2"/>
  <c r="C253" i="2"/>
  <c r="B253" i="2"/>
  <c r="A253" i="2"/>
  <c r="M252" i="2"/>
  <c r="L252" i="2"/>
  <c r="J252" i="2"/>
  <c r="I252" i="2"/>
  <c r="H252" i="2"/>
  <c r="F252" i="2"/>
  <c r="D252" i="2"/>
  <c r="C252" i="2"/>
  <c r="B252" i="2"/>
  <c r="A252" i="2"/>
  <c r="M251" i="2"/>
  <c r="L251" i="2"/>
  <c r="J251" i="2"/>
  <c r="I251" i="2"/>
  <c r="H251" i="2"/>
  <c r="F251" i="2"/>
  <c r="D251" i="2"/>
  <c r="C251" i="2"/>
  <c r="B251" i="2"/>
  <c r="A251" i="2"/>
  <c r="M250" i="2"/>
  <c r="L250" i="2"/>
  <c r="J250" i="2"/>
  <c r="I250" i="2"/>
  <c r="H250" i="2"/>
  <c r="F250" i="2"/>
  <c r="D250" i="2"/>
  <c r="C250" i="2"/>
  <c r="B250" i="2"/>
  <c r="A250" i="2"/>
  <c r="M249" i="2"/>
  <c r="L249" i="2"/>
  <c r="J249" i="2"/>
  <c r="I249" i="2"/>
  <c r="H249" i="2"/>
  <c r="F249" i="2"/>
  <c r="D249" i="2"/>
  <c r="C249" i="2"/>
  <c r="B249" i="2"/>
  <c r="A249" i="2"/>
  <c r="M248" i="2"/>
  <c r="L248" i="2"/>
  <c r="J248" i="2"/>
  <c r="I248" i="2"/>
  <c r="H248" i="2"/>
  <c r="F248" i="2"/>
  <c r="D248" i="2"/>
  <c r="C248" i="2"/>
  <c r="B248" i="2"/>
  <c r="A248" i="2"/>
  <c r="M247" i="2"/>
  <c r="L247" i="2"/>
  <c r="J247" i="2"/>
  <c r="I247" i="2"/>
  <c r="H247" i="2"/>
  <c r="F247" i="2"/>
  <c r="D247" i="2"/>
  <c r="C247" i="2"/>
  <c r="B247" i="2"/>
  <c r="A247" i="2"/>
  <c r="M246" i="2"/>
  <c r="L246" i="2"/>
  <c r="J246" i="2"/>
  <c r="F246" i="2"/>
  <c r="D246" i="2"/>
  <c r="C246" i="2"/>
  <c r="B246" i="2"/>
  <c r="A246" i="2"/>
  <c r="M245" i="2"/>
  <c r="L245" i="2"/>
  <c r="J245" i="2"/>
  <c r="F245" i="2"/>
  <c r="D245" i="2"/>
  <c r="C245" i="2"/>
  <c r="B245" i="2"/>
  <c r="A245" i="2"/>
  <c r="M244" i="2"/>
  <c r="L244" i="2"/>
  <c r="J244" i="2"/>
  <c r="F244" i="2"/>
  <c r="D244" i="2"/>
  <c r="C244" i="2"/>
  <c r="B244" i="2"/>
  <c r="A244" i="2"/>
  <c r="M243" i="2"/>
  <c r="L243" i="2"/>
  <c r="J243" i="2"/>
  <c r="F243" i="2"/>
  <c r="D243" i="2"/>
  <c r="C243" i="2"/>
  <c r="B243" i="2"/>
  <c r="A243" i="2"/>
  <c r="M242" i="2"/>
  <c r="L242" i="2"/>
  <c r="J242" i="2"/>
  <c r="F242" i="2"/>
  <c r="D242" i="2"/>
  <c r="C242" i="2"/>
  <c r="B242" i="2"/>
  <c r="A242" i="2"/>
  <c r="M241" i="2"/>
  <c r="L241" i="2"/>
  <c r="J241" i="2"/>
  <c r="F241" i="2"/>
  <c r="D241" i="2"/>
  <c r="C241" i="2"/>
  <c r="B241" i="2"/>
  <c r="A241" i="2"/>
  <c r="M240" i="2"/>
  <c r="L240" i="2"/>
  <c r="J240" i="2"/>
  <c r="F240" i="2"/>
  <c r="D240" i="2"/>
  <c r="C240" i="2"/>
  <c r="B240" i="2"/>
  <c r="A240" i="2"/>
  <c r="M239" i="2"/>
  <c r="L239" i="2"/>
  <c r="J239" i="2"/>
  <c r="F239" i="2"/>
  <c r="D239" i="2"/>
  <c r="C239" i="2"/>
  <c r="B239" i="2"/>
  <c r="A239" i="2"/>
  <c r="M238" i="2"/>
  <c r="L238" i="2"/>
  <c r="J238" i="2"/>
  <c r="F238" i="2"/>
  <c r="D238" i="2"/>
  <c r="C238" i="2"/>
  <c r="B238" i="2"/>
  <c r="A238" i="2"/>
  <c r="M237" i="2"/>
  <c r="L237" i="2"/>
  <c r="J237" i="2"/>
  <c r="F237" i="2"/>
  <c r="D237" i="2"/>
  <c r="C237" i="2"/>
  <c r="B237" i="2"/>
  <c r="A237" i="2"/>
  <c r="M236" i="2"/>
  <c r="L236" i="2"/>
  <c r="J236" i="2"/>
  <c r="F236" i="2"/>
  <c r="D236" i="2"/>
  <c r="C236" i="2"/>
  <c r="B236" i="2"/>
  <c r="A236" i="2"/>
  <c r="M235" i="2"/>
  <c r="L235" i="2"/>
  <c r="J235" i="2"/>
  <c r="F235" i="2"/>
  <c r="D235" i="2"/>
  <c r="C235" i="2"/>
  <c r="B235" i="2"/>
  <c r="A235" i="2"/>
  <c r="M234" i="2"/>
  <c r="L234" i="2"/>
  <c r="J234" i="2"/>
  <c r="F234" i="2"/>
  <c r="D234" i="2"/>
  <c r="C234" i="2"/>
  <c r="B234" i="2"/>
  <c r="A234" i="2"/>
  <c r="M233" i="2"/>
  <c r="L233" i="2"/>
  <c r="J233" i="2"/>
  <c r="F233" i="2"/>
  <c r="D233" i="2"/>
  <c r="C233" i="2"/>
  <c r="B233" i="2"/>
  <c r="A233" i="2"/>
  <c r="M232" i="2"/>
  <c r="L232" i="2"/>
  <c r="J232" i="2"/>
  <c r="F232" i="2"/>
  <c r="D232" i="2"/>
  <c r="C232" i="2"/>
  <c r="B232" i="2"/>
  <c r="A232" i="2"/>
  <c r="M231" i="2"/>
  <c r="L231" i="2"/>
  <c r="F231" i="2"/>
  <c r="D231" i="2"/>
  <c r="C231" i="2"/>
  <c r="B231" i="2"/>
  <c r="A231" i="2"/>
  <c r="M230" i="2"/>
  <c r="L230" i="2"/>
  <c r="H230" i="2"/>
  <c r="F230" i="2"/>
  <c r="D230" i="2"/>
  <c r="C230" i="2"/>
  <c r="B230" i="2"/>
  <c r="A230" i="2"/>
  <c r="M229" i="2"/>
  <c r="L229" i="2"/>
  <c r="H229" i="2"/>
  <c r="F229" i="2"/>
  <c r="D229" i="2"/>
  <c r="C229" i="2"/>
  <c r="B229" i="2"/>
  <c r="A229" i="2"/>
  <c r="M228" i="2"/>
  <c r="L228" i="2"/>
  <c r="H228" i="2"/>
  <c r="F228" i="2"/>
  <c r="D228" i="2"/>
  <c r="C228" i="2"/>
  <c r="B228" i="2"/>
  <c r="A228" i="2"/>
  <c r="M227" i="2"/>
  <c r="L227" i="2"/>
  <c r="H227" i="2"/>
  <c r="F227" i="2"/>
  <c r="D227" i="2"/>
  <c r="C227" i="2"/>
  <c r="B227" i="2"/>
  <c r="A227" i="2"/>
  <c r="M226" i="2"/>
  <c r="L226" i="2"/>
  <c r="H226" i="2"/>
  <c r="F226" i="2"/>
  <c r="D226" i="2"/>
  <c r="C226" i="2"/>
  <c r="B226" i="2"/>
  <c r="A226" i="2"/>
  <c r="M225" i="2"/>
  <c r="L225" i="2"/>
  <c r="H225" i="2"/>
  <c r="F225" i="2"/>
  <c r="D225" i="2"/>
  <c r="C225" i="2"/>
  <c r="B225" i="2"/>
  <c r="A225" i="2"/>
  <c r="M224" i="2"/>
  <c r="L224" i="2"/>
  <c r="H224" i="2"/>
  <c r="F224" i="2"/>
  <c r="D224" i="2"/>
  <c r="C224" i="2"/>
  <c r="B224" i="2"/>
  <c r="A224" i="2"/>
  <c r="M223" i="2"/>
  <c r="L223" i="2"/>
  <c r="H223" i="2"/>
  <c r="F223" i="2"/>
  <c r="D223" i="2"/>
  <c r="C223" i="2"/>
  <c r="B223" i="2"/>
  <c r="A223" i="2"/>
  <c r="M222" i="2"/>
  <c r="L222" i="2"/>
  <c r="I222" i="2"/>
  <c r="H222" i="2"/>
  <c r="F222" i="2"/>
  <c r="D222" i="2"/>
  <c r="C222" i="2"/>
  <c r="B222" i="2"/>
  <c r="A222" i="2"/>
  <c r="M221" i="2"/>
  <c r="L221" i="2"/>
  <c r="H221" i="2"/>
  <c r="F221" i="2"/>
  <c r="D221" i="2"/>
  <c r="C221" i="2"/>
  <c r="B221" i="2"/>
  <c r="A221" i="2"/>
  <c r="M220" i="2"/>
  <c r="L220" i="2"/>
  <c r="H220" i="2"/>
  <c r="F220" i="2"/>
  <c r="D220" i="2"/>
  <c r="C220" i="2"/>
  <c r="B220" i="2"/>
  <c r="A220" i="2"/>
  <c r="M219" i="2"/>
  <c r="L219" i="2"/>
  <c r="K219" i="2"/>
  <c r="J219" i="2"/>
  <c r="I219" i="2"/>
  <c r="H219" i="2"/>
  <c r="F219" i="2"/>
  <c r="D219" i="2"/>
  <c r="C219" i="2"/>
  <c r="B219" i="2"/>
  <c r="A219" i="2"/>
  <c r="M218" i="2"/>
  <c r="L218" i="2"/>
  <c r="K218" i="2"/>
  <c r="I218" i="2"/>
  <c r="H218" i="2"/>
  <c r="F218" i="2"/>
  <c r="C218" i="2"/>
  <c r="B218" i="2"/>
  <c r="A218" i="2"/>
  <c r="M217" i="2"/>
  <c r="L217" i="2"/>
  <c r="J217" i="2"/>
  <c r="I217" i="2"/>
  <c r="H217" i="2"/>
  <c r="F217" i="2"/>
  <c r="C217" i="2"/>
  <c r="B217" i="2"/>
  <c r="A217" i="2"/>
  <c r="M216" i="2"/>
  <c r="L216" i="2"/>
  <c r="J216" i="2"/>
  <c r="I216" i="2"/>
  <c r="H216" i="2"/>
  <c r="F216" i="2"/>
  <c r="C216" i="2"/>
  <c r="B216" i="2"/>
  <c r="A216" i="2"/>
  <c r="M215" i="2"/>
  <c r="L215" i="2"/>
  <c r="J215" i="2"/>
  <c r="I215" i="2"/>
  <c r="H215" i="2"/>
  <c r="F215" i="2"/>
  <c r="C215" i="2"/>
  <c r="B215" i="2"/>
  <c r="A215" i="2"/>
  <c r="M214" i="2"/>
  <c r="L214" i="2"/>
  <c r="J214" i="2"/>
  <c r="I214" i="2"/>
  <c r="H214" i="2"/>
  <c r="F214" i="2"/>
  <c r="C214" i="2"/>
  <c r="B214" i="2"/>
  <c r="A214" i="2"/>
  <c r="M213" i="2"/>
  <c r="L213" i="2"/>
  <c r="K213" i="2"/>
  <c r="J213" i="2"/>
  <c r="I213" i="2"/>
  <c r="H213" i="2"/>
  <c r="G213" i="2"/>
  <c r="F213" i="2"/>
  <c r="D213" i="2"/>
  <c r="C213" i="2"/>
  <c r="B213" i="2"/>
  <c r="A213" i="2"/>
  <c r="M212" i="2"/>
  <c r="L212" i="2"/>
  <c r="K212" i="2"/>
  <c r="J212" i="2"/>
  <c r="I212" i="2"/>
  <c r="H212" i="2"/>
  <c r="G212" i="2"/>
  <c r="F212" i="2"/>
  <c r="D212" i="2"/>
  <c r="C212" i="2"/>
  <c r="B212" i="2"/>
  <c r="A212" i="2"/>
  <c r="M211" i="2"/>
  <c r="L211" i="2"/>
  <c r="K211" i="2"/>
  <c r="J211" i="2"/>
  <c r="I211" i="2"/>
  <c r="H211" i="2"/>
  <c r="G211" i="2"/>
  <c r="F211" i="2"/>
  <c r="D211" i="2"/>
  <c r="C211" i="2"/>
  <c r="B211" i="2"/>
  <c r="A211" i="2"/>
  <c r="M210" i="2"/>
  <c r="L210" i="2"/>
  <c r="K210" i="2"/>
  <c r="J210" i="2"/>
  <c r="I210" i="2"/>
  <c r="H210" i="2"/>
  <c r="G210" i="2"/>
  <c r="F210" i="2"/>
  <c r="D210" i="2"/>
  <c r="C210" i="2"/>
  <c r="B210" i="2"/>
  <c r="A210" i="2"/>
  <c r="M209" i="2"/>
  <c r="L209" i="2"/>
  <c r="K209" i="2"/>
  <c r="J209" i="2"/>
  <c r="I209" i="2"/>
  <c r="H209" i="2"/>
  <c r="G209" i="2"/>
  <c r="F209" i="2"/>
  <c r="D209" i="2"/>
  <c r="C209" i="2"/>
  <c r="B209" i="2"/>
  <c r="A209" i="2"/>
  <c r="M208" i="2"/>
  <c r="L208" i="2"/>
  <c r="K208" i="2"/>
  <c r="J208" i="2"/>
  <c r="I208" i="2"/>
  <c r="H208" i="2"/>
  <c r="G208" i="2"/>
  <c r="F208" i="2"/>
  <c r="D208" i="2"/>
  <c r="C208" i="2"/>
  <c r="B208" i="2"/>
  <c r="A208" i="2"/>
  <c r="M207" i="2"/>
  <c r="L207" i="2"/>
  <c r="K207" i="2"/>
  <c r="J207" i="2"/>
  <c r="I207" i="2"/>
  <c r="H207" i="2"/>
  <c r="G207" i="2"/>
  <c r="F207" i="2"/>
  <c r="D207" i="2"/>
  <c r="C207" i="2"/>
  <c r="B207" i="2"/>
  <c r="A207" i="2"/>
  <c r="M206" i="2"/>
  <c r="L206" i="2"/>
  <c r="K206" i="2"/>
  <c r="J206" i="2"/>
  <c r="I206" i="2"/>
  <c r="H206" i="2"/>
  <c r="G206" i="2"/>
  <c r="F206" i="2"/>
  <c r="D206" i="2"/>
  <c r="C206" i="2"/>
  <c r="B206" i="2"/>
  <c r="A206" i="2"/>
  <c r="M205" i="2"/>
  <c r="L205" i="2"/>
  <c r="K205" i="2"/>
  <c r="J205" i="2"/>
  <c r="I205" i="2"/>
  <c r="H205" i="2"/>
  <c r="G205" i="2"/>
  <c r="F205" i="2"/>
  <c r="D205" i="2"/>
  <c r="C205" i="2"/>
  <c r="B205" i="2"/>
  <c r="A205" i="2"/>
  <c r="M204" i="2"/>
  <c r="L204" i="2"/>
  <c r="K204" i="2"/>
  <c r="J204" i="2"/>
  <c r="I204" i="2"/>
  <c r="H204" i="2"/>
  <c r="G204" i="2"/>
  <c r="F204" i="2"/>
  <c r="D204" i="2"/>
  <c r="C204" i="2"/>
  <c r="B204" i="2"/>
  <c r="A204" i="2"/>
  <c r="M203" i="2"/>
  <c r="L203" i="2"/>
  <c r="K203" i="2"/>
  <c r="J203" i="2"/>
  <c r="I203" i="2"/>
  <c r="H203" i="2"/>
  <c r="G203" i="2"/>
  <c r="F203" i="2"/>
  <c r="D203" i="2"/>
  <c r="C203" i="2"/>
  <c r="B203" i="2"/>
  <c r="A203" i="2"/>
  <c r="M202" i="2"/>
  <c r="L202" i="2"/>
  <c r="K202" i="2"/>
  <c r="J202" i="2"/>
  <c r="I202" i="2"/>
  <c r="H202" i="2"/>
  <c r="G202" i="2"/>
  <c r="F202" i="2"/>
  <c r="D202" i="2"/>
  <c r="C202" i="2"/>
  <c r="B202" i="2"/>
  <c r="A202" i="2"/>
  <c r="M201" i="2"/>
  <c r="L201" i="2"/>
  <c r="K201" i="2"/>
  <c r="J201" i="2"/>
  <c r="I201" i="2"/>
  <c r="H201" i="2"/>
  <c r="G201" i="2"/>
  <c r="F201" i="2"/>
  <c r="D201" i="2"/>
  <c r="C201" i="2"/>
  <c r="B201" i="2"/>
  <c r="A201" i="2"/>
  <c r="M200" i="2"/>
  <c r="L200" i="2"/>
  <c r="K200" i="2"/>
  <c r="J200" i="2"/>
  <c r="I200" i="2"/>
  <c r="H200" i="2"/>
  <c r="G200" i="2"/>
  <c r="F200" i="2"/>
  <c r="D200" i="2"/>
  <c r="C200" i="2"/>
  <c r="B200" i="2"/>
  <c r="A200" i="2"/>
  <c r="M199" i="2"/>
  <c r="L199" i="2"/>
  <c r="K199" i="2"/>
  <c r="J199" i="2"/>
  <c r="I199" i="2"/>
  <c r="H199" i="2"/>
  <c r="G199" i="2"/>
  <c r="F199" i="2"/>
  <c r="D199" i="2"/>
  <c r="C199" i="2"/>
  <c r="B199" i="2"/>
  <c r="A199" i="2"/>
  <c r="M198" i="2"/>
  <c r="L198" i="2"/>
  <c r="K198" i="2"/>
  <c r="J198" i="2"/>
  <c r="I198" i="2"/>
  <c r="H198" i="2"/>
  <c r="G198" i="2"/>
  <c r="F198" i="2"/>
  <c r="D198" i="2"/>
  <c r="C198" i="2"/>
  <c r="B198" i="2"/>
  <c r="A198" i="2"/>
  <c r="M197" i="2"/>
  <c r="L197" i="2"/>
  <c r="K197" i="2"/>
  <c r="J197" i="2"/>
  <c r="I197" i="2"/>
  <c r="H197" i="2"/>
  <c r="F197" i="2"/>
  <c r="D197" i="2"/>
  <c r="C197" i="2"/>
  <c r="B197" i="2"/>
  <c r="A197" i="2"/>
  <c r="M196" i="2"/>
  <c r="L196" i="2"/>
  <c r="K196" i="2"/>
  <c r="J196" i="2"/>
  <c r="I196" i="2"/>
  <c r="H196" i="2"/>
  <c r="F196" i="2"/>
  <c r="D196" i="2"/>
  <c r="C196" i="2"/>
  <c r="B196" i="2"/>
  <c r="A196" i="2"/>
  <c r="M195" i="2"/>
  <c r="L195" i="2"/>
  <c r="J195" i="2"/>
  <c r="I195" i="2"/>
  <c r="H195" i="2"/>
  <c r="F195" i="2"/>
  <c r="C195" i="2"/>
  <c r="B195" i="2"/>
  <c r="A195" i="2"/>
  <c r="M194" i="2"/>
  <c r="L194" i="2"/>
  <c r="J194" i="2"/>
  <c r="I194" i="2"/>
  <c r="H194" i="2"/>
  <c r="F194" i="2"/>
  <c r="C194" i="2"/>
  <c r="B194" i="2"/>
  <c r="A194" i="2"/>
  <c r="M193" i="2"/>
  <c r="L193" i="2"/>
  <c r="J193" i="2"/>
  <c r="I193" i="2"/>
  <c r="H193" i="2"/>
  <c r="F193" i="2"/>
  <c r="C193" i="2"/>
  <c r="B193" i="2"/>
  <c r="A193" i="2"/>
  <c r="M192" i="2"/>
  <c r="L192" i="2"/>
  <c r="J192" i="2"/>
  <c r="I192" i="2"/>
  <c r="H192" i="2"/>
  <c r="F192" i="2"/>
  <c r="C192" i="2"/>
  <c r="B192" i="2"/>
  <c r="A192" i="2"/>
  <c r="M191" i="2"/>
  <c r="L191" i="2"/>
  <c r="J191" i="2"/>
  <c r="I191" i="2"/>
  <c r="H191" i="2"/>
  <c r="F191" i="2"/>
  <c r="C191" i="2"/>
  <c r="B191" i="2"/>
  <c r="A191" i="2"/>
  <c r="M190" i="2"/>
  <c r="L190" i="2"/>
  <c r="I190" i="2"/>
  <c r="H190" i="2"/>
  <c r="F190" i="2"/>
  <c r="C190" i="2"/>
  <c r="B190" i="2"/>
  <c r="A190" i="2"/>
  <c r="M189" i="2"/>
  <c r="L189" i="2"/>
  <c r="I189" i="2"/>
  <c r="H189" i="2"/>
  <c r="F189" i="2"/>
  <c r="C189" i="2"/>
  <c r="B189" i="2"/>
  <c r="A189" i="2"/>
  <c r="M188" i="2"/>
  <c r="L188" i="2"/>
  <c r="J188" i="2"/>
  <c r="I188" i="2"/>
  <c r="H188" i="2"/>
  <c r="F188" i="2"/>
  <c r="C188" i="2"/>
  <c r="B188" i="2"/>
  <c r="A188" i="2"/>
  <c r="M187" i="2"/>
  <c r="L187" i="2"/>
  <c r="J187" i="2"/>
  <c r="I187" i="2"/>
  <c r="H187" i="2"/>
  <c r="F187" i="2"/>
  <c r="C187" i="2"/>
  <c r="B187" i="2"/>
  <c r="A187" i="2"/>
  <c r="M186" i="2"/>
  <c r="L186" i="2"/>
  <c r="J186" i="2"/>
  <c r="I186" i="2"/>
  <c r="H186" i="2"/>
  <c r="F186" i="2"/>
  <c r="C186" i="2"/>
  <c r="B186" i="2"/>
  <c r="A186" i="2"/>
  <c r="M185" i="2"/>
  <c r="L185" i="2"/>
  <c r="J185" i="2"/>
  <c r="I185" i="2"/>
  <c r="H185" i="2"/>
  <c r="F185" i="2"/>
  <c r="C185" i="2"/>
  <c r="B185" i="2"/>
  <c r="A185" i="2"/>
  <c r="M184" i="2"/>
  <c r="L184" i="2"/>
  <c r="J184" i="2"/>
  <c r="I184" i="2"/>
  <c r="H184" i="2"/>
  <c r="F184" i="2"/>
  <c r="C184" i="2"/>
  <c r="B184" i="2"/>
  <c r="A184" i="2"/>
  <c r="M183" i="2"/>
  <c r="L183" i="2"/>
  <c r="J183" i="2"/>
  <c r="I183" i="2"/>
  <c r="H183" i="2"/>
  <c r="F183" i="2"/>
  <c r="C183" i="2"/>
  <c r="B183" i="2"/>
  <c r="A183" i="2"/>
  <c r="M182" i="2"/>
  <c r="L182" i="2"/>
  <c r="J182" i="2"/>
  <c r="I182" i="2"/>
  <c r="H182" i="2"/>
  <c r="F182" i="2"/>
  <c r="C182" i="2"/>
  <c r="B182" i="2"/>
  <c r="A182" i="2"/>
  <c r="M181" i="2"/>
  <c r="L181" i="2"/>
  <c r="J181" i="2"/>
  <c r="I181" i="2"/>
  <c r="H181" i="2"/>
  <c r="F181" i="2"/>
  <c r="C181" i="2"/>
  <c r="B181" i="2"/>
  <c r="A181" i="2"/>
  <c r="M180" i="2"/>
  <c r="L180" i="2"/>
  <c r="J180" i="2"/>
  <c r="I180" i="2"/>
  <c r="H180" i="2"/>
  <c r="F180" i="2"/>
  <c r="C180" i="2"/>
  <c r="B180" i="2"/>
  <c r="A180" i="2"/>
  <c r="M179" i="2"/>
  <c r="L179" i="2"/>
  <c r="J179" i="2"/>
  <c r="I179" i="2"/>
  <c r="H179" i="2"/>
  <c r="F179" i="2"/>
  <c r="C179" i="2"/>
  <c r="B179" i="2"/>
  <c r="A179" i="2"/>
  <c r="M178" i="2"/>
  <c r="L178" i="2"/>
  <c r="J178" i="2"/>
  <c r="I178" i="2"/>
  <c r="H178" i="2"/>
  <c r="F178" i="2"/>
  <c r="C178" i="2"/>
  <c r="B178" i="2"/>
  <c r="A178" i="2"/>
  <c r="M177" i="2"/>
  <c r="L177" i="2"/>
  <c r="J177" i="2"/>
  <c r="I177" i="2"/>
  <c r="H177" i="2"/>
  <c r="F177" i="2"/>
  <c r="C177" i="2"/>
  <c r="B177" i="2"/>
  <c r="A177" i="2"/>
  <c r="M176" i="2"/>
  <c r="L176" i="2"/>
  <c r="J176" i="2"/>
  <c r="I176" i="2"/>
  <c r="H176" i="2"/>
  <c r="F176" i="2"/>
  <c r="C176" i="2"/>
  <c r="B176" i="2"/>
  <c r="A176" i="2"/>
  <c r="M175" i="2"/>
  <c r="L175" i="2"/>
  <c r="J175" i="2"/>
  <c r="I175" i="2"/>
  <c r="H175" i="2"/>
  <c r="F175" i="2"/>
  <c r="C175" i="2"/>
  <c r="B175" i="2"/>
  <c r="A175" i="2"/>
  <c r="M174" i="2"/>
  <c r="L174" i="2"/>
  <c r="J174" i="2"/>
  <c r="I174" i="2"/>
  <c r="H174" i="2"/>
  <c r="F174" i="2"/>
  <c r="C174" i="2"/>
  <c r="B174" i="2"/>
  <c r="A174" i="2"/>
  <c r="M173" i="2"/>
  <c r="L173" i="2"/>
  <c r="J173" i="2"/>
  <c r="I173" i="2"/>
  <c r="H173" i="2"/>
  <c r="F173" i="2"/>
  <c r="C173" i="2"/>
  <c r="B173" i="2"/>
  <c r="A173" i="2"/>
  <c r="M172" i="2"/>
  <c r="L172" i="2"/>
  <c r="J172" i="2"/>
  <c r="I172" i="2"/>
  <c r="H172" i="2"/>
  <c r="F172" i="2"/>
  <c r="C172" i="2"/>
  <c r="B172" i="2"/>
  <c r="A172" i="2"/>
  <c r="M171" i="2"/>
  <c r="L171" i="2"/>
  <c r="J171" i="2"/>
  <c r="I171" i="2"/>
  <c r="H171" i="2"/>
  <c r="F171" i="2"/>
  <c r="C171" i="2"/>
  <c r="B171" i="2"/>
  <c r="A171" i="2"/>
  <c r="M170" i="2"/>
  <c r="L170" i="2"/>
  <c r="J170" i="2"/>
  <c r="I170" i="2"/>
  <c r="H170" i="2"/>
  <c r="F170" i="2"/>
  <c r="C170" i="2"/>
  <c r="B170" i="2"/>
  <c r="A170" i="2"/>
  <c r="M169" i="2"/>
  <c r="L169" i="2"/>
  <c r="J169" i="2"/>
  <c r="I169" i="2"/>
  <c r="H169" i="2"/>
  <c r="F169" i="2"/>
  <c r="C169" i="2"/>
  <c r="B169" i="2"/>
  <c r="A169" i="2"/>
  <c r="M168" i="2"/>
  <c r="L168" i="2"/>
  <c r="J168" i="2"/>
  <c r="I168" i="2"/>
  <c r="H168" i="2"/>
  <c r="F168" i="2"/>
  <c r="C168" i="2"/>
  <c r="B168" i="2"/>
  <c r="A168" i="2"/>
  <c r="M167" i="2"/>
  <c r="L167" i="2"/>
  <c r="J167" i="2"/>
  <c r="I167" i="2"/>
  <c r="H167" i="2"/>
  <c r="F167" i="2"/>
  <c r="C167" i="2"/>
  <c r="B167" i="2"/>
  <c r="A167" i="2"/>
  <c r="M166" i="2"/>
  <c r="L166" i="2"/>
  <c r="J166" i="2"/>
  <c r="I166" i="2"/>
  <c r="H166" i="2"/>
  <c r="F166" i="2"/>
  <c r="C166" i="2"/>
  <c r="B166" i="2"/>
  <c r="A166" i="2"/>
  <c r="M165" i="2"/>
  <c r="L165" i="2"/>
  <c r="J165" i="2"/>
  <c r="I165" i="2"/>
  <c r="H165" i="2"/>
  <c r="F165" i="2"/>
  <c r="C165" i="2"/>
  <c r="B165" i="2"/>
  <c r="A165" i="2"/>
  <c r="M164" i="2"/>
  <c r="L164" i="2"/>
  <c r="J164" i="2"/>
  <c r="I164" i="2"/>
  <c r="H164" i="2"/>
  <c r="F164" i="2"/>
  <c r="C164" i="2"/>
  <c r="B164" i="2"/>
  <c r="A164" i="2"/>
  <c r="M163" i="2"/>
  <c r="L163" i="2"/>
  <c r="J163" i="2"/>
  <c r="I163" i="2"/>
  <c r="H163" i="2"/>
  <c r="F163" i="2"/>
  <c r="C163" i="2"/>
  <c r="B163" i="2"/>
  <c r="A163" i="2"/>
  <c r="M162" i="2"/>
  <c r="L162" i="2"/>
  <c r="J162" i="2"/>
  <c r="I162" i="2"/>
  <c r="H162" i="2"/>
  <c r="F162" i="2"/>
  <c r="C162" i="2"/>
  <c r="B162" i="2"/>
  <c r="A162" i="2"/>
  <c r="M161" i="2"/>
  <c r="L161" i="2"/>
  <c r="J161" i="2"/>
  <c r="I161" i="2"/>
  <c r="H161" i="2"/>
  <c r="F161" i="2"/>
  <c r="C161" i="2"/>
  <c r="B161" i="2"/>
  <c r="A161" i="2"/>
  <c r="M160" i="2"/>
  <c r="L160" i="2"/>
  <c r="J160" i="2"/>
  <c r="I160" i="2"/>
  <c r="H160" i="2"/>
  <c r="F160" i="2"/>
  <c r="C160" i="2"/>
  <c r="B160" i="2"/>
  <c r="A160" i="2"/>
  <c r="M159" i="2"/>
  <c r="L159" i="2"/>
  <c r="J159" i="2"/>
  <c r="I159" i="2"/>
  <c r="H159" i="2"/>
  <c r="F159" i="2"/>
  <c r="C159" i="2"/>
  <c r="B159" i="2"/>
  <c r="A159" i="2"/>
  <c r="M158" i="2"/>
  <c r="L158" i="2"/>
  <c r="J158" i="2"/>
  <c r="I158" i="2"/>
  <c r="H158" i="2"/>
  <c r="F158" i="2"/>
  <c r="C158" i="2"/>
  <c r="B158" i="2"/>
  <c r="A158" i="2"/>
  <c r="M157" i="2"/>
  <c r="L157" i="2"/>
  <c r="J157" i="2"/>
  <c r="I157" i="2"/>
  <c r="H157" i="2"/>
  <c r="F157" i="2"/>
  <c r="C157" i="2"/>
  <c r="B157" i="2"/>
  <c r="A157" i="2"/>
  <c r="M156" i="2"/>
  <c r="L156" i="2"/>
  <c r="J156" i="2"/>
  <c r="I156" i="2"/>
  <c r="H156" i="2"/>
  <c r="F156" i="2"/>
  <c r="C156" i="2"/>
  <c r="B156" i="2"/>
  <c r="A156" i="2"/>
  <c r="M155" i="2"/>
  <c r="L155" i="2"/>
  <c r="J155" i="2"/>
  <c r="I155" i="2"/>
  <c r="H155" i="2"/>
  <c r="F155" i="2"/>
  <c r="C155" i="2"/>
  <c r="B155" i="2"/>
  <c r="A155" i="2"/>
  <c r="M154" i="2"/>
  <c r="L154" i="2"/>
  <c r="J154" i="2"/>
  <c r="I154" i="2"/>
  <c r="H154" i="2"/>
  <c r="F154" i="2"/>
  <c r="C154" i="2"/>
  <c r="B154" i="2"/>
  <c r="A154" i="2"/>
  <c r="M153" i="2"/>
  <c r="L153" i="2"/>
  <c r="J153" i="2"/>
  <c r="I153" i="2"/>
  <c r="H153" i="2"/>
  <c r="F153" i="2"/>
  <c r="C153" i="2"/>
  <c r="B153" i="2"/>
  <c r="A153" i="2"/>
  <c r="M152" i="2"/>
  <c r="L152" i="2"/>
  <c r="J152" i="2"/>
  <c r="I152" i="2"/>
  <c r="H152" i="2"/>
  <c r="F152" i="2"/>
  <c r="C152" i="2"/>
  <c r="B152" i="2"/>
  <c r="A152" i="2"/>
  <c r="M151" i="2"/>
  <c r="L151" i="2"/>
  <c r="J151" i="2"/>
  <c r="I151" i="2"/>
  <c r="H151" i="2"/>
  <c r="F151" i="2"/>
  <c r="C151" i="2"/>
  <c r="B151" i="2"/>
  <c r="A151" i="2"/>
  <c r="M150" i="2"/>
  <c r="L150" i="2"/>
  <c r="J150" i="2"/>
  <c r="I150" i="2"/>
  <c r="H150" i="2"/>
  <c r="F150" i="2"/>
  <c r="C150" i="2"/>
  <c r="B150" i="2"/>
  <c r="A150" i="2"/>
  <c r="M149" i="2"/>
  <c r="L149" i="2"/>
  <c r="J149" i="2"/>
  <c r="I149" i="2"/>
  <c r="H149" i="2"/>
  <c r="F149" i="2"/>
  <c r="C149" i="2"/>
  <c r="B149" i="2"/>
  <c r="A149" i="2"/>
  <c r="M148" i="2"/>
  <c r="L148" i="2"/>
  <c r="J148" i="2"/>
  <c r="I148" i="2"/>
  <c r="H148" i="2"/>
  <c r="F148" i="2"/>
  <c r="C148" i="2"/>
  <c r="B148" i="2"/>
  <c r="A148" i="2"/>
  <c r="M147" i="2"/>
  <c r="L147" i="2"/>
  <c r="J147" i="2"/>
  <c r="I147" i="2"/>
  <c r="H147" i="2"/>
  <c r="F147" i="2"/>
  <c r="C147" i="2"/>
  <c r="B147" i="2"/>
  <c r="A147" i="2"/>
  <c r="M146" i="2"/>
  <c r="L146" i="2"/>
  <c r="J146" i="2"/>
  <c r="I146" i="2"/>
  <c r="H146" i="2"/>
  <c r="F146" i="2"/>
  <c r="C146" i="2"/>
  <c r="B146" i="2"/>
  <c r="A146" i="2"/>
  <c r="M145" i="2"/>
  <c r="L145" i="2"/>
  <c r="J145" i="2"/>
  <c r="I145" i="2"/>
  <c r="H145" i="2"/>
  <c r="F145" i="2"/>
  <c r="C145" i="2"/>
  <c r="B145" i="2"/>
  <c r="A145" i="2"/>
  <c r="M144" i="2"/>
  <c r="L144" i="2"/>
  <c r="J144" i="2"/>
  <c r="I144" i="2"/>
  <c r="H144" i="2"/>
  <c r="F144" i="2"/>
  <c r="C144" i="2"/>
  <c r="B144" i="2"/>
  <c r="A144" i="2"/>
  <c r="M143" i="2"/>
  <c r="L143" i="2"/>
  <c r="J143" i="2"/>
  <c r="I143" i="2"/>
  <c r="H143" i="2"/>
  <c r="F143" i="2"/>
  <c r="C143" i="2"/>
  <c r="B143" i="2"/>
  <c r="A143" i="2"/>
  <c r="M142" i="2"/>
  <c r="L142" i="2"/>
  <c r="J142" i="2"/>
  <c r="I142" i="2"/>
  <c r="H142" i="2"/>
  <c r="F142" i="2"/>
  <c r="C142" i="2"/>
  <c r="B142" i="2"/>
  <c r="A142" i="2"/>
  <c r="M141" i="2"/>
  <c r="L141" i="2"/>
  <c r="J141" i="2"/>
  <c r="I141" i="2"/>
  <c r="H141" i="2"/>
  <c r="F141" i="2"/>
  <c r="C141" i="2"/>
  <c r="B141" i="2"/>
  <c r="A141" i="2"/>
  <c r="M140" i="2"/>
  <c r="L140" i="2"/>
  <c r="J140" i="2"/>
  <c r="I140" i="2"/>
  <c r="H140" i="2"/>
  <c r="F140" i="2"/>
  <c r="C140" i="2"/>
  <c r="B140" i="2"/>
  <c r="A140" i="2"/>
  <c r="M139" i="2"/>
  <c r="L139" i="2"/>
  <c r="J139" i="2"/>
  <c r="I139" i="2"/>
  <c r="H139" i="2"/>
  <c r="F139" i="2"/>
  <c r="C139" i="2"/>
  <c r="B139" i="2"/>
  <c r="A139" i="2"/>
  <c r="M138" i="2"/>
  <c r="L138" i="2"/>
  <c r="J138" i="2"/>
  <c r="I138" i="2"/>
  <c r="H138" i="2"/>
  <c r="F138" i="2"/>
  <c r="C138" i="2"/>
  <c r="B138" i="2"/>
  <c r="A138" i="2"/>
  <c r="M137" i="2"/>
  <c r="L137" i="2"/>
  <c r="J137" i="2"/>
  <c r="I137" i="2"/>
  <c r="H137" i="2"/>
  <c r="F137" i="2"/>
  <c r="C137" i="2"/>
  <c r="B137" i="2"/>
  <c r="A137" i="2"/>
  <c r="M136" i="2"/>
  <c r="L136" i="2"/>
  <c r="J136" i="2"/>
  <c r="I136" i="2"/>
  <c r="H136" i="2"/>
  <c r="F136" i="2"/>
  <c r="C136" i="2"/>
  <c r="B136" i="2"/>
  <c r="A136" i="2"/>
  <c r="M135" i="2"/>
  <c r="L135" i="2"/>
  <c r="J135" i="2"/>
  <c r="I135" i="2"/>
  <c r="H135" i="2"/>
  <c r="F135" i="2"/>
  <c r="C135" i="2"/>
  <c r="B135" i="2"/>
  <c r="A135" i="2"/>
  <c r="M134" i="2"/>
  <c r="L134" i="2"/>
  <c r="J134" i="2"/>
  <c r="I134" i="2"/>
  <c r="H134" i="2"/>
  <c r="F134" i="2"/>
  <c r="C134" i="2"/>
  <c r="B134" i="2"/>
  <c r="A134" i="2"/>
  <c r="M133" i="2"/>
  <c r="L133" i="2"/>
  <c r="J133" i="2"/>
  <c r="I133" i="2"/>
  <c r="H133" i="2"/>
  <c r="F133" i="2"/>
  <c r="C133" i="2"/>
  <c r="B133" i="2"/>
  <c r="A133" i="2"/>
  <c r="M132" i="2"/>
  <c r="L132" i="2"/>
  <c r="J132" i="2"/>
  <c r="I132" i="2"/>
  <c r="H132" i="2"/>
  <c r="F132" i="2"/>
  <c r="C132" i="2"/>
  <c r="B132" i="2"/>
  <c r="A132" i="2"/>
  <c r="M131" i="2"/>
  <c r="L131" i="2"/>
  <c r="J131" i="2"/>
  <c r="I131" i="2"/>
  <c r="H131" i="2"/>
  <c r="F131" i="2"/>
  <c r="C131" i="2"/>
  <c r="B131" i="2"/>
  <c r="A131" i="2"/>
  <c r="M130" i="2"/>
  <c r="L130" i="2"/>
  <c r="J130" i="2"/>
  <c r="I130" i="2"/>
  <c r="H130" i="2"/>
  <c r="F130" i="2"/>
  <c r="C130" i="2"/>
  <c r="B130" i="2"/>
  <c r="A130" i="2"/>
  <c r="M129" i="2"/>
  <c r="L129" i="2"/>
  <c r="J129" i="2"/>
  <c r="I129" i="2"/>
  <c r="H129" i="2"/>
  <c r="F129" i="2"/>
  <c r="C129" i="2"/>
  <c r="B129" i="2"/>
  <c r="A129" i="2"/>
  <c r="M128" i="2"/>
  <c r="L128" i="2"/>
  <c r="J128" i="2"/>
  <c r="I128" i="2"/>
  <c r="H128" i="2"/>
  <c r="F128" i="2"/>
  <c r="C128" i="2"/>
  <c r="B128" i="2"/>
  <c r="A128" i="2"/>
  <c r="M127" i="2"/>
  <c r="L127" i="2"/>
  <c r="J127" i="2"/>
  <c r="I127" i="2"/>
  <c r="H127" i="2"/>
  <c r="F127" i="2"/>
  <c r="C127" i="2"/>
  <c r="B127" i="2"/>
  <c r="A127" i="2"/>
  <c r="M126" i="2"/>
  <c r="L126" i="2"/>
  <c r="J126" i="2"/>
  <c r="I126" i="2"/>
  <c r="H126" i="2"/>
  <c r="F126" i="2"/>
  <c r="C126" i="2"/>
  <c r="B126" i="2"/>
  <c r="A126" i="2"/>
  <c r="M125" i="2"/>
  <c r="L125" i="2"/>
  <c r="J125" i="2"/>
  <c r="I125" i="2"/>
  <c r="H125" i="2"/>
  <c r="F125" i="2"/>
  <c r="C125" i="2"/>
  <c r="B125" i="2"/>
  <c r="A125" i="2"/>
  <c r="M124" i="2"/>
  <c r="L124" i="2"/>
  <c r="J124" i="2"/>
  <c r="I124" i="2"/>
  <c r="H124" i="2"/>
  <c r="F124" i="2"/>
  <c r="C124" i="2"/>
  <c r="B124" i="2"/>
  <c r="A124" i="2"/>
  <c r="M123" i="2"/>
  <c r="L123" i="2"/>
  <c r="I123" i="2"/>
  <c r="H123" i="2"/>
  <c r="F123" i="2"/>
  <c r="C123" i="2"/>
  <c r="B123" i="2"/>
  <c r="A123" i="2"/>
  <c r="M122" i="2"/>
  <c r="L122" i="2"/>
  <c r="J122" i="2"/>
  <c r="I122" i="2"/>
  <c r="H122" i="2"/>
  <c r="F122" i="2"/>
  <c r="C122" i="2"/>
  <c r="B122" i="2"/>
  <c r="A122" i="2"/>
  <c r="M121" i="2"/>
  <c r="L121" i="2"/>
  <c r="J121" i="2"/>
  <c r="I121" i="2"/>
  <c r="H121" i="2"/>
  <c r="F121" i="2"/>
  <c r="C121" i="2"/>
  <c r="B121" i="2"/>
  <c r="A121" i="2"/>
  <c r="M120" i="2"/>
  <c r="L120" i="2"/>
  <c r="J120" i="2"/>
  <c r="I120" i="2"/>
  <c r="H120" i="2"/>
  <c r="F120" i="2"/>
  <c r="C120" i="2"/>
  <c r="B120" i="2"/>
  <c r="A120" i="2"/>
  <c r="M119" i="2"/>
  <c r="L119" i="2"/>
  <c r="J119" i="2"/>
  <c r="I119" i="2"/>
  <c r="H119" i="2"/>
  <c r="F119" i="2"/>
  <c r="C119" i="2"/>
  <c r="B119" i="2"/>
  <c r="A119" i="2"/>
  <c r="M118" i="2"/>
  <c r="L118" i="2"/>
  <c r="J118" i="2"/>
  <c r="I118" i="2"/>
  <c r="H118" i="2"/>
  <c r="F118" i="2"/>
  <c r="C118" i="2"/>
  <c r="B118" i="2"/>
  <c r="A118" i="2"/>
  <c r="M117" i="2"/>
  <c r="L117" i="2"/>
  <c r="J117" i="2"/>
  <c r="I117" i="2"/>
  <c r="H117" i="2"/>
  <c r="F117" i="2"/>
  <c r="C117" i="2"/>
  <c r="B117" i="2"/>
  <c r="A117" i="2"/>
  <c r="M116" i="2"/>
  <c r="L116" i="2"/>
  <c r="J116" i="2"/>
  <c r="I116" i="2"/>
  <c r="H116" i="2"/>
  <c r="F116" i="2"/>
  <c r="C116" i="2"/>
  <c r="B116" i="2"/>
  <c r="A116" i="2"/>
  <c r="M115" i="2"/>
  <c r="L115" i="2"/>
  <c r="J115" i="2"/>
  <c r="I115" i="2"/>
  <c r="H115" i="2"/>
  <c r="F115" i="2"/>
  <c r="C115" i="2"/>
  <c r="B115" i="2"/>
  <c r="A115" i="2"/>
  <c r="M114" i="2"/>
  <c r="L114" i="2"/>
  <c r="J114" i="2"/>
  <c r="I114" i="2"/>
  <c r="H114" i="2"/>
  <c r="F114" i="2"/>
  <c r="C114" i="2"/>
  <c r="B114" i="2"/>
  <c r="A114" i="2"/>
  <c r="M113" i="2"/>
  <c r="L113" i="2"/>
  <c r="J113" i="2"/>
  <c r="I113" i="2"/>
  <c r="H113" i="2"/>
  <c r="F113" i="2"/>
  <c r="C113" i="2"/>
  <c r="B113" i="2"/>
  <c r="A113" i="2"/>
  <c r="M112" i="2"/>
  <c r="L112" i="2"/>
  <c r="J112" i="2"/>
  <c r="I112" i="2"/>
  <c r="H112" i="2"/>
  <c r="F112" i="2"/>
  <c r="C112" i="2"/>
  <c r="B112" i="2"/>
  <c r="A112" i="2"/>
  <c r="M111" i="2"/>
  <c r="L111" i="2"/>
  <c r="J111" i="2"/>
  <c r="I111" i="2"/>
  <c r="H111" i="2"/>
  <c r="F111" i="2"/>
  <c r="C111" i="2"/>
  <c r="B111" i="2"/>
  <c r="A111" i="2"/>
  <c r="M110" i="2"/>
  <c r="L110" i="2"/>
  <c r="J110" i="2"/>
  <c r="I110" i="2"/>
  <c r="H110" i="2"/>
  <c r="F110" i="2"/>
  <c r="C110" i="2"/>
  <c r="B110" i="2"/>
  <c r="A110" i="2"/>
  <c r="M109" i="2"/>
  <c r="L109" i="2"/>
  <c r="J109" i="2"/>
  <c r="I109" i="2"/>
  <c r="H109" i="2"/>
  <c r="F109" i="2"/>
  <c r="C109" i="2"/>
  <c r="B109" i="2"/>
  <c r="A109" i="2"/>
  <c r="M108" i="2"/>
  <c r="L108" i="2"/>
  <c r="J108" i="2"/>
  <c r="I108" i="2"/>
  <c r="H108" i="2"/>
  <c r="F108" i="2"/>
  <c r="C108" i="2"/>
  <c r="B108" i="2"/>
  <c r="A108" i="2"/>
  <c r="M107" i="2"/>
  <c r="L107" i="2"/>
  <c r="J107" i="2"/>
  <c r="I107" i="2"/>
  <c r="H107" i="2"/>
  <c r="F107" i="2"/>
  <c r="C107" i="2"/>
  <c r="B107" i="2"/>
  <c r="A107" i="2"/>
  <c r="M106" i="2"/>
  <c r="L106" i="2"/>
  <c r="J106" i="2"/>
  <c r="I106" i="2"/>
  <c r="H106" i="2"/>
  <c r="F106" i="2"/>
  <c r="C106" i="2"/>
  <c r="B106" i="2"/>
  <c r="A106" i="2"/>
  <c r="M105" i="2"/>
  <c r="L105" i="2"/>
  <c r="J105" i="2"/>
  <c r="I105" i="2"/>
  <c r="H105" i="2"/>
  <c r="F105" i="2"/>
  <c r="C105" i="2"/>
  <c r="B105" i="2"/>
  <c r="A105" i="2"/>
  <c r="M104" i="2"/>
  <c r="L104" i="2"/>
  <c r="J104" i="2"/>
  <c r="I104" i="2"/>
  <c r="H104" i="2"/>
  <c r="F104" i="2"/>
  <c r="C104" i="2"/>
  <c r="B104" i="2"/>
  <c r="A104" i="2"/>
  <c r="M103" i="2"/>
  <c r="L103" i="2"/>
  <c r="J103" i="2"/>
  <c r="I103" i="2"/>
  <c r="H103" i="2"/>
  <c r="F103" i="2"/>
  <c r="C103" i="2"/>
  <c r="B103" i="2"/>
  <c r="A103" i="2"/>
  <c r="M102" i="2"/>
  <c r="L102" i="2"/>
  <c r="J102" i="2"/>
  <c r="I102" i="2"/>
  <c r="H102" i="2"/>
  <c r="F102" i="2"/>
  <c r="C102" i="2"/>
  <c r="B102" i="2"/>
  <c r="A102" i="2"/>
  <c r="M101" i="2"/>
  <c r="L101" i="2"/>
  <c r="J101" i="2"/>
  <c r="I101" i="2"/>
  <c r="H101" i="2"/>
  <c r="F101" i="2"/>
  <c r="C101" i="2"/>
  <c r="B101" i="2"/>
  <c r="A101" i="2"/>
  <c r="M100" i="2"/>
  <c r="L100" i="2"/>
  <c r="J100" i="2"/>
  <c r="I100" i="2"/>
  <c r="H100" i="2"/>
  <c r="F100" i="2"/>
  <c r="C100" i="2"/>
  <c r="B100" i="2"/>
  <c r="A100" i="2"/>
  <c r="M99" i="2"/>
  <c r="L99" i="2"/>
  <c r="J99" i="2"/>
  <c r="I99" i="2"/>
  <c r="H99" i="2"/>
  <c r="F99" i="2"/>
  <c r="C99" i="2"/>
  <c r="B99" i="2"/>
  <c r="A99" i="2"/>
  <c r="M98" i="2"/>
  <c r="L98" i="2"/>
  <c r="J98" i="2"/>
  <c r="I98" i="2"/>
  <c r="H98" i="2"/>
  <c r="F98" i="2"/>
  <c r="C98" i="2"/>
  <c r="B98" i="2"/>
  <c r="A98" i="2"/>
  <c r="M97" i="2"/>
  <c r="L97" i="2"/>
  <c r="K97" i="2"/>
  <c r="J97" i="2"/>
  <c r="I97" i="2"/>
  <c r="H97" i="2"/>
  <c r="F97" i="2"/>
  <c r="C97" i="2"/>
  <c r="B97" i="2"/>
  <c r="A97" i="2"/>
  <c r="M96" i="2"/>
  <c r="L96" i="2"/>
  <c r="K96" i="2"/>
  <c r="J96" i="2"/>
  <c r="I96" i="2"/>
  <c r="H96" i="2"/>
  <c r="F96" i="2"/>
  <c r="C96" i="2"/>
  <c r="B96" i="2"/>
  <c r="A96" i="2"/>
  <c r="M95" i="2"/>
  <c r="L95" i="2"/>
  <c r="K95" i="2"/>
  <c r="J95" i="2"/>
  <c r="I95" i="2"/>
  <c r="H95" i="2"/>
  <c r="F95" i="2"/>
  <c r="C95" i="2"/>
  <c r="B95" i="2"/>
  <c r="A95" i="2"/>
  <c r="M94" i="2"/>
  <c r="L94" i="2"/>
  <c r="K94" i="2"/>
  <c r="J94" i="2"/>
  <c r="I94" i="2"/>
  <c r="H94" i="2"/>
  <c r="F94" i="2"/>
  <c r="C94" i="2"/>
  <c r="B94" i="2"/>
  <c r="A94" i="2"/>
  <c r="M93" i="2"/>
  <c r="L93" i="2"/>
  <c r="K93" i="2"/>
  <c r="J93" i="2"/>
  <c r="I93" i="2"/>
  <c r="H93" i="2"/>
  <c r="F93" i="2"/>
  <c r="C93" i="2"/>
  <c r="B93" i="2"/>
  <c r="A93" i="2"/>
  <c r="M92" i="2"/>
  <c r="L92" i="2"/>
  <c r="K92" i="2"/>
  <c r="J92" i="2"/>
  <c r="I92" i="2"/>
  <c r="H92" i="2"/>
  <c r="F92" i="2"/>
  <c r="C92" i="2"/>
  <c r="B92" i="2"/>
  <c r="A92" i="2"/>
  <c r="M91" i="2"/>
  <c r="L91" i="2"/>
  <c r="K91" i="2"/>
  <c r="J91" i="2"/>
  <c r="I91" i="2"/>
  <c r="H91" i="2"/>
  <c r="F91" i="2"/>
  <c r="C91" i="2"/>
  <c r="B91" i="2"/>
  <c r="A91" i="2"/>
  <c r="M90" i="2"/>
  <c r="L90" i="2"/>
  <c r="K90" i="2"/>
  <c r="J90" i="2"/>
  <c r="I90" i="2"/>
  <c r="H90" i="2"/>
  <c r="F90" i="2"/>
  <c r="C90" i="2"/>
  <c r="B90" i="2"/>
  <c r="A90" i="2"/>
  <c r="M89" i="2"/>
  <c r="L89" i="2"/>
  <c r="K89" i="2"/>
  <c r="J89" i="2"/>
  <c r="I89" i="2"/>
  <c r="H89" i="2"/>
  <c r="F89" i="2"/>
  <c r="C89" i="2"/>
  <c r="B89" i="2"/>
  <c r="A89" i="2"/>
  <c r="M88" i="2"/>
  <c r="L88" i="2"/>
  <c r="K88" i="2"/>
  <c r="J88" i="2"/>
  <c r="I88" i="2"/>
  <c r="H88" i="2"/>
  <c r="F88" i="2"/>
  <c r="C88" i="2"/>
  <c r="B88" i="2"/>
  <c r="A88" i="2"/>
  <c r="M87" i="2"/>
  <c r="L87" i="2"/>
  <c r="K87" i="2"/>
  <c r="J87" i="2"/>
  <c r="I87" i="2"/>
  <c r="H87" i="2"/>
  <c r="F87" i="2"/>
  <c r="C87" i="2"/>
  <c r="B87" i="2"/>
  <c r="A87" i="2"/>
  <c r="M86" i="2"/>
  <c r="L86" i="2"/>
  <c r="K86" i="2"/>
  <c r="J86" i="2"/>
  <c r="I86" i="2"/>
  <c r="H86" i="2"/>
  <c r="F86" i="2"/>
  <c r="C86" i="2"/>
  <c r="B86" i="2"/>
  <c r="A86" i="2"/>
  <c r="M85" i="2"/>
  <c r="L85" i="2"/>
  <c r="K85" i="2"/>
  <c r="J85" i="2"/>
  <c r="I85" i="2"/>
  <c r="H85" i="2"/>
  <c r="F85" i="2"/>
  <c r="C85" i="2"/>
  <c r="B85" i="2"/>
  <c r="A85" i="2"/>
  <c r="M84" i="2"/>
  <c r="L84" i="2"/>
  <c r="K84" i="2"/>
  <c r="J84" i="2"/>
  <c r="I84" i="2"/>
  <c r="H84" i="2"/>
  <c r="F84" i="2"/>
  <c r="C84" i="2"/>
  <c r="B84" i="2"/>
  <c r="A84" i="2"/>
  <c r="M83" i="2"/>
  <c r="L83" i="2"/>
  <c r="K83" i="2"/>
  <c r="J83" i="2"/>
  <c r="I83" i="2"/>
  <c r="H83" i="2"/>
  <c r="F83" i="2"/>
  <c r="C83" i="2"/>
  <c r="B83" i="2"/>
  <c r="A83" i="2"/>
  <c r="M82" i="2"/>
  <c r="L82" i="2"/>
  <c r="K82" i="2"/>
  <c r="J82" i="2"/>
  <c r="I82" i="2"/>
  <c r="H82" i="2"/>
  <c r="F82" i="2"/>
  <c r="C82" i="2"/>
  <c r="B82" i="2"/>
  <c r="A82" i="2"/>
  <c r="M81" i="2"/>
  <c r="L81" i="2"/>
  <c r="K81" i="2"/>
  <c r="J81" i="2"/>
  <c r="I81" i="2"/>
  <c r="H81" i="2"/>
  <c r="F81" i="2"/>
  <c r="C81" i="2"/>
  <c r="B81" i="2"/>
  <c r="A81" i="2"/>
  <c r="M80" i="2"/>
  <c r="L80" i="2"/>
  <c r="K80" i="2"/>
  <c r="J80" i="2"/>
  <c r="I80" i="2"/>
  <c r="H80" i="2"/>
  <c r="F80" i="2"/>
  <c r="C80" i="2"/>
  <c r="B80" i="2"/>
  <c r="A80" i="2"/>
  <c r="M79" i="2"/>
  <c r="L79" i="2"/>
  <c r="K79" i="2"/>
  <c r="J79" i="2"/>
  <c r="I79" i="2"/>
  <c r="H79" i="2"/>
  <c r="F79" i="2"/>
  <c r="C79" i="2"/>
  <c r="B79" i="2"/>
  <c r="A79" i="2"/>
  <c r="M78" i="2"/>
  <c r="L78" i="2"/>
  <c r="K78" i="2"/>
  <c r="J78" i="2"/>
  <c r="I78" i="2"/>
  <c r="H78" i="2"/>
  <c r="F78" i="2"/>
  <c r="C78" i="2"/>
  <c r="B78" i="2"/>
  <c r="A78" i="2"/>
  <c r="M77" i="2"/>
  <c r="L77" i="2"/>
  <c r="K77" i="2"/>
  <c r="J77" i="2"/>
  <c r="I77" i="2"/>
  <c r="H77" i="2"/>
  <c r="F77" i="2"/>
  <c r="C77" i="2"/>
  <c r="B77" i="2"/>
  <c r="A77" i="2"/>
  <c r="M76" i="2"/>
  <c r="L76" i="2"/>
  <c r="K76" i="2"/>
  <c r="J76" i="2"/>
  <c r="I76" i="2"/>
  <c r="H76" i="2"/>
  <c r="F76" i="2"/>
  <c r="C76" i="2"/>
  <c r="B76" i="2"/>
  <c r="A76" i="2"/>
  <c r="M75" i="2"/>
  <c r="L75" i="2"/>
  <c r="K75" i="2"/>
  <c r="J75" i="2"/>
  <c r="I75" i="2"/>
  <c r="H75" i="2"/>
  <c r="F75" i="2"/>
  <c r="C75" i="2"/>
  <c r="B75" i="2"/>
  <c r="A75" i="2"/>
  <c r="M74" i="2"/>
  <c r="L74" i="2"/>
  <c r="K74" i="2"/>
  <c r="J74" i="2"/>
  <c r="I74" i="2"/>
  <c r="H74" i="2"/>
  <c r="F74" i="2"/>
  <c r="C74" i="2"/>
  <c r="B74" i="2"/>
  <c r="A74" i="2"/>
  <c r="M73" i="2"/>
  <c r="L73" i="2"/>
  <c r="K73" i="2"/>
  <c r="J73" i="2"/>
  <c r="I73" i="2"/>
  <c r="H73" i="2"/>
  <c r="F73" i="2"/>
  <c r="C73" i="2"/>
  <c r="B73" i="2"/>
  <c r="A73" i="2"/>
  <c r="M72" i="2"/>
  <c r="L72" i="2"/>
  <c r="K72" i="2"/>
  <c r="J72" i="2"/>
  <c r="I72" i="2"/>
  <c r="H72" i="2"/>
  <c r="F72" i="2"/>
  <c r="C72" i="2"/>
  <c r="B72" i="2"/>
  <c r="A72" i="2"/>
  <c r="M71" i="2"/>
  <c r="L71" i="2"/>
  <c r="K71" i="2"/>
  <c r="J71" i="2"/>
  <c r="I71" i="2"/>
  <c r="H71" i="2"/>
  <c r="F71" i="2"/>
  <c r="C71" i="2"/>
  <c r="B71" i="2"/>
  <c r="A71" i="2"/>
  <c r="M70" i="2"/>
  <c r="L70" i="2"/>
  <c r="K70" i="2"/>
  <c r="J70" i="2"/>
  <c r="I70" i="2"/>
  <c r="H70" i="2"/>
  <c r="F70" i="2"/>
  <c r="C70" i="2"/>
  <c r="B70" i="2"/>
  <c r="A70" i="2"/>
  <c r="M69" i="2"/>
  <c r="L69" i="2"/>
  <c r="K69" i="2"/>
  <c r="J69" i="2"/>
  <c r="I69" i="2"/>
  <c r="H69" i="2"/>
  <c r="F69" i="2"/>
  <c r="C69" i="2"/>
  <c r="B69" i="2"/>
  <c r="A69" i="2"/>
  <c r="M68" i="2"/>
  <c r="L68" i="2"/>
  <c r="K68" i="2"/>
  <c r="J68" i="2"/>
  <c r="I68" i="2"/>
  <c r="H68" i="2"/>
  <c r="F68" i="2"/>
  <c r="C68" i="2"/>
  <c r="B68" i="2"/>
  <c r="A68" i="2"/>
  <c r="M67" i="2"/>
  <c r="L67" i="2"/>
  <c r="K67" i="2"/>
  <c r="J67" i="2"/>
  <c r="I67" i="2"/>
  <c r="H67" i="2"/>
  <c r="F67" i="2"/>
  <c r="C67" i="2"/>
  <c r="B67" i="2"/>
  <c r="A67" i="2"/>
  <c r="M66" i="2"/>
  <c r="L66" i="2"/>
  <c r="K66" i="2"/>
  <c r="J66" i="2"/>
  <c r="I66" i="2"/>
  <c r="H66" i="2"/>
  <c r="F66" i="2"/>
  <c r="C66" i="2"/>
  <c r="B66" i="2"/>
  <c r="A66" i="2"/>
  <c r="M65" i="2"/>
  <c r="L65" i="2"/>
  <c r="K65" i="2"/>
  <c r="J65" i="2"/>
  <c r="I65" i="2"/>
  <c r="H65" i="2"/>
  <c r="F65" i="2"/>
  <c r="C65" i="2"/>
  <c r="B65" i="2"/>
  <c r="A65" i="2"/>
  <c r="M64" i="2"/>
  <c r="L64" i="2"/>
  <c r="K64" i="2"/>
  <c r="J64" i="2"/>
  <c r="I64" i="2"/>
  <c r="H64" i="2"/>
  <c r="F64" i="2"/>
  <c r="C64" i="2"/>
  <c r="B64" i="2"/>
  <c r="A64" i="2"/>
  <c r="M63" i="2"/>
  <c r="L63" i="2"/>
  <c r="K63" i="2"/>
  <c r="J63" i="2"/>
  <c r="I63" i="2"/>
  <c r="H63" i="2"/>
  <c r="F63" i="2"/>
  <c r="C63" i="2"/>
  <c r="B63" i="2"/>
  <c r="A63" i="2"/>
  <c r="M62" i="2"/>
  <c r="L62" i="2"/>
  <c r="K62" i="2"/>
  <c r="J62" i="2"/>
  <c r="I62" i="2"/>
  <c r="H62" i="2"/>
  <c r="F62" i="2"/>
  <c r="C62" i="2"/>
  <c r="B62" i="2"/>
  <c r="A62" i="2"/>
  <c r="M61" i="2"/>
  <c r="L61" i="2"/>
  <c r="K61" i="2"/>
  <c r="J61" i="2"/>
  <c r="I61" i="2"/>
  <c r="H61" i="2"/>
  <c r="F61" i="2"/>
  <c r="C61" i="2"/>
  <c r="B61" i="2"/>
  <c r="A61" i="2"/>
  <c r="M60" i="2"/>
  <c r="L60" i="2"/>
  <c r="K60" i="2"/>
  <c r="J60" i="2"/>
  <c r="I60" i="2"/>
  <c r="H60" i="2"/>
  <c r="F60" i="2"/>
  <c r="C60" i="2"/>
  <c r="B60" i="2"/>
  <c r="A60" i="2"/>
  <c r="M59" i="2"/>
  <c r="L59" i="2"/>
  <c r="K59" i="2"/>
  <c r="J59" i="2"/>
  <c r="I59" i="2"/>
  <c r="H59" i="2"/>
  <c r="F59" i="2"/>
  <c r="C59" i="2"/>
  <c r="B59" i="2"/>
  <c r="A59" i="2"/>
  <c r="M58" i="2"/>
  <c r="L58" i="2"/>
  <c r="K58" i="2"/>
  <c r="J58" i="2"/>
  <c r="I58" i="2"/>
  <c r="H58" i="2"/>
  <c r="F58" i="2"/>
  <c r="C58" i="2"/>
  <c r="B58" i="2"/>
  <c r="A58" i="2"/>
  <c r="M57" i="2"/>
  <c r="L57" i="2"/>
  <c r="K57" i="2"/>
  <c r="J57" i="2"/>
  <c r="I57" i="2"/>
  <c r="H57" i="2"/>
  <c r="F57" i="2"/>
  <c r="C57" i="2"/>
  <c r="B57" i="2"/>
  <c r="A57" i="2"/>
  <c r="M56" i="2"/>
  <c r="L56" i="2"/>
  <c r="K56" i="2"/>
  <c r="J56" i="2"/>
  <c r="I56" i="2"/>
  <c r="H56" i="2"/>
  <c r="F56" i="2"/>
  <c r="C56" i="2"/>
  <c r="B56" i="2"/>
  <c r="A56" i="2"/>
  <c r="M55" i="2"/>
  <c r="L55" i="2"/>
  <c r="K55" i="2"/>
  <c r="J55" i="2"/>
  <c r="H55" i="2"/>
  <c r="F55" i="2"/>
  <c r="C55" i="2"/>
  <c r="B55" i="2"/>
  <c r="A55" i="2"/>
  <c r="M54" i="2"/>
  <c r="L54" i="2"/>
  <c r="K54" i="2"/>
  <c r="J54" i="2"/>
  <c r="I54" i="2"/>
  <c r="H54" i="2"/>
  <c r="F54" i="2"/>
  <c r="C54" i="2"/>
  <c r="B54" i="2"/>
  <c r="A54" i="2"/>
  <c r="M53" i="2"/>
  <c r="L53" i="2"/>
  <c r="K53" i="2"/>
  <c r="J53" i="2"/>
  <c r="I53" i="2"/>
  <c r="H53" i="2"/>
  <c r="F53" i="2"/>
  <c r="C53" i="2"/>
  <c r="B53" i="2"/>
  <c r="A53" i="2"/>
  <c r="M52" i="2"/>
  <c r="L52" i="2"/>
  <c r="K52" i="2"/>
  <c r="J52" i="2"/>
  <c r="I52" i="2"/>
  <c r="H52" i="2"/>
  <c r="F52" i="2"/>
  <c r="C52" i="2"/>
  <c r="B52" i="2"/>
  <c r="A52" i="2"/>
  <c r="M51" i="2"/>
  <c r="L51" i="2"/>
  <c r="K51" i="2"/>
  <c r="J51" i="2"/>
  <c r="I51" i="2"/>
  <c r="H51" i="2"/>
  <c r="F51" i="2"/>
  <c r="C51" i="2"/>
  <c r="B51" i="2"/>
  <c r="A51" i="2"/>
  <c r="M50" i="2"/>
  <c r="L50" i="2"/>
  <c r="K50" i="2"/>
  <c r="J50" i="2"/>
  <c r="I50" i="2"/>
  <c r="H50" i="2"/>
  <c r="F50" i="2"/>
  <c r="C50" i="2"/>
  <c r="B50" i="2"/>
  <c r="A50" i="2"/>
  <c r="M49" i="2"/>
  <c r="L49" i="2"/>
  <c r="K49" i="2"/>
  <c r="J49" i="2"/>
  <c r="I49" i="2"/>
  <c r="H49" i="2"/>
  <c r="F49" i="2"/>
  <c r="C49" i="2"/>
  <c r="B49" i="2"/>
  <c r="A49" i="2"/>
  <c r="M48" i="2"/>
  <c r="L48" i="2"/>
  <c r="K48" i="2"/>
  <c r="J48" i="2"/>
  <c r="I48" i="2"/>
  <c r="H48" i="2"/>
  <c r="F48" i="2"/>
  <c r="C48" i="2"/>
  <c r="B48" i="2"/>
  <c r="A48" i="2"/>
  <c r="M47" i="2"/>
  <c r="L47" i="2"/>
  <c r="K47" i="2"/>
  <c r="J47" i="2"/>
  <c r="I47" i="2"/>
  <c r="H47" i="2"/>
  <c r="F47" i="2"/>
  <c r="C47" i="2"/>
  <c r="B47" i="2"/>
  <c r="A47" i="2"/>
  <c r="M46" i="2"/>
  <c r="L46" i="2"/>
  <c r="K46" i="2"/>
  <c r="J46" i="2"/>
  <c r="I46" i="2"/>
  <c r="H46" i="2"/>
  <c r="F46" i="2"/>
  <c r="C46" i="2"/>
  <c r="B46" i="2"/>
  <c r="A46" i="2"/>
  <c r="M45" i="2"/>
  <c r="L45" i="2"/>
  <c r="K45" i="2"/>
  <c r="J45" i="2"/>
  <c r="I45" i="2"/>
  <c r="H45" i="2"/>
  <c r="F45" i="2"/>
  <c r="C45" i="2"/>
  <c r="B45" i="2"/>
  <c r="A45" i="2"/>
  <c r="M44" i="2"/>
  <c r="L44" i="2"/>
  <c r="K44" i="2"/>
  <c r="J44" i="2"/>
  <c r="I44" i="2"/>
  <c r="H44" i="2"/>
  <c r="F44" i="2"/>
  <c r="C44" i="2"/>
  <c r="B44" i="2"/>
  <c r="A44" i="2"/>
  <c r="M43" i="2"/>
  <c r="L43" i="2"/>
  <c r="K43" i="2"/>
  <c r="J43" i="2"/>
  <c r="I43" i="2"/>
  <c r="H43" i="2"/>
  <c r="F43" i="2"/>
  <c r="C43" i="2"/>
  <c r="B43" i="2"/>
  <c r="A43" i="2"/>
  <c r="M42" i="2"/>
  <c r="L42" i="2"/>
  <c r="K42" i="2"/>
  <c r="J42" i="2"/>
  <c r="I42" i="2"/>
  <c r="H42" i="2"/>
  <c r="F42" i="2"/>
  <c r="C42" i="2"/>
  <c r="B42" i="2"/>
  <c r="A42" i="2"/>
  <c r="M41" i="2"/>
  <c r="L41" i="2"/>
  <c r="K41" i="2"/>
  <c r="J41" i="2"/>
  <c r="I41" i="2"/>
  <c r="H41" i="2"/>
  <c r="F41" i="2"/>
  <c r="C41" i="2"/>
  <c r="B41" i="2"/>
  <c r="A41" i="2"/>
  <c r="M40" i="2"/>
  <c r="L40" i="2"/>
  <c r="K40" i="2"/>
  <c r="J40" i="2"/>
  <c r="I40" i="2"/>
  <c r="H40" i="2"/>
  <c r="F40" i="2"/>
  <c r="C40" i="2"/>
  <c r="B40" i="2"/>
  <c r="A40" i="2"/>
  <c r="M39" i="2"/>
  <c r="L39" i="2"/>
  <c r="K39" i="2"/>
  <c r="J39" i="2"/>
  <c r="I39" i="2"/>
  <c r="H39" i="2"/>
  <c r="F39" i="2"/>
  <c r="C39" i="2"/>
  <c r="B39" i="2"/>
  <c r="A39" i="2"/>
  <c r="M38" i="2"/>
  <c r="L38" i="2"/>
  <c r="K38" i="2"/>
  <c r="J38" i="2"/>
  <c r="I38" i="2"/>
  <c r="H38" i="2"/>
  <c r="F38" i="2"/>
  <c r="C38" i="2"/>
  <c r="B38" i="2"/>
  <c r="A38" i="2"/>
  <c r="M37" i="2"/>
  <c r="L37" i="2"/>
  <c r="K37" i="2"/>
  <c r="J37" i="2"/>
  <c r="I37" i="2"/>
  <c r="H37" i="2"/>
  <c r="F37" i="2"/>
  <c r="C37" i="2"/>
  <c r="B37" i="2"/>
  <c r="A37" i="2"/>
  <c r="M36" i="2"/>
  <c r="L36" i="2"/>
  <c r="K36" i="2"/>
  <c r="J36" i="2"/>
  <c r="I36" i="2"/>
  <c r="H36" i="2"/>
  <c r="F36" i="2"/>
  <c r="C36" i="2"/>
  <c r="B36" i="2"/>
  <c r="A36" i="2"/>
  <c r="M35" i="2"/>
  <c r="L35" i="2"/>
  <c r="K35" i="2"/>
  <c r="J35" i="2"/>
  <c r="I35" i="2"/>
  <c r="H35" i="2"/>
  <c r="F35" i="2"/>
  <c r="C35" i="2"/>
  <c r="B35" i="2"/>
  <c r="A35" i="2"/>
  <c r="M34" i="2"/>
  <c r="L34" i="2"/>
  <c r="K34" i="2"/>
  <c r="J34" i="2"/>
  <c r="I34" i="2"/>
  <c r="H34" i="2"/>
  <c r="F34" i="2"/>
  <c r="C34" i="2"/>
  <c r="B34" i="2"/>
  <c r="A34" i="2"/>
  <c r="M33" i="2"/>
  <c r="L33" i="2"/>
  <c r="K33" i="2"/>
  <c r="J33" i="2"/>
  <c r="I33" i="2"/>
  <c r="H33" i="2"/>
  <c r="F33" i="2"/>
  <c r="C33" i="2"/>
  <c r="B33" i="2"/>
  <c r="A33" i="2"/>
  <c r="M32" i="2"/>
  <c r="L32" i="2"/>
  <c r="K32" i="2"/>
  <c r="J32" i="2"/>
  <c r="I32" i="2"/>
  <c r="H32" i="2"/>
  <c r="F32" i="2"/>
  <c r="C32" i="2"/>
  <c r="B32" i="2"/>
  <c r="A32" i="2"/>
  <c r="M31" i="2"/>
  <c r="L31" i="2"/>
  <c r="K31" i="2"/>
  <c r="J31" i="2"/>
  <c r="I31" i="2"/>
  <c r="H31" i="2"/>
  <c r="F31" i="2"/>
  <c r="C31" i="2"/>
  <c r="B31" i="2"/>
  <c r="A31" i="2"/>
  <c r="M30" i="2"/>
  <c r="L30" i="2"/>
  <c r="K30" i="2"/>
  <c r="J30" i="2"/>
  <c r="I30" i="2"/>
  <c r="H30" i="2"/>
  <c r="F30" i="2"/>
  <c r="C30" i="2"/>
  <c r="B30" i="2"/>
  <c r="A30" i="2"/>
  <c r="M29" i="2"/>
  <c r="L29" i="2"/>
  <c r="K29" i="2"/>
  <c r="J29" i="2"/>
  <c r="I29" i="2"/>
  <c r="H29" i="2"/>
  <c r="F29" i="2"/>
  <c r="C29" i="2"/>
  <c r="B29" i="2"/>
  <c r="A29" i="2"/>
  <c r="M28" i="2"/>
  <c r="L28" i="2"/>
  <c r="J28" i="2"/>
  <c r="I28" i="2"/>
  <c r="H28" i="2"/>
  <c r="G28" i="2"/>
  <c r="F28" i="2"/>
  <c r="C28" i="2"/>
  <c r="B28" i="2"/>
  <c r="A28" i="2"/>
  <c r="N27" i="2"/>
  <c r="M27" i="2"/>
  <c r="L27" i="2"/>
  <c r="J27" i="2"/>
  <c r="I27" i="2"/>
  <c r="H27" i="2"/>
  <c r="G27" i="2"/>
  <c r="F27" i="2"/>
  <c r="C27" i="2"/>
  <c r="B27" i="2"/>
  <c r="A27" i="2"/>
  <c r="M26" i="2"/>
  <c r="L26" i="2"/>
  <c r="I26" i="2"/>
  <c r="H26" i="2"/>
  <c r="G26" i="2"/>
  <c r="F26" i="2"/>
  <c r="C26" i="2"/>
  <c r="B26" i="2"/>
  <c r="A26" i="2"/>
  <c r="M25" i="2"/>
  <c r="L25" i="2"/>
  <c r="J25" i="2"/>
  <c r="I25" i="2"/>
  <c r="H25" i="2"/>
  <c r="G25" i="2"/>
  <c r="F25" i="2"/>
  <c r="C25" i="2"/>
  <c r="B25" i="2"/>
  <c r="A25" i="2"/>
  <c r="M24" i="2"/>
  <c r="L24" i="2"/>
  <c r="J24" i="2"/>
  <c r="I24" i="2"/>
  <c r="H24" i="2"/>
  <c r="G24" i="2"/>
  <c r="F24" i="2"/>
  <c r="C24" i="2"/>
  <c r="B24" i="2"/>
  <c r="A24" i="2"/>
  <c r="N23" i="2"/>
  <c r="M23" i="2"/>
  <c r="L23" i="2"/>
  <c r="J23" i="2"/>
  <c r="I23" i="2"/>
  <c r="H23" i="2"/>
  <c r="G23" i="2"/>
  <c r="F23" i="2"/>
  <c r="C23" i="2"/>
  <c r="B23" i="2"/>
  <c r="A23" i="2"/>
  <c r="M22" i="2"/>
  <c r="L22" i="2"/>
  <c r="J22" i="2"/>
  <c r="I22" i="2"/>
  <c r="H22" i="2"/>
  <c r="G22" i="2"/>
  <c r="F22" i="2"/>
  <c r="C22" i="2"/>
  <c r="B22" i="2"/>
  <c r="A22" i="2"/>
  <c r="N21" i="2"/>
  <c r="M21" i="2"/>
  <c r="L21" i="2"/>
  <c r="J21" i="2"/>
  <c r="I21" i="2"/>
  <c r="H21" i="2"/>
  <c r="G21" i="2"/>
  <c r="F21" i="2"/>
  <c r="C21" i="2"/>
  <c r="B21" i="2"/>
  <c r="A21" i="2"/>
  <c r="N20" i="2"/>
  <c r="M20" i="2"/>
  <c r="L20" i="2"/>
  <c r="J20" i="2"/>
  <c r="I20" i="2"/>
  <c r="H20" i="2"/>
  <c r="G20" i="2"/>
  <c r="F20" i="2"/>
  <c r="C20" i="2"/>
  <c r="B20" i="2"/>
  <c r="A20" i="2"/>
  <c r="N19" i="2"/>
  <c r="M19" i="2"/>
  <c r="L19" i="2"/>
  <c r="J19" i="2"/>
  <c r="I19" i="2"/>
  <c r="H19" i="2"/>
  <c r="G19" i="2"/>
  <c r="F19" i="2"/>
  <c r="C19" i="2"/>
  <c r="B19" i="2"/>
  <c r="A19" i="2"/>
  <c r="M18" i="2"/>
  <c r="L18" i="2"/>
  <c r="K18" i="2"/>
  <c r="J18" i="2"/>
  <c r="I18" i="2"/>
  <c r="H18" i="2"/>
  <c r="G18" i="2"/>
  <c r="F18" i="2"/>
  <c r="C18" i="2"/>
  <c r="B18" i="2"/>
  <c r="A18" i="2"/>
  <c r="M17" i="2"/>
  <c r="L17" i="2"/>
  <c r="J17" i="2"/>
  <c r="I17" i="2"/>
  <c r="H17" i="2"/>
  <c r="G17" i="2"/>
  <c r="F17" i="2"/>
  <c r="C17" i="2"/>
  <c r="B17" i="2"/>
  <c r="A17" i="2"/>
  <c r="N16" i="2"/>
  <c r="M16" i="2"/>
  <c r="L16" i="2"/>
  <c r="J16" i="2"/>
  <c r="I16" i="2"/>
  <c r="H16" i="2"/>
  <c r="G16" i="2"/>
  <c r="F16" i="2"/>
  <c r="C16" i="2"/>
  <c r="B16" i="2"/>
  <c r="A16" i="2"/>
  <c r="M15" i="2"/>
  <c r="L15" i="2"/>
  <c r="J15" i="2"/>
  <c r="I15" i="2"/>
  <c r="H15" i="2"/>
  <c r="G15" i="2"/>
  <c r="F15" i="2"/>
  <c r="C15" i="2"/>
  <c r="B15" i="2"/>
  <c r="A15" i="2"/>
  <c r="N14" i="2"/>
  <c r="M14" i="2"/>
  <c r="L14" i="2"/>
  <c r="J14" i="2"/>
  <c r="I14" i="2"/>
  <c r="H14" i="2"/>
  <c r="G14" i="2"/>
  <c r="F14" i="2"/>
  <c r="C14" i="2"/>
  <c r="B14" i="2"/>
  <c r="A14" i="2"/>
  <c r="M13" i="2"/>
  <c r="L13" i="2"/>
  <c r="J13" i="2"/>
  <c r="I13" i="2"/>
  <c r="H13" i="2"/>
  <c r="G13" i="2"/>
  <c r="F13" i="2"/>
  <c r="C13" i="2"/>
  <c r="B13" i="2"/>
  <c r="A13" i="2"/>
  <c r="M12" i="2"/>
  <c r="L12" i="2"/>
  <c r="J12" i="2"/>
  <c r="I12" i="2"/>
  <c r="H12" i="2"/>
  <c r="G12" i="2"/>
  <c r="F12" i="2"/>
  <c r="C12" i="2"/>
  <c r="B12" i="2"/>
  <c r="A12" i="2"/>
  <c r="M11" i="2"/>
  <c r="L11" i="2"/>
  <c r="J11" i="2"/>
  <c r="I11" i="2"/>
  <c r="H11" i="2"/>
  <c r="G11" i="2"/>
  <c r="F11" i="2"/>
  <c r="C11" i="2"/>
  <c r="B11" i="2"/>
  <c r="A11" i="2"/>
  <c r="M10" i="2"/>
  <c r="L10" i="2"/>
  <c r="J10" i="2"/>
  <c r="I10" i="2"/>
  <c r="H10" i="2"/>
  <c r="G10" i="2"/>
  <c r="F10" i="2"/>
  <c r="C10" i="2"/>
  <c r="B10" i="2"/>
  <c r="A10" i="2"/>
  <c r="M9" i="2"/>
  <c r="L9" i="2"/>
  <c r="J9" i="2"/>
  <c r="I9" i="2"/>
  <c r="H9" i="2"/>
  <c r="G9" i="2"/>
  <c r="F9" i="2"/>
  <c r="C9" i="2"/>
  <c r="B9" i="2"/>
  <c r="A9" i="2"/>
  <c r="N8" i="2"/>
  <c r="M8" i="2"/>
  <c r="L8" i="2"/>
  <c r="J8" i="2"/>
  <c r="I8" i="2"/>
  <c r="H8" i="2"/>
  <c r="G8" i="2"/>
  <c r="F8" i="2"/>
  <c r="C8" i="2"/>
  <c r="B8" i="2"/>
  <c r="A8" i="2"/>
  <c r="M7" i="2"/>
  <c r="L7" i="2"/>
  <c r="J7" i="2"/>
  <c r="I7" i="2"/>
  <c r="H7" i="2"/>
  <c r="G7" i="2"/>
  <c r="F7" i="2"/>
  <c r="C7" i="2"/>
  <c r="B7" i="2"/>
  <c r="A7" i="2"/>
  <c r="M6" i="2"/>
  <c r="L6" i="2"/>
  <c r="J6" i="2"/>
  <c r="I6" i="2"/>
  <c r="H6" i="2"/>
  <c r="G6" i="2"/>
  <c r="F6" i="2"/>
  <c r="C6" i="2"/>
  <c r="B6" i="2"/>
  <c r="A6" i="2"/>
  <c r="N5" i="2"/>
  <c r="M5" i="2"/>
  <c r="L5" i="2"/>
  <c r="J5" i="2"/>
  <c r="I5" i="2"/>
  <c r="H5" i="2"/>
  <c r="G5" i="2"/>
  <c r="F5" i="2"/>
  <c r="C5" i="2"/>
  <c r="B5" i="2"/>
  <c r="A5" i="2"/>
  <c r="N4" i="2"/>
  <c r="M4" i="2"/>
  <c r="L4" i="2"/>
  <c r="J4" i="2"/>
  <c r="I4" i="2"/>
  <c r="H4" i="2"/>
  <c r="G4" i="2"/>
  <c r="F4" i="2"/>
  <c r="C4" i="2"/>
  <c r="B4" i="2"/>
  <c r="A4" i="2"/>
  <c r="N3" i="2"/>
  <c r="M3" i="2"/>
  <c r="L3" i="2"/>
  <c r="K3" i="2"/>
  <c r="J3" i="2"/>
  <c r="I3" i="2"/>
  <c r="H3" i="2"/>
  <c r="G3" i="2"/>
  <c r="F3" i="2"/>
  <c r="C3" i="2"/>
  <c r="B3" i="2"/>
  <c r="A3" i="2"/>
  <c r="N2" i="2"/>
  <c r="M2" i="2"/>
  <c r="L2" i="2"/>
  <c r="K2" i="2"/>
  <c r="J2" i="2"/>
  <c r="I2" i="2"/>
  <c r="H2" i="2"/>
  <c r="G2" i="2"/>
  <c r="F2" i="2"/>
  <c r="E2" i="2"/>
  <c r="D2" i="2"/>
  <c r="C2" i="2"/>
  <c r="B2" i="2"/>
  <c r="A2" i="2"/>
  <c r="W27" i="1"/>
  <c r="V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U26" i="1"/>
  <c r="W19" i="1"/>
  <c r="U19" i="1"/>
  <c r="U18" i="1"/>
  <c r="W18" i="1" s="1"/>
  <c r="W17" i="1"/>
  <c r="U17" i="1"/>
  <c r="W16" i="1"/>
  <c r="U16" i="1"/>
  <c r="W15" i="1"/>
  <c r="U15" i="1"/>
  <c r="U14" i="1"/>
  <c r="W14" i="1" s="1"/>
  <c r="W13" i="1"/>
  <c r="U13" i="1"/>
  <c r="U12" i="1"/>
  <c r="W12" i="1" s="1"/>
  <c r="W11" i="1"/>
  <c r="U11" i="1"/>
  <c r="W10" i="1"/>
  <c r="U10" i="1"/>
  <c r="W9" i="1"/>
  <c r="U9" i="1"/>
  <c r="U8" i="1"/>
  <c r="W8" i="1" s="1"/>
  <c r="W7" i="1"/>
  <c r="U7" i="1"/>
  <c r="U6" i="1"/>
  <c r="U27" i="1" s="1"/>
  <c r="W5" i="1"/>
  <c r="U5" i="1"/>
  <c r="W6" i="1" l="1"/>
</calcChain>
</file>

<file path=xl/sharedStrings.xml><?xml version="1.0" encoding="utf-8"?>
<sst xmlns="http://schemas.openxmlformats.org/spreadsheetml/2006/main" count="51628" uniqueCount="13823">
  <si>
    <t>INVENTORY LIST OF PROCURED EQUIPMENT AND VEHICLES UNDER PROJECT SPLIT</t>
  </si>
  <si>
    <t xml:space="preserve">                                                                                                      RECAPITULATION OF DISTRIBUTED ITEMS BASED ON SUBMITTED REPORT OF REGIONS</t>
  </si>
  <si>
    <t>REGION</t>
  </si>
  <si>
    <t>PROVINCE</t>
  </si>
  <si>
    <t>EQUIPMENT</t>
  </si>
  <si>
    <t>UNIT COST</t>
  </si>
  <si>
    <t>DEPRECIATION COST</t>
  </si>
  <si>
    <t>ITEMS</t>
  </si>
  <si>
    <t>PROPERTY NUMBER</t>
  </si>
  <si>
    <t>PLATE NUMBER</t>
  </si>
  <si>
    <t>ISSUED TO
 (MATERIAL REQUISITION)</t>
  </si>
  <si>
    <t>DESIGNATION
 /POSITION</t>
  </si>
  <si>
    <t>PAR/PTR/ICS NO.</t>
  </si>
  <si>
    <t>QUANTITY</t>
  </si>
  <si>
    <t>NAME OF END USER</t>
  </si>
  <si>
    <t>OFFICE</t>
  </si>
  <si>
    <t>STATUS OF EQUIPMENT
 (SERVICEABLE/UNSERVICEABLE)</t>
  </si>
  <si>
    <t>REMARKS</t>
  </si>
  <si>
    <t>DARCO</t>
  </si>
  <si>
    <t>CENTRAL OFFICE</t>
  </si>
  <si>
    <t>Double Cabin Pick-up Vehicles – Mitsubishi Strada</t>
  </si>
  <si>
    <t>CAR</t>
  </si>
  <si>
    <t>R I</t>
  </si>
  <si>
    <t>R II</t>
  </si>
  <si>
    <t>SERIAL NUMBER</t>
  </si>
  <si>
    <t>R III</t>
  </si>
  <si>
    <t>R IVA</t>
  </si>
  <si>
    <t>R IVB</t>
  </si>
  <si>
    <t>2023-06-01-10201SP07-01</t>
  </si>
  <si>
    <t>R V</t>
  </si>
  <si>
    <t>R VI</t>
  </si>
  <si>
    <t>NIR</t>
  </si>
  <si>
    <t xml:space="preserve"> Y3-B075/SNC 1049/NFX 1710</t>
  </si>
  <si>
    <t>R VII</t>
  </si>
  <si>
    <t>R VIII</t>
  </si>
  <si>
    <t>ATTY. NESTOR IFURUNG JR</t>
  </si>
  <si>
    <t>HEA</t>
  </si>
  <si>
    <t>2023-10-021MV</t>
  </si>
  <si>
    <t>CHARLOTTE LASMARIAS(PANGASINAN)</t>
  </si>
  <si>
    <t>R IX</t>
  </si>
  <si>
    <t>OSEC</t>
  </si>
  <si>
    <t>SERVICEABLE</t>
  </si>
  <si>
    <t>R X</t>
  </si>
  <si>
    <t>R XI</t>
  </si>
  <si>
    <t>R XII</t>
  </si>
  <si>
    <t>CARAGA</t>
  </si>
  <si>
    <t>REGION VIII</t>
  </si>
  <si>
    <t>DENR</t>
  </si>
  <si>
    <t>LRA</t>
  </si>
  <si>
    <t>Regional Office</t>
  </si>
  <si>
    <t>TOTAL</t>
  </si>
  <si>
    <t>REAL-TIME KINEMATIC – GEOMAX ZENITH60</t>
  </si>
  <si>
    <t>₱ 1,849,000.00</t>
  </si>
  <si>
    <t>ACTUAL UNIT QUANTITY</t>
  </si>
  <si>
    <t>₱ -</t>
  </si>
  <si>
    <t>2023-05-01-10201SP12-01</t>
  </si>
  <si>
    <t>DISCREPANCY</t>
  </si>
  <si>
    <t>Z60ST272200096</t>
  </si>
  <si>
    <t>JANE D. TORIBIO</t>
  </si>
  <si>
    <t>CARPO-FOD/Parcelization Component Coordinator</t>
  </si>
  <si>
    <t>2023-03-13 SPLIT</t>
  </si>
  <si>
    <t>Engrs. Molines Ewis/Antonio Martin</t>
  </si>
  <si>
    <t>DARRO</t>
  </si>
  <si>
    <t>2023-06-01-10201SP14-01</t>
  </si>
  <si>
    <t>Y3-B109/SNC 1039/NFX 1810</t>
  </si>
  <si>
    <t>NEIL LUMAUAN</t>
  </si>
  <si>
    <t>ASEC</t>
  </si>
  <si>
    <t>2023-11-028MV</t>
  </si>
  <si>
    <t>AFMAO</t>
  </si>
  <si>
    <t>Asec Kit</t>
  </si>
  <si>
    <t>TOTAL STATION – GEOMAX TOTAL STATION ZOOM 50</t>
  </si>
  <si>
    <t>₱ 648,000.00</t>
  </si>
  <si>
    <t>2023-05-14-10201SP09-01</t>
  </si>
  <si>
    <t>2023-06-01-10201SP26-01</t>
  </si>
  <si>
    <t>Z60ST272200097</t>
  </si>
  <si>
    <t>Y3-B160/SNC 1309/NFX 1713</t>
  </si>
  <si>
    <t>2023-03-18 SPLIT</t>
  </si>
  <si>
    <t>ATTY. QUENTIN MARSICO JR</t>
  </si>
  <si>
    <t>2023-11-030MV</t>
  </si>
  <si>
    <t>HANDHELD GPS – MODEL P6</t>
  </si>
  <si>
    <t>₱ 79,000.00</t>
  </si>
  <si>
    <t>2023-05-14-10202SP08-01</t>
  </si>
  <si>
    <t>SP10730077</t>
  </si>
  <si>
    <t>2023-03-23 SPLIT</t>
  </si>
  <si>
    <t>Dir Enzo</t>
  </si>
  <si>
    <t>Desktop Computer – (Lenovo M70T)</t>
  </si>
  <si>
    <t>₱ 75,468.00</t>
  </si>
  <si>
    <t>2023-05-03-10201SP502-01</t>
  </si>
  <si>
    <t>1S11T5S16200GM0415RQ</t>
  </si>
  <si>
    <t>VIRGINIA D. AYCUD</t>
  </si>
  <si>
    <t>OIC Asst. Regional Director/Asst. Project Manager</t>
  </si>
  <si>
    <t>2023-06-01-10201SP13-01</t>
  </si>
  <si>
    <t>2023-05-37 SPLIT</t>
  </si>
  <si>
    <t>Y2-Z518/SNC 1073/NFX 1426</t>
  </si>
  <si>
    <t>VON MARK MENDOZA</t>
  </si>
  <si>
    <t>DIRECTOR III</t>
  </si>
  <si>
    <t>2023-10-016MV</t>
  </si>
  <si>
    <t>PMS</t>
  </si>
  <si>
    <t>2023-05-03-10201SP503-01</t>
  </si>
  <si>
    <t>1S11T5S16200GM0415RX</t>
  </si>
  <si>
    <t>ATTY. CHRISTINE M. PUL-OC</t>
  </si>
  <si>
    <t>Atty. V/Legal Coordinator</t>
  </si>
  <si>
    <t>2023-05-38 SPLIT</t>
  </si>
  <si>
    <t>2023-06-01-10201SP15-01</t>
  </si>
  <si>
    <t>Y2-Z503/SNC 1077/NFX 1809</t>
  </si>
  <si>
    <t>UBALDO SADIARIN</t>
  </si>
  <si>
    <t>SSO</t>
  </si>
  <si>
    <t>2023-09-002A</t>
  </si>
  <si>
    <t>2023-05-03-10201SP504-01</t>
  </si>
  <si>
    <t>1S11T5S16200GM0415S0</t>
  </si>
  <si>
    <t>JULIET C. DUMAPIS (c/o ESS Specialist-COS SPLIT)</t>
  </si>
  <si>
    <t>CARPO - FOD/ Parcelization Component Coordinator</t>
  </si>
  <si>
    <t>2023-05-39 SPLIT</t>
  </si>
  <si>
    <t>JULIET C. DUMAPIS</t>
  </si>
  <si>
    <t>2023-06-01-10201SP22-01</t>
  </si>
  <si>
    <t>Y3-B079/SNC 1072/NFX 1714</t>
  </si>
  <si>
    <t>LILIBETH G. LEE</t>
  </si>
  <si>
    <t>BLTI</t>
  </si>
  <si>
    <t>2023-09-003MV/010</t>
  </si>
  <si>
    <t>DIRECTOR IV</t>
  </si>
  <si>
    <t>Dir Tin</t>
  </si>
  <si>
    <t>2023-05-03-10201SP505-01</t>
  </si>
  <si>
    <t>1S11T5S16200GM0415S2</t>
  </si>
  <si>
    <t>MOLINES A. EWIS</t>
  </si>
  <si>
    <t>Engr. II/DENR/LRA-ROD Survey Coordinator</t>
  </si>
  <si>
    <t>2023-05-40 SPLIT</t>
  </si>
  <si>
    <t>2023-06-01-10201SP24-01</t>
  </si>
  <si>
    <t>Y3-B168/SNC 1101/NFX 1717</t>
  </si>
  <si>
    <t>FE LEZZIE FALCON</t>
  </si>
  <si>
    <t>2023-09-005MV/009</t>
  </si>
  <si>
    <t>CARPO</t>
  </si>
  <si>
    <t>2023-05-03-10201SP506-01</t>
  </si>
  <si>
    <t>1S11T5S16200GM0415S5</t>
  </si>
  <si>
    <t>JUANITA M. TAYABAN</t>
  </si>
  <si>
    <t>Accountant III/Project Accountant</t>
  </si>
  <si>
    <t>2023-05-41 SPLIT</t>
  </si>
  <si>
    <t>2023-06-01-10201SP19-01</t>
  </si>
  <si>
    <t>Y2-Z526/SNC 1085/NFX 1804</t>
  </si>
  <si>
    <t>MARJORIE AYSON</t>
  </si>
  <si>
    <t>2023-10-025MV</t>
  </si>
  <si>
    <t>AFOO</t>
  </si>
  <si>
    <t>2023-05-03-10201SP507-01</t>
  </si>
  <si>
    <t>1S11T5S16200GM0415S6</t>
  </si>
  <si>
    <t>IMELDA M. ABANSI</t>
  </si>
  <si>
    <t>AO V/Project Budget Officer</t>
  </si>
  <si>
    <t>2023-05-42 SPLIT</t>
  </si>
  <si>
    <t>2023-06-01-10201SP148-01</t>
  </si>
  <si>
    <t>Y3-C781/SNC 1305/NFX 1647</t>
  </si>
  <si>
    <t>ATTY. JIM G. COLETO</t>
  </si>
  <si>
    <t>DARAB</t>
  </si>
  <si>
    <t>2023-10-027MV</t>
  </si>
  <si>
    <t>BM III</t>
  </si>
  <si>
    <t>2023-05-03-10201SP508-01</t>
  </si>
  <si>
    <t>1S11T5S16200GM0415S7</t>
  </si>
  <si>
    <t>THERESE S. SINGIT</t>
  </si>
  <si>
    <t>Comp. Prog. II/ MIS Coordinator</t>
  </si>
  <si>
    <t>2023-05-43 SPLIT</t>
  </si>
  <si>
    <t>2023-06-01-10201SP155-01</t>
  </si>
  <si>
    <t>Y3-C774/SNC 1149/NFX 1644</t>
  </si>
  <si>
    <t>ATTY. VIRGILIO L. MENDEZ</t>
  </si>
  <si>
    <t>2023-10-020MV</t>
  </si>
  <si>
    <t>ALAO AARC</t>
  </si>
  <si>
    <t>2023-05-03-10201SP509-01</t>
  </si>
  <si>
    <t>1S11T5S16200GM0415S8</t>
  </si>
  <si>
    <t>EUGENIA B. DADDY (c/o M&amp;E Staff-COS SPLIT)</t>
  </si>
  <si>
    <t>PO III/M&amp;E Coordinator</t>
  </si>
  <si>
    <t>2023-06-01-10201SP02-01</t>
  </si>
  <si>
    <t>2023-05-44 SPLIT</t>
  </si>
  <si>
    <t>Y2-Z499/SNC 1050/NFX 1653</t>
  </si>
  <si>
    <t>EUGENIA B. DADDY</t>
  </si>
  <si>
    <t>ROLANDO CUA</t>
  </si>
  <si>
    <t>2023-11-029MV</t>
  </si>
  <si>
    <t>2023-06-01-10201SP27-01</t>
  </si>
  <si>
    <t>2023-05-03-10201SP510-01</t>
  </si>
  <si>
    <t>Y2-Z520/SNC 1193/NFX 1643</t>
  </si>
  <si>
    <t>1S11T5S16200GM0415S9</t>
  </si>
  <si>
    <t>ATTY. ROLAND MANALAYSAY</t>
  </si>
  <si>
    <t>DARAB SEC</t>
  </si>
  <si>
    <t>JOCYLYN P. BALLESTRA (c/o Procurement Staff-COS SPLIT)</t>
  </si>
  <si>
    <t>2023-10-014MV</t>
  </si>
  <si>
    <t>AO III/Procurement Coordinator</t>
  </si>
  <si>
    <t>2023-05-45 SPLIT</t>
  </si>
  <si>
    <t>EXECUTIVE DIRECTOR</t>
  </si>
  <si>
    <t>JOCYLYN P. BALLESTRA</t>
  </si>
  <si>
    <t>Asec Castil</t>
  </si>
  <si>
    <t>2023-06-01-10201SP25-01</t>
  </si>
  <si>
    <t>Y2-Z501/SNC 1170</t>
  </si>
  <si>
    <t>GLORIA JULIANO / RAYMOND BAUTISTA</t>
  </si>
  <si>
    <t>GSD/PROCUREMENT</t>
  </si>
  <si>
    <t>2023-10-017MV</t>
  </si>
  <si>
    <t>2023-06-01-10201SP04-01</t>
  </si>
  <si>
    <t>Y2-Z515/SNC 1090/NFX 1716</t>
  </si>
  <si>
    <t>RENE E. COLOCAR</t>
  </si>
  <si>
    <t>2023-09-002MV/?</t>
  </si>
  <si>
    <t>2023-05-03-10201SP511-01</t>
  </si>
  <si>
    <t>FASPO</t>
  </si>
  <si>
    <t>1S11T5S16200GM0415SA</t>
  </si>
  <si>
    <t>Dir Lhet</t>
  </si>
  <si>
    <t>2023-05-46 SPLIT</t>
  </si>
  <si>
    <t>2023-06-01-10201SP156-01</t>
  </si>
  <si>
    <t>Y3-C772/SNC-1199/NFX 1712</t>
  </si>
  <si>
    <t>JOSEF ANGELO MARTIRES</t>
  </si>
  <si>
    <t>2023-05-03-10201SP512-01</t>
  </si>
  <si>
    <t>1S11T5S16200GM0415SC</t>
  </si>
  <si>
    <t>2024-01-003MV</t>
  </si>
  <si>
    <t>ATTY. ESTRELLITA B. BRIONES</t>
  </si>
  <si>
    <t>OIC RARAD/GRM COORDINATOR</t>
  </si>
  <si>
    <t>2023-05-47 SPLIT</t>
  </si>
  <si>
    <t>2023-06-01-10201SP18-01</t>
  </si>
  <si>
    <t>Y3-B175/SNC 1041</t>
  </si>
  <si>
    <t>JESRY PALMARES / COA</t>
  </si>
  <si>
    <t>USEC</t>
  </si>
  <si>
    <t>2023-10-019MV</t>
  </si>
  <si>
    <t>2023-05-03-10201SP513-01</t>
  </si>
  <si>
    <t>1S11T5S16200GM0415SE</t>
  </si>
  <si>
    <t>LEA T. PETERO (COA AUDITOR)</t>
  </si>
  <si>
    <t>GEMMA B. AGCAOILI</t>
  </si>
  <si>
    <t>UFASPO</t>
  </si>
  <si>
    <t>AO III/Project Cashier</t>
  </si>
  <si>
    <t>2023-05-48 SPLIT</t>
  </si>
  <si>
    <t>Desktop Computer – (HP Pro SFF 280G9)</t>
  </si>
  <si>
    <t>2023-05-03-10201SP514-01</t>
  </si>
  <si>
    <t>1S11T5S16200GM0415SF</t>
  </si>
  <si>
    <t>2023-06-01-10201SP23-01</t>
  </si>
  <si>
    <t>AMALIA J. SEPULCHRE</t>
  </si>
  <si>
    <t>Y3-B134/SNC 1083/NFX 1807</t>
  </si>
  <si>
    <t>ARTEMIO DUMAOANG</t>
  </si>
  <si>
    <t>DIRECTOR</t>
  </si>
  <si>
    <t>2023-09-004MV</t>
  </si>
  <si>
    <t>MISS</t>
  </si>
  <si>
    <t>CARPO Glo</t>
  </si>
  <si>
    <t>2023-05-49 SPLIT</t>
  </si>
  <si>
    <t>2023-06-01-10201SP01-01</t>
  </si>
  <si>
    <t>Laptop – (ACER EXTENSA EX215-55G i7)</t>
  </si>
  <si>
    <t>₱ 78,898.00</t>
  </si>
  <si>
    <t>Y3-B065/SNC 1052/NFX 1661</t>
  </si>
  <si>
    <t>2023-05-03-10201SP343-01</t>
  </si>
  <si>
    <t>4CE301DH63</t>
  </si>
  <si>
    <t>PERLA M. GARCIA</t>
  </si>
  <si>
    <t>RCAO/Finance Coordinator</t>
  </si>
  <si>
    <t>2023-08-54 SPLIT</t>
  </si>
  <si>
    <t>2023-09-001MV</t>
  </si>
  <si>
    <t>REGION VI</t>
  </si>
  <si>
    <t>2023-06-01-10201SP12-01</t>
  </si>
  <si>
    <t>Y2-Z500/SNC 1042/NFX 1655</t>
  </si>
  <si>
    <t>2023-10-026MV</t>
  </si>
  <si>
    <t>Asec Palafox</t>
  </si>
  <si>
    <t>2023-06-01-10201SP150-01</t>
  </si>
  <si>
    <t>Y3-C778/SNC 1262/NFX 1662</t>
  </si>
  <si>
    <t>2023-06-01-10201SP21-01</t>
  </si>
  <si>
    <t>Y2-Z514/SNC 1047/NFX 1659</t>
  </si>
  <si>
    <t>ATTY. MARILYN BARUA YAP</t>
  </si>
  <si>
    <t>2023-05-03-10201SP344-01</t>
  </si>
  <si>
    <t>SCEACOO</t>
  </si>
  <si>
    <t>4CE301DSR9</t>
  </si>
  <si>
    <t>2023-11-031MV</t>
  </si>
  <si>
    <t>2023-08-50 SPLIT</t>
  </si>
  <si>
    <t>2023-06-01-10201SP141-01</t>
  </si>
  <si>
    <t>Y3-B133/SNC 1069/NFX 1807</t>
  </si>
  <si>
    <t>2023-05-03-10201SP342-01</t>
  </si>
  <si>
    <t>Motorcycle – (Honda XRL 150)</t>
  </si>
  <si>
    <t>LANI DE LEON</t>
  </si>
  <si>
    <t>4CE301DH6W</t>
  </si>
  <si>
    <t>2023-10-011MV</t>
  </si>
  <si>
    <t>CARPO - FOD/Parcelization Component Coordinator</t>
  </si>
  <si>
    <t>2023-08-53 SPLIT</t>
  </si>
  <si>
    <t>UFMAO</t>
  </si>
  <si>
    <t>2023-06-01-10201SP153-01</t>
  </si>
  <si>
    <t>Y3-B127/SNC 1155/NFX 1654</t>
  </si>
  <si>
    <t>2023-05-03-10201SP338-01</t>
  </si>
  <si>
    <t>ATTY. EUGENE FOLLANTE</t>
  </si>
  <si>
    <t>4CE301DSRR</t>
  </si>
  <si>
    <t>JANE D. TORIBIO (c/o DENR - RO)</t>
  </si>
  <si>
    <t>2023-10-018MV</t>
  </si>
  <si>
    <t>LEGAL SERVICE</t>
  </si>
  <si>
    <t>Photocopier Machine – Kyocera</t>
  </si>
  <si>
    <t>2023-05-03-10201SP339-01</t>
  </si>
  <si>
    <t>4CE301DH3T</t>
  </si>
  <si>
    <t>2023-06-01-10201SP017-01</t>
  </si>
  <si>
    <t>2023-08-55 SPLIT</t>
  </si>
  <si>
    <t>Y3-B071/SNC 1088</t>
  </si>
  <si>
    <t>ATTY NAPOLEON U. GALIT</t>
  </si>
  <si>
    <t>USEC LAO</t>
  </si>
  <si>
    <t>2023-05-03-10201SP341-01</t>
  </si>
  <si>
    <t>4CE301DSQG</t>
  </si>
  <si>
    <t>2023-08-52 SPLIT</t>
  </si>
  <si>
    <t>ULAO</t>
  </si>
  <si>
    <t>PLOTTER (3IN1)</t>
  </si>
  <si>
    <t>2023-05-03-10201SP340-01</t>
  </si>
  <si>
    <t>4CE301DH5V</t>
  </si>
  <si>
    <t>AMALIA J. SEPULCHRE (c/o COS SPLIT - IT)</t>
  </si>
  <si>
    <t>Comp. Prog II/MIS Coordinator</t>
  </si>
  <si>
    <t>2023-08-51 SPLIT</t>
  </si>
  <si>
    <t>2023-06-01-10201SP06-01</t>
  </si>
  <si>
    <t>Y2-Z529/SNC 1078/NFX 1638</t>
  </si>
  <si>
    <t>ATTY. LUIS MEINRADO PAÑGULAYAN</t>
  </si>
  <si>
    <t>A3 PRINTER (BROTHER)</t>
  </si>
  <si>
    <t>2023-09-002MV/006</t>
  </si>
  <si>
    <t>₱ 59,500.00</t>
  </si>
  <si>
    <t>UPPRO</t>
  </si>
  <si>
    <t>2023-05-03-10202SP322</t>
  </si>
  <si>
    <t>NXEGZSP00330801E413400</t>
  </si>
  <si>
    <t>Dir Alfiler</t>
  </si>
  <si>
    <t>SAMUEL S. SOLOMERO</t>
  </si>
  <si>
    <t>Regional Director/Reg'l Project Manager</t>
  </si>
  <si>
    <t>2023-08-56 SPLIT</t>
  </si>
  <si>
    <t>ACER TRAVELMATE</t>
  </si>
  <si>
    <t>2023-05-03-10202SP323</t>
  </si>
  <si>
    <t>2023-06-01-10201SP151-01</t>
  </si>
  <si>
    <t>NXEGZSP00330801CF73400</t>
  </si>
  <si>
    <t>Y3-B108/SNC 1201/NFX 1719</t>
  </si>
  <si>
    <t>Comp. Prog. II/MIS Coordinator</t>
  </si>
  <si>
    <t>2023-08-57 SPLIT</t>
  </si>
  <si>
    <t>ROWENA NIÑA TADURAN</t>
  </si>
  <si>
    <t>2023-10-022MV</t>
  </si>
  <si>
    <t>2023-05-03-10202SP316</t>
  </si>
  <si>
    <t>NXEGZSP00330801DC43400</t>
  </si>
  <si>
    <t>2023-08-58 SPLIT</t>
  </si>
  <si>
    <t>c/o MIS Staff-SPLIT</t>
  </si>
  <si>
    <t>Desktop Computer – (MSI PRO DP180)</t>
  </si>
  <si>
    <t>2023-05-03-10202SP01-01</t>
  </si>
  <si>
    <t>RAMON GERRARDO SAN LUIS</t>
  </si>
  <si>
    <t>EA</t>
  </si>
  <si>
    <t>2023-05-001L</t>
  </si>
  <si>
    <t>2023-05-03-10202SP21-01</t>
  </si>
  <si>
    <t>NXEGZSP00330801C7B3400</t>
  </si>
  <si>
    <t>JESSICA JOY A. FERNANDO</t>
  </si>
  <si>
    <t>Info III</t>
  </si>
  <si>
    <t>2024-01-001</t>
  </si>
  <si>
    <t>2023-05-03-10202SP02-01</t>
  </si>
  <si>
    <t>2023-05-03-10202SP03-01</t>
  </si>
  <si>
    <t>ANGEL DIESTA</t>
  </si>
  <si>
    <t>2023-08-023S</t>
  </si>
  <si>
    <t>HV-SPLIT-102-24-05-06</t>
  </si>
  <si>
    <t>E78947L3H871217</t>
  </si>
  <si>
    <t>REGIONAL DIRECTOR</t>
  </si>
  <si>
    <t>2024-03-001</t>
  </si>
  <si>
    <t>LAPTOP MSI KATANA</t>
  </si>
  <si>
    <t>2023-05-03-10202SP06-01</t>
  </si>
  <si>
    <t>ARNOLD YAP</t>
  </si>
  <si>
    <t>2023-06-013S</t>
  </si>
  <si>
    <t>₱ 46,580.00</t>
  </si>
  <si>
    <t>2023-05-03-10202SP41-01</t>
  </si>
  <si>
    <t>2024-05-03-10202SP-302-01</t>
  </si>
  <si>
    <t>RARAD/Grievance Redress Mechanism Coordinator</t>
  </si>
  <si>
    <t>2023-05-03-10202SP63-01</t>
  </si>
  <si>
    <t>SERVER</t>
  </si>
  <si>
    <t>2023-05-03-10202SP77-01</t>
  </si>
  <si>
    <t>2024-05-03-10202SP-305-01</t>
  </si>
  <si>
    <t>JESSICA JOY A FERNANDO</t>
  </si>
  <si>
    <t>2023-05-03-10202SP78-01</t>
  </si>
  <si>
    <t>2024-05-03-10202SP-245-01</t>
  </si>
  <si>
    <t>NXVXSP00341913B907600</t>
  </si>
  <si>
    <t>TOTAL STATION – ARGOTEK</t>
  </si>
  <si>
    <t>ARPO II/ESS Coorindator</t>
  </si>
  <si>
    <t>Abra</t>
  </si>
  <si>
    <t>2023-05-03-10202SP79-01</t>
  </si>
  <si>
    <t>2023-05-14-10201SP08-01</t>
  </si>
  <si>
    <t>Z60ST272200024</t>
  </si>
  <si>
    <t>ATTY. MERCEDES S. BORONGAN</t>
  </si>
  <si>
    <t>OIC PARPO II /Project Manager</t>
  </si>
  <si>
    <t>2023-03-09 SPLIT</t>
  </si>
  <si>
    <t>Engrs. Jerrieco Belisario/Joseph Bajo</t>
  </si>
  <si>
    <t>2023-05-03-10202SP92-01</t>
  </si>
  <si>
    <t>REAL TIME KINEMATIC -  RTK GNSS TOPCON</t>
  </si>
  <si>
    <t>2023-03-14 SPLIT</t>
  </si>
  <si>
    <t>2023-07-014S</t>
  </si>
  <si>
    <t>2023-05-14-10202SP09-01</t>
  </si>
  <si>
    <t>SP10730083</t>
  </si>
  <si>
    <t>ATTY, MERCEDES S. BORONGAN</t>
  </si>
  <si>
    <t>2023-05-03-10202SP93-01</t>
  </si>
  <si>
    <t>2023-03-19 SPLIT</t>
  </si>
  <si>
    <t>ARDEN D. BANDAL</t>
  </si>
  <si>
    <t>ASST. DIRECTOR</t>
  </si>
  <si>
    <t>2023-07-015S</t>
  </si>
  <si>
    <t>PLOTTER - GAKKEN</t>
  </si>
  <si>
    <t>2023-05-03-10202SP94-01</t>
  </si>
  <si>
    <t>2023-05-03-10201SP515-01</t>
  </si>
  <si>
    <t>ELIZABETH F. DAMASCO</t>
  </si>
  <si>
    <t>1S11T5S16200GM0415SG</t>
  </si>
  <si>
    <t>CHIEF</t>
  </si>
  <si>
    <t>2023-07-016S</t>
  </si>
  <si>
    <t>ERNESTO CABANERO
 RINAH FLORES</t>
  </si>
  <si>
    <t>TOYOTA GRANDIA TOURER</t>
  </si>
  <si>
    <t>Procurement Coordinator</t>
  </si>
  <si>
    <t>TOYOTA FORTUNER</t>
  </si>
  <si>
    <t>2023-04-31 SPLIT</t>
  </si>
  <si>
    <t>(Joel Barbadillo)
 JOMAR JADE ADZUARA</t>
  </si>
  <si>
    <t>2023-05-03-10201SP516-01</t>
  </si>
  <si>
    <t>1S11T5S16200GM0415SH</t>
  </si>
  <si>
    <t>MARITES B. OCAMPO
 DENR</t>
  </si>
  <si>
    <t>ARPO II/ Parcelization Component Coordinator
 DENR</t>
  </si>
  <si>
    <t xml:space="preserve">TOYOTA INNOVA </t>
  </si>
  <si>
    <t>2023-05-03-10201SP517-01</t>
  </si>
  <si>
    <t>1S11T5S16200GM0415SI</t>
  </si>
  <si>
    <t>TOYOTA TAMARAW UTILITY VAN</t>
  </si>
  <si>
    <t>MARITES B. OCAMPO</t>
  </si>
  <si>
    <t>ARPO II/ Parcelization Component Coordinator</t>
  </si>
  <si>
    <t>FRANCISCO VALEROS III</t>
  </si>
  <si>
    <t>2023-05-03-10201SP518-01</t>
  </si>
  <si>
    <t>1S11T5S16200GM0415SL</t>
  </si>
  <si>
    <t>MARITES B. OCAMPO
 CLAMARIE BACANI</t>
  </si>
  <si>
    <t>Team III</t>
  </si>
  <si>
    <t>2023-05-03-10202SP95-01</t>
  </si>
  <si>
    <t>2023-05-03-10201SP519-01</t>
  </si>
  <si>
    <t>1S11T5S16200GM0415SN</t>
  </si>
  <si>
    <t>JENER URFINDO C. BACUYAG</t>
  </si>
  <si>
    <t>2023-07-017S</t>
  </si>
  <si>
    <t>2023-05-03-10201SP520-01</t>
  </si>
  <si>
    <t>1S11T5S16200GM0415T1</t>
  </si>
  <si>
    <t>MARITES B. OCAMPO
 JERBIN PARIÑAG</t>
  </si>
  <si>
    <t>TOTAL ITEMS DISTRIBUTED</t>
  </si>
  <si>
    <t>Team V</t>
  </si>
  <si>
    <t>PRINTER-UNSERVICEABLE UPS-2023-05-03-10201SP528-01</t>
  </si>
  <si>
    <t>2023-05-03-10202SP96-01</t>
  </si>
  <si>
    <t>ASEC FMAO</t>
  </si>
  <si>
    <t>2023-07-021S</t>
  </si>
  <si>
    <t>2023-05-03-10201SP521-02</t>
  </si>
  <si>
    <t>1S11T5S16200GM0415V0</t>
  </si>
  <si>
    <t>MARITES B. OCAMPO
 MEYLANEE MIGUEL</t>
  </si>
  <si>
    <t>2023-05-03-10202SP97-01</t>
  </si>
  <si>
    <t>MARITES B. OCAMPO
 DARLENE BENIDO</t>
  </si>
  <si>
    <t>2023-07-022S</t>
  </si>
  <si>
    <t>PRINTER-UNSERVICEABLE</t>
  </si>
  <si>
    <t>2023-05-03-10202SP98-01</t>
  </si>
  <si>
    <t>ATTY. RUJEN RUJH MAGLIBA</t>
  </si>
  <si>
    <t>2023-08-024S</t>
  </si>
  <si>
    <t>2023-05-03-10201SP522-03</t>
  </si>
  <si>
    <t>1S11T5S16200GM0415W6</t>
  </si>
  <si>
    <t>MAYLANEE P. MIGUEL</t>
  </si>
  <si>
    <t>M&amp;E Coordinator</t>
  </si>
  <si>
    <t>(Alyza Marie Bolesa)</t>
  </si>
  <si>
    <t>2023-05-03-10202SP99-01</t>
  </si>
  <si>
    <t>CRISTINA DAGDAG</t>
  </si>
  <si>
    <t>CAO</t>
  </si>
  <si>
    <t>2023-08-025S</t>
  </si>
  <si>
    <t>2023-05-03-10201SP523-01</t>
  </si>
  <si>
    <t>1S11T5S16200GM0415W7</t>
  </si>
  <si>
    <t>SPLIT</t>
  </si>
  <si>
    <t>MYLENE A. SANTAMARIA</t>
  </si>
  <si>
    <t>MIS Coordinator</t>
  </si>
  <si>
    <t>(Rizzi Joyce Tupasi)
 MARIFLOR TORRALIZA</t>
  </si>
  <si>
    <t>2023-05-03-10202SP100-01</t>
  </si>
  <si>
    <t>2023-05-03-10201SP524-01</t>
  </si>
  <si>
    <t>1S11T5S16200GM0415WH</t>
  </si>
  <si>
    <t>DENNIS RAMOS</t>
  </si>
  <si>
    <t>MARIFLOR TORRELIZA
 ATTY. MERCEDES BORONGAN</t>
  </si>
  <si>
    <t>2023-08-026S</t>
  </si>
  <si>
    <t>OIC PCAO/ Technical Staff - Admin &amp; Finance Coordinator
  OIC PARPO II/ Project Manager</t>
  </si>
  <si>
    <t>FMS OD</t>
  </si>
  <si>
    <t>(Angelica Rapisura)</t>
  </si>
  <si>
    <t>2023-05-03-10202SP101-01</t>
  </si>
  <si>
    <t>FE LEZZIE A. FALCON</t>
  </si>
  <si>
    <t>2023-05-03-10201SP525-01</t>
  </si>
  <si>
    <t>1S11T5S16200GM0415WZ</t>
  </si>
  <si>
    <t>2023-07-018S</t>
  </si>
  <si>
    <t>MARIFLOR TORRELIZA
 MILAGROS BACTAOAN</t>
  </si>
  <si>
    <t>OIC PCAO/ Technical Staff - Admin &amp; Finance Coordinator</t>
  </si>
  <si>
    <t>MARIFLOR TORRELIZA</t>
  </si>
  <si>
    <t>PRINTER-UNSERVICEABLE
 UPS-UNSERVICEABLE</t>
  </si>
  <si>
    <t>2023-05-03-10202SP102-01</t>
  </si>
  <si>
    <t>ATTY. JOSEPH RAYMUND I. BAUTISTA</t>
  </si>
  <si>
    <t>2023-05-03-10201SP526-01</t>
  </si>
  <si>
    <t>OIC CAO</t>
  </si>
  <si>
    <t>1S11T5S16200GM0415X1</t>
  </si>
  <si>
    <t>2023-07-019S</t>
  </si>
  <si>
    <t>PROCUREMENT DIV</t>
  </si>
  <si>
    <t>BENJAMIN REGALADO JR.
 LUNACIA SEGUNDO</t>
  </si>
  <si>
    <t>ESS Support Staff</t>
  </si>
  <si>
    <t>BENJAMIN REGALADO JR.
 SHERMINDA SAMBO</t>
  </si>
  <si>
    <t>2023-05-03-10202SP103-01</t>
  </si>
  <si>
    <t>2023-05-03-10201SP527-01</t>
  </si>
  <si>
    <t>1S11T5S16200GM0415XE</t>
  </si>
  <si>
    <t>FILMA MOLINA</t>
  </si>
  <si>
    <t>Technical Staff / ESS Coordinator</t>
  </si>
  <si>
    <t>(Jeralyn Cariño)
 MARIFLOR TORRELIZA</t>
  </si>
  <si>
    <t>2023-05-03-10202SP104-01</t>
  </si>
  <si>
    <t>2023-05-03-10201SP528-01</t>
  </si>
  <si>
    <t>1S11T5S16200GM0415XI</t>
  </si>
  <si>
    <t>ATTY. MERCEDES BORONGAN</t>
  </si>
  <si>
    <t>OIC PARPO II/ Project Manager</t>
  </si>
  <si>
    <t>PRINTER-UNSERVICEABLE
 UPS-2023-05-03-10201SP520-01</t>
  </si>
  <si>
    <t>2023-05-03-10202SP105-01</t>
  </si>
  <si>
    <t>MA. CRISTINA C. DAGDAG</t>
  </si>
  <si>
    <t>2023-07-020S</t>
  </si>
  <si>
    <t>2023-05-03-10201SP345-01</t>
  </si>
  <si>
    <t>4CE301DH9M</t>
  </si>
  <si>
    <t>FILMA MOLINA
 LUNACIA SEGUNDO</t>
  </si>
  <si>
    <t>2023-08-59 SPLIT</t>
  </si>
  <si>
    <t>2023-05-03-10201SP351-01</t>
  </si>
  <si>
    <t>4CE301DH44</t>
  </si>
  <si>
    <t>2023-05-03-10202SP106-01</t>
  </si>
  <si>
    <t>MYLENE A. SANTAMARIA
 DENR</t>
  </si>
  <si>
    <t>EMMANUEL M. FALLARIA</t>
  </si>
  <si>
    <t>(Jhon Mark Banganan)
 DENR</t>
  </si>
  <si>
    <t>2023-08-027S</t>
  </si>
  <si>
    <t>PS</t>
  </si>
  <si>
    <t>2023-05-03-10202SP107-01</t>
  </si>
  <si>
    <t>2023-05-03-10201SP352-01</t>
  </si>
  <si>
    <t>BENILDA ALVAREZ</t>
  </si>
  <si>
    <t>4CE301DSQR</t>
  </si>
  <si>
    <t>2023-08-028S</t>
  </si>
  <si>
    <t>(Abel Cortel)
 ROD</t>
  </si>
  <si>
    <t>2023-05-03-10201SP353-01</t>
  </si>
  <si>
    <t>4CE301DH7P</t>
  </si>
  <si>
    <t>DIVINALYN PADERES
 ATTY. ILLYSA ABQUIREN</t>
  </si>
  <si>
    <t>Legal Coordinator</t>
  </si>
  <si>
    <t>2023-05-03-10202SP108-01</t>
  </si>
  <si>
    <t>DIVINALYN PADERES
 ANGELO BIGOMLA</t>
  </si>
  <si>
    <t>ATTY. MARIA CHRISTINE EVANGELISTA</t>
  </si>
  <si>
    <t>2023-08-029S</t>
  </si>
  <si>
    <t>BALA</t>
  </si>
  <si>
    <t>2023-05-03-10201SP354-01</t>
  </si>
  <si>
    <t>4CE301DSPF</t>
  </si>
  <si>
    <t>DIVINALYN PADERES
 KRISTINE BALDEMOR</t>
  </si>
  <si>
    <t>2023-05-03-10202SP109-01</t>
  </si>
  <si>
    <t>ROSARIO R. REGALADO</t>
  </si>
  <si>
    <t>2023-08-030S</t>
  </si>
  <si>
    <t>2023-05-03-10202SP317-01</t>
  </si>
  <si>
    <t>NXEGZSP00330801E0C3400</t>
  </si>
  <si>
    <t>JHAY T. ARMINGTON
 MAYLANEE P. MIGUEL</t>
  </si>
  <si>
    <t>ARPO I</t>
  </si>
  <si>
    <t>2023-05-03-10202SP110-01</t>
  </si>
  <si>
    <t>2023-08-60 SPLIT</t>
  </si>
  <si>
    <t>ONOFRE V. VALDEZ</t>
  </si>
  <si>
    <t>2023-08-031S</t>
  </si>
  <si>
    <t>ACCOUNTING</t>
  </si>
  <si>
    <t>2023-05-03-10202SP111-01</t>
  </si>
  <si>
    <t>JAMIL P. AMATONDING JR.</t>
  </si>
  <si>
    <t>2023-08-032S</t>
  </si>
  <si>
    <t>2023-05-03-10202SP318-02</t>
  </si>
  <si>
    <t>NXEGZSP00330801E7B3400</t>
  </si>
  <si>
    <t>PRS</t>
  </si>
  <si>
    <t>MAYLANEE P. MIGUEL
 ATTY. MERCEDES S. BORONGAN</t>
  </si>
  <si>
    <t>2023-05-03-10202SP112-01</t>
  </si>
  <si>
    <t>JOCELYN RAMONES</t>
  </si>
  <si>
    <t>2023-08-033S</t>
  </si>
  <si>
    <t>PARC</t>
  </si>
  <si>
    <t>2023-05-03-10202SP319-03</t>
  </si>
  <si>
    <t>NXEGZSP00330801B043400</t>
  </si>
  <si>
    <t>ATTY. MERCEDES S. BORONGAN
 MAYLEEN SANTAMARIA</t>
  </si>
  <si>
    <t>2023-05-03-10202SP113-01</t>
  </si>
  <si>
    <t>ATTY. MACDONALD GALIT</t>
  </si>
  <si>
    <t>₱ 84,500.00</t>
  </si>
  <si>
    <t>2022-05-02-10202SP09-01</t>
  </si>
  <si>
    <t>RNK2700209</t>
  </si>
  <si>
    <t>2023-05-03-10202SP114-01</t>
  </si>
  <si>
    <t>LORIVI SANTIAGO</t>
  </si>
  <si>
    <t>AUDITOR</t>
  </si>
  <si>
    <t>2023-08-034S</t>
  </si>
  <si>
    <t>COA</t>
  </si>
  <si>
    <t>2023-05-03-10202SP115-01</t>
  </si>
  <si>
    <t>2023-05-03-10202SP04-01</t>
  </si>
  <si>
    <t>LYN TRINIDAD</t>
  </si>
  <si>
    <t>NXEGZSP00330801B8D400</t>
  </si>
  <si>
    <t>MARIFLOR TORRELIZA
 JHAY ARMINGTON</t>
  </si>
  <si>
    <t>2023-08-035S</t>
  </si>
  <si>
    <t>OIC PCAO/ Technical Staff - Admin &amp; Finance Officer</t>
  </si>
  <si>
    <t>PTR# 2024-01-001</t>
  </si>
  <si>
    <t>JHAY ARMINGTON</t>
  </si>
  <si>
    <t>HV-SPLIT-102-24-05-07
 HV-SPLIT-102-24-05-04-012</t>
  </si>
  <si>
    <t>2023-05-03-10202SP116-01</t>
  </si>
  <si>
    <t>ATTY. ROLANDO CUA</t>
  </si>
  <si>
    <t>2023-08-046</t>
  </si>
  <si>
    <t>Apayao</t>
  </si>
  <si>
    <t>2023-05-14-10201SP11-01</t>
  </si>
  <si>
    <t>Z60ST272200103</t>
  </si>
  <si>
    <t>ARPT/MIS Coordinator</t>
  </si>
  <si>
    <t>2023-03-10 SPLIT</t>
  </si>
  <si>
    <t>Ethyl Kate Pelovello</t>
  </si>
  <si>
    <t>2023-05-03-10202SP117-01</t>
  </si>
  <si>
    <t>GLENDA MARTHA TABUT</t>
  </si>
  <si>
    <t>2023-09-065S</t>
  </si>
  <si>
    <t>2023-03-15 SPLIT</t>
  </si>
  <si>
    <t>2023-05-14-10202SP11-01</t>
  </si>
  <si>
    <t>SP10730017</t>
  </si>
  <si>
    <t>2023-03-20 SPLIT</t>
  </si>
  <si>
    <t>2023-05-03-10202SP201-01</t>
  </si>
  <si>
    <t>MARK ANTHONY DOMINGO</t>
  </si>
  <si>
    <t>2023-09-060S</t>
  </si>
  <si>
    <t>2023-05-03-10201SP529-01</t>
  </si>
  <si>
    <t>1S11T5S16200GM0415XN</t>
  </si>
  <si>
    <t>ISIDRA C. CALUDUCAN</t>
  </si>
  <si>
    <t>2023-04-32 SPLIT</t>
  </si>
  <si>
    <t>2023-05-03-10201SP530-01</t>
  </si>
  <si>
    <t>2023-05-03-10202SP202-01</t>
  </si>
  <si>
    <t>1S11T5S16200GM0415XR</t>
  </si>
  <si>
    <t>2023-09-061S</t>
  </si>
  <si>
    <t>2023-05-03-10201SP531-01</t>
  </si>
  <si>
    <t>1S11T5S16200GM0415XS</t>
  </si>
  <si>
    <t>2023-05-03-10202SP203-01</t>
  </si>
  <si>
    <t>FRANCINE KYLE CASIO</t>
  </si>
  <si>
    <t>PARPO I</t>
  </si>
  <si>
    <t>2023-05-03-10201SP532-01</t>
  </si>
  <si>
    <t>1S11T5S16200GM0415XT</t>
  </si>
  <si>
    <t>2023-05-03-10202SP204-01</t>
  </si>
  <si>
    <t>USEC FMAO</t>
  </si>
  <si>
    <t>2023-09-063S</t>
  </si>
  <si>
    <t>2023-05-03-10201SP533-01</t>
  </si>
  <si>
    <t>1S11T5S16200GM0415XV</t>
  </si>
  <si>
    <t>FMAO</t>
  </si>
  <si>
    <t>2023-05-03-10201SP534-01</t>
  </si>
  <si>
    <t>1S11T5S16200GM0415XW</t>
  </si>
  <si>
    <t>2023-05-03-10202SP205-01</t>
  </si>
  <si>
    <t>2023-09-064S</t>
  </si>
  <si>
    <t>2023-05-03-10201SP535-01</t>
  </si>
  <si>
    <t>1S11T5S16200GM0415XY</t>
  </si>
  <si>
    <t>2023-05-03-10202SP265-01</t>
  </si>
  <si>
    <t>2023-05-03-10201SP536-01</t>
  </si>
  <si>
    <t>1S11T5S16200GM0415Y0</t>
  </si>
  <si>
    <t>ATTY. MARJORIE AYSON</t>
  </si>
  <si>
    <t>2023-08-053S</t>
  </si>
  <si>
    <t>2023-05-03-10201SP537-01</t>
  </si>
  <si>
    <t>1S11T5S16200GM0415Y1</t>
  </si>
  <si>
    <t>2023-05-03-10202SP266-01</t>
  </si>
  <si>
    <t>2023-05-03-10201SP538-01</t>
  </si>
  <si>
    <t>1S11T5S16200GM0415Y2</t>
  </si>
  <si>
    <t>2023-05-03-10202SP267-01</t>
  </si>
  <si>
    <t>2023-05-03-10201SP539-01</t>
  </si>
  <si>
    <t>2023-05-03-10202SP345-01</t>
  </si>
  <si>
    <t>1S11T5S16200GM0415Y4</t>
  </si>
  <si>
    <t>GLORIA JULIANO</t>
  </si>
  <si>
    <t>2023-08-060S</t>
  </si>
  <si>
    <t>GSD</t>
  </si>
  <si>
    <t>2023-05-03-10201SP540-01</t>
  </si>
  <si>
    <t>1S11T5S16200GM0415Y5</t>
  </si>
  <si>
    <t>2023-05-03-10202SP346-01</t>
  </si>
  <si>
    <t>KATHERINE CASILI</t>
  </si>
  <si>
    <t>2023-08-054S</t>
  </si>
  <si>
    <t>UFOO</t>
  </si>
  <si>
    <t>2023-05-03-10201SP541-01</t>
  </si>
  <si>
    <t>1S11T5S16200GM0415YT</t>
  </si>
  <si>
    <t>2023-05-03-10201SP542-01</t>
  </si>
  <si>
    <t>1S11T5S16200GM0415YY</t>
  </si>
  <si>
    <t>2023-05-03-10202SP347-01</t>
  </si>
  <si>
    <t>2023-05-03-10201SP355-01</t>
  </si>
  <si>
    <t>4CE301DH4H</t>
  </si>
  <si>
    <t>ATTY. PENELOPE B. DE AUSEN</t>
  </si>
  <si>
    <t>2023-08-62 SPLIT</t>
  </si>
  <si>
    <t>2023-05-03-10202SP348-01</t>
  </si>
  <si>
    <t>JESRY PALMARES</t>
  </si>
  <si>
    <t>2023-08-055S</t>
  </si>
  <si>
    <t>2023-05-03-10201SP356-01</t>
  </si>
  <si>
    <t>4CE301DH3K</t>
  </si>
  <si>
    <t>2023-05-03-10202SP349-01</t>
  </si>
  <si>
    <t>2023-05-03-10202SP314-01</t>
  </si>
  <si>
    <t>NXEGZSP00330801EA33400</t>
  </si>
  <si>
    <t>2023-05-03-10202SP315-01</t>
  </si>
  <si>
    <t>NXEGZSP00330801E0C3401</t>
  </si>
  <si>
    <t>2023-05-03-10202SP350-01</t>
  </si>
  <si>
    <t>ANACLETA MARIANO</t>
  </si>
  <si>
    <t>2023-08-056S</t>
  </si>
  <si>
    <t>2022-05-02-10202SP10-01</t>
  </si>
  <si>
    <t>RNK2700212</t>
  </si>
  <si>
    <t>FEDELINA LIBATIQUE</t>
  </si>
  <si>
    <t>AO IV/Procurement Coordinator</t>
  </si>
  <si>
    <t>2023-05-03-10202SP05-01</t>
  </si>
  <si>
    <t>NXEGZP00330801D823400</t>
  </si>
  <si>
    <t>2023-05-03-10202SP351-01</t>
  </si>
  <si>
    <t>EDNALYN G. SALAZAR</t>
  </si>
  <si>
    <t>PCAO/ Technical Staff - Admin &amp; Finance Officer</t>
  </si>
  <si>
    <t>PTR# 2024-01-002</t>
  </si>
  <si>
    <t>YZIEL JANE CAMARISTA</t>
  </si>
  <si>
    <t>HV-SPLIT-102-24-05-08</t>
  </si>
  <si>
    <t>FB8AE0043766615</t>
  </si>
  <si>
    <t>2023-05-03-10202SP352-01</t>
  </si>
  <si>
    <t>Benguet</t>
  </si>
  <si>
    <t>2023-08-057S</t>
  </si>
  <si>
    <t>2023-05-14-10201SP10-01</t>
  </si>
  <si>
    <t>Z60ST272200124</t>
  </si>
  <si>
    <t>LAILANI A. CORTEZ</t>
  </si>
  <si>
    <t>DENR,LRA/ROD Survey Coordinator</t>
  </si>
  <si>
    <t>2023-03-11 SPLIT</t>
  </si>
  <si>
    <t>Fernando Perazo</t>
  </si>
  <si>
    <t>2023-03-16 SPLIT</t>
  </si>
  <si>
    <t>2023-05-03-10202SP353-01</t>
  </si>
  <si>
    <t>2023-05-14-10202SP10-01</t>
  </si>
  <si>
    <t>SP10730089</t>
  </si>
  <si>
    <t>2023-03-21 SPLIT</t>
  </si>
  <si>
    <t>2023-05-03-10202SP354-01</t>
  </si>
  <si>
    <t>2023-05-03-10201SP543-01</t>
  </si>
  <si>
    <t>1S11T5S16200GM0415YZ</t>
  </si>
  <si>
    <t>ERNESTO CONTERO</t>
  </si>
  <si>
    <t>SARPO / SPLIT Focal Person</t>
  </si>
  <si>
    <t>2023-08-058S</t>
  </si>
  <si>
    <t>2023-04-33 SPLIT</t>
  </si>
  <si>
    <t>2023-05-03-10201SP544-01</t>
  </si>
  <si>
    <t>1S11T5S16200GM0415ZF</t>
  </si>
  <si>
    <t>JIJIE MANUEL</t>
  </si>
  <si>
    <t>ACCOUNTANT II</t>
  </si>
  <si>
    <t>2023-05-03-10202SP385-01</t>
  </si>
  <si>
    <t>2023-08-059S</t>
  </si>
  <si>
    <t>2023-05-03-10201SP545-01</t>
  </si>
  <si>
    <t>1S11T5S16200GM0415ZH</t>
  </si>
  <si>
    <t>2023-05-03-10202SP386-01</t>
  </si>
  <si>
    <t>AMIHILDA SANGCOPAN</t>
  </si>
  <si>
    <t>OMA</t>
  </si>
  <si>
    <t>2023-05-03-10201SP546-01</t>
  </si>
  <si>
    <t>1S11T5S16200GM0415ZS</t>
  </si>
  <si>
    <t>YVONNE KRYZA LUNES</t>
  </si>
  <si>
    <t>ADMIN AIDE VI</t>
  </si>
  <si>
    <t>2023-05-03-10202SP387-01</t>
  </si>
  <si>
    <t>2023-05-03-10201SP547-01</t>
  </si>
  <si>
    <t>1S11T5S16200GM04160E</t>
  </si>
  <si>
    <t>2023-05-03-10201SP548-01</t>
  </si>
  <si>
    <t>1S11T5S16200GM0418CB</t>
  </si>
  <si>
    <t>FERNANDO PERAZO</t>
  </si>
  <si>
    <t>2023-05-03-10202SP388-01</t>
  </si>
  <si>
    <t>ARPO I / DENR, ROD Coordinator</t>
  </si>
  <si>
    <t>PRINTER-2023-05-03-10201SP545-01</t>
  </si>
  <si>
    <t>2023-05-03-10202SP389-01</t>
  </si>
  <si>
    <t>2023-05-03-10201SP549-01</t>
  </si>
  <si>
    <t>1S11T5S16200GM0418CM</t>
  </si>
  <si>
    <t>ATTY. JOHN A. BAYANGAN</t>
  </si>
  <si>
    <t>ATTY. V / Legal Officer</t>
  </si>
  <si>
    <t>2023-05-03-10201SP550-01</t>
  </si>
  <si>
    <t>2023-05-03-10202SP390-01</t>
  </si>
  <si>
    <t>1S11T5S16200GM0418CP</t>
  </si>
  <si>
    <t>VIOLETA WA-IS</t>
  </si>
  <si>
    <t>AO IV - GSO</t>
  </si>
  <si>
    <t>MONITOR-FOR REPAIR</t>
  </si>
  <si>
    <t>2023-05-03-10201SP551-01</t>
  </si>
  <si>
    <t>1S11T5S16200GM0418CR</t>
  </si>
  <si>
    <t>RODOLFO AGUSTIN</t>
  </si>
  <si>
    <t>SARPO / M &amp; E Coordinator</t>
  </si>
  <si>
    <t>2023-05-03-10202SP391-01</t>
  </si>
  <si>
    <t>MARY JOYCE RICAMORA</t>
  </si>
  <si>
    <t>2023-09-066S</t>
  </si>
  <si>
    <t>2023-05-03-10201SP552-01</t>
  </si>
  <si>
    <t>DARPO</t>
  </si>
  <si>
    <t>1S11T5S16200GM0418CT</t>
  </si>
  <si>
    <t>2023-05-03-10201SP553-01</t>
  </si>
  <si>
    <t>1S11T5S16200GM0418CX</t>
  </si>
  <si>
    <t>2023-05-03-10202SP392-01</t>
  </si>
  <si>
    <t>MONITOR AND UPS - 2023-05-03-10201SP554-01</t>
  </si>
  <si>
    <t>2023-05-03-10201SP554-01</t>
  </si>
  <si>
    <t>1S11T5S16200GM0418CY</t>
  </si>
  <si>
    <t>2023-09-067S</t>
  </si>
  <si>
    <t>2023-05-03-10202SP393-01</t>
  </si>
  <si>
    <t>ELIZABETH VILLAPANDO</t>
  </si>
  <si>
    <t>2023-10-069S</t>
  </si>
  <si>
    <t>ADIR</t>
  </si>
  <si>
    <t>2023-05-03-10201SP555-01</t>
  </si>
  <si>
    <t>1S11T5S16200GM0418D1</t>
  </si>
  <si>
    <t>2023-05-03-10202SP394-01</t>
  </si>
  <si>
    <t>BLAD</t>
  </si>
  <si>
    <t>PRINTER - 2023-05-03-10201SP547-01</t>
  </si>
  <si>
    <t>2023-10-071S</t>
  </si>
  <si>
    <t>2023-05-03-10201SP556-01</t>
  </si>
  <si>
    <t>1S11T5S16200GM0418D3</t>
  </si>
  <si>
    <t>FERDINOVEM DEPAYSO</t>
  </si>
  <si>
    <t>2023-05-03-10202SP395-01</t>
  </si>
  <si>
    <t>OIC PCAO</t>
  </si>
  <si>
    <t>2023-05-03-10201SP357-01</t>
  </si>
  <si>
    <t>2023-05-03-10202SP396-01</t>
  </si>
  <si>
    <t>4CE301DH62</t>
  </si>
  <si>
    <t>KAZEL C. CELESTE</t>
  </si>
  <si>
    <t>2023-08-63 SPLIT</t>
  </si>
  <si>
    <t>2023-10-070S</t>
  </si>
  <si>
    <t>MONITOR - 2023-05-03-10201SP358-01</t>
  </si>
  <si>
    <t>2023-05-03-10202SP397-01</t>
  </si>
  <si>
    <t>2023-05-03-10201SP358-01</t>
  </si>
  <si>
    <t>4CE301DH66</t>
  </si>
  <si>
    <t>GLORIA DATIC</t>
  </si>
  <si>
    <t>BLTI DCD</t>
  </si>
  <si>
    <t>MONITOR - 2023-05-03-10201SP359-01</t>
  </si>
  <si>
    <t>2023-05-03-10201SP359-01</t>
  </si>
  <si>
    <t>4CE301DH32</t>
  </si>
  <si>
    <t>DONNA LYN CHING</t>
  </si>
  <si>
    <t>AO IV/Project Budget Officer</t>
  </si>
  <si>
    <t>MONITOR - 2023-05-03-10201SP357-01</t>
  </si>
  <si>
    <t>2023-05-03-10202SP320-01</t>
  </si>
  <si>
    <t>NXEGZSP00330801AB63400</t>
  </si>
  <si>
    <t>MARIBEL BINAY-AN</t>
  </si>
  <si>
    <t>Records Officer - Registry of Deeds</t>
  </si>
  <si>
    <t>2023-08-64 SPLIT</t>
  </si>
  <si>
    <t>2023-05-03-10202SP398-01</t>
  </si>
  <si>
    <t>2023-05-03-10202SP321-01</t>
  </si>
  <si>
    <t>NXEGZSP00330801B453400</t>
  </si>
  <si>
    <t>FERNANDO PERAZO (c/o Project Engineer)</t>
  </si>
  <si>
    <t>(c/o Project Engineer)</t>
  </si>
  <si>
    <t>2022-05-02-10202SP05-01</t>
  </si>
  <si>
    <t>RNK2700177</t>
  </si>
  <si>
    <t>2023-05-03-10202SP399-01</t>
  </si>
  <si>
    <t>PARPO</t>
  </si>
  <si>
    <t>2023-05-03-10202SP400-01</t>
  </si>
  <si>
    <t>2023-05-03-10202SP22-01</t>
  </si>
  <si>
    <t>NXEGZSP00330801C583400</t>
  </si>
  <si>
    <t>JUAN MARIA LORENZO CASTRICIONES</t>
  </si>
  <si>
    <t>FERDINOVEM W. DEPAYSO</t>
  </si>
  <si>
    <t>CRS</t>
  </si>
  <si>
    <t>2023-09-068S</t>
  </si>
  <si>
    <t>PTR# 2024-01-003</t>
  </si>
  <si>
    <t>TEOFILO TAMID-AY</t>
  </si>
  <si>
    <t>2023-05-03-10201SP493-01</t>
  </si>
  <si>
    <t>DENNIS G. RAMOS</t>
  </si>
  <si>
    <t>₱ 49,300.00</t>
  </si>
  <si>
    <t>HVSPLIT-102-24-05-01-167</t>
  </si>
  <si>
    <t>2023-05-03-10201SP494-01</t>
  </si>
  <si>
    <t>HVSPLIT-102-24-05-01-350</t>
  </si>
  <si>
    <t>2023-05-03-10201SP495-01</t>
  </si>
  <si>
    <t>ATTY.NESTOR IFURUNG</t>
  </si>
  <si>
    <t>2023-09-062S</t>
  </si>
  <si>
    <t>HVSPLIT-102-24-05-01-351</t>
  </si>
  <si>
    <t>HVSPLIT-102-24-05-01-352</t>
  </si>
  <si>
    <t>2023-05-03-10201SP496-01</t>
  </si>
  <si>
    <t>GLORIA M. JULIANO</t>
  </si>
  <si>
    <t>2023-09-061SA</t>
  </si>
  <si>
    <t>HVSPLIT-102-24-05-01-353</t>
  </si>
  <si>
    <t>2023-05-03-10201SP497-01</t>
  </si>
  <si>
    <t>HVSPLIT-102-24-05-01-354</t>
  </si>
  <si>
    <t>HVSPLIT-102-24-05-01-355</t>
  </si>
  <si>
    <t>2023-05-03-10201SP498-01</t>
  </si>
  <si>
    <t>2023-09-062SA</t>
  </si>
  <si>
    <t>HVSPLIT-102-24-05-01-356</t>
  </si>
  <si>
    <t>ASSO</t>
  </si>
  <si>
    <t>HVSPLIT-102-24-05-01-357</t>
  </si>
  <si>
    <t>2023-05-03-10201SP499-01</t>
  </si>
  <si>
    <t>VINCENT RAMOS</t>
  </si>
  <si>
    <t>2023-09-062SB</t>
  </si>
  <si>
    <t>HVSPLIT-102-24-05-01-358</t>
  </si>
  <si>
    <t>2023-05-03-10201SP500-01</t>
  </si>
  <si>
    <t>HVSPLIT-102-24-05-01-359</t>
  </si>
  <si>
    <t>HVSPLIT-102-24-05-01-360</t>
  </si>
  <si>
    <t>2023-05-03-10201SP501-01</t>
  </si>
  <si>
    <t>2023-10-71S</t>
  </si>
  <si>
    <t>HVSPLIT-102-24-05-01-361</t>
  </si>
  <si>
    <t>HVSPLIT-102-24-05-01-362</t>
  </si>
  <si>
    <t>HVSPLIT-102-24-05-01-363</t>
  </si>
  <si>
    <t>HVSPLIT-102-24-05-01-364</t>
  </si>
  <si>
    <t>HVSPLIT-102-24-05-01-365</t>
  </si>
  <si>
    <t>HV-SPLIT-102-24-05-09</t>
  </si>
  <si>
    <t>2023-05-03-10201SP05-01</t>
  </si>
  <si>
    <t>ATTY. MARJORIE P. AYSON</t>
  </si>
  <si>
    <t>DARPO BENGUET</t>
  </si>
  <si>
    <t>2023-08-012DS</t>
  </si>
  <si>
    <t>Ifugao</t>
  </si>
  <si>
    <t>2023-05-14-10201SP17-01</t>
  </si>
  <si>
    <t>Z60ST272200380</t>
  </si>
  <si>
    <t>BRENDA LAFASNI</t>
  </si>
  <si>
    <t>2023-11-81 SPLIT</t>
  </si>
  <si>
    <t>2023-05-03-10201SP06-01</t>
  </si>
  <si>
    <t>2023-11-82 SPLIT</t>
  </si>
  <si>
    <t>2023-05-03-10201SP557-01</t>
  </si>
  <si>
    <t>1S11T5S16200GM0418D4</t>
  </si>
  <si>
    <t>ALONA A. PADILLA</t>
  </si>
  <si>
    <t>FVT Coordinator</t>
  </si>
  <si>
    <t>2023-04-34 SPLIT</t>
  </si>
  <si>
    <t>2023-05-03-10201SP07-01</t>
  </si>
  <si>
    <t>2023-05-03-10201SP558-01</t>
  </si>
  <si>
    <t>1S11T5S16200GM0418DB</t>
  </si>
  <si>
    <t>ATTY. JOHNSON P. NASDOMAN</t>
  </si>
  <si>
    <t>2023-05-03-10201SP08-01</t>
  </si>
  <si>
    <t>2023-05-03-10201SP559-01</t>
  </si>
  <si>
    <t>1S11T5S16200GM0418DL</t>
  </si>
  <si>
    <t>LITO MIGUEL C. CACAYURAN</t>
  </si>
  <si>
    <t>2023-05-03-10201SP560-01</t>
  </si>
  <si>
    <t>2023-05-03-10201SP09-01</t>
  </si>
  <si>
    <t>1S11T5S16200GM0418DQ</t>
  </si>
  <si>
    <t>BRENDA P. LAFASNI</t>
  </si>
  <si>
    <t>OIC-PARPO II / Project Manager</t>
  </si>
  <si>
    <t>ADMIN OFFICER III</t>
  </si>
  <si>
    <t>2023-07-001DS</t>
  </si>
  <si>
    <t>MISS ITSD</t>
  </si>
  <si>
    <t>2023-05-03-10201SP561-01</t>
  </si>
  <si>
    <t>1S11T5S16200GM0418DR</t>
  </si>
  <si>
    <t>2023-05-03-10201SP562-01</t>
  </si>
  <si>
    <t>1S11T5S16200GM0418FW</t>
  </si>
  <si>
    <t>2023-05-03-10201SP10-01</t>
  </si>
  <si>
    <t>SHIELA T. DAVID</t>
  </si>
  <si>
    <t>ADMIN AID II</t>
  </si>
  <si>
    <t>2023-08-013DS</t>
  </si>
  <si>
    <t>BALA - OD</t>
  </si>
  <si>
    <t>2023-05-03-10201SP563-01</t>
  </si>
  <si>
    <t>1S11T5S16200GM0418K7</t>
  </si>
  <si>
    <t>ISSUED TO</t>
  </si>
  <si>
    <t>2023-05-03-10201SP11-01</t>
  </si>
  <si>
    <t>ATTORNEY IV</t>
  </si>
  <si>
    <t>2023-05-03-10201SP564-01</t>
  </si>
  <si>
    <t>2023-08-013ADS</t>
  </si>
  <si>
    <t>1S11T5S16200GM0418KF</t>
  </si>
  <si>
    <t>2023-05-03-10201SP12-01</t>
  </si>
  <si>
    <t>Region I</t>
  </si>
  <si>
    <t>Ilocos Sur</t>
  </si>
  <si>
    <t>2023-05-03-10201SP565-01</t>
  </si>
  <si>
    <t>1S11T5S16200GM0418KN</t>
  </si>
  <si>
    <t>ADRIEL B. ALIGUYON</t>
  </si>
  <si>
    <t>ARPT</t>
  </si>
  <si>
    <t>2023-05-03-10201SP13-01</t>
  </si>
  <si>
    <t>2022-05-02-10202SP11-01</t>
  </si>
  <si>
    <t>2023-08-014DS</t>
  </si>
  <si>
    <t>RNK2700213</t>
  </si>
  <si>
    <t>2023-05-03-10201SP566-01</t>
  </si>
  <si>
    <t>FMS</t>
  </si>
  <si>
    <t>1S11T5S16200GM0418KQ</t>
  </si>
  <si>
    <t>JOHN B. BUYA-AO</t>
  </si>
  <si>
    <t>MnE Coordinator</t>
  </si>
  <si>
    <t>Gemma Tablada</t>
  </si>
  <si>
    <t>ARPO II</t>
  </si>
  <si>
    <t>2022-11-40-SPLIT</t>
  </si>
  <si>
    <t>DARPO Ilocos Norte</t>
  </si>
  <si>
    <t>2023-05-03-10201SP567-01</t>
  </si>
  <si>
    <t>1S11T5S16200GM0418KZ</t>
  </si>
  <si>
    <t>ALMA H. TACTAC</t>
  </si>
  <si>
    <t>2023-05-03-10201SP568-01</t>
  </si>
  <si>
    <t>1S11T5S16200GM041AP1</t>
  </si>
  <si>
    <t>MARY GRACE A. DAYAO</t>
  </si>
  <si>
    <t>Project Accountant</t>
  </si>
  <si>
    <t>2023-05-03-10201SP569-01</t>
  </si>
  <si>
    <t>2023-05-03-10201SP14-01</t>
  </si>
  <si>
    <t>1S11T5S16200GM041APL</t>
  </si>
  <si>
    <t>FLORIZEL B. TUL-O</t>
  </si>
  <si>
    <t>Pangasinan</t>
  </si>
  <si>
    <t>2022-05-02-10202SP12-01</t>
  </si>
  <si>
    <t>RNK2700192</t>
  </si>
  <si>
    <t>Andres B. De Leon</t>
  </si>
  <si>
    <t>Regional Director</t>
  </si>
  <si>
    <t>2023-05-03-10201SP570-01</t>
  </si>
  <si>
    <t>2022-11-42-SPLIT</t>
  </si>
  <si>
    <t>1S11T5S16200GM041APW</t>
  </si>
  <si>
    <t>BUENA U. TAYABAN</t>
  </si>
  <si>
    <t>DARPO Pangasinan</t>
  </si>
  <si>
    <t>Project Budget Officer</t>
  </si>
  <si>
    <t>2023-05-03-10201SP15-01</t>
  </si>
  <si>
    <t>La Union</t>
  </si>
  <si>
    <t>2023-05-03-10201SP360-01</t>
  </si>
  <si>
    <t>4CE301DHB3</t>
  </si>
  <si>
    <t>DOMINADOR G. ATITIW</t>
  </si>
  <si>
    <t>2022-05-02-10202SP14-01</t>
  </si>
  <si>
    <t>PCAO/ Admin &amp; Finance Coordinator</t>
  </si>
  <si>
    <t>RNK2700210</t>
  </si>
  <si>
    <t>2023-08-65 SPLIT</t>
  </si>
  <si>
    <t>PRESNELIE S. GALVES</t>
  </si>
  <si>
    <t>PARPO II</t>
  </si>
  <si>
    <t>2022-11-43-SPLIT</t>
  </si>
  <si>
    <t>DARPO La Union</t>
  </si>
  <si>
    <t>2023-05-03-10201SP361-01</t>
  </si>
  <si>
    <t>4CE301DH6H</t>
  </si>
  <si>
    <t>BETTY YOGYOG</t>
  </si>
  <si>
    <t>Records Officer</t>
  </si>
  <si>
    <t>2023-05-03-10201SP16-01</t>
  </si>
  <si>
    <t>ILOCOS NORTE</t>
  </si>
  <si>
    <t>2022-05-02-10202SP13-01</t>
  </si>
  <si>
    <t>RNK2700184</t>
  </si>
  <si>
    <t>ENGR. JESUS R. ASUNCION</t>
  </si>
  <si>
    <t>2023-05-03-10201SP362-01</t>
  </si>
  <si>
    <t>4CE301DH95</t>
  </si>
  <si>
    <t>2022-11-41-SPLIT</t>
  </si>
  <si>
    <t>c/o Gedeon</t>
  </si>
  <si>
    <t>DARPO Ilocos Sur</t>
  </si>
  <si>
    <t>2023-05-03-10201SP17-01</t>
  </si>
  <si>
    <t>2023-05-03-10202SP324-01</t>
  </si>
  <si>
    <t>NXEGZSP00330801D193400</t>
  </si>
  <si>
    <t>2023-08-66 SPLIT</t>
  </si>
  <si>
    <t>₱ 33,508.00</t>
  </si>
  <si>
    <t>2023-05-03-10201SP18-01</t>
  </si>
  <si>
    <t>2023-05-03-10202SP325-01</t>
  </si>
  <si>
    <t>NXEGZSP00330801E113400</t>
  </si>
  <si>
    <t>HV-SPLIT-102-24-05-13</t>
  </si>
  <si>
    <t>2022-05-02-10202SP06-01</t>
  </si>
  <si>
    <t>RNK2700181</t>
  </si>
  <si>
    <t>Bobby S. Baltazar</t>
  </si>
  <si>
    <t>2023-05-03-10201SP19-01</t>
  </si>
  <si>
    <t>MARISSA ARLENE BACCAY</t>
  </si>
  <si>
    <t>OIC CHIEF</t>
  </si>
  <si>
    <t>2023-10-066DS</t>
  </si>
  <si>
    <t>SARPO</t>
  </si>
  <si>
    <t>PERSONNEL DIV</t>
  </si>
  <si>
    <t>2023-05-03-10202SP07-01</t>
  </si>
  <si>
    <t>NXEGZSP00330801CAB3400</t>
  </si>
  <si>
    <t>PTR# 2024-01-004</t>
  </si>
  <si>
    <t>JAMILLE ANG</t>
  </si>
  <si>
    <t>2023-05-03-10201SP20-01</t>
  </si>
  <si>
    <t>DARPO ILOCOS NORTE</t>
  </si>
  <si>
    <t>HV-SPLIT-102-24-05-10</t>
  </si>
  <si>
    <t>DARPO IFUGAO</t>
  </si>
  <si>
    <t>2023-05-03-10201SP21-01</t>
  </si>
  <si>
    <t>JOSEF ANGELO S. MARTIRES</t>
  </si>
  <si>
    <t>Kalinga</t>
  </si>
  <si>
    <t>HV-SPLIT-102-24-05-14</t>
  </si>
  <si>
    <t>AFASPO</t>
  </si>
  <si>
    <t>Z60ST272200128</t>
  </si>
  <si>
    <t>ADELA S. DAMASO</t>
  </si>
  <si>
    <t>Engineer II</t>
  </si>
  <si>
    <t>2023-03-12 SPLIT</t>
  </si>
  <si>
    <t>Joseph Dondon Calderon</t>
  </si>
  <si>
    <t>Genaro M. Ballesteros Jr.</t>
  </si>
  <si>
    <t>2024-03-002</t>
  </si>
  <si>
    <t>Maryrose Lavaro &amp;STOD staff</t>
  </si>
  <si>
    <t>STOD</t>
  </si>
  <si>
    <t>2023-05-14-10201SP12-01</t>
  </si>
  <si>
    <t>PARPO II/PROJECT MANAGER</t>
  </si>
  <si>
    <t>2023-03-17 SPLIT</t>
  </si>
  <si>
    <t>2023-05-03-10201SP22-01</t>
  </si>
  <si>
    <t>ATTY. NAPOLEON U. GALIT</t>
  </si>
  <si>
    <t>2023-08-016DS</t>
  </si>
  <si>
    <t>HV-SPLIT-102-24-05-15</t>
  </si>
  <si>
    <t>LAO</t>
  </si>
  <si>
    <t>2023-05-14-10202SP12-01</t>
  </si>
  <si>
    <t>SP10730016</t>
  </si>
  <si>
    <t>2023-03-22 SPLIT</t>
  </si>
  <si>
    <t>Parcelization Component &amp; FVT coordinator</t>
  </si>
  <si>
    <t>HV-SPLIT-102-24-05-11</t>
  </si>
  <si>
    <t>LTSD</t>
  </si>
  <si>
    <t>DARPO KALINGA</t>
  </si>
  <si>
    <t>2023-05-03-10201SP23-01</t>
  </si>
  <si>
    <t>Ilocos Norte</t>
  </si>
  <si>
    <t>2023-05-14-10202SP50-01</t>
  </si>
  <si>
    <t>SP10730107</t>
  </si>
  <si>
    <t>ENGR. MOLINES A EWIS</t>
  </si>
  <si>
    <t>ENGR II/DENR/LRA Coordinator</t>
  </si>
  <si>
    <t>2024-04-001-SPLIT</t>
  </si>
  <si>
    <t>HV-SPLIT-102-24-05-16</t>
  </si>
  <si>
    <t>ENGR MOLINES EWIS/ ANTONIO MARTIN</t>
  </si>
  <si>
    <t>DARPO PANGASINAN</t>
  </si>
  <si>
    <t>2023-05-03-10201SP24-01</t>
  </si>
  <si>
    <t>2023-05-14-10202SP51-01</t>
  </si>
  <si>
    <t>SP10730101</t>
  </si>
  <si>
    <t>2023-05-03-10201SP571-01</t>
  </si>
  <si>
    <t>1S11T5S16200GM041AT4</t>
  </si>
  <si>
    <t>REYNALDO S. MANONGYAO</t>
  </si>
  <si>
    <t>Parcelization Component and Field Validation Team Coordinator</t>
  </si>
  <si>
    <t>2023-04-35 SPLIT</t>
  </si>
  <si>
    <t>2023-05-03-10201SP25-01</t>
  </si>
  <si>
    <t>2023-05-03-10202SP301-01</t>
  </si>
  <si>
    <t>ATTY. KAZEL C. CELESTE</t>
  </si>
  <si>
    <t>2023-08-017DS</t>
  </si>
  <si>
    <t>2023-05-03-10201SP572-01</t>
  </si>
  <si>
    <t>Vic M. Ines</t>
  </si>
  <si>
    <t>1S11T5S16200GM041AT8</t>
  </si>
  <si>
    <t>2023-08-01-SPLIT</t>
  </si>
  <si>
    <t>Engr. Jesus R. Asuncion</t>
  </si>
  <si>
    <t>2023-05-03-10201SP573-01</t>
  </si>
  <si>
    <t>1S11T5S16200GM041ATB</t>
  </si>
  <si>
    <t>2023-05-03-10202SP302-01</t>
  </si>
  <si>
    <t>2023-05-03-10201SP574-01</t>
  </si>
  <si>
    <t>1S11T5S16200GM041ATC</t>
  </si>
  <si>
    <t>Rodelle T. Pascual</t>
  </si>
  <si>
    <t>2023-05-03-10201SP575-01</t>
  </si>
  <si>
    <t>1S11T5S16200GM041ATD</t>
  </si>
  <si>
    <t>2023-05-03-10201SP26-01</t>
  </si>
  <si>
    <t>2023-05-03-10202SP303-01</t>
  </si>
  <si>
    <t>2023-05-03-10201SP576-01</t>
  </si>
  <si>
    <t>1S11T5S16200GM041ATE</t>
  </si>
  <si>
    <t>Reynalda T. Quiamas</t>
  </si>
  <si>
    <t>2023-05-03-10201SP577-01</t>
  </si>
  <si>
    <t>1S11T5S16200GM041ATF</t>
  </si>
  <si>
    <t>GERALDO L. ALCANTARA</t>
  </si>
  <si>
    <t>Admin &amp; Fin/CBTA Coordinator</t>
  </si>
  <si>
    <t>2023-05-03-10202SP304-01</t>
  </si>
  <si>
    <t>2023-05-03-10201SP27-01</t>
  </si>
  <si>
    <t>2023-08-03-SPLIT</t>
  </si>
  <si>
    <t>Gemma C. Tablada</t>
  </si>
  <si>
    <t>2023-05-03-10201SP578-01</t>
  </si>
  <si>
    <t>1S11T5S16200GM041AVP</t>
  </si>
  <si>
    <t>2023-05-03-10202SP305-01</t>
  </si>
  <si>
    <t>2023-05-03-10201SP28-01</t>
  </si>
  <si>
    <t>2023-05-03-10201SP579-01</t>
  </si>
  <si>
    <t>1S11T5S16200GM041AVR</t>
  </si>
  <si>
    <t>Ma. Victoria L. Castaneda</t>
  </si>
  <si>
    <t>2023-08-018DS</t>
  </si>
  <si>
    <t>2023-05-03-10201SP580-01</t>
  </si>
  <si>
    <t>1S11T5S16200GM041AVS</t>
  </si>
  <si>
    <t>2023-05-03-10202SP306-01</t>
  </si>
  <si>
    <t>Christianne C. Suguitan</t>
  </si>
  <si>
    <t>2023-05-03-10201SP29-01</t>
  </si>
  <si>
    <t>2023-08-06-SPLIT</t>
  </si>
  <si>
    <t>2023-05-03-10201SP581-01</t>
  </si>
  <si>
    <t>1S11T5S16200GM041AVY</t>
  </si>
  <si>
    <t>Eric Winlove M. Mendoza</t>
  </si>
  <si>
    <t>MICHAEL JOHN S. GILLIES</t>
  </si>
  <si>
    <t>ESS Coordinator</t>
  </si>
  <si>
    <t>2023-05-03-10201SP582-01</t>
  </si>
  <si>
    <t>1S11T5S16200GM041AW0</t>
  </si>
  <si>
    <t>ROSALINA E. BAYAONA</t>
  </si>
  <si>
    <t>2023-05-03-10202SP307-01</t>
  </si>
  <si>
    <t>Presnelie S. Galvez</t>
  </si>
  <si>
    <t>2023-05-03-10201SP583-01</t>
  </si>
  <si>
    <t>1S11T5S16200GM041AYV</t>
  </si>
  <si>
    <t>RODELIO S. COSIDON</t>
  </si>
  <si>
    <t>AR to LRA Coordinator</t>
  </si>
  <si>
    <t>2023-05-03-10201SP30-01</t>
  </si>
  <si>
    <t>2023-05-03-10201SP584-01</t>
  </si>
  <si>
    <t>1S11T5S16200GM041B4L</t>
  </si>
  <si>
    <t>JERRY B. ANGNGALAO</t>
  </si>
  <si>
    <t>2023-05-03-10202SP308-01</t>
  </si>
  <si>
    <t>Maria Ana V. Francisco</t>
  </si>
  <si>
    <t>2023-08-07-SPLIT</t>
  </si>
  <si>
    <t>Dexter A. Miranda</t>
  </si>
  <si>
    <t>2023-05-03-10201SP31-01</t>
  </si>
  <si>
    <t>2023-08-019DS</t>
  </si>
  <si>
    <t>USSO</t>
  </si>
  <si>
    <t>2023-05-03-10202SP309-01</t>
  </si>
  <si>
    <t>2023-05-03-10201SP363-01</t>
  </si>
  <si>
    <t>4CE301DH3R</t>
  </si>
  <si>
    <t>Maribel A. Valdez</t>
  </si>
  <si>
    <t>2023-08-67 SPLIT</t>
  </si>
  <si>
    <t>2023-05-03-10201SP32-01</t>
  </si>
  <si>
    <t>2023-05-03-10202SP310-01</t>
  </si>
  <si>
    <t>2023-05-03-10201SP33-01</t>
  </si>
  <si>
    <t>2023-05-03-10201SP364-01</t>
  </si>
  <si>
    <t>4CE301DH7D</t>
  </si>
  <si>
    <t>Tyreen F. Lacap</t>
  </si>
  <si>
    <t>2023-05-03-10201SP365-01</t>
  </si>
  <si>
    <t>2023-05-03-10201SP34-01</t>
  </si>
  <si>
    <t>4CE301DH8H</t>
  </si>
  <si>
    <t>2023-05-03-10202SP311-01</t>
  </si>
  <si>
    <t>E.A. III</t>
  </si>
  <si>
    <t>2023-08-020ADS</t>
  </si>
  <si>
    <t>2023-08-24-SPLIT</t>
  </si>
  <si>
    <t>Bethy Jane M. Dulay</t>
  </si>
  <si>
    <t>DAR Regional Office</t>
  </si>
  <si>
    <t>2023-05-03-10202SP326-01</t>
  </si>
  <si>
    <t>NXEGZSP00330801CD03400</t>
  </si>
  <si>
    <t>2023-05-03-10202SP312-01</t>
  </si>
  <si>
    <t>2023-08-68 SPLIT</t>
  </si>
  <si>
    <t>2023-05-03-10201SP35-01</t>
  </si>
  <si>
    <t>2023-08-25-SPLIT</t>
  </si>
  <si>
    <t>Atty. Margielene Cabulang</t>
  </si>
  <si>
    <t>2023-08-020BDS</t>
  </si>
  <si>
    <t>2023-05-03-10202SP327-01</t>
  </si>
  <si>
    <t>2023-05-03-10202SP313-01</t>
  </si>
  <si>
    <t>2023-05-03-10201SP36-01</t>
  </si>
  <si>
    <t>2023-09-44-SPLIT</t>
  </si>
  <si>
    <t>ARNOLD D. YAP</t>
  </si>
  <si>
    <t>RARAD Marivic c. Casabar</t>
  </si>
  <si>
    <t>E.A. II</t>
  </si>
  <si>
    <t>2023-08-020DS</t>
  </si>
  <si>
    <t>NXEGZSP00330801ED33400</t>
  </si>
  <si>
    <t>2023-05-03-10202SP10-01</t>
  </si>
  <si>
    <t>Ma. Katherine P. Somera</t>
  </si>
  <si>
    <t>Information Officer III</t>
  </si>
  <si>
    <t>2023-11-51-SPLIT</t>
  </si>
  <si>
    <t>2023-05-03-10201SP37-01</t>
  </si>
  <si>
    <t>2023-08-021ADS</t>
  </si>
  <si>
    <t>2023-05-03-10202SP11-01</t>
  </si>
  <si>
    <t>2023-11-52-SPLIT</t>
  </si>
  <si>
    <t>Daniel Andrada</t>
  </si>
  <si>
    <t>2023-05-03-10201SP38-01</t>
  </si>
  <si>
    <t>MA. LUISA E. SANTOS</t>
  </si>
  <si>
    <t>PLANNING OFFICER V</t>
  </si>
  <si>
    <t>2023-05-03-10202SP12-01</t>
  </si>
  <si>
    <t>2023-08-021DS</t>
  </si>
  <si>
    <t>2023-11-53-SPLIT</t>
  </si>
  <si>
    <t>Zarena Ann D. Amado</t>
  </si>
  <si>
    <t>2022-05-02-10202SP08-01</t>
  </si>
  <si>
    <t>RNK2700205</t>
  </si>
  <si>
    <t>ROSALINA BAYAONA</t>
  </si>
  <si>
    <t>2023-05-03-10201SP39-01</t>
  </si>
  <si>
    <t>2023-05-03-10202SP13-01</t>
  </si>
  <si>
    <t>2023-08-022DS</t>
  </si>
  <si>
    <t>2023-11-54-SPLIT</t>
  </si>
  <si>
    <t>2023-05-03-10202SP08-01</t>
  </si>
  <si>
    <t>NXEGZSP00330801C5F3400</t>
  </si>
  <si>
    <t>GERARDO L. ALCANTARA</t>
  </si>
  <si>
    <t>PTR# 2024-01-005</t>
  </si>
  <si>
    <t>JUDITH LONGID</t>
  </si>
  <si>
    <t>2023-05-03-10201SP40-01</t>
  </si>
  <si>
    <t>Mt. Province</t>
  </si>
  <si>
    <t>2023-05-03-10201SP585-01</t>
  </si>
  <si>
    <t>1S11T5S16200GM041B4M</t>
  </si>
  <si>
    <t>RAYMUND SALIOAN</t>
  </si>
  <si>
    <t>excel</t>
  </si>
  <si>
    <t>2023-05-03-10201SP41-01</t>
  </si>
  <si>
    <t>2023-04-36 SPLIT</t>
  </si>
  <si>
    <t>2023-05-03-10202SP14-01</t>
  </si>
  <si>
    <t>Distributed to SPLIT Coordinators</t>
  </si>
  <si>
    <t>2023-08-023DS</t>
  </si>
  <si>
    <t>2023-11-55-SPLIT</t>
  </si>
  <si>
    <t>Rizalyn T. Ambida</t>
  </si>
  <si>
    <t>2023-05-03-10201SP586-01</t>
  </si>
  <si>
    <t>1S11T5S16200GM041B4V</t>
  </si>
  <si>
    <t>2023-05-03-10201SP42-01</t>
  </si>
  <si>
    <t>2023-05-03-10202SP15-01</t>
  </si>
  <si>
    <t>2023-11-56-SPLIT</t>
  </si>
  <si>
    <t>Jorge Richard P. Guerrero</t>
  </si>
  <si>
    <t>2023-05-03-10201SP587-01</t>
  </si>
  <si>
    <t>1S11T5S16200GM041B4X</t>
  </si>
  <si>
    <t>2023-05-03-10201SP588-01</t>
  </si>
  <si>
    <t>1S11T5S16200GM041B4Y</t>
  </si>
  <si>
    <t>2023-05-03-10201SP293-01</t>
  </si>
  <si>
    <t>4CE301DH43</t>
  </si>
  <si>
    <t>2023-08-02-SPLIT</t>
  </si>
  <si>
    <t>2023-05-03-10201SP589-01</t>
  </si>
  <si>
    <t>PARPO Vic M. Ines</t>
  </si>
  <si>
    <t>1S11T5S16200GM041B51</t>
  </si>
  <si>
    <t>2023-05-03-10201SP590-01</t>
  </si>
  <si>
    <t>1S11T5S16200GM041B6A</t>
  </si>
  <si>
    <t>2023-05-03-10201SP591-01</t>
  </si>
  <si>
    <t>2023-05-03-10201SP43-01</t>
  </si>
  <si>
    <t>1S11T5S16200GM041B6B</t>
  </si>
  <si>
    <t>PDO IV</t>
  </si>
  <si>
    <t>2023-08-024ADS</t>
  </si>
  <si>
    <t>2023-05-03-10201SP592-01</t>
  </si>
  <si>
    <t>1S11T5S16200GM041B6D</t>
  </si>
  <si>
    <t>2023-05-03-10201SP294-01</t>
  </si>
  <si>
    <t>4CE301DH8M</t>
  </si>
  <si>
    <t>2023-05-03-10201SP593-01</t>
  </si>
  <si>
    <t>1S11T5S16200GM041B6L</t>
  </si>
  <si>
    <t>2023-05-03-10201SP44-01</t>
  </si>
  <si>
    <t>2023-05-03-10201SP295-01</t>
  </si>
  <si>
    <t>4CE301DH3G</t>
  </si>
  <si>
    <t>2023-05-03-10201SP594-01</t>
  </si>
  <si>
    <t>1S11T5S16200GM041B6M</t>
  </si>
  <si>
    <t>2023-05-03-10201SP296-01</t>
  </si>
  <si>
    <t>4CE301DH59</t>
  </si>
  <si>
    <t>2023-05-03-10201SP70-01</t>
  </si>
  <si>
    <t>OIC - ITO III</t>
  </si>
  <si>
    <t>2023-05-03-10201SP595-01</t>
  </si>
  <si>
    <t>2023-07-002DS</t>
  </si>
  <si>
    <t>1S11T5S16200GM041B6P</t>
  </si>
  <si>
    <t>2023-05-03-10201SP596-01</t>
  </si>
  <si>
    <t>1S11T5S16200GM041B6Q</t>
  </si>
  <si>
    <t>2023-05-03-10201SP78-01</t>
  </si>
  <si>
    <t>2023-05-03-10201SP297-01</t>
  </si>
  <si>
    <t>4CE301DSMR</t>
  </si>
  <si>
    <t>2023-09-055DS</t>
  </si>
  <si>
    <t>2023-05-03-10201SP597-01</t>
  </si>
  <si>
    <t>1S11T5S16200GM041B6R</t>
  </si>
  <si>
    <t>2023-05-03-10201SP598-01</t>
  </si>
  <si>
    <t>2023-05-03-10201SP298-01</t>
  </si>
  <si>
    <t>1S11T5S16200GM041B6S</t>
  </si>
  <si>
    <t>4CE301DH9D</t>
  </si>
  <si>
    <t>2023-05-03-10201SP79-01</t>
  </si>
  <si>
    <t>2023-08-04-SPLIT</t>
  </si>
  <si>
    <t>2023-09-056DS</t>
  </si>
  <si>
    <t>Gloria Bautista</t>
  </si>
  <si>
    <t>2023-05-03-10201SP366-01</t>
  </si>
  <si>
    <t>4CE301DH5N</t>
  </si>
  <si>
    <t>2023-08-69 SPLIT</t>
  </si>
  <si>
    <t>2023-05-03-10201SP299-01</t>
  </si>
  <si>
    <t>4CE301DSMC</t>
  </si>
  <si>
    <t>2023-05-03-10201SP80-01</t>
  </si>
  <si>
    <t>JESRY T. PALMARES</t>
  </si>
  <si>
    <t>2023-05-03-10201SP367-01</t>
  </si>
  <si>
    <t>4CE301DH8S</t>
  </si>
  <si>
    <t>2023-08-045DS</t>
  </si>
  <si>
    <t>2023-05-03-10201SP300-01</t>
  </si>
  <si>
    <t>4CE301DH5T</t>
  </si>
  <si>
    <t>Atty. Trinidad Unciano</t>
  </si>
  <si>
    <t>2023-05-03-10201SP368-01</t>
  </si>
  <si>
    <t>4CE301DSH5F</t>
  </si>
  <si>
    <t>2023-05-03-10201SP81-01</t>
  </si>
  <si>
    <t>2023-09-057DS</t>
  </si>
  <si>
    <t>2023-05-03-10201SP301-01</t>
  </si>
  <si>
    <t>4CE301DSMM</t>
  </si>
  <si>
    <t>2023-05-03-10202SP328-01</t>
  </si>
  <si>
    <t>NXEGZSP00330801EDF3400</t>
  </si>
  <si>
    <t>Rizalyn Ambida</t>
  </si>
  <si>
    <t>2023-08-70 SPLIT</t>
  </si>
  <si>
    <t>2023-05-03-10201SP82-01</t>
  </si>
  <si>
    <t>ROSANA RAVANCHO</t>
  </si>
  <si>
    <t>BUDGET OFFICER</t>
  </si>
  <si>
    <t>2023-09-058DS</t>
  </si>
  <si>
    <t>2023-05-03-10201SP302-01</t>
  </si>
  <si>
    <t>4CE301DHBW</t>
  </si>
  <si>
    <t>2023-05-03-10202SP329-01</t>
  </si>
  <si>
    <t>FAPSO</t>
  </si>
  <si>
    <t>NXEGZSP00330801BA23400</t>
  </si>
  <si>
    <t>2023-08-05-SPLIT</t>
  </si>
  <si>
    <t>Leila A. Par</t>
  </si>
  <si>
    <t>2022-05-02-10202SP07-01</t>
  </si>
  <si>
    <t>RNK2700190</t>
  </si>
  <si>
    <t>2023-05-03-10201SP303-01</t>
  </si>
  <si>
    <t>BERNADETTE NAVARRA</t>
  </si>
  <si>
    <t>2023-05-03-10201SP92-01</t>
  </si>
  <si>
    <t>4CE301DH5Z</t>
  </si>
  <si>
    <t>Bernadette Navarra</t>
  </si>
  <si>
    <t>Stephanie Kate A. Balderas</t>
  </si>
  <si>
    <t>2023-09-059DS</t>
  </si>
  <si>
    <t>2023-05-03-10201SP304-01</t>
  </si>
  <si>
    <t>4CE301DH8G</t>
  </si>
  <si>
    <t>2023-05-03-10202SP09-01</t>
  </si>
  <si>
    <t>2023-05-03-10201SP110-01</t>
  </si>
  <si>
    <t>NXEGZSP00330801B113400</t>
  </si>
  <si>
    <t>PARPO Christianne Suguitan</t>
  </si>
  <si>
    <t>RAYMUND W. SALIOAN</t>
  </si>
  <si>
    <t>PTR# 2024-01-006</t>
  </si>
  <si>
    <t>2023-09-065ADS</t>
  </si>
  <si>
    <t>HYDE LICLICAN</t>
  </si>
  <si>
    <t>2023-05-03-10201SP305-01</t>
  </si>
  <si>
    <t>4CE301DH9P</t>
  </si>
  <si>
    <t>2023-08-08-SPLIT</t>
  </si>
  <si>
    <t>Fe C. Vallo</t>
  </si>
  <si>
    <t>2023-05-03-10201SP306-01</t>
  </si>
  <si>
    <t>4CE301DH40</t>
  </si>
  <si>
    <t>Charlotte F. Lasmarias</t>
  </si>
  <si>
    <t>2023-05-03-10201SP111-01</t>
  </si>
  <si>
    <t>ANACLETA B. MARIANO</t>
  </si>
  <si>
    <t>2023-08-46DS</t>
  </si>
  <si>
    <t>2023-05-03-10201SP307-01</t>
  </si>
  <si>
    <t>4CE301DSJY</t>
  </si>
  <si>
    <t>Nilo C. Aquino</t>
  </si>
  <si>
    <t>HV-SPLIT-102-24-05-12</t>
  </si>
  <si>
    <t>2023-05-03-10201SP308-01</t>
  </si>
  <si>
    <t>4CE301DH3J</t>
  </si>
  <si>
    <t>2023-05-03-10201SP112-01</t>
  </si>
  <si>
    <t>JOSIE J. ARAVELO</t>
  </si>
  <si>
    <t>DARPO MT PROVINCE</t>
  </si>
  <si>
    <t>Patrick Anthony Lee</t>
  </si>
  <si>
    <t>E.A. IV</t>
  </si>
  <si>
    <t>2023-08-047DS</t>
  </si>
  <si>
    <t>2023-05-03-10201SP309-01</t>
  </si>
  <si>
    <t>4CE301DH79</t>
  </si>
  <si>
    <t>Jennifer C. Pagsolingan</t>
  </si>
  <si>
    <t>₱ 1,752,400.00</t>
  </si>
  <si>
    <t>2023-06-01-10201SP38-01</t>
  </si>
  <si>
    <t>2023-05-03-10201SP113-01</t>
  </si>
  <si>
    <t>KARINA YSABELLE ALCID</t>
  </si>
  <si>
    <t>SNC 1061</t>
  </si>
  <si>
    <t>2023-08-048DS</t>
  </si>
  <si>
    <t>2023-05-03-10201SP310-01</t>
  </si>
  <si>
    <t>SAMAUEL S. SOLOMERO</t>
  </si>
  <si>
    <t>4CE301DH5K</t>
  </si>
  <si>
    <t>REGIONAL PROJECT MANAGER</t>
  </si>
  <si>
    <t>2023-10-77 SPLIT</t>
  </si>
  <si>
    <t>2023-08-27-SPLIT</t>
  </si>
  <si>
    <t>Luz A. Samera</t>
  </si>
  <si>
    <t>ORD's OFFICE</t>
  </si>
  <si>
    <t>2023-05-03-10201SP311-01</t>
  </si>
  <si>
    <t>4CE301DH5S</t>
  </si>
  <si>
    <t>2023-05-03-10201SP128-01</t>
  </si>
  <si>
    <t>2023-08-28-SPLIT</t>
  </si>
  <si>
    <t>Relina Claire S. Lang-ay</t>
  </si>
  <si>
    <t>JENER UIRFINDO C. BACUYAG</t>
  </si>
  <si>
    <t>2023-07-003DS</t>
  </si>
  <si>
    <t>2023-05-03-10201SP312-01</t>
  </si>
  <si>
    <t>2023-06-01-10201SP39-01</t>
  </si>
  <si>
    <t>4CE301DH70</t>
  </si>
  <si>
    <t>SNC 1107</t>
  </si>
  <si>
    <t>For General Dispatch (SPLIT Activities)</t>
  </si>
  <si>
    <t>2023-08-29-SPLIT</t>
  </si>
  <si>
    <t>RCAO Nestor T. Pagaduan</t>
  </si>
  <si>
    <t>For general dispatch (SPLIT Activities)</t>
  </si>
  <si>
    <t>2023-05-03-10201SP212-01</t>
  </si>
  <si>
    <t>2023-05-03-10201SP313-01</t>
  </si>
  <si>
    <t>4CE301DSHS</t>
  </si>
  <si>
    <t>₱ 124,900.00</t>
  </si>
  <si>
    <t>2023-08-30-SPLIT</t>
  </si>
  <si>
    <t>2023-07-004DS</t>
  </si>
  <si>
    <t>2023-06-01-1020SP04-01</t>
  </si>
  <si>
    <t>Emeraldlyn B. Cantoria</t>
  </si>
  <si>
    <t>no plate available</t>
  </si>
  <si>
    <t>ENGR. JOSEPH B. BAJO</t>
  </si>
  <si>
    <t>DENR/ LRA-ROD Coordinator</t>
  </si>
  <si>
    <t>2023-01-01 SPLIT</t>
  </si>
  <si>
    <t>2023-05-03-10201SP314-01</t>
  </si>
  <si>
    <t>4CE301DH4P</t>
  </si>
  <si>
    <t>2023-08-31-SPLIT</t>
  </si>
  <si>
    <t>2023-06-01-1020SP05-01</t>
  </si>
  <si>
    <t>2023-05-03-10201SP222-01</t>
  </si>
  <si>
    <t>Romin A. Cadiente</t>
  </si>
  <si>
    <t>FILMA T. MOLINA
 ATTY. MERCEDES S. BORONGAN</t>
  </si>
  <si>
    <t>PRINTER DEFFECTIVE</t>
  </si>
  <si>
    <t>2023-07-005DS</t>
  </si>
  <si>
    <t>FILMA T. MOLINA</t>
  </si>
  <si>
    <t>2023-05-03-10201SP315-01</t>
  </si>
  <si>
    <t>4CE301DSH6</t>
  </si>
  <si>
    <t>2023-08-09-SPLIT</t>
  </si>
  <si>
    <t>Nenita C. Madriaga</t>
  </si>
  <si>
    <t>denr</t>
  </si>
  <si>
    <t>2023-05-03-10201SP238-01</t>
  </si>
  <si>
    <t>2023-06-01-1020SP06-01</t>
  </si>
  <si>
    <t>2023-07-006DS</t>
  </si>
  <si>
    <t>JAYSON T. RAPISURA</t>
  </si>
  <si>
    <t>2023-05-03-10201SP316-01</t>
  </si>
  <si>
    <t>4CE301DH58</t>
  </si>
  <si>
    <t>2023-05-03-10201SP240-01</t>
  </si>
  <si>
    <t>2023-06-01-1020SP07-01</t>
  </si>
  <si>
    <t>2023-07-007DS</t>
  </si>
  <si>
    <t>BENJAMIN T. REGALADO JR.</t>
  </si>
  <si>
    <t>2023-05-03-10201SP245-01</t>
  </si>
  <si>
    <t>2023-07-008DS</t>
  </si>
  <si>
    <t>2023-06-01-1020SP08-01</t>
  </si>
  <si>
    <t>ENGR. JERRIECO D. BELISARIO
 JAN EURIE RAFAL</t>
  </si>
  <si>
    <t>2023-05-03-10201SP249-01</t>
  </si>
  <si>
    <t>HV-SPLIT-102-24-05-17</t>
  </si>
  <si>
    <t>2023-07-009DS</t>
  </si>
  <si>
    <t>Engr. Vic M. Ines</t>
  </si>
  <si>
    <t>REGIONAL OFFICE</t>
  </si>
  <si>
    <t>2023-05-03-10201SP346-01</t>
  </si>
  <si>
    <t>2023-06-01-1020SP09-01</t>
  </si>
  <si>
    <t>2023-08-049DS</t>
  </si>
  <si>
    <t>MARITES B. OCAMPO (Noel Balmaceda)</t>
  </si>
  <si>
    <t>ASEC ODA</t>
  </si>
  <si>
    <t>(c/o Noel Balmaceda)</t>
  </si>
  <si>
    <t>2023-05-03-10201SP599-01</t>
  </si>
  <si>
    <t>2023-05-03-10201SP347-01</t>
  </si>
  <si>
    <t>1S11T5S16200GM02ZT7D</t>
  </si>
  <si>
    <t>MARIELLE ANDRAIA BACCAY</t>
  </si>
  <si>
    <t>2023-05-33-SPLIT</t>
  </si>
  <si>
    <t>E.A III</t>
  </si>
  <si>
    <t>2023-08-050DS</t>
  </si>
  <si>
    <t>2023-06-01-1020SP10-01</t>
  </si>
  <si>
    <t>ERNESTO B. CABAŇERO
 RINAH P. FLORES</t>
  </si>
  <si>
    <t>Project Procurement Officer</t>
  </si>
  <si>
    <t>ERNESTO B. CABAŇERO</t>
  </si>
  <si>
    <t>2023-05-03-10201SP600-01</t>
  </si>
  <si>
    <t>1S11T5S16200GM02ZT8R</t>
  </si>
  <si>
    <t>2023-05-03-10201SP348-01</t>
  </si>
  <si>
    <t>JOHN WESLY LACSAMANA</t>
  </si>
  <si>
    <t>E.A II</t>
  </si>
  <si>
    <t>2023-08-051DS</t>
  </si>
  <si>
    <t>2023-06-01-1020SP11-01</t>
  </si>
  <si>
    <t>2023-05-03-10201SP601-01</t>
  </si>
  <si>
    <t>1S11T5S16200GM02ZT8V</t>
  </si>
  <si>
    <t>MARIFLOR B. TORRELIZA (Deogracias Balmaceda)
 ATTY. ALLYSA ABQUIRAN</t>
  </si>
  <si>
    <t>2023-05-03-10201SP349-01</t>
  </si>
  <si>
    <t>Rodolfo N. Garcia, Jr.</t>
  </si>
  <si>
    <t>(c/o Deogracias Balmaceda)</t>
  </si>
  <si>
    <t>2023-08-052DS</t>
  </si>
  <si>
    <t>ASEC SP</t>
  </si>
  <si>
    <t>2023-05-03-10201SP602-01</t>
  </si>
  <si>
    <t>1S11T5S16200GM02ZT7R</t>
  </si>
  <si>
    <t>Atty. Melvyn T. Guillermo</t>
  </si>
  <si>
    <t>2023-06-01-1020SP14-01</t>
  </si>
  <si>
    <t>2023-05-03-10201SP350-01</t>
  </si>
  <si>
    <t>ATTY. MERCEDES S. BORONGAN (Glenn Aquino)</t>
  </si>
  <si>
    <t>KAREN AMPELOQUIO</t>
  </si>
  <si>
    <t>2023-09-72 SPLIT</t>
  </si>
  <si>
    <t>(c/o Glenn Aquino)</t>
  </si>
  <si>
    <t>2023-08-053DS</t>
  </si>
  <si>
    <t>2023-05-03-10201SP603-01</t>
  </si>
  <si>
    <t>1S11T5S16200GM02ZT9L</t>
  </si>
  <si>
    <t>Rommel R. Aquino</t>
  </si>
  <si>
    <t>2023-05-03-10201SP374-01</t>
  </si>
  <si>
    <t>2023-06-01-1020SP15-01</t>
  </si>
  <si>
    <t>EFREN GOLONG</t>
  </si>
  <si>
    <t>ATTY. MERCEDES S. BORONGAN (for general dispatch)</t>
  </si>
  <si>
    <t>PRIVATE SECRETARY</t>
  </si>
  <si>
    <t>2023-08-054DS</t>
  </si>
  <si>
    <t>2023-05-03-10201SP604-01</t>
  </si>
  <si>
    <t>1S11T5S16200GM02ZT7E</t>
  </si>
  <si>
    <t>Elena B. Pinera</t>
  </si>
  <si>
    <t>2023-05-03-10201SP378-01</t>
  </si>
  <si>
    <t>2023-06-01-10201SP40-01</t>
  </si>
  <si>
    <t>SNC1209</t>
  </si>
  <si>
    <t>2023-07-010DS</t>
  </si>
  <si>
    <t>OIC PARPO II/PROV'L PROJECT MANAGER</t>
  </si>
  <si>
    <t>2023-05-03-10201SP605-01</t>
  </si>
  <si>
    <t>2023-10-75 SPLIT</t>
  </si>
  <si>
    <t>1S11T5S16200GM02ZT80</t>
  </si>
  <si>
    <t>PARPO's OFFICE</t>
  </si>
  <si>
    <t>Mayvelyn A. Mamuad</t>
  </si>
  <si>
    <t>2023-05-03-10201SP396-01</t>
  </si>
  <si>
    <t>2023-06-01-1020SP12-01</t>
  </si>
  <si>
    <t>CHIEF ADMINISTRATIVE OFFICER</t>
  </si>
  <si>
    <t>2023-08-043DS</t>
  </si>
  <si>
    <t>2023-01-02 SPLIT</t>
  </si>
  <si>
    <t>2023-05-03-10201SP606-01</t>
  </si>
  <si>
    <t>1S11T5S16200GM02ZT79</t>
  </si>
  <si>
    <t>Dante S. Agreda</t>
  </si>
  <si>
    <t>2023-05-03-10201SP397-01</t>
  </si>
  <si>
    <t>2023-06-01-1020SP13-01</t>
  </si>
  <si>
    <t>2023-05-03-10201SP607-01</t>
  </si>
  <si>
    <t>1S11T5S16200GM02ZT6Y</t>
  </si>
  <si>
    <t>Marichelle V. Brillantes</t>
  </si>
  <si>
    <t>2023-05-03-10201SP398-01</t>
  </si>
  <si>
    <t>2023-06-01-1020SP27-01</t>
  </si>
  <si>
    <t>2023-03-08 SPLIT</t>
  </si>
  <si>
    <t>2023-05-03-10201SP608-01</t>
  </si>
  <si>
    <t>1S11T5S16200GM02ZT7X</t>
  </si>
  <si>
    <t>2023-06-01-10201SP42-01</t>
  </si>
  <si>
    <t>SNC1115</t>
  </si>
  <si>
    <t>FEDELINA C. LIBATIQUE</t>
  </si>
  <si>
    <t>A.O. IV/ACTING PROPERTY CUSTODIAN</t>
  </si>
  <si>
    <t>2023-05-03-10201SP399-01</t>
  </si>
  <si>
    <t>ATTY. PENELOPE DE AUSEN</t>
  </si>
  <si>
    <t>STOD-GSS</t>
  </si>
  <si>
    <t>2023-05-03-10201SP609-01</t>
  </si>
  <si>
    <t>1S11T5S16200GM02ZT7P</t>
  </si>
  <si>
    <t>Engr. Rudy G. Acacio</t>
  </si>
  <si>
    <t>2023-06-01-1020SP16-01</t>
  </si>
  <si>
    <t>2023-05-03-10201SP400-01</t>
  </si>
  <si>
    <t>FERDINOVEM DEPAYSO
 DONA LYN CHING</t>
  </si>
  <si>
    <t>2023-05-03-10201SP610-01</t>
  </si>
  <si>
    <t>1S11T5S16200GM02ZT7K</t>
  </si>
  <si>
    <t>OIC CAO / Admin&amp; Fin Coordinator</t>
  </si>
  <si>
    <t>C/O DONNALYN CHING</t>
  </si>
  <si>
    <t>2023-05-03-10201SP401-01</t>
  </si>
  <si>
    <t>2023-05-03-10201SP611-01</t>
  </si>
  <si>
    <t>1S11T5S16200GM02ZT97</t>
  </si>
  <si>
    <t>2023-06-01-10201SP43-01</t>
  </si>
  <si>
    <t>SNC 1113</t>
  </si>
  <si>
    <t>2023-10-78 SPLIT</t>
  </si>
  <si>
    <t>DARPO-BEN GUET</t>
  </si>
  <si>
    <t>2023-05-03-10201SP402-01</t>
  </si>
  <si>
    <t>2023-05-03-10201SP612-01</t>
  </si>
  <si>
    <t>1S11T5S16200GM02ZT8F</t>
  </si>
  <si>
    <t>Malou S. Salvador</t>
  </si>
  <si>
    <t>2023-06-01-1020SP17-01</t>
  </si>
  <si>
    <t>2023-01-04 SPLIT</t>
  </si>
  <si>
    <t>2023-05-03-10201SP613-01</t>
  </si>
  <si>
    <t>1S11T5S16200GM041AWH</t>
  </si>
  <si>
    <t>2023-05-35-SPLIT</t>
  </si>
  <si>
    <t>2023-06-01-1020SP18-01</t>
  </si>
  <si>
    <t>Eugenio Rapacon</t>
  </si>
  <si>
    <t>2023-05-03-10201SP403-01</t>
  </si>
  <si>
    <t>2023-05-03-10201SP614-01</t>
  </si>
  <si>
    <t>1S11T5S16200GM02ZT91</t>
  </si>
  <si>
    <t>2023-06-01-1020SP19-01</t>
  </si>
  <si>
    <t>2023-06-01-1020SP20-01</t>
  </si>
  <si>
    <t>2023-05-03-10201SP615-01</t>
  </si>
  <si>
    <t>1S11T5S16200GM041B45</t>
  </si>
  <si>
    <t>2023-05-03-10201SP404-01</t>
  </si>
  <si>
    <t>Rodel Tacneng</t>
  </si>
  <si>
    <t>2023-06-01-10201S44-01</t>
  </si>
  <si>
    <t>SNC 1125</t>
  </si>
  <si>
    <t>PARO- IFUGAO</t>
  </si>
  <si>
    <t>2023-05-03-10201SP616-01</t>
  </si>
  <si>
    <t>2023-10-79 SPLIT</t>
  </si>
  <si>
    <t>1S11T5S16200GM02ZT9M</t>
  </si>
  <si>
    <t>2023-05-03-10201SP405-01</t>
  </si>
  <si>
    <t>2023-06-01-1020SP21-01</t>
  </si>
  <si>
    <t>2023-01-05 SPLIT</t>
  </si>
  <si>
    <t>2023-05-03-10201SP406-01</t>
  </si>
  <si>
    <t>2023-05-03-10201SP617-01</t>
  </si>
  <si>
    <t>1S11T5S16200GM02ZT8A</t>
  </si>
  <si>
    <t>Ma Trinidad Unciano</t>
  </si>
  <si>
    <t>2023-06-01-1020SP22-01</t>
  </si>
  <si>
    <t>2023-06-01-1020SP23-01</t>
  </si>
  <si>
    <t>2023-05-03-10201SP407-01</t>
  </si>
  <si>
    <t>2023-05-03-10201SP61801</t>
  </si>
  <si>
    <t>1S11T5S16200GM02ZT7Z</t>
  </si>
  <si>
    <t>2023-06-01-10201SP45-01</t>
  </si>
  <si>
    <t>Jorge Mendoza</t>
  </si>
  <si>
    <t>SNC 1195</t>
  </si>
  <si>
    <t>ROSALINA E. BAYAONA C/O MIGUEL K. BANCILO JR</t>
  </si>
  <si>
    <t>A.O IV / COS</t>
  </si>
  <si>
    <t>2023-10-80 SPLIT</t>
  </si>
  <si>
    <t>GSS / SPLIT</t>
  </si>
  <si>
    <t>2023-05-03-10201SP408-01</t>
  </si>
  <si>
    <t>2023-06-01-1020SP24-01</t>
  </si>
  <si>
    <t>2023-05-03-10201SP619-01</t>
  </si>
  <si>
    <t>PACITA MANAYOS</t>
  </si>
  <si>
    <t>1S11T5S16200GM02ZT9F</t>
  </si>
  <si>
    <t>2023-01-06 SPLIT</t>
  </si>
  <si>
    <t>2023-06-01-1020SP25-01</t>
  </si>
  <si>
    <t>Leonel Redoloso</t>
  </si>
  <si>
    <t>2023-06-01-1020SP26-01</t>
  </si>
  <si>
    <t>2023-05-03-10201SP620-01</t>
  </si>
  <si>
    <t>1S11T5S16200GM02ZT7A</t>
  </si>
  <si>
    <t>PARPO ll Vic Ines</t>
  </si>
  <si>
    <t>2023-06-01-1020SP03-01</t>
  </si>
  <si>
    <t>2023-05-03-10201SP409-01</t>
  </si>
  <si>
    <t>PETER D. BANTASAN</t>
  </si>
  <si>
    <t>OIC PARPO II/PROJECT MANAGER</t>
  </si>
  <si>
    <t>2023-09-71 SPLIT</t>
  </si>
  <si>
    <t>2023-05-03-10201SP621-01</t>
  </si>
  <si>
    <t>1S11T5S16200GM02ZT8X</t>
  </si>
  <si>
    <t>Elizabeth Pablico</t>
  </si>
  <si>
    <t>2023-06-01-1020ISP41-01</t>
  </si>
  <si>
    <t>SNC 1304</t>
  </si>
  <si>
    <t>2023-10-76 SPLIT</t>
  </si>
  <si>
    <t>2023-05-03-10201SP622-01</t>
  </si>
  <si>
    <t>PARPOs OFFICE</t>
  </si>
  <si>
    <t>1S11T5S16200GM02ZT92</t>
  </si>
  <si>
    <t>Editha Birosel</t>
  </si>
  <si>
    <t>2023-06-01-10201SP86-01</t>
  </si>
  <si>
    <t>SNC 1306</t>
  </si>
  <si>
    <t>2023-05-03-10201SP410-01</t>
  </si>
  <si>
    <t>Atty. Sheila B. Enciso</t>
  </si>
  <si>
    <t>2023-05-03-10201SP623-01</t>
  </si>
  <si>
    <t>2023-10-045</t>
  </si>
  <si>
    <t>1S11T5S16200GM02ZT7G</t>
  </si>
  <si>
    <t>Office of the Regional Director</t>
  </si>
  <si>
    <t>Eufrocino Tacod</t>
  </si>
  <si>
    <t>2023-05-03-10201SP624-01</t>
  </si>
  <si>
    <t>1S11T5S16200GM02ZT7W</t>
  </si>
  <si>
    <t>Ma Victoria L. Castaneda</t>
  </si>
  <si>
    <t>₱ 598,888.00</t>
  </si>
  <si>
    <t>2023-05-03-10201SP411-01</t>
  </si>
  <si>
    <t>2023-05-03-10201SP625-01</t>
  </si>
  <si>
    <t>1S11T5S16200GM0418FV</t>
  </si>
  <si>
    <t>2026-05-14-10201SP005-01</t>
  </si>
  <si>
    <t>ASSISTANT DIRECTOR</t>
  </si>
  <si>
    <t>2023-09-061DS</t>
  </si>
  <si>
    <t>2023-05-03-10201SP626-01</t>
  </si>
  <si>
    <t>1S11T5S16200GM0418CD</t>
  </si>
  <si>
    <t>2026-05-14-10201SP022-01</t>
  </si>
  <si>
    <t>Remedios Tadeja</t>
  </si>
  <si>
    <t>2023-05-03-10201SP415-01</t>
  </si>
  <si>
    <t>2023-05-03-10201SP627-01</t>
  </si>
  <si>
    <t>1S11T5S16200GM041B4B</t>
  </si>
  <si>
    <t>2023-05-34-SPLIT</t>
  </si>
  <si>
    <t>BENGUET</t>
  </si>
  <si>
    <t>2023-05-03-10201SP628-01</t>
  </si>
  <si>
    <t>1S11T5S16200GM0415SB</t>
  </si>
  <si>
    <t>HILUX TAMARAW 2.4 UTILITY VAN DSL MT-UVR -24</t>
  </si>
  <si>
    <t>2023-05-03-10201SP416-01</t>
  </si>
  <si>
    <t>Myrna M. Masmela</t>
  </si>
  <si>
    <t>2026-06-01-10201SP035-01</t>
  </si>
  <si>
    <t>SGA 6647</t>
  </si>
  <si>
    <t>2023-05-03-10201SP629-01</t>
  </si>
  <si>
    <t>1S11T5S16200GM02ZT7Y</t>
  </si>
  <si>
    <t>OIC-PARPO II</t>
  </si>
  <si>
    <t>Maranyl O. Aguilar</t>
  </si>
  <si>
    <t>ABRA</t>
  </si>
  <si>
    <t>2026-06-01-10201SP034-01</t>
  </si>
  <si>
    <t>SGA 6648</t>
  </si>
  <si>
    <t>2023-05-03-10201SP630-01</t>
  </si>
  <si>
    <t>MARIFLOR B. TORRELIZA</t>
  </si>
  <si>
    <t>1S11T5S16200GM02ZT7T</t>
  </si>
  <si>
    <t>2023-05-03-10201SP417-01</t>
  </si>
  <si>
    <t>Mary Grace C. Agas</t>
  </si>
  <si>
    <t>IFUGAO</t>
  </si>
  <si>
    <t>2026-06-01-10201SP033-01</t>
  </si>
  <si>
    <t xml:space="preserve">SGA 6641 </t>
  </si>
  <si>
    <t>STEPHANIE ROSE B. MONGUIHO</t>
  </si>
  <si>
    <t>2023-05-03-10201SP631-01</t>
  </si>
  <si>
    <t>AO IV</t>
  </si>
  <si>
    <t>1S11T5S16200GM02ZT93</t>
  </si>
  <si>
    <t>Zarena Ann Amado</t>
  </si>
  <si>
    <t>KALINGA</t>
  </si>
  <si>
    <t>2026-06-01-10201SP031-01</t>
  </si>
  <si>
    <t>SGA 6639</t>
  </si>
  <si>
    <t>2023-05-03-10201SP418-01</t>
  </si>
  <si>
    <t>2023-05-03-10201SP632-01</t>
  </si>
  <si>
    <t>KATHERINE R. CASILI</t>
  </si>
  <si>
    <t>1S11T5S16200GM02ZT7H</t>
  </si>
  <si>
    <t>EA II - USEC</t>
  </si>
  <si>
    <t>APAYAO</t>
  </si>
  <si>
    <t>2023-09-064DS</t>
  </si>
  <si>
    <t>2026-06-01-10201SP032-01</t>
  </si>
  <si>
    <t>Sonny Boy R. Roldan</t>
  </si>
  <si>
    <t>FOO</t>
  </si>
  <si>
    <t>SGA 6640</t>
  </si>
  <si>
    <t>Mt Province</t>
  </si>
  <si>
    <t>2023-05-03-10201SP633-01</t>
  </si>
  <si>
    <t>1S11T5S16200GM02ZT8S</t>
  </si>
  <si>
    <t>2026-06-01-10201SP036-01</t>
  </si>
  <si>
    <t>SGA 6655</t>
  </si>
  <si>
    <t>MENCHIE B. BUKING</t>
  </si>
  <si>
    <t>OIC-CAO</t>
  </si>
  <si>
    <t>Yaser P. Fernandez</t>
  </si>
  <si>
    <t>2023-05-03-10201SP419-01</t>
  </si>
  <si>
    <t>2026-06-01-10201SP150-01</t>
  </si>
  <si>
    <t>SGA 8151</t>
  </si>
  <si>
    <t>2023-05-03-10201SP634-01</t>
  </si>
  <si>
    <t>1S11T5S16200GM02ZT74</t>
  </si>
  <si>
    <t>2023-05-03-10201SP635-01</t>
  </si>
  <si>
    <t>2023-05-03-10201SP420-01</t>
  </si>
  <si>
    <t>*** some SPLIT sticker were missing on MSI</t>
  </si>
  <si>
    <t>1S11T5S16200GM0418L1</t>
  </si>
  <si>
    <t>2023-09-065DS</t>
  </si>
  <si>
    <t>*** Lenovo Desktops were observed to have be different reference part(e.g. DARRO - UPS, Isabela - CPU, Quirino-Monitor), advised to use the CPU as reference for uniformity</t>
  </si>
  <si>
    <t>*** Most Canon Printer bundled with Lenovo Desktop are not serviceable</t>
  </si>
  <si>
    <t>2023-05-03-10201SP636-01</t>
  </si>
  <si>
    <t>1S11T5S16200GM02ZT87</t>
  </si>
  <si>
    <t>Santiago Martin Peregrono</t>
  </si>
  <si>
    <t>2023-05-03-10201SP637-01</t>
  </si>
  <si>
    <t>1S11T5S16200GM02ZT94</t>
  </si>
  <si>
    <t>Blesilda Asidre</t>
  </si>
  <si>
    <t>Ifugao Notes: Summary of observations /findings: All items from the provincial records are reconciled with DARCO, except for the MSI Units, which are reflected in the DARCO records but were absent during the inventory.</t>
  </si>
  <si>
    <t>2023-05-03-10201SP638-01</t>
  </si>
  <si>
    <t>1S11T5S16200GM02ZT8J</t>
  </si>
  <si>
    <t>Atty. Tristan Juvenino Adviento</t>
  </si>
  <si>
    <t>2023-05-03-10201SP639-01</t>
  </si>
  <si>
    <t>1S11T5S16200GM0418L0</t>
  </si>
  <si>
    <t>Hedy B. Dela Cruz</t>
  </si>
  <si>
    <t>2023-05-03-10201SP640-01</t>
  </si>
  <si>
    <t>1S11T5S16200GM02ZT8W</t>
  </si>
  <si>
    <t>2023-05-03-10201SP641-01</t>
  </si>
  <si>
    <t>1S11T5S16200GM02ZT7J</t>
  </si>
  <si>
    <t>2023-05-32-SPLIT</t>
  </si>
  <si>
    <t>Ernesto D. Cariño Jr</t>
  </si>
  <si>
    <t>2023-05-03-10201SP642-01</t>
  </si>
  <si>
    <t>1S11T5S16200GM02ZT9J</t>
  </si>
  <si>
    <t>2023-05-03-10201SP483-01</t>
  </si>
  <si>
    <t>Jediah A. Rivera</t>
  </si>
  <si>
    <t>UPS DEFFECTIVE</t>
  </si>
  <si>
    <t>ARTEMIO DUMAONG</t>
  </si>
  <si>
    <t>2023-09-066DS</t>
  </si>
  <si>
    <t>2023-05-03-10201SP643-01</t>
  </si>
  <si>
    <t>1S11T5S16200GM02ZT82</t>
  </si>
  <si>
    <t>Jerry M. Rufin Jr.</t>
  </si>
  <si>
    <t>2023-05-03-10201SP484-01</t>
  </si>
  <si>
    <t>2023-05-03-10201SP644-01</t>
  </si>
  <si>
    <t>1S11T5S16200GM02ZT8C</t>
  </si>
  <si>
    <t>Kimbery Ann C. Granaderos</t>
  </si>
  <si>
    <t>MONITOR DEFFECTIVE</t>
  </si>
  <si>
    <t>2023-05-03-10201SP645-01</t>
  </si>
  <si>
    <t>1S11T5S16200GM041B60</t>
  </si>
  <si>
    <t>Jessa Faye N. Crusin</t>
  </si>
  <si>
    <t>2023-05-03-10201SP646-01</t>
  </si>
  <si>
    <t>1S11T5S16200GM02ZT7B</t>
  </si>
  <si>
    <t>2023-06-01-10201SP01-01-01</t>
  </si>
  <si>
    <t>Julie Ann N. Lara</t>
  </si>
  <si>
    <t>JOEY G SUMATRA</t>
  </si>
  <si>
    <t>2023-01-001S</t>
  </si>
  <si>
    <t>2023-05-03-10201SP647-01</t>
  </si>
  <si>
    <t>1S11T5S16200GM02ZT99</t>
  </si>
  <si>
    <t>Elizabeth E. Morta</t>
  </si>
  <si>
    <t>2023-06-01-10201SP01-02-01</t>
  </si>
  <si>
    <t>2023-05-03-10201SP648-01</t>
  </si>
  <si>
    <t>1S11T5S16200GM02ZT96</t>
  </si>
  <si>
    <t>Ma. Magdalena Salting</t>
  </si>
  <si>
    <t>2023-05-03-10201SP649-01</t>
  </si>
  <si>
    <t>1S11T5S16200GM0418KR</t>
  </si>
  <si>
    <t>Jovy Anne V. Dalay-on</t>
  </si>
  <si>
    <t>2023-05-14-10201SP43-01</t>
  </si>
  <si>
    <t>2023-05-03-10201SP650-01</t>
  </si>
  <si>
    <t>1S11T5S16200GM0418KW</t>
  </si>
  <si>
    <t>DOMINGO ROQUE JR</t>
  </si>
  <si>
    <t>Imelda I. Cunanan</t>
  </si>
  <si>
    <t>ENGR II</t>
  </si>
  <si>
    <t>2023-03-007S</t>
  </si>
  <si>
    <t>2023-05-03-10201SP651-01</t>
  </si>
  <si>
    <t>1S11T5S16200GM02ZT9D</t>
  </si>
  <si>
    <t>Atty. Lobayto P. Lang-ay</t>
  </si>
  <si>
    <t>2023-05-14-10201SP44-01</t>
  </si>
  <si>
    <t>ALVIN YORK RODRIGUEZ</t>
  </si>
  <si>
    <t>2023-03-008S</t>
  </si>
  <si>
    <t>2023-05-03-10201SP652-01</t>
  </si>
  <si>
    <t>1S11T5S16200GM02ZT7Q</t>
  </si>
  <si>
    <t>2023-05-03-10201SP653-01</t>
  </si>
  <si>
    <t>1S11T5S16200GM02ZT8G</t>
  </si>
  <si>
    <t>Lorie L. Capistrano</t>
  </si>
  <si>
    <t>2023-05-14-10201SP45-01</t>
  </si>
  <si>
    <t>WALTER GEALAN</t>
  </si>
  <si>
    <t>2023-03-009S</t>
  </si>
  <si>
    <t>2023-05-03-10201SP654-01</t>
  </si>
  <si>
    <t>1S11T5S16200GM02ZT9W</t>
  </si>
  <si>
    <t>Russel T. Tabisula</t>
  </si>
  <si>
    <t>2023-05-03-10201SP655-01</t>
  </si>
  <si>
    <t>1S11T5S16200GM02ZT90</t>
  </si>
  <si>
    <t>2023-05-14-10201SP46-01</t>
  </si>
  <si>
    <t>JACQUELINE D. DACASIN</t>
  </si>
  <si>
    <t>2023-05-10-SPLIT</t>
  </si>
  <si>
    <t>ENGR III</t>
  </si>
  <si>
    <t>Teotimo L. De Vera</t>
  </si>
  <si>
    <t>2023-03-010S</t>
  </si>
  <si>
    <t>2023-05-03-10201SP656-01</t>
  </si>
  <si>
    <t>1S11T5S16200GM02ZT9K</t>
  </si>
  <si>
    <t>Justo Miguel C. Gregorio</t>
  </si>
  <si>
    <t>2023-05-14-10201SP47-01</t>
  </si>
  <si>
    <t>2023-05-03-10201SP657-01</t>
  </si>
  <si>
    <t>1S11T5S16200GM02ZT9C</t>
  </si>
  <si>
    <t>ENGR NEL P LUMAUAN</t>
  </si>
  <si>
    <t>OIC DIRECTOR III</t>
  </si>
  <si>
    <t>N/A</t>
  </si>
  <si>
    <t>2023-05-03-10201SP658-01</t>
  </si>
  <si>
    <t>1S11T5S16200GM02ZT81</t>
  </si>
  <si>
    <t>Noemi Biligan</t>
  </si>
  <si>
    <t>2023-05-14-10201SP93-01</t>
  </si>
  <si>
    <t>2023-05-03-10201SP659-01</t>
  </si>
  <si>
    <t>1S11T5S16200GM0418C2</t>
  </si>
  <si>
    <t>2023-05-14-10201SP94-01</t>
  </si>
  <si>
    <t>Jacinto P. dela Cruz</t>
  </si>
  <si>
    <t>2023-05-03-10201SP660-01</t>
  </si>
  <si>
    <t>1S11T5S16200GM02ZT8P</t>
  </si>
  <si>
    <t>Mechele S. Munar</t>
  </si>
  <si>
    <t>2023-05-03-10201SP661-01</t>
  </si>
  <si>
    <t>1S11T5S16200GM02ZT8N</t>
  </si>
  <si>
    <t>2023-05-14-10201SP95-01</t>
  </si>
  <si>
    <t>Margielene Cabulang</t>
  </si>
  <si>
    <t>2023-05-03-10201SP662-01</t>
  </si>
  <si>
    <t>1S11T5S16200GM02ZT9H</t>
  </si>
  <si>
    <t>2023-05-03-10201SP663-01</t>
  </si>
  <si>
    <t>1S11T5S16200GM02ZT9E</t>
  </si>
  <si>
    <t>2023-05-14-10201SP96-01</t>
  </si>
  <si>
    <t>John Patrick D. Pacis</t>
  </si>
  <si>
    <t>2023-05-03-10201SP664-01</t>
  </si>
  <si>
    <t>1S11T5S16200GM02ZT77</t>
  </si>
  <si>
    <t>Zenon C. Valdez</t>
  </si>
  <si>
    <t>2023-05-14-10201SP97-01</t>
  </si>
  <si>
    <t>2023-05-03-10201SP665-01</t>
  </si>
  <si>
    <t>1S11T5S16200GM02ZT76</t>
  </si>
  <si>
    <t>Shirley C. Ochoco</t>
  </si>
  <si>
    <t>2023-05-03-10201SP666-01</t>
  </si>
  <si>
    <t>1S11T5S16200GM02ZT7N</t>
  </si>
  <si>
    <t>Queenie Mar B. Cabarloc</t>
  </si>
  <si>
    <t>2023-05-03-10201SP667-01</t>
  </si>
  <si>
    <t>1S11T5S16200GM02ZT95</t>
  </si>
  <si>
    <t>Perlita B. Valdez</t>
  </si>
  <si>
    <t>2023-05-03-10201SP668-01</t>
  </si>
  <si>
    <t>1S11T5S16200GM02ZT8M</t>
  </si>
  <si>
    <t>Alberto B. Wallit</t>
  </si>
  <si>
    <t>2023-05-14-10201SP98-01</t>
  </si>
  <si>
    <t>2023-05-14-10202SP88-01</t>
  </si>
  <si>
    <t>2023-08-57-SPLIT</t>
  </si>
  <si>
    <t>2023-05-14-10202SP89-01</t>
  </si>
  <si>
    <t>2023-08-58- SPLIT</t>
  </si>
  <si>
    <t>2023-05-14-10201SP99-01</t>
  </si>
  <si>
    <t>2023-05-14-10202SP90-01</t>
  </si>
  <si>
    <t>2023-08-59-SPLIT</t>
  </si>
  <si>
    <t>transfer to La Union</t>
  </si>
  <si>
    <t>2023-05-14-10202SP91-01</t>
  </si>
  <si>
    <t>Charlotte Lasmarias</t>
  </si>
  <si>
    <t>2023-05-14-10201SP100-01</t>
  </si>
  <si>
    <t>2023-08-60-SPLIT</t>
  </si>
  <si>
    <t>transfer to pangasinan</t>
  </si>
  <si>
    <t>2023-05-14-10202SP92-01</t>
  </si>
  <si>
    <t>2023-05-14-10201SP101-01</t>
  </si>
  <si>
    <t>2024-05-14-10201SP11-01</t>
  </si>
  <si>
    <t>2023-05-14-10201SP102-01</t>
  </si>
  <si>
    <t>TANSFER TO REGION</t>
  </si>
  <si>
    <t>2024-05-03-10202SP-306-01</t>
  </si>
  <si>
    <t>MA KATHERINE P SOMERA</t>
  </si>
  <si>
    <t>2023-05-14-10201SP103-01</t>
  </si>
  <si>
    <t>INFO OFFICER III</t>
  </si>
  <si>
    <t>2024-05-03-10202SP-246-01</t>
  </si>
  <si>
    <t>2022-05-02-10202SP01-01</t>
  </si>
  <si>
    <t>EMERALDLYN B CANTORIA</t>
  </si>
  <si>
    <t>ESS COORDINATOR</t>
  </si>
  <si>
    <t>CRISTY DAGDAG</t>
  </si>
  <si>
    <t>2022-10-001SC</t>
  </si>
  <si>
    <t>UNSERVICEABLE</t>
  </si>
  <si>
    <t>CPMO</t>
  </si>
  <si>
    <t>HVSPLIT-102-04-05-01-339</t>
  </si>
  <si>
    <t>NEMIA THEODORA TATUNAY</t>
  </si>
  <si>
    <t>2022-05-02-10202SP02-01</t>
  </si>
  <si>
    <t>2022-10-001SB</t>
  </si>
  <si>
    <t>HVSPLIT-102-04-05-01-338</t>
  </si>
  <si>
    <t>MA. ELENA IVY AGBUNAG</t>
  </si>
  <si>
    <t>2022-05-02-10202SP03-01</t>
  </si>
  <si>
    <t>HVSPLIT-102-24-05-01-346</t>
  </si>
  <si>
    <t>JORDAN MAGLAYA</t>
  </si>
  <si>
    <t>GRAPHIC ARTIST</t>
  </si>
  <si>
    <t>HVSPLIT-102-24-05-01-340</t>
  </si>
  <si>
    <t>INFO. OFFICER</t>
  </si>
  <si>
    <t>HVSPLIT-102-24-05-01-341</t>
  </si>
  <si>
    <t>HVSPLIT-102-24-05-01-342</t>
  </si>
  <si>
    <t>2022-05-02-10202SP04-01</t>
  </si>
  <si>
    <t>HVSPLIT-102-24-05-01-343</t>
  </si>
  <si>
    <t>ESTER KATIGBAK</t>
  </si>
  <si>
    <t>HVSPLIT-102-24-05-01-344</t>
  </si>
  <si>
    <t>CASHIER III</t>
  </si>
  <si>
    <t>FASPO CASHIER</t>
  </si>
  <si>
    <t>HVSPLIT-102-24-05-01-345</t>
  </si>
  <si>
    <t>HVSPLIT-102-24-05-01-348</t>
  </si>
  <si>
    <t>HVSPLIT-102-24-05-01-349</t>
  </si>
  <si>
    <t>HVSPLIT-102-24-05-01-168</t>
  </si>
  <si>
    <t>2024-05-14-10201SP01-01</t>
  </si>
  <si>
    <t>HVSPLIT-102-24-05-01-038</t>
  </si>
  <si>
    <t>BEN R. RIOS</t>
  </si>
  <si>
    <t>PBD/FOD</t>
  </si>
  <si>
    <t>HVSPLIT-102-24-05-01-347</t>
  </si>
  <si>
    <t>KRAIG ANDRE QUEZADA</t>
  </si>
  <si>
    <t>ADMIN. AIDE</t>
  </si>
  <si>
    <t>OARD</t>
  </si>
  <si>
    <t>2024-05-03-10202SP-338-01</t>
  </si>
  <si>
    <t>2023-06-01-10202SP28-01</t>
  </si>
  <si>
    <t>2023-01-36-SPLIT</t>
  </si>
  <si>
    <t>2023-06-01-10202SP29-01</t>
  </si>
  <si>
    <t>Rodel Pascual</t>
  </si>
  <si>
    <t>2023-06-01-10202SP30-01</t>
  </si>
  <si>
    <t>HV-SPLIT-102-24-05-05</t>
  </si>
  <si>
    <t>2023-06-01-10202SP31-01</t>
  </si>
  <si>
    <t>EA II</t>
  </si>
  <si>
    <t>006-2024S</t>
  </si>
  <si>
    <t>ROSELYN SEGOVIA</t>
  </si>
  <si>
    <t>2023-06-01-10202SP32-01</t>
  </si>
  <si>
    <t>2023-06-01-10202SP33-01</t>
  </si>
  <si>
    <t>2023-06-01-10202SP34-01</t>
  </si>
  <si>
    <t>HV-SPLIT-102-24-05-57</t>
  </si>
  <si>
    <t>2023-06-01-10202SP35-01</t>
  </si>
  <si>
    <t>ADMIN SERVICE</t>
  </si>
  <si>
    <t>2023-06-01-10202SP36-01</t>
  </si>
  <si>
    <t>2023-01-38-SPLIT</t>
  </si>
  <si>
    <t>2023-06-01-10202SP37-01</t>
  </si>
  <si>
    <t>2023-06-01-10202SP38-01</t>
  </si>
  <si>
    <t>HV-SPLIT-102-24-05-67</t>
  </si>
  <si>
    <t>2023-06-01-10202SP39-01</t>
  </si>
  <si>
    <t>2023-06-01-10202SP40-01</t>
  </si>
  <si>
    <t>HV-SPLIT-102-24-05-69</t>
  </si>
  <si>
    <t>Eugene Rapacon</t>
  </si>
  <si>
    <t>2023-06-01-10202SP41-01</t>
  </si>
  <si>
    <t>HV-SPLIT-102-24-05-80</t>
  </si>
  <si>
    <t>Jorgr Mendoza</t>
  </si>
  <si>
    <t>2023-06-01-10202SP42-01</t>
  </si>
  <si>
    <t>2023-01-37-SPLIT</t>
  </si>
  <si>
    <t>no end user</t>
  </si>
  <si>
    <t>HV-SPLIT-102-24-05-83</t>
  </si>
  <si>
    <t>2023-06-01-10202SP43-01</t>
  </si>
  <si>
    <t>2023-06-01-10202SP44-01</t>
  </si>
  <si>
    <t>HV-SPLIT-102-24-05-60</t>
  </si>
  <si>
    <t>2023-06-01-10202SP45-01</t>
  </si>
  <si>
    <t>HV-SPLIT-102-24-05-68</t>
  </si>
  <si>
    <t>2023-01-39-SPLIT</t>
  </si>
  <si>
    <t>Bryan De Guzman</t>
  </si>
  <si>
    <t>2023-06-01-10202SP46-01</t>
  </si>
  <si>
    <t>HV-SPLIT-102-24-05-02</t>
  </si>
  <si>
    <t>CPMO SPLIT</t>
  </si>
  <si>
    <t>Yaser Fernandez</t>
  </si>
  <si>
    <t>2023-06-01-10202SP47-01</t>
  </si>
  <si>
    <t>Michael Joaquin</t>
  </si>
  <si>
    <t>HV-SPLIT-102-24-05-54</t>
  </si>
  <si>
    <t>2023-06-01-10202SP48-01</t>
  </si>
  <si>
    <t>Jacinto dela Cruz</t>
  </si>
  <si>
    <t>2023-06-01-10202SP49-01</t>
  </si>
  <si>
    <t>HV-SPLIT-102-24-05-04</t>
  </si>
  <si>
    <t>Jerick Aquino</t>
  </si>
  <si>
    <t>CPMO FINANCE</t>
  </si>
  <si>
    <t>2023-06-01-10202SP50-01</t>
  </si>
  <si>
    <t>HV-SPLIT-102-24-05-01</t>
  </si>
  <si>
    <t>2023-06-01-10202SP51-01</t>
  </si>
  <si>
    <t>Romeo De Vera</t>
  </si>
  <si>
    <t>HV-SPLIT-102-24-05-03</t>
  </si>
  <si>
    <t>2023-06-01-10202SP52-01</t>
  </si>
  <si>
    <t>2023-06-01-10202SP53-01</t>
  </si>
  <si>
    <t>Jherwin D. Flores</t>
  </si>
  <si>
    <t>2023-06-01-10202SP54-01</t>
  </si>
  <si>
    <t>2024-05-03-10202SP-081</t>
  </si>
  <si>
    <t>REGIONAL OFFICE I</t>
  </si>
  <si>
    <t>SP001-2024</t>
  </si>
  <si>
    <t>2023-06-01-10201SP10-01</t>
  </si>
  <si>
    <t>SNC 1079</t>
  </si>
  <si>
    <t>MARIA ANA B. FRANCISCO,CESO V</t>
  </si>
  <si>
    <t>2023-11-49-SPLIT</t>
  </si>
  <si>
    <t>2024-05-03-10202SP-082</t>
  </si>
  <si>
    <t>2023-06-01-10201SP46-01</t>
  </si>
  <si>
    <t>SNC 1174</t>
  </si>
  <si>
    <t>MARIA VICTORIA C. GREGORIO</t>
  </si>
  <si>
    <t>PROCUREMENT OFFICER</t>
  </si>
  <si>
    <t>2023-11-50-SPLIT</t>
  </si>
  <si>
    <t>2023-06-01-10201SP09-01</t>
  </si>
  <si>
    <t>SNC 1082</t>
  </si>
  <si>
    <t>2023-11-45-SPLIT</t>
  </si>
  <si>
    <t>2024-05-03-10202SP-083</t>
  </si>
  <si>
    <t>2023-06-01-10201SP48-01</t>
  </si>
  <si>
    <t>SNC 1148</t>
  </si>
  <si>
    <t>ENGR. VIC M. INES</t>
  </si>
  <si>
    <t>ARDO/PARPO II</t>
  </si>
  <si>
    <t>2023-11-46-SPLIT</t>
  </si>
  <si>
    <t>ILOCOS SUR</t>
  </si>
  <si>
    <t>2024-05-03-10202SP-084</t>
  </si>
  <si>
    <t>2023-06-01-10201SP49-01</t>
  </si>
  <si>
    <t>SNC-1139</t>
  </si>
  <si>
    <t>2023-11-48-SPLIT</t>
  </si>
  <si>
    <t>DARPO ILOCOS SUR</t>
  </si>
  <si>
    <t>LA UNION</t>
  </si>
  <si>
    <t>2024-05-03-10202SP-085</t>
  </si>
  <si>
    <t>2023-06-01-10201SP51-01</t>
  </si>
  <si>
    <t>SNC 1168</t>
  </si>
  <si>
    <t>LORIE L. CAPISTRANO</t>
  </si>
  <si>
    <t>2023-11-48a-SPLIT</t>
  </si>
  <si>
    <t>DARPO LA UNION</t>
  </si>
  <si>
    <t>2024-05-03-10202SP-086</t>
  </si>
  <si>
    <t>SP002-2024</t>
  </si>
  <si>
    <t>USEC FASPO</t>
  </si>
  <si>
    <t>2024-05-03-10202SP-087</t>
  </si>
  <si>
    <t>PANGASINAN</t>
  </si>
  <si>
    <t>2023-06-01-10201SP47-01</t>
  </si>
  <si>
    <t>SNC 1139</t>
  </si>
  <si>
    <t>CHARLOTTE LASMARIAS</t>
  </si>
  <si>
    <t>2024-05-03-10202SP-088</t>
  </si>
  <si>
    <t>2023-06-01-10201SP50-01</t>
  </si>
  <si>
    <t>SNC 1175</t>
  </si>
  <si>
    <t>GENARO M. BALLESTEROS, JR.</t>
  </si>
  <si>
    <t>2023-11-47-SPLIT</t>
  </si>
  <si>
    <t>2024-05-03-10202SP-089</t>
  </si>
  <si>
    <t>2024-05-03-10202SP-090</t>
  </si>
  <si>
    <t>2024-05-03-10202SP-091</t>
  </si>
  <si>
    <t>2026-06-01-10201SP016-01</t>
  </si>
  <si>
    <t>SGA 6632</t>
  </si>
  <si>
    <t>2024-05-03-10202SP-092</t>
  </si>
  <si>
    <t>2024-05-03-10202SP-093</t>
  </si>
  <si>
    <t>2026-06-01-10201SP020-01</t>
  </si>
  <si>
    <t>SGA 6636</t>
  </si>
  <si>
    <t>2024-05-03-10202SP-094</t>
  </si>
  <si>
    <t>2026-06-01-10201SP021-01</t>
  </si>
  <si>
    <t>SGA 6637</t>
  </si>
  <si>
    <t>2026-06-01-10201SP018-01</t>
  </si>
  <si>
    <t>SGA 6634</t>
  </si>
  <si>
    <t>2026-06-01-10201SP039-01</t>
  </si>
  <si>
    <t>2024-05-03-10202SP-095</t>
  </si>
  <si>
    <t>SGA 6638</t>
  </si>
  <si>
    <t>2026-06-01-10201SP017-01</t>
  </si>
  <si>
    <t>SGA 6633</t>
  </si>
  <si>
    <t>2026-06-01-10201SP019-01</t>
  </si>
  <si>
    <t>SGA 6635</t>
  </si>
  <si>
    <t>2024-05-03-10202SP-096</t>
  </si>
  <si>
    <t>ATTY KAZEL CELESTE</t>
  </si>
  <si>
    <t>SP003-2024</t>
  </si>
  <si>
    <t>USEC FOO</t>
  </si>
  <si>
    <t>2024-05-03-10202SP-097</t>
  </si>
  <si>
    <t>2024-05-03-10202SP-098</t>
  </si>
  <si>
    <t>2024-05-03-10202SP-099</t>
  </si>
  <si>
    <t>2024-05-03-10202SP-100</t>
  </si>
  <si>
    <t>2024-05-03-10202SP-101</t>
  </si>
  <si>
    <t>2024-05-03-10202SP-102</t>
  </si>
  <si>
    <t>2024-05-03-10202SP-103</t>
  </si>
  <si>
    <t>LANI C DE LEON</t>
  </si>
  <si>
    <t>SP004-2024</t>
  </si>
  <si>
    <t>2024-05-03-10202SP-104</t>
  </si>
  <si>
    <t>2024-05-03-10202SP-105</t>
  </si>
  <si>
    <t>2024-05-03-10202SP-106</t>
  </si>
  <si>
    <t>SP005-2024</t>
  </si>
  <si>
    <t>USEC OMA</t>
  </si>
  <si>
    <t>2024-05-03-10202SP-107</t>
  </si>
  <si>
    <t>2024-05-03-10202SP-108</t>
  </si>
  <si>
    <t>2024-05-03-10202SP-109</t>
  </si>
  <si>
    <t>SP006-2024</t>
  </si>
  <si>
    <t>2024-05-03-10202SP-110</t>
  </si>
  <si>
    <t>2024-05-03-10202SP-111</t>
  </si>
  <si>
    <t>2024-05-03-10202SP-112</t>
  </si>
  <si>
    <t>2024-05-03-10202SP-113</t>
  </si>
  <si>
    <t>2024-05-03-10202SP-114</t>
  </si>
  <si>
    <t>2024-05-03-10202SP-115</t>
  </si>
  <si>
    <t>FMS / BUDGET</t>
  </si>
  <si>
    <t>2024-05-03-10202SP-116</t>
  </si>
  <si>
    <t>2024-05-03-10202SP-117</t>
  </si>
  <si>
    <t>2024-05-03-10202SP-118</t>
  </si>
  <si>
    <t>2024-05-03-10202SP-119</t>
  </si>
  <si>
    <t>RENE E COLOCAR</t>
  </si>
  <si>
    <t>SP007-2024</t>
  </si>
  <si>
    <t>ASEC FASPO - SPECIAL PROJECT OFFICE</t>
  </si>
  <si>
    <t>2024-05-03-10202SP-120</t>
  </si>
  <si>
    <t>2024-05-03-10202SP-121</t>
  </si>
  <si>
    <t>2024-05-03-10202SP-122</t>
  </si>
  <si>
    <t>2024-05-03-10202SP-123</t>
  </si>
  <si>
    <t>2024-05-03-10202SP-124</t>
  </si>
  <si>
    <t>ATTY MARJORIE P AYSON</t>
  </si>
  <si>
    <t>SP008-2024</t>
  </si>
  <si>
    <t>ASEC FOO</t>
  </si>
  <si>
    <t>2024-05-03-10202SP-125</t>
  </si>
  <si>
    <t>2024-05-03-10202SP-126</t>
  </si>
  <si>
    <t>2024-05-03-10202SP-127</t>
  </si>
  <si>
    <t>2024-05-03-10202SP-128</t>
  </si>
  <si>
    <t>2024-05-03-10202SP-129</t>
  </si>
  <si>
    <t>2024-05-03-10202SP-130</t>
  </si>
  <si>
    <t>2024-05-03-10202SP-131</t>
  </si>
  <si>
    <t>2024-05-03-10202SP-132</t>
  </si>
  <si>
    <t>2024-05-03-10202SP-133</t>
  </si>
  <si>
    <t>2024-05-03-10202SP-134</t>
  </si>
  <si>
    <t>EUGENE FOLLANTE</t>
  </si>
  <si>
    <t>SP009-2024</t>
  </si>
  <si>
    <t>ASEC LAO IN ALI-ALA</t>
  </si>
  <si>
    <t>2024-05-03-10202SP-135</t>
  </si>
  <si>
    <t>2024-05-03-10202SP-136</t>
  </si>
  <si>
    <t>2024-05-03-10202SP-137</t>
  </si>
  <si>
    <t>2024-05-03-10202SP-138</t>
  </si>
  <si>
    <t>2024-05-03-10202SP-139</t>
  </si>
  <si>
    <t>2024-05-03-10202SP-140</t>
  </si>
  <si>
    <t>2024-05-03-10202SP-141</t>
  </si>
  <si>
    <t>2024-05-03-10202SP-142</t>
  </si>
  <si>
    <t>2024-05-03-10202SP-143</t>
  </si>
  <si>
    <t>GAD</t>
  </si>
  <si>
    <t>2024-05-03-10202SP-144</t>
  </si>
  <si>
    <t>SP010-2024</t>
  </si>
  <si>
    <t>2024-05-03-10202SP-145</t>
  </si>
  <si>
    <t>ATTY VIRGILIO MENDEZ</t>
  </si>
  <si>
    <t>ASEC LAO DARAB</t>
  </si>
  <si>
    <t>2024-05-03-10202SP-146</t>
  </si>
  <si>
    <t>ATTY QUINTIN O MAGSICO JR</t>
  </si>
  <si>
    <t>SP011-2024</t>
  </si>
  <si>
    <t>ASEC FMAO-FMS/PROCUREMENT</t>
  </si>
  <si>
    <t>2024-05-03-10202SP-147</t>
  </si>
  <si>
    <t>2024-05-03-10202SP-148</t>
  </si>
  <si>
    <t>2024-05-03-10202SP-149</t>
  </si>
  <si>
    <t>2024-05-03-10202SP-150</t>
  </si>
  <si>
    <t>2024-05-03-10202SP-151</t>
  </si>
  <si>
    <t>2024-05-03-10202SP-152</t>
  </si>
  <si>
    <t>2024-05-03-10202SP-153</t>
  </si>
  <si>
    <t>2024-05-03-10202SP-154</t>
  </si>
  <si>
    <t>2024-05-03-10202SP-155</t>
  </si>
  <si>
    <t>2024-05-03-10202SP-156</t>
  </si>
  <si>
    <t>SP012-2024</t>
  </si>
  <si>
    <t>ARCDS</t>
  </si>
  <si>
    <t>2024-05-03-10202SP-157</t>
  </si>
  <si>
    <t>2024-05-03-10202SP-158</t>
  </si>
  <si>
    <t>ATTY MCDONALD GALIT</t>
  </si>
  <si>
    <t>SP013-2024</t>
  </si>
  <si>
    <t>ASEC DARAB</t>
  </si>
  <si>
    <t>2024-05-03-10202SP-159</t>
  </si>
  <si>
    <t>2024-05-03-10202SP-160</t>
  </si>
  <si>
    <t>2024-05-03-10202SP-161</t>
  </si>
  <si>
    <t>2024-05-03-10202SP-162</t>
  </si>
  <si>
    <t>2024-05-03-10202SP-163</t>
  </si>
  <si>
    <t>2024-05-03-10202SP-164</t>
  </si>
  <si>
    <t>2024-05-03-10202SP-165</t>
  </si>
  <si>
    <t>ATTY COLETO</t>
  </si>
  <si>
    <t>SP014-2024</t>
  </si>
  <si>
    <t>2024-05-03-10202SP-166</t>
  </si>
  <si>
    <t>2024-05-03-10202SP-167</t>
  </si>
  <si>
    <t>ATTY. CUA</t>
  </si>
  <si>
    <t>SP015-2024</t>
  </si>
  <si>
    <t>2024-05-03-10202SP-168</t>
  </si>
  <si>
    <t>2024-05-03-10202SP-169</t>
  </si>
  <si>
    <t>2024-05-03-10202SP-170</t>
  </si>
  <si>
    <t>2024-05-03-10202SP-171</t>
  </si>
  <si>
    <t>2024-05-03-10202SP-172</t>
  </si>
  <si>
    <t>SP016-2024</t>
  </si>
  <si>
    <t>PARC-SEC</t>
  </si>
  <si>
    <t>2024-05-03-10202SP-173</t>
  </si>
  <si>
    <t>2024-05-03-10202SP-174</t>
  </si>
  <si>
    <t>2024-05-03-10202SP-175</t>
  </si>
  <si>
    <t>2024-05-03-10202SP-176</t>
  </si>
  <si>
    <t>2024-05-03-10202SP-177</t>
  </si>
  <si>
    <t>2024-05-03-10202SP-178</t>
  </si>
  <si>
    <t>2024-05-03-10202SP-179</t>
  </si>
  <si>
    <t>2024-05-03-10202SP-180</t>
  </si>
  <si>
    <t>SP017-2024</t>
  </si>
  <si>
    <t>2024-05-03-10202SP-181</t>
  </si>
  <si>
    <t>2024-05-03-10202SP-182</t>
  </si>
  <si>
    <t>2024-05-03-10202SP-183</t>
  </si>
  <si>
    <t>2024-05-03-10202SP-184</t>
  </si>
  <si>
    <t>2024-05-03-10202SP-185</t>
  </si>
  <si>
    <t>2024-05-03-10202SP-186</t>
  </si>
  <si>
    <t>Region II</t>
  </si>
  <si>
    <t>2024-05-03-10202SP-187</t>
  </si>
  <si>
    <t>2023-05-03-10201SP745-01</t>
  </si>
  <si>
    <t>2024-05-03-10202SP-188</t>
  </si>
  <si>
    <t>1S11T5S16200GM02ZT8D</t>
  </si>
  <si>
    <t>MIRIAM A. CUSIPAG</t>
  </si>
  <si>
    <t>PROJECT CASHIER</t>
  </si>
  <si>
    <t>PAR NO. 2023-05-001</t>
  </si>
  <si>
    <t>2024-05-03-10202SP-189</t>
  </si>
  <si>
    <t>2024-05-03-10202SP-190</t>
  </si>
  <si>
    <t>2023-05-03-10201SP728-01</t>
  </si>
  <si>
    <t>1S11T5S16200GM02ZT8Q</t>
  </si>
  <si>
    <t>MA. ANNETTE L. ROMANO</t>
  </si>
  <si>
    <t>2024-05-03-10202SP-191</t>
  </si>
  <si>
    <t>ADMIN, FINANCE &amp; CBTA COORDINATOR</t>
  </si>
  <si>
    <t>PAR NO. 2023-05-002</t>
  </si>
  <si>
    <t>2024-05-03-10202SP-192</t>
  </si>
  <si>
    <t>2023-05-03-10201SP688-01</t>
  </si>
  <si>
    <t>1S11T5S16200GM02ZT85</t>
  </si>
  <si>
    <t>JOSEPHINE S. LADDARAN</t>
  </si>
  <si>
    <t>PROJECT ACCOUNTANT</t>
  </si>
  <si>
    <t>PAR NO. 2023-05-003</t>
  </si>
  <si>
    <t>ANGELIKA A. CASAÑA</t>
  </si>
  <si>
    <t>2024-05-03-10202SP-193</t>
  </si>
  <si>
    <t>2024-05-03-10202SP-194</t>
  </si>
  <si>
    <t>2023-05-03-10201SP716-01</t>
  </si>
  <si>
    <t>1S11T5S16200GM02ZT89</t>
  </si>
  <si>
    <t>ELVERITO A. JUAN</t>
  </si>
  <si>
    <t>M&amp;E COORDINATOR</t>
  </si>
  <si>
    <t>PAR NO. 2023-05-004</t>
  </si>
  <si>
    <t>ANATALIA A. LODIVICO</t>
  </si>
  <si>
    <t>2024-05-03-10202SP-195</t>
  </si>
  <si>
    <t>DENNIS G RAMOS</t>
  </si>
  <si>
    <t>SP018-2024</t>
  </si>
  <si>
    <t>2024-05-03-10202SP-196</t>
  </si>
  <si>
    <t>2023-05-03-10201SP715-01</t>
  </si>
  <si>
    <t>1S11T5S16200GM02ZT9T</t>
  </si>
  <si>
    <t>MARISSA M. DELA CRUZ</t>
  </si>
  <si>
    <t>PROJECT PROCUREMENT COORDINATOR</t>
  </si>
  <si>
    <t>PAR NO. 2023-05-005</t>
  </si>
  <si>
    <t>RACKY M. FRANCISCO</t>
  </si>
  <si>
    <t>2024-05-03-10202SP-197</t>
  </si>
  <si>
    <t>2023-05-03-10201SP683-01</t>
  </si>
  <si>
    <t>2024-05-03-10202SP-198</t>
  </si>
  <si>
    <t>1S11T5S16200GM02ZT98</t>
  </si>
  <si>
    <t>MAGNIFICA MELVIDA A. CAMAYANG</t>
  </si>
  <si>
    <t>PARCELIZATION COMPONENT COORDINATOR</t>
  </si>
  <si>
    <t>PAR NO. 2023-05-006</t>
  </si>
  <si>
    <t>KARYLLE FERNANDEZ</t>
  </si>
  <si>
    <t>LTID</t>
  </si>
  <si>
    <t>2024-05-03-10202SP-199</t>
  </si>
  <si>
    <t>2023-05-03-10201SP725-01</t>
  </si>
  <si>
    <t>1S11T5S16200GM02ZT7F</t>
  </si>
  <si>
    <t>2024-05-03-10202SP-200</t>
  </si>
  <si>
    <t>JESS BETH G. QUIDASOL</t>
  </si>
  <si>
    <t>ASST. PROJECT MANAGER FOR OPERATIONS</t>
  </si>
  <si>
    <t>PAR NO. 2025-02-001</t>
  </si>
  <si>
    <t>MA. DIANA VELASCO</t>
  </si>
  <si>
    <t>OFFICE OF THE ARDO</t>
  </si>
  <si>
    <t>2024-05-03-10202SP-201</t>
  </si>
  <si>
    <t>2023-05-03-10201SP729-01</t>
  </si>
  <si>
    <t>1S11T5S16200GM02ZT9Q</t>
  </si>
  <si>
    <t>JENALYN F. BALEVA</t>
  </si>
  <si>
    <t>2024-05-03-10202SP-203</t>
  </si>
  <si>
    <t>PAR NO. 2023-05-008</t>
  </si>
  <si>
    <t>MARISTELA A. PAGULAYAN</t>
  </si>
  <si>
    <t>PBDD</t>
  </si>
  <si>
    <t>2024-05-03-10202SP-204</t>
  </si>
  <si>
    <t>2023-05-03-10201SP748-01</t>
  </si>
  <si>
    <t>1S11T5S16200GM02ZT9A</t>
  </si>
  <si>
    <t>ATTY. DENNIS L. JARAMILLA</t>
  </si>
  <si>
    <t>GRM COORDINATOR</t>
  </si>
  <si>
    <t>2024-05-03-10202SP-205</t>
  </si>
  <si>
    <t>PAR NO. 2025-02-002</t>
  </si>
  <si>
    <t>LUISA ACHANZAR</t>
  </si>
  <si>
    <t>2024-05-03-10202SP-206</t>
  </si>
  <si>
    <t>2024-05-03-10202SP-207</t>
  </si>
  <si>
    <t>2023-05-03-10201SP714-01</t>
  </si>
  <si>
    <t>1S11T5S16200GM02ZT9S</t>
  </si>
  <si>
    <t>GORPREATH T. KAILA</t>
  </si>
  <si>
    <t>MIS COORDINATOR</t>
  </si>
  <si>
    <t>PAR NO. 2023-05-010</t>
  </si>
  <si>
    <t>2024-05-03-10202SP-208</t>
  </si>
  <si>
    <t>RYAN CHRITIAN T. ALVIAR</t>
  </si>
  <si>
    <t>2024-05-03-10202SP-209</t>
  </si>
  <si>
    <t>2023-05-03-10201SP685-01</t>
  </si>
  <si>
    <t>1S11T5S16200GM02ZT8H</t>
  </si>
  <si>
    <t>2024-05-03-10202SP-210</t>
  </si>
  <si>
    <t>PAR NO. 2023-05-011</t>
  </si>
  <si>
    <t>KIEL KERBEE B. CALIGUIRAN</t>
  </si>
  <si>
    <t>2024-05-03-10202SP-211</t>
  </si>
  <si>
    <t>2023-05-03-10201SP754-01</t>
  </si>
  <si>
    <t>1S11T5S16200GM02ZT88</t>
  </si>
  <si>
    <t>ATTY. ERNESTO B. ACORDA</t>
  </si>
  <si>
    <t>LEGAL COORDINATOR</t>
  </si>
  <si>
    <t>PAR NO. 2025-02-003</t>
  </si>
  <si>
    <t>GLAESAN G. ADRIANO-QUILANG</t>
  </si>
  <si>
    <t>2024-05-03-10202SP-212</t>
  </si>
  <si>
    <t>2024-05-03-10202SP-213</t>
  </si>
  <si>
    <t>2023-05-03-10201SP673-01</t>
  </si>
  <si>
    <t>1S11T5S16200GM02ZT7V</t>
  </si>
  <si>
    <t>PAR NO. 2025-08-009</t>
  </si>
  <si>
    <t>ALVIN LOYD D. RAMOS</t>
  </si>
  <si>
    <t>2024-05-03-10202SP-214</t>
  </si>
  <si>
    <t>2023-05-03-10201SP701-01</t>
  </si>
  <si>
    <t>1S11T5S16200GM02ZT8K</t>
  </si>
  <si>
    <t>PARCELIZATION COMPONENT &amp; FVT COORDINATOR</t>
  </si>
  <si>
    <t>2024-05-03-10202SP-215</t>
  </si>
  <si>
    <t>PAR NO. 2025-08-012</t>
  </si>
  <si>
    <t>CHRISTINE JOYCE DELGADO</t>
  </si>
  <si>
    <t>2024-05-03-10202SP-216</t>
  </si>
  <si>
    <t>2023-05-03-10201SP676-01</t>
  </si>
  <si>
    <t>1S11T5S16200GM02ZT7M</t>
  </si>
  <si>
    <t>PAR NO. 2025-02-004</t>
  </si>
  <si>
    <t>CHARLES GUIRA</t>
  </si>
  <si>
    <t>2024-05-03-10202SP-217</t>
  </si>
  <si>
    <t>2024-05-03-10202SP-218</t>
  </si>
  <si>
    <t>2024-05-03-10202SP-219</t>
  </si>
  <si>
    <t>2023-05-03-10201SP196-01</t>
  </si>
  <si>
    <t>PAR NO. 2025-05-002</t>
  </si>
  <si>
    <t>HERTZCHEE TARANGCO</t>
  </si>
  <si>
    <t>2024-05-03-10202SP-220</t>
  </si>
  <si>
    <t>2023-05-03-10201SP197-01</t>
  </si>
  <si>
    <t>2024-05-03-10202SP-221</t>
  </si>
  <si>
    <t>PAR NO. 2023-11-007</t>
  </si>
  <si>
    <t>RYAN CHRISTIAN T. ALVIAR</t>
  </si>
  <si>
    <t>2024-05-03-10202SP-222</t>
  </si>
  <si>
    <t>2023-05-03-10201SP193-01</t>
  </si>
  <si>
    <t>PAR NO. 2025-05-001</t>
  </si>
  <si>
    <t>JEREMAE T. MACABANGUN</t>
  </si>
  <si>
    <t>LEGAL DIVISION</t>
  </si>
  <si>
    <t>2024-05-03-10202SP-223</t>
  </si>
  <si>
    <t>2024-05-03-10202SP-224</t>
  </si>
  <si>
    <t>2023-05-03-10201SP194-01</t>
  </si>
  <si>
    <t>ENGR. RODERICK ESCOBAR</t>
  </si>
  <si>
    <t>DENR/SURVEY/LRA COORDINATOR</t>
  </si>
  <si>
    <t>PAR NO. 2025-05-004</t>
  </si>
  <si>
    <t>2024-05-03-10202SP-225</t>
  </si>
  <si>
    <t>JEFREY BANAG</t>
  </si>
  <si>
    <t>2024-05-03-10202SP-226</t>
  </si>
  <si>
    <t>2023-05-03-10201SP195-01</t>
  </si>
  <si>
    <t>PAR NO. 2023-09-025</t>
  </si>
  <si>
    <t>2024-05-03-10202SP-227</t>
  </si>
  <si>
    <t>2023-05-03-10201SP-191-01</t>
  </si>
  <si>
    <t>FE C. LINGAN</t>
  </si>
  <si>
    <t>CHIEF, SURVEY AND MAPPING DIVISION</t>
  </si>
  <si>
    <t>2024-05-03-10202SP-228</t>
  </si>
  <si>
    <t>PAR NO. 2023-08-045</t>
  </si>
  <si>
    <t>DENR RO2</t>
  </si>
  <si>
    <t>2024-05-03-10202SP-229</t>
  </si>
  <si>
    <t>2023-05-03-10201SP-192-01</t>
  </si>
  <si>
    <t>DENR RO3</t>
  </si>
  <si>
    <t>2024-05-03-10202SP-230</t>
  </si>
  <si>
    <t>2023-05-03-10201SP268-01</t>
  </si>
  <si>
    <t>ESTRELITA V. GO</t>
  </si>
  <si>
    <t>ASST. PROJECT MANAGER FOR ADMIN.</t>
  </si>
  <si>
    <t>PAR NO. 2023-10-001</t>
  </si>
  <si>
    <t>OFFICE OF THE ARDA</t>
  </si>
  <si>
    <t>2024-05-03-10202SP-231</t>
  </si>
  <si>
    <t>2023-05-03-10201SP269-01</t>
  </si>
  <si>
    <t>RAUL C. LALUAN</t>
  </si>
  <si>
    <t>2024-05-03-10202SP-232</t>
  </si>
  <si>
    <t>PRIMO C. LARA</t>
  </si>
  <si>
    <t>PAR NO. 2023-10-003</t>
  </si>
  <si>
    <t>OFFICE OF THE RD</t>
  </si>
  <si>
    <t>2024-05-03-10202SP-233</t>
  </si>
  <si>
    <t>2023-05-03-10201SP270-01</t>
  </si>
  <si>
    <t>2024-05-03-10202SP-234</t>
  </si>
  <si>
    <t>ATTY. RAUL C. LALUAN</t>
  </si>
  <si>
    <t>PAR NO. 2023-10-002</t>
  </si>
  <si>
    <t>DARPO ISABELA</t>
  </si>
  <si>
    <t>2024-05-03-10202SP-235</t>
  </si>
  <si>
    <t>RICHARD T. FRANCISCO</t>
  </si>
  <si>
    <t>2024-05-03-10202SP-236</t>
  </si>
  <si>
    <t>MARITES U. ALLAG</t>
  </si>
  <si>
    <t>STRATEGIC MEDIA COORDINATOR</t>
  </si>
  <si>
    <t>PAR NO. 2025-08-010</t>
  </si>
  <si>
    <t>KING HARDEE II PIZARRO</t>
  </si>
  <si>
    <t>2024-05-03-10202SP-237</t>
  </si>
  <si>
    <t>RODERICK E. ESCOBAR</t>
  </si>
  <si>
    <t>PAR NO. 2025-05-005</t>
  </si>
  <si>
    <t>JOEL CALIMAG</t>
  </si>
  <si>
    <t>Actual unit 2023-05-14-10202SP37-01</t>
  </si>
  <si>
    <t>2024-05-03-10202SP-238</t>
  </si>
  <si>
    <t>2024-05-03-10202SP-239</t>
  </si>
  <si>
    <t>SHEEN CLAUDETTE PAL</t>
  </si>
  <si>
    <t>SP019-2024</t>
  </si>
  <si>
    <t>PIS</t>
  </si>
  <si>
    <t>SPLIT SURVEY TEAM I LEADER</t>
  </si>
  <si>
    <t>PAR NO. 2023-07-016</t>
  </si>
  <si>
    <t>2024-05-03-10202SP-240</t>
  </si>
  <si>
    <t>2024-05-03-10202SP-241</t>
  </si>
  <si>
    <t>ROSENDO L. SORIANO</t>
  </si>
  <si>
    <t>2024-05-03-10202SP-242</t>
  </si>
  <si>
    <t>2024-05-03-10202SP-243</t>
  </si>
  <si>
    <t>2024-05-03-10202SP-248</t>
  </si>
  <si>
    <t>PAR NO. 2025-05-006</t>
  </si>
  <si>
    <t>2024-05-03-10202SP-254</t>
  </si>
  <si>
    <t>HV-SPLIT-102-24-05-18</t>
  </si>
  <si>
    <t>ICS NO. 2024-03-026</t>
  </si>
  <si>
    <t>for Repair</t>
  </si>
  <si>
    <t>2024-05-03-10202SP-256</t>
  </si>
  <si>
    <t>2024-05-03-10202SP-307-01</t>
  </si>
  <si>
    <t>NXVXKSP00341913C047600</t>
  </si>
  <si>
    <t>RICHARD T FRANCISCO</t>
  </si>
  <si>
    <t>SARPO/INFO OFFICER</t>
  </si>
  <si>
    <t>SP020-2024</t>
  </si>
  <si>
    <t>DARRO II</t>
  </si>
  <si>
    <t>2024-05-03-10202SP-258</t>
  </si>
  <si>
    <t>BATANES</t>
  </si>
  <si>
    <t>2022-05-02-10202SP15-01</t>
  </si>
  <si>
    <t>RNK1200125</t>
  </si>
  <si>
    <t>2024-05-03-10202SP-259</t>
  </si>
  <si>
    <t>SARA E. NOBLEZA</t>
  </si>
  <si>
    <t>A.A VI// Property Custodian</t>
  </si>
  <si>
    <t>2023-04-0002</t>
  </si>
  <si>
    <t>SP021-2024</t>
  </si>
  <si>
    <t>JEWEL MARIA S. QUERUBIN</t>
  </si>
  <si>
    <t>PLANNING SERVICE</t>
  </si>
  <si>
    <t>2024-05-03-10202SP-260</t>
  </si>
  <si>
    <t>2023-05-03-10201-SP741-01</t>
  </si>
  <si>
    <t>1S11T5S16200GM041AT5</t>
  </si>
  <si>
    <t>2023-04-0005</t>
  </si>
  <si>
    <t>ALBINA C. DAROCA</t>
  </si>
  <si>
    <t>2024-05-03-10202SP-261</t>
  </si>
  <si>
    <t>2023-05-03-10201-SP749-01</t>
  </si>
  <si>
    <t>2024-05-03-10202SP-262</t>
  </si>
  <si>
    <t>1S11T5S16200GM0418CK</t>
  </si>
  <si>
    <t>2023-04-0004</t>
  </si>
  <si>
    <t>EDNA B. DE SAGON</t>
  </si>
  <si>
    <t>2024-05-03-10202SP-263</t>
  </si>
  <si>
    <t>2023-05-03-10201SP750-01</t>
  </si>
  <si>
    <t>1S11T5S16200GM0418CF</t>
  </si>
  <si>
    <t>2023-04-0003</t>
  </si>
  <si>
    <t>2024-05-03-10202SP-264</t>
  </si>
  <si>
    <t>MA.TERESA F. DOMINGO</t>
  </si>
  <si>
    <t>LEGAL</t>
  </si>
  <si>
    <t>2024-05-03-10202SP-265</t>
  </si>
  <si>
    <t>2023-05-03-10201-SP47-01</t>
  </si>
  <si>
    <t>1S11T5S16200GM0418CJ</t>
  </si>
  <si>
    <t>2023-04-0006</t>
  </si>
  <si>
    <t>JAMES C. VARGAS</t>
  </si>
  <si>
    <t>2024-05-03-10202SP-266</t>
  </si>
  <si>
    <t>CAGAYAN</t>
  </si>
  <si>
    <t>2024-05-03-10202SP-267</t>
  </si>
  <si>
    <t>2023-05-03-10201SP686-01</t>
  </si>
  <si>
    <t>1S11T5S16200GM0415Y9</t>
  </si>
  <si>
    <t>ELEUTERIO DE LEON JR.</t>
  </si>
  <si>
    <t>AO IV/ GSO Head</t>
  </si>
  <si>
    <t>MARY GRACE JUAN</t>
  </si>
  <si>
    <t>UNSERVICEABLE UPS</t>
  </si>
  <si>
    <t>2024-05-03-10202SP-268</t>
  </si>
  <si>
    <t>2023-05-03-10201-6P705-01</t>
  </si>
  <si>
    <t>2024-05-03-10202SP-269</t>
  </si>
  <si>
    <t>1S11T5S16200GM041AX7</t>
  </si>
  <si>
    <t>MA. ANGELICA JOY E. MANAUIS</t>
  </si>
  <si>
    <t>actual unit 2023-05-03-10201-6P706-01</t>
  </si>
  <si>
    <t>2024-05-03-10202SP-270</t>
  </si>
  <si>
    <t>2024-05-03-10202SP-271</t>
  </si>
  <si>
    <t>2023-05-03-10201-SP707-01</t>
  </si>
  <si>
    <t>1S11T5S16200GM041AW2</t>
  </si>
  <si>
    <t>2023-0621-09</t>
  </si>
  <si>
    <t>MARJAY LICAYO</t>
  </si>
  <si>
    <t>2024-05-03-10202SP-272</t>
  </si>
  <si>
    <t>2023-05-03-10201-SP754-01</t>
  </si>
  <si>
    <t>2024-05-03-10202SP-273</t>
  </si>
  <si>
    <t>2023-0621-10</t>
  </si>
  <si>
    <t>MYRA DELA ROSA</t>
  </si>
  <si>
    <t>2024-05-03-10202SP-274</t>
  </si>
  <si>
    <t>JOSEPH H ORILLA</t>
  </si>
  <si>
    <t>SP022-2024</t>
  </si>
  <si>
    <t>2023-05-03-10201-8P720-01</t>
  </si>
  <si>
    <t>1S11T5S16200GM041AT6</t>
  </si>
  <si>
    <t>2023-0621-11</t>
  </si>
  <si>
    <t>JESLYN FUGGAN</t>
  </si>
  <si>
    <t>2024-05-03-10202SP-275</t>
  </si>
  <si>
    <t>2024-05-03-10202SP-276</t>
  </si>
  <si>
    <t>2023-05-03-10201-5P743-01</t>
  </si>
  <si>
    <t>1S11T5S16200GM0415Z6</t>
  </si>
  <si>
    <t>2023-0621-12</t>
  </si>
  <si>
    <t>JAYBEELOU B. RAVELO</t>
  </si>
  <si>
    <t>2024-05-03-10202SP-277</t>
  </si>
  <si>
    <t>2023-05-03-10201-SP736-01</t>
  </si>
  <si>
    <t>1S11T5S16200GM0418D7</t>
  </si>
  <si>
    <t>JEZRAEL CABADING</t>
  </si>
  <si>
    <t>2024-05-03-10202SP-278</t>
  </si>
  <si>
    <t>2024-05-03-10202SP-279</t>
  </si>
  <si>
    <t>2023-0621-13</t>
  </si>
  <si>
    <t>2024-05-03-10202SP-280</t>
  </si>
  <si>
    <t>2023-05-03-10201-8P674-01</t>
  </si>
  <si>
    <t>1S11T5S16200GM0418G7</t>
  </si>
  <si>
    <t>2024-05-03-10202SP-281</t>
  </si>
  <si>
    <t>2023-0621-14</t>
  </si>
  <si>
    <t>MA ELIZABETH R FAUSTINO</t>
  </si>
  <si>
    <t>EUNICE SEMINIANO</t>
  </si>
  <si>
    <t>SP023-2024</t>
  </si>
  <si>
    <t>2024-05-03-10202SP-282</t>
  </si>
  <si>
    <t>2023-05-03-10201-SP756.01</t>
  </si>
  <si>
    <t>1S11T5S16200GM0415WG</t>
  </si>
  <si>
    <t>EVANGELINE ALLAG</t>
  </si>
  <si>
    <t>MARPO</t>
  </si>
  <si>
    <t>2023-0616-01</t>
  </si>
  <si>
    <t>2024-05-03-10202SP-283</t>
  </si>
  <si>
    <t>DARMO</t>
  </si>
  <si>
    <t>2024-05-03-10202SP-284</t>
  </si>
  <si>
    <t>2023-05-03-10201-5P721-01</t>
  </si>
  <si>
    <t>ANACLETA B MARIANO</t>
  </si>
  <si>
    <t>1S11T5S16200GM041APQ</t>
  </si>
  <si>
    <t>OIC DIRECTOR IV</t>
  </si>
  <si>
    <t>MELINDA LIGAS</t>
  </si>
  <si>
    <t>SP024-2024</t>
  </si>
  <si>
    <t>OD-FASPO</t>
  </si>
  <si>
    <t>2023-0616-02</t>
  </si>
  <si>
    <t>2024-05-03-10202SP-285</t>
  </si>
  <si>
    <t>2023-05-03-10201-6P761-01</t>
  </si>
  <si>
    <t>VALENTE MABBORANG</t>
  </si>
  <si>
    <t>2023-0616-03</t>
  </si>
  <si>
    <t>actual unit 2023-05-03-10201-SP751-01</t>
  </si>
  <si>
    <t>2024-05-03-10202SP-286</t>
  </si>
  <si>
    <t>2023-05-03-10201-SP723.01</t>
  </si>
  <si>
    <t>2024-05-03-10202SP-287</t>
  </si>
  <si>
    <t>1S11T5S16200GM0418CN</t>
  </si>
  <si>
    <t>MA. SHELLA G CARAMBAS</t>
  </si>
  <si>
    <t>SANTIAGO MABBORANG, JR.</t>
  </si>
  <si>
    <t>SP025-2024</t>
  </si>
  <si>
    <t>OD ADMIN SERVICE</t>
  </si>
  <si>
    <t>2023-0616-04</t>
  </si>
  <si>
    <t>UNSERVICEABLE PRINTER AND MONITOR</t>
  </si>
  <si>
    <t>2024-05-03-10202SP-288</t>
  </si>
  <si>
    <t>2023-05-03-10201-SP729.01</t>
  </si>
  <si>
    <t>EDGAR CORDOVA</t>
  </si>
  <si>
    <t>2023-0616-05</t>
  </si>
  <si>
    <t>2024-05-03-10202SP-289</t>
  </si>
  <si>
    <t>2024-05-03-10202SP-290</t>
  </si>
  <si>
    <t>SP026-2024</t>
  </si>
  <si>
    <t>2023-05-03-10201-SP728:01</t>
  </si>
  <si>
    <t>NUMERIANO TUMBALI</t>
  </si>
  <si>
    <t>2023-0616-06</t>
  </si>
  <si>
    <t>2024-05-03-10202SP-291</t>
  </si>
  <si>
    <t>UNSERVICEABLE PRINTER</t>
  </si>
  <si>
    <t>2024-05-03-10202SP-292</t>
  </si>
  <si>
    <t>2024-05-03-10202SP-293</t>
  </si>
  <si>
    <t>2020-05-03-10202SP272:01</t>
  </si>
  <si>
    <t>2023-1121-01</t>
  </si>
  <si>
    <t>GSS</t>
  </si>
  <si>
    <t>2024-05-03-10202SP-294</t>
  </si>
  <si>
    <t>2024-05-03-10202SP-295</t>
  </si>
  <si>
    <t>2023-05-03-10202SP271-01</t>
  </si>
  <si>
    <t>SP027-2024</t>
  </si>
  <si>
    <t>2023-0301-01</t>
  </si>
  <si>
    <t>2024-05-03-10202SP-296</t>
  </si>
  <si>
    <t>GERTRUDE M. DELA CRUZ</t>
  </si>
  <si>
    <t>2024-05-03-10202SP-297</t>
  </si>
  <si>
    <t>2024-05-03-10202SP-298</t>
  </si>
  <si>
    <t>ACTUAL UNIT 2023-05-03-10202SP17-01</t>
  </si>
  <si>
    <t>2024-05-03-10202SP-299</t>
  </si>
  <si>
    <t>2022-05-02-10202SP16-01</t>
  </si>
  <si>
    <t>RNK1200137</t>
  </si>
  <si>
    <t>2024-05-03-10202SP-300</t>
  </si>
  <si>
    <t>ATTY SHEILA B ENCISO</t>
  </si>
  <si>
    <t>NOEL M. COBALLES</t>
  </si>
  <si>
    <t>SP032-2024</t>
  </si>
  <si>
    <t>2023-0301-02</t>
  </si>
  <si>
    <t>ALL DAR SPLIT PERSONNEL</t>
  </si>
  <si>
    <t>ACTUAL UNIT 202205-02-10202SP17-01</t>
  </si>
  <si>
    <t>2024-05-03-10202SP-301</t>
  </si>
  <si>
    <t>2023-05-14-102028P37-01</t>
  </si>
  <si>
    <t>ENGR. CHERRYL S. TUGADE</t>
  </si>
  <si>
    <t>2023-0301-03</t>
  </si>
  <si>
    <t>2024-05-03-10202SP-302</t>
  </si>
  <si>
    <t>ACTUAL UNIT 2023-05-14-102028P36-01</t>
  </si>
  <si>
    <t>2024-05-03-10202SP-303</t>
  </si>
  <si>
    <t>SP028-2024</t>
  </si>
  <si>
    <t>202305-14-10201SP29-01</t>
  </si>
  <si>
    <t>SPLIT LRA-ROD-DENR &amp; Survey Coordinator</t>
  </si>
  <si>
    <t>2023-0127-01-10</t>
  </si>
  <si>
    <t>2024-05-03-10202SP-304</t>
  </si>
  <si>
    <t>ESS</t>
  </si>
  <si>
    <t>2024-05-03-10202SP-326</t>
  </si>
  <si>
    <t>2024-05-03-10202SP-327</t>
  </si>
  <si>
    <t>HV-SPLIT-102-24-05-19</t>
  </si>
  <si>
    <t>2024-03-003</t>
  </si>
  <si>
    <t>SPLIT LEGAL OFFICERS/ VANESSA TAGUINOD</t>
  </si>
  <si>
    <t>2024-05-03-10202SP-328</t>
  </si>
  <si>
    <t>ACTUAL UNIT HV-SPLIT-102-24-05-04</t>
  </si>
  <si>
    <t>2024-05-03-10202SP-329</t>
  </si>
  <si>
    <t>NUEVA VIZCAYA</t>
  </si>
  <si>
    <t>2022-05-02-10202SP19-01</t>
  </si>
  <si>
    <t>RNK1200155</t>
  </si>
  <si>
    <t>CESAR V. BAUTISTA</t>
  </si>
  <si>
    <t>OIC CARPO/SPLIT PARCELIZATION COMPONENT &amp; FVT COORDINATOR</t>
  </si>
  <si>
    <t>2022-11-0001</t>
  </si>
  <si>
    <t>2024-05-03-10202SP-330</t>
  </si>
  <si>
    <t>2024-05-03-10202SP-331</t>
  </si>
  <si>
    <t>2023-05-14-1020SP26-01</t>
  </si>
  <si>
    <t>2023-08-0012B</t>
  </si>
  <si>
    <t>RAMCER RYNE SAURE</t>
  </si>
  <si>
    <t>2024-05-03-10202SP-333</t>
  </si>
  <si>
    <t>2024-05-03-10202SP-336</t>
  </si>
  <si>
    <t>2023-05-14-10201SP26-01</t>
  </si>
  <si>
    <t>SP029-2024</t>
  </si>
  <si>
    <t>2023-08-0012C</t>
  </si>
  <si>
    <t>2024-05-03-10202SP-337</t>
  </si>
  <si>
    <t>DANTES LYN JERARD</t>
  </si>
  <si>
    <t>GRM/RARAD</t>
  </si>
  <si>
    <t>2023-05-14-10202SP33-01</t>
  </si>
  <si>
    <t>2024-05-03-10202SP-339</t>
  </si>
  <si>
    <t>2023-08-0012A</t>
  </si>
  <si>
    <t>2024-05-03-10202SP-340</t>
  </si>
  <si>
    <t>SP030A-2024</t>
  </si>
  <si>
    <t>2024-05-03-10202SP-341</t>
  </si>
  <si>
    <t>2023-05-03-10201P731-01</t>
  </si>
  <si>
    <t>1S11T5S16200GM041B6H</t>
  </si>
  <si>
    <t>TIMOTHY T. CAMSON</t>
  </si>
  <si>
    <t>OIC MARPO</t>
  </si>
  <si>
    <t>2023-08-0001</t>
  </si>
  <si>
    <t>MARPO Cluster</t>
  </si>
  <si>
    <t>2024-05-03-10202SP-342</t>
  </si>
  <si>
    <t>2024-05-03-10202SP-343</t>
  </si>
  <si>
    <t>SP030-2024</t>
  </si>
  <si>
    <t>2023-05-03-10201SP700-01</t>
  </si>
  <si>
    <t>AFMAO-FMO / BAC</t>
  </si>
  <si>
    <t>1S11T5S16200GM041AWC</t>
  </si>
  <si>
    <t>NOEMI C. ANUMA</t>
  </si>
  <si>
    <t>2023-08-0002</t>
  </si>
  <si>
    <t>2024-05-03-10202SP-344</t>
  </si>
  <si>
    <t>AFMAO-FMO</t>
  </si>
  <si>
    <t>2024-05-03-10202SP-345</t>
  </si>
  <si>
    <t>2023-05-03-10201SP682-01</t>
  </si>
  <si>
    <t>1S11T5S16200GM041AX3</t>
  </si>
  <si>
    <t>EZRA-VEDDER F. SANCHEZ</t>
  </si>
  <si>
    <t>2024-01-0003B</t>
  </si>
  <si>
    <t>GSO</t>
  </si>
  <si>
    <t>2024-05-03-10202SP-346</t>
  </si>
  <si>
    <t>2024-05-03-10202SP-347</t>
  </si>
  <si>
    <t>2023-05-03-10201SP687-01</t>
  </si>
  <si>
    <t>1S11T5S16200GM041AWA</t>
  </si>
  <si>
    <t>RUBYLYN O. ARENOS</t>
  </si>
  <si>
    <t>2024-05-03-10202SP-348</t>
  </si>
  <si>
    <t>2024-08-0011</t>
  </si>
  <si>
    <t>unserviceable UPS</t>
  </si>
  <si>
    <t>2024-05-03-10202SP-349</t>
  </si>
  <si>
    <t>2023-05-03-10201SP675-01</t>
  </si>
  <si>
    <t>1S11T5S16200GM041AX6</t>
  </si>
  <si>
    <t>FELICITAS M. GRAPIZA</t>
  </si>
  <si>
    <t>2024-05-03-10202SP-350</t>
  </si>
  <si>
    <t>SARPT/ SPLIT LRA-ROD-DENR &amp; Survey Coordinator</t>
  </si>
  <si>
    <t>2024-10-0016A</t>
  </si>
  <si>
    <t>SUNSHINE S. SAGAYO</t>
  </si>
  <si>
    <t>SP031-2024</t>
  </si>
  <si>
    <t>2024-05-03-10202SP-351</t>
  </si>
  <si>
    <t>2023-05-03-10201SP717-01</t>
  </si>
  <si>
    <t>1S11T5S16200GM041AWS</t>
  </si>
  <si>
    <t>OIC CARPO/ SPLIT Parcelization Component &amp; FVT Coordinator</t>
  </si>
  <si>
    <t>2025-01-0001</t>
  </si>
  <si>
    <t>ALELIE A. PINEDA</t>
  </si>
  <si>
    <t>unserviceable printer</t>
  </si>
  <si>
    <t>2024-05-03-10202SP-352</t>
  </si>
  <si>
    <t>2023-05-03-10201SP699-01</t>
  </si>
  <si>
    <t>1S11T5S16200GM041B0B</t>
  </si>
  <si>
    <t>2024-05-03-10202SP-353</t>
  </si>
  <si>
    <t>VINOLINDA J. LANNU</t>
  </si>
  <si>
    <t>AO IV/ HRMO</t>
  </si>
  <si>
    <t>2023-08-0007</t>
  </si>
  <si>
    <t>HR</t>
  </si>
  <si>
    <t>2024-05-03-10202SP-354</t>
  </si>
  <si>
    <t>2023-05-03-10201SP708-01</t>
  </si>
  <si>
    <t>1S11T5S16200GM041B6N</t>
  </si>
  <si>
    <t>2024-03-0006</t>
  </si>
  <si>
    <t>CYLYN P. OYAN</t>
  </si>
  <si>
    <t>2024-05-03-10202SP-355</t>
  </si>
  <si>
    <t>2023-05-03-10201SP677-01</t>
  </si>
  <si>
    <t>2024-05-03-10202SP-356</t>
  </si>
  <si>
    <t>1S11T5S16200GM041B6J</t>
  </si>
  <si>
    <t>ESTERLINA P. MARTIN</t>
  </si>
  <si>
    <t>2023-08-0010</t>
  </si>
  <si>
    <t>PHAMELA FHAE R. ABIADO</t>
  </si>
  <si>
    <t>2024-05-03-10202SP-357</t>
  </si>
  <si>
    <t>2023-05-03-10201SP752-01</t>
  </si>
  <si>
    <t>1S11T5S16200GM041B6E</t>
  </si>
  <si>
    <t>RONALD JOHN G. CELESTINO</t>
  </si>
  <si>
    <t>ARPO II/ ESS Support Staff</t>
  </si>
  <si>
    <t>2023-08-0011</t>
  </si>
  <si>
    <t>2024-05-03-10202SP-358</t>
  </si>
  <si>
    <t>2024-05-03-10202SP-359</t>
  </si>
  <si>
    <t>2023-05-03-10201SP704-01</t>
  </si>
  <si>
    <t>1S11T5S16200GM041B47</t>
  </si>
  <si>
    <t>EDUARDO R. BAJO</t>
  </si>
  <si>
    <t>ARPO II/ MISS Coordinator</t>
  </si>
  <si>
    <t>2023-09-0017</t>
  </si>
  <si>
    <t>2024-05-03-10202SP-360</t>
  </si>
  <si>
    <t>CBTA</t>
  </si>
  <si>
    <t>2023-05-03-10201SP705-01</t>
  </si>
  <si>
    <t>2024-05-03-10202SP-361</t>
  </si>
  <si>
    <t>2025-01-0002</t>
  </si>
  <si>
    <t>BERNADETH G. PELAYO</t>
  </si>
  <si>
    <t>2024-05-03-10202SP-362</t>
  </si>
  <si>
    <t>2023-05-03-10201SP684-01</t>
  </si>
  <si>
    <t>1S11T5S16200GM041B6C</t>
  </si>
  <si>
    <t>2025-01-0003</t>
  </si>
  <si>
    <t>MARJORIE M. VILLEGAS</t>
  </si>
  <si>
    <t>2024-05-03-10202SP-363</t>
  </si>
  <si>
    <t>2023-05-03-10201SP710-01</t>
  </si>
  <si>
    <t>1S11T5S16200GM041B6K</t>
  </si>
  <si>
    <t>CHITA B. BUNGUBUNG</t>
  </si>
  <si>
    <t>2024-05-03-10202SP-364</t>
  </si>
  <si>
    <t>OIC CARPO/ ESS Coordinator</t>
  </si>
  <si>
    <t>2024-11-0020</t>
  </si>
  <si>
    <t>RODELYN V. CALADO</t>
  </si>
  <si>
    <t>CHIEF GSD</t>
  </si>
  <si>
    <t>SP033-2024</t>
  </si>
  <si>
    <t>2024-05-03-10202SP-365</t>
  </si>
  <si>
    <t>2023-05-03-10201SP278-01</t>
  </si>
  <si>
    <t>JULIENE CHRISTINE G. DURO</t>
  </si>
  <si>
    <t>2024-04-0007A</t>
  </si>
  <si>
    <t>LORRAINE BELLE A. EVANGELISTA</t>
  </si>
  <si>
    <t>2024-05-03-10202SP-366</t>
  </si>
  <si>
    <t>2023-05-03-10201SP277-01</t>
  </si>
  <si>
    <t>2024-01-0002A</t>
  </si>
  <si>
    <t>LIZA MAY P. CABANISAS</t>
  </si>
  <si>
    <t>2024-05-03-10202SP-367</t>
  </si>
  <si>
    <t>SP034-2024</t>
  </si>
  <si>
    <t>RECORDS DIVISION</t>
  </si>
  <si>
    <t>2024-05-03-10202SP-368</t>
  </si>
  <si>
    <t>CAMILLE A. FLORENDO</t>
  </si>
  <si>
    <t>2023-10-0022B</t>
  </si>
  <si>
    <t>2024-05-03-10202SP-369</t>
  </si>
  <si>
    <t>MARISSA ARLENE B BACCAY</t>
  </si>
  <si>
    <t>OIC CHIEF ADMIN</t>
  </si>
  <si>
    <t>SP035-2024</t>
  </si>
  <si>
    <t>PERSONNEL/ HR</t>
  </si>
  <si>
    <t>2023-05-03-10201SP203-01</t>
  </si>
  <si>
    <t>2024-05-03-10202SP-370</t>
  </si>
  <si>
    <t>2024-03-0005</t>
  </si>
  <si>
    <t>2024-05-03-10202SP-371</t>
  </si>
  <si>
    <t>2023-05-03-10201SP202-01</t>
  </si>
  <si>
    <t>CHRISTINE R. JOROLAN</t>
  </si>
  <si>
    <t>AO IV/ CASHIER</t>
  </si>
  <si>
    <t>2023-10-0022</t>
  </si>
  <si>
    <t>2024-05-03-10202SP-372</t>
  </si>
  <si>
    <t>HAMIDAH G GURO</t>
  </si>
  <si>
    <t>SP036-2024</t>
  </si>
  <si>
    <t>2023-05-03-10201SP200-01</t>
  </si>
  <si>
    <t>ATTY. CARIDAD GRACE T. TURQUEZA</t>
  </si>
  <si>
    <t>OIC PARPO I/ Legal Coordinator</t>
  </si>
  <si>
    <t>2024-05-03-10202SP-373</t>
  </si>
  <si>
    <t>2024-08-0010</t>
  </si>
  <si>
    <t>2024-05-03-10202SP-374</t>
  </si>
  <si>
    <t>2024-05-03-10202SP-375</t>
  </si>
  <si>
    <t>HV-SPLIT-102-24-05-20</t>
  </si>
  <si>
    <t>MARK ANTHONY DOMIYO</t>
  </si>
  <si>
    <t>SP037-2024</t>
  </si>
  <si>
    <t>2024-05-03-10202SP-376</t>
  </si>
  <si>
    <t>2024-05-03-10202SP-377</t>
  </si>
  <si>
    <t>2024-05-03-10202SP-378</t>
  </si>
  <si>
    <t>HV-SPLIT-102-24-05-01-041</t>
  </si>
  <si>
    <t>2024-05-03-10202SP-379</t>
  </si>
  <si>
    <t>MSB0A7O4S0103560</t>
  </si>
  <si>
    <t>ESDISON E. VIDAD</t>
  </si>
  <si>
    <t>EDISON E. VIDAD</t>
  </si>
  <si>
    <t>Serviceable</t>
  </si>
  <si>
    <t>2024-05-03-10202SP-380</t>
  </si>
  <si>
    <t>2024-05-03-10202SP-381</t>
  </si>
  <si>
    <t>HVSPLIT-102-24-05-01-449</t>
  </si>
  <si>
    <t>MSB0A7O4S103602</t>
  </si>
  <si>
    <t>2024-11-0019</t>
  </si>
  <si>
    <t>HVSPLIT-102-24-05-01-001</t>
  </si>
  <si>
    <t>HVSPLIT-102-24-05-01-450</t>
  </si>
  <si>
    <t>MSB0A7O4S103712</t>
  </si>
  <si>
    <t>2024-11-0018</t>
  </si>
  <si>
    <t>HVSPLIT-102-24-05-01-451</t>
  </si>
  <si>
    <t>MSB0A7O4S103791</t>
  </si>
  <si>
    <t>JOHN DARYL L. YACAPIN</t>
  </si>
  <si>
    <t>HVSPLIT-102-24-05-01-002</t>
  </si>
  <si>
    <t>ISABELA</t>
  </si>
  <si>
    <t>2023-05-03-10201-SP-730-01</t>
  </si>
  <si>
    <t>1S11T5S16200GM0415XP</t>
  </si>
  <si>
    <t>ELIZABETH S. SANTOS</t>
  </si>
  <si>
    <t>2021-05-001</t>
  </si>
  <si>
    <t>GLEN ANTHONY C. NAUI</t>
  </si>
  <si>
    <t>HVSPLIT-102-24-05-01-003</t>
  </si>
  <si>
    <t>2023-05-03-10201SP722 -01</t>
  </si>
  <si>
    <t>1S11T5S16200GM0415WK</t>
  </si>
  <si>
    <t>2021-05-002</t>
  </si>
  <si>
    <t>HVSPLIT-102-24-05-01-004</t>
  </si>
  <si>
    <t>2023-05-03-10201-SP-742-01</t>
  </si>
  <si>
    <t>HVSPLIT-102-24-05-01-005</t>
  </si>
  <si>
    <t>1S11T5S16200GM0415YQ</t>
  </si>
  <si>
    <t>IVAN MAXIMO</t>
  </si>
  <si>
    <t>MARO</t>
  </si>
  <si>
    <t>2021-05-003</t>
  </si>
  <si>
    <t>MOONYEEN B. RUBI</t>
  </si>
  <si>
    <t>DARMO- BENITO SOLIVEN</t>
  </si>
  <si>
    <t>HVSPLIT-102-24-05-01-006</t>
  </si>
  <si>
    <t>2023-05-03-10201-SP-756-01</t>
  </si>
  <si>
    <t>KRISTIAN S. SAWIT</t>
  </si>
  <si>
    <t>2021-05-004</t>
  </si>
  <si>
    <t>DARMO-CAUAYAN CITY</t>
  </si>
  <si>
    <t>HVSPLIT-102-24-05-01-007</t>
  </si>
  <si>
    <t>2023-05-03-10201-SP-739-01</t>
  </si>
  <si>
    <t>1S11T5S16200GM0418C1</t>
  </si>
  <si>
    <t>HVSPLIT-102-24-05-01-008</t>
  </si>
  <si>
    <t>JOEL D. AMIANET</t>
  </si>
  <si>
    <t>2021-05-005</t>
  </si>
  <si>
    <t>DARMO-ANGADANAN</t>
  </si>
  <si>
    <t>HVSPLIT-102-24-05-01-009</t>
  </si>
  <si>
    <t>2023-05-03-10201-SP-699-01</t>
  </si>
  <si>
    <t>EDGAR P. NICOLAS JR</t>
  </si>
  <si>
    <t>2021-05-006</t>
  </si>
  <si>
    <t>DARMO-JONES</t>
  </si>
  <si>
    <t>actual unit 2023-05-03-10201SP694-01</t>
  </si>
  <si>
    <t>2023-05-03-10201-SP-678-01</t>
  </si>
  <si>
    <t>1S11T5S16200GM0415WF</t>
  </si>
  <si>
    <t>CRISTINA M. CASTILLO</t>
  </si>
  <si>
    <t>SARPT</t>
  </si>
  <si>
    <t>2021-05-007</t>
  </si>
  <si>
    <t>DARMO-QUEZON</t>
  </si>
  <si>
    <t>2023-05-03-10201-SP-753-01</t>
  </si>
  <si>
    <t>1S11T5S16200GM0415XQ</t>
  </si>
  <si>
    <t>HVSPLIT-102-24-05-01-010</t>
  </si>
  <si>
    <t>MARLON D. NICOLAS</t>
  </si>
  <si>
    <t>2021-05-009</t>
  </si>
  <si>
    <t>DARMO-ILAGAN</t>
  </si>
  <si>
    <t>HVSPLIT-102-24-05-01-011</t>
  </si>
  <si>
    <t>2023-05-03-10201-SP-746-01</t>
  </si>
  <si>
    <t>1S11T5S16200GM0418C9</t>
  </si>
  <si>
    <t>NORMA M. ADDURU</t>
  </si>
  <si>
    <t>2021-05-010</t>
  </si>
  <si>
    <t>HVSPLIT-102-24-05-01-012</t>
  </si>
  <si>
    <t>DARMO MALLIG</t>
  </si>
  <si>
    <t>HVSPLIT-102-24-05-01-013</t>
  </si>
  <si>
    <t>2023-05-03-10201-SP-686-01</t>
  </si>
  <si>
    <t>ODELON C. SANTOS</t>
  </si>
  <si>
    <t>2021-05-011</t>
  </si>
  <si>
    <t>DARMO SAN MARIANO</t>
  </si>
  <si>
    <t>HVSPLIT-102-24-05-01-014</t>
  </si>
  <si>
    <t>2023-05-03-10201-SP-681-01</t>
  </si>
  <si>
    <t>1S11T5S16200GM0415ZJ</t>
  </si>
  <si>
    <t>HVSPLIT-102-24-05-01-015</t>
  </si>
  <si>
    <t>LEOPOLDO G. CASIL</t>
  </si>
  <si>
    <t>2021-05-012</t>
  </si>
  <si>
    <t>DARMO TUMAUINI</t>
  </si>
  <si>
    <t>HVSPLIT-102-24-05-01-016</t>
  </si>
  <si>
    <t>2023-05-03-10201-SP-702-01</t>
  </si>
  <si>
    <t>1S11T5S16200GM0415WC</t>
  </si>
  <si>
    <t>PATRICK C. SANTOS</t>
  </si>
  <si>
    <t>HVSPLIT-102-24-05-01-017</t>
  </si>
  <si>
    <t>2021-05-014</t>
  </si>
  <si>
    <t>TEODY ROJAS</t>
  </si>
  <si>
    <t>DARMO SAN AGUSTIN</t>
  </si>
  <si>
    <t>HVSPLIT-102-24-05-01-018</t>
  </si>
  <si>
    <t>HVSPLIT-102-24-05-01-019</t>
  </si>
  <si>
    <t>2023-05-03-10201SP743-01</t>
  </si>
  <si>
    <t>KINGSTON MARIE V. ABOGADO</t>
  </si>
  <si>
    <t>ATTY V</t>
  </si>
  <si>
    <t>2021-05-015</t>
  </si>
  <si>
    <t>HVSPLIT-102-24-05-01-020</t>
  </si>
  <si>
    <t>COCROM</t>
  </si>
  <si>
    <t>HVSPLIT-102-24-05-01-021</t>
  </si>
  <si>
    <t>2023-05-03-10201SP751-01</t>
  </si>
  <si>
    <t>1S11T5S16200GM02ZT9V</t>
  </si>
  <si>
    <t>CRISTETO V. ACOBA JR</t>
  </si>
  <si>
    <t>2021-05-016</t>
  </si>
  <si>
    <t>HVSPLIT-102-24-05-01-022</t>
  </si>
  <si>
    <t>ARBDSP</t>
  </si>
  <si>
    <t>HVSPLIT-102-24-05-01-023</t>
  </si>
  <si>
    <t>2023-05-03-10201SP -01</t>
  </si>
  <si>
    <t>ROGELIO G. CORTEZ, JR</t>
  </si>
  <si>
    <t>CHIEF SURVEY</t>
  </si>
  <si>
    <t>HVSPLIT-102-24-05-01-024</t>
  </si>
  <si>
    <t>2021-05-017</t>
  </si>
  <si>
    <t>LTI-SURVEY</t>
  </si>
  <si>
    <t>HVSPLIT-102-24-05-01-025</t>
  </si>
  <si>
    <t>2023-05-03-10201SP737-01</t>
  </si>
  <si>
    <t>1S11T5S16200GM04160Q</t>
  </si>
  <si>
    <t>MARISSA D. SAN JOSE</t>
  </si>
  <si>
    <t>2021-05-018</t>
  </si>
  <si>
    <t>DARPO-LTI</t>
  </si>
  <si>
    <t>HVSPLIT-102-24-05-01-026</t>
  </si>
  <si>
    <t>2023-05-03-10201SP734 -01</t>
  </si>
  <si>
    <t>HVSPLIT-102-24-05-01-027</t>
  </si>
  <si>
    <t>1S11T5S16200GM0415V7</t>
  </si>
  <si>
    <t>CARMENCITA P. ALONZO</t>
  </si>
  <si>
    <t>TS2 ADMINISTRATIVE AND FINANCE OFFICER</t>
  </si>
  <si>
    <t>2023-09-001</t>
  </si>
  <si>
    <t>NIÑA ANGELICA B. REGUCERA</t>
  </si>
  <si>
    <t>DARPO-CAO</t>
  </si>
  <si>
    <t>HVSPLIT-102-24-05-01-028</t>
  </si>
  <si>
    <t>RECORDS</t>
  </si>
  <si>
    <t>NESTOR B. GONZAGA</t>
  </si>
  <si>
    <t>CARPO-LTID</t>
  </si>
  <si>
    <t>2023-09-002</t>
  </si>
  <si>
    <t>HVSPLIT-102-24-05-01-029</t>
  </si>
  <si>
    <t>MARICAR A. PASCUAL</t>
  </si>
  <si>
    <t>DARPO-LTID</t>
  </si>
  <si>
    <t>HVSPLIT-102-24-05-01-030</t>
  </si>
  <si>
    <t>2023-05-03-10201SP740 -01</t>
  </si>
  <si>
    <t>1S11T5S16200GM0415W8</t>
  </si>
  <si>
    <t>2023-09-003</t>
  </si>
  <si>
    <t>PABLO S. TUMBALI</t>
  </si>
  <si>
    <t>HVSPLIT-102-24-05-01-031</t>
  </si>
  <si>
    <t>2023-05-03-10201SP672 -01</t>
  </si>
  <si>
    <t>1S11T5S16200GM0415W4</t>
  </si>
  <si>
    <t>HVSPLIT-102-24-05-01-032</t>
  </si>
  <si>
    <t>2023-09-004</t>
  </si>
  <si>
    <t>JOHN CARLO B. SAHAGUN</t>
  </si>
  <si>
    <t>HVSPLIT-102-24-05-01-033</t>
  </si>
  <si>
    <t>2023-05-03-10201SP712 -01</t>
  </si>
  <si>
    <t>1S11T5S16200GM0415Y3</t>
  </si>
  <si>
    <t>2023-09-005</t>
  </si>
  <si>
    <t>ANTONNETE S. LAUIGAN</t>
  </si>
  <si>
    <t>HVSPLIT-102-24-05-01-034</t>
  </si>
  <si>
    <t>2023-05-03-10201-SP7E5-01</t>
  </si>
  <si>
    <t>HVSPLIT-102-24-05-01-035</t>
  </si>
  <si>
    <t>2023-05-025</t>
  </si>
  <si>
    <t>ADRIEL AFEC L. GABOT</t>
  </si>
  <si>
    <t>HVSPLIT-102-24-05-01-036</t>
  </si>
  <si>
    <t>2023-05-03-10201SP755 -01</t>
  </si>
  <si>
    <t>1S11T5S16200GM0418CE</t>
  </si>
  <si>
    <t>ZENAIDA A. MARTIN</t>
  </si>
  <si>
    <t>2023-09-007</t>
  </si>
  <si>
    <t>ESTEPHANIE BELMONTE</t>
  </si>
  <si>
    <t>HVSPLIT-102-24-05-01-037</t>
  </si>
  <si>
    <t>2023-05-03-10201-SP709-01</t>
  </si>
  <si>
    <t>1S11T5S16200GM0418CA</t>
  </si>
  <si>
    <t>2023-05-027</t>
  </si>
  <si>
    <t>MARY ROSE T. LLEGO</t>
  </si>
  <si>
    <t>HVSPLIT-102-24-05-01-058</t>
  </si>
  <si>
    <t>2023-05-03-10201SP713 -01</t>
  </si>
  <si>
    <t>1S11T5S16200GM0415SD</t>
  </si>
  <si>
    <t>2023-09-008</t>
  </si>
  <si>
    <t>MIKAEL C. SORIANO</t>
  </si>
  <si>
    <t>2023-05-03-10201-SP- -01</t>
  </si>
  <si>
    <t>HVSPLIT-102-24-05-01-059</t>
  </si>
  <si>
    <t>2021-05-029</t>
  </si>
  <si>
    <t>JEREMY JAMES R. CORTEZ</t>
  </si>
  <si>
    <t>HR/ Personnel</t>
  </si>
  <si>
    <t>2023-05-03-10201-SP-726 -01</t>
  </si>
  <si>
    <t>1S11T5S16200GM0415Z1</t>
  </si>
  <si>
    <t>2021-05-030</t>
  </si>
  <si>
    <t>RENZY G. SADDUL</t>
  </si>
  <si>
    <t>2023-05-03-10201-SP-744-01</t>
  </si>
  <si>
    <t>HVSPLIT-102-24-05-01-060</t>
  </si>
  <si>
    <t>1S11T5S16200GM0415WM</t>
  </si>
  <si>
    <t>2021-05-031</t>
  </si>
  <si>
    <t>MA. VISITACION C. CORPUZ</t>
  </si>
  <si>
    <t>2023-05-03-10202SP273-01</t>
  </si>
  <si>
    <t>HVSPLIT-102-24-05-01-061</t>
  </si>
  <si>
    <t>2023-08-001</t>
  </si>
  <si>
    <t>HVSPLIT-102-24-05-01-062</t>
  </si>
  <si>
    <t>2023-05-03-10202SP274-01</t>
  </si>
  <si>
    <t>2023-09-009</t>
  </si>
  <si>
    <t>ERWIN J. PALAFOX</t>
  </si>
  <si>
    <t>HVSPLIT-102-24-05-01-063</t>
  </si>
  <si>
    <t>2023-05-03-10202SP18-01</t>
  </si>
  <si>
    <t>RONAN S TUZON JR</t>
  </si>
  <si>
    <t>PROVINCIAL INFORMATION OFFICER</t>
  </si>
  <si>
    <t>2023-06-005l</t>
  </si>
  <si>
    <t>HVSPLIT-102-24-05-01-064</t>
  </si>
  <si>
    <t>2022-05-02-10202SP18-01</t>
  </si>
  <si>
    <t>RNK1200153</t>
  </si>
  <si>
    <t>CARINA L. IBALE</t>
  </si>
  <si>
    <t>HVSPLIT-102-24-05-01-070</t>
  </si>
  <si>
    <t>2022-11-001</t>
  </si>
  <si>
    <t>GENESIS ORDANZA</t>
  </si>
  <si>
    <t>FOR DISPOSE</t>
  </si>
  <si>
    <t>HVSPLIT-102-24-05-01-071</t>
  </si>
  <si>
    <t>2023-05-14-10201SP16-01</t>
  </si>
  <si>
    <t>HVSPLIT-102-24-05-01-072</t>
  </si>
  <si>
    <t>TRANSFERRED FROM DARCO</t>
  </si>
  <si>
    <t>HVSPLIT-102-24-05-01-073</t>
  </si>
  <si>
    <t>2023-05-14-10201SP28-01</t>
  </si>
  <si>
    <t>2023-03-001</t>
  </si>
  <si>
    <t>damage Tablets / swollen battery</t>
  </si>
  <si>
    <t>HVSPLIT-102-24-05-01-074</t>
  </si>
  <si>
    <t>2023-05-14-10202SP35-01</t>
  </si>
  <si>
    <t>HVSPLIT-102-24-05-01-075</t>
  </si>
  <si>
    <t>2023-03-002</t>
  </si>
  <si>
    <t>HVSPLIT-102-24-05-01-076</t>
  </si>
  <si>
    <t>HVSPLIT-102-24-05-01-077</t>
  </si>
  <si>
    <t>HVSPLIT-102-24-05-01-078</t>
  </si>
  <si>
    <t>2023-03-003</t>
  </si>
  <si>
    <t>HVSPLIT-102-24-05-01-079</t>
  </si>
  <si>
    <t>HVSPLIT-102-24-05-01-080</t>
  </si>
  <si>
    <t>HV-SPLIT-102-24-05-21
 HV-SPLIT-102-24-05-04-02</t>
  </si>
  <si>
    <t>HVSPLIT-102-24-05-01-081</t>
  </si>
  <si>
    <t>FOR REPAIR</t>
  </si>
  <si>
    <t>QUIRINO</t>
  </si>
  <si>
    <t>HVSPLIT-102-24-05-01-082</t>
  </si>
  <si>
    <t>2023-05-03-10201SP669-01</t>
  </si>
  <si>
    <t>1S11T5S16200GM0418HG</t>
  </si>
  <si>
    <t>ENG JESSBERG M VAFLOR</t>
  </si>
  <si>
    <t>Parcelization Coordinator</t>
  </si>
  <si>
    <t>2023-06-001</t>
  </si>
  <si>
    <t>SPLIT PPMO ORGANIC</t>
  </si>
  <si>
    <t>LTS</t>
  </si>
  <si>
    <t>HVSPLIT-102-24-05-01-083</t>
  </si>
  <si>
    <t>HVSPLIT-102-24-05-01-084</t>
  </si>
  <si>
    <t>2023-05-03-10201SP738-01</t>
  </si>
  <si>
    <t>1S11T5S16200GM041APP</t>
  </si>
  <si>
    <t>HVSPLIT-102-24-05-01-085</t>
  </si>
  <si>
    <t>GINA G HERRERA</t>
  </si>
  <si>
    <t>HVSPLIT-102-24-05-01-086</t>
  </si>
  <si>
    <t>2023-06-002</t>
  </si>
  <si>
    <t>HVSPLIT-102-24-05-01-087</t>
  </si>
  <si>
    <t>HVSPLIT-102-24-05-01-088</t>
  </si>
  <si>
    <t>2023-05-03-10201SP690-01</t>
  </si>
  <si>
    <t>1S11T5S16200GM041APN</t>
  </si>
  <si>
    <t>ATTY CARIDAD GRACE T TURQUEZA</t>
  </si>
  <si>
    <t>2023-06-003</t>
  </si>
  <si>
    <t>HVSPLIT-102-24-05-01-089</t>
  </si>
  <si>
    <t>2023-05-03-10201SP674-01</t>
  </si>
  <si>
    <t>HVSPLIT-102-24-05-01-090</t>
  </si>
  <si>
    <t>OLIVE F SAPON</t>
  </si>
  <si>
    <t>UOMA</t>
  </si>
  <si>
    <t>2023-06-004</t>
  </si>
  <si>
    <t>HVSPLIT-102-24-05-01-091</t>
  </si>
  <si>
    <t>2023-05-03-10201SP707-01</t>
  </si>
  <si>
    <t>BRIGIDA M GAPON</t>
  </si>
  <si>
    <t>PROJECT BUDGET OFFICER</t>
  </si>
  <si>
    <t>2023-06-005</t>
  </si>
  <si>
    <t>HVSPLIT-102-24-05-01-092</t>
  </si>
  <si>
    <t>2023-05-03-10201SP698-01</t>
  </si>
  <si>
    <t>HVSPLIT-102-24-05-01-093</t>
  </si>
  <si>
    <t>1S11T5S16200GM041AVW</t>
  </si>
  <si>
    <t>AFASPO-FMAO-ADSERV</t>
  </si>
  <si>
    <t>JULIUS C GARINGAN</t>
  </si>
  <si>
    <t>ADMIN &amp; FINANCE COORDINATOR</t>
  </si>
  <si>
    <t>2023-06-006</t>
  </si>
  <si>
    <t>HVSPLIT-102-24-05-01-094</t>
  </si>
  <si>
    <t>HVSPLIT-102-24-05-01-095</t>
  </si>
  <si>
    <t>2023-05-03-10201SP693-01</t>
  </si>
  <si>
    <t>1S11T5S16200GM041AVT</t>
  </si>
  <si>
    <t>RICHARD F SORIBEN</t>
  </si>
  <si>
    <t>2023-06-007</t>
  </si>
  <si>
    <t>HVSPLIT-102-24-05-01-096</t>
  </si>
  <si>
    <t>2023-05-03-10201SP721-01</t>
  </si>
  <si>
    <t>HVSPLIT-102-24-05-01-097</t>
  </si>
  <si>
    <t>ENGR JOE MARI G RAMOS</t>
  </si>
  <si>
    <t>2023-06-008</t>
  </si>
  <si>
    <t>HVSPLIT-102-24-05-01-098</t>
  </si>
  <si>
    <t>2023-05-03-10201SP706-01</t>
  </si>
  <si>
    <t>1S11T5S16200GM0418GQ</t>
  </si>
  <si>
    <t>ENGR JESSBERG M VAFLOR</t>
  </si>
  <si>
    <t>PARCELIZATION COORDINATOR</t>
  </si>
  <si>
    <t>2023-06-009</t>
  </si>
  <si>
    <t>HVSPLIT-102-24-05-01-099</t>
  </si>
  <si>
    <t>STATUS OF EQUIPMENT
 (SERVICEABLE/
 UNSERVICEABLE)</t>
  </si>
  <si>
    <t>Region III</t>
  </si>
  <si>
    <t>HVSPLIT-102-24-05-01-100</t>
  </si>
  <si>
    <t>BRIGIDA M DAPON</t>
  </si>
  <si>
    <t>2023-06-010</t>
  </si>
  <si>
    <t>HVSPLIT-102-24-05-01-101</t>
  </si>
  <si>
    <t>2023-05-03-10201SP719-01</t>
  </si>
  <si>
    <t>1S11T5S16200GM041AVX</t>
  </si>
  <si>
    <t>2023-06-011</t>
  </si>
  <si>
    <t>2023-05-03-10201SP763-01</t>
  </si>
  <si>
    <t>HVSPLIT-102-24-05-01-102</t>
  </si>
  <si>
    <t>1S11T5S16200GM03S3PW</t>
  </si>
  <si>
    <t>Atty. Eric Luna</t>
  </si>
  <si>
    <t>Roel Fortin</t>
  </si>
  <si>
    <t>2023-05-03-10201SP733-01</t>
  </si>
  <si>
    <t>RDs Office</t>
  </si>
  <si>
    <t>1S11T5S16200GM0418GG</t>
  </si>
  <si>
    <t>HVSPLIT-102-24-05-01-103</t>
  </si>
  <si>
    <t>ALAO IN ALI-ALA</t>
  </si>
  <si>
    <t>2023-05-03-10201SP696-01</t>
  </si>
  <si>
    <t>1S11T5S16200GM041AT7</t>
  </si>
  <si>
    <t>HVSPLIT-102-24-05-01-104</t>
  </si>
  <si>
    <t>₱-</t>
  </si>
  <si>
    <t>HVSPLIT-102-24-05-01-105</t>
  </si>
  <si>
    <t>2023-05-03-10201SP764-01</t>
  </si>
  <si>
    <t>2023-05-03-10201SP720-01</t>
  </si>
  <si>
    <t>1S11T5S16200GM02ZT9G</t>
  </si>
  <si>
    <t>MARY ANN RHONALIE G CAGATAO</t>
  </si>
  <si>
    <t>Atty. Odgie C. Cayabyab</t>
  </si>
  <si>
    <t>Asst. Regional Director</t>
  </si>
  <si>
    <t>Ed Maglalang</t>
  </si>
  <si>
    <t>ARDs Office</t>
  </si>
  <si>
    <t>HVSPLIT-102-24-05-01-106</t>
  </si>
  <si>
    <t>2023-05-03-10201SP769-01</t>
  </si>
  <si>
    <t>1S11T5S16200GM02ZT72</t>
  </si>
  <si>
    <t>HVSPLIT-102-24-05-01-107</t>
  </si>
  <si>
    <t>Atty. Judita Tungol</t>
  </si>
  <si>
    <t>RARAD/GRM Coordinator</t>
  </si>
  <si>
    <t>2023-05-03-10201SP205-01</t>
  </si>
  <si>
    <t>PROJCET ACCOUNTANT</t>
  </si>
  <si>
    <t>2023-10-004</t>
  </si>
  <si>
    <t>2023-05-03-10201SP765-01</t>
  </si>
  <si>
    <t>HVSPLIT-102-24-05-01-108</t>
  </si>
  <si>
    <t>1S11T5S16200GM02ZT84</t>
  </si>
  <si>
    <t>2023-05-03-10201SP204-01</t>
  </si>
  <si>
    <t>Iluminado Ocampo</t>
  </si>
  <si>
    <t>2023-10-005</t>
  </si>
  <si>
    <t>OIC CARPO-FOD/Parcelization Component Coordinator</t>
  </si>
  <si>
    <t>HVSPLIT-102-24-05-01-109</t>
  </si>
  <si>
    <t>FOD</t>
  </si>
  <si>
    <t>2023-05-03-10201SP768-01</t>
  </si>
  <si>
    <t>1S11T5S16200GM041ASM</t>
  </si>
  <si>
    <t>2023-05-03-10201SP198-01</t>
  </si>
  <si>
    <t>Atty. Cristina Miguel</t>
  </si>
  <si>
    <t>ARVIN JAY G. QUIDASOL</t>
  </si>
  <si>
    <t>Chief, Legal Division/Legal Coordinator</t>
  </si>
  <si>
    <t>Media Staff</t>
  </si>
  <si>
    <t>HVSPLIT-102-24-05-01-110</t>
  </si>
  <si>
    <t>2023-10-007</t>
  </si>
  <si>
    <t>Legal Division</t>
  </si>
  <si>
    <t>2023-05-03-10201SP762-01</t>
  </si>
  <si>
    <t>1S11T5S16200GM041AY7</t>
  </si>
  <si>
    <t>HVSPLIT-102-24-05-01-111</t>
  </si>
  <si>
    <t>Lilian C. Dela Cruz</t>
  </si>
  <si>
    <t>RCAO/Admin. And Finance Officer</t>
  </si>
  <si>
    <t>2023-05-03-10201SP201-01</t>
  </si>
  <si>
    <t>2023-06-015</t>
  </si>
  <si>
    <t>ALLAYSA HOPE R. LAURETA</t>
  </si>
  <si>
    <t>Parcelization Support Staff</t>
  </si>
  <si>
    <t>2023-10-009</t>
  </si>
  <si>
    <t>HVSPLIT-102-24-05-01-112</t>
  </si>
  <si>
    <t>2023-05-03-10201SP770-01</t>
  </si>
  <si>
    <t>1S11T5S16200GM041APX</t>
  </si>
  <si>
    <t>Jemmycho Otchenco</t>
  </si>
  <si>
    <t>Regional Accountant/Project Accountant</t>
  </si>
  <si>
    <t>COS</t>
  </si>
  <si>
    <t>Accounting</t>
  </si>
  <si>
    <t>HVSPLIT-102-24-05-01-113</t>
  </si>
  <si>
    <t>ALAO DARAB</t>
  </si>
  <si>
    <t>2023-05-03-10201SP771-01</t>
  </si>
  <si>
    <t>1S11T5S16200GM04182Z</t>
  </si>
  <si>
    <t>Marlyn P. Romero</t>
  </si>
  <si>
    <t>Budget Officer/Project Budget Officer</t>
  </si>
  <si>
    <t>2023-05-03-10201SP199-01</t>
  </si>
  <si>
    <t>Budget</t>
  </si>
  <si>
    <t>HVSPLIT-102-24-05-01-114</t>
  </si>
  <si>
    <t>FARAHLEEN PEARL S. PALAC</t>
  </si>
  <si>
    <t>2023-05-03-10201SP759-01</t>
  </si>
  <si>
    <t>2023-10-008</t>
  </si>
  <si>
    <t>1S11T5S16200GM041AQN</t>
  </si>
  <si>
    <t>Rico Trajano</t>
  </si>
  <si>
    <t>ISA II/M&amp;E Coordinator</t>
  </si>
  <si>
    <t>HVSPLIT-102-24-05-01-115</t>
  </si>
  <si>
    <t>2023-06-012</t>
  </si>
  <si>
    <t>AFMAO HRO AND ARCDS</t>
  </si>
  <si>
    <t>Planning</t>
  </si>
  <si>
    <t>2023-05-03-10201SP773-01</t>
  </si>
  <si>
    <t>1S11T5S16200GM02ZT75</t>
  </si>
  <si>
    <t>HVSPLIT-102-24-05-01-116</t>
  </si>
  <si>
    <t>2023-09-017</t>
  </si>
  <si>
    <t>HVSPLIT-102-24-05-01-117</t>
  </si>
  <si>
    <t>2023-05-03-10201SP279-01</t>
  </si>
  <si>
    <t>2023-05-03-10201SP758-01</t>
  </si>
  <si>
    <t>BRIGIDA M. DAPON</t>
  </si>
  <si>
    <t>1S11T5S16200GM02ZT78</t>
  </si>
  <si>
    <t>Dante Manalo</t>
  </si>
  <si>
    <t>2023-10-001</t>
  </si>
  <si>
    <t>HVSPLIT-102-24-05-01-118</t>
  </si>
  <si>
    <t>ASEC DARAB - ATTY GALIT</t>
  </si>
  <si>
    <t>2023-05-03-10201SP760-01</t>
  </si>
  <si>
    <t>1S11T5S16200GM02ZT8E</t>
  </si>
  <si>
    <t>Josell Fernan Guintu</t>
  </si>
  <si>
    <t>Chief, Supply &amp; GS/Project Procurement Officer</t>
  </si>
  <si>
    <t>2023-09-013</t>
  </si>
  <si>
    <t>General Services/Supply</t>
  </si>
  <si>
    <t>HVSPLIT-102-24-05-01-119</t>
  </si>
  <si>
    <t>2023-05-03-10201SP275-01</t>
  </si>
  <si>
    <t>RICHARD F. SORIBEN</t>
  </si>
  <si>
    <t>Procurement Officer</t>
  </si>
  <si>
    <t>2023-10-002</t>
  </si>
  <si>
    <t>2023-05-03-10201SP761-01</t>
  </si>
  <si>
    <t>1S11T5S16200GM041AQV</t>
  </si>
  <si>
    <t>Engr. Victor Batu</t>
  </si>
  <si>
    <t>Engineer II/CBTA/ESS Coordinator</t>
  </si>
  <si>
    <t>2023-09-014</t>
  </si>
  <si>
    <t>HVSPLIT-102-24-05-01-120</t>
  </si>
  <si>
    <t>HVSPLIT-102-24-05-01-121</t>
  </si>
  <si>
    <t>ASEC DARAB - ATTY COLETO</t>
  </si>
  <si>
    <t>2023-05-03-10201SP766-01</t>
  </si>
  <si>
    <t>1S11T5S16200GM041ASN</t>
  </si>
  <si>
    <t>Renato Yambao</t>
  </si>
  <si>
    <t>Cartographer II/Survey Coordinator</t>
  </si>
  <si>
    <t>HVSPLIT-102-24-05-01-122</t>
  </si>
  <si>
    <t>2023-05-03-10201SP767-01</t>
  </si>
  <si>
    <t>1S11T5S16200GM041AXQ</t>
  </si>
  <si>
    <t>Yolanda Payuyao</t>
  </si>
  <si>
    <t>SARPO/ESS Support Staff</t>
  </si>
  <si>
    <t>HVSPLIT-102-24-05-01-123</t>
  </si>
  <si>
    <t>ASEC DARAB - ATTY CUA</t>
  </si>
  <si>
    <t>2023-05-03-10201SP772-01</t>
  </si>
  <si>
    <t>1S11T5S16200GM02ZT8T</t>
  </si>
  <si>
    <t>2023-05-03-10201SP276-01</t>
  </si>
  <si>
    <t>HVSPLIT-102-24-05-01-124</t>
  </si>
  <si>
    <t>Socorro Tayag</t>
  </si>
  <si>
    <t>Regional Cashier</t>
  </si>
  <si>
    <t>2023-06-016</t>
  </si>
  <si>
    <t>Cashier</t>
  </si>
  <si>
    <t>KATRINA JANE M. DIVINA</t>
  </si>
  <si>
    <t>M&amp;E Support Staff</t>
  </si>
  <si>
    <t>HVSPLIT-102-24-05-01-125</t>
  </si>
  <si>
    <t>2023-10-003</t>
  </si>
  <si>
    <t>KATRINA JANE NAVARRO</t>
  </si>
  <si>
    <t>2023-05-03-10201SP331-01</t>
  </si>
  <si>
    <t>4CE301DH71</t>
  </si>
  <si>
    <t>2023-09-018</t>
  </si>
  <si>
    <t>DENR Personnel</t>
  </si>
  <si>
    <t>HVSPLIT-102-24-05-01-126</t>
  </si>
  <si>
    <t>2023-05-03-10201SP332-01</t>
  </si>
  <si>
    <t>4CE301DSK6</t>
  </si>
  <si>
    <t>HVSPLIT-102-24-05-01-127</t>
  </si>
  <si>
    <t>2023-05-03-10201SP333-01</t>
  </si>
  <si>
    <t>4CE301DH34</t>
  </si>
  <si>
    <t>2023-09-019</t>
  </si>
  <si>
    <t>HVSPLIT-102-24-05-01-128</t>
  </si>
  <si>
    <t>EVANGELINE URATA</t>
  </si>
  <si>
    <t>PIO</t>
  </si>
  <si>
    <t>2023-06-005L</t>
  </si>
  <si>
    <t>2023-05-03-10201SP335-01</t>
  </si>
  <si>
    <t>4CE301DHBF</t>
  </si>
  <si>
    <t>HVSPLIT-102-24-05-01-129</t>
  </si>
  <si>
    <t>Engr. Luke Alexis Tanhueco</t>
  </si>
  <si>
    <t>2023-09-021</t>
  </si>
  <si>
    <t>HVSPLIT-102-24-05-01-130</t>
  </si>
  <si>
    <t>2023-05-03-10201SP334-01</t>
  </si>
  <si>
    <t>2023-05-14-10202SP34-01</t>
  </si>
  <si>
    <t>4CE301DHB9</t>
  </si>
  <si>
    <t>2023-09-020</t>
  </si>
  <si>
    <t>2023-03-004</t>
  </si>
  <si>
    <t>ENGR. ROLLY J. MARAMAG</t>
  </si>
  <si>
    <t>DENR/LRA-ROD Survey Coordinator</t>
  </si>
  <si>
    <t>2023-05-03-10201SP336-01</t>
  </si>
  <si>
    <t>4CE301DH54</t>
  </si>
  <si>
    <t>2023-09-022</t>
  </si>
  <si>
    <t>2023-05-03-10201SP337-01</t>
  </si>
  <si>
    <t>4CE301DH36</t>
  </si>
  <si>
    <t>2023-05-14-10202SP27-01</t>
  </si>
  <si>
    <t>2023-09-023</t>
  </si>
  <si>
    <t>HVSPLIT-102-24-05-01-131</t>
  </si>
  <si>
    <t>2023-05-03-10202SP156-01</t>
  </si>
  <si>
    <t>James Arsenio O. Ponce, CESO III</t>
  </si>
  <si>
    <t>Assistant Secretary</t>
  </si>
  <si>
    <t>2023-09-025</t>
  </si>
  <si>
    <t>HVSPLIT-102-24-05-01-132</t>
  </si>
  <si>
    <t>Central Office</t>
  </si>
  <si>
    <t>HVSPLIT-102-24-05-01-133</t>
  </si>
  <si>
    <t>2023-05-03-10202SP155-01</t>
  </si>
  <si>
    <t>2023-09-024</t>
  </si>
  <si>
    <t>HVSPLIT-102-24-05-01-134</t>
  </si>
  <si>
    <t>2023-05-03-10202SP157-01</t>
  </si>
  <si>
    <t>2023-10-029</t>
  </si>
  <si>
    <t>2023-05-14-10202SP17-01</t>
  </si>
  <si>
    <t>RNK1200136</t>
  </si>
  <si>
    <t>JULIUS C. GARINGAN</t>
  </si>
  <si>
    <t>HVSPLIT-102-24-05-01-135</t>
  </si>
  <si>
    <t>Technical Staff 2 - Admin and Finance Officer</t>
  </si>
  <si>
    <t>UNSERVISABLE</t>
  </si>
  <si>
    <t>2023-05-03-10202SP23-01</t>
  </si>
  <si>
    <t>Albert Sapnu</t>
  </si>
  <si>
    <t>Regional Information Officer</t>
  </si>
  <si>
    <t>HVSPLIT-102-24-05-01-136</t>
  </si>
  <si>
    <t>Information</t>
  </si>
  <si>
    <t>HV-SPLIT-102-24-05-22</t>
  </si>
  <si>
    <t>HVSPLIT-102-24-05-01-137</t>
  </si>
  <si>
    <t>Actual unit HV-SPLIT-102-24-05-21</t>
  </si>
  <si>
    <t>HVSPLIT-102-24-05-01-138</t>
  </si>
  <si>
    <t>HV-SPLIT-102-24-05-23</t>
  </si>
  <si>
    <t>E78947L3H871346</t>
  </si>
  <si>
    <t>2024-03-004</t>
  </si>
  <si>
    <t>2024-05-13-10204SP07-O1</t>
  </si>
  <si>
    <t>HVSPLIT-102-24-05-01-139</t>
  </si>
  <si>
    <t>DARRO SPLIT Personnel</t>
  </si>
  <si>
    <t>DARRO3</t>
  </si>
  <si>
    <t>PAR NO. 2025-05-007</t>
  </si>
  <si>
    <t>Actual unit 2024-05-14-10201SP10-01</t>
  </si>
  <si>
    <t>HVSPLIT-102-24-05-01-140</t>
  </si>
  <si>
    <t>HVSPLIT-102-24-05-01-141</t>
  </si>
  <si>
    <t>2024-05-03-10202SP-308-01</t>
  </si>
  <si>
    <t>NXVXKSP00341913C307600</t>
  </si>
  <si>
    <t>ALBERT SAPNU</t>
  </si>
  <si>
    <t>DARRO 3</t>
  </si>
  <si>
    <t>HVSPLIT-102-24-05-01-441</t>
  </si>
  <si>
    <t>HVSPLIT-102-24-05-01-142</t>
  </si>
  <si>
    <t>MSB0A7O4S0104002</t>
  </si>
  <si>
    <t>CHERRYL S. TUGADE</t>
  </si>
  <si>
    <t>ENGINEER II</t>
  </si>
  <si>
    <t>2024-10-SP-46</t>
  </si>
  <si>
    <t>HVSPLIT-102-24-05-01-143</t>
  </si>
  <si>
    <t>2024-05-03-10202SP-321-01</t>
  </si>
  <si>
    <t>NXVXKSO00341913C687600</t>
  </si>
  <si>
    <t>ESS Staff</t>
  </si>
  <si>
    <t>HVSPLIT-102-24-05-01-442</t>
  </si>
  <si>
    <t>2024-07-026-H</t>
  </si>
  <si>
    <t>MSB0A7O4S0103849</t>
  </si>
  <si>
    <t>HVSPLIT-102-24-05-01-144</t>
  </si>
  <si>
    <t>CHRISTIAN D. SALES</t>
  </si>
  <si>
    <t>OIC-CARPO, PBDD</t>
  </si>
  <si>
    <t>2024-10-SP-47</t>
  </si>
  <si>
    <t>Aurora</t>
  </si>
  <si>
    <t>HVSPLIT-102-24-05-01-145</t>
  </si>
  <si>
    <t>2023-05-03-10201SP780 -01</t>
  </si>
  <si>
    <t>1S11T5S16200GM041AXE</t>
  </si>
  <si>
    <t>Elleonore Irish C. Dulay</t>
  </si>
  <si>
    <t>HVSPLIT-102-24-05-01-443</t>
  </si>
  <si>
    <t>SARPT/MIS Coordinator</t>
  </si>
  <si>
    <t>MSB0A7O4S0103922</t>
  </si>
  <si>
    <t>2023-05-002</t>
  </si>
  <si>
    <t>JOSEPHINE BATTUNG</t>
  </si>
  <si>
    <t>CASHIER</t>
  </si>
  <si>
    <t>2024-10-SP-48</t>
  </si>
  <si>
    <t>HVSPLIT-102-24-05-01-146</t>
  </si>
  <si>
    <t>CASHIER OFFICE</t>
  </si>
  <si>
    <t>2023-05-03-10201SP774-01</t>
  </si>
  <si>
    <t>1S11T5S16200GM041B7A</t>
  </si>
  <si>
    <t>MA. ELIZABETH JANE V. BUENCAMINO</t>
  </si>
  <si>
    <t>HVSPLIT-102-24-05-01-147</t>
  </si>
  <si>
    <t>2023-05-003</t>
  </si>
  <si>
    <t>HV-SPLIT-102-24-05-01-455</t>
  </si>
  <si>
    <t>MSBOA7O4S0103576</t>
  </si>
  <si>
    <t>JEMELYN EDROZO</t>
  </si>
  <si>
    <t>2024-11-001</t>
  </si>
  <si>
    <t>HVSPLIT-102-24-05-01-148</t>
  </si>
  <si>
    <t>2023-05-03-10201SP775-01</t>
  </si>
  <si>
    <t>1S11T5S16200GM041B6Y</t>
  </si>
  <si>
    <t>FINANCE AND MGNT SERVICE</t>
  </si>
  <si>
    <t>Karren G. Abordo</t>
  </si>
  <si>
    <t>DARMO SANTIAGO</t>
  </si>
  <si>
    <t>2023-05-004</t>
  </si>
  <si>
    <t>HVSPLIT-102-24-05-01-149</t>
  </si>
  <si>
    <t>2023-05-03-10201SP776-01</t>
  </si>
  <si>
    <t>1S11T5S16200GM041B1N</t>
  </si>
  <si>
    <t>HV-SPLIT-102-24-05-01-456</t>
  </si>
  <si>
    <t>Mary Chiles S. Caballes</t>
  </si>
  <si>
    <t>MSBOA7O450103644</t>
  </si>
  <si>
    <t>MONALISA MANGANTULAO</t>
  </si>
  <si>
    <t>2023-05-005</t>
  </si>
  <si>
    <t>HVSPLIT-102-24-05-01-150</t>
  </si>
  <si>
    <t>DARMO CABATUAN</t>
  </si>
  <si>
    <t>2023-05-03-10201SP781-01</t>
  </si>
  <si>
    <t>1S11T5S16200GM041B1R</t>
  </si>
  <si>
    <t>HVSPLIT-102-24-05-01-151</t>
  </si>
  <si>
    <t>JOHN C.VELASCO</t>
  </si>
  <si>
    <t>CAO/Admin. and Finance Officer/CBTA Coordinator</t>
  </si>
  <si>
    <t>2023-05-006</t>
  </si>
  <si>
    <t>HV-SPLIT-102-24-05-01-457</t>
  </si>
  <si>
    <t>SPLIT Support Staff (Procurement)</t>
  </si>
  <si>
    <t>PABLO L DERAY III</t>
  </si>
  <si>
    <t>OIC-CARPO</t>
  </si>
  <si>
    <t>DARMO CAUAYAN</t>
  </si>
  <si>
    <t>HVSPLIT-102-24-05-01-152</t>
  </si>
  <si>
    <t>2023-05-03-10201SP782-01</t>
  </si>
  <si>
    <t>1S11T5S16200GM041ANZ</t>
  </si>
  <si>
    <t>Ian Vincent O. Natividad</t>
  </si>
  <si>
    <t>SARPO/Legal Coordinator</t>
  </si>
  <si>
    <t>2023-05-007</t>
  </si>
  <si>
    <t>ALSD</t>
  </si>
  <si>
    <t>HV-SPLIT-102-24-05-01-458</t>
  </si>
  <si>
    <t>MSBOA7O450103318</t>
  </si>
  <si>
    <t>HVSPLIT-102-24-05-01-153</t>
  </si>
  <si>
    <t>ALBER M. SANGUILLERMO</t>
  </si>
  <si>
    <t>DARMO SAN GUILLERMO</t>
  </si>
  <si>
    <t>2023-05-03-10201SP783-01</t>
  </si>
  <si>
    <t>1S11T5S16200GM041B1E</t>
  </si>
  <si>
    <t>Ma. Dina R. Daguman</t>
  </si>
  <si>
    <t>CARPO/</t>
  </si>
  <si>
    <t>2023-05-008</t>
  </si>
  <si>
    <t>HVSPLIT-102-24-05-01-154</t>
  </si>
  <si>
    <t>2023-05-03-10201SP785-01</t>
  </si>
  <si>
    <t>1S11T5S16200GM041B76</t>
  </si>
  <si>
    <t>HV-SPLIT-102-24-05-01-459</t>
  </si>
  <si>
    <t>HVSPLIT-102-24-05-01-155</t>
  </si>
  <si>
    <t>Teresita P. Nacino</t>
  </si>
  <si>
    <t>MSBOA7O450103968</t>
  </si>
  <si>
    <t>ARPO II/Parcelization Component and Field Validation Team Coordinator</t>
  </si>
  <si>
    <t>2023-05-014</t>
  </si>
  <si>
    <t>MARIFE V. PALACOL</t>
  </si>
  <si>
    <t>HVSPLIT-102-24-05-01-156</t>
  </si>
  <si>
    <t>2023-05-03-10201SP784-01</t>
  </si>
  <si>
    <t>1S11T5S16200GM041AW</t>
  </si>
  <si>
    <t>2023-05-013</t>
  </si>
  <si>
    <t>SPLIT Support Staff</t>
  </si>
  <si>
    <t>HV-SPLIT-102-24-05-01-042</t>
  </si>
  <si>
    <t>PC6M064401799</t>
  </si>
  <si>
    <t>HVSPLIT-102-24-05-01-157</t>
  </si>
  <si>
    <t>IRENE CORPUZ</t>
  </si>
  <si>
    <t>ARPO II / PBD</t>
  </si>
  <si>
    <t>2023-05-03-10201SP777-01</t>
  </si>
  <si>
    <t>1S11T5S16200GM041B7M</t>
  </si>
  <si>
    <t>HVSPLIT-102-24-05-01-158</t>
  </si>
  <si>
    <t>2023-05-020</t>
  </si>
  <si>
    <t>2024-05-03-10202SP-247-01</t>
  </si>
  <si>
    <t>HVSPLIT-102-24-05-01-159</t>
  </si>
  <si>
    <t>2023-05-03-10201SP778-01</t>
  </si>
  <si>
    <t>1S11T5S16200GM041ANX</t>
  </si>
  <si>
    <t>ICS NO. 2024-08-042</t>
  </si>
  <si>
    <t>2023-05-019</t>
  </si>
  <si>
    <t>LUCILLE M. BUSOG</t>
  </si>
  <si>
    <t>HVSPLIT-102-24-05-01-160</t>
  </si>
  <si>
    <t>2023-05-03-10201SP779-01</t>
  </si>
  <si>
    <t>1S11T5S16200GM041ANJ</t>
  </si>
  <si>
    <t>JOSEPHINE K. AGUINALDO</t>
  </si>
  <si>
    <t>2023-05-018</t>
  </si>
  <si>
    <t>2024-05-03-10202SP-325-01</t>
  </si>
  <si>
    <t>HVSPLIT-102-24-05-01-161</t>
  </si>
  <si>
    <t>ICS NO. 2025-05-009</t>
  </si>
  <si>
    <t>LORAINE ANN D. DOMINGO</t>
  </si>
  <si>
    <t>2023-05-03-10201SP786-01</t>
  </si>
  <si>
    <t>1S11T5S16200GM041B77</t>
  </si>
  <si>
    <t>Alan O. Ibale</t>
  </si>
  <si>
    <t>Planning Officer II/M &amp; E Coordinator</t>
  </si>
  <si>
    <t>HVSPLIT-102-24-05-01-162</t>
  </si>
  <si>
    <t>2023-08-022</t>
  </si>
  <si>
    <t>2023-05-03-10201SP787-01</t>
  </si>
  <si>
    <t>1S11T5S16200GM041B75</t>
  </si>
  <si>
    <t>HVSPLIT-102-24-05-01-163</t>
  </si>
  <si>
    <t>Joyce P. Galope</t>
  </si>
  <si>
    <t>ARPO II/ Documentation/ESS Support Staff</t>
  </si>
  <si>
    <t>2023-10-027</t>
  </si>
  <si>
    <t>HVSPLIT-102-24-05-01-039</t>
  </si>
  <si>
    <t>MSB0A7O4S0103867</t>
  </si>
  <si>
    <t>HVSPLIT-102-24-05-01-164</t>
  </si>
  <si>
    <t>ICS NO. 2025-05-010</t>
  </si>
  <si>
    <t>RYAN GABUAT</t>
  </si>
  <si>
    <t>2023-05-03-10201SP317 -01</t>
  </si>
  <si>
    <t>4CE301DH4W</t>
  </si>
  <si>
    <t>ROSSANA P. ESPERANZA</t>
  </si>
  <si>
    <t>AO IV/GS HEAD</t>
  </si>
  <si>
    <t>2023-10-025</t>
  </si>
  <si>
    <t>HVSPLIT-102-24-05-01-166</t>
  </si>
  <si>
    <t>PUBLIC INFORMATION SERVICE</t>
  </si>
  <si>
    <t>2023-05-03-10201SP318-01</t>
  </si>
  <si>
    <t>4CE301DH7Q</t>
  </si>
  <si>
    <t>MELISSA ESPINOSA-GUMPENG</t>
  </si>
  <si>
    <t>ARPT/DENR/LRA-ROD Survey Coordinator</t>
  </si>
  <si>
    <t>2023-10-024</t>
  </si>
  <si>
    <t>HVSPLIT-102-24-05-01-169</t>
  </si>
  <si>
    <t>HVSPLIT-102-24-05-01-182</t>
  </si>
  <si>
    <t>Melissa S. Espinosa</t>
  </si>
  <si>
    <t>MSB0A7O4S0103977</t>
  </si>
  <si>
    <t>PLANNING SERVICES</t>
  </si>
  <si>
    <t>ICS NO. 2025-08-40</t>
  </si>
  <si>
    <t>2023-05-03-10202SP27-01</t>
  </si>
  <si>
    <t>HVSPLIT-102-24-05-01-183</t>
  </si>
  <si>
    <t>NXEGZSP00330801D233400</t>
  </si>
  <si>
    <t>ALAN O. IBALE</t>
  </si>
  <si>
    <t>2023-11-028</t>
  </si>
  <si>
    <t>HVSPLIT-102-24-05-01-444</t>
  </si>
  <si>
    <t>MSB0A7O4S0103559</t>
  </si>
  <si>
    <t>HVSPLIT-102-24-05-01-184</t>
  </si>
  <si>
    <t>ICS NO. 2024-10-047</t>
  </si>
  <si>
    <t>KENNETH J. PAMITTAN</t>
  </si>
  <si>
    <t>2023-05-03-10202SP144-01</t>
  </si>
  <si>
    <t>NXEGZSP00330801CBE3400</t>
  </si>
  <si>
    <t>OD FASPO</t>
  </si>
  <si>
    <t>PARPO II/Project Manager</t>
  </si>
  <si>
    <t>2023-10-023</t>
  </si>
  <si>
    <t>Garland Leila A. Cuarteros</t>
  </si>
  <si>
    <t>HVSPLIT-102-24-05-01-185</t>
  </si>
  <si>
    <t>2022-05-02-10202SP-21-01</t>
  </si>
  <si>
    <t>RNK2700174</t>
  </si>
  <si>
    <t>TERESITA P. NACINO</t>
  </si>
  <si>
    <t>HVSPLIT-102-24-05-01-445</t>
  </si>
  <si>
    <t>CBTA/Admin. and Finance Officer</t>
  </si>
  <si>
    <t>MSB0A7O4S0103974</t>
  </si>
  <si>
    <t>2023-07-016</t>
  </si>
  <si>
    <t>HVSPLIT-102-24-05-01-186</t>
  </si>
  <si>
    <t>SPLIT personnel</t>
  </si>
  <si>
    <t>DARPO Aurora</t>
  </si>
  <si>
    <t>ICS NO. 2024-10-048</t>
  </si>
  <si>
    <t>PEARL FATIMA L. AGPAOA</t>
  </si>
  <si>
    <t>HVSPLIT-102-24-05-01-187</t>
  </si>
  <si>
    <t>OD ADMINISTRATIVE SERVICE</t>
  </si>
  <si>
    <t>HV-SPLIT-102-24-05-24</t>
  </si>
  <si>
    <t>E78947L3H871205</t>
  </si>
  <si>
    <t>Parcelization Coordinator/FVT Coordinator</t>
  </si>
  <si>
    <t>DARPO SPLIT Personnel</t>
  </si>
  <si>
    <t>HVSPLIT-102-24-05-01-188</t>
  </si>
  <si>
    <t>HVSPLIT-102-24-05-01-446</t>
  </si>
  <si>
    <t>Bataan</t>
  </si>
  <si>
    <t>MSB0A7O4S0103885</t>
  </si>
  <si>
    <t>ICS NO. 2025-05-027</t>
  </si>
  <si>
    <t>2023-05-03-10201SP788-01</t>
  </si>
  <si>
    <t>1S11T5S16200GM041B1T</t>
  </si>
  <si>
    <t>Benedick C. De Mesa</t>
  </si>
  <si>
    <t>HVSPLIT-102-24-05-01-189</t>
  </si>
  <si>
    <t>HVSPLIT-102-24-05-01-447</t>
  </si>
  <si>
    <t>MSB0A7O4S0103603</t>
  </si>
  <si>
    <t>IMELDA R. PAA</t>
  </si>
  <si>
    <t>HVSPLIT-102-24-05-01-190</t>
  </si>
  <si>
    <t>ICS NO. 2025-08-39</t>
  </si>
  <si>
    <t>ANGELIE H. BURGOS</t>
  </si>
  <si>
    <t>HVSPLIT-102-24-05-01-191</t>
  </si>
  <si>
    <t>SPLIT-2023-05-004</t>
  </si>
  <si>
    <t>LTSP</t>
  </si>
  <si>
    <t>HVSPLIT-102-24-05-01-448</t>
  </si>
  <si>
    <t>UPS</t>
  </si>
  <si>
    <t>MSB0A7O4S0103594</t>
  </si>
  <si>
    <t>JOSEPHINE LADDARAN</t>
  </si>
  <si>
    <t>HVSPLIT-102-24-05-01-192</t>
  </si>
  <si>
    <t>2023-05-03-10201SP789-01</t>
  </si>
  <si>
    <t>1S11T5S16200GM041AP2</t>
  </si>
  <si>
    <t>Norma C. Lagman</t>
  </si>
  <si>
    <t>SPLIT-2023-05-005</t>
  </si>
  <si>
    <t>HVSPLIT-102-24-05-01-193</t>
  </si>
  <si>
    <t>HVSPLIT-102-24-05-01-452</t>
  </si>
  <si>
    <t>2023-05-03-10201SP790-01</t>
  </si>
  <si>
    <t>1S11T5S16200GM041AP6</t>
  </si>
  <si>
    <t>2024-12-002</t>
  </si>
  <si>
    <t>Aira Elaine Dabu</t>
  </si>
  <si>
    <t>HVSPLIT-102-24-05-01-194</t>
  </si>
  <si>
    <t>SPLIT-2023-05-006</t>
  </si>
  <si>
    <t>CPU (Hang)</t>
  </si>
  <si>
    <t>HVSPLIT-102-24-05-01-195</t>
  </si>
  <si>
    <t>HVSPLIT-102-24-05-01-453</t>
  </si>
  <si>
    <t>2023-05-03-10201SP791-01</t>
  </si>
  <si>
    <t>MSB0A7O4S0103944</t>
  </si>
  <si>
    <t>1S11T5S16200GM041B78</t>
  </si>
  <si>
    <t>JOHN PAUL TOLENADA</t>
  </si>
  <si>
    <t>Jose Jaime De Jesus</t>
  </si>
  <si>
    <t>2024-12-001</t>
  </si>
  <si>
    <t>SPLIT-2023-05-007</t>
  </si>
  <si>
    <t>HVSPLIT-102-24-05-01-196</t>
  </si>
  <si>
    <t>2023-05-03-10201SP792-01</t>
  </si>
  <si>
    <t>1S11T5S16200GM041AQ0</t>
  </si>
  <si>
    <t>Edwin W. Mina</t>
  </si>
  <si>
    <t>HVSPLIT-102-24-05-01-454</t>
  </si>
  <si>
    <t>SPLIT-2023-05-008</t>
  </si>
  <si>
    <t>MSB0A7O4S0103866</t>
  </si>
  <si>
    <t>HVSPLIT-102-24-05-01-197</t>
  </si>
  <si>
    <t>MARY ANN RHONALIE G. CAGATAO</t>
  </si>
  <si>
    <t>2024-12-003</t>
  </si>
  <si>
    <t>2023-05-03-10201SP793-01</t>
  </si>
  <si>
    <t>1S11T5S16200GM041ANY</t>
  </si>
  <si>
    <t>HVSPLIT-102-24-05-01-198</t>
  </si>
  <si>
    <t>Mercedita A. Lazaro</t>
  </si>
  <si>
    <t>SPLIT-2023-05-009</t>
  </si>
  <si>
    <t>HVSPLIT-102-24-05-01-040</t>
  </si>
  <si>
    <t>HVSPLIT-102-24-05-01-199</t>
  </si>
  <si>
    <t>MSB047O4S0103653; PC6M064401934</t>
  </si>
  <si>
    <t>2023-05-03-10201SP794-01</t>
  </si>
  <si>
    <t>HERGIELYN E. ABAGGUEY</t>
  </si>
  <si>
    <t>1S11T5S16200GM041AXV</t>
  </si>
  <si>
    <t>Margie P. Jaring</t>
  </si>
  <si>
    <t>2024-12-004</t>
  </si>
  <si>
    <t>SPLIT-2023-05-010</t>
  </si>
  <si>
    <t>HVSPLIT-102-24-05-01-200</t>
  </si>
  <si>
    <t>2023-05-03-10201SP795-01</t>
  </si>
  <si>
    <t>1S11T5S16200GM041AXN</t>
  </si>
  <si>
    <t>Edna M. Ronquillo</t>
  </si>
  <si>
    <t>SPLIT-2023-05-011</t>
  </si>
  <si>
    <t>HVSPLIT-102-24-05-01-201</t>
  </si>
  <si>
    <t>HVSPLIT-102-24-05-01-043</t>
  </si>
  <si>
    <t>MSB047O4S0103826; PC6M064401934</t>
  </si>
  <si>
    <t>GOLDWIN JERR RESURRECCION</t>
  </si>
  <si>
    <t>2023-05-03-10201SP796-01</t>
  </si>
  <si>
    <t>1S11T5S16200GM041AP5</t>
  </si>
  <si>
    <t>2024-12-005</t>
  </si>
  <si>
    <t>Gean Ariane R. Ponce</t>
  </si>
  <si>
    <t>SPLIT-2023-05-012</t>
  </si>
  <si>
    <t>2023-05-03-10201SP797-01</t>
  </si>
  <si>
    <t>1S11T5S16200GM041B7E</t>
  </si>
  <si>
    <t>April Anne Mabilanga</t>
  </si>
  <si>
    <t>HVSPLIT-102-24-05-01-202</t>
  </si>
  <si>
    <t>SPLIT-2023-05-013</t>
  </si>
  <si>
    <t>2023-05-03-10201SP798-01</t>
  </si>
  <si>
    <t>1S11T5S16200GM041ASR</t>
  </si>
  <si>
    <t>Eugenia B. Reyes</t>
  </si>
  <si>
    <t>HVSPLIT-102-24-05-01-203</t>
  </si>
  <si>
    <t>SPLIT-2023-05-014</t>
  </si>
  <si>
    <t>2023-05-03-10202SP145-01</t>
  </si>
  <si>
    <t>Dina Manalang</t>
  </si>
  <si>
    <t>DBP-LAPTOP-2023-001</t>
  </si>
  <si>
    <t>MARVIN MANALO</t>
  </si>
  <si>
    <t>2023-06-01-10201SP05-01</t>
  </si>
  <si>
    <t>HVSPLIT-102-24-05-01-204</t>
  </si>
  <si>
    <t>SNC 1194</t>
  </si>
  <si>
    <t>PAR NO. 2023-10-005</t>
  </si>
  <si>
    <t>Cheryll Pedralvez</t>
  </si>
  <si>
    <t>DBP-LAPTOP-2024-001</t>
  </si>
  <si>
    <t>HVSPLIT-102-24-05-01-205</t>
  </si>
  <si>
    <t>2022-05-02-10202SP-22-01</t>
  </si>
  <si>
    <t>DARPO Bataan</t>
  </si>
  <si>
    <t>HVSPLIT-102-24-05-01-206</t>
  </si>
  <si>
    <t>HVSPLIT-102-24-05-01-207</t>
  </si>
  <si>
    <t>HV-SPLIT-102-24-05-25</t>
  </si>
  <si>
    <t>E78947L3H871157</t>
  </si>
  <si>
    <t>Edwin Mina</t>
  </si>
  <si>
    <t>HVSPLIT-102-24-05-01-208</t>
  </si>
  <si>
    <t>Zambales</t>
  </si>
  <si>
    <t>HVSPLIT-102-24-05-01-209</t>
  </si>
  <si>
    <t>2023-05-03-10201SP858-01</t>
  </si>
  <si>
    <t>1S11T5S16200GM041ANS</t>
  </si>
  <si>
    <t>Marian B. Vinluan</t>
  </si>
  <si>
    <t>2023-06-01-10201SP52-01</t>
  </si>
  <si>
    <t>SNC 1084</t>
  </si>
  <si>
    <t>DZP-DESKCOMP-2023-006</t>
  </si>
  <si>
    <t>HVSPLIT-102-24-05-01-210</t>
  </si>
  <si>
    <t>PAR NO. 2025-02-009</t>
  </si>
  <si>
    <t>2023-05-03-10201SP859-01</t>
  </si>
  <si>
    <t>1S11T5S16200GM041AXD</t>
  </si>
  <si>
    <t>HVSPLIT-102-24-05-01-211</t>
  </si>
  <si>
    <t>Richard O. Rivera</t>
  </si>
  <si>
    <t>PLANNING OFFICER II</t>
  </si>
  <si>
    <t>DZP-DESKCOMP-2023-007</t>
  </si>
  <si>
    <t>2023-06-01-10201SP53-01</t>
  </si>
  <si>
    <t>SNC 1173</t>
  </si>
  <si>
    <t>HVSPLIT-102-24-05-01-212</t>
  </si>
  <si>
    <t>PAR NO. 2023-10-006</t>
  </si>
  <si>
    <t>2023-05-03-10201SP860-01</t>
  </si>
  <si>
    <t>1S11T5S16200GM041AS4</t>
  </si>
  <si>
    <t>Marie Liza D. Arconado</t>
  </si>
  <si>
    <t>DZP-DESKCOMP-2023-008</t>
  </si>
  <si>
    <t>HVSPLIT-102-24-05-01-213</t>
  </si>
  <si>
    <t>2023-05-03-10201SP861-01</t>
  </si>
  <si>
    <t>1S11T5S16200GM02ZT86</t>
  </si>
  <si>
    <t>Dana J. Domingo</t>
  </si>
  <si>
    <t>DZP-DESKCOMP-2023-009</t>
  </si>
  <si>
    <t>HVSPLIT-102-24-05-01-214</t>
  </si>
  <si>
    <t>2023-01-2023UV15-01
 2023-06-01-10202SP55-01</t>
  </si>
  <si>
    <t>2023-05-03-10201SP799-01</t>
  </si>
  <si>
    <t>1S11T5S16200GM041B61</t>
  </si>
  <si>
    <t>HVSPLIT-102-24-05-01-215</t>
  </si>
  <si>
    <t>Leah Melissa D. Belardo</t>
  </si>
  <si>
    <t>02-2023-11-06</t>
  </si>
  <si>
    <t>DBP-DESKCOMP-2023-012</t>
  </si>
  <si>
    <t>RICHARD R. BARCELONA</t>
  </si>
  <si>
    <t>HVSPLIT-102-24-05-01-223</t>
  </si>
  <si>
    <t>2023-05-03-10201SP800-01</t>
  </si>
  <si>
    <t>1S11T5S16200GM041B73</t>
  </si>
  <si>
    <t>Janette R. Famularcano</t>
  </si>
  <si>
    <t>DBP-DESKCOMP-2023-013</t>
  </si>
  <si>
    <t>HVSPLIT-102-24-05-01-224</t>
  </si>
  <si>
    <t>2023-06-01-10202SP56-01</t>
  </si>
  <si>
    <t>2023-05-03-10201SP801-01</t>
  </si>
  <si>
    <t>1S11T5S16200GM041B79</t>
  </si>
  <si>
    <t>FASPO SPECIAL PROJECT</t>
  </si>
  <si>
    <t>Francisca P. Del Campo</t>
  </si>
  <si>
    <t>ALL DAR-SPLIT PERSONNEL</t>
  </si>
  <si>
    <t>DBP-DESKCOMP-2023-014</t>
  </si>
  <si>
    <t>2023-05-03-10202SP154-01</t>
  </si>
  <si>
    <t>Evangeline S. Ebalo</t>
  </si>
  <si>
    <t>DZP-LAPTOP-2023-001</t>
  </si>
  <si>
    <t>2023-06-01-10202SP57-01</t>
  </si>
  <si>
    <t>HVSPLIT-102-24-05-01-225</t>
  </si>
  <si>
    <t>2022-05-02-10202SP-20-01</t>
  </si>
  <si>
    <t>DZP-OE-MFC-2022-001</t>
  </si>
  <si>
    <t>HVSPLIT-102-24-05-01-226</t>
  </si>
  <si>
    <t>Bulacan</t>
  </si>
  <si>
    <t>2023-06-01-10202SP58-01</t>
  </si>
  <si>
    <t>MARK JAY MACANAS</t>
  </si>
  <si>
    <t>2023-05-03-1021SP802-01 (SPLIT)</t>
  </si>
  <si>
    <t>1S11T5S16200GM041ANP</t>
  </si>
  <si>
    <t>HVSPLIT-102-24-05-01-227</t>
  </si>
  <si>
    <t>VAL T. ESTRELLA</t>
  </si>
  <si>
    <t>HVSPLIT-102-24-05-01-228</t>
  </si>
  <si>
    <t>2023-05-03-1021SP803-01 (SPLIT)</t>
  </si>
  <si>
    <t>1S11T5S16200GM041B6X</t>
  </si>
  <si>
    <t>JOHN MARK DE GUZMAN</t>
  </si>
  <si>
    <t>2023-06-01-10202SP59-01</t>
  </si>
  <si>
    <t>HVSPLIT-102-24-05-01-238</t>
  </si>
  <si>
    <t>REGIONAL ESS COORDINATOR</t>
  </si>
  <si>
    <t>2023-05-03-1021SP804-01 (SPLIT)</t>
  </si>
  <si>
    <t>1S11T5S16200GM041B7H</t>
  </si>
  <si>
    <t>ENGR. ARTEMIO S. TOMACRUZ JR.</t>
  </si>
  <si>
    <t>HVSPLIT-102-24-05-01-244</t>
  </si>
  <si>
    <t>GRM</t>
  </si>
  <si>
    <t>2023-05-03-1021SP805-01 (SPLIT)</t>
  </si>
  <si>
    <t>HVSPLIT-102-24-05-01-245</t>
  </si>
  <si>
    <t>1S11T5S16200GM041ASX</t>
  </si>
  <si>
    <t>VICTOR ROMMEL N. MAGNO</t>
  </si>
  <si>
    <t>BIDS AND AWARDS COMMITTEE</t>
  </si>
  <si>
    <t>FVT</t>
  </si>
  <si>
    <t>2023-06-01-10202SP60-01</t>
  </si>
  <si>
    <t>HVSPLIT-102-24-05-01-246</t>
  </si>
  <si>
    <t>2023-05-03-1021SP806-01 (SPLIT)</t>
  </si>
  <si>
    <t>1S11T5S16200GM041B1S</t>
  </si>
  <si>
    <t>MA. THERESA R. RODDRIGUEZ</t>
  </si>
  <si>
    <t>PCAO</t>
  </si>
  <si>
    <t>HVSPLIT-102-24-05-01-247</t>
  </si>
  <si>
    <t>2023-06-01-10202SP61-01</t>
  </si>
  <si>
    <t>GIL BARAL</t>
  </si>
  <si>
    <t>HVSPLIT-102-24-05-01-248</t>
  </si>
  <si>
    <t>2023-05-03-1021SP807-01 (SPLIT)</t>
  </si>
  <si>
    <t>1S11T5S16200GM041AXL</t>
  </si>
  <si>
    <t>JELOMEH YALONG-LICLIC</t>
  </si>
  <si>
    <t>HVSPLIT-102-24-05-01-249</t>
  </si>
  <si>
    <t>FINANCE SUPPORT STAFF</t>
  </si>
  <si>
    <t>2023-06-01-10202SP62-01</t>
  </si>
  <si>
    <t>MANUEL LUIS SEDANO</t>
  </si>
  <si>
    <t>HVSPLIT-102-24-05-01-250</t>
  </si>
  <si>
    <t>2023-05-03-1021SP808-01 (SPLIT)</t>
  </si>
  <si>
    <t>1S11T5S16200GM041B7D</t>
  </si>
  <si>
    <t>MARITES C. BAUTISTA</t>
  </si>
  <si>
    <t>HVSPLIT-102-24-05-01-251</t>
  </si>
  <si>
    <t>ADMIN SUPPORT STAFF</t>
  </si>
  <si>
    <t>2023-06-01-10202SP63-01</t>
  </si>
  <si>
    <t>CARLO MAGNO C. PADUA</t>
  </si>
  <si>
    <t>2023-1124-01-09</t>
  </si>
  <si>
    <t>CARLO MAGNO PADUA</t>
  </si>
  <si>
    <t>DARMO AMULUNG</t>
  </si>
  <si>
    <t>HVSPLIT-102-24-05-01-252</t>
  </si>
  <si>
    <t>2023-05-03-1021SP809-01 (SPLIT)</t>
  </si>
  <si>
    <t>1S11T5S16200GM041AXK</t>
  </si>
  <si>
    <t>ISABEL S. AZURIN</t>
  </si>
  <si>
    <t>PROCESSOR SUPPORT STAFF</t>
  </si>
  <si>
    <t>2023-06-01-10202SP64-01</t>
  </si>
  <si>
    <t>RAMON L. BAYLON</t>
  </si>
  <si>
    <t>HVSPLIT-102-24-05-01-528</t>
  </si>
  <si>
    <t>2024-0104-01-05</t>
  </si>
  <si>
    <t>DARMO PAMPLONA</t>
  </si>
  <si>
    <t>2023-05-03-1021SP810-01 (SPLIT)</t>
  </si>
  <si>
    <t>1S11T5S16200GM041AQ1</t>
  </si>
  <si>
    <t>2023-06-01-10202SP65-01</t>
  </si>
  <si>
    <t>REYNAN GARINGGAN</t>
  </si>
  <si>
    <t>HVSPLIT-102-24-05-01-529</t>
  </si>
  <si>
    <t>2023-05-03-1021SP811-01 (SPLIT)</t>
  </si>
  <si>
    <t>1S11T5S16200GM04161E</t>
  </si>
  <si>
    <t>MIS</t>
  </si>
  <si>
    <t>2023-05-03-1021SP812-01 (SPLIT)</t>
  </si>
  <si>
    <t>1S11T5S16200GM041B1C</t>
  </si>
  <si>
    <t>2023-06-01-10201SP55-01</t>
  </si>
  <si>
    <t>NORA BUENCAMINO</t>
  </si>
  <si>
    <t>SNC 1136</t>
  </si>
  <si>
    <t>BUDGET</t>
  </si>
  <si>
    <t>ELEUTERIO T. DE LEON JR.</t>
  </si>
  <si>
    <t>HVSPLIT-102-24-05-01-530</t>
  </si>
  <si>
    <t>2024-01-SP-02</t>
  </si>
  <si>
    <t>DARPO CAGAYAN</t>
  </si>
  <si>
    <t>2023-05-03-1021SP813-01 (SPLIT)</t>
  </si>
  <si>
    <t>1S11T5S16200GM041ANH</t>
  </si>
  <si>
    <t>HVSPLIT-102-24-05-01-531</t>
  </si>
  <si>
    <t>JOSIE P. CORONEL</t>
  </si>
  <si>
    <t>2023-06-01-10201SP75-01</t>
  </si>
  <si>
    <t>SNC 1164</t>
  </si>
  <si>
    <t>2023-05-03-1021SP814-01 (SPLIT)</t>
  </si>
  <si>
    <t>1S11T5S16200GM041B6Z</t>
  </si>
  <si>
    <t>LUCILA P. VILLARAIZ</t>
  </si>
  <si>
    <t>2023-06-013</t>
  </si>
  <si>
    <t>2023-06-01-10202SP93-01</t>
  </si>
  <si>
    <t>₱ 142,100.00</t>
  </si>
  <si>
    <t>2023-05-03-1021SP815-01 (SPLIT)</t>
  </si>
  <si>
    <t>1S11T5S16200GM041ANQ</t>
  </si>
  <si>
    <t>2024-05-03-10202SP026-01</t>
  </si>
  <si>
    <t>2025-01-0004</t>
  </si>
  <si>
    <t>k24003n0163072</t>
  </si>
  <si>
    <t>2023-06-014</t>
  </si>
  <si>
    <t>PROCUREMENT SUPPORT STAFF</t>
  </si>
  <si>
    <t>2023-05-03-10201SP319-01</t>
  </si>
  <si>
    <t>4CE301DSNX</t>
  </si>
  <si>
    <t>2023-06-01-10202SP94-01</t>
  </si>
  <si>
    <t>ROLDAN G. MAXIMO</t>
  </si>
  <si>
    <t>MIS-LCMS</t>
  </si>
  <si>
    <t>2024-09-0016</t>
  </si>
  <si>
    <t>2023-05-03-10201SP320-01</t>
  </si>
  <si>
    <t>2023-06-01-10202SP95-01</t>
  </si>
  <si>
    <t>2023-09-0015</t>
  </si>
  <si>
    <t>2023-05-03-10201SP146-01 (SPLIT)</t>
  </si>
  <si>
    <t>2024-05-03-10202SP027-01</t>
  </si>
  <si>
    <t>k24003n0163081</t>
  </si>
  <si>
    <t>2023-06-01-10202SP96-01</t>
  </si>
  <si>
    <t>2023-05-03-10201SP147-01 (SPLIT)</t>
  </si>
  <si>
    <t>CPMO - GOSIM</t>
  </si>
  <si>
    <t>RENE C. PULIDO</t>
  </si>
  <si>
    <t>SHERIFF</t>
  </si>
  <si>
    <t>2023-09-0016</t>
  </si>
  <si>
    <t>2023-05-03-10202SP47-01 (SPLIT)</t>
  </si>
  <si>
    <t>CHIDETTE AIRA C. NATINGA</t>
  </si>
  <si>
    <t>2023-11-001</t>
  </si>
  <si>
    <t>2023-06-01-10202SP97-01</t>
  </si>
  <si>
    <t>MIEL GERONN ANGELO M. ANDRES</t>
  </si>
  <si>
    <t>2024-05-03-10202SP028-01</t>
  </si>
  <si>
    <t>2024-01-0001</t>
  </si>
  <si>
    <t>k24003n0163088</t>
  </si>
  <si>
    <t>2022-05-02-10202SP-24-01</t>
  </si>
  <si>
    <t>2022-05-001</t>
  </si>
  <si>
    <t>2024-05-03-10202SP029-01</t>
  </si>
  <si>
    <t>k24003n0163093</t>
  </si>
  <si>
    <t>2023-06-01-10201SP57-01</t>
  </si>
  <si>
    <t>SNC 1138</t>
  </si>
  <si>
    <t>HV-SPLIT-102-24-05-26</t>
  </si>
  <si>
    <t>AO IV/ GSO HEAD</t>
  </si>
  <si>
    <t>E78947L3H871167</t>
  </si>
  <si>
    <t>2023-10-0022A</t>
  </si>
  <si>
    <t>Antonio B. Sanchez</t>
  </si>
  <si>
    <t>2024-05-03-10202SP030-01</t>
  </si>
  <si>
    <t>k24003n0163111</t>
  </si>
  <si>
    <t>PARPO Office</t>
  </si>
  <si>
    <t>CPMO - CHERI</t>
  </si>
  <si>
    <t>Nueva Ecija</t>
  </si>
  <si>
    <t>2024-05-03-10202SP031-01</t>
  </si>
  <si>
    <t>2023-05-03-10201SP816-01</t>
  </si>
  <si>
    <t>1S11T5S16200GM041B7J</t>
  </si>
  <si>
    <t>ADSERV</t>
  </si>
  <si>
    <t>Genoveva U. Taplacido</t>
  </si>
  <si>
    <t>2023-06-01-10201SP54-01</t>
  </si>
  <si>
    <t>CARPO-LTS Division and conc. Parcelization Component and FVT Coordinator</t>
  </si>
  <si>
    <t>2023-05-009</t>
  </si>
  <si>
    <t>SNC1116</t>
  </si>
  <si>
    <t>Lorna Calderon</t>
  </si>
  <si>
    <t>2024-05-03-10202SP032-01</t>
  </si>
  <si>
    <t>Printer User
 Roel Dagdag</t>
  </si>
  <si>
    <t>MAJOR REPAIR</t>
  </si>
  <si>
    <t>2023-05-03-10201SP817-01</t>
  </si>
  <si>
    <t>1S11T5S16200GM041B71</t>
  </si>
  <si>
    <t>2023-06-01-10201SP56-01</t>
  </si>
  <si>
    <t>2024-05-03-10202SP033-01</t>
  </si>
  <si>
    <t>SNC1058</t>
  </si>
  <si>
    <t>k24003n0163187</t>
  </si>
  <si>
    <t>ATTY. RAUL C.LALUAN</t>
  </si>
  <si>
    <t>2023-05-010</t>
  </si>
  <si>
    <t>CPMO - ATTY ENZO</t>
  </si>
  <si>
    <t>Engr. Froilan T. Laugo</t>
  </si>
  <si>
    <t>2024-05-03-10202SP034-01</t>
  </si>
  <si>
    <t>k24003n0163066</t>
  </si>
  <si>
    <t>2023-05-03-10201SP818-01</t>
  </si>
  <si>
    <t>CPMO - LEGAZPI</t>
  </si>
  <si>
    <t>1S11T5S16200GM02ZT9B</t>
  </si>
  <si>
    <t>Marivie C. Sebastian</t>
  </si>
  <si>
    <t>2023-06-01-10202SP66-01</t>
  </si>
  <si>
    <t>Chief, Planning Section/Project SPLIT M&amp;E Coordinator</t>
  </si>
  <si>
    <t>NORMAN R VALLEJO</t>
  </si>
  <si>
    <t>2023-05-011</t>
  </si>
  <si>
    <t>DARMO-MALLIG</t>
  </si>
  <si>
    <t>2024-05-03-10202SP035-01</t>
  </si>
  <si>
    <t>k24003n0163090</t>
  </si>
  <si>
    <t>2023-05-03-10201SP819-01</t>
  </si>
  <si>
    <t>1S11T5S16200GM041AW1</t>
  </si>
  <si>
    <t>Rio S. Cortez</t>
  </si>
  <si>
    <t>SARPT and conc. Project SPLIT MIS Coordinator</t>
  </si>
  <si>
    <t>2023-05-012</t>
  </si>
  <si>
    <t>2024-05-03-10202SP036-01</t>
  </si>
  <si>
    <t>2023-06-01-10202SP67-01</t>
  </si>
  <si>
    <t>Jethro Burayag</t>
  </si>
  <si>
    <t>k24003n0163110</t>
  </si>
  <si>
    <t>TERSO M DELOS SANTOS</t>
  </si>
  <si>
    <t>CPMO - IT</t>
  </si>
  <si>
    <t>Printer user
 Ferdinand Nolasco</t>
  </si>
  <si>
    <t>DARMO-BENITO SOLIVE</t>
  </si>
  <si>
    <t>2023-05-03-10201SP820-01</t>
  </si>
  <si>
    <t>1S11T5S16200GM041AXC</t>
  </si>
  <si>
    <t>Engr. Alvin L. Licuanan</t>
  </si>
  <si>
    <t>2024-05-03-10202SP037-01</t>
  </si>
  <si>
    <t>Chief, Survey Section/LRA/LMS/ROD Coordinator</t>
  </si>
  <si>
    <t>k24003n0163129</t>
  </si>
  <si>
    <t>CPMO - RAVANCHO</t>
  </si>
  <si>
    <t>2023-06-01-10202SP68-01</t>
  </si>
  <si>
    <t>PONCIANO C PIMENTEL</t>
  </si>
  <si>
    <t>2023-05-03-10201SP821-01</t>
  </si>
  <si>
    <t>2024-05-03-10202SP038-01</t>
  </si>
  <si>
    <t>1S11T5S16200GM041AST</t>
  </si>
  <si>
    <t>CARPO for PBD/Project SPLIT ESS Coordinator</t>
  </si>
  <si>
    <t xml:space="preserve">CPMO - BALA </t>
  </si>
  <si>
    <t>Roel Dagdag</t>
  </si>
  <si>
    <t>Printer User 
 Jewel Chan</t>
  </si>
  <si>
    <t>2023-06-01-10202SP69-01</t>
  </si>
  <si>
    <t>RYAN JOEL M GABRIEL</t>
  </si>
  <si>
    <t>2024-05-03-10202SP040-01</t>
  </si>
  <si>
    <t>2023-06-019</t>
  </si>
  <si>
    <t>DARMO-SAN AGUSTIN</t>
  </si>
  <si>
    <t>2023-05-03-10201SP822-01</t>
  </si>
  <si>
    <t>1S11T5S16200GM02ZT9P</t>
  </si>
  <si>
    <t>2023-05-015</t>
  </si>
  <si>
    <t>Julito Asuncion</t>
  </si>
  <si>
    <t>2024-05-03-10202SP042-01</t>
  </si>
  <si>
    <t>Printer User
 Rhenz A. Amoroso</t>
  </si>
  <si>
    <t>DARRO 4A</t>
  </si>
  <si>
    <t>2023-06-01-10202SP70-01</t>
  </si>
  <si>
    <t>2023-05-03-10201SP823-01</t>
  </si>
  <si>
    <t>1S11T5S16200GM041AXF</t>
  </si>
  <si>
    <t>DENNIS C PEREZ</t>
  </si>
  <si>
    <t>Engr. Dina DG. Gonzalez</t>
  </si>
  <si>
    <t>CAO /Project SPLIT Admin. and Finance Coordinator</t>
  </si>
  <si>
    <t>2023-05-016</t>
  </si>
  <si>
    <t>DARMO ROXAS</t>
  </si>
  <si>
    <t>Recelyn E. De Celis</t>
  </si>
  <si>
    <t>Printer User
 Lorna Calderon</t>
  </si>
  <si>
    <t>2024-05-03-10202SP043-01</t>
  </si>
  <si>
    <t>2023-05-03-10201SP824-01</t>
  </si>
  <si>
    <t>1S11T5S16200GM02ZT83</t>
  </si>
  <si>
    <t>Project SPLIT Budget Officer</t>
  </si>
  <si>
    <t>2023-06-01-10202SP71-01</t>
  </si>
  <si>
    <t>2023-05-017</t>
  </si>
  <si>
    <t>NELSON A RAMOS JR</t>
  </si>
  <si>
    <t>Rhitz Chioco</t>
  </si>
  <si>
    <t>2024-05-03-10202SP045-01</t>
  </si>
  <si>
    <t>2023-05-03-10201SP825-01</t>
  </si>
  <si>
    <t>1S11T5S16200GM02ZT70</t>
  </si>
  <si>
    <t>Ricardo Dela Cruz</t>
  </si>
  <si>
    <t>2024-05-03-10202SP050-01</t>
  </si>
  <si>
    <t>Printer User
 Jennifer Aquino</t>
  </si>
  <si>
    <t>2023-06-01-10202SP72-01</t>
  </si>
  <si>
    <t>k24003n0163068</t>
  </si>
  <si>
    <t>ARIES G MALLANAO</t>
  </si>
  <si>
    <t>DARMO CABAGANISTA MARIA</t>
  </si>
  <si>
    <t>2023-05-03-10201SP826-01</t>
  </si>
  <si>
    <t>1S11T5S16200GM041AXR</t>
  </si>
  <si>
    <t>Engr. Ryan S. Bulanhagui</t>
  </si>
  <si>
    <t>2024-05-03-10202SP051-01</t>
  </si>
  <si>
    <t>Patricia Llana P. Licuanan</t>
  </si>
  <si>
    <t>2023-06-01-10202SP73-01</t>
  </si>
  <si>
    <t>anne llobrera</t>
  </si>
  <si>
    <t>OSEC / CPMO</t>
  </si>
  <si>
    <t>2023-05-03-10201SP827-01</t>
  </si>
  <si>
    <t>2023-06-024</t>
  </si>
  <si>
    <t>1S11T5S16200GM041AXS</t>
  </si>
  <si>
    <t>Engr. Imelda G. Sioson</t>
  </si>
  <si>
    <t>Chief, Gen. Services/Project SPLIT Procurement Coordinator</t>
  </si>
  <si>
    <t>2024-05-03-10202SP052-01</t>
  </si>
  <si>
    <t>Printer User
 Alfredo A. Bondoc</t>
  </si>
  <si>
    <t>k24003n0163096</t>
  </si>
  <si>
    <t>2023-05-03-10201SP828-01</t>
  </si>
  <si>
    <t>2023-06-01-10202SP74-01</t>
  </si>
  <si>
    <t>1S11T5S16200GM02ZT6Z</t>
  </si>
  <si>
    <t>DARIGOLD I PASCUA</t>
  </si>
  <si>
    <t>Atty. Alvin B. Soriano</t>
  </si>
  <si>
    <t>Chief, Legal Division/Project SPLIT Legal Coordinator</t>
  </si>
  <si>
    <t>2023-05-021</t>
  </si>
  <si>
    <t>DARMO ECHAGUE</t>
  </si>
  <si>
    <t>Allan San edro</t>
  </si>
  <si>
    <t>2024-05-03-10202SP053-01</t>
  </si>
  <si>
    <t>2023-05-03-10201SP829-01</t>
  </si>
  <si>
    <t>k24003n0163061</t>
  </si>
  <si>
    <t>1S11T5S16200GM04182X</t>
  </si>
  <si>
    <t>Simeona C. Tejada</t>
  </si>
  <si>
    <t>Administrative Officer IV/ESS Staff</t>
  </si>
  <si>
    <t>2023-06-01-10202SP75-01</t>
  </si>
  <si>
    <t>2023-05-022</t>
  </si>
  <si>
    <t>CHOY KENNETH S ANDRES</t>
  </si>
  <si>
    <t>DARMO GAMU BURGOS</t>
  </si>
  <si>
    <t>Printer User 
 Joel D. Reyes</t>
  </si>
  <si>
    <t>2024-05-03-10202SP054-01</t>
  </si>
  <si>
    <t>2023-05-03-10201SP321-01</t>
  </si>
  <si>
    <t>4CE301DH6M</t>
  </si>
  <si>
    <t>2023-09-031</t>
  </si>
  <si>
    <t>Patrick Diaz</t>
  </si>
  <si>
    <t>2023-06-01-10202SP76-01</t>
  </si>
  <si>
    <t>ROGELIO G CORTEZ JR</t>
  </si>
  <si>
    <t>2024-05-03-10202SP057-01</t>
  </si>
  <si>
    <t>Printer User
 Jo-Ann Reyes</t>
  </si>
  <si>
    <t>k24003n0163095</t>
  </si>
  <si>
    <t>SURVEY</t>
  </si>
  <si>
    <t>2023-05-03-10201SP322-01</t>
  </si>
  <si>
    <t>4CE301DH5D</t>
  </si>
  <si>
    <t>2023-09-032</t>
  </si>
  <si>
    <t>Jennifer Aquino</t>
  </si>
  <si>
    <t>2024-05-03-10202SP058-01</t>
  </si>
  <si>
    <t>Printer User
 Rona Tracy Ann D. Mumar</t>
  </si>
  <si>
    <t xml:space="preserve">AFOO - ATTY DANICA </t>
  </si>
  <si>
    <t>2023-06-01-10202SP77-01</t>
  </si>
  <si>
    <t>MARK ANTHONY B ROBLES</t>
  </si>
  <si>
    <t>2023-05-03-10201SP323-01</t>
  </si>
  <si>
    <t>4CE301DH47</t>
  </si>
  <si>
    <t>2024-05-03-10202SP059-01</t>
  </si>
  <si>
    <t>2023-09-033</t>
  </si>
  <si>
    <t>k24003n016303120</t>
  </si>
  <si>
    <t>Rhona Tracy Ann D. Mumar</t>
  </si>
  <si>
    <t>Printer User
 Jasmine Caragay</t>
  </si>
  <si>
    <t>2023-05-03-10201SP324-01</t>
  </si>
  <si>
    <t>4CE301DH4J</t>
  </si>
  <si>
    <t>CARPO LTS/Parcelization Component and FVT Coordinator</t>
  </si>
  <si>
    <t>2024-05-03-10202SP060-01</t>
  </si>
  <si>
    <t>2023-09-034</t>
  </si>
  <si>
    <t>2023-06-01-10202SP78-01</t>
  </si>
  <si>
    <t>Engr. John Vincent Veneracion</t>
  </si>
  <si>
    <t>EDGAR P NICOLAS JR</t>
  </si>
  <si>
    <t>DARMO JONES</t>
  </si>
  <si>
    <t>2023-05-03-10201SP325-01</t>
  </si>
  <si>
    <t>4CE301DH7K</t>
  </si>
  <si>
    <t>2024-05-03-10202SP061-01</t>
  </si>
  <si>
    <t>k24003n0163084</t>
  </si>
  <si>
    <t>2023-09-035</t>
  </si>
  <si>
    <t>Michelle Ann E. Beley</t>
  </si>
  <si>
    <t>CPMO - ESS</t>
  </si>
  <si>
    <t>2023-05-03-10202SP147-01</t>
  </si>
  <si>
    <t>2023-06-01-10202SP79-01</t>
  </si>
  <si>
    <t>2024-05-03-10202SP062-01</t>
  </si>
  <si>
    <t>EMIELOU L LEAL</t>
  </si>
  <si>
    <t>2023-09-028</t>
  </si>
  <si>
    <t>DARMO QUEZON</t>
  </si>
  <si>
    <t>bradley</t>
  </si>
  <si>
    <t>2023-05-03-10202SP149-01</t>
  </si>
  <si>
    <t>2023-09-029</t>
  </si>
  <si>
    <t>2023-05-03-10202SP150-01</t>
  </si>
  <si>
    <t>2023-06-01-10202SP80-01</t>
  </si>
  <si>
    <t>2023-09-030</t>
  </si>
  <si>
    <t>CBTA Support Staff</t>
  </si>
  <si>
    <t>2023-06-020</t>
  </si>
  <si>
    <t>2024-05-03-10202SP063-01</t>
  </si>
  <si>
    <t>k24003n0163131</t>
  </si>
  <si>
    <t>DARMO TAMAUINI</t>
  </si>
  <si>
    <t>2023-05-03-10202SP25-01</t>
  </si>
  <si>
    <t>Engr.Annamarie R. Guillermo</t>
  </si>
  <si>
    <t>OIC-PARPO I</t>
  </si>
  <si>
    <t>2023-11-038</t>
  </si>
  <si>
    <t>Christian Victor C. Cuaresma</t>
  </si>
  <si>
    <t>2024-05-03-10202SP064-01</t>
  </si>
  <si>
    <t>CARPO FALCON</t>
  </si>
  <si>
    <t>2023-06-01-10202SP81-01</t>
  </si>
  <si>
    <t>2023-05-14-10201SP25-01</t>
  </si>
  <si>
    <t>FERDINAND A MANUEL</t>
  </si>
  <si>
    <t>ENGR ALVIN LICUANAN</t>
  </si>
  <si>
    <t>2024-05-03-10202SP065-01</t>
  </si>
  <si>
    <t>DENR/LRA SURVEY COORDINATOR</t>
  </si>
  <si>
    <t>k24003n0163125</t>
  </si>
  <si>
    <t>IKKO MARIANO</t>
  </si>
  <si>
    <t>2024-05-03-10202SP066-01</t>
  </si>
  <si>
    <t>k24003n0163121</t>
  </si>
  <si>
    <t>2023-06-01-10202SP82-01</t>
  </si>
  <si>
    <t>MICHOLE ABAN</t>
  </si>
  <si>
    <t>IRENE B CORPUS</t>
  </si>
  <si>
    <t>ARPO</t>
  </si>
  <si>
    <t>2023-03-027</t>
  </si>
  <si>
    <t>2024-05-03-10202SP067-01</t>
  </si>
  <si>
    <t>k24003n0163122</t>
  </si>
  <si>
    <t>2023-06-01-10202SP83-01</t>
  </si>
  <si>
    <t>JHOVANY L SEMANA</t>
  </si>
  <si>
    <t>2023-06-017</t>
  </si>
  <si>
    <t>DIR. ALFILER</t>
  </si>
  <si>
    <t>SAP10730051</t>
  </si>
  <si>
    <t>2023-06-01-10202SP84-01</t>
  </si>
  <si>
    <t>MARK CHRISTIAN S TAGUIBAO</t>
  </si>
  <si>
    <t>2023-06-021</t>
  </si>
  <si>
    <t>DARMO SAN PABLO</t>
  </si>
  <si>
    <t>2024-05-03-10202SP068-01</t>
  </si>
  <si>
    <t>k24003n0163099</t>
  </si>
  <si>
    <t>SAP10730055</t>
  </si>
  <si>
    <t>2024-05-03-10202SP069-01</t>
  </si>
  <si>
    <t>k24003n0163062</t>
  </si>
  <si>
    <t>SAP10730082</t>
  </si>
  <si>
    <t>2023-06-01-10202SP85-01</t>
  </si>
  <si>
    <t>2024-05-03-10202SP070-01</t>
  </si>
  <si>
    <t>SALCEDO R PASCUAL</t>
  </si>
  <si>
    <t>k24003n0163108</t>
  </si>
  <si>
    <t>SAP10730064</t>
  </si>
  <si>
    <t>2023-06-01-10202SP86-01</t>
  </si>
  <si>
    <t>2024-05-03-10202SP071-01</t>
  </si>
  <si>
    <t>k24003n0163102</t>
  </si>
  <si>
    <t>2023-06-025</t>
  </si>
  <si>
    <t>2024-05-03-10202SP073-01</t>
  </si>
  <si>
    <t>SAP10730020</t>
  </si>
  <si>
    <t>k24003n0163107</t>
  </si>
  <si>
    <t>2023-06-01-10202SP87-01</t>
  </si>
  <si>
    <t>ELMER CAGURANGAN</t>
  </si>
  <si>
    <t>2023-06-018</t>
  </si>
  <si>
    <t>2024-05-03-10202SP074-01</t>
  </si>
  <si>
    <t>DARMO NAGUILAN</t>
  </si>
  <si>
    <t>k24003n0163098</t>
  </si>
  <si>
    <t>SAP10730039</t>
  </si>
  <si>
    <t>2023-06-01-10202SP88-01</t>
  </si>
  <si>
    <t>2024-05-03-10202SP075-01</t>
  </si>
  <si>
    <t>k24003n0163109</t>
  </si>
  <si>
    <t>DIR JIMMY SANTIAGO</t>
  </si>
  <si>
    <t>DARMO ANGADANAN</t>
  </si>
  <si>
    <t>SAP10730010</t>
  </si>
  <si>
    <t>2024-05-03-10202SP076-01</t>
  </si>
  <si>
    <t>k24003n0163118</t>
  </si>
  <si>
    <t>2023-06-01-10202SP89-01</t>
  </si>
  <si>
    <t>2022-05-02-10202SP-23-01</t>
  </si>
  <si>
    <t>RNK2700197</t>
  </si>
  <si>
    <t>ENGR IMELDA G SIOSON</t>
  </si>
  <si>
    <t>CHIEF GS</t>
  </si>
  <si>
    <t>2022-12-001</t>
  </si>
  <si>
    <t>DARPO NUEVA ECIJA</t>
  </si>
  <si>
    <t>2023-06-01-10202SP90-01</t>
  </si>
  <si>
    <t>2023-06-01-10201SP36-01</t>
  </si>
  <si>
    <t>2023-06-027</t>
  </si>
  <si>
    <t>SNC 1119</t>
  </si>
  <si>
    <t>HV-SPLIT-102-24-05-04-27</t>
  </si>
  <si>
    <t>E78947L3H871148</t>
  </si>
  <si>
    <t>2023-10-038</t>
  </si>
  <si>
    <t>Eden B. Ponio</t>
  </si>
  <si>
    <t>LTS - Survey Section</t>
  </si>
  <si>
    <t>2023-06-01-10202SP91-01</t>
  </si>
  <si>
    <t>Pampanga</t>
  </si>
  <si>
    <t>2023-06-023</t>
  </si>
  <si>
    <t>2023-05-03-10201SP830-01</t>
  </si>
  <si>
    <t>1S11T5S16200GM041ANR</t>
  </si>
  <si>
    <t>ROSALIE C. MALLARI</t>
  </si>
  <si>
    <t>102-2023-05-003</t>
  </si>
  <si>
    <t>2023-06-01-10202SP92-01</t>
  </si>
  <si>
    <t>2023-05-03-10201SP831-01</t>
  </si>
  <si>
    <t>1S11T5S16200GM041AP4</t>
  </si>
  <si>
    <t>TERENCE PINEDA</t>
  </si>
  <si>
    <t>102-2023-05-004</t>
  </si>
  <si>
    <t>2023-06-01-10202SP98-01</t>
  </si>
  <si>
    <t>HONOREX A. DE VERA JR.</t>
  </si>
  <si>
    <t>2023-05-03-10201SP832-01</t>
  </si>
  <si>
    <t>1S11T5S16200GM041B72</t>
  </si>
  <si>
    <t>ENCARNITA L. PELAYO</t>
  </si>
  <si>
    <t>2023-03-005</t>
  </si>
  <si>
    <t>AST. STAT.</t>
  </si>
  <si>
    <t>102-2023-05-005</t>
  </si>
  <si>
    <t>2023-06-01-10202SP99-01</t>
  </si>
  <si>
    <t>ENGR. SHERWIN CHARLIMAGNE OBADO</t>
  </si>
  <si>
    <t>2023-05-03-10201SP833-01</t>
  </si>
  <si>
    <t>1S11T5S16200GM041B70</t>
  </si>
  <si>
    <t>2023-03-006</t>
  </si>
  <si>
    <t>FRANCIS NEIL T. PEDRALVEZ</t>
  </si>
  <si>
    <t>102-2023-06-006</t>
  </si>
  <si>
    <t>2023-05-03-10201SP834-01</t>
  </si>
  <si>
    <t>1S11T5S16200GM04161D</t>
  </si>
  <si>
    <t>2023-06-01-10202SP100-01</t>
  </si>
  <si>
    <t>LUIGI B. REYES</t>
  </si>
  <si>
    <t>FREDERICK P. MANLAPAZ</t>
  </si>
  <si>
    <t>102-2023-06-007</t>
  </si>
  <si>
    <t>2023-03-007</t>
  </si>
  <si>
    <t>2023-06-01-10202SP101-01</t>
  </si>
  <si>
    <t>2023-05-03-10201SP835-01</t>
  </si>
  <si>
    <t>1S11T5S16200GM041B7C</t>
  </si>
  <si>
    <t>ATTY. Neil Marius Argel</t>
  </si>
  <si>
    <t>2023-03-008</t>
  </si>
  <si>
    <t>CHIEF LEGAL</t>
  </si>
  <si>
    <t>102-2023-06-008</t>
  </si>
  <si>
    <t>Printer</t>
  </si>
  <si>
    <t>2023-05-03-10201SP836-01</t>
  </si>
  <si>
    <t>2023-06-01-10202SP102-01</t>
  </si>
  <si>
    <t>1S11T5S16200GM02ZT8Z</t>
  </si>
  <si>
    <t>ROLAND NARCISO</t>
  </si>
  <si>
    <t>DONNA A. VITUG</t>
  </si>
  <si>
    <t>Driver</t>
  </si>
  <si>
    <t>2023-03-009</t>
  </si>
  <si>
    <t>102-2023-08-009</t>
  </si>
  <si>
    <t>2023-05-03-10201SP837-01</t>
  </si>
  <si>
    <t>1S11T5S16200GM02ZT8B</t>
  </si>
  <si>
    <t>REY JULIUS DOMINIQUE F. LAXA</t>
  </si>
  <si>
    <t>2023-06-01-10202SP103-01</t>
  </si>
  <si>
    <t>102-2023-08-010</t>
  </si>
  <si>
    <t>2023-03-010</t>
  </si>
  <si>
    <t>2023-05-03-10201SP838-01</t>
  </si>
  <si>
    <t>1S11T5S16200GM041ASS</t>
  </si>
  <si>
    <t>102-2023-08-011</t>
  </si>
  <si>
    <t>2023-06-01-10202SP104-01</t>
  </si>
  <si>
    <t>RONNIEL CALIMLIM</t>
  </si>
  <si>
    <t>2023-03-011</t>
  </si>
  <si>
    <t>2023-05-03-10201SP839-01</t>
  </si>
  <si>
    <t>1S11T5S16200GM02ZT7S</t>
  </si>
  <si>
    <t>SHIELA FE B. ALOG</t>
  </si>
  <si>
    <t>102-2023-08-012</t>
  </si>
  <si>
    <t>2023-05-03-10201SP840-01</t>
  </si>
  <si>
    <t>1S11T5S16200GM02ZT8L</t>
  </si>
  <si>
    <t>LESTER OWEN L. HERRERA</t>
  </si>
  <si>
    <t>A.A VI</t>
  </si>
  <si>
    <t>102-2023-08-013</t>
  </si>
  <si>
    <t>2023-06-01-10202SP105-01</t>
  </si>
  <si>
    <t>JOEL TABOY</t>
  </si>
  <si>
    <t>2023-03-012</t>
  </si>
  <si>
    <t>2023-05-03-10201SP841-01</t>
  </si>
  <si>
    <t>1S11T5S16200GM02ZT8Y</t>
  </si>
  <si>
    <t>MARISSA R. NAGUN</t>
  </si>
  <si>
    <t>102-2023-08-014</t>
  </si>
  <si>
    <t>2023-05-03-10201SP842-01</t>
  </si>
  <si>
    <t>1S11T5S16200GM02ZT73</t>
  </si>
  <si>
    <t>102-2023-08-015</t>
  </si>
  <si>
    <t>2023-05-03-10201SP843-01</t>
  </si>
  <si>
    <t>1S11T5S16200GM0415YV</t>
  </si>
  <si>
    <t>102-2023-08-016</t>
  </si>
  <si>
    <t>2023-06-01-10202SP106-01</t>
  </si>
  <si>
    <t>2023-05-03-10201SP326-01</t>
  </si>
  <si>
    <t>4CE301DH67</t>
  </si>
  <si>
    <t>PAUL MICHAEL A. OFECIAR</t>
  </si>
  <si>
    <t>Ma.ANTONIETA G. APOSTOL</t>
  </si>
  <si>
    <t>AO III</t>
  </si>
  <si>
    <t>102-2023-09-018</t>
  </si>
  <si>
    <t>2023-03-013</t>
  </si>
  <si>
    <t>2023-05-03-10201SP327-01</t>
  </si>
  <si>
    <t>4CE301DSR7</t>
  </si>
  <si>
    <t>102-2023-09-019</t>
  </si>
  <si>
    <t>Aaron Lobo</t>
  </si>
  <si>
    <t>Laptop – (ACER Extensa EX215-55G i7)</t>
  </si>
  <si>
    <t>2023-05-03-10202SP151-01</t>
  </si>
  <si>
    <t>102-2023-09-017</t>
  </si>
  <si>
    <t>LUIGI REYES</t>
  </si>
  <si>
    <t>2023-06-01-10201SP58-01</t>
  </si>
  <si>
    <t>SNC 1114</t>
  </si>
  <si>
    <t>2024-01-003</t>
  </si>
  <si>
    <t>2023-05-03-10202SP24-01</t>
  </si>
  <si>
    <t>JEAN MARC SEDANO</t>
  </si>
  <si>
    <t>102-2024-01-001</t>
  </si>
  <si>
    <t>2022-05-02-10202SP-25-01</t>
  </si>
  <si>
    <t>CHRISTIAN G. DELA CRUZ</t>
  </si>
  <si>
    <t>102-2023-08-001</t>
  </si>
  <si>
    <t>2023-06-01-10201SP28-01</t>
  </si>
  <si>
    <t>HV-SPLIT-102-24-05-28</t>
  </si>
  <si>
    <t>Y2-Z521/SNC 1108</t>
  </si>
  <si>
    <t>E78947K3H658205</t>
  </si>
  <si>
    <t>Marissa R. Nagun</t>
  </si>
  <si>
    <t>RD PRIME</t>
  </si>
  <si>
    <t>Tarlac</t>
  </si>
  <si>
    <t>2023-05-03-10201SP844-01</t>
  </si>
  <si>
    <t>1S11T5S16200GM02ZT9N</t>
  </si>
  <si>
    <t>IMELDA D. VILLANUEVA</t>
  </si>
  <si>
    <t>2023-0001</t>
  </si>
  <si>
    <t>2023-06-01-10201SP20-01</t>
  </si>
  <si>
    <t>DARPO - TARLAC STOD</t>
  </si>
  <si>
    <t>Y3-B130/SNC 1075/NFX 1808</t>
  </si>
  <si>
    <t>2023-09-002MV/007</t>
  </si>
  <si>
    <t>2023-05-03-10201SP845-01</t>
  </si>
  <si>
    <t>1S11T5S16200GM0418CC</t>
  </si>
  <si>
    <t>Julita Dizon</t>
  </si>
  <si>
    <t>Personnel</t>
  </si>
  <si>
    <t>2023-0002</t>
  </si>
  <si>
    <t>Printer and UPS</t>
  </si>
  <si>
    <t>2026-06-01-10201SP027-01</t>
  </si>
  <si>
    <t>2023-05-03-10201SP846-01</t>
  </si>
  <si>
    <t>1S11T5S16200GM0415Z0</t>
  </si>
  <si>
    <t>Alejandro Lim</t>
  </si>
  <si>
    <t>SGA 6659</t>
  </si>
  <si>
    <t>2023-0003</t>
  </si>
  <si>
    <t>Alehandro Lim</t>
  </si>
  <si>
    <t>DARPO - TARLAC DARAB</t>
  </si>
  <si>
    <t>EMMANUEL CHRISTOPHER B. MAGBAYAD</t>
  </si>
  <si>
    <t>2023-05-03-10201SP847-01</t>
  </si>
  <si>
    <t>AA IV</t>
  </si>
  <si>
    <t>1S11T5S16200GM041AQJ</t>
  </si>
  <si>
    <t>JANET S. ALCANTARA</t>
  </si>
  <si>
    <t>2023-0004</t>
  </si>
  <si>
    <t>2023-05-03-10201SP848-01</t>
  </si>
  <si>
    <t>1S11T5S16200GM041AXM</t>
  </si>
  <si>
    <t>Homer Malonzo</t>
  </si>
  <si>
    <t>2023-0005</t>
  </si>
  <si>
    <t>COS-COA</t>
  </si>
  <si>
    <t>2026-06-01-10201SP026-01</t>
  </si>
  <si>
    <t>SGA 6652</t>
  </si>
  <si>
    <t>CPU, UPS, Printer</t>
  </si>
  <si>
    <t>2023-05-03-10201SP849-01</t>
  </si>
  <si>
    <t>1S11T5S16200GM041AXT</t>
  </si>
  <si>
    <t>JOHN DARYL EUSTAQUIO</t>
  </si>
  <si>
    <t>2023-0006</t>
  </si>
  <si>
    <t>2026-06-01-10201SP024-01</t>
  </si>
  <si>
    <t>SGA 6649</t>
  </si>
  <si>
    <t>2023-05-03-10201SP850-01</t>
  </si>
  <si>
    <t>1S11T5S16200GM041B7B</t>
  </si>
  <si>
    <t>ATTY. FERDINAND T. SALLY</t>
  </si>
  <si>
    <t>2023-0007</t>
  </si>
  <si>
    <t>2026-06-01-10201SP022-01</t>
  </si>
  <si>
    <t>DARPO - TARLAC LEGAL</t>
  </si>
  <si>
    <t>SGA 6654</t>
  </si>
  <si>
    <t>2023-05-03-10201SP851-01</t>
  </si>
  <si>
    <t>1S11T5S16200GM041AXP</t>
  </si>
  <si>
    <t>MELODY ACOSTA</t>
  </si>
  <si>
    <t>ARPO I - ESS STAFF</t>
  </si>
  <si>
    <t>2023-0008</t>
  </si>
  <si>
    <t>DARPO - TARLAC PBD</t>
  </si>
  <si>
    <t>2026-06-01-10201SP029-01</t>
  </si>
  <si>
    <t>SGA 6658</t>
  </si>
  <si>
    <t>2023-05-03-10201SP852-01</t>
  </si>
  <si>
    <t>1S11T5S16200GM041AYQ</t>
  </si>
  <si>
    <t>Rolando Justo</t>
  </si>
  <si>
    <t>2023-0009</t>
  </si>
  <si>
    <t>2026-06-01-10201SP030-01</t>
  </si>
  <si>
    <t>SGA 6657</t>
  </si>
  <si>
    <t>2023-05-03-10201SP853-01</t>
  </si>
  <si>
    <t>1S11T5S16200GM02ZT7L</t>
  </si>
  <si>
    <t>ZORAIDA MANGROBANG</t>
  </si>
  <si>
    <t>2023-0010</t>
  </si>
  <si>
    <t>2026-06-01-10201SP023-01</t>
  </si>
  <si>
    <t>SGA 6650</t>
  </si>
  <si>
    <t>2023-05-03-10201SP854-01</t>
  </si>
  <si>
    <t>1S11T5S16200GM02ZT7C</t>
  </si>
  <si>
    <t>ELLEN S. PALARA</t>
  </si>
  <si>
    <t>2023-0011</t>
  </si>
  <si>
    <t>Ligaya Gragasin</t>
  </si>
  <si>
    <t>DARPO - TARLAC</t>
  </si>
  <si>
    <t>2026-06-01-10201SP025-01</t>
  </si>
  <si>
    <t>SGA 6651</t>
  </si>
  <si>
    <t>2023-05-03-10201SP855-01</t>
  </si>
  <si>
    <t>1S11T5S16200GM02ZT71</t>
  </si>
  <si>
    <t>Gemalyn Rabel</t>
  </si>
  <si>
    <t>2023-0012</t>
  </si>
  <si>
    <t>DARPO - TARLAC LTID</t>
  </si>
  <si>
    <t>2026-06-01-10201SP028-01</t>
  </si>
  <si>
    <t>SGA 6660</t>
  </si>
  <si>
    <t>2023-05-03-10201SP856-01</t>
  </si>
  <si>
    <t>1S11T5S16200GM041APS</t>
  </si>
  <si>
    <t>LEA MARIE P. GULLOY</t>
  </si>
  <si>
    <t>PO II</t>
  </si>
  <si>
    <t>2023-0013</t>
  </si>
  <si>
    <t>2023-05-03-10201SP857-01</t>
  </si>
  <si>
    <t>1S11T5S16200GM02ZT9R</t>
  </si>
  <si>
    <t>MIGUEL S. ACOSTA</t>
  </si>
  <si>
    <t>CARPO - LTID</t>
  </si>
  <si>
    <t>2023-0014</t>
  </si>
  <si>
    <t>Monitor</t>
  </si>
  <si>
    <t>2023-05-03-10201SP330-01</t>
  </si>
  <si>
    <t>4CE301DH2Y</t>
  </si>
  <si>
    <t>2023-05-03-10201SP329-01</t>
  </si>
  <si>
    <t>4CE301DH9C</t>
  </si>
  <si>
    <t>2023-05-03-10201SP3298-01</t>
  </si>
  <si>
    <t>4CE301DH4S</t>
  </si>
  <si>
    <t>*** Additional 1 RTK from DARCO 2023-06-14-10201SP16-01</t>
  </si>
  <si>
    <t>2023-05-03-10201SP152-01</t>
  </si>
  <si>
    <t>*** request Training for G.E. on how to use RTK</t>
  </si>
  <si>
    <t>ok</t>
  </si>
  <si>
    <t>2023-05-03-10201SP153-01</t>
  </si>
  <si>
    <t>OIC-MARPO</t>
  </si>
  <si>
    <t>FRANCES ANN CANLAPAN</t>
  </si>
  <si>
    <t>DARPO- TARLAC CLUSTER 1B</t>
  </si>
  <si>
    <t>*** requesting for additional laptops</t>
  </si>
  <si>
    <t>ARPO II/OIC-SARPO/PIO</t>
  </si>
  <si>
    <t>GERALD FONTANOZA</t>
  </si>
  <si>
    <t>2022-05-02-10202SP-26-01</t>
  </si>
  <si>
    <t>*** procured new tablet to replace RTK bundled delapidated tablets</t>
  </si>
  <si>
    <t>2022-10-12S</t>
  </si>
  <si>
    <t>DARPO TARLAC</t>
  </si>
  <si>
    <t>HV-SPLIT-102-24-05-29</t>
  </si>
  <si>
    <t>E78947L3H871225</t>
  </si>
  <si>
    <t>PCAO/Admin and Finance Officer</t>
  </si>
  <si>
    <t>2024-05--14-10201SP07-01</t>
  </si>
  <si>
    <t>BBAK00040</t>
  </si>
  <si>
    <t>2024-05-001</t>
  </si>
  <si>
    <t>HV-SPLIT-102-24-05-01-044</t>
  </si>
  <si>
    <t>MSB0A704S0103758</t>
  </si>
  <si>
    <t>ENGR. RYAN S. BULANHAGUI</t>
  </si>
  <si>
    <t>HV-SPLIT-102-24-05-01-045</t>
  </si>
  <si>
    <t>MSB0A704S0103802</t>
  </si>
  <si>
    <t>AL RYAN T. RAYO</t>
  </si>
  <si>
    <t>HV-SPLIT-102-24-05-01-046</t>
  </si>
  <si>
    <t>MSB0A704S0103819</t>
  </si>
  <si>
    <t>CHRISTIAN P. VILLANUEVA</t>
  </si>
  <si>
    <t>CAO - GSD</t>
  </si>
  <si>
    <t>HV-SPLIT-102-24-05-01-047</t>
  </si>
  <si>
    <t>MSB0A704S0103814</t>
  </si>
  <si>
    <t>MARK CHRISTIAN F. AGUIRRE</t>
  </si>
  <si>
    <t>**1 PTR # were spread from different offices</t>
  </si>
  <si>
    <t>HV-SPLIT-102-24-05-01-264</t>
  </si>
  <si>
    <t>MSB0A704S0103757</t>
  </si>
  <si>
    <t>GENOVEVA U. TALPLACIDO</t>
  </si>
  <si>
    <t>HV-SPLIT-102-24-05-01-265</t>
  </si>
  <si>
    <t>MSB0A704S0103674</t>
  </si>
  <si>
    <t>JAYRALD D. ESPERANZA</t>
  </si>
  <si>
    <t>HV-SPLIT-102-24-05-01-266</t>
  </si>
  <si>
    <t>MSB0A704S0103884</t>
  </si>
  <si>
    <t>RUEL DC. LAYA</t>
  </si>
  <si>
    <t>OIC-MARPO-CLUSTER</t>
  </si>
  <si>
    <t>HV-SPLIT-102-24-05-01-267</t>
  </si>
  <si>
    <t>MSB0A704S0103581</t>
  </si>
  <si>
    <t>CORNELIO S. DOMINGO</t>
  </si>
  <si>
    <t>MARPO-CLUSTER III</t>
  </si>
  <si>
    <t>HV-SPLIT-102-24-05-01-268</t>
  </si>
  <si>
    <t>MSB0A704S0103842</t>
  </si>
  <si>
    <t>HV-SPLIT-102-24-05-01-269</t>
  </si>
  <si>
    <t>MSB0A704S0103953</t>
  </si>
  <si>
    <t>EVELYN M. ANTONIO</t>
  </si>
  <si>
    <t>OIC-MARPO-CLUSTER V</t>
  </si>
  <si>
    <t>HVSPLIT-102-24-05-01-272</t>
  </si>
  <si>
    <t>LADIE LEE S. DELA CRUZ</t>
  </si>
  <si>
    <t>HVSPLIT-102-24-05-01-273</t>
  </si>
  <si>
    <t>Accountant II</t>
  </si>
  <si>
    <t>PARPO' s Office</t>
  </si>
  <si>
    <t>HVSPLIT-102-24-05-01-274</t>
  </si>
  <si>
    <t>GARLAND LEILA A. CUARTEROS</t>
  </si>
  <si>
    <t>HVSPLIT-102-24-05-01-253</t>
  </si>
  <si>
    <t>HVSPLIT-102-24-05-01-254</t>
  </si>
  <si>
    <t>Aaron Josef Nucum</t>
  </si>
  <si>
    <t>CBTA Assistant Lead Coordinator</t>
  </si>
  <si>
    <t>Training</t>
  </si>
  <si>
    <t>HVSPLIT-102-24-05-01-255</t>
  </si>
  <si>
    <t>HVSPLIT-102-24-05-01-256</t>
  </si>
  <si>
    <t>HVSPLIT-102-24-05-01-257</t>
  </si>
  <si>
    <t>Regional ESS Support Staff</t>
  </si>
  <si>
    <t>HVSPLIT-102-24-05-01-170</t>
  </si>
  <si>
    <t>HV-SPLIT-102-24-05-01-271</t>
  </si>
  <si>
    <t>LTID - DARPO</t>
  </si>
  <si>
    <t>HV-SPLIT-102-24-05-01-270</t>
  </si>
  <si>
    <t>STOD - DARPO</t>
  </si>
  <si>
    <t>HVSPLIT 102-24-05-01-258</t>
  </si>
  <si>
    <t>MSBOA704S0103958</t>
  </si>
  <si>
    <t>EDUARDO C. AMPONGET</t>
  </si>
  <si>
    <t>HVSPLIT 102-24-05-01-259</t>
  </si>
  <si>
    <t>MSBOA704S90371690</t>
  </si>
  <si>
    <t>IAN VINCENT O. NATIVIDAD</t>
  </si>
  <si>
    <t>HVSPLIT-102-24-05-01-260</t>
  </si>
  <si>
    <t>Karl John B Santos</t>
  </si>
  <si>
    <t>STOD GS</t>
  </si>
  <si>
    <t>HVSPLIT-102-24-05-01-261</t>
  </si>
  <si>
    <t>Winnie Panganoron</t>
  </si>
  <si>
    <t>HVSPLIT-102-24-05-01-262</t>
  </si>
  <si>
    <t>ATTY. SALVADOR P. RAMOS</t>
  </si>
  <si>
    <t>HVSPLIT-102-24-05-01-263</t>
  </si>
  <si>
    <t>JOHN BRYAN G. BUENAVENTURA</t>
  </si>
  <si>
    <t>MARPO CLUSTER OFFICE</t>
  </si>
  <si>
    <t>2023-06-01-10201SP37-01</t>
  </si>
  <si>
    <t>SNC 1103</t>
  </si>
  <si>
    <t>2023-06-01-10201SP157-01</t>
  </si>
  <si>
    <t>SNC 1212</t>
  </si>
  <si>
    <t>2023-10-031</t>
  </si>
  <si>
    <t>2023-06-01-10201SP142-01</t>
  </si>
  <si>
    <t>SNC 1191</t>
  </si>
  <si>
    <t>2023-10-028</t>
  </si>
  <si>
    <t>2023-06-01-10201SP152-01</t>
  </si>
  <si>
    <t>SNC 1146</t>
  </si>
  <si>
    <t>2023-10-030</t>
  </si>
  <si>
    <t>2023-06-01-10202SP123-01</t>
  </si>
  <si>
    <t>CHIEF SUPPLY</t>
  </si>
  <si>
    <t>2024-01-002</t>
  </si>
  <si>
    <t>2023-06-01-10201SP33-01</t>
  </si>
  <si>
    <t>SNC 1310</t>
  </si>
  <si>
    <t>2023-10-026</t>
  </si>
  <si>
    <t>2023-06-01-10202SP007-01</t>
  </si>
  <si>
    <t>MV FILE NO. 130300001434933</t>
  </si>
  <si>
    <t>2024-07-017</t>
  </si>
  <si>
    <t>2023-06-01-10201SP30-01</t>
  </si>
  <si>
    <t>SNC 1176</t>
  </si>
  <si>
    <t>Engr. Emmanuel G. Aguinaldo</t>
  </si>
  <si>
    <t>SPLIT-REF-056-SPD22-01A</t>
  </si>
  <si>
    <t>2023-06-01-10202SP108-01</t>
  </si>
  <si>
    <t>2023-06-01-10202SP109-01</t>
  </si>
  <si>
    <t>Erickson Reyes</t>
  </si>
  <si>
    <t>Benedick C De Mesa</t>
  </si>
  <si>
    <t>2023-06-01-10201SP32-01</t>
  </si>
  <si>
    <t>SNC 1192</t>
  </si>
  <si>
    <t>DZP-VEHICLE (STRADA)-2023-001</t>
  </si>
  <si>
    <t>2023-06-01-10202SP122-01</t>
  </si>
  <si>
    <t>DZP-MC-2023-001</t>
  </si>
  <si>
    <t>2023-06-01-10202SP124-01</t>
  </si>
  <si>
    <t>DZP-MC-2023-003</t>
  </si>
  <si>
    <t>2023-06-01-10202SP125-01</t>
  </si>
  <si>
    <t>John O. Castrence</t>
  </si>
  <si>
    <t>DZP-MC-2023-004</t>
  </si>
  <si>
    <t>2023-06-01-10202SP126-01</t>
  </si>
  <si>
    <t>Edcel F. Gonzales</t>
  </si>
  <si>
    <t>DZP-MC-2023-005</t>
  </si>
  <si>
    <t>2023-06-01-10201SP35-01</t>
  </si>
  <si>
    <t>SNC 1121</t>
  </si>
  <si>
    <t>ANTONIO B. SANCHEZ</t>
  </si>
  <si>
    <t>PPMO</t>
  </si>
  <si>
    <t>PARO OFFICE</t>
  </si>
  <si>
    <t>2023-06-01-10202SP126-01
 2023-02-01-102-025P110-01</t>
  </si>
  <si>
    <t>2023-01-001
 2023-02-001</t>
  </si>
  <si>
    <t>2023-06-01-10202SP126-01
 2023-02-01-102-025P111-01</t>
  </si>
  <si>
    <t>2023-01-002</t>
  </si>
  <si>
    <t>VICTOR ROMMEL N. MAGNO
 RODEL V. EGUIA</t>
  </si>
  <si>
    <t>2023-06-01-10202SP112-01</t>
  </si>
  <si>
    <t>MV FILE NO. 
 1303-00001434938</t>
  </si>
  <si>
    <t>JEROME P MENDOZA</t>
  </si>
  <si>
    <t>PARCELIZATION SUPPORT STAFF</t>
  </si>
  <si>
    <t>This cancelled PAR 
 2023-05007 issuwd to Rio M. Cortez</t>
  </si>
  <si>
    <t>2023-06-01-10202SP113-01</t>
  </si>
  <si>
    <t>MV FILE NO.
  1303-00001434939</t>
  </si>
  <si>
    <t>DELVIE DR. GROSPE</t>
  </si>
  <si>
    <t>Cancelled PAR issued to Richard DR. Grospe</t>
  </si>
  <si>
    <t>2023-06-01-10202SP114-01</t>
  </si>
  <si>
    <t>MV FILE NO.
 1303-00001434940</t>
  </si>
  <si>
    <t>JAYRALD D ESPERANZA</t>
  </si>
  <si>
    <t>TECHNICAL SUPPORT STAFF</t>
  </si>
  <si>
    <t>This cancelled PAR No. 2023-06-023 issued to Hormelo A. Patoc</t>
  </si>
  <si>
    <t>2023-06-01-10202SP115-01</t>
  </si>
  <si>
    <t>MV FILE NO. 
 1303-00001434941</t>
  </si>
  <si>
    <t>DENNIS P. DUMLAO</t>
  </si>
  <si>
    <t>This cancelled PAR No. 2023-05-08 issued to Engr. Alvin L. Licuanan</t>
  </si>
  <si>
    <t>2023-06-01-10202SP116-01</t>
  </si>
  <si>
    <t>MV FILE NO. 
 1303-00001434942</t>
  </si>
  <si>
    <t>MARK CLINTON C. BAYLON</t>
  </si>
  <si>
    <t>2023-06-026</t>
  </si>
  <si>
    <t>2023-06-01-10202SP117-01</t>
  </si>
  <si>
    <t>MV FILE NO. 
 1303-00001434943</t>
  </si>
  <si>
    <t>ALJON W. MAMARIL</t>
  </si>
  <si>
    <t>ENGR RUEL DC LAYA</t>
  </si>
  <si>
    <t>2023-06-01-10201SP31-01</t>
  </si>
  <si>
    <t>SNC 1134</t>
  </si>
  <si>
    <t>102-2023-10-020</t>
  </si>
  <si>
    <t>2023-06-01-10202SP118-01</t>
  </si>
  <si>
    <t>MV File No. - 1303-00001434911</t>
  </si>
  <si>
    <t>102-2023-01-002</t>
  </si>
  <si>
    <t>2023-06-01-10201SP34-01</t>
  </si>
  <si>
    <t>SNC 1128</t>
  </si>
  <si>
    <t>PARO</t>
  </si>
  <si>
    <t>2023-06-01-10202SP121-01</t>
  </si>
  <si>
    <t>2023-06-01-10202SP120-01</t>
  </si>
  <si>
    <t>2023-06-01-10202SP119-01</t>
  </si>
  <si>
    <t>AURORA</t>
  </si>
  <si>
    <t>2026-06-01-10201SP085-01</t>
  </si>
  <si>
    <t>SGA7200</t>
  </si>
  <si>
    <t>JOSELL FERNAN GUINTU</t>
  </si>
  <si>
    <t>BATAAN</t>
  </si>
  <si>
    <t>2026-06-01-10201SP086-01</t>
  </si>
  <si>
    <t>SGA7199</t>
  </si>
  <si>
    <t>BULACAN</t>
  </si>
  <si>
    <t>2026-06-01-10201SP084-01</t>
  </si>
  <si>
    <t>SGA8152</t>
  </si>
  <si>
    <t>NUEVA ECIJA</t>
  </si>
  <si>
    <t>2026-06-01-10201SP087-01</t>
  </si>
  <si>
    <t>SGA7202</t>
  </si>
  <si>
    <t>PAMPANGA</t>
  </si>
  <si>
    <t>SGA7201</t>
  </si>
  <si>
    <t>TARLAC</t>
  </si>
  <si>
    <t>2026-06-01-10201SP089-01</t>
  </si>
  <si>
    <t>SGA7195</t>
  </si>
  <si>
    <t>ZAMBALES</t>
  </si>
  <si>
    <t>2026-06-01-10201SP090-01</t>
  </si>
  <si>
    <t>SGA7203</t>
  </si>
  <si>
    <t xml:space="preserve">Global Navigation Satellite System Real Time 
Kinematic </t>
  </si>
  <si>
    <t>2026-05-14-10201SP066-01</t>
  </si>
  <si>
    <t>₱4,420,000.00</t>
  </si>
  <si>
    <t>2026-05-14-10201SP067-01</t>
  </si>
  <si>
    <t>PLOTTER (3IN1)
HP Designjet T908</t>
  </si>
  <si>
    <t>2026-05-14-10201SP30-01</t>
  </si>
  <si>
    <t>Region IV-A</t>
  </si>
  <si>
    <t>BATANGAS</t>
  </si>
  <si>
    <t>2023-05-14-10201SP21-01</t>
  </si>
  <si>
    <t>BASE SN:Z60SN272200110</t>
  </si>
  <si>
    <t>ENGR. WINSTON DOCTOR</t>
  </si>
  <si>
    <t>MARPO/GE</t>
  </si>
  <si>
    <t>SP-2023-03-04</t>
  </si>
  <si>
    <t>QUEZON I</t>
  </si>
  <si>
    <t>2023-05-14-10201SP22-01</t>
  </si>
  <si>
    <t>BASE SN:Z60SN272200115</t>
  </si>
  <si>
    <t>ENGR. AMANDO A. CARIASO</t>
  </si>
  <si>
    <t>Engineer II/ DENR/ LRA/ROD/Survey Coordinator</t>
  </si>
  <si>
    <t>003-03-2023</t>
  </si>
  <si>
    <t>DARPO QUEZON I</t>
  </si>
  <si>
    <t>QUEZON II</t>
  </si>
  <si>
    <t>2023-05-14-10201SP23-01</t>
  </si>
  <si>
    <t>BASE SN:Z60SN272200105</t>
  </si>
  <si>
    <t>VERONICA M. OTCHARAN</t>
  </si>
  <si>
    <t>FVT COORDINATOR</t>
  </si>
  <si>
    <t>RIZAL</t>
  </si>
  <si>
    <t>2023-05-14-10201SP24-01</t>
  </si>
  <si>
    <t>BASE SN:Z60SN272200122</t>
  </si>
  <si>
    <t>ROY B. TORIRIT</t>
  </si>
  <si>
    <t>ENGR. II</t>
  </si>
  <si>
    <t>2023-SPLIT-03-001</t>
  </si>
  <si>
    <t>LTS/SURVEY UNIT</t>
  </si>
  <si>
    <t>SP2023-03-06</t>
  </si>
  <si>
    <t>005-03-2023</t>
  </si>
  <si>
    <t>2023-SPLIT-03-002</t>
  </si>
  <si>
    <t>2023-05-14-10202SP38-01</t>
  </si>
  <si>
    <t>SP10730099</t>
  </si>
  <si>
    <t>SP2023-03-05</t>
  </si>
  <si>
    <t>2023-05-14-10202SP39-01</t>
  </si>
  <si>
    <t>SP10730071</t>
  </si>
  <si>
    <t>004-03-2023</t>
  </si>
  <si>
    <t>2023-05-14-10202SP40-01</t>
  </si>
  <si>
    <t>SP10730060</t>
  </si>
  <si>
    <t>2023-05-14-10202SP41-01</t>
  </si>
  <si>
    <t>SP10730048</t>
  </si>
  <si>
    <t>2023-SPLIT-03-003</t>
  </si>
  <si>
    <t>DESKTOP COMPUTER – (LENOVO M70T)</t>
  </si>
  <si>
    <t>2023-05-03-1020ISP862-01</t>
  </si>
  <si>
    <t>1S11T5S16200GM0418H5</t>
  </si>
  <si>
    <t>HELEN G. PAULE</t>
  </si>
  <si>
    <t>23-05-011</t>
  </si>
  <si>
    <t>RUEL MAYANO</t>
  </si>
  <si>
    <t>PLANNING</t>
  </si>
  <si>
    <t>2023-05-03-1020ISP863-01</t>
  </si>
  <si>
    <t>1S11T5S16200GM0418K2</t>
  </si>
  <si>
    <t>NORA H. TACNENG</t>
  </si>
  <si>
    <t>23-05-012</t>
  </si>
  <si>
    <t>2023-05-03-1020ISP864-01</t>
  </si>
  <si>
    <t>1S11T5S16200GM0415YA</t>
  </si>
  <si>
    <t>RAMON S. DAYRIT</t>
  </si>
  <si>
    <t>23-05-013</t>
  </si>
  <si>
    <t>2023-05-03-1020ISP865-01</t>
  </si>
  <si>
    <t>1S11T5S16200GM041601</t>
  </si>
  <si>
    <t>EMERITA T. NICOLAS</t>
  </si>
  <si>
    <t>ESS SUPPORT STAFF</t>
  </si>
  <si>
    <t>23-05-014</t>
  </si>
  <si>
    <t>2023-05-03-1020ISP866-01</t>
  </si>
  <si>
    <t>1S11T5S16200GM041B4G</t>
  </si>
  <si>
    <t>ALICIA P. PEÑA</t>
  </si>
  <si>
    <t>23-05-015</t>
  </si>
  <si>
    <t>LINDSEY B. DESUYO</t>
  </si>
  <si>
    <t>2023-05-03-1020ISP867-01</t>
  </si>
  <si>
    <t>1S11T5S16200GM041605</t>
  </si>
  <si>
    <t>ERGENE I. REVECHE</t>
  </si>
  <si>
    <t>23-05-016</t>
  </si>
  <si>
    <t>2023-05-03-1020ISP868-01</t>
  </si>
  <si>
    <t>1S11T5S16200GM0415T9</t>
  </si>
  <si>
    <t>GLORIA A. NATAD</t>
  </si>
  <si>
    <t>DENR/LRA-ROD SURVEY COORDINATOR</t>
  </si>
  <si>
    <t>23-05-017</t>
  </si>
  <si>
    <t>2023-05-03-1020ISP869-01</t>
  </si>
  <si>
    <t>1S11T5S16200GM041B4Q</t>
  </si>
  <si>
    <t>ENGR. MARVIN C. LABAO</t>
  </si>
  <si>
    <t>RCAO/CBTA</t>
  </si>
  <si>
    <t>23-05-020</t>
  </si>
  <si>
    <t>PATRICK IAN O. GACULA</t>
  </si>
  <si>
    <t>RCAO'S OFFICE</t>
  </si>
  <si>
    <t>CANON PRINTER ISSUED TO ATTY. MA. LILIA O. DELA REA, DARAB</t>
  </si>
  <si>
    <t>2023-05-03-1020ISP870-01</t>
  </si>
  <si>
    <t>1S11T5S16200GM0415YB</t>
  </si>
  <si>
    <t>JEDRICK P. PERINO</t>
  </si>
  <si>
    <t>ARPO I / MIS COORDINATOR</t>
  </si>
  <si>
    <t>24-05-003S</t>
  </si>
  <si>
    <t>ORD</t>
  </si>
  <si>
    <t>2023-05-03-1020ISP871-01</t>
  </si>
  <si>
    <t>1S11T5S16200GM0415ZW</t>
  </si>
  <si>
    <t>ATTY. REXIE M. MARISTELA</t>
  </si>
  <si>
    <t>ASST.PROJECT MANAGER/LEGAL COORDINATOR</t>
  </si>
  <si>
    <t>23-05-019</t>
  </si>
  <si>
    <t>ATTY. PATRICK MARVIN B. BERNAL</t>
  </si>
  <si>
    <t>2024-05-03-10202SP-309-01</t>
  </si>
  <si>
    <t>MARIO P LOPEZ</t>
  </si>
  <si>
    <t>DARRO IVA</t>
  </si>
  <si>
    <t>2023-05-03-10201SP896-01</t>
  </si>
  <si>
    <t>1S11T5S16200GM041AVZ</t>
  </si>
  <si>
    <t>JOSEPHINE CASALLA</t>
  </si>
  <si>
    <t>CARPO LTID/PARCELIZATION COMPONENT AND FVT COORDINATOR</t>
  </si>
  <si>
    <t>SP-2023-05-07</t>
  </si>
  <si>
    <t>2023-05-03-10201SP897-01</t>
  </si>
  <si>
    <t>1S11T5S16200GM0418BW</t>
  </si>
  <si>
    <t>VIRGINIA CASANOVA</t>
  </si>
  <si>
    <t>SARPT/LTID</t>
  </si>
  <si>
    <t>SP-2023-05-08</t>
  </si>
  <si>
    <t>DARPO-ENGINEERING</t>
  </si>
  <si>
    <t>2023-05-03-10201SP898-01</t>
  </si>
  <si>
    <t>1S11T5S16200GM0415TC</t>
  </si>
  <si>
    <t>SP-2023-05-09</t>
  </si>
  <si>
    <t>OFFICE OF THE PARPO</t>
  </si>
  <si>
    <t>2023-05-03-10201SP899-01</t>
  </si>
  <si>
    <t>1S11T5S16200GM041606</t>
  </si>
  <si>
    <t>JOHN EMMARD AQUINO</t>
  </si>
  <si>
    <t>SURVEYMAN/MIS LTID</t>
  </si>
  <si>
    <t>SP-2023-05-10</t>
  </si>
  <si>
    <t>2023-05-03-10201SP900-01</t>
  </si>
  <si>
    <t>1S11T5S16200GM041AWW</t>
  </si>
  <si>
    <t>MYRNA PANGANIBAN</t>
  </si>
  <si>
    <t>SARPO LTID/ DOCUMENTATION/ESS SUPPORT STAFF</t>
  </si>
  <si>
    <t>SP-2023-05-11</t>
  </si>
  <si>
    <t>2023-05-03-10201SP901-01</t>
  </si>
  <si>
    <t>1S11T5S16200GM041AQP</t>
  </si>
  <si>
    <t>ATTY. EMACULADA CONCEPCION MENDOZA</t>
  </si>
  <si>
    <t>ATTY. V/LEGAL DIVISION</t>
  </si>
  <si>
    <t>SP-2023-05-12</t>
  </si>
  <si>
    <t>DARPO - LEGAL</t>
  </si>
  <si>
    <t>2023-05-03-10201SP902-01</t>
  </si>
  <si>
    <t>1S11T5S16200GM041AW9</t>
  </si>
  <si>
    <t>MA.SURALLAH RABINO</t>
  </si>
  <si>
    <t>CARPO/ESS COORDINATOR - PBDD</t>
  </si>
  <si>
    <t>SP-2023-05-13</t>
  </si>
  <si>
    <t>2023-05-03-10201SP903-01</t>
  </si>
  <si>
    <t>1S11T5S16200GM041AQT</t>
  </si>
  <si>
    <t>MA. ROWENA GOZOS</t>
  </si>
  <si>
    <t>CAO/TS2-ADMINISTRATIVE AND FINANCE OFFICER/CBTA FOR IMPLEMENTERS</t>
  </si>
  <si>
    <t>SP-2023-05-14</t>
  </si>
  <si>
    <t>2023-05-03-10201SP904-01</t>
  </si>
  <si>
    <t>1S11T5S16200GM041AX9</t>
  </si>
  <si>
    <t>BUENAFE BERNABE</t>
  </si>
  <si>
    <t>AO IV/Technical Staff 3 /Project Procurement Officer</t>
  </si>
  <si>
    <t>SP-2023-05-15</t>
  </si>
  <si>
    <t>PROCUREMENT</t>
  </si>
  <si>
    <t>2023-05-03-10201SP905-01</t>
  </si>
  <si>
    <t>1S11T5S16200GM041ATA</t>
  </si>
  <si>
    <t>RONNA FAJILAN</t>
  </si>
  <si>
    <t>SP-2023-05-16</t>
  </si>
  <si>
    <t>2023-05-03-10201SP906-01</t>
  </si>
  <si>
    <t>1S11T5S16200GM041603</t>
  </si>
  <si>
    <t>JOSEPHINE ARANDA</t>
  </si>
  <si>
    <t>SP-2023-05-17</t>
  </si>
  <si>
    <t>2023-05-03-10201SP907-01</t>
  </si>
  <si>
    <t>1S11T5S16200GM0415ZB</t>
  </si>
  <si>
    <t>MARYGRACE MENDOZA</t>
  </si>
  <si>
    <t>SP-2023-05-18</t>
  </si>
  <si>
    <t>CAVITE</t>
  </si>
  <si>
    <t>2023-05-03-10201SP884-01</t>
  </si>
  <si>
    <t>1S11T5S16200GM0415YC</t>
  </si>
  <si>
    <t>RINAFE DEL-RIO DY</t>
  </si>
  <si>
    <t>ARPO 1/PROCUREMENT OFFICER</t>
  </si>
  <si>
    <t>23-05-08</t>
  </si>
  <si>
    <t>DENNIS C. GOLLENA PROCUREMENT STAFF</t>
  </si>
  <si>
    <t>2023-05-03-10201SP885-01</t>
  </si>
  <si>
    <t>1S11T5S16200GM041B4E</t>
  </si>
  <si>
    <t>ALLAN A. NOVERO</t>
  </si>
  <si>
    <t>ARPO II / MIS COORDINATOR</t>
  </si>
  <si>
    <t>23-05-02</t>
  </si>
  <si>
    <t>CRISJAY MEDINA MIS STAFF</t>
  </si>
  <si>
    <t>2023-05-03-10201SP886-01</t>
  </si>
  <si>
    <t>1S11T5S16200GM041B4N</t>
  </si>
  <si>
    <t>LESLIE ANN C PLANTO</t>
  </si>
  <si>
    <t>PLANNING OFFICER/M&amp;E COORDINATOR</t>
  </si>
  <si>
    <t>23-05-06</t>
  </si>
  <si>
    <t>DARYLL BRYLLE MARARAGAN M&amp;E STAFF</t>
  </si>
  <si>
    <t>2023-05-03-10201SP887-01</t>
  </si>
  <si>
    <t>1S11T5S16200GM04182V</t>
  </si>
  <si>
    <t>ALEXANDER D. COSTA</t>
  </si>
  <si>
    <t>ARPO II /PARCELIZATION COORDINATOR</t>
  </si>
  <si>
    <t>23-05-04</t>
  </si>
  <si>
    <t>NOLIGEN P. DIOKNO AUTO CAD OPERATOR</t>
  </si>
  <si>
    <t>2023-05-03-10201SP888-01</t>
  </si>
  <si>
    <t>1S11T5S16200GM041AQH</t>
  </si>
  <si>
    <t>RUEL ROGACION VALIDATOR</t>
  </si>
  <si>
    <t>2023-05-03-10201SP889-01</t>
  </si>
  <si>
    <t>1S11T5S16200GM041APT</t>
  </si>
  <si>
    <t>KATHLEEN NOVENO TECHNICAL /LIASON STAFF</t>
  </si>
  <si>
    <t>2023-05-03-10201SP890-01</t>
  </si>
  <si>
    <t>1S11T5S16200GM0415RE</t>
  </si>
  <si>
    <t>PACITA J. LLAMADO</t>
  </si>
  <si>
    <t>CAO/ PROJECT FINANCE &amp; ADMIN OFFICER</t>
  </si>
  <si>
    <t>23-05-07</t>
  </si>
  <si>
    <t>CHRISTIAN NEL VICEDO FINANCE STAFF</t>
  </si>
  <si>
    <t>2023-05-03-10201SP891-01</t>
  </si>
  <si>
    <t>1S11T5S16200GM041AT9</t>
  </si>
  <si>
    <t>2023-05-03-10201SP892-01</t>
  </si>
  <si>
    <t>1S11T5S16200GM041AYS</t>
  </si>
  <si>
    <t>2023-05-03-10201SP893-01</t>
  </si>
  <si>
    <t>1S11T5S16200GM041ASD</t>
  </si>
  <si>
    <t>2023-05-03-10201SP894-01</t>
  </si>
  <si>
    <t>1S11T5S16200GM041AQ9</t>
  </si>
  <si>
    <t>2023-05-03-10201SP895-01</t>
  </si>
  <si>
    <t>1S11T5S16200GM041AQA</t>
  </si>
  <si>
    <t>LAGUNA</t>
  </si>
  <si>
    <t>2023-05-03-10201SP908-01</t>
  </si>
  <si>
    <t>1S11T5S16200GM0415T8</t>
  </si>
  <si>
    <t>GIOVANNI ASHLEY B. SAN GASPAR</t>
  </si>
  <si>
    <t>DOCUMENTATION/ ENVIRONMENTAL AND SOCIAL SAFEGUARDS COORDINATOR</t>
  </si>
  <si>
    <t>2023-06-01-S</t>
  </si>
  <si>
    <t>LTIU</t>
  </si>
  <si>
    <t>2023-05-03-10201SP909-01</t>
  </si>
  <si>
    <t>1S11T5S16200GM041AS5</t>
  </si>
  <si>
    <t>JOSE LUIS EMMANUEL Y. CHAVEZ</t>
  </si>
  <si>
    <t>2023-06-02-S</t>
  </si>
  <si>
    <t>PBD</t>
  </si>
  <si>
    <t>2023-05-03-10201SP910-01</t>
  </si>
  <si>
    <t>1S11T5S16200GM041B7F</t>
  </si>
  <si>
    <t>MILA F. MONTEJO</t>
  </si>
  <si>
    <t>2023-06-03-S</t>
  </si>
  <si>
    <t>2023-05-03-10201SP911-01</t>
  </si>
  <si>
    <t>1S11T5S16200GM0415ZM</t>
  </si>
  <si>
    <t>NORBERT S. SUMAGUE</t>
  </si>
  <si>
    <t>M &amp; E COORDINATOR</t>
  </si>
  <si>
    <t>2023-06-04-S</t>
  </si>
  <si>
    <t>2023-05-03-10201SP912-01</t>
  </si>
  <si>
    <t>1S11T5S16200GM041609</t>
  </si>
  <si>
    <t>LEXANE P. SANTOS</t>
  </si>
  <si>
    <t>2023-06-05-S</t>
  </si>
  <si>
    <t>2023-05-03-10201SP913-01</t>
  </si>
  <si>
    <t>1S11T5S16200GM0415TH</t>
  </si>
  <si>
    <t>ELIZABETH S. ESPIRITU</t>
  </si>
  <si>
    <t>2023-06-06-S</t>
  </si>
  <si>
    <t>2023-05-03-10201SP914-01</t>
  </si>
  <si>
    <t>ATTY. PERSEUS A. ANTIGUA</t>
  </si>
  <si>
    <t>2023-06-07-S</t>
  </si>
  <si>
    <t>2023-05-03-10201SP915-01</t>
  </si>
  <si>
    <t>1S11T5S16200GM04160B</t>
  </si>
  <si>
    <t>RAMIL O. MONTEJO</t>
  </si>
  <si>
    <t>LRA-ROD SURVEY COORDINATOR</t>
  </si>
  <si>
    <t>2023-06-08-S</t>
  </si>
  <si>
    <t>2023-05-03-10201SP916-01</t>
  </si>
  <si>
    <t>1S11T5S16200GM0415ZV</t>
  </si>
  <si>
    <t>DIVINA P. TORRES</t>
  </si>
  <si>
    <t>PARCELIZATION COMPONENT AND FVT COORDINATOR</t>
  </si>
  <si>
    <t>2023-06-09-S</t>
  </si>
  <si>
    <t>2023-05-03-10201SP917-01</t>
  </si>
  <si>
    <t>1S11T5S16200GM041AXB</t>
  </si>
  <si>
    <t>GIL M. CRUZ</t>
  </si>
  <si>
    <t>PROJECT PROCUREMENT OFFICER</t>
  </si>
  <si>
    <t>2023-06-10-S</t>
  </si>
  <si>
    <t>2023-05-03-10201SP918-01</t>
  </si>
  <si>
    <t>1S11T5S16200GM0415R8</t>
  </si>
  <si>
    <t>LARINA E. LOPEZ</t>
  </si>
  <si>
    <t>TS2-ADMINISTRATIVE AND FINANCE OFFICER/CBTA FOR IMPLEMENTERS</t>
  </si>
  <si>
    <t>2023-08-11-S</t>
  </si>
  <si>
    <t>JESSICA ASEDILLO</t>
  </si>
  <si>
    <t>SPLIT OFFICE</t>
  </si>
  <si>
    <t>2023-05-03-10201SP919-01</t>
  </si>
  <si>
    <t>1S11T5S16200GM0418H0</t>
  </si>
  <si>
    <t>CAROLINA L. LIZPO</t>
  </si>
  <si>
    <t>CBTA COORDINATOR</t>
  </si>
  <si>
    <t>2023-06-12-S</t>
  </si>
  <si>
    <t>2023-05-03-10201SP920-01</t>
  </si>
  <si>
    <t>1S11T5S16200GM041ASF</t>
  </si>
  <si>
    <t>ODETTE F. MUROS</t>
  </si>
  <si>
    <t>CAO/Admin and Finance Coordinator</t>
  </si>
  <si>
    <t>008-04-2023</t>
  </si>
  <si>
    <t>2023-05-03-10201SP921-01</t>
  </si>
  <si>
    <t>1S11T5S16200GM041AYW</t>
  </si>
  <si>
    <t>LEA B. RODIL</t>
  </si>
  <si>
    <t>AO IV/Project Procurement Officer</t>
  </si>
  <si>
    <t>003-04-2023</t>
  </si>
  <si>
    <t>DONALDO I. AFABLE</t>
  </si>
  <si>
    <t>2023-05-03-10201SP922-01</t>
  </si>
  <si>
    <t>1S11T5S16200GM0415TG</t>
  </si>
  <si>
    <t>RIZZA MAE EUD</t>
  </si>
  <si>
    <t>ARPT/Project Accountant</t>
  </si>
  <si>
    <t>001-04-2023</t>
  </si>
  <si>
    <t>CHRISTAL LANUZA</t>
  </si>
  <si>
    <t>2023-05-03-10201SP923-01</t>
  </si>
  <si>
    <t>1S11T5S16200GM041AQ4</t>
  </si>
  <si>
    <t>MARIA LORNA A. TAN</t>
  </si>
  <si>
    <t>Planning Officer/M&amp;E Coordinator</t>
  </si>
  <si>
    <t>011-04-2023</t>
  </si>
  <si>
    <t>ELSA HERNANDEZ</t>
  </si>
  <si>
    <t>2023-05-03-10201SP924-01</t>
  </si>
  <si>
    <t>1S11T5S16200GM0418BV</t>
  </si>
  <si>
    <t>MASELIENE A. PELAEZ</t>
  </si>
  <si>
    <t>Cashier II/Project Cashier</t>
  </si>
  <si>
    <t>005-04-2023</t>
  </si>
  <si>
    <t>2023-05-03-10201SP925-01</t>
  </si>
  <si>
    <t>1S11T5S16200GM041AQB</t>
  </si>
  <si>
    <t>CLAUDETTE CASTILLO</t>
  </si>
  <si>
    <t>CARPO,LTID/ Parcelization Component &amp; FVT Coordinator</t>
  </si>
  <si>
    <t>014-04-2023</t>
  </si>
  <si>
    <t>2023-05-03-10201SP926-01</t>
  </si>
  <si>
    <t>1S11T5S16200GM041AVQ</t>
  </si>
  <si>
    <t>ELENITA A. HERRERIA</t>
  </si>
  <si>
    <t>CARPO, PBDD/ Provincial ESS Coordinator</t>
  </si>
  <si>
    <t>009-04-2023</t>
  </si>
  <si>
    <t>2023-05-03-10201SP927-01</t>
  </si>
  <si>
    <t>1S11T5S16200GM041AQ7</t>
  </si>
  <si>
    <t>ANNABELLA P. ESCUDERO</t>
  </si>
  <si>
    <t>SARPT/ESS Staff</t>
  </si>
  <si>
    <t>012-04-2023</t>
  </si>
  <si>
    <t>2023-05-03-10201SP928-01</t>
  </si>
  <si>
    <t>1S11T5S16200GM041AP3</t>
  </si>
  <si>
    <t>SAMUEL M. PALENZUELA</t>
  </si>
  <si>
    <t>ARPT/ MIS Coordinator</t>
  </si>
  <si>
    <t>010-04-2023</t>
  </si>
  <si>
    <t>JUNE MIRELLES</t>
  </si>
  <si>
    <t>2023-05-03-10201SP929-01</t>
  </si>
  <si>
    <t>1S11T5S16200GM041ASE</t>
  </si>
  <si>
    <t>MA. VENUS T. LIWAG</t>
  </si>
  <si>
    <t>002-04-2023</t>
  </si>
  <si>
    <t>2023-05-03-10201SP930-01</t>
  </si>
  <si>
    <t>1S11T5S16200GM041AS9</t>
  </si>
  <si>
    <t>007-04-2023</t>
  </si>
  <si>
    <t>JESSA CAPONPON</t>
  </si>
  <si>
    <t>2023-05-03-10201SP931-01</t>
  </si>
  <si>
    <t>1S11T5S16200GM041602</t>
  </si>
  <si>
    <t>ATTY. MARCUS CEASAR F. ROBLES</t>
  </si>
  <si>
    <t>Chief Legal Division/ Legal Coordinator</t>
  </si>
  <si>
    <t>004-04-2023</t>
  </si>
  <si>
    <t>2023-05-03-10201SP932-01</t>
  </si>
  <si>
    <t>1S11T5S16200GM041AQQ</t>
  </si>
  <si>
    <t>ELENITA MERJUDIO</t>
  </si>
  <si>
    <t>2023-04-001</t>
  </si>
  <si>
    <t>2023-05-03-10201SP933-01</t>
  </si>
  <si>
    <t>1S11T5S16200GM041AS1</t>
  </si>
  <si>
    <t>MARIA IMELDA S. DE VERA</t>
  </si>
  <si>
    <t>2023-04-002</t>
  </si>
  <si>
    <t>CHRISTY LEA V. ANGEO</t>
  </si>
  <si>
    <t>2023-05-03-10201SP934-01</t>
  </si>
  <si>
    <t>1S11T5S16200GM041AQF</t>
  </si>
  <si>
    <t>MARITESS R. ABELLA</t>
  </si>
  <si>
    <t>2023-04-003</t>
  </si>
  <si>
    <t>2023-05-03-10201SP935-01</t>
  </si>
  <si>
    <t>1S11T5S16200GM041AQ2</t>
  </si>
  <si>
    <t>JOSEFINA L. BIO</t>
  </si>
  <si>
    <t>ADMINISTRATIVE &amp; FINANCE OFFICER</t>
  </si>
  <si>
    <t>2023-04-004</t>
  </si>
  <si>
    <t>2023-05-03-10201SP936-01</t>
  </si>
  <si>
    <t>1S11T5S16200GM041ASG</t>
  </si>
  <si>
    <t>LHEA-LYN S. ESPAYOS</t>
  </si>
  <si>
    <t>2023-04-005</t>
  </si>
  <si>
    <t>CORAZON D. BONIFACIO</t>
  </si>
  <si>
    <t>2023-05-03-10201SP937-01</t>
  </si>
  <si>
    <t>1S11T5S16200GM041AQ8</t>
  </si>
  <si>
    <t>RENATO JACA</t>
  </si>
  <si>
    <t>CBTA FOR IMPLEMENTERS &amp; ESS COORDINATOR</t>
  </si>
  <si>
    <t>2023-04-006</t>
  </si>
  <si>
    <t>OLIVA HERRERA</t>
  </si>
  <si>
    <t>2023-05-03-10201SP938-01</t>
  </si>
  <si>
    <t>1S11T5S16200GM041AP0</t>
  </si>
  <si>
    <t>VIVIAN LUSTADO</t>
  </si>
  <si>
    <t>2023-04-007</t>
  </si>
  <si>
    <t>2023-05-03-10201SP939-01</t>
  </si>
  <si>
    <t>1S11T5S16200GM041AQR</t>
  </si>
  <si>
    <t>ALFRED RONUEL H. AQUINO</t>
  </si>
  <si>
    <t>DOCUMENTATION/ESS SUPPORT STAFF</t>
  </si>
  <si>
    <t>2023-04-008</t>
  </si>
  <si>
    <t>2023-05-03-10201SP940-01</t>
  </si>
  <si>
    <t>1S11T5S16200GM041ASH</t>
  </si>
  <si>
    <t>2023-04-009</t>
  </si>
  <si>
    <t>DEOVELYN BEJO-AQUINO</t>
  </si>
  <si>
    <t>2023-05-03-10201SP941-01</t>
  </si>
  <si>
    <t>1S11T5S16200GM041AQ5</t>
  </si>
  <si>
    <t>JOHNSON U. BONIFACIO</t>
  </si>
  <si>
    <t>2023-04-010</t>
  </si>
  <si>
    <t>LORELYNN L. MACASINAG</t>
  </si>
  <si>
    <t>PROCUREMENT OFFICE</t>
  </si>
  <si>
    <t>2023-05-03-10201SP942-01</t>
  </si>
  <si>
    <t>1S11T5S16200GM041AQK</t>
  </si>
  <si>
    <t>ALFA G. LOPEZ</t>
  </si>
  <si>
    <t>2023-04-011</t>
  </si>
  <si>
    <t>2023-05-03-10201SP943-01</t>
  </si>
  <si>
    <t>1S11T5S16200GM041AQS</t>
  </si>
  <si>
    <t>ORLANDO BONO</t>
  </si>
  <si>
    <t>2023-04-012</t>
  </si>
  <si>
    <t>2023-05-03-10201SP872-01</t>
  </si>
  <si>
    <t>1S11T5S16200GM0418HM</t>
  </si>
  <si>
    <t>PRUDENCE P. OROZCO</t>
  </si>
  <si>
    <t>ADMIN OFFICER IV</t>
  </si>
  <si>
    <t>2023-SPLIT-04-001</t>
  </si>
  <si>
    <t>ADMIN/FINANCE</t>
  </si>
  <si>
    <t>2023-05-03-10201SP873-01</t>
  </si>
  <si>
    <t>1S11T5S16200GM041AWQ</t>
  </si>
  <si>
    <t>JOSEPHINE R. C. MATAWARAN</t>
  </si>
  <si>
    <t>2023-SPLIT-04-002</t>
  </si>
  <si>
    <t>2023-05-03-10201SP874-01</t>
  </si>
  <si>
    <t>1S11T5S16200GM041607</t>
  </si>
  <si>
    <t>AMELITA R. CEJAS</t>
  </si>
  <si>
    <t>BUDGET OFFICER II</t>
  </si>
  <si>
    <t>2023-SPLIT-04-003</t>
  </si>
  <si>
    <t>2023-05-03-10201SP875-01</t>
  </si>
  <si>
    <t>1S11T5S16200GM0415T7</t>
  </si>
  <si>
    <t>LHEA R. ANTONIO</t>
  </si>
  <si>
    <t>CASHIER II</t>
  </si>
  <si>
    <t>2023-SPLIT-04-004</t>
  </si>
  <si>
    <t>2023-05-03-10201SP876-01</t>
  </si>
  <si>
    <t>1S11T5S16200GM041AX2</t>
  </si>
  <si>
    <t>ATTY. RAUL I. BAUTISTA</t>
  </si>
  <si>
    <t>2023-SPLIT-04-005</t>
  </si>
  <si>
    <t>2023-05-03-10201SP877-01</t>
  </si>
  <si>
    <t>1S11T5S16200GM0418DN</t>
  </si>
  <si>
    <t>FLORENCE SM. MARANION</t>
  </si>
  <si>
    <t>2023-SPLIT-04-006</t>
  </si>
  <si>
    <t>2023-05-03-10201SP878-01</t>
  </si>
  <si>
    <t>1S11T5S16200GM0415YJ</t>
  </si>
  <si>
    <t>KENNETH R. MARTIREZ</t>
  </si>
  <si>
    <t>2023-SPLIT-04-007</t>
  </si>
  <si>
    <t>2023-05-03-10201SP879-01</t>
  </si>
  <si>
    <t>1S11T5S16200GM0415ZX</t>
  </si>
  <si>
    <t>RICHARD HAROLD F. MAPULA</t>
  </si>
  <si>
    <t>2023-SPLIT-04-009</t>
  </si>
  <si>
    <t>2023-05-03-10201SP880-01</t>
  </si>
  <si>
    <t>1S11T5S16200GM0418HQ</t>
  </si>
  <si>
    <t>LEXANE P. SANTOS, CPA</t>
  </si>
  <si>
    <t>2023-SPLIT-04-008</t>
  </si>
  <si>
    <t>STATUS OF EQUIPMENT
 (SERVICEABLE
 /UNSERVICEABLE)</t>
  </si>
  <si>
    <t>2023-05-03-10201SP881-01</t>
  </si>
  <si>
    <t>1S11T5S16200GM0415Y7</t>
  </si>
  <si>
    <t>Region IV-B</t>
  </si>
  <si>
    <t>ROMEO J. DELA CRUZ</t>
  </si>
  <si>
    <t>2023-SPLIT-04-010</t>
  </si>
  <si>
    <t>2023-05-03-10201SP244-01</t>
  </si>
  <si>
    <t>2023-05-03-10201SP882-01</t>
  </si>
  <si>
    <t>1S11T5S16200GM0415ZY</t>
  </si>
  <si>
    <t>AMELITO Q. TAN</t>
  </si>
  <si>
    <t>ASSISSTANT STAT.</t>
  </si>
  <si>
    <t>FERDINAND M. DE GALA</t>
  </si>
  <si>
    <t>2023-SPLIT-04-011</t>
  </si>
  <si>
    <t>23-017-SPLIT</t>
  </si>
  <si>
    <t>ENGR. JOCELYN A. SARILE</t>
  </si>
  <si>
    <t>2023-05-03-10201SP883-01</t>
  </si>
  <si>
    <t>1S11T5S16200GM0415YG</t>
  </si>
  <si>
    <t>KAREN JOY T. TEBERIO</t>
  </si>
  <si>
    <t>2023-SPLIT-04-012</t>
  </si>
  <si>
    <t>2023-05-03-10201SP252-01</t>
  </si>
  <si>
    <t>DESKTOP COMPUTER – (HP PRO SFF 280G9)</t>
  </si>
  <si>
    <t>2023-05-03-10201SP286-01</t>
  </si>
  <si>
    <t>4CE301DH4N</t>
  </si>
  <si>
    <t>ELIZABETH RUIZ</t>
  </si>
  <si>
    <t>2023-05-03-10201SP251-01</t>
  </si>
  <si>
    <t>23-08-025S</t>
  </si>
  <si>
    <t>RONNEL PATUBO</t>
  </si>
  <si>
    <t>23-018-SPLIT</t>
  </si>
  <si>
    <t>PRECIOUS JOY CRISOSTOMO</t>
  </si>
  <si>
    <t>2023-05-03-10201SP250-01</t>
  </si>
  <si>
    <t>2023-05-03-10201SP287-01</t>
  </si>
  <si>
    <t>MELISSA D. PUNSALAN</t>
  </si>
  <si>
    <t>4CE301DH72</t>
  </si>
  <si>
    <t>Regional Budget Officer</t>
  </si>
  <si>
    <t>23-019-SPLIT</t>
  </si>
  <si>
    <t>NICAELA MARIE S. SIBUG</t>
  </si>
  <si>
    <t>23-08-026S</t>
  </si>
  <si>
    <t>SPLIT COS</t>
  </si>
  <si>
    <t>2023-05-03-10201SP247-01</t>
  </si>
  <si>
    <t>GEFELYN A. GOLENG</t>
  </si>
  <si>
    <t>OIC-RCAO</t>
  </si>
  <si>
    <t>23-020-SPLIT</t>
  </si>
  <si>
    <t>JOYCE FORMELOZA</t>
  </si>
  <si>
    <t>2023-05-03-10201SP248-01</t>
  </si>
  <si>
    <t>2023-05-03-10201SP288-01</t>
  </si>
  <si>
    <t>4CE301DH39</t>
  </si>
  <si>
    <t>JEFELYN A. GOLENG</t>
  </si>
  <si>
    <t>23-08-027S</t>
  </si>
  <si>
    <t>2023-05-03-10201SP246-01</t>
  </si>
  <si>
    <t>MARILOU C. BASLAN</t>
  </si>
  <si>
    <t>OIC-ARDAO</t>
  </si>
  <si>
    <t>23-027-SPLIT</t>
  </si>
  <si>
    <t>2023-05-03-10201SP289-01</t>
  </si>
  <si>
    <t>4CE301DH5Q</t>
  </si>
  <si>
    <t>ATTY. MCDONALD M. GALIT</t>
  </si>
  <si>
    <t>REGIONAL DIRECTOR/ REGIONAL PROJECT MANAGER</t>
  </si>
  <si>
    <t>23-08-028S</t>
  </si>
  <si>
    <t>CONCEPCION APRECIO</t>
  </si>
  <si>
    <t>2023-05-03-10201SP944-01</t>
  </si>
  <si>
    <t>1S11T5S16200GM0415T5</t>
  </si>
  <si>
    <t>ATTY. MARVIN V. BERNAL</t>
  </si>
  <si>
    <t>23-001-SPLIT</t>
  </si>
  <si>
    <t>2023-05-03-10201SP290-01</t>
  </si>
  <si>
    <t>4CE301DH7Z</t>
  </si>
  <si>
    <t>24-04-002S</t>
  </si>
  <si>
    <t>SHARMAINE LABUGUEN</t>
  </si>
  <si>
    <t>2023-05-03-10201SP961-01</t>
  </si>
  <si>
    <t>1S11T5S16200GM0418ER</t>
  </si>
  <si>
    <t>ATTY. PACITO CANONOY JR</t>
  </si>
  <si>
    <t>Regional Adjudicator</t>
  </si>
  <si>
    <t>23-002-SPLIT</t>
  </si>
  <si>
    <t>ATTY. PACITO CANONOY JR.</t>
  </si>
  <si>
    <t>2023-05-03-10201SP291-01</t>
  </si>
  <si>
    <t>4CE301DH6C</t>
  </si>
  <si>
    <t>VIVIAN A. SURIAGA</t>
  </si>
  <si>
    <t>23-08-030S</t>
  </si>
  <si>
    <t>MA. KRISTINE B. RECULLO</t>
  </si>
  <si>
    <t>2023-05-03-10201SP957-01</t>
  </si>
  <si>
    <t>1S11T5S16200GM041B5Q</t>
  </si>
  <si>
    <t>CAROL S. VALERA</t>
  </si>
  <si>
    <t>23-005-SPLIT</t>
  </si>
  <si>
    <t>2023-05-03-10201SP292-01</t>
  </si>
  <si>
    <t>4CE301DH75</t>
  </si>
  <si>
    <t>23-08-031S</t>
  </si>
  <si>
    <t>2023-05-03-10201SP956-01</t>
  </si>
  <si>
    <t>HP PRINTER UNSERVICEABLE</t>
  </si>
  <si>
    <t>1S11T5S16200GM041B2K</t>
  </si>
  <si>
    <t>ERWIN RALPH A. LLAMES</t>
  </si>
  <si>
    <t>Regional Supply Officer</t>
  </si>
  <si>
    <t>23-008-SPLIT</t>
  </si>
  <si>
    <t>4CE301DSN5</t>
  </si>
  <si>
    <t>MELVIN ESMEDILLA</t>
  </si>
  <si>
    <t>PLANNING OFFICER II / OIC MARPO</t>
  </si>
  <si>
    <t>SP-2023-08-21</t>
  </si>
  <si>
    <t>2023-05-03-10201SP958-01</t>
  </si>
  <si>
    <t>1S11T5S16200GM0418ES</t>
  </si>
  <si>
    <t>23-006-SPLIT</t>
  </si>
  <si>
    <t>LORIE MAY G. SABANAL</t>
  </si>
  <si>
    <t>2023-05-03-10201SP271-01</t>
  </si>
  <si>
    <t>4CE301DSJM</t>
  </si>
  <si>
    <t>SP-2023-08-22</t>
  </si>
  <si>
    <t>2023-05-03-10201SP946-01</t>
  </si>
  <si>
    <t>1S11T5S16200GM0415YP</t>
  </si>
  <si>
    <t>23-007-SPLIT</t>
  </si>
  <si>
    <t>2023-05-03-10201SP272-01</t>
  </si>
  <si>
    <t>4CE301DSRH</t>
  </si>
  <si>
    <t>SP-2023-08-23</t>
  </si>
  <si>
    <t>2023-05-03-10201SP963-01</t>
  </si>
  <si>
    <t>1S11T5S16200GM0418KJ</t>
  </si>
  <si>
    <t>23-009-SPLIT</t>
  </si>
  <si>
    <t>ANGELO ARNALD SANTOS</t>
  </si>
  <si>
    <t>2023-05-02-10202SP273-01</t>
  </si>
  <si>
    <t>4CE301DSPJ</t>
  </si>
  <si>
    <t>JAMES ARTHUR T. DUBONGCO</t>
  </si>
  <si>
    <t>PARPO II /PROJECT MANAGER</t>
  </si>
  <si>
    <t>23-05-03</t>
  </si>
  <si>
    <t>2023-05-03-10201SP953-01</t>
  </si>
  <si>
    <t>1S11T5S16200GM0415W1</t>
  </si>
  <si>
    <t>PARPO OFFICE</t>
  </si>
  <si>
    <t>LUDIVINA L. VINARAO</t>
  </si>
  <si>
    <t>Regional Planning Officer</t>
  </si>
  <si>
    <t>23-010-SPLIT</t>
  </si>
  <si>
    <t>4CE301DSJ5</t>
  </si>
  <si>
    <t>JOHN BENEDICT MASANA</t>
  </si>
  <si>
    <t>ARPO 1 / ESS STAFF</t>
  </si>
  <si>
    <t>23-10-19</t>
  </si>
  <si>
    <t>2023-05-03-10201SP954-01</t>
  </si>
  <si>
    <t>1S11T5S16200GM041B2P</t>
  </si>
  <si>
    <t>23-011-SPLIT</t>
  </si>
  <si>
    <t>2023-05-02-10201SP275-01</t>
  </si>
  <si>
    <t>4CE301DSJ8</t>
  </si>
  <si>
    <t>2023-05-03-10201SP955-01</t>
  </si>
  <si>
    <t>1S11T5S16200GM0415VM</t>
  </si>
  <si>
    <t>REYNALDO O. FORMELIZA</t>
  </si>
  <si>
    <t>2023-08-16-S</t>
  </si>
  <si>
    <t>JAIJARA DI FLORES</t>
  </si>
  <si>
    <t>23-012-SPLIT</t>
  </si>
  <si>
    <t>2023-05-03-10201SP947-01</t>
  </si>
  <si>
    <t>2023-05-02-10201SP276-01</t>
  </si>
  <si>
    <t>1S11T5S16200GM0415V9</t>
  </si>
  <si>
    <t>4CE301DSM3</t>
  </si>
  <si>
    <t>ROSEMARIE T. DE LEON</t>
  </si>
  <si>
    <t>SUARPO</t>
  </si>
  <si>
    <t>23-013-SPLIT</t>
  </si>
  <si>
    <t>2023-08-17-S</t>
  </si>
  <si>
    <t>CIENNA MAE T DEL ROSARIO</t>
  </si>
  <si>
    <t>2023-05-03-10201SP950-01</t>
  </si>
  <si>
    <t>1S11T5S16200GM0415X7</t>
  </si>
  <si>
    <t>2023-05-02-10201SP277-01</t>
  </si>
  <si>
    <t>4CE301DH3W</t>
  </si>
  <si>
    <t>SHARLENE P. PEREÑO</t>
  </si>
  <si>
    <t>2023-08-18-S</t>
  </si>
  <si>
    <t>MA. NECHOL C. SALUDES</t>
  </si>
  <si>
    <t>2023-05-03-10201SP948-01</t>
  </si>
  <si>
    <t>1S11T5S16200GM041600</t>
  </si>
  <si>
    <t>RUELLA DE LEON</t>
  </si>
  <si>
    <t>23-014-SPLIT</t>
  </si>
  <si>
    <t>4CE301DH7F</t>
  </si>
  <si>
    <t>ENGR. ALJHON V. MANALILI</t>
  </si>
  <si>
    <t>006-08-2023</t>
  </si>
  <si>
    <t>2023-05-03-10201SP951-01</t>
  </si>
  <si>
    <t>1S11T5S16200GM041B4T</t>
  </si>
  <si>
    <t>4CE301DH8C</t>
  </si>
  <si>
    <t>ELENITA HERRERIA</t>
  </si>
  <si>
    <t>013-08-2023</t>
  </si>
  <si>
    <t>NICHOLE POTESTADES</t>
  </si>
  <si>
    <t>2023-05-03-10201SP949-01</t>
  </si>
  <si>
    <t>1S11T5S16200GM0415YN</t>
  </si>
  <si>
    <t>SHEILA D. RESURRECCION</t>
  </si>
  <si>
    <t>23-015-SPLIT</t>
  </si>
  <si>
    <t>MARVIN DUSTIN LIM</t>
  </si>
  <si>
    <t>2023-05-03-10201SP280-01</t>
  </si>
  <si>
    <t>4CE301DH4C</t>
  </si>
  <si>
    <t>015-08-2023</t>
  </si>
  <si>
    <t>2023-05-03-10201SP962-01</t>
  </si>
  <si>
    <t>1S11T5S16200GM041AZ3</t>
  </si>
  <si>
    <t>2023-05-03-10201SP281-01</t>
  </si>
  <si>
    <t>4CE301DHGN</t>
  </si>
  <si>
    <t>2023-08-003</t>
  </si>
  <si>
    <t>JONATHAN RANAS</t>
  </si>
  <si>
    <t>2023-05-03-10201SP282-01</t>
  </si>
  <si>
    <t>4CE301DH3F</t>
  </si>
  <si>
    <t>2023-08-004</t>
  </si>
  <si>
    <t>2023-05-03-10201SP952-01</t>
  </si>
  <si>
    <t>1S11T5S16200GM041B2F</t>
  </si>
  <si>
    <t>23-022-SPLIT</t>
  </si>
  <si>
    <t>AURORA CAYETANO</t>
  </si>
  <si>
    <t>2023-05-03-10201SP283-01</t>
  </si>
  <si>
    <t>4CE301DH6X</t>
  </si>
  <si>
    <t>2023-08-005</t>
  </si>
  <si>
    <t>CRIS BRYAN ANGEO</t>
  </si>
  <si>
    <t>2023-05-03-10201SP945-01</t>
  </si>
  <si>
    <t>1S11T5S16200GM0415VK</t>
  </si>
  <si>
    <t>JOSEFINA M. LOPEZ</t>
  </si>
  <si>
    <t>OIC-ARDA</t>
  </si>
  <si>
    <t>2023-05-03-10201SP284-01</t>
  </si>
  <si>
    <t>23-025-SPLIT</t>
  </si>
  <si>
    <t>4CE301DSP8</t>
  </si>
  <si>
    <t>JHEUS JEROME SAN ESTEBAN</t>
  </si>
  <si>
    <t>2023-SPLIT-08-001</t>
  </si>
  <si>
    <t>2023-05-03-10201SP285-01</t>
  </si>
  <si>
    <t>4CE301DH8R</t>
  </si>
  <si>
    <t>2023-05-03-10201SP959-01</t>
  </si>
  <si>
    <t>2023-SPLIT-08-002</t>
  </si>
  <si>
    <t>1S11T5S16200GM0415Y8</t>
  </si>
  <si>
    <t>RUBY SJ. LAPID</t>
  </si>
  <si>
    <t>AILA MARIE B. QUINTO</t>
  </si>
  <si>
    <t>24-001-SPLIT</t>
  </si>
  <si>
    <t>LAPTOP – (ACER EXTENSA EX215-55G I7)</t>
  </si>
  <si>
    <t>2023-05-02-10202SP206-01</t>
  </si>
  <si>
    <t>D593400</t>
  </si>
  <si>
    <t>23-08-022S</t>
  </si>
  <si>
    <t>2023-05-03-10201SP960-01</t>
  </si>
  <si>
    <t>1S11T5S16200GM041B2J</t>
  </si>
  <si>
    <t>2023-05-02-10202SP207-01</t>
  </si>
  <si>
    <t>LEA C. COLON</t>
  </si>
  <si>
    <t>EF83400</t>
  </si>
  <si>
    <t>ATTY. MA. LILIA O. DELA REA</t>
  </si>
  <si>
    <t>24-002-SPLIT</t>
  </si>
  <si>
    <t>23-08-023S</t>
  </si>
  <si>
    <t>2023-05-02-10202SP208-01</t>
  </si>
  <si>
    <t>BF43400</t>
  </si>
  <si>
    <t>2024-05-13-10204SP04-O1</t>
  </si>
  <si>
    <t>23-08-024S</t>
  </si>
  <si>
    <t>ATTY MARVIN V BERNAL</t>
  </si>
  <si>
    <t>2024-05-003PL</t>
  </si>
  <si>
    <t>DARRO IVB</t>
  </si>
  <si>
    <t>2023-05-03-10202SP35-01</t>
  </si>
  <si>
    <t>NXEGZSPOO330801B5C3400</t>
  </si>
  <si>
    <t>MARIO P. LOPEZ</t>
  </si>
  <si>
    <t>2023-06-007L</t>
  </si>
  <si>
    <t>HV-SPLIT-102-24-05-51</t>
  </si>
  <si>
    <t>2023-05-03-10202SP30-01</t>
  </si>
  <si>
    <t>2024-03-009</t>
  </si>
  <si>
    <t>JASPER CHRISTIAN L. MARALIT</t>
  </si>
  <si>
    <t>DIRECT ISSUANCE FROM CENTRAL</t>
  </si>
  <si>
    <t>2023-05-02-10202SP190-01</t>
  </si>
  <si>
    <t>NXEGZSPOO330801DD93400</t>
  </si>
  <si>
    <t>SP-2023-08-20</t>
  </si>
  <si>
    <t>2024-05-03-10202SP-310-01</t>
  </si>
  <si>
    <t>SHARON TERRIE BALAGOT</t>
  </si>
  <si>
    <t>2023-05-02-10202SP191-01</t>
  </si>
  <si>
    <t>NXEGZSPOO330801DF03400</t>
  </si>
  <si>
    <t>SP-2023-08-19</t>
  </si>
  <si>
    <t>2024-05-03-10202SP-250-01</t>
  </si>
  <si>
    <t>2023-05-03-10202SP31-01</t>
  </si>
  <si>
    <t>ROSEMARIE DE LEON</t>
  </si>
  <si>
    <t>JESSIE PERLADO</t>
  </si>
  <si>
    <t>ARPO 1/PIO</t>
  </si>
  <si>
    <t>23-05-01</t>
  </si>
  <si>
    <t>2023-05-02-10202SP192-01</t>
  </si>
  <si>
    <t>NXEGZSPOO330801BB13400</t>
  </si>
  <si>
    <t>2024-05-03-10202SP-332-01</t>
  </si>
  <si>
    <t>DARPO CAVITE</t>
  </si>
  <si>
    <t>2023-05-02-10202SP193-01</t>
  </si>
  <si>
    <t>NXEGZSPOO330801C653400</t>
  </si>
  <si>
    <t>Palawan</t>
  </si>
  <si>
    <t>2023-05-03-10201SP1000-01</t>
  </si>
  <si>
    <t>1S11T5S16200GM041AZ7</t>
  </si>
  <si>
    <t>JESPER S. MAPANAO</t>
  </si>
  <si>
    <t>ARPT/Documentation/ESS Staff</t>
  </si>
  <si>
    <t>2023-05-03-10202SP932-01</t>
  </si>
  <si>
    <t>NXEGZSP00330801E283400</t>
  </si>
  <si>
    <t>ANGELIQUE T. CALMA</t>
  </si>
  <si>
    <t>LTSPD</t>
  </si>
  <si>
    <t>PAROs OFFICE</t>
  </si>
  <si>
    <t>2023-05-03-10201SP1001-01</t>
  </si>
  <si>
    <t>1S11T5S16200GM041APR</t>
  </si>
  <si>
    <t>MARGIE S. DOFITAS</t>
  </si>
  <si>
    <t>STENOGRAPHIC REPORTER/MIS Coordinator</t>
  </si>
  <si>
    <t>2023-05-02-10202SP194-01</t>
  </si>
  <si>
    <t>NXEGZSPOO330801D9F3400</t>
  </si>
  <si>
    <t>ALBERT A. ARUGAY</t>
  </si>
  <si>
    <t>SATURNINO B .BELLO</t>
  </si>
  <si>
    <t>PROVINCIAL PROJECT MANAGER</t>
  </si>
  <si>
    <t>2023-08-14-S</t>
  </si>
  <si>
    <t>DARPO LAGUNA</t>
  </si>
  <si>
    <t>2023-05-03-10201SP1002-01</t>
  </si>
  <si>
    <t>1S11T5S16200GM0415TN</t>
  </si>
  <si>
    <t>ROSEMARY M. TAMAYO</t>
  </si>
  <si>
    <t>OIC-CAO/Administrative &amp; Finance Officer</t>
  </si>
  <si>
    <t>2023-05-02-10202SP195-01</t>
  </si>
  <si>
    <t>SONIA R. ALCANTARA</t>
  </si>
  <si>
    <t>NXEGZSPOO330801E493400</t>
  </si>
  <si>
    <t>2023-08-15-S</t>
  </si>
  <si>
    <t>2023-05-03-10201SP1003-01</t>
  </si>
  <si>
    <t>1S11T5S16200GM0415VV</t>
  </si>
  <si>
    <t>REMEDIOS S. BACUEL</t>
  </si>
  <si>
    <t>MARPO/OIC-CARPO/CBTA Coordinator</t>
  </si>
  <si>
    <t>2023-05-03-10202SP33-01</t>
  </si>
  <si>
    <t>REY JIMSON F. MUROS</t>
  </si>
  <si>
    <t>ARPT/Cluster 3</t>
  </si>
  <si>
    <t>018-08-2023</t>
  </si>
  <si>
    <t>2023-05-03-10201SP1004-01</t>
  </si>
  <si>
    <t>2023-05-02-10202SP196-01</t>
  </si>
  <si>
    <t>1S11T5S16200GM0415V8</t>
  </si>
  <si>
    <t>NXEGZSP00330801B753400</t>
  </si>
  <si>
    <t>ARLYN B. DORIA</t>
  </si>
  <si>
    <t>ATTY. ERIC FRANCIS G. LUNA</t>
  </si>
  <si>
    <t>PARPO II/Provincial Project Manager</t>
  </si>
  <si>
    <t>016-08-2023</t>
  </si>
  <si>
    <t>TERRENCE PAUL C. PAGUNTALAN</t>
  </si>
  <si>
    <t>2023-05-03-10201SP1005-01</t>
  </si>
  <si>
    <t>1S11T5S16200GM0418GZ</t>
  </si>
  <si>
    <t>2023-05-02-10202SP197-01</t>
  </si>
  <si>
    <t>NXEGZSP00330801E9A3400</t>
  </si>
  <si>
    <t>GENARO G. HERMAN, JR.</t>
  </si>
  <si>
    <t>017-08-2023</t>
  </si>
  <si>
    <t>2023-05-03-10201SP1006-01</t>
  </si>
  <si>
    <t>1S11T5S16200GM0418EE</t>
  </si>
  <si>
    <t>2023-05-02-10202SP34-01</t>
  </si>
  <si>
    <t>NXEGZSP00330801D0D3400</t>
  </si>
  <si>
    <t>MARK LUEL Q. ALBAO</t>
  </si>
  <si>
    <t>EDMUNDO C. ACAIN</t>
  </si>
  <si>
    <t>2023-05-03-10201SP1007-01</t>
  </si>
  <si>
    <t>1S11T5S16200GM041B2L</t>
  </si>
  <si>
    <t>NOEMI D. SARSAGAT</t>
  </si>
  <si>
    <t>CARPO/Parcelization Component/FVT Coordinator</t>
  </si>
  <si>
    <t>2023-05-03-10202SP198-01</t>
  </si>
  <si>
    <t>NXEGZSP00330801F5D3400</t>
  </si>
  <si>
    <t>2023-05-03-10201SP992-01</t>
  </si>
  <si>
    <t>1S11T5S16200GM0415VP</t>
  </si>
  <si>
    <t>CARMELA M. MADARCOS</t>
  </si>
  <si>
    <t>2023-05-03-10202SP199-01</t>
  </si>
  <si>
    <t>BUDGET OFFICER II/Project Budget Officer</t>
  </si>
  <si>
    <t>NXEGZSP00330801D8C3400</t>
  </si>
  <si>
    <t>2023-08-002</t>
  </si>
  <si>
    <t>EANA JAMAICA D. MADRIÑAN</t>
  </si>
  <si>
    <t>LOUIS AURELIO A. NAVA</t>
  </si>
  <si>
    <t>NXEGZSP00330801B263400</t>
  </si>
  <si>
    <t>LAXEL B. GASGA</t>
  </si>
  <si>
    <t>2023-05-03-10201SP993-01</t>
  </si>
  <si>
    <t>1S11T5S16200GM0415VL</t>
  </si>
  <si>
    <t>2023-SPLIT-05-002</t>
  </si>
  <si>
    <t>GINA G. GAVINO</t>
  </si>
  <si>
    <t>ACCOUNTANT III/Project Accountant</t>
  </si>
  <si>
    <t>JANICE BADAJOS</t>
  </si>
  <si>
    <t>2023-05-02-10202SP200-01</t>
  </si>
  <si>
    <t>NXEGZSP00330801F0F3400</t>
  </si>
  <si>
    <t>2023-05-03-10201SP994-01</t>
  </si>
  <si>
    <t>RAUL M. LEONIN</t>
  </si>
  <si>
    <t>1S11T5S16200GM0415VC</t>
  </si>
  <si>
    <t>2023-SPLIT-05-001</t>
  </si>
  <si>
    <t>SPLIT-CPMO</t>
  </si>
  <si>
    <t>2023-05-03-10201SP995-01</t>
  </si>
  <si>
    <t>1S11T5S16200GM0415T6</t>
  </si>
  <si>
    <t>2022-05-02-10202SP27-01</t>
  </si>
  <si>
    <t>RNK1600159</t>
  </si>
  <si>
    <t>SP-2022-05-01</t>
  </si>
  <si>
    <t>SPLIT PERSONNEL</t>
  </si>
  <si>
    <t>2023-05-03-10201SP996-01</t>
  </si>
  <si>
    <t>1S11T5S16200GM0418ET</t>
  </si>
  <si>
    <t>JOCELYN J. PACALDO</t>
  </si>
  <si>
    <t>PLANNING OFFICER II/M&amp;E Coordinator</t>
  </si>
  <si>
    <t>APRIL MAE P. ROA</t>
  </si>
  <si>
    <t>2022--05-02-10202SP28-01</t>
  </si>
  <si>
    <t>RNK1600154</t>
  </si>
  <si>
    <t>2023-05-03-10201SP997-01</t>
  </si>
  <si>
    <t>1S11T5S16200GM0415VR</t>
  </si>
  <si>
    <t>ROSANA Q. BALUYOT</t>
  </si>
  <si>
    <t>SARPO/DENR/LRA-ROD Survey Coordinator</t>
  </si>
  <si>
    <t>REGISTRY OF DEEDS</t>
  </si>
  <si>
    <t>2022-05-02-10202SP29-01</t>
  </si>
  <si>
    <t>RNK1600148</t>
  </si>
  <si>
    <t>2023-05-03-10201SP998-01</t>
  </si>
  <si>
    <t>1S11T5S16200GM041B2N</t>
  </si>
  <si>
    <t>CONRADO S. GUEVARRA</t>
  </si>
  <si>
    <t>PARPO'S OFFICE</t>
  </si>
  <si>
    <t>2022-05-02-10202SP30-01</t>
  </si>
  <si>
    <t>RNK1600146</t>
  </si>
  <si>
    <t>002-11-2022</t>
  </si>
  <si>
    <t>2023-05-03-10201SP999-01</t>
  </si>
  <si>
    <t>1S11T5S16200GM041B4Z</t>
  </si>
  <si>
    <t>2022-05-02-10202SP31-01</t>
  </si>
  <si>
    <t>RNK1600152</t>
  </si>
  <si>
    <t>2023-05-03-10201SP263-01</t>
  </si>
  <si>
    <t>2023-01-001</t>
  </si>
  <si>
    <t>ATTY. MARY JEL B. BACOSA</t>
  </si>
  <si>
    <t>JAYVIE LANE IGLESIA</t>
  </si>
  <si>
    <t>ATTY V/ Legal Coordinator</t>
  </si>
  <si>
    <t>2022-05-02-10202SP32-01</t>
  </si>
  <si>
    <t>RNK1600135</t>
  </si>
  <si>
    <t>2023-05-03-10201SP264-01</t>
  </si>
  <si>
    <t>2023-SPLIT-01-001</t>
  </si>
  <si>
    <t>2024-05-14-10201SPO5-01</t>
  </si>
  <si>
    <t>BBAK00036</t>
  </si>
  <si>
    <t>2023-05-03-10201SP265-01</t>
  </si>
  <si>
    <t>MA. GEMMA A. ESGUERRA</t>
  </si>
  <si>
    <t>ROSSANA Q. BALUYOT</t>
  </si>
  <si>
    <t>SPLIT PROVINCIAL PROJECT MANAGER</t>
  </si>
  <si>
    <t>2024-06-001</t>
  </si>
  <si>
    <t>2023-05-03-10201SP266-01</t>
  </si>
  <si>
    <t>HV-SPLIT-102-24-05-04-045</t>
  </si>
  <si>
    <t>E78947K3H658454</t>
  </si>
  <si>
    <t>24-04-003-S</t>
  </si>
  <si>
    <t>2023-05-03-10201SP267-01</t>
  </si>
  <si>
    <t>JESFER S. MAPANAO</t>
  </si>
  <si>
    <t>HV-SPLIT-102-24-05-04-046</t>
  </si>
  <si>
    <t>E78947K3H658359</t>
  </si>
  <si>
    <t>BUENAFE C BERNABE</t>
  </si>
  <si>
    <t>24-04-001</t>
  </si>
  <si>
    <t>Romblon</t>
  </si>
  <si>
    <t>2023-05-03-10201SP1013-01</t>
  </si>
  <si>
    <t>1S11T5S16200GM0418BP</t>
  </si>
  <si>
    <t>ENGR. ROGELIO D. MADARCOS</t>
  </si>
  <si>
    <t>HV-SPLIT-102-24-05-04-048</t>
  </si>
  <si>
    <t>2023-05-03-10201SP-1008-01</t>
  </si>
  <si>
    <t>E78947K3H658322</t>
  </si>
  <si>
    <t>1S11T5S16200GM0418HA</t>
  </si>
  <si>
    <t>Administrative and Finance Officer/ CBTA for Implementers</t>
  </si>
  <si>
    <t>240-04-002</t>
  </si>
  <si>
    <t>PARO OFFICE PERSONNEL</t>
  </si>
  <si>
    <t>2023-05-03-10201SP1009-01</t>
  </si>
  <si>
    <t>1S11T5S16200GM0418HT</t>
  </si>
  <si>
    <t>IRENE B. MAULLON</t>
  </si>
  <si>
    <t>HV-SPLIT-102-24-05-04-049</t>
  </si>
  <si>
    <t>LEGAL STAFF</t>
  </si>
  <si>
    <t>E78947L3H871404</t>
  </si>
  <si>
    <t>2024-04-003</t>
  </si>
  <si>
    <t>CAROLINA L. LIZO</t>
  </si>
  <si>
    <t>2023-05-03-10201SP1010-01</t>
  </si>
  <si>
    <t>1S11T5S16200GM0418GH</t>
  </si>
  <si>
    <t>LORILE PADUA</t>
  </si>
  <si>
    <t>HV-SPLIT-102-24-05-04-050</t>
  </si>
  <si>
    <t>E78947K3H658271</t>
  </si>
  <si>
    <t>2024-04-004</t>
  </si>
  <si>
    <t>2023-05-03-10201SP1011-01</t>
  </si>
  <si>
    <t>1S11T5S16200GM041AZ5</t>
  </si>
  <si>
    <t>FELINO DAVID MAGALLON</t>
  </si>
  <si>
    <t>HV-SPLIT-102-24-05-04-052</t>
  </si>
  <si>
    <t>E78947K3H658410</t>
  </si>
  <si>
    <t>2023-05-03-10201SP1012-01</t>
  </si>
  <si>
    <t>1S11T5S16200GM0418HP</t>
  </si>
  <si>
    <t>WILFRED GABUTERO</t>
  </si>
  <si>
    <t>HV-SPLIT-102-24-05-04-056</t>
  </si>
  <si>
    <t>E78947H3H281845</t>
  </si>
  <si>
    <t>2024-SPLIT-01-0001</t>
  </si>
  <si>
    <t>COA USER</t>
  </si>
  <si>
    <t>MONITOR UNSERVICEABLE</t>
  </si>
  <si>
    <t>CLAIRE FETALVER</t>
  </si>
  <si>
    <t>ARPO OO/OIC-CARPO</t>
  </si>
  <si>
    <t>Marinduque</t>
  </si>
  <si>
    <t>2024-05-03-10202SP-249-01</t>
  </si>
  <si>
    <t>NXVXKSP00341913BEF7600</t>
  </si>
  <si>
    <t>2023-05-03-1020ISP970-01</t>
  </si>
  <si>
    <t>1S11T5S16200GM0418HS</t>
  </si>
  <si>
    <t>SALVADOR M. JAMILLA JR.</t>
  </si>
  <si>
    <t>ESS REGIONAL COORDINATOR</t>
  </si>
  <si>
    <t>SALVADOR M. JAMILLA</t>
  </si>
  <si>
    <t>2023-05-03-1020ISP964-01</t>
  </si>
  <si>
    <t>1S11T5S16200GM041B2R</t>
  </si>
  <si>
    <t>DORINA M. MALAPOTE</t>
  </si>
  <si>
    <t>ASST. STATISTICIAN</t>
  </si>
  <si>
    <t>2023-05-03-12020ISP968-01</t>
  </si>
  <si>
    <t>1S11T5S16200GM041B5X</t>
  </si>
  <si>
    <t>HVSPLIT-102-24-05-01-048</t>
  </si>
  <si>
    <t>ALMA J. SENA</t>
  </si>
  <si>
    <t>HRM AIDE</t>
  </si>
  <si>
    <t>2023-05-03-1020ISP974-01</t>
  </si>
  <si>
    <t>1S11T5S16200GM041B2Q</t>
  </si>
  <si>
    <t>GELLI ANNE F. PANTOJA</t>
  </si>
  <si>
    <t>HVSPLIT-102-24-05-01-049</t>
  </si>
  <si>
    <t>2023-05-03-1020ISP969-01</t>
  </si>
  <si>
    <t>1S11T5S16200GM0418HN</t>
  </si>
  <si>
    <t>DARVIN MAGDURULANG</t>
  </si>
  <si>
    <t>HVSPLIT-102-24-05-01-050</t>
  </si>
  <si>
    <t>2023-05-03-1020ISP971-01</t>
  </si>
  <si>
    <t>1S11T5S16200GM0415VQ</t>
  </si>
  <si>
    <t>IMELDA L. LLANES</t>
  </si>
  <si>
    <t>HVSPLIT-102-24-05-01-051</t>
  </si>
  <si>
    <t>2023-05-03-1020ISP972-01</t>
  </si>
  <si>
    <t>1S11T5S16200GM041B5W</t>
  </si>
  <si>
    <t>ANGELICA M. JAGONG</t>
  </si>
  <si>
    <t>HVSPLIT-102-24-05-01-052</t>
  </si>
  <si>
    <t>2023-05-03-1020ISP967-01</t>
  </si>
  <si>
    <t>1S11T5S16200GM0415XB</t>
  </si>
  <si>
    <t>TIRSO M. SARMIENTO</t>
  </si>
  <si>
    <t>HVSPLIT-102-24-05-01-053</t>
  </si>
  <si>
    <t>2023-05-03-1020ISP973-01</t>
  </si>
  <si>
    <t>1S11T5S16200GM0415YR</t>
  </si>
  <si>
    <t>RON MICHAEL L. MAGAHIS</t>
  </si>
  <si>
    <t>ACCOUNTANT</t>
  </si>
  <si>
    <t>HVSPLIT-102-24-05-01-171</t>
  </si>
  <si>
    <t>2023-05-03-1020ISP966-01</t>
  </si>
  <si>
    <t>1S11T5S16200GM03S3PX</t>
  </si>
  <si>
    <t>OLLIE F. DAVALOS</t>
  </si>
  <si>
    <t>HVSPLIT-102-24-05-01-275</t>
  </si>
  <si>
    <t>2023-05-03-1020ISP965-01</t>
  </si>
  <si>
    <t>1S11T5S16200GM041AYX</t>
  </si>
  <si>
    <t>MARIDEL SENA</t>
  </si>
  <si>
    <t>HVSPLIT-102-24-05-01-276</t>
  </si>
  <si>
    <t>2023-05-03-1020ISP975-01</t>
  </si>
  <si>
    <t>1S11T5S16200GM041B65</t>
  </si>
  <si>
    <t>BARBARA V. MENDOZA</t>
  </si>
  <si>
    <t>HVSPLIT-102-24-05-01-277</t>
  </si>
  <si>
    <t>2023-05-03-1020ISP255-01</t>
  </si>
  <si>
    <t>CHERRIE MANUBA</t>
  </si>
  <si>
    <t>HVSPLIT-102-24-05-01-278</t>
  </si>
  <si>
    <t>2023-05-03-1020ISP256-01</t>
  </si>
  <si>
    <t>DARLENE DAMAYAN</t>
  </si>
  <si>
    <t>HVSPLIT-102-24-05-01-279</t>
  </si>
  <si>
    <t>2023-05-03-1020ISP257-01</t>
  </si>
  <si>
    <t>ALDIN N. MARTILLANO</t>
  </si>
  <si>
    <t>HVSPLIT-102-24-05-01-280</t>
  </si>
  <si>
    <t>2023-05-03-1020ISP253.01</t>
  </si>
  <si>
    <t>FELICITAS R. PEDRIGAL</t>
  </si>
  <si>
    <t>HVSPLIT-102-24-05-01-281</t>
  </si>
  <si>
    <t>2023-05-03-1020ISP254-01</t>
  </si>
  <si>
    <t>MA. PERPETUA P. VIZARRA</t>
  </si>
  <si>
    <t>HVSPLIT-102-24-05-01-282</t>
  </si>
  <si>
    <t>HV-SPLIT-102-24-05-65</t>
  </si>
  <si>
    <t>DARPO MARINDUQUE</t>
  </si>
  <si>
    <t>HVSPLIT-102-24-05-01-283</t>
  </si>
  <si>
    <t>Occidental Mindoro</t>
  </si>
  <si>
    <t>2023-05-03-10201SP977-01</t>
  </si>
  <si>
    <t>1S11T5S16200GM0418H4</t>
  </si>
  <si>
    <t>ADELYN CABRIEL</t>
  </si>
  <si>
    <t>HVSPLIT-102-24-05-01-284</t>
  </si>
  <si>
    <t>AOIV</t>
  </si>
  <si>
    <t>2023-07-0003</t>
  </si>
  <si>
    <t>STO</t>
  </si>
  <si>
    <t>HVSPLIT-102-24-05-01-285</t>
  </si>
  <si>
    <t>2023-05-03-10201SP976-01
 2023-05-03-10201SP916-01</t>
  </si>
  <si>
    <t>1S11T5S16200GM041B66</t>
  </si>
  <si>
    <t>EDMUND ALMOGELA</t>
  </si>
  <si>
    <t>HVSPLIT-102-24-05-01-286</t>
  </si>
  <si>
    <t>2023-07-0002</t>
  </si>
  <si>
    <t>2023-05-03-10201SP982-01</t>
  </si>
  <si>
    <t>1S11T5S16200GM041B2H</t>
  </si>
  <si>
    <t>ISRAEL PALINO</t>
  </si>
  <si>
    <t>ATTY. V / CHIEF LEGAL</t>
  </si>
  <si>
    <t>2023-07-0001</t>
  </si>
  <si>
    <t>HVSPLIT-102-24-05-01-287</t>
  </si>
  <si>
    <t>2023-05-03-10201SP978-01</t>
  </si>
  <si>
    <t>1S11T5S16200GM041B5R</t>
  </si>
  <si>
    <t>LYDIA SARMIENTO</t>
  </si>
  <si>
    <t>2023-07-0004</t>
  </si>
  <si>
    <t>HVSPLIT-102-24-05-01-288</t>
  </si>
  <si>
    <t>2023-05-03-10201SP981-01</t>
  </si>
  <si>
    <t>1S11T5S16200GM0415YK</t>
  </si>
  <si>
    <t>2023-07-0007</t>
  </si>
  <si>
    <t>HVSPLIT-102-24-05-01-289</t>
  </si>
  <si>
    <t>2023-05-03-10201SP980-01</t>
  </si>
  <si>
    <t>1S11T5S16200GM041B2G</t>
  </si>
  <si>
    <t>LYKA JAMILLE SANO</t>
  </si>
  <si>
    <t>HVSPLIT-102-24-05-01-290</t>
  </si>
  <si>
    <t>2023-07-0006</t>
  </si>
  <si>
    <t>2023-05-03-10201SP983-01</t>
  </si>
  <si>
    <t>1S11T5S16200GM0418EG</t>
  </si>
  <si>
    <t>RODRIGO P. MAZO</t>
  </si>
  <si>
    <t>HVSPLIT-102-24-05-01-165</t>
  </si>
  <si>
    <t>2023-07-0008</t>
  </si>
  <si>
    <t>DOUBLE CABIN PICK-UP VEHICLES – MITSUBISHI STRADA</t>
  </si>
  <si>
    <t>2023-05-03-10201SP979-01</t>
  </si>
  <si>
    <t>1S11T5S16200GM041B5Z</t>
  </si>
  <si>
    <t>ULYSIE ROBLES</t>
  </si>
  <si>
    <t>2023-07-0005</t>
  </si>
  <si>
    <t>2023-06-01-1020ISP59-01</t>
  </si>
  <si>
    <t>SNC 1099</t>
  </si>
  <si>
    <t>DALANGIN CEFERINA S. PAREL</t>
  </si>
  <si>
    <t>PARCELIZATION COORDINATOR FOR SPLIT</t>
  </si>
  <si>
    <t>24-02-001S</t>
  </si>
  <si>
    <t>2023-05-03-10201SP259-01</t>
  </si>
  <si>
    <t>2023-10-0001</t>
  </si>
  <si>
    <t>2023-06-01-1020ISP60-01</t>
  </si>
  <si>
    <t>SNC 1159</t>
  </si>
  <si>
    <t>2023-05-03-10201SP258-01</t>
  </si>
  <si>
    <t>IZRAEL CONVOCAR</t>
  </si>
  <si>
    <t>ARD/ASST. PROJECT MANAGER</t>
  </si>
  <si>
    <t>Accountant</t>
  </si>
  <si>
    <t>23-09-033S</t>
  </si>
  <si>
    <t>2023-10-0002</t>
  </si>
  <si>
    <t>IZRAEL A. CONVOCAR</t>
  </si>
  <si>
    <t>HV-SPLIT-102-24-05-74</t>
  </si>
  <si>
    <t>2023-06-01-10201SP61-01</t>
  </si>
  <si>
    <t>SNC 1208</t>
  </si>
  <si>
    <t>ABDULLAH L. LINOG.Sh.L.,J.D.</t>
  </si>
  <si>
    <t>SP2024-02-01</t>
  </si>
  <si>
    <t>possible typo-error, actual unit 077 Registered in Palawan</t>
  </si>
  <si>
    <t>Oriental Mindoro</t>
  </si>
  <si>
    <t>2023-05-03-10201SP984-01</t>
  </si>
  <si>
    <t>1S11T5S16200GM0415VT</t>
  </si>
  <si>
    <t>MARISEL M. HERNANDEZ</t>
  </si>
  <si>
    <t>23-120</t>
  </si>
  <si>
    <t>2023-06-01-1020SP62-01</t>
  </si>
  <si>
    <t>SNC 1166</t>
  </si>
  <si>
    <t>2023-05-03-10201SP985-01</t>
  </si>
  <si>
    <t>1S11T5S16200GM0418EC</t>
  </si>
  <si>
    <t>MITCHELLE B. QUISIERA</t>
  </si>
  <si>
    <t>23-125</t>
  </si>
  <si>
    <t>2023-06-01-10201SP63-01</t>
  </si>
  <si>
    <t>GALINATO, MARRY JANE L.</t>
  </si>
  <si>
    <t>SNC 1109</t>
  </si>
  <si>
    <t>2023-10-19-S</t>
  </si>
  <si>
    <t>2023-05-03-10201SP986-01</t>
  </si>
  <si>
    <t>1S11T5S16200GM041B2E</t>
  </si>
  <si>
    <t>2023-06-01-10201SP64-01</t>
  </si>
  <si>
    <t>LALAP, MARICEL P.</t>
  </si>
  <si>
    <t>SNC 1141</t>
  </si>
  <si>
    <t>ACTING AO-IV</t>
  </si>
  <si>
    <t>23-180</t>
  </si>
  <si>
    <t>ULIP, CHARLES GIAN</t>
  </si>
  <si>
    <t>007-09-2023</t>
  </si>
  <si>
    <t>2023-05-03-10201SP987-01</t>
  </si>
  <si>
    <t>1S11T5S16200GM041B2M</t>
  </si>
  <si>
    <t>MARIANNE L. PANGCALIWAGAN</t>
  </si>
  <si>
    <t>2023-06-01-10201SP65-01</t>
  </si>
  <si>
    <t>23-135</t>
  </si>
  <si>
    <t>SNC 1110</t>
  </si>
  <si>
    <t>MATUTINA, RHEYNOLD D.</t>
  </si>
  <si>
    <t>DARPO QUEZON II</t>
  </si>
  <si>
    <t>2023-05-03-10201SP988-01</t>
  </si>
  <si>
    <t>1S11T5S16200GM041B4S</t>
  </si>
  <si>
    <t>2023-06-01-10201SP66-01</t>
  </si>
  <si>
    <t>SNC 1102</t>
  </si>
  <si>
    <t>PARPO II/OIC-CARPO LTID</t>
  </si>
  <si>
    <t>23-140</t>
  </si>
  <si>
    <t>LABANIEGO, BRYAN</t>
  </si>
  <si>
    <t>2023-SPLIT-10-001</t>
  </si>
  <si>
    <t>DARPO RIZAL</t>
  </si>
  <si>
    <t>2023-05-03-10201SP989-01</t>
  </si>
  <si>
    <t>1S11T5S16200GM0415ZT</t>
  </si>
  <si>
    <t>DOMINGO LAGGUI</t>
  </si>
  <si>
    <t>CARTOGTRAPHER</t>
  </si>
  <si>
    <t>23-145</t>
  </si>
  <si>
    <t>EVANGELISTA, JEANEL</t>
  </si>
  <si>
    <t>MOTORCYCLE – (HONDA XRL 150)</t>
  </si>
  <si>
    <t>UNSERVICEABLE (UPS)</t>
  </si>
  <si>
    <t>2023-06-01-10202SP127-01</t>
  </si>
  <si>
    <t>CRISPINA L. MADRIGAL</t>
  </si>
  <si>
    <t>SP-2023-05-03</t>
  </si>
  <si>
    <t>2023-05-03-10201SP990-01</t>
  </si>
  <si>
    <t>ELVIN F. MIRASOL</t>
  </si>
  <si>
    <t>1S11T5S16200GM0418ED</t>
  </si>
  <si>
    <t>DARMO/NASUGBU</t>
  </si>
  <si>
    <t>23-150</t>
  </si>
  <si>
    <t>ADARLO, PATRICIA MAE</t>
  </si>
  <si>
    <t>2023-05-03-10201SP991-01</t>
  </si>
  <si>
    <t>1S11T5S16200GM0418HC</t>
  </si>
  <si>
    <t>WILSON DELICA</t>
  </si>
  <si>
    <t>2023-06-01-10202SP128-01</t>
  </si>
  <si>
    <t>23-155</t>
  </si>
  <si>
    <t>RAMON ESPINA JR</t>
  </si>
  <si>
    <t>Assistant Statistician</t>
  </si>
  <si>
    <t>SP-2023-11-25</t>
  </si>
  <si>
    <t>RAMON L. ESPINA JR.</t>
  </si>
  <si>
    <t>DARMO/SAN JUAN</t>
  </si>
  <si>
    <t>2023-05-03-10201SP260-01</t>
  </si>
  <si>
    <t>RENE B. CATLY</t>
  </si>
  <si>
    <t>23-303</t>
  </si>
  <si>
    <t>BENTER, BUENA PLEIDA A</t>
  </si>
  <si>
    <t>2023-06-01-10202SP129-01</t>
  </si>
  <si>
    <t>ANDRES IRENEO MACAISA</t>
  </si>
  <si>
    <t>SP-2023-05-02</t>
  </si>
  <si>
    <t>DARMO/CALACA</t>
  </si>
  <si>
    <t>2023-05-03-10201SP261-01</t>
  </si>
  <si>
    <t>SARAH JESSICA L. CODERIAS</t>
  </si>
  <si>
    <t>23-307</t>
  </si>
  <si>
    <t>2023-05-02-10202SP130-01</t>
  </si>
  <si>
    <t>ARPO II/PARCELIZATION COORDINATOR</t>
  </si>
  <si>
    <t>2023-05-03-10201SP262-01</t>
  </si>
  <si>
    <t>JESUS FRANCO B. LASQUITE</t>
  </si>
  <si>
    <t>ATTORNEY V</t>
  </si>
  <si>
    <t>23-311</t>
  </si>
  <si>
    <t>ACHA,PRINCESS KAILA</t>
  </si>
  <si>
    <t>2023-05-02-10202SP131-01</t>
  </si>
  <si>
    <t>HV-SPLIT-102-24-05-75</t>
  </si>
  <si>
    <t>EVANGELISTA, JEAN GERLENE</t>
  </si>
  <si>
    <t>DARPO OR MINDORO</t>
  </si>
  <si>
    <t>2023-06-01-10202SP132-01</t>
  </si>
  <si>
    <t>REDERICK MIRANDA</t>
  </si>
  <si>
    <t>HV-SPLIT-102-24-05-77</t>
  </si>
  <si>
    <t>DARPO PALAWAN</t>
  </si>
  <si>
    <t>2023-06-01-10202SP133-01</t>
  </si>
  <si>
    <t>ALEKSON CALAPINE</t>
  </si>
  <si>
    <t>2023-05-03-10202SP209-01</t>
  </si>
  <si>
    <t>2023-06-01-10202SP134-01</t>
  </si>
  <si>
    <t>MATTHEW LALONG ISIP</t>
  </si>
  <si>
    <t>2023-05-03-10202SP211-01</t>
  </si>
  <si>
    <t>2023-06-01-10202SP135-01</t>
  </si>
  <si>
    <t>008-01-2023</t>
  </si>
  <si>
    <t>2023-05-03-10202SP210-01</t>
  </si>
  <si>
    <t>2023-06-01-10202SP136-01</t>
  </si>
  <si>
    <t>009-01-2023</t>
  </si>
  <si>
    <t>2023-05-03-10202SP36-01</t>
  </si>
  <si>
    <t>SHARON TERRIE P. BALAGOT</t>
  </si>
  <si>
    <t>RIO</t>
  </si>
  <si>
    <t>23-026-SPLIT</t>
  </si>
  <si>
    <t>2023-06-01-10202SP137-01</t>
  </si>
  <si>
    <t>010-01-2023</t>
  </si>
  <si>
    <t>2023-05-03-10202SP218-01</t>
  </si>
  <si>
    <t>Documentation/ESS Support Staff</t>
  </si>
  <si>
    <t>2023-06-01-10202SP138-01</t>
  </si>
  <si>
    <t>2023-05-03-10202SP219-01</t>
  </si>
  <si>
    <t>2023-02-001</t>
  </si>
  <si>
    <t>Component/FVT Coordinator</t>
  </si>
  <si>
    <t>2023-06-01-10202SP139-01</t>
  </si>
  <si>
    <t>2023-05-03-10202SP220-01</t>
  </si>
  <si>
    <t>AMADO A. PINEDA, JR.</t>
  </si>
  <si>
    <t>MARPO-DARMO SAN NARCISO</t>
  </si>
  <si>
    <t>CARPO/CBTA Coordinator</t>
  </si>
  <si>
    <t>DARMO-SAN NARCISO</t>
  </si>
  <si>
    <t>RECHEL T. BELO</t>
  </si>
  <si>
    <t>2023-05-03-10202SP37-01</t>
  </si>
  <si>
    <t>2023-06-01-10202SP140-01</t>
  </si>
  <si>
    <t>JEANSON R. FADRI</t>
  </si>
  <si>
    <t>ARPO I/PIO</t>
  </si>
  <si>
    <t>MARLON ALCARAZ</t>
  </si>
  <si>
    <t>2023-05-03-1020SP221-01</t>
  </si>
  <si>
    <t>2023-06-01-10202SP141-01</t>
  </si>
  <si>
    <t>ALDRIN FORTUNO</t>
  </si>
  <si>
    <t>2023-05-03-10202SP212-01</t>
  </si>
  <si>
    <t>2023-06-01-10202SP142-01</t>
  </si>
  <si>
    <t>VINCHELLE MARALIT</t>
  </si>
  <si>
    <t>2023-05-03-10202SP214-01</t>
  </si>
  <si>
    <t>VIRGILIO L. LAGGUI</t>
  </si>
  <si>
    <t>2023-06-01-10202SP143-01</t>
  </si>
  <si>
    <t>2023-SPLIT-02-001</t>
  </si>
  <si>
    <t>2023-05-03-10202SP213-01</t>
  </si>
  <si>
    <t>RAFAELA L. OIRLLA</t>
  </si>
  <si>
    <t>RAFAELA L. ORILLA</t>
  </si>
  <si>
    <t>2023-05-003-10202SP40-01</t>
  </si>
  <si>
    <t>YUNIUKA YSA G. LASIC</t>
  </si>
  <si>
    <t>YUNIKA YSA G. LASIC</t>
  </si>
  <si>
    <t>2023-05-03-10202SP215-01</t>
  </si>
  <si>
    <t>MICHAEL DAGOHOY</t>
  </si>
  <si>
    <t>2023-10-0003</t>
  </si>
  <si>
    <t>LYDIA S. SARMIENTO</t>
  </si>
  <si>
    <t>2023-05-03-10202SP38-01</t>
  </si>
  <si>
    <t>PAULO PEREZ</t>
  </si>
  <si>
    <t>2023-10-0004</t>
  </si>
  <si>
    <t>SHERYL CABAGAY</t>
  </si>
  <si>
    <t>2023-05-03-10202SP39-01</t>
  </si>
  <si>
    <t>DERK LLOYD C. CABUHAL</t>
  </si>
  <si>
    <t>23-339</t>
  </si>
  <si>
    <t>2023-05-03-10201SP216-01</t>
  </si>
  <si>
    <t>PAGCALIWAGAN, MARIANNE L</t>
  </si>
  <si>
    <t>23-315</t>
  </si>
  <si>
    <t>2024-05-03-10202SPO44-01</t>
  </si>
  <si>
    <t>2023-05-03-10201SP217-01</t>
  </si>
  <si>
    <t>23-316</t>
  </si>
  <si>
    <t>2022-05-02-10202SP37-01</t>
  </si>
  <si>
    <t>2023-08-020</t>
  </si>
  <si>
    <t>SPLIT-PPMO</t>
  </si>
  <si>
    <t>2026-06-01-10201SP093-01</t>
  </si>
  <si>
    <t>SGA7191</t>
  </si>
  <si>
    <t>PACITA E. CUADRA</t>
  </si>
  <si>
    <t>HVSPLIT-102-24-05-01-400</t>
  </si>
  <si>
    <t>LTS/CARETAKER/SARPO</t>
  </si>
  <si>
    <t>2026-06-01-10201SP092-01</t>
  </si>
  <si>
    <t>SGA7196</t>
  </si>
  <si>
    <t>HVSPLIT-102-24-05-01-399</t>
  </si>
  <si>
    <t>ROMMEL Q. BOTE</t>
  </si>
  <si>
    <t>2026-06-01-10201SP091-01</t>
  </si>
  <si>
    <t>SGA7197</t>
  </si>
  <si>
    <t>CATHERINE O BRUCAL</t>
  </si>
  <si>
    <t>2022-05-02-10202SP36-01</t>
  </si>
  <si>
    <t>2026-06-01-10201SP096-01</t>
  </si>
  <si>
    <t>SGA7190</t>
  </si>
  <si>
    <t>RAUL LEONIN</t>
  </si>
  <si>
    <t>2026-06-01-10201SP094-01</t>
  </si>
  <si>
    <t>SGA7192</t>
  </si>
  <si>
    <t>2022-05-02-10202SP35-01</t>
  </si>
  <si>
    <t>KAROLINA ERIKA A. BUTED</t>
  </si>
  <si>
    <t>2026-06-01-10201SP095-01</t>
  </si>
  <si>
    <t>SGA7189</t>
  </si>
  <si>
    <t>REYNALD L. RAMOS</t>
  </si>
  <si>
    <t>2022-05-02-10202SP33-01</t>
  </si>
  <si>
    <t>2022-05-02-10202SP34-01</t>
  </si>
  <si>
    <t>23-022</t>
  </si>
  <si>
    <t>HVSPLIT-102-247-05-01-404</t>
  </si>
  <si>
    <t>A VICTORIA SANTOS</t>
  </si>
  <si>
    <t>HVSPLIT-102-247-05-01-405</t>
  </si>
  <si>
    <t>NANCY ALMINANZA</t>
  </si>
  <si>
    <t>HVSPLIT-102-247-05-01-406</t>
  </si>
  <si>
    <t>HVSPLIT-102-247-05-01-407</t>
  </si>
  <si>
    <t>HVSPLIT-102-247-05-01-408</t>
  </si>
  <si>
    <t>HVSPLIT-102-247-05-01-055</t>
  </si>
  <si>
    <t>HVSPLIT-102-247-05-01-054</t>
  </si>
  <si>
    <t>HVSPLIT-102-247-05-01-172</t>
  </si>
  <si>
    <t>HVSPLIT-102-247-05-01-393</t>
  </si>
  <si>
    <t>HVSPLIT-102-247-05-01-394</t>
  </si>
  <si>
    <t>HVSPLIT-102-247-05-01-395</t>
  </si>
  <si>
    <t>HVSPLIT-102-247-05-01-396</t>
  </si>
  <si>
    <t>HVSPLIT-102-247-05-01-397</t>
  </si>
  <si>
    <t>HVSPLIT-102-247-05-01-398</t>
  </si>
  <si>
    <t>HVSPLIT-102-247-05-01-403</t>
  </si>
  <si>
    <t>HVSPLIT-102-24-05-01-401</t>
  </si>
  <si>
    <t>HVSPLIT-102-24-05-01-402</t>
  </si>
  <si>
    <t>LASQUITE, JESUS FRANCO B</t>
  </si>
  <si>
    <t>2023-06-01-10201SP71-01</t>
  </si>
  <si>
    <t>SNC 1126/NFX-1806</t>
  </si>
  <si>
    <t>23-023-SPLIT</t>
  </si>
  <si>
    <t>2023-06-01-10201SP68-01</t>
  </si>
  <si>
    <t>SNC 1165</t>
  </si>
  <si>
    <t>23-024-SPLIT</t>
  </si>
  <si>
    <t>2023-06-01-10201SP73-01</t>
  </si>
  <si>
    <t xml:space="preserve">SNC 1127 </t>
  </si>
  <si>
    <t>2023-10-006</t>
  </si>
  <si>
    <t>2023-06-01-10201SP72-01</t>
  </si>
  <si>
    <t>SNC 1100</t>
  </si>
  <si>
    <t>DARPO personnel</t>
  </si>
  <si>
    <t>GENERAL DISPATCH</t>
  </si>
  <si>
    <t>2023-06-01-10201SP67-01</t>
  </si>
  <si>
    <t>SNC 1204</t>
  </si>
  <si>
    <t>AIDALINE M. SEVILLA</t>
  </si>
  <si>
    <t>2023-09-027</t>
  </si>
  <si>
    <t>2023-06-01-10201SP70-01</t>
  </si>
  <si>
    <t xml:space="preserve">SNC-1122 </t>
  </si>
  <si>
    <t>Ferdinand M De Gala</t>
  </si>
  <si>
    <t>OIC PARPO II</t>
  </si>
  <si>
    <t>2023-10-0005</t>
  </si>
  <si>
    <t>Dispatch vehicle for SPLIT Activities</t>
  </si>
  <si>
    <t>2023-06-01-10201SP69-01</t>
  </si>
  <si>
    <t>SNC-1196</t>
  </si>
  <si>
    <t>23-338</t>
  </si>
  <si>
    <t>TAPON, JOEL P.</t>
  </si>
  <si>
    <t>2023-06-01-10202SP154-01</t>
  </si>
  <si>
    <t>ACCOUNTANT II/Project Accountant</t>
  </si>
  <si>
    <t>2023-08-010</t>
  </si>
  <si>
    <t>JOHNMARK D. MADARCOS (DARMO-ROXAS)</t>
  </si>
  <si>
    <t>2023-06-01-10202SP155-01</t>
  </si>
  <si>
    <t>DARPO-PALAWAN</t>
  </si>
  <si>
    <t>2023-06-01-10202SP156-01</t>
  </si>
  <si>
    <t>MARLENE P. DOLOROSA</t>
  </si>
  <si>
    <t>CASHIER II/Project Cashier</t>
  </si>
  <si>
    <t>223-06-012</t>
  </si>
  <si>
    <t>CRISHARINE T. VENTURILLO (DARMO-ABORLAN)</t>
  </si>
  <si>
    <t>2023-06-01-10202SP157-01</t>
  </si>
  <si>
    <t>2023-06-01-10202SP158-01</t>
  </si>
  <si>
    <t>2023-06-01-10202SP159-01</t>
  </si>
  <si>
    <t>2023-06-01-10202SP160-01</t>
  </si>
  <si>
    <t>2023-06-01-10202SP161-01</t>
  </si>
  <si>
    <t>JOEL C. CARASIG (DARMO-NARRA)</t>
  </si>
  <si>
    <t>2023-06-01-10202SP162-01</t>
  </si>
  <si>
    <t>SILHOUETTE B. ADOBAS</t>
  </si>
  <si>
    <t>2023-06-01-10202SP163-01</t>
  </si>
  <si>
    <t>2023-06-01-10202SP165-01</t>
  </si>
  <si>
    <t>765 SNE</t>
  </si>
  <si>
    <t>2023-05-001</t>
  </si>
  <si>
    <t>2023-06-01-10202sp144-01</t>
  </si>
  <si>
    <t>NEIL CARLO FABALEÑA</t>
  </si>
  <si>
    <t>DARMO BOAC</t>
  </si>
  <si>
    <t>2023-06-01-10202SP145-01</t>
  </si>
  <si>
    <t>JOHN PAOLO M. LLANES</t>
  </si>
  <si>
    <t>2023-06-01-10202SP146-01</t>
  </si>
  <si>
    <t>JERRY B. JAYAG</t>
  </si>
  <si>
    <t>DARMO TORIJOS</t>
  </si>
  <si>
    <t>2023-06-01-10202SP147-02</t>
  </si>
  <si>
    <t>EMMANUEL M. LLAMAS</t>
  </si>
  <si>
    <t>EMMANUEL M. LLANES</t>
  </si>
  <si>
    <t>DARMO SANTA CRUZ</t>
  </si>
  <si>
    <t>2023-06-01-10202SP149-01</t>
  </si>
  <si>
    <t>2023-06-01-10202SP148-01</t>
  </si>
  <si>
    <t>ALMA S.J. SENA</t>
  </si>
  <si>
    <t>2023-06-01-102022P164-01</t>
  </si>
  <si>
    <t>ISAGANI G. PLACIDO</t>
  </si>
  <si>
    <t>2023-06-01-102022P150-01</t>
  </si>
  <si>
    <t>2023-06-01-10202SP151-01</t>
  </si>
  <si>
    <t>ROCMA MACARASAM</t>
  </si>
  <si>
    <t>23-023</t>
  </si>
  <si>
    <t>MOSES MARISCOTES</t>
  </si>
  <si>
    <t>DARMO C-2</t>
  </si>
  <si>
    <t>2023-06-1-10202SP152-01</t>
  </si>
  <si>
    <t>23-024</t>
  </si>
  <si>
    <t>ALL DRIVERS</t>
  </si>
  <si>
    <t>2023-06-01-10202SP153-01</t>
  </si>
  <si>
    <t>JOHN CHRIS CRUZADO</t>
  </si>
  <si>
    <t>23-025</t>
  </si>
  <si>
    <t>DARMO C-5</t>
  </si>
  <si>
    <t>2023-06-01-10201SP16-01</t>
  </si>
  <si>
    <t>Y2-Z510/SNC 1040/NFX 1656</t>
  </si>
  <si>
    <t>JAZON COLLADO</t>
  </si>
  <si>
    <t>2023-09-005MV</t>
  </si>
  <si>
    <t>2026-06-01-10201SP038-01</t>
  </si>
  <si>
    <t>SGA 6653</t>
  </si>
  <si>
    <t>2026-06-01-10201SP037-01</t>
  </si>
  <si>
    <t>SGA 6656</t>
  </si>
  <si>
    <t>2026-06-01-10201SP097-01</t>
  </si>
  <si>
    <t>SGA7198</t>
  </si>
  <si>
    <t>2026-06-01-10201SP098-01</t>
  </si>
  <si>
    <t>SGA7188</t>
  </si>
  <si>
    <t>2026-06-01-10201SP099-01</t>
  </si>
  <si>
    <t>SGA7187</t>
  </si>
  <si>
    <t>*** Both DARPO are without their respective G.E. and request to have access to Total Station for increase acomplishment</t>
  </si>
  <si>
    <t>*** Both DARPO are very thankful to the SPLIT Project for providing new office equipments</t>
  </si>
  <si>
    <t>*** Platenumbers for motorcycles due to multiple instances of LTO check</t>
  </si>
  <si>
    <t>REGION V</t>
  </si>
  <si>
    <t>DARROV</t>
  </si>
  <si>
    <t>2023-05-14-10201SP07-01</t>
  </si>
  <si>
    <t>Sn2839856</t>
  </si>
  <si>
    <t>MA. TERESA B. BANUA</t>
  </si>
  <si>
    <t>ENGR. III</t>
  </si>
  <si>
    <t>PAR No. 2023-S/P-001</t>
  </si>
  <si>
    <t>Sn 260 ST272200114</t>
  </si>
  <si>
    <t>Sn1073104</t>
  </si>
  <si>
    <t>2023-05-03-1021SP1112-01</t>
  </si>
  <si>
    <t>Sn 1S11T56200GM041B54</t>
  </si>
  <si>
    <t>FLORENTINA R. ESCOLANO</t>
  </si>
  <si>
    <t>OIC -CARPO</t>
  </si>
  <si>
    <t>PAR No. 2023</t>
  </si>
  <si>
    <t>Engr. Lady Lyn Perez</t>
  </si>
  <si>
    <t>2023-05-03-1021SP1113-01</t>
  </si>
  <si>
    <t>Sn 1S11T56200GM041B5L</t>
  </si>
  <si>
    <t>Ronnie Baldres</t>
  </si>
  <si>
    <t>2023-05-03-1021SP1114-01</t>
  </si>
  <si>
    <t>Sn 1S11T56200GM041B5N</t>
  </si>
  <si>
    <t>Kenneth Ante</t>
  </si>
  <si>
    <t>Unserviceable</t>
  </si>
  <si>
    <t>Monitor defective</t>
  </si>
  <si>
    <t>2023-05-03-1021SP1115-01</t>
  </si>
  <si>
    <t>Sn 1S11T56200GM041B67</t>
  </si>
  <si>
    <t>Atty. LEO MIGUEL A. RAMOS</t>
  </si>
  <si>
    <t>ATTY. V</t>
  </si>
  <si>
    <t>Margarita Z. Rigo</t>
  </si>
  <si>
    <t>2023-05-03-1021SP1116-01</t>
  </si>
  <si>
    <t>Sn 1S11T56200GM041B6T</t>
  </si>
  <si>
    <t>LERMA B. DINO</t>
  </si>
  <si>
    <t>Sarah Fulleros</t>
  </si>
  <si>
    <t>RPBD</t>
  </si>
  <si>
    <t>2023-05-03-1021SP1117-01</t>
  </si>
  <si>
    <t>Sn 1S11T56200GM041B6V</t>
  </si>
  <si>
    <t>LORELIE L. AYTONA</t>
  </si>
  <si>
    <t>SAO</t>
  </si>
  <si>
    <t>Alfred B.Medrano</t>
  </si>
  <si>
    <t>2023-05-03-1021SP1118-01</t>
  </si>
  <si>
    <t>Sn 1S11T56200GM041B6W</t>
  </si>
  <si>
    <t>RENE B. BACHO</t>
  </si>
  <si>
    <t>OIC - RCAO</t>
  </si>
  <si>
    <t>Mary Joy V. Castillo</t>
  </si>
  <si>
    <t>2023-05-03-1021SP1119-01</t>
  </si>
  <si>
    <t>Sn 1S11T56200GM041B74</t>
  </si>
  <si>
    <t>Annie Lee S. Muni</t>
  </si>
  <si>
    <t>2023-05-03-1021SP1120-01</t>
  </si>
  <si>
    <t>Sn 1S11T56200GM041B7G</t>
  </si>
  <si>
    <t>CHARMAINE B. BONCODIN</t>
  </si>
  <si>
    <t>ACCOUNTANT III</t>
  </si>
  <si>
    <t>Regine Moraleda</t>
  </si>
  <si>
    <t>2023-05-03-1021SP1121-01</t>
  </si>
  <si>
    <t>Sn 1S11T56200GM041B7K</t>
  </si>
  <si>
    <t>ANNIE DANDOY</t>
  </si>
  <si>
    <t>RECORDS OFFICER</t>
  </si>
  <si>
    <t>RECORDS OFFICE</t>
  </si>
  <si>
    <t>2023-05-03-1021SP1122-01</t>
  </si>
  <si>
    <t>Sn 1S11T56200GM041B7L</t>
  </si>
  <si>
    <t>BONNY E. JESALVA</t>
  </si>
  <si>
    <t>OARDA's OFFICE</t>
  </si>
  <si>
    <t>2023-05-03-1021SP134-01</t>
  </si>
  <si>
    <t>Sn C4E301DSK7</t>
  </si>
  <si>
    <t>REMY CHARME ATUTUBO</t>
  </si>
  <si>
    <t>Printer defective</t>
  </si>
  <si>
    <t>2023-05-03-1021SP135-01</t>
  </si>
  <si>
    <t>Sn C4E301DSMK</t>
  </si>
  <si>
    <t>Budget Office</t>
  </si>
  <si>
    <t>2023-05-03-1021SP136-01</t>
  </si>
  <si>
    <t>Sn C4E301DSPK</t>
  </si>
  <si>
    <t>JULIE M. NOLASCO</t>
  </si>
  <si>
    <t>COS SPLIT</t>
  </si>
  <si>
    <t>2023-05-03-1021SP137-01</t>
  </si>
  <si>
    <t>Sn C4E301DH7N</t>
  </si>
  <si>
    <t>DAYANARA ROM</t>
  </si>
  <si>
    <t>2023-05-03-1021SP138-01</t>
  </si>
  <si>
    <t>Sn C4E301DSRS</t>
  </si>
  <si>
    <t>DYANE BONCODIN</t>
  </si>
  <si>
    <t>2023-05-03-10202SP42-01</t>
  </si>
  <si>
    <t>Sn: NXEGZSP00330801BE83400</t>
  </si>
  <si>
    <t>2023-05-03-10202SP242-01</t>
  </si>
  <si>
    <t>Sn: NXEGZSP00330801BE23400</t>
  </si>
  <si>
    <t>RODRIGO O.REALUBIT</t>
  </si>
  <si>
    <t>ORDA</t>
  </si>
  <si>
    <t>2023-05-03-10202SP243-01</t>
  </si>
  <si>
    <t>Sn: NXEGZSP00330801C903400</t>
  </si>
  <si>
    <t>2023-05-03-10202SP244-01</t>
  </si>
  <si>
    <t>Sn: NXEGZSP00330801B963400</t>
  </si>
  <si>
    <t>ATTY NANETTE QUE</t>
  </si>
  <si>
    <t>RARAD</t>
  </si>
  <si>
    <t>2024-05-03-10202SP-251-01</t>
  </si>
  <si>
    <t>S/N NXVXKSP0034193C3D7600</t>
  </si>
  <si>
    <t>ICS No. 2024-10</t>
  </si>
  <si>
    <t>Sarah Mae Fulleros</t>
  </si>
  <si>
    <t>2024-05-14-10201SP02-01</t>
  </si>
  <si>
    <t>Sn BBAK00033</t>
  </si>
  <si>
    <t>PTR No. 2024-04-001PL</t>
  </si>
  <si>
    <t>2024-05-03-10202SP-311-01</t>
  </si>
  <si>
    <t>TRISHA KAYLE F FRIVALDO</t>
  </si>
  <si>
    <t>DARRO V</t>
  </si>
  <si>
    <t>2024-05-03-10202SP-320-01</t>
  </si>
  <si>
    <t>LERMA DINO</t>
  </si>
  <si>
    <t>ICS # 2024-10</t>
  </si>
  <si>
    <t>SARAH MAE FULLETOS</t>
  </si>
  <si>
    <t>HV-SPLIT-102-24-05-04-30</t>
  </si>
  <si>
    <t>Sn E78947L3H871397</t>
  </si>
  <si>
    <t>PAR No. 2024</t>
  </si>
  <si>
    <t>ALBAY</t>
  </si>
  <si>
    <t>2023-05-14-10201SP02-01</t>
  </si>
  <si>
    <t>Base: Z60 272200361
 Rover: Z60 ST272200431</t>
  </si>
  <si>
    <t>ZYRA JOY D. BERNAS</t>
  </si>
  <si>
    <t>ACCTG. PROPERTY CUSTUDIAN</t>
  </si>
  <si>
    <t>PTR:2023-SPLIT-003
 PAR:SPLIT-23-01-001</t>
  </si>
  <si>
    <t>ENGR. ALYSSA JOANA ARO</t>
  </si>
  <si>
    <t>2023-05-14-10201SPO2-01</t>
  </si>
  <si>
    <t>SN2839787</t>
  </si>
  <si>
    <t>2023-05-14-10202SP02-01</t>
  </si>
  <si>
    <t>Sp 10730097</t>
  </si>
  <si>
    <t>2023-05-03-10201SP1014-01</t>
  </si>
  <si>
    <t>1S11T5S16200GM0415T4</t>
  </si>
  <si>
    <t>PTR:2023-SPLIT-005
 PAR:23-05-011</t>
  </si>
  <si>
    <t>J. OROPESA
 C. SALES</t>
  </si>
  <si>
    <t>PRINTER FOR REPAIR</t>
  </si>
  <si>
    <t>2023-05-03-10201SP1015-01</t>
  </si>
  <si>
    <t>1S11T5S16200GM0415VY</t>
  </si>
  <si>
    <t>PTR:2023-SPLIT-005
 PAR:23-05-003</t>
  </si>
  <si>
    <t>J. DELOS REYES
 J. GODOY</t>
  </si>
  <si>
    <t>UPS - UNSERVICEABLE</t>
  </si>
  <si>
    <t>2023-05-03-10201SP1016-01</t>
  </si>
  <si>
    <t>1S11T5S16200GM0415WO</t>
  </si>
  <si>
    <t>PTR:2023-SPLIT-005
 PAR:23-05-010</t>
  </si>
  <si>
    <t>C. ORPIADA
 M. JOPIA</t>
  </si>
  <si>
    <t>2023-05-03-10201SP1017-01</t>
  </si>
  <si>
    <t>1S11T5S16200GM0415W3</t>
  </si>
  <si>
    <t>PTR:2023-SPLIT-005
 PAR:23-05-008</t>
  </si>
  <si>
    <t>R. PALENCIA</t>
  </si>
  <si>
    <t>2023-05-03-10201SP1018-01</t>
  </si>
  <si>
    <t>1S11T5S16200GM0415WA</t>
  </si>
  <si>
    <t>PTR:2023-SPLIT-005
 PAR:23-05-005</t>
  </si>
  <si>
    <t>N. OLITIN
 R. BOLANTE</t>
  </si>
  <si>
    <t>UPS - UNSERVICEABLE, PRINTER - FOR REPAIR</t>
  </si>
  <si>
    <t>2023-05-03-10201SP1019-01</t>
  </si>
  <si>
    <t>1S11T5S16200GM0415WB</t>
  </si>
  <si>
    <t>C. ATIVOL
 JR. APULI</t>
  </si>
  <si>
    <t>2023-05-03-10201SP1020-01</t>
  </si>
  <si>
    <t>1S11T5S16200GM0415WE</t>
  </si>
  <si>
    <t>PTR:2023-SPLIT-005
 PAR:23-05-007</t>
  </si>
  <si>
    <t>N. OLITIN
 J. ORTICIO</t>
  </si>
  <si>
    <t>2023-05-03-10201SP1021-01</t>
  </si>
  <si>
    <t>1S11T5S16200GM0415WJ</t>
  </si>
  <si>
    <t>PTR:2023-SPLIT-005
 PAR:23-05-002</t>
  </si>
  <si>
    <t>W. BARRA-BUAMA
 J. ELAURZA</t>
  </si>
  <si>
    <t>2023-05-03-10201SP1022-01</t>
  </si>
  <si>
    <t>1S11T5S16200GM0415YF</t>
  </si>
  <si>
    <t>PTR:2023-SPLIT-005
 PAR:23-05-004</t>
  </si>
  <si>
    <t>JOAN ATUTUBO</t>
  </si>
  <si>
    <t>2023-05-03-10201SP1023-01</t>
  </si>
  <si>
    <t>1S11T5S16200GM0415YH</t>
  </si>
  <si>
    <t>PTR:2023-SPLIT-005
 PAR:23-05-014</t>
  </si>
  <si>
    <t>N. OLITIN
 G. BALINSAYO</t>
  </si>
  <si>
    <t>PRINTER UNSERVICEABLE</t>
  </si>
  <si>
    <t>2023-05-03-10201SP1024-01</t>
  </si>
  <si>
    <t>1S11T5S16200GM0415YM</t>
  </si>
  <si>
    <t>PTR:2023-SPLIT-005
 PAR:23-05-009</t>
  </si>
  <si>
    <t>J. PEPITO</t>
  </si>
  <si>
    <t>2023-05-03-10201SP1025-01</t>
  </si>
  <si>
    <t>1S11T5S16200GM0415Z4</t>
  </si>
  <si>
    <t>PTR:2023-SPLIT-005
 PAR:23-05-012</t>
  </si>
  <si>
    <t>S. ARCIGA</t>
  </si>
  <si>
    <t>UPS UNSERVICEABLE</t>
  </si>
  <si>
    <t>2023-05-03-10201SP1026-01</t>
  </si>
  <si>
    <t>1S11T5S16200GM0415Z5</t>
  </si>
  <si>
    <t>A. ARO
 D. SAEENZ</t>
  </si>
  <si>
    <t>2023-05-03-10201SP1027-01</t>
  </si>
  <si>
    <t>1S11T5S16200GM0415ZN</t>
  </si>
  <si>
    <t>N.OLITIN
 J. GASCA</t>
  </si>
  <si>
    <t>4CE301DSPP</t>
  </si>
  <si>
    <t>PTR:2023-SPLIT-006
 PAR:23-09-028</t>
  </si>
  <si>
    <t>Z. RABE</t>
  </si>
  <si>
    <t>4CE301DSN2</t>
  </si>
  <si>
    <t>PTR:2023-SPLIT-006
 PAR:23-09-026</t>
  </si>
  <si>
    <t>M. NEGRILLO</t>
  </si>
  <si>
    <t>4CE301DSRO</t>
  </si>
  <si>
    <t>PTR:2023-SPLIT-006
 PAR:23-09-027</t>
  </si>
  <si>
    <t>K. OLAYRES
 A. BOLANTE</t>
  </si>
  <si>
    <t>4CE301DSNN</t>
  </si>
  <si>
    <t>PTR:2023-SPLIT-006
 PAR:23-09-029</t>
  </si>
  <si>
    <t>N. OLITIN
 J. RODRIGUEZA</t>
  </si>
  <si>
    <t>4CE301DSR6</t>
  </si>
  <si>
    <t>N. OLITIN
 L. ORENCIADA</t>
  </si>
  <si>
    <t>2023-05-03-10202SP222-01</t>
  </si>
  <si>
    <t>NXEGZSP00330801ED53400</t>
  </si>
  <si>
    <t>PTR:2023-SPLIT-006
 PAR:23-09-024</t>
  </si>
  <si>
    <t>H. MILLENA</t>
  </si>
  <si>
    <t>2023-05-03-10202SP223-01</t>
  </si>
  <si>
    <t>NXEGZSP00330801AC13400</t>
  </si>
  <si>
    <t>PTR:2023-SPLIT-006
 PAR:2023-09-023</t>
  </si>
  <si>
    <t>D. ANDALIS</t>
  </si>
  <si>
    <t>2023-05-03-10202SP224-01</t>
  </si>
  <si>
    <t>NXEGZSP00330801AA63400</t>
  </si>
  <si>
    <t>PTR:2023-SPLIT-006
 PAR:23-09-022</t>
  </si>
  <si>
    <t>K. DEONA
 C.LACOSTE</t>
  </si>
  <si>
    <t>2023-05-03-10202SP225-01</t>
  </si>
  <si>
    <t>NXEGZSP00330801AAB3400</t>
  </si>
  <si>
    <t>PTR:2023-SPLIT-006
 PAR:23-05-011</t>
  </si>
  <si>
    <t>N. OLITIN</t>
  </si>
  <si>
    <t>2022-05-02-10202SP38-01</t>
  </si>
  <si>
    <t>RNK2700206</t>
  </si>
  <si>
    <t>CARPO N. OLITIN</t>
  </si>
  <si>
    <t>HV-SPLIT-102-24-05-04-31</t>
  </si>
  <si>
    <t>E78947L3H871169</t>
  </si>
  <si>
    <t>ENGR. MARIA EUGENIA M. ALTEZA</t>
  </si>
  <si>
    <t>ITR NO. 2024-03</t>
  </si>
  <si>
    <t>CAMARINES NORTE</t>
  </si>
  <si>
    <t>2023-05-14-10201SP03-01</t>
  </si>
  <si>
    <t>B: Z60ST272200418 R: Z60SN272200113</t>
  </si>
  <si>
    <t>GILBERT D. LOMEDA</t>
  </si>
  <si>
    <t>PAR No.: 2023-003/ PTR No.: 2023-SPLIT-003</t>
  </si>
  <si>
    <t>SN2839963</t>
  </si>
  <si>
    <t>HARVIE D. BANALNAL</t>
  </si>
  <si>
    <t>ARPT/GE</t>
  </si>
  <si>
    <t>PAR No.: 2023-002/ PTR No.: 2023-SPLIT-003</t>
  </si>
  <si>
    <t>2023-05-14-10202SP03-01</t>
  </si>
  <si>
    <t>SP10730022</t>
  </si>
  <si>
    <t>PAR No.: 2023-004/ PTR No.: 2023-SPLIT-003</t>
  </si>
  <si>
    <t>2023-05-03-1020ISP1028-01</t>
  </si>
  <si>
    <t>1S11T5S6200GM0415ZZ</t>
  </si>
  <si>
    <t>MARIA ELENA A. DEL ROSARIO</t>
  </si>
  <si>
    <t>OIC-PCAO</t>
  </si>
  <si>
    <t>PAR No.: 2023-006/ PTR No.: 2023-SPLIT-005</t>
  </si>
  <si>
    <t>LALAINE ZACHARY ANACAY</t>
  </si>
  <si>
    <t>SPLIT STAFF AT PARCCOM, LTID, FVT, STOD &amp; LEGAL</t>
  </si>
  <si>
    <t>2023-05-03-1020ISP1029-01</t>
  </si>
  <si>
    <t>1S11T5S6200GM04161C</t>
  </si>
  <si>
    <t>ORLAN C. BACUÑO</t>
  </si>
  <si>
    <t>2023-05-03-1020ISP1030-01</t>
  </si>
  <si>
    <t>1S11T5S6200GM0418JP</t>
  </si>
  <si>
    <t>ALTHEA MARIE LOPEZ</t>
  </si>
  <si>
    <t>2023-05-03-1020ISP1031-01</t>
  </si>
  <si>
    <t>1S11T5S6200GM041ANG</t>
  </si>
  <si>
    <t>JOANNE E. LOPEZ</t>
  </si>
  <si>
    <t>2023-05-03-1020ISP1032-01</t>
  </si>
  <si>
    <t>1S11T5S6200GM041ANL</t>
  </si>
  <si>
    <t>LORNA B. QUIOZON</t>
  </si>
  <si>
    <t>2023-05-03-1020ISP1033-01</t>
  </si>
  <si>
    <t>1S11T5S6200GM041ANM</t>
  </si>
  <si>
    <t>JAYPEE A. ABRERA</t>
  </si>
  <si>
    <t>2023-05-03-1020ISP1034-01</t>
  </si>
  <si>
    <t>1S11T5S6200GM041ANN</t>
  </si>
  <si>
    <t>Region VI</t>
  </si>
  <si>
    <t>ALJOHN CLACIO</t>
  </si>
  <si>
    <t>2023-05-03-1020ISP1035-01</t>
  </si>
  <si>
    <t>1S11T5S6200GM041AQ3</t>
  </si>
  <si>
    <t>ARLENE E. ELLA</t>
  </si>
  <si>
    <t>2023-05-14-10201SP18-01</t>
  </si>
  <si>
    <t>2023-05-03-1020ISP1036-01</t>
  </si>
  <si>
    <t>1S11T5S6200GM041AQE</t>
  </si>
  <si>
    <t>ATTY. Stephen A. Palmares. CPA</t>
  </si>
  <si>
    <t>City Mayor</t>
  </si>
  <si>
    <t>KATE LOI ACERON</t>
  </si>
  <si>
    <t>PTR# 2023-11-077</t>
  </si>
  <si>
    <t>LGU Passi</t>
  </si>
  <si>
    <t>2023-05-03-1020ISP1037-01</t>
  </si>
  <si>
    <t>ILOILO</t>
  </si>
  <si>
    <t>1S11T5S6200GM041ARF</t>
  </si>
  <si>
    <t>KARLA MAE I. DATING</t>
  </si>
  <si>
    <t>2023-05-14-10201SP32-01</t>
  </si>
  <si>
    <t>Engr. Raymund John Patriarca</t>
  </si>
  <si>
    <t>Engineer III</t>
  </si>
  <si>
    <t>2023-03-022</t>
  </si>
  <si>
    <t>2023-05-03-1020ISP1038-01</t>
  </si>
  <si>
    <t>1S11T5S6200GM041ARG</t>
  </si>
  <si>
    <t>RONA MAE BELLEN</t>
  </si>
  <si>
    <t>2023-05-01-10201SP18-01</t>
  </si>
  <si>
    <t>SN: 2839946</t>
  </si>
  <si>
    <t>Rey P. Parreño</t>
  </si>
  <si>
    <t>2023-11- 078</t>
  </si>
  <si>
    <t>2023-05-03-1020ISP1039-01</t>
  </si>
  <si>
    <t>1S11T5S6200GM041ARH</t>
  </si>
  <si>
    <t>CHRISTINE V. AGUILA</t>
  </si>
  <si>
    <t>2023-05-01-10201SP32-01</t>
  </si>
  <si>
    <t>2023-05-03-1020ISP1040-01</t>
  </si>
  <si>
    <t>1S11T5S6200GM041ARJ</t>
  </si>
  <si>
    <t>2023-03-023</t>
  </si>
  <si>
    <t>MICHELLE MARQUEZ</t>
  </si>
  <si>
    <t>2023-05-03-1020ISP1041-01</t>
  </si>
  <si>
    <t>1S11T5S6200GM041ARK</t>
  </si>
  <si>
    <t>2023-05-14-10202SP18-01</t>
  </si>
  <si>
    <t>2023-03-024</t>
  </si>
  <si>
    <t>KIM ALBERT D. OCAMPO</t>
  </si>
  <si>
    <t>2023-05-14-10202SP60-01</t>
  </si>
  <si>
    <t>2023-05-03-10201SP103-01</t>
  </si>
  <si>
    <t>4CE301DH4Z</t>
  </si>
  <si>
    <t>ODESSA A. CABEZUDO</t>
  </si>
  <si>
    <t>2023-10-047</t>
  </si>
  <si>
    <t>CARPO LTID/OIC-PARPO II</t>
  </si>
  <si>
    <t>PAR No.: 2023-008/ PTR No.: 2022-SPLIT-006</t>
  </si>
  <si>
    <t>AMIHAN CLACIO</t>
  </si>
  <si>
    <t>SPLIT PROJECT</t>
  </si>
  <si>
    <t>2023-05-03-10201SP104-01</t>
  </si>
  <si>
    <t>2023-05-03-10201SP1219-01</t>
  </si>
  <si>
    <t>4CE301DH7R</t>
  </si>
  <si>
    <t>Barbara D. Gadaoni</t>
  </si>
  <si>
    <t>Accountant III</t>
  </si>
  <si>
    <t>2023-04-025</t>
  </si>
  <si>
    <t>THESSA ANN CALDITO</t>
  </si>
  <si>
    <t>SPLIT/Accounting</t>
  </si>
  <si>
    <t>2023-05-03-10201SP105-01</t>
  </si>
  <si>
    <t>4CE301DSQ5</t>
  </si>
  <si>
    <t>2023-05-03-10201SP1220-01</t>
  </si>
  <si>
    <t>Josieline Madera</t>
  </si>
  <si>
    <t>RIJANE CANTANILLA</t>
  </si>
  <si>
    <t>Budget Officer III</t>
  </si>
  <si>
    <t>2023-04-026</t>
  </si>
  <si>
    <t>SPLIT/Budget</t>
  </si>
  <si>
    <t>2023-05-03-10201SP106-01</t>
  </si>
  <si>
    <t>4CE301DSR4</t>
  </si>
  <si>
    <t>MARY LOU ABAD</t>
  </si>
  <si>
    <t>2023-05-03-10201SP1221-01</t>
  </si>
  <si>
    <t>Atty. Geony L. Gregorio</t>
  </si>
  <si>
    <t>Atty. V</t>
  </si>
  <si>
    <t>2023-04-027</t>
  </si>
  <si>
    <t>SPLIT/Legal</t>
  </si>
  <si>
    <t>2023-05-03-10202SP226-01</t>
  </si>
  <si>
    <t>SN: NXEGZSP00330801C2A3400</t>
  </si>
  <si>
    <t>ARPT/GE CARPO LTID/OIC-PARPO II</t>
  </si>
  <si>
    <t>PAR No.: 2023-009/ PTR No.: 2022-SPLIT-006</t>
  </si>
  <si>
    <t>PRINCESS JOY ENCINAS</t>
  </si>
  <si>
    <t>2023-05-03-10201SP1222-01</t>
  </si>
  <si>
    <t>Ozelle Tellie O. Tarrosa</t>
  </si>
  <si>
    <t>Planning Officer V</t>
  </si>
  <si>
    <t>2023-04-028</t>
  </si>
  <si>
    <t>2023-05-03-10202SP227-01</t>
  </si>
  <si>
    <t>Office of the RCAO</t>
  </si>
  <si>
    <t>SN: NXEGZSP00330801E3D3400</t>
  </si>
  <si>
    <t>2023-05-03-10201SP1223-01</t>
  </si>
  <si>
    <t>2022-05-02-10202SP39-01</t>
  </si>
  <si>
    <t>RNK2700204</t>
  </si>
  <si>
    <t>2023-04-029</t>
  </si>
  <si>
    <t>PAR No.: 2023-001/ PTR No.: 2022-SPLIT-003</t>
  </si>
  <si>
    <t>2023-05-03-10201SP1224-01</t>
  </si>
  <si>
    <t>Lourdes F. Novilla</t>
  </si>
  <si>
    <t>OIC - Assistant Regional Director</t>
  </si>
  <si>
    <t>2023-04-030</t>
  </si>
  <si>
    <t>Office of the Assistant Regional Director for Admin &amp; Legal</t>
  </si>
  <si>
    <t>HVSPLIT-102-24-05-01-375</t>
  </si>
  <si>
    <t>LOVELLE S. CABEZUDO</t>
  </si>
  <si>
    <t>2023-05-03-10201SP1225-01</t>
  </si>
  <si>
    <t>Rosario G. Hermonio</t>
  </si>
  <si>
    <t>2023-04-031</t>
  </si>
  <si>
    <t>SPLIT/Procurement Unit</t>
  </si>
  <si>
    <t>HVSPLIT-102-24-05-01-376</t>
  </si>
  <si>
    <t>RONA MAE Z. BELLEN</t>
  </si>
  <si>
    <t>2023-05-03-10201SP1226-01</t>
  </si>
  <si>
    <t>HVSPLIT-102-24-05-01-377</t>
  </si>
  <si>
    <t>CATTLEYA T. PENALOSA</t>
  </si>
  <si>
    <t>2023-05-03-10201SP1227-01</t>
  </si>
  <si>
    <t>Leonor Juliet J. Lena</t>
  </si>
  <si>
    <t>HV-SPLIT-102-24- 05-04-32</t>
  </si>
  <si>
    <t>2023-04-032</t>
  </si>
  <si>
    <t>SN: E78947L3H871374</t>
  </si>
  <si>
    <t>ICS No.: 2024-028/ ITR No.: 2024-03</t>
  </si>
  <si>
    <t>CAM. SUR 1</t>
  </si>
  <si>
    <t>2023-05-03-10201SP1229-01</t>
  </si>
  <si>
    <t>Ferolyn Joy J. Tim yiman</t>
  </si>
  <si>
    <t>2023-05-03-10202SP45-01</t>
  </si>
  <si>
    <t>OIC - CARPO</t>
  </si>
  <si>
    <t>NXEGZSP00330801EBA3400</t>
  </si>
  <si>
    <t>2023-04-033</t>
  </si>
  <si>
    <t>MA. NOREEN SALVACION M. EVALLA</t>
  </si>
  <si>
    <t>ARPO I/CS1 PIO</t>
  </si>
  <si>
    <t>PAR NO: 2023-10-015(PS)</t>
  </si>
  <si>
    <t>FIELD</t>
  </si>
  <si>
    <t>2023-05-03-10201SP1230-01</t>
  </si>
  <si>
    <t>2023-05-03-1020ISP1042-01</t>
  </si>
  <si>
    <t>1S11T5S16200GM041ARL</t>
  </si>
  <si>
    <t>SPLIT/LTID</t>
  </si>
  <si>
    <t>MARIA REBECCA R. TAROG</t>
  </si>
  <si>
    <t>OIC CARPO-LTSP /CS1 PROJECT SPLIT</t>
  </si>
  <si>
    <t>PAR NO: 2023-10-016(PS)</t>
  </si>
  <si>
    <t>JEFF QUIÑONES</t>
  </si>
  <si>
    <t>PROCUREMENT STAFF - PROJECT SPLIT)</t>
  </si>
  <si>
    <t>2023-05-03-10201SP1231-01</t>
  </si>
  <si>
    <t>Ferolyn Joy J. Timtiman</t>
  </si>
  <si>
    <t>2023-05-03-1020ISP1043-01</t>
  </si>
  <si>
    <t>1S11T5S16200GM041ARP</t>
  </si>
  <si>
    <t>PAR NO: 2023-10-017(PS)</t>
  </si>
  <si>
    <t>ELMO CLEMENTE P. PILAPIL</t>
  </si>
  <si>
    <t>FINANCE STAFF - PROJECT SPLIT</t>
  </si>
  <si>
    <t>2023-05-03-10201SP1232-01</t>
  </si>
  <si>
    <t>2023-05-03-1020ISP1044-01</t>
  </si>
  <si>
    <t>1S11T5S16200GM041ARQ</t>
  </si>
  <si>
    <t>ADONIS H. DOLANAS</t>
  </si>
  <si>
    <t>PAR NO: 2023-10-018(PS)</t>
  </si>
  <si>
    <t>UPS DEFECTIVE PRINTER UNSERVICEABLE</t>
  </si>
  <si>
    <t>2023-05-03-10201SP1228-01</t>
  </si>
  <si>
    <t>2023-05-03-1020ISP1045-01</t>
  </si>
  <si>
    <t>Sonia C. Montinola</t>
  </si>
  <si>
    <t>1S11T5S16200GM041ARR</t>
  </si>
  <si>
    <t>2023-04-034</t>
  </si>
  <si>
    <t>PAR NO: 2023-10-019(PS)</t>
  </si>
  <si>
    <t>ROMEL J. AZUL</t>
  </si>
  <si>
    <t>MIS SUPPORT STAFF - PROJECT SPLIT</t>
  </si>
  <si>
    <t>2023-05-03-1020ISP1046-01</t>
  </si>
  <si>
    <t>2023-05-03-10201SP83-01</t>
  </si>
  <si>
    <t>1S11T5S16200GM041ART</t>
  </si>
  <si>
    <t>Luzviminda A. De la Cruz</t>
  </si>
  <si>
    <t>Records Officer III</t>
  </si>
  <si>
    <t>2023-09-036</t>
  </si>
  <si>
    <t>PAR NO: 2023-10-020(PS)</t>
  </si>
  <si>
    <t>KAREN S. MAMANSAG</t>
  </si>
  <si>
    <t>Records Section</t>
  </si>
  <si>
    <t>2023-05-03-1020ISP1047-01</t>
  </si>
  <si>
    <t>1S11T5S16200GM041ARV</t>
  </si>
  <si>
    <t>2023-05-03-10201SP84-01</t>
  </si>
  <si>
    <t>Jo-Ann S. Balogo</t>
  </si>
  <si>
    <t>PAR NO: 2023-10-021(PS)</t>
  </si>
  <si>
    <t>AA VI</t>
  </si>
  <si>
    <t>MARIAN L. NOBLE</t>
  </si>
  <si>
    <t>2023-09-037</t>
  </si>
  <si>
    <t>2023-05-03-1020ISP1048-01</t>
  </si>
  <si>
    <t>1S11T5S16200GM041ARW</t>
  </si>
  <si>
    <t>PAR NO: 2023-10-022(PS)</t>
  </si>
  <si>
    <t>2023-05-03-10201SP85-01</t>
  </si>
  <si>
    <t>MARIEL JOY B. ZAMUDIO</t>
  </si>
  <si>
    <t>Pamela S. Jamili</t>
  </si>
  <si>
    <t>TECHNICAL SUPPORT STAFF - PROJECT SPLIT</t>
  </si>
  <si>
    <t>Statistician II</t>
  </si>
  <si>
    <t>2023-09-038</t>
  </si>
  <si>
    <t>Personnel Section</t>
  </si>
  <si>
    <t>2023-05-03-10201SP86-01</t>
  </si>
  <si>
    <t>2023-09-039</t>
  </si>
  <si>
    <t>2023-05-03-1020ISP1049-01</t>
  </si>
  <si>
    <t>1S11T5S16200GM041ARX</t>
  </si>
  <si>
    <t>PAR NO: 2023-10-023(PS)</t>
  </si>
  <si>
    <t>JAMES A. BELARMINO</t>
  </si>
  <si>
    <t>PROVINCIAL ENCODER - PROJECT SPLIT</t>
  </si>
  <si>
    <t>2023-05-03-10201SP87-01</t>
  </si>
  <si>
    <t>2023-09-040</t>
  </si>
  <si>
    <t>2023-05-03-1020ISP1050-01</t>
  </si>
  <si>
    <t>1S11T5S16200GM041ARY</t>
  </si>
  <si>
    <t>PAR NO: 2023-10-024(PS)</t>
  </si>
  <si>
    <t>FRANCES JOY D. DE SILVA</t>
  </si>
  <si>
    <t>PROVINCIAL PROCESSOR - PROJECT SPLIT</t>
  </si>
  <si>
    <t>2023-05-03-10201SP88-01</t>
  </si>
  <si>
    <t>2023-09-044</t>
  </si>
  <si>
    <t>2023-05-03-1020ISP1051-01</t>
  </si>
  <si>
    <t>1S11T5S16200GM041ARZ</t>
  </si>
  <si>
    <t>PAR NO: 2023-10-025(PS)</t>
  </si>
  <si>
    <t>KEITH ANNE N. NASE</t>
  </si>
  <si>
    <t>CBTA SUPPORT STAFF</t>
  </si>
  <si>
    <t>2023-05-03-10201SP89-01</t>
  </si>
  <si>
    <t>2023-05-03-1020ISP1052-01</t>
  </si>
  <si>
    <t>1S11T5S16200GM041ARS0</t>
  </si>
  <si>
    <t>PAR NO: 2023-10-026(PS)</t>
  </si>
  <si>
    <t>2023-05-03-10201SP141-01</t>
  </si>
  <si>
    <t>2023-09-041</t>
  </si>
  <si>
    <t>2023-05-03-1020ISP1053-01</t>
  </si>
  <si>
    <t>1S11T5S16200GM041ARS2</t>
  </si>
  <si>
    <t>AUGUSTO SA. MEDINA, JR.</t>
  </si>
  <si>
    <t>OIC PARPO I-DAR CSI PROJECT SPLIT</t>
  </si>
  <si>
    <t>PAR NO: 2023-10-027(PS)</t>
  </si>
  <si>
    <t>OIC PARPO I</t>
  </si>
  <si>
    <t>2023-05-03-10201SP142-01</t>
  </si>
  <si>
    <t>Atty. Jose Maria C. Combatir</t>
  </si>
  <si>
    <t>2023-09-042</t>
  </si>
  <si>
    <t>2023-05-03-1020ISP1054-01</t>
  </si>
  <si>
    <t>1S11T5S16200GM041ARS6</t>
  </si>
  <si>
    <t>LUCKY RONEL I F. AGUENZA</t>
  </si>
  <si>
    <t>PAR NO: 2023-10-028(PS)</t>
  </si>
  <si>
    <t>2023-05-03-10201SP143-01</t>
  </si>
  <si>
    <t>Melissa S. Dapat</t>
  </si>
  <si>
    <t>INFOSA</t>
  </si>
  <si>
    <t>2023-09-043</t>
  </si>
  <si>
    <t>2023-05-03-1020ISP1055-01</t>
  </si>
  <si>
    <t>Planning Unit</t>
  </si>
  <si>
    <t>1S11T5S16200GM041ARS7</t>
  </si>
  <si>
    <t>ANDREW LAURENCE G. SABALDICA</t>
  </si>
  <si>
    <t>PAR NO: 2023-10-029(PS)</t>
  </si>
  <si>
    <t>2023-05-03-10201SP050-01</t>
  </si>
  <si>
    <t>Leena Faith A. Villanueva</t>
  </si>
  <si>
    <t>2023-07-035</t>
  </si>
  <si>
    <t>2023-05-03-1020SP228-01</t>
  </si>
  <si>
    <t>Information &amp; Education Unit</t>
  </si>
  <si>
    <t>NXEGZSP00330801AF23400</t>
  </si>
  <si>
    <t>PAR NO: 2023-10-030(PS)</t>
  </si>
  <si>
    <t>VONNS SWEDAN ADOREMOS</t>
  </si>
  <si>
    <t>M&amp;E SUPPORT STAFF</t>
  </si>
  <si>
    <t>2023-05-03-1020SP229-01</t>
  </si>
  <si>
    <t>HV-SPLIT-102-24-05-044</t>
  </si>
  <si>
    <t>NXEGZSP00330801D9B3400</t>
  </si>
  <si>
    <t>ATTY SHEILA B. ENCISO</t>
  </si>
  <si>
    <t>PAR NO: 2023-10-031(PS)</t>
  </si>
  <si>
    <t>2024-03-007</t>
  </si>
  <si>
    <t>ANGELICA F. ABAD</t>
  </si>
  <si>
    <t>DARRO VI</t>
  </si>
  <si>
    <t>ADMINISTRATIVE SUPPORT STAFF-SPLIT</t>
  </si>
  <si>
    <t>2023-05-03-1020SP230-01</t>
  </si>
  <si>
    <t>NXEGZSP00330801E523400</t>
  </si>
  <si>
    <t>2024-05-13-10204SP12-O1</t>
  </si>
  <si>
    <t>TBD</t>
  </si>
  <si>
    <t>PAR NO: 2023-10-032(PS)</t>
  </si>
  <si>
    <t>2023-05-03-1020SP107-01</t>
  </si>
  <si>
    <t>4CE301DH65</t>
  </si>
  <si>
    <t>2024-05-03-10202SP-312-01</t>
  </si>
  <si>
    <t>PAR NO: 2023-10-033(PS)</t>
  </si>
  <si>
    <t>LEENA FAITH VILLANUEVA</t>
  </si>
  <si>
    <t>ALDRIN S. DIAZ</t>
  </si>
  <si>
    <t>PROVINCIAL VALIDATOR - PROJECT SPLIT</t>
  </si>
  <si>
    <t>2023-05-03-1020SP108-01</t>
  </si>
  <si>
    <t>4CE301DSNH</t>
  </si>
  <si>
    <t>PAR NO: 2023-10-034(PS)</t>
  </si>
  <si>
    <t>MIKE ANGELOW G. ESPERA</t>
  </si>
  <si>
    <t>2024-05-03-10202SP-252-01</t>
  </si>
  <si>
    <t>SONIA S MONTINOLA</t>
  </si>
  <si>
    <t>2023-05-03-1020SP109-01</t>
  </si>
  <si>
    <t>4CE301DSK0</t>
  </si>
  <si>
    <t>PAR NO: 2023-10-035(PS)</t>
  </si>
  <si>
    <t>STEFFANY ANNE M. RINGANATE</t>
  </si>
  <si>
    <t>2022-05-02-10202SP48-01</t>
  </si>
  <si>
    <t>HARRIET A. LOOT</t>
  </si>
  <si>
    <t>2022-12-376</t>
  </si>
  <si>
    <t>Project SPLIT Admin Office</t>
  </si>
  <si>
    <t>2023-05-03-1020SP114-01</t>
  </si>
  <si>
    <t>Office of the PARPO</t>
  </si>
  <si>
    <t>4CE301DSM6</t>
  </si>
  <si>
    <t>PAR NO: 2023-10-036(PS)</t>
  </si>
  <si>
    <t>HYLENE ROSE D. BARNEDO</t>
  </si>
  <si>
    <t>2023-05-03-1020SP115-01</t>
  </si>
  <si>
    <t>2023-05-03-10201SP1187-01</t>
  </si>
  <si>
    <t>4CE301DH5G</t>
  </si>
  <si>
    <t>Niña Joy I. Godinez</t>
  </si>
  <si>
    <t>2023-04-393</t>
  </si>
  <si>
    <t>PAR NO: 2023-10-037(PS)</t>
  </si>
  <si>
    <t>Jenelyn Cerbas</t>
  </si>
  <si>
    <t>MA. ANGELICA S. MANALO</t>
  </si>
  <si>
    <t>HV-SPLIT-10224-05-04-33</t>
  </si>
  <si>
    <t>2023-05-03-10201SP1188-01</t>
  </si>
  <si>
    <t>E78947L3H871387</t>
  </si>
  <si>
    <t>Myra E. Alacre</t>
  </si>
  <si>
    <t>Senior Agrarian Reform Program Technologist</t>
  </si>
  <si>
    <t>2023-04-394</t>
  </si>
  <si>
    <t>ICS NO: 2024-03-005(PS)</t>
  </si>
  <si>
    <t>Patrick Ryan C. Huyan(COS - SPLIT)</t>
  </si>
  <si>
    <t>TED LAWRENCE B. TUY</t>
  </si>
  <si>
    <t>LEGAL OFFICER</t>
  </si>
  <si>
    <t>2022-05-02-10202SP40-02</t>
  </si>
  <si>
    <t>RNK2700196</t>
  </si>
  <si>
    <t>2023-05-03-10201SP1189-01</t>
  </si>
  <si>
    <t>PAR NO: 2023-10-001 (PS)</t>
  </si>
  <si>
    <t>Alfred B. Beare</t>
  </si>
  <si>
    <t>2023-04-395</t>
  </si>
  <si>
    <t>Theresa Hortillosa</t>
  </si>
  <si>
    <t>2023-05-03-10201SP1190-01</t>
  </si>
  <si>
    <t>2023-05-014-10201SP04-01</t>
  </si>
  <si>
    <t>ATTY. DIARLIE PEBE B. PELAEZ-NAGAYNAY</t>
  </si>
  <si>
    <t>SERIAL NO. - 10730085</t>
  </si>
  <si>
    <t>MA. ELIZABETH N. ARCILLA</t>
  </si>
  <si>
    <t>2023-04-396</t>
  </si>
  <si>
    <t>SARPO - LTSP/CHIEF, SURVEY</t>
  </si>
  <si>
    <t>Rachelle Joy Degayo(COS)</t>
  </si>
  <si>
    <t>PAR NO: 2023-10-12(PS)</t>
  </si>
  <si>
    <t>LEGAL OFFICE</t>
  </si>
  <si>
    <t>2023-05-14- 10201SP04-01</t>
  </si>
  <si>
    <t>2023-05-03-10201SP1191-01</t>
  </si>
  <si>
    <t>SN2839786</t>
  </si>
  <si>
    <t>Joesal May Sumbilla</t>
  </si>
  <si>
    <t>2023-04-397</t>
  </si>
  <si>
    <t>PAR NO: 2023-10-13(PS)</t>
  </si>
  <si>
    <t>Donna Huervana</t>
  </si>
  <si>
    <t>2023-05-14-10201SP04-01</t>
  </si>
  <si>
    <t>260ST272200445</t>
  </si>
  <si>
    <t>2023-05-03-10201SP1192-01</t>
  </si>
  <si>
    <t>PAR NO: 2023-10-14(PS)</t>
  </si>
  <si>
    <t>Agrarian Reform Program Officer II</t>
  </si>
  <si>
    <t>2023-04-398</t>
  </si>
  <si>
    <t>Engr. Norevic D. Andig</t>
  </si>
  <si>
    <t>CAMRINES SUR II</t>
  </si>
  <si>
    <t>2023-05-14-10201SP05-01</t>
  </si>
  <si>
    <t>SN-Z6OST272200435</t>
  </si>
  <si>
    <t>ENGR. RENATO C. BEQUILLO</t>
  </si>
  <si>
    <t>2023-05-03-10201SP1193-01</t>
  </si>
  <si>
    <t>LTID SPLIT-2023-044</t>
  </si>
  <si>
    <t>ENGR. MARIBEL TEODONES</t>
  </si>
  <si>
    <t>SURVEY OFFICE</t>
  </si>
  <si>
    <t>2023-04-399</t>
  </si>
  <si>
    <t>SN-28396866</t>
  </si>
  <si>
    <t>LTID SPLIT-2023-045</t>
  </si>
  <si>
    <t>Negros Occidental II</t>
  </si>
  <si>
    <t>2023-05-03-10201SP1194-01</t>
  </si>
  <si>
    <t>Joecris Montenid</t>
  </si>
  <si>
    <t>2023-04-400</t>
  </si>
  <si>
    <t>2022-05-02-10202SP62-01</t>
  </si>
  <si>
    <t>SN-SP10730028</t>
  </si>
  <si>
    <t>RNK2700186</t>
  </si>
  <si>
    <t>LTID SPLIT-2023-046</t>
  </si>
  <si>
    <t>NEIL R. NACION</t>
  </si>
  <si>
    <t>ENGINEER 2 / SPLIT ESS DOCUMENTATION</t>
  </si>
  <si>
    <t>2023-05-03-10201SP1195-01</t>
  </si>
  <si>
    <t>23-01-0023</t>
  </si>
  <si>
    <t>2023-04-401</t>
  </si>
  <si>
    <t>Collen Amolar(COS - SPLIT)</t>
  </si>
  <si>
    <t>2023-05-03-10202SP1056-01</t>
  </si>
  <si>
    <t>SN-EL4322C02255</t>
  </si>
  <si>
    <t>OIC - CARPO, LTID</t>
  </si>
  <si>
    <t>PTR No.: 2023-SPLIT-005</t>
  </si>
  <si>
    <t>DENZEL ETHAN A. CEA</t>
  </si>
  <si>
    <t>PROJECTSPLIT</t>
  </si>
  <si>
    <t>2023-05-03-10201SP1196-01</t>
  </si>
  <si>
    <t>Harriet A. Loot</t>
  </si>
  <si>
    <t>2023-04-402</t>
  </si>
  <si>
    <t>2023-05-03-10202SP1057-01</t>
  </si>
  <si>
    <t>SN-EL4322C02256</t>
  </si>
  <si>
    <t>RICO FRONIE B. AMADOR</t>
  </si>
  <si>
    <t>2023-05-03-10201SP1245-01</t>
  </si>
  <si>
    <t>2023-05-03-10201SP1197-01</t>
  </si>
  <si>
    <t>GM041B0Q</t>
  </si>
  <si>
    <t>Josella A. Alegario</t>
  </si>
  <si>
    <t>MARY GRACE N. FERRER</t>
  </si>
  <si>
    <t>Chief Administrative Officer</t>
  </si>
  <si>
    <t>CARTOGRAPHER II</t>
  </si>
  <si>
    <t>2023-04-403</t>
  </si>
  <si>
    <t>2023-05-03-10202SP1058-01</t>
  </si>
  <si>
    <t>PTR 2023-04-037</t>
  </si>
  <si>
    <t>SN-EL4322C01049</t>
  </si>
  <si>
    <t>REGINA SABALLEGUE</t>
  </si>
  <si>
    <t>2023-05-03-10201SP1243-01</t>
  </si>
  <si>
    <t>GM041B0N</t>
  </si>
  <si>
    <t>2023-05-03-10201SP1198-01</t>
  </si>
  <si>
    <t>KARIZA LOUISE S. CELIS</t>
  </si>
  <si>
    <t>Shannen Marie S. Londres</t>
  </si>
  <si>
    <t>2023-05-03-10202SP1059-01</t>
  </si>
  <si>
    <t>Planning Officer II</t>
  </si>
  <si>
    <t>SN-EL4322C01050</t>
  </si>
  <si>
    <t>2023-04-404</t>
  </si>
  <si>
    <t>EMELINDA R. CACERS</t>
  </si>
  <si>
    <t>Charmaine Alabot(COS - SPLIT)</t>
  </si>
  <si>
    <t>DARMO PILI</t>
  </si>
  <si>
    <t>DARMO - PILI</t>
  </si>
  <si>
    <t>PLANNING OFFICE</t>
  </si>
  <si>
    <t>2023-05-03-10201SP1242-01</t>
  </si>
  <si>
    <t>GM041B5S</t>
  </si>
  <si>
    <t>ELNA MARI S. ABASOLA</t>
  </si>
  <si>
    <t>2023-05-03-10202SP1060-01</t>
  </si>
  <si>
    <t>PERSONNEL OFFICER</t>
  </si>
  <si>
    <t>SN-EL4322C01051</t>
  </si>
  <si>
    <t>STOD - PERSONNEL SECTION</t>
  </si>
  <si>
    <t>2023-05-03-10201SP1199-01</t>
  </si>
  <si>
    <t>ENGR. KARL ANGELO A. BIAG</t>
  </si>
  <si>
    <t>Celina C. Candoleta</t>
  </si>
  <si>
    <t>CARPO-PBDD</t>
  </si>
  <si>
    <t>2023-04-405</t>
  </si>
  <si>
    <t>Ann Karmelee Huyan</t>
  </si>
  <si>
    <t>2023-05-03-10201SP1233-01</t>
  </si>
  <si>
    <t>GM041B31</t>
  </si>
  <si>
    <t>MARY ANGELENE C. CARDAÑO</t>
  </si>
  <si>
    <t>2023-05-03-10202SP1061-01</t>
  </si>
  <si>
    <t>ARPO II / M&amp;E Coordinator SPLIT</t>
  </si>
  <si>
    <t>SN-EL4322C01052</t>
  </si>
  <si>
    <t>IMELDA ANI</t>
  </si>
  <si>
    <t>STOD - PMEU</t>
  </si>
  <si>
    <t>2023-05-03-10201SP1200-01</t>
  </si>
  <si>
    <t>DARMO -TINAMBAC A</t>
  </si>
  <si>
    <t>2023-04-406</t>
  </si>
  <si>
    <t>Ric Jessan Obregoso(COS - SPLIT)</t>
  </si>
  <si>
    <t>2023-05-03-10201SP1244-01</t>
  </si>
  <si>
    <t>GM041AZL</t>
  </si>
  <si>
    <t>VICENTE P. YU III</t>
  </si>
  <si>
    <t>ACTG. SUPPLY OFFICER</t>
  </si>
  <si>
    <t>2023-05-03-10202SP1062-01</t>
  </si>
  <si>
    <t>SN-EL4322C01785</t>
  </si>
  <si>
    <t>ROWELL GERARD A. ZAPATA</t>
  </si>
  <si>
    <t>STOD - GENERAL SERVICES SECTION</t>
  </si>
  <si>
    <t>DARMO-TINAMBAC B</t>
  </si>
  <si>
    <t>2023-05-03-10201SP1201-01</t>
  </si>
  <si>
    <t>2023-04-407</t>
  </si>
  <si>
    <t>2023-05-03-10201SP1237-01</t>
  </si>
  <si>
    <t>GM041B62</t>
  </si>
  <si>
    <t>2023-05-03-10202SP1063-01</t>
  </si>
  <si>
    <t>SN-EL4322C01786</t>
  </si>
  <si>
    <t>2023-05-03-10201SP1202-01</t>
  </si>
  <si>
    <t>JAN C. CEA</t>
  </si>
  <si>
    <t>2023-04-408</t>
  </si>
  <si>
    <t>Risil Joy Silubrico(COS - SPLIT)</t>
  </si>
  <si>
    <t>2023-05-03-10201SP1238-01</t>
  </si>
  <si>
    <t>GM041AYY</t>
  </si>
  <si>
    <t>MERIE KRIS A. CAPISTRANO</t>
  </si>
  <si>
    <t>2023-05-03-10202SP132-01</t>
  </si>
  <si>
    <t>ROMA GRACE B. NUFABLE</t>
  </si>
  <si>
    <t>2023-08-413</t>
  </si>
  <si>
    <t>2023-05-03-10202SP131-01</t>
  </si>
  <si>
    <t>SHANNEN MARIE S. LONDRES</t>
  </si>
  <si>
    <t>2023-08-414</t>
  </si>
  <si>
    <t>2023-05-03-10201SP1235-01</t>
  </si>
  <si>
    <t>2023-05-03-10202SP1064-01</t>
  </si>
  <si>
    <t>SN-EL4322C01787</t>
  </si>
  <si>
    <t>GM041B4W</t>
  </si>
  <si>
    <t>NORBERTO BELMONTE</t>
  </si>
  <si>
    <t>BEVERLY S. PERIO</t>
  </si>
  <si>
    <t>DARMO - LAGONOY</t>
  </si>
  <si>
    <t>2023-05-03-10202SP130-01</t>
  </si>
  <si>
    <t>2023-08-415</t>
  </si>
  <si>
    <t>HUNCEEN SECUGAL</t>
  </si>
  <si>
    <t>2023-05-03-10202SP1065-01</t>
  </si>
  <si>
    <t>2023-05-03-10201S01136-01</t>
  </si>
  <si>
    <t>SN-EL4322C01788</t>
  </si>
  <si>
    <t>GM041B15</t>
  </si>
  <si>
    <t>MARIA CLEOFE O. PAGA</t>
  </si>
  <si>
    <t>NENA G. PARREÑO</t>
  </si>
  <si>
    <t>SPLIT COORDINATOR</t>
  </si>
  <si>
    <t>DARMO - SAGÑAY</t>
  </si>
  <si>
    <t>2023-05-03-10202SP129-01</t>
  </si>
  <si>
    <t>CELINA C. CANDOLETA</t>
  </si>
  <si>
    <t>2023-08-416</t>
  </si>
  <si>
    <t>2023-05-03-10202SP1066-01</t>
  </si>
  <si>
    <t>SN-EL4322C02021</t>
  </si>
  <si>
    <t>ERLINDA F. VERGARA</t>
  </si>
  <si>
    <t>2023-05-03-10201SP1248-01</t>
  </si>
  <si>
    <t>DARMO - TIGAON</t>
  </si>
  <si>
    <t>GM041AZ1</t>
  </si>
  <si>
    <t>STELLA MARIE V. DEFENSOR</t>
  </si>
  <si>
    <t>2023-05-03-10201SP62-01</t>
  </si>
  <si>
    <t>ENGR. JOSE ROY B. NAPUD</t>
  </si>
  <si>
    <t>AO IV / Budget Officer II</t>
  </si>
  <si>
    <t>2023-08-423</t>
  </si>
  <si>
    <t>2023-05-03-10202SP1067-01</t>
  </si>
  <si>
    <t>JEAN MARIE PEGAROT</t>
  </si>
  <si>
    <t>SN-EL4322C01053</t>
  </si>
  <si>
    <t>Budget Section</t>
  </si>
  <si>
    <t>CARMEN LITA ESTEFANI</t>
  </si>
  <si>
    <t>DARMO - BOMBON</t>
  </si>
  <si>
    <t>2023-05-03-1020ISP64-01</t>
  </si>
  <si>
    <t>LORELYN C. TARONAS</t>
  </si>
  <si>
    <t>2023-05-03-10202SP1068-01</t>
  </si>
  <si>
    <t>SRPT</t>
  </si>
  <si>
    <t>SN-EL4322C01054</t>
  </si>
  <si>
    <t>2023-08-424</t>
  </si>
  <si>
    <t>ERLINDA C. ABLES</t>
  </si>
  <si>
    <t>RIZHIA PASCUA(COS - SPLIT)</t>
  </si>
  <si>
    <t>2023-05-03-10201SP1247-01</t>
  </si>
  <si>
    <t>GM041B3S</t>
  </si>
  <si>
    <t>DARMO - MAGARAO</t>
  </si>
  <si>
    <t>2023-05-03-10202SP1069-01</t>
  </si>
  <si>
    <t>2023-05-03-1020ISP63-01</t>
  </si>
  <si>
    <t>SN-EL4322C01055</t>
  </si>
  <si>
    <t>ALFRED B. BEARE</t>
  </si>
  <si>
    <t>EDGAR T. AMOPRANTO</t>
  </si>
  <si>
    <t>2023-08-425</t>
  </si>
  <si>
    <t>DARMO - GOA</t>
  </si>
  <si>
    <t>RAYMUND AGUILAR(COS - SPLIT)</t>
  </si>
  <si>
    <t>2023-05-03-10201SP1246-01</t>
  </si>
  <si>
    <t>GM041B0E</t>
  </si>
  <si>
    <t>RAYCHELLEN NICOLE R. PENDON</t>
  </si>
  <si>
    <t>SN-320225BQ30000313</t>
  </si>
  <si>
    <t>2023-05-03-1020ISP66-01</t>
  </si>
  <si>
    <t>PTR No.: 2023-SPLIT-006</t>
  </si>
  <si>
    <t>MARIAN M. JIMANGA</t>
  </si>
  <si>
    <t>SOPHIA ANN O. ONGOG</t>
  </si>
  <si>
    <t>PROJECT SPLIT</t>
  </si>
  <si>
    <t>2023-05-03-10201SP1234-01</t>
  </si>
  <si>
    <t>2023-08-426</t>
  </si>
  <si>
    <t>GM041AQC</t>
  </si>
  <si>
    <t>EUGENE ESTAMPADOR(COS - SPLIT)</t>
  </si>
  <si>
    <t>PASSI CITY</t>
  </si>
  <si>
    <t>MAYFLOR S. CERBO</t>
  </si>
  <si>
    <t>SN-320225BQ30000308</t>
  </si>
  <si>
    <t>STOD - BUDGET SECTION</t>
  </si>
  <si>
    <t>JEMMABEL B. FAVOR</t>
  </si>
  <si>
    <t>2023-05-03-1020ISP65-01</t>
  </si>
  <si>
    <t>2023-08-427</t>
  </si>
  <si>
    <t>JERLYN GABAYERON(COS - SPLIT)</t>
  </si>
  <si>
    <t>2023-05-03-10202SP118-01</t>
  </si>
  <si>
    <t>2023-05-03-10201SP1239-01</t>
  </si>
  <si>
    <t>SN-320225BQ30000307</t>
  </si>
  <si>
    <t>GM041AZD</t>
  </si>
  <si>
    <t>ATTY. MELANIE AURE AREVALO</t>
  </si>
  <si>
    <t>MA. CORAZON G. ORO</t>
  </si>
  <si>
    <t>HV-SPLIT-102-24-05-087</t>
  </si>
  <si>
    <t>STOD - ACCOUNTING SECTION</t>
  </si>
  <si>
    <t>2023-05-03-10202SP119-01</t>
  </si>
  <si>
    <t>DARPO ILOILO</t>
  </si>
  <si>
    <t>SN-320225BQ30000306</t>
  </si>
  <si>
    <t>ELLA ANDREA A. PALOMIANO</t>
  </si>
  <si>
    <t>2023-05-03-10201SP1240-01</t>
  </si>
  <si>
    <t>GM041AYZ</t>
  </si>
  <si>
    <t>CAPIZ</t>
  </si>
  <si>
    <t>FLORENCIO B. GARCIA</t>
  </si>
  <si>
    <t>2023-05-03-10202SP120-01</t>
  </si>
  <si>
    <t>2022-05-02-10202SP45-01</t>
  </si>
  <si>
    <t>SN-320225BQ30000305</t>
  </si>
  <si>
    <t>RNK2700175</t>
  </si>
  <si>
    <t>ALONA D. ALBANCES</t>
  </si>
  <si>
    <t>CHARLEY MAINE VENUS</t>
  </si>
  <si>
    <t>PARPO I/provincial Grievance Redness Mechanism (GRM) Coordinator</t>
  </si>
  <si>
    <t>2022-10-0001</t>
  </si>
  <si>
    <t>2023-05-03-10202SP231-01</t>
  </si>
  <si>
    <t>2023-05-03-10201SP1241-01</t>
  </si>
  <si>
    <t>SN-NXEGZSP00330801B893400</t>
  </si>
  <si>
    <t>GM041B46</t>
  </si>
  <si>
    <t>PRECIOUS DAWN F. RODRIGUEZ</t>
  </si>
  <si>
    <t>FIEL CEDRIC POPRTUGAL</t>
  </si>
  <si>
    <t>2023-05-03-10201SP1139-01</t>
  </si>
  <si>
    <t>ALYANA SALVE E. SANTILLAN</t>
  </si>
  <si>
    <t>JOSEPHINE O. CONSING</t>
  </si>
  <si>
    <t>BUDGET OFFICER II / PROVINCIAL PROJECT BUDGET OFFICER</t>
  </si>
  <si>
    <t>2023-05-0011</t>
  </si>
  <si>
    <t>2023-05-03-10202SP232-01</t>
  </si>
  <si>
    <t>SN-NXEGZSP00330801B0C3400</t>
  </si>
  <si>
    <t>2023-05-03-10202SP140-01</t>
  </si>
  <si>
    <t>2023-05-03-10201SP1140-01</t>
  </si>
  <si>
    <t>NXEGZSP00330801D493400</t>
  </si>
  <si>
    <t>FRIDAY G. GIGANTO</t>
  </si>
  <si>
    <t>JOCELYN D. BALTERO</t>
  </si>
  <si>
    <t>PTR 2023-08-058</t>
  </si>
  <si>
    <t>2023-05-03-10202SP233-01</t>
  </si>
  <si>
    <t>2023-05-0012</t>
  </si>
  <si>
    <t>SN-NXEGZSP00330801BCE3400</t>
  </si>
  <si>
    <t>LTID - SURVEY SECTION</t>
  </si>
  <si>
    <t>2023-05-03-10202SP139-01</t>
  </si>
  <si>
    <t>NXEGZSP00330801DE63400</t>
  </si>
  <si>
    <t>ARI S. ARCEO</t>
  </si>
  <si>
    <t>2023-05-03-10201SP1141-01</t>
  </si>
  <si>
    <t>2022-05-02-10202SP41-01</t>
  </si>
  <si>
    <t>NORA MAE D. MAQUIRAN</t>
  </si>
  <si>
    <t>SN-RNK2700191</t>
  </si>
  <si>
    <t>ACCOUNTANT II / PROVINCIAL PROJECT ACCOUNTANT</t>
  </si>
  <si>
    <t>2023-05-0013</t>
  </si>
  <si>
    <t>LTID-SPLIT -2022-007</t>
  </si>
  <si>
    <t>2023-05-03-10202SP138-01</t>
  </si>
  <si>
    <t>NXEGZSP00330801D443400</t>
  </si>
  <si>
    <t>2023-05-03-10201SP1142-01</t>
  </si>
  <si>
    <t>JELAINE A. LOREDO</t>
  </si>
  <si>
    <t>CATANDUANES</t>
  </si>
  <si>
    <t>2023-05-0014</t>
  </si>
  <si>
    <t>2023-05-03-10202SP137-01</t>
  </si>
  <si>
    <t>DAR-SPLIT-2023-05-0001</t>
  </si>
  <si>
    <t>NXEGZSP00330801D7A3400</t>
  </si>
  <si>
    <t>GM041ATS</t>
  </si>
  <si>
    <t>NERISA B. ALDEA</t>
  </si>
  <si>
    <t>SPLIT 2023-05-0001</t>
  </si>
  <si>
    <t>PARPO's Office</t>
  </si>
  <si>
    <t>2023-05-03-10201SP1143-01</t>
  </si>
  <si>
    <t>JAIRA A. DELA PEÑA</t>
  </si>
  <si>
    <t>2023-05-0015</t>
  </si>
  <si>
    <t>2023-05-03-10201SP77-01</t>
  </si>
  <si>
    <t>4CE301DH7M</t>
  </si>
  <si>
    <t>DAR-SPLIT-2023-05-0002</t>
  </si>
  <si>
    <t>TIFFANY CRIS O. GARCIA</t>
  </si>
  <si>
    <t>GM041ATT</t>
  </si>
  <si>
    <t>ATTY. CHERRY A. AGMATA</t>
  </si>
  <si>
    <t>PAR 23-09-0286</t>
  </si>
  <si>
    <t>Attorney V</t>
  </si>
  <si>
    <t>SPLIT 2023-05-0002</t>
  </si>
  <si>
    <t>JOEMARIE C. PEÑA</t>
  </si>
  <si>
    <t>Legal Office</t>
  </si>
  <si>
    <t>2023-05-03-10201SP76-01</t>
  </si>
  <si>
    <t>2023-05-03-10201SP1144-01</t>
  </si>
  <si>
    <t>JOMARI Y. GREGORE</t>
  </si>
  <si>
    <t>JENE ROSE E. MARTINICO</t>
  </si>
  <si>
    <t>ARPT / PROVINCIAL DENR/LRA-ROD SURVEY COORDINATOR</t>
  </si>
  <si>
    <t>2023-05-0016</t>
  </si>
  <si>
    <t>PAR 23-09-0285</t>
  </si>
  <si>
    <t>DAR-SPLIT-2023-05-0003</t>
  </si>
  <si>
    <t>GM041ATV</t>
  </si>
  <si>
    <t>ANGELEE M. BERNAL</t>
  </si>
  <si>
    <t>SPLIT 2023-05-0003</t>
  </si>
  <si>
    <t>LTID Office</t>
  </si>
  <si>
    <t>2023-05-03-10201SP1145-01</t>
  </si>
  <si>
    <t>2023-05-03-10201SP75-01</t>
  </si>
  <si>
    <t>4CE301DH4D</t>
  </si>
  <si>
    <t>LALAINE P. MATILLANO</t>
  </si>
  <si>
    <t>HANNIEL D. JEROTA</t>
  </si>
  <si>
    <t>2023-05-0017</t>
  </si>
  <si>
    <t>PAR 23-09-0284</t>
  </si>
  <si>
    <t>DAR-SPLIT-2023-05-0004</t>
  </si>
  <si>
    <t>GM041ATW</t>
  </si>
  <si>
    <t>SPLIT 2023-05-0004</t>
  </si>
  <si>
    <t>MARA FINESSA P. DE GUZMAN</t>
  </si>
  <si>
    <t>2023-05-03-10201SP74-01</t>
  </si>
  <si>
    <t>4CE301DSMN</t>
  </si>
  <si>
    <t>2023-05-03-10201SP1146-01</t>
  </si>
  <si>
    <t>EDELENE P. HORARIO</t>
  </si>
  <si>
    <t>PAR 23-09-0283</t>
  </si>
  <si>
    <t>DAR-SPLIT-2023-05-0005</t>
  </si>
  <si>
    <t>ARPO II / PROVINCIAL MANAGEMENT INFORMATION SYSTEM COORDINATOR</t>
  </si>
  <si>
    <t>GM041ATX</t>
  </si>
  <si>
    <t>2023-05-0018</t>
  </si>
  <si>
    <t>SARAH C. TITO</t>
  </si>
  <si>
    <t>SPLIT 2023-05-0005</t>
  </si>
  <si>
    <t>ARIES P. BOBIER</t>
  </si>
  <si>
    <t>2023-05-03-10201SP73-01</t>
  </si>
  <si>
    <t>4CE301DH91</t>
  </si>
  <si>
    <t>PAR 23-09-0282</t>
  </si>
  <si>
    <t>2023-05-03-10201SP1147-01</t>
  </si>
  <si>
    <t>ADORA L. ALVIDERA</t>
  </si>
  <si>
    <t>DAR-SPLIT-2023-05-0006</t>
  </si>
  <si>
    <t>PLANNING OFFICER II / PROVINCIAL MONITORING AND EVALUATION COORDINATOR</t>
  </si>
  <si>
    <t>GM041ATZ</t>
  </si>
  <si>
    <t>2023-05-0019</t>
  </si>
  <si>
    <t>SPLIT 2023-05-0006</t>
  </si>
  <si>
    <t>ROXANNE D. TRINIDAD</t>
  </si>
  <si>
    <t>2023-05-03-10201SP1148-01</t>
  </si>
  <si>
    <t>DAR-SPLIT-2023-05-0007</t>
  </si>
  <si>
    <t>ROEL B. GALLAZA</t>
  </si>
  <si>
    <t>GM041AV0</t>
  </si>
  <si>
    <t>CARPO-LTID / PROVINCIAL PARCELIZATION COMPONENT AND FIELD VALIDATION TEAM COORDINATOR</t>
  </si>
  <si>
    <t>NEMIA P. BEO</t>
  </si>
  <si>
    <t>2023-05-0020</t>
  </si>
  <si>
    <t>SPLIT 2023-05-0007</t>
  </si>
  <si>
    <t>JOHN HERRY V. BONA</t>
  </si>
  <si>
    <t>2023-05-03-10202SP57-01</t>
  </si>
  <si>
    <t>NXEGZSP00330801BC33400</t>
  </si>
  <si>
    <t>LOURIE VAN B. NICOR</t>
  </si>
  <si>
    <t>2023-05-03-10201SP1149-01</t>
  </si>
  <si>
    <t>PTR 2023-07-044</t>
  </si>
  <si>
    <t>DAR-SPLIT-2023-05-0008</t>
  </si>
  <si>
    <t>LEA L. UBIERNA</t>
  </si>
  <si>
    <t>GM041AV1</t>
  </si>
  <si>
    <t>CARPO-PBDD / PROVINCIAL ESS COORDINATOR</t>
  </si>
  <si>
    <t>ANSELMO T. VARGAS JR.</t>
  </si>
  <si>
    <t>2023-05-0021</t>
  </si>
  <si>
    <t>SPLIT 2023-05-0008</t>
  </si>
  <si>
    <t>A3 Printer (Brother)</t>
  </si>
  <si>
    <t>DAR-SPLIT-2023-05-0009</t>
  </si>
  <si>
    <t>GM041AV2</t>
  </si>
  <si>
    <t>SPLIT 2023-05-0009</t>
  </si>
  <si>
    <t>2023-05-03-10201SP1150-01</t>
  </si>
  <si>
    <t>HANILYN T. BAÑARES</t>
  </si>
  <si>
    <t>HVSPLIT-102-24-05-04-087</t>
  </si>
  <si>
    <t>GERALD AMATA</t>
  </si>
  <si>
    <t>2023-05-0022</t>
  </si>
  <si>
    <t>E78947L3H871272</t>
  </si>
  <si>
    <t>ENGR. ARNULFO T. FIGUEROA</t>
  </si>
  <si>
    <t>DAR-SPLIT-2023-05-0010</t>
  </si>
  <si>
    <t>GM041AV4</t>
  </si>
  <si>
    <t>PTR 2024-04-023</t>
  </si>
  <si>
    <t>ROWEL CLEMENTE P. BENITEZ</t>
  </si>
  <si>
    <t>PO</t>
  </si>
  <si>
    <t>DARPO NEG. OCC 2</t>
  </si>
  <si>
    <t>SPLIT 2023-05-0010</t>
  </si>
  <si>
    <t>JAMES M. TAPALES</t>
  </si>
  <si>
    <t>2023-05-03-10201SP1151-01</t>
  </si>
  <si>
    <t>Negros Occidental I</t>
  </si>
  <si>
    <t>MARBIE GRACE CALUB</t>
  </si>
  <si>
    <t>2023-05-0023</t>
  </si>
  <si>
    <t>HV SPLIT-102-24-05-01-437</t>
  </si>
  <si>
    <t>MSBOA704S0103571</t>
  </si>
  <si>
    <t>DAR-SPLIT-2023-05-0011</t>
  </si>
  <si>
    <t>GM041AV5</t>
  </si>
  <si>
    <t>GLYNISE L. BRILLANTE</t>
  </si>
  <si>
    <t>PTR 2024-09-051</t>
  </si>
  <si>
    <t>SPLIT 2023-05-0011</t>
  </si>
  <si>
    <t>SATELLITE OFFICE</t>
  </si>
  <si>
    <t>PRINCESS DIANNE S. RODRIGUEZ</t>
  </si>
  <si>
    <t>2023-05-03-10201SP1152-01</t>
  </si>
  <si>
    <t>IMMA JOY MARCELO</t>
  </si>
  <si>
    <t>2023-05-0024</t>
  </si>
  <si>
    <t>DAR-SPLIT-2023-05-0012</t>
  </si>
  <si>
    <t>GM041AW3</t>
  </si>
  <si>
    <t>YVETTE JOY T. TAYAMORA</t>
  </si>
  <si>
    <t>Budget Officer</t>
  </si>
  <si>
    <t>SPLIT 2023-05-0012</t>
  </si>
  <si>
    <t>ZEEJAY TOMAGAN</t>
  </si>
  <si>
    <t>HV SPLIT-102-24-05-01-435</t>
  </si>
  <si>
    <t>MSBOA7O4S0103532</t>
  </si>
  <si>
    <t>ANA HANNESA S. APELLIDO</t>
  </si>
  <si>
    <t>2023-05-03-10201SP1153-01</t>
  </si>
  <si>
    <t>MARY GRACE DEOCAMPO</t>
  </si>
  <si>
    <t>DAR-SPLIT-2023-05-0013</t>
  </si>
  <si>
    <t>ADMIN. ASST. II</t>
  </si>
  <si>
    <t>GM041AW4</t>
  </si>
  <si>
    <t>2023-05-0025</t>
  </si>
  <si>
    <t>LANI L. LOVENDINO</t>
  </si>
  <si>
    <t>SPLIT 2023-05-0013</t>
  </si>
  <si>
    <t>HV SPLIT-102-24-05-01-436</t>
  </si>
  <si>
    <t>MSBOA7O4S0103511</t>
  </si>
  <si>
    <t>2023-05-03-10201SP1154-01</t>
  </si>
  <si>
    <t>ARIEL D. CASISON</t>
  </si>
  <si>
    <t>LUCY EMPERADO</t>
  </si>
  <si>
    <t>DAR-SPLIT-2023-05-0014</t>
  </si>
  <si>
    <t>GM041AW6</t>
  </si>
  <si>
    <t>2023-05-0026</t>
  </si>
  <si>
    <t>MA. KATRINA M. SARAUSA</t>
  </si>
  <si>
    <t>SPLIT 2023-05-0014</t>
  </si>
  <si>
    <t>ZENETH A. SOLMIANO</t>
  </si>
  <si>
    <t>HV SPLIT-102-24-05-01-438</t>
  </si>
  <si>
    <t>MSBOA7O4S0103592</t>
  </si>
  <si>
    <t>2023-05-03-10202SP121-01</t>
  </si>
  <si>
    <t>2023-05-03-10202SP124-01</t>
  </si>
  <si>
    <t>4CE301DSP2</t>
  </si>
  <si>
    <t>SPLIT 2023-08-0015</t>
  </si>
  <si>
    <t>PARPO I/ PROVINCIAL GRIEVANCE REDNESS MECHANISM (GRM) COORDINATOR</t>
  </si>
  <si>
    <t>NEESON L. PAHUYO</t>
  </si>
  <si>
    <t>2023-09-0029</t>
  </si>
  <si>
    <t>HV SPLIT-102-24-05-01-439</t>
  </si>
  <si>
    <t>MSBOA7O4S0103525</t>
  </si>
  <si>
    <t>LYN HOPE C. MEDINA</t>
  </si>
  <si>
    <t>2023-05-03-10202SP122-01</t>
  </si>
  <si>
    <t>4CE301DSP0</t>
  </si>
  <si>
    <t>SPLIT 2023-08-0016</t>
  </si>
  <si>
    <t>2023-05-03-10202SP125-01</t>
  </si>
  <si>
    <t>SHERLYN S. LEE</t>
  </si>
  <si>
    <t>2023-09-0030</t>
  </si>
  <si>
    <t>HV SPLIT-102-24-05-01-067</t>
  </si>
  <si>
    <t>MSB0A7O4S0103984</t>
  </si>
  <si>
    <t>PTR 2024-09-054</t>
  </si>
  <si>
    <t>2023-05-03-10202SP123-01</t>
  </si>
  <si>
    <t>4CE301DH9N</t>
  </si>
  <si>
    <t>NIEL MIG GAMANA</t>
  </si>
  <si>
    <t>SPLIT 2023-08-0017</t>
  </si>
  <si>
    <t>Negros Oriental</t>
  </si>
  <si>
    <t>2023-05-03-10202SP126-01</t>
  </si>
  <si>
    <t>JOSEPHINE O CONSING</t>
  </si>
  <si>
    <t>2023-05-030-0001-48</t>
  </si>
  <si>
    <t>2023-09-0031</t>
  </si>
  <si>
    <t>CPU SN: 1S11T5S16200GM0353PY</t>
  </si>
  <si>
    <t>2023-05-03-10202SP234-01</t>
  </si>
  <si>
    <t>Manuel M. Galon Jr</t>
  </si>
  <si>
    <t>NXEGZSP00330801DF13400</t>
  </si>
  <si>
    <t>2023-05-03-10202SP234-0</t>
  </si>
  <si>
    <t>PARO I</t>
  </si>
  <si>
    <t>2023-05-03-10202SP53-01</t>
  </si>
  <si>
    <t>2023-05-03-10202SP235-01</t>
  </si>
  <si>
    <t>NXEGZSP00330801AC83400</t>
  </si>
  <si>
    <t>MA. RONALYN D. CAÑAS</t>
  </si>
  <si>
    <t>AO IV / PROVINCIAL PROJECT PROCUREMENT OFFICER</t>
  </si>
  <si>
    <t>2023-05-030-0002-48</t>
  </si>
  <si>
    <t>2023-09-0032</t>
  </si>
  <si>
    <t>CPU SN: 1S11T5S16200GM0363Q2</t>
  </si>
  <si>
    <t>Reyneza B. Vidal</t>
  </si>
  <si>
    <t>Mary Clarette F. Bracero</t>
  </si>
  <si>
    <t>DARPO LTID</t>
  </si>
  <si>
    <t>2022-05-02-10202SP42-01</t>
  </si>
  <si>
    <t>RNK2700188</t>
  </si>
  <si>
    <t>2023-05-030-0003-48</t>
  </si>
  <si>
    <t>2023-05-14-10202SP57-01</t>
  </si>
  <si>
    <t>CPU SN: 1S11T5S16200GM0415SK</t>
  </si>
  <si>
    <t>Conference Room</t>
  </si>
  <si>
    <t>Debie Irish Cornelia</t>
  </si>
  <si>
    <t>BUDGET OFFICER II / PROVINCIAL PROJECT</t>
  </si>
  <si>
    <t>2023-10-0034</t>
  </si>
  <si>
    <t>2023-05-030-0004-48</t>
  </si>
  <si>
    <t>CPU SN: 1S11T5S16200GM0415TD</t>
  </si>
  <si>
    <t>Lumel D Chiu</t>
  </si>
  <si>
    <t>HV-SPLIT-102-24-05-04-035</t>
  </si>
  <si>
    <t>CARPO PBD</t>
  </si>
  <si>
    <t>E78947L3H871165</t>
  </si>
  <si>
    <t>DARPO PBD</t>
  </si>
  <si>
    <t>HV-SPLIT-102-24-05-094</t>
  </si>
  <si>
    <t>SPLIT-2024-03-0001</t>
  </si>
  <si>
    <t>DARPO CAPIZ</t>
  </si>
  <si>
    <t>2023-05-030-0005-48</t>
  </si>
  <si>
    <t>CPU SN: 1S11T5S16200GM0415WL</t>
  </si>
  <si>
    <t>Juvylen E. Eso</t>
  </si>
  <si>
    <t>MASBATE</t>
  </si>
  <si>
    <t>ANTIQUE</t>
  </si>
  <si>
    <t>2023-05-1410201SP01-01</t>
  </si>
  <si>
    <t>Z60272200023</t>
  </si>
  <si>
    <t>HERALD R. TAMBAL</t>
  </si>
  <si>
    <t>2023-05-03-10201SP1155-01</t>
  </si>
  <si>
    <t>DAR-MBT-101163-TSE-GPS-001</t>
  </si>
  <si>
    <t>2023-05-030-0006-48</t>
  </si>
  <si>
    <t>ANGELO C. FEBRERO</t>
  </si>
  <si>
    <t>CPU SN: 1S11T5S16200GM0415XC</t>
  </si>
  <si>
    <t>JOJIE PACHECO</t>
  </si>
  <si>
    <t>Planning Officer II/ M &amp; E Coordinator</t>
  </si>
  <si>
    <t>Lilany P. Dipaling</t>
  </si>
  <si>
    <t>DARPO-SURVEY</t>
  </si>
  <si>
    <t>2023-05-03-001</t>
  </si>
  <si>
    <t>DARPO-STOD</t>
  </si>
  <si>
    <t>DARPO STOD</t>
  </si>
  <si>
    <t>2023-05-14-10201SP01-01</t>
  </si>
  <si>
    <t>SNB2839979</t>
  </si>
  <si>
    <t>2023-05-030-0007-48</t>
  </si>
  <si>
    <t>CPU SN: 1S11T5S16200GM0415Z8</t>
  </si>
  <si>
    <t>DAR-MBT-101163-TSE-TT-001</t>
  </si>
  <si>
    <t>Ma Socorro Concepcion Cardines</t>
  </si>
  <si>
    <t>2023-05-03-10201SP1156-01</t>
  </si>
  <si>
    <t>GEORGE M. TORENTE</t>
  </si>
  <si>
    <t>OIC-CARPO-LTID/ Parcelization Component and FVT Coordinator</t>
  </si>
  <si>
    <t>2023-05-03-002</t>
  </si>
  <si>
    <t>GIDEON DUANE PE</t>
  </si>
  <si>
    <t>2023-05-030-0008-48</t>
  </si>
  <si>
    <t>CPU SN: 1S11T5S16200GM0415ZC</t>
  </si>
  <si>
    <t>Rena Marie E. Ramos</t>
  </si>
  <si>
    <t>Regine E. Teves</t>
  </si>
  <si>
    <t>2023-05-03-10201SP1157-01</t>
  </si>
  <si>
    <t>2023-05-SPCOM001
 2023-05-03-10201SP1084-01</t>
  </si>
  <si>
    <t>2023-05-030-0009-48</t>
  </si>
  <si>
    <t>1562AFAR2WWVA985G8</t>
  </si>
  <si>
    <t>CPU SN: 1S11T5S16200GM0415ZK</t>
  </si>
  <si>
    <t>2023-05-03-003</t>
  </si>
  <si>
    <t>Anthony Rey D. Lobrido</t>
  </si>
  <si>
    <t>CHRISTINE JOY MILITANTE</t>
  </si>
  <si>
    <t>DAR-MBT-101163-IT-COM-001</t>
  </si>
  <si>
    <t>Melanie Abanilla</t>
  </si>
  <si>
    <t>GIGI CANDELEJA</t>
  </si>
  <si>
    <t>2023-05-030-0010-48</t>
  </si>
  <si>
    <t>CPU SN: 1S11T5S16200GM0415ZP</t>
  </si>
  <si>
    <t>2023-05-03-10201SP1158-01</t>
  </si>
  <si>
    <t>Noe B. Canteveros</t>
  </si>
  <si>
    <t>Chief Legal</t>
  </si>
  <si>
    <t>Cartographer II/Uploader</t>
  </si>
  <si>
    <t>2023-05-03-004</t>
  </si>
  <si>
    <t>GIOSANNI G. AMPIG</t>
  </si>
  <si>
    <t>DARPO LEGAL</t>
  </si>
  <si>
    <t>2023-05-SPCOM002
 2023-05-03-10201SP1085-01</t>
  </si>
  <si>
    <t>1562AFKAR2WWVA985G5</t>
  </si>
  <si>
    <t>2023-05-030-0011-48</t>
  </si>
  <si>
    <t>CPU SN: 1S11T5S16200GM0416OV</t>
  </si>
  <si>
    <t>Carlito Monrico Q. Inoferio</t>
  </si>
  <si>
    <t>2023-05-03-10201SP1159-01</t>
  </si>
  <si>
    <t>IAN DAVE A. ACUISA</t>
  </si>
  <si>
    <t>ARPO I/KOBO Toolbox Administrator</t>
  </si>
  <si>
    <t>2023-05-03-005</t>
  </si>
  <si>
    <t>DAR-MBT-101163-IT-COM-002</t>
  </si>
  <si>
    <t>FRANCIA BARRUGA</t>
  </si>
  <si>
    <t>DARPO-Office of the PARPO II</t>
  </si>
  <si>
    <t>2023-05-030-0012-48</t>
  </si>
  <si>
    <t>CPU SN: 1S11T5S16200GM0416OW</t>
  </si>
  <si>
    <t>Rainer A. Smith</t>
  </si>
  <si>
    <t>2023-05-SPCOM003
 2023-05-03-10201SP1086-01</t>
  </si>
  <si>
    <t>2023-05-03-10201SP1160-01</t>
  </si>
  <si>
    <t>1562AFKAR2WWVA985G6</t>
  </si>
  <si>
    <t>YVE ANNE YVONNE S. AGUIRRE</t>
  </si>
  <si>
    <t>Acting Personnel Officer</t>
  </si>
  <si>
    <t>DAR-MBT-101163-IT-COM-003</t>
  </si>
  <si>
    <t>2023-05-03-006</t>
  </si>
  <si>
    <t>ELEANOR TORRES</t>
  </si>
  <si>
    <t>EDISON L. DAGAS</t>
  </si>
  <si>
    <t>2023-05-030-0013-48</t>
  </si>
  <si>
    <t>2023-05-SPCOM004
 2023-05-03-10201SP1087-01</t>
  </si>
  <si>
    <t>CPU SN: 1S11T5S16200GM041612</t>
  </si>
  <si>
    <t>1562AFKAR2WWVA985G7</t>
  </si>
  <si>
    <t>Charesse A. Comon</t>
  </si>
  <si>
    <t>2023-05-03-10201SP1161-01</t>
  </si>
  <si>
    <t>ATTY CARL RUPERT C. MUELA</t>
  </si>
  <si>
    <t>DAR-MBT-101163-IT-COM-004</t>
  </si>
  <si>
    <t>CHIEF LEGAL/LEGAL OFFICER</t>
  </si>
  <si>
    <t>2023-05-03-007</t>
  </si>
  <si>
    <t>DARPO-LEGAL</t>
  </si>
  <si>
    <t>2023-05-SPCOM005
 2023-05-03-10201SP1088-01</t>
  </si>
  <si>
    <t>1562AFKAR2WWVA985GA</t>
  </si>
  <si>
    <t>DAR-MBT-101163-IT-COM-005</t>
  </si>
  <si>
    <t>2023-05-03-10201SP1162-01</t>
  </si>
  <si>
    <t>RUEL ORBASE</t>
  </si>
  <si>
    <t>MARIGOLD G. GELITO</t>
  </si>
  <si>
    <t>AO IV-GSS/PROJECT PROCUREMENT COORDINATOR</t>
  </si>
  <si>
    <t>2023-05-03-008</t>
  </si>
  <si>
    <t>JOEVENE S. DUBRIA</t>
  </si>
  <si>
    <t>2023-05-030-0014-48</t>
  </si>
  <si>
    <t>DARPO-STOD-GS</t>
  </si>
  <si>
    <t>CPU SN: 1S11T5S16200GM041615</t>
  </si>
  <si>
    <t>Melissa U. Adanza</t>
  </si>
  <si>
    <t>2023-05-SPCOM006
 2023-05-03-10201SP1089-01</t>
  </si>
  <si>
    <t>DAR-MBT-101163-IT-COM-006</t>
  </si>
  <si>
    <t>2023-05-03-10201SP1163-01</t>
  </si>
  <si>
    <t>SUZETTE P. CHECA</t>
  </si>
  <si>
    <t>2023-05-03-009</t>
  </si>
  <si>
    <t>DARMO-Cluster 1</t>
  </si>
  <si>
    <t>2023-05-SPCOM007
 2023-05-03-10201SP1090-01</t>
  </si>
  <si>
    <t>2023-05-030-0015-48</t>
  </si>
  <si>
    <t>1562AFKAR2WWVNA985GD</t>
  </si>
  <si>
    <t>CPU SN: 1S11T5S16200GM041617</t>
  </si>
  <si>
    <t>Ginabel C. Trasmonte</t>
  </si>
  <si>
    <t>DAR-MBT-101163-IT-COM-007</t>
  </si>
  <si>
    <t>ERMA OCSING</t>
  </si>
  <si>
    <t>2023-05-03-10201SP1164-01</t>
  </si>
  <si>
    <t>LUCY LIN N. GOMEZ</t>
  </si>
  <si>
    <t>2023-05-03-010</t>
  </si>
  <si>
    <t>DARMO-Cluster 2</t>
  </si>
  <si>
    <t>2023-05-SPCOM008
 2023-05-03-10201SP1091-01</t>
  </si>
  <si>
    <t>1S62AFKAR2WWNA985GF</t>
  </si>
  <si>
    <t>2023-05-030-0016-48</t>
  </si>
  <si>
    <t>CPU SN: 1S11T5S16200GM04161A</t>
  </si>
  <si>
    <t>DAR-MBT-101163-IT-COM-008</t>
  </si>
  <si>
    <t>2023-05-03-10201SP1165-01</t>
  </si>
  <si>
    <t>FLORENCE A. SASI</t>
  </si>
  <si>
    <t>2023-05-03-011</t>
  </si>
  <si>
    <t>DARMO-Cluster 3</t>
  </si>
  <si>
    <t>2023-05-SPCOM009
 2023-05-03-10201SP1092-01</t>
  </si>
  <si>
    <t>1562AFKAR2WWVA985GG</t>
  </si>
  <si>
    <t>2023-05-030-0017-48</t>
  </si>
  <si>
    <t>DAR-MBT-101163-IT-COM-009</t>
  </si>
  <si>
    <t>CPU SN: 1S11T5S16200GM0418BQ</t>
  </si>
  <si>
    <t>Bernadith P. Chin</t>
  </si>
  <si>
    <t>2023-05-03-10201SP1166-01</t>
  </si>
  <si>
    <t>Planning Officer</t>
  </si>
  <si>
    <t>JOSELITO GERARDO A. LLANTINO</t>
  </si>
  <si>
    <t>PRINTER - UNSERVICEABLE</t>
  </si>
  <si>
    <t>Jettina Lo</t>
  </si>
  <si>
    <t>2023-05-03-012</t>
  </si>
  <si>
    <t>DARMO-Cluster 4</t>
  </si>
  <si>
    <t>2023-05-030-0018-48</t>
  </si>
  <si>
    <t>2023-05-SPCOM010
 2023-05-03-10201SP1093-01</t>
  </si>
  <si>
    <t>CPU SN: 1S11T5S16200GM0418BR</t>
  </si>
  <si>
    <t>1562AFKAR2WWVA985GH</t>
  </si>
  <si>
    <t>Virginia Olpoc</t>
  </si>
  <si>
    <t>2023-05-03-10201SP1167-01</t>
  </si>
  <si>
    <t>DAR-MBT-101163-IT-COM-010</t>
  </si>
  <si>
    <t>NUEVA ERA C. PIDO</t>
  </si>
  <si>
    <t>2023-05-03-013</t>
  </si>
  <si>
    <t>DARMO-Cluster 5</t>
  </si>
  <si>
    <t>2023-05-030-0019-48</t>
  </si>
  <si>
    <t>CPU SN: 1S11T5S16200GM0418BS</t>
  </si>
  <si>
    <t>Evangelyn T. Retes</t>
  </si>
  <si>
    <t>2023-05-SPCOM011
 2023-05-03-10201SP1094-01</t>
  </si>
  <si>
    <t>1562AFKAR2WWVA985GK</t>
  </si>
  <si>
    <t>2023-05-03-10201SP1168-01</t>
  </si>
  <si>
    <t>ANGELITA P. MAGRARE</t>
  </si>
  <si>
    <t>DAR-MBT-101163-IT-COM-011</t>
  </si>
  <si>
    <t>2023-05-03-014</t>
  </si>
  <si>
    <t>2023-05-030-0020-48</t>
  </si>
  <si>
    <t>DARMO-Cluster 6</t>
  </si>
  <si>
    <t>CPU SN: 1S11T5S16200GM0418BT</t>
  </si>
  <si>
    <t>2023-05-03-10201SP1169-01</t>
  </si>
  <si>
    <t>2023-05-SPCOM012
 2023-05-03-10201SP1095-01</t>
  </si>
  <si>
    <t>2023-05-030-0021-48</t>
  </si>
  <si>
    <t>LEO SALVADOR E. DUARTE</t>
  </si>
  <si>
    <t>CPU SN: 1S11T5S16200GM0418BX</t>
  </si>
  <si>
    <t>1562AFKAR2WWVA985GL</t>
  </si>
  <si>
    <t>2023-05-03-015</t>
  </si>
  <si>
    <t>Ellen Pabuhaya</t>
  </si>
  <si>
    <t>DARMO-Cluster 7</t>
  </si>
  <si>
    <t>DAR-MBT-101163-IT-COM-012</t>
  </si>
  <si>
    <t>2023-05-030-0022-48</t>
  </si>
  <si>
    <t>CPU SN: 1S11T5S16200GM0418D9</t>
  </si>
  <si>
    <t>Joven S. Chin</t>
  </si>
  <si>
    <t>OIC CARPO LTID</t>
  </si>
  <si>
    <t>2023-05-03-10201SP1170-01</t>
  </si>
  <si>
    <t>Kim Campanion</t>
  </si>
  <si>
    <t>LALAINE R. VILLA</t>
  </si>
  <si>
    <t>2023-05-03-016</t>
  </si>
  <si>
    <t>2023-05-SPCOM013
 2023-05-03-10201SP1096-01</t>
  </si>
  <si>
    <t>DARMO-Cluster 8</t>
  </si>
  <si>
    <t>1562AFKAR2WWVA985GM</t>
  </si>
  <si>
    <t>DAR-MBT-101163-IT-COM-013</t>
  </si>
  <si>
    <t>2023-05-030-0023-48</t>
  </si>
  <si>
    <t>CPU SN: 1S11T5S16200GM0418DA</t>
  </si>
  <si>
    <t>PRINTER - FOR REPAIR</t>
  </si>
  <si>
    <t>Rendell T. Zuniega</t>
  </si>
  <si>
    <t>2023-05-03-10201SP49-01</t>
  </si>
  <si>
    <t>ULYSSES M. VILLAFUERTE</t>
  </si>
  <si>
    <t>OIC-CARPO, ARBDSP/CBTA for Implementers/ESS Coordinator</t>
  </si>
  <si>
    <t>2023-05-03-017</t>
  </si>
  <si>
    <t>ARLENE A. QUICOY</t>
  </si>
  <si>
    <t>DARPO-ARBDSP</t>
  </si>
  <si>
    <t>2023-05-030-0024-48</t>
  </si>
  <si>
    <t>CPU SN: 1S11T5S16200GM0418DF</t>
  </si>
  <si>
    <t>Jairah Inee C. Alferez</t>
  </si>
  <si>
    <t>2023-05-SPCOM014
 2023-05-03-10201SP1097-01</t>
  </si>
  <si>
    <t>1562AFKAR2WWVA985GN</t>
  </si>
  <si>
    <t>Catherine Planca</t>
  </si>
  <si>
    <t>DAR-MBT-101163-IT-COM-014</t>
  </si>
  <si>
    <t>2023-05-03-10201SP50-01</t>
  </si>
  <si>
    <t>ATTY. REXINOR JOHN D. DEMOGENA</t>
  </si>
  <si>
    <t>Siquijor</t>
  </si>
  <si>
    <t>PROVINCIAL ADJUDICATOR</t>
  </si>
  <si>
    <t>2023-05-03-018</t>
  </si>
  <si>
    <t>MA. INES GARINGALAO</t>
  </si>
  <si>
    <t>DARPO-PARAD</t>
  </si>
  <si>
    <t>2023-05-03-1SP1273-01</t>
  </si>
  <si>
    <t>CPU SN: 1S11T5S16200GM0418E6</t>
  </si>
  <si>
    <t>2023-05-SPCOM015
 2023-05-03-10202SP124-01</t>
  </si>
  <si>
    <t>Sheila May A. Buac</t>
  </si>
  <si>
    <t>CNC24811GW</t>
  </si>
  <si>
    <t>DARPO Siquijor</t>
  </si>
  <si>
    <t>2023-05-03-10201SP51-01</t>
  </si>
  <si>
    <t>RHODA BERNADETTE B. CASTILLON</t>
  </si>
  <si>
    <t>DAR-MBT-101163-IT-COM-015</t>
  </si>
  <si>
    <t>OIC-CAO/ Administrative &amp; Finance Officer</t>
  </si>
  <si>
    <t>2023-05-03-019</t>
  </si>
  <si>
    <t>2023-05-03-1SP1274-01</t>
  </si>
  <si>
    <t>DARPO
 LTID</t>
  </si>
  <si>
    <t>CPU SN: 1S11T5S16200GM0418E7</t>
  </si>
  <si>
    <t>Renee M. Sitchon</t>
  </si>
  <si>
    <t>2023-05-03-10201SP52-01</t>
  </si>
  <si>
    <t>2023-05-SPCOM016
 2023-05-03-10202SP125-01</t>
  </si>
  <si>
    <t>CNC24811NC</t>
  </si>
  <si>
    <t>OIC-CAO/Admin &amp; Finance Office</t>
  </si>
  <si>
    <t>2023-05-03-020</t>
  </si>
  <si>
    <t>2023-05-03-1SP1310-01</t>
  </si>
  <si>
    <t>ZEANYREN M. QUILINO</t>
  </si>
  <si>
    <t>CPU SN: 1S11T5S16200GM041B2B</t>
  </si>
  <si>
    <t>DAR-MBT-101163-IT-COM-016</t>
  </si>
  <si>
    <t>Flor D. Duhaylungsod</t>
  </si>
  <si>
    <t>DARPO
 SURVEY</t>
  </si>
  <si>
    <t>2023-05-03-1SP1311-01</t>
  </si>
  <si>
    <t>CPU SN: 1S11T5S16200GM041B2C</t>
  </si>
  <si>
    <t>Helen P. Tragico</t>
  </si>
  <si>
    <t>2023-05-03-10201SP53-01</t>
  </si>
  <si>
    <t>2023-05-SPCOM017
 2023-05-03-10202SP126-01</t>
  </si>
  <si>
    <t>2023-05-03-021</t>
  </si>
  <si>
    <t>CNC24811PC</t>
  </si>
  <si>
    <t>Plotter (3IN1)</t>
  </si>
  <si>
    <t>DAR-MBT-101163-IT-COM-017</t>
  </si>
  <si>
    <t>2024-05-14-10201SP06-01</t>
  </si>
  <si>
    <t>SN: BBAK00041</t>
  </si>
  <si>
    <t>DANIELLE LOUISE M. LOPEZ</t>
  </si>
  <si>
    <t>GEODETIC ENGINEER/DENR/LRA-ROD Coordinator</t>
  </si>
  <si>
    <t>2023-05-03-01</t>
  </si>
  <si>
    <t>2023-05-SPCOM018
 2023-05-03-10202SP127-01</t>
  </si>
  <si>
    <t>2023-05-03-10202SP380-01</t>
  </si>
  <si>
    <t>CNC24811PZ</t>
  </si>
  <si>
    <t>SN: NXEGZSP00330801F2B3400</t>
  </si>
  <si>
    <t>DAR-MBT-101163-IT-COM-018</t>
  </si>
  <si>
    <t>2023-05-03-02</t>
  </si>
  <si>
    <t>2023-05-03-10202SP381-01</t>
  </si>
  <si>
    <t>SN: NXEGZSP00330801BF03400</t>
  </si>
  <si>
    <t>Johanne Ruby S. Somido</t>
  </si>
  <si>
    <t>OIC Personnel Officer</t>
  </si>
  <si>
    <t>2023-05-SPCOM019
 2023-05-03-10202SP129-01</t>
  </si>
  <si>
    <t>CNC24719CR</t>
  </si>
  <si>
    <t>OIC CARPO-ARBDSP/CBTA for Implementers/ESS Coordinator</t>
  </si>
  <si>
    <t>2023-05-03-03</t>
  </si>
  <si>
    <t>2023-05-03-10202SP61-01</t>
  </si>
  <si>
    <t>SN: NXEGZSP00330801CF13400</t>
  </si>
  <si>
    <t>DAR-MBT-101163-IT-COM-019</t>
  </si>
  <si>
    <t>Pauline S. Grafia</t>
  </si>
  <si>
    <t>DARPO
 JOJIE PACHECO</t>
  </si>
  <si>
    <t>SARPT/PIO</t>
  </si>
  <si>
    <t>PLANNING OFFICER II/ M &amp; E COORDINATOR</t>
  </si>
  <si>
    <t>2023-05-03-04</t>
  </si>
  <si>
    <t>2023-05-SPLT001
 2023-05-03-10202SP236-01</t>
  </si>
  <si>
    <t>NXEGZSP00330801C1F3400</t>
  </si>
  <si>
    <t>2022-05-02-10202SP54-01</t>
  </si>
  <si>
    <t>DAR-MBT-101163-IT-LT-001</t>
  </si>
  <si>
    <t>SN: RNK2200169</t>
  </si>
  <si>
    <t>RCTs &amp; FVTs</t>
  </si>
  <si>
    <t>2022-05-02-10202SP50-01</t>
  </si>
  <si>
    <t>RNK2700200</t>
  </si>
  <si>
    <t>2023-05-SPLT002
 2023-05-03-10202SP237-01</t>
  </si>
  <si>
    <t>2022-05-02-001</t>
  </si>
  <si>
    <t>George M. Torente</t>
  </si>
  <si>
    <t>NXEGZSP00330801D633400</t>
  </si>
  <si>
    <t>DAR-MBT-101163-IT-LT-002</t>
  </si>
  <si>
    <t>MAVIE TEODORO</t>
  </si>
  <si>
    <t>Handheld GPS – Model P6</t>
  </si>
  <si>
    <t>2023-05-14-10202SP66-01</t>
  </si>
  <si>
    <t>SN: SP10730006</t>
  </si>
  <si>
    <t>2022-05-02-10202SP49-01</t>
  </si>
  <si>
    <t>2023-05-SPLT003
 2023-05-03-10202SP238-01</t>
  </si>
  <si>
    <t>Jovie Ianne T. Macias</t>
  </si>
  <si>
    <t>NXEGZSP00330801D953400</t>
  </si>
  <si>
    <t>DAR-MBT-101163-IT-LT-003</t>
  </si>
  <si>
    <t>2023-05-14-01</t>
  </si>
  <si>
    <t>REG 8 NAPUNTA</t>
  </si>
  <si>
    <t>2023-05-14-10201SP19-01</t>
  </si>
  <si>
    <t>SN: 2839860</t>
  </si>
  <si>
    <t>2023-05-SPLT004
 2023-05-03-10202SP239-01</t>
  </si>
  <si>
    <t>NXEGZSP00330801C953400</t>
  </si>
  <si>
    <t>DAR-MBT-101163-IT-LT-004</t>
  </si>
  <si>
    <t>HV-SPLIT-102-24-05-096</t>
  </si>
  <si>
    <t>2023-05-14-10201SP20-01</t>
  </si>
  <si>
    <t>DARPO ANTIQUE</t>
  </si>
  <si>
    <t>BASE SN: 260SN272200099</t>
  </si>
  <si>
    <t>2023-05-SPLT005
 2023-05-03-10202SP48-01</t>
  </si>
  <si>
    <t>ROSANNE ANGEL ZURBITO</t>
  </si>
  <si>
    <t>AKLAN</t>
  </si>
  <si>
    <t>2022-05-02-10202SP46-01</t>
  </si>
  <si>
    <t>RNK2700180</t>
  </si>
  <si>
    <t>Marissa O. Mendoza</t>
  </si>
  <si>
    <t>2022-05-02-10202SP51-01</t>
  </si>
  <si>
    <t>S-2022-10-001</t>
  </si>
  <si>
    <t>SN : RNK2700208</t>
  </si>
  <si>
    <t>2022-05-02-10202SP43-01</t>
  </si>
  <si>
    <t>JOJI D. FLORES</t>
  </si>
  <si>
    <t>RNK2700179</t>
  </si>
  <si>
    <t>MARPO/ SPLIT COORDINATOR</t>
  </si>
  <si>
    <t>2022-10-001</t>
  </si>
  <si>
    <t>DAR-MBT-102-OE-DC-OO1</t>
  </si>
  <si>
    <t>2023-05-03-10201SP1138-01</t>
  </si>
  <si>
    <t>John V. Bustamante</t>
  </si>
  <si>
    <t>2023-05-01-10201SP31-01</t>
  </si>
  <si>
    <t>S-2023-05-001a</t>
  </si>
  <si>
    <t>S# 2839793</t>
  </si>
  <si>
    <t>TIGAO, RODELMAR L.</t>
  </si>
  <si>
    <t>DARMO C-4</t>
  </si>
  <si>
    <t>2024-05-SPPTR-001
 HV-SPLIT-102-24-05-04-036</t>
  </si>
  <si>
    <t>ENGINEER II/DENR/LRA-ROD SURVEY COORDINATOR</t>
  </si>
  <si>
    <t>E78947K3H658294</t>
  </si>
  <si>
    <t>2023-03-038</t>
  </si>
  <si>
    <t>DAR-MBT-102-IT-SE-PTR-OOI</t>
  </si>
  <si>
    <t>LTID/SURVEY SECTION</t>
  </si>
  <si>
    <t>SORSOGON</t>
  </si>
  <si>
    <t>2023-05-03-10201SP1137-01</t>
  </si>
  <si>
    <t>Jocel P. Pastrana</t>
  </si>
  <si>
    <t>2023-05-14-1020ISP06-01</t>
  </si>
  <si>
    <t>S-2023-05-001b</t>
  </si>
  <si>
    <t>Z60 27272200447</t>
  </si>
  <si>
    <t>DARMO C-3</t>
  </si>
  <si>
    <t>EBUENGA, ANNA MAE A.</t>
  </si>
  <si>
    <t>2023-05-14-10201SP31-01</t>
  </si>
  <si>
    <t>2024-039</t>
  </si>
  <si>
    <t>BASE SN# Z60ST272200503 ROVER SN# Z60ST272200514</t>
  </si>
  <si>
    <t>LTID-SURVEY</t>
  </si>
  <si>
    <t>2023-03-039</t>
  </si>
  <si>
    <t>2023-05-03-10201SP1136-01</t>
  </si>
  <si>
    <t>Lourdes Socorro C. Pongyan</t>
  </si>
  <si>
    <t>S-2023-05-001c</t>
  </si>
  <si>
    <t>SN2839801</t>
  </si>
  <si>
    <t>2023-05-14-10202SP19-01</t>
  </si>
  <si>
    <t>SN # SP10730084</t>
  </si>
  <si>
    <t>2023-03-040</t>
  </si>
  <si>
    <t>2023-05-03-10201SP1135-01</t>
  </si>
  <si>
    <t>Helen D. Tilano</t>
  </si>
  <si>
    <t>S-2023-05-001d</t>
  </si>
  <si>
    <t>SP10730014</t>
  </si>
  <si>
    <t>2023-05-03-10201SP1203-01</t>
  </si>
  <si>
    <t>CPU - GM0415RZ MONITOR - VNA99PAA UPS - EL4322 C00989 PRINTER -KNUJ20651</t>
  </si>
  <si>
    <t>2023-05-03-10201SP1134-01</t>
  </si>
  <si>
    <t>PFJIII M. REGALADO</t>
  </si>
  <si>
    <t>ARPT./REGISTRATION UNIT HEAD</t>
  </si>
  <si>
    <t>Jesus Infante L. Ycay</t>
  </si>
  <si>
    <t>S-2023-05-001e</t>
  </si>
  <si>
    <t>DARMO C-1</t>
  </si>
  <si>
    <t>2023-05-03-1020ISP1098-1</t>
  </si>
  <si>
    <t>1S11T5S62006M041B0X</t>
  </si>
  <si>
    <t>CORNAL, JERALD A.</t>
  </si>
  <si>
    <t>2023-05-03-10201SP1204-01</t>
  </si>
  <si>
    <t>2023-05-03-10201SP1133-01</t>
  </si>
  <si>
    <t>LTI DIVISION</t>
  </si>
  <si>
    <t>Analyn N. Miral</t>
  </si>
  <si>
    <t>CPU - GM041AZM MONITOR - VNA99PAH UPS - EL4322 C00990 PRINTER -KNUJ19893</t>
  </si>
  <si>
    <t>S-2023-05-001f</t>
  </si>
  <si>
    <t>MERCY C. CABAYAO</t>
  </si>
  <si>
    <t>ACCOUNTANT II/PROJECT ACCOUNTANT</t>
  </si>
  <si>
    <t>2023-05-03-1020ISP1099-1</t>
  </si>
  <si>
    <t>1S11T5S6200GM041B1D</t>
  </si>
  <si>
    <t>ALMODIEL, ANTONIO E.</t>
  </si>
  <si>
    <t>2023-05-03-10201SP1132-01</t>
  </si>
  <si>
    <t>2024-027</t>
  </si>
  <si>
    <t>Mary Ann R. Barrera</t>
  </si>
  <si>
    <t>ANTONIO E. ALMODIEL</t>
  </si>
  <si>
    <t>STOD-ACCTG.</t>
  </si>
  <si>
    <t>S-2023-05-001g</t>
  </si>
  <si>
    <t>2023-05-03-10201SP1205-01</t>
  </si>
  <si>
    <t>CPU - GM0415X2 MONITOR - VNA99PBC UPS - EL4322 C00991 PRINTER -KNUJ20110</t>
  </si>
  <si>
    <t>2023-05-03-10201SP1131-01</t>
  </si>
  <si>
    <t>2023-05-03-1020ISP1100-1</t>
  </si>
  <si>
    <t>Atty. Jose Rowell C. Declaro</t>
  </si>
  <si>
    <t>1S11T5S6200GM041B1F</t>
  </si>
  <si>
    <t>ATTY. V/CHIEF</t>
  </si>
  <si>
    <t>DE CHAVEZ, STEPHANIE</t>
  </si>
  <si>
    <t>S-2023-05-001h</t>
  </si>
  <si>
    <t>2024-014</t>
  </si>
  <si>
    <t>2023-05-03-10201SP1206-01</t>
  </si>
  <si>
    <t>CPU - GM0415BK MONITOR - VNA99R6Z UPS - EL4322 C00992 PRINTER -KNUJ19935</t>
  </si>
  <si>
    <t>LYKA MARIE D. VELEZ</t>
  </si>
  <si>
    <t>ARPT./ILDF REVIEWER UNIT HEAD</t>
  </si>
  <si>
    <t>2023-05-023</t>
  </si>
  <si>
    <t>2023-05-03-10201SP1130-01</t>
  </si>
  <si>
    <t>2023-05-03-1020ISP1101-1</t>
  </si>
  <si>
    <t>Ma. Teresa C. Valencia</t>
  </si>
  <si>
    <t>1S11T5S6200GM041B1G</t>
  </si>
  <si>
    <t>S-2023-05-001i</t>
  </si>
  <si>
    <t>2023-05-03-10201SP1207-01</t>
  </si>
  <si>
    <t>ROLLY HAGUPIT</t>
  </si>
  <si>
    <t>CPU - GM041B03 MONITOR - VNA99R71 UPS - EL4322 C01811 PRINTER -KNUJ19303</t>
  </si>
  <si>
    <t>CARLA JANEAH G. MISSION</t>
  </si>
  <si>
    <t>ARPT./ILDF VERIFIER</t>
  </si>
  <si>
    <t>2023-05-024</t>
  </si>
  <si>
    <t>2023-05-03-10201SP1129-01</t>
  </si>
  <si>
    <t>Engr. Ernesto T. Anino</t>
  </si>
  <si>
    <t>S-2023-05-001j</t>
  </si>
  <si>
    <t>2023-05-03-1020ISP1102-1</t>
  </si>
  <si>
    <t>1S11T5S6200GM041B1H</t>
  </si>
  <si>
    <t>DOLOIRAS, JO L.</t>
  </si>
  <si>
    <t>2023-05-03-10201SP1208-01</t>
  </si>
  <si>
    <t>CPU - GM041B5J MONITOR - VNA99PWF UPS - EL4322 C01812 PRINTER -KNUJ19311</t>
  </si>
  <si>
    <t>2024-060</t>
  </si>
  <si>
    <t>MARPO/PARCELIZATION COMPONENT AND FIELD TEAM COORDINATOR</t>
  </si>
  <si>
    <t>SAMANTHA JANORAS</t>
  </si>
  <si>
    <t>STOD-HRMO UNIT</t>
  </si>
  <si>
    <t>2023-05-03-10201SP1128-01</t>
  </si>
  <si>
    <t>Engr. Nora I. Dela Rosa</t>
  </si>
  <si>
    <t>OIC CARPO - PBDD</t>
  </si>
  <si>
    <t>S-2023-05-001k</t>
  </si>
  <si>
    <t>2023-05-03-10201SP1209-01</t>
  </si>
  <si>
    <t>CPU - GM041B11 MONITOR - VNA99PRX UPS - EL4322 C01809 PRINTER -KNUJ19901</t>
  </si>
  <si>
    <t>MARK RYAN B. SARABIA</t>
  </si>
  <si>
    <t>2023-05-03-1020ISP1103-1</t>
  </si>
  <si>
    <t>SARPT./MIS COORDINATOR</t>
  </si>
  <si>
    <t>2023-05-026</t>
  </si>
  <si>
    <t>1S11T5S6200GM041B1J</t>
  </si>
  <si>
    <t>AGMATA, CHERRY</t>
  </si>
  <si>
    <t>2024-020</t>
  </si>
  <si>
    <t>MADELEINE DINO</t>
  </si>
  <si>
    <t>2023-05-03-10201SP1127-01</t>
  </si>
  <si>
    <t>Jersie Jane D. Malihan</t>
  </si>
  <si>
    <t>2023-05-03-10201SP1210-01</t>
  </si>
  <si>
    <t>CPU - GM041B14 MONITOR - VNA99PWA UPS - EL4322 C01810 PRINTER -KNUJ24284</t>
  </si>
  <si>
    <t>S-2023-05-001l</t>
  </si>
  <si>
    <t>CRISTA GRACE I. FLORES</t>
  </si>
  <si>
    <t>ARPO I/VALIDATION UNIT HEAD</t>
  </si>
  <si>
    <t>2023-05-03-1020ISP1104-1</t>
  </si>
  <si>
    <t>1S11T5S6200GM041B1K</t>
  </si>
  <si>
    <t>KATHLEEN G. BELLO</t>
  </si>
  <si>
    <t>2023-05-03-10201SP1126-01</t>
  </si>
  <si>
    <t>2023-05-03-10201SP1211-01</t>
  </si>
  <si>
    <t>CASHIER II/PROJECT CASHIER</t>
  </si>
  <si>
    <t>Nimia Grace D. Pahilga</t>
  </si>
  <si>
    <t>CPU - GM041AZE MONITOR - VNA99PCF UPS - EL4322 C01969 PRINTER -KNUJ20365</t>
  </si>
  <si>
    <t>2024-031</t>
  </si>
  <si>
    <t>S-2023-05-001m</t>
  </si>
  <si>
    <t>MELANIE JUAN</t>
  </si>
  <si>
    <t>STOD-CASH</t>
  </si>
  <si>
    <t>2023-05-028</t>
  </si>
  <si>
    <t>2023-05-03-10201SP1125-01</t>
  </si>
  <si>
    <t>Mark Ferdinand G. Abueg</t>
  </si>
  <si>
    <t>2023-05-03-10201SP1212-01</t>
  </si>
  <si>
    <t>CPU - GM041B5M MONITOR - VNA99PAP UPS - EL4322 C00970 PRINTER -KNUJ20135</t>
  </si>
  <si>
    <t>2023-05-03-1020ISP1105-1</t>
  </si>
  <si>
    <t>S-2023-05-001n</t>
  </si>
  <si>
    <t>ELLENOR GRACE S. BARBILLA</t>
  </si>
  <si>
    <t>2023-05-029</t>
  </si>
  <si>
    <t>1S11T5S6200GM041B1L</t>
  </si>
  <si>
    <t>BRENDA M. BARAQUEL</t>
  </si>
  <si>
    <t>BUDGET OFFICER II/ PROJECT BUDGET OFFICER</t>
  </si>
  <si>
    <t>2024-024</t>
  </si>
  <si>
    <t>2023-05-03-10201SP1213-01</t>
  </si>
  <si>
    <t>ROSE ANNE PERALTA</t>
  </si>
  <si>
    <t>STOD-BUDGET</t>
  </si>
  <si>
    <t>2023-05-03-10201SP1124-01</t>
  </si>
  <si>
    <t>Nenia Joy U. Castor</t>
  </si>
  <si>
    <t>ASSISTANT STAT.</t>
  </si>
  <si>
    <t>S-2023-05-001o</t>
  </si>
  <si>
    <t>2023-05-03-1020ISP1106-1</t>
  </si>
  <si>
    <t>1S11T5S6200GM041B1P</t>
  </si>
  <si>
    <t>2023-05-03-10201SP1123-01</t>
  </si>
  <si>
    <t>CPU - GM041AZO MONITOR - VNA99PA8 UPS - EL4322 C00971 PRINTER -KNUJ19899</t>
  </si>
  <si>
    <t>Irene C. Hilario</t>
  </si>
  <si>
    <t>2024-012</t>
  </si>
  <si>
    <t>S-2023-05-001p</t>
  </si>
  <si>
    <t>ROMEL ATRACTIVO</t>
  </si>
  <si>
    <t>2023-05-030</t>
  </si>
  <si>
    <t>2023-05-03-10202SP51-01</t>
  </si>
  <si>
    <t>Cathelene K. Pantoja</t>
  </si>
  <si>
    <t>2023-05-03-1020ISP1107-1</t>
  </si>
  <si>
    <t>1S11T5S6200GM041B1Q</t>
  </si>
  <si>
    <t>S-2023-07-001v</t>
  </si>
  <si>
    <t>ELANIE A. FLORES</t>
  </si>
  <si>
    <t>PLANNING OFFICER II/M&amp;E COORDINATOR</t>
  </si>
  <si>
    <t>2024-030</t>
  </si>
  <si>
    <t>2023-05-03-10201SP1214-01</t>
  </si>
  <si>
    <t>CPU - GM041B5G MONITOR - VNA99PB4 UPS - EL4322 C00972 PRINTER -KNUJ20131</t>
  </si>
  <si>
    <t>ROWENA F. DERLA</t>
  </si>
  <si>
    <t>ADMINISTRATIVE OFFICER IV/PROJECT BUDGET OFFICER</t>
  </si>
  <si>
    <t>2023-05-031</t>
  </si>
  <si>
    <t>S-2023-08-007b</t>
  </si>
  <si>
    <t>2023-05-03-1020ISP1108-1</t>
  </si>
  <si>
    <t>1S11T5S6200GM041B4R</t>
  </si>
  <si>
    <t>ENESIO, JEFERSON</t>
  </si>
  <si>
    <t>2024-016</t>
  </si>
  <si>
    <t>JEFFERSON G. ENESIO</t>
  </si>
  <si>
    <t>Vision Faith R. Bernaldo</t>
  </si>
  <si>
    <t>2023-05-03-10201SP1215-01</t>
  </si>
  <si>
    <t>CPU - GM041AQM MONITOR - VNA99PBB UPS - EL4322 C01867 PRINTER -KNUJ23398</t>
  </si>
  <si>
    <t>S-2023-08-007c</t>
  </si>
  <si>
    <t>ROGINE LYN P. ALISAN</t>
  </si>
  <si>
    <t>ARPT./DOCUMENTATION/ENVIRONMENT &amp; SOCIAL SAFEGUARDS SUPPORT STAFF</t>
  </si>
  <si>
    <t>2023-05-032</t>
  </si>
  <si>
    <t>2023-05-03-1020ISP1109-1</t>
  </si>
  <si>
    <t>1S11T5S6200GM041B50</t>
  </si>
  <si>
    <t>TORRES, ELENEOR F.</t>
  </si>
  <si>
    <t>2023-05-03-10201SP1216-01</t>
  </si>
  <si>
    <t>2024-008</t>
  </si>
  <si>
    <t>CPU - GM041B04 MONITOR - VNA99R5K UPS - EL4322 C01868 PRINTER -KNUJ23394</t>
  </si>
  <si>
    <t>RODELMAR L. TIGAO</t>
  </si>
  <si>
    <t>GLADY'S DIONGLAY</t>
  </si>
  <si>
    <t>2023-05-03-10201SP45-01</t>
  </si>
  <si>
    <t>2023-05-033</t>
  </si>
  <si>
    <t>Vique Philsin Q. Villanueva</t>
  </si>
  <si>
    <t>S-2023-08-007d</t>
  </si>
  <si>
    <t>2023-05-03-10201SP1217-01</t>
  </si>
  <si>
    <t>CPU - GM0415WY MONITOR - VNA99PT7 UPS - EL4322 C01866 PRINTER -KNUJ23406</t>
  </si>
  <si>
    <t>MA. CORAZON T. MONDIA</t>
  </si>
  <si>
    <t>2023-05-03-1020ISP1110-1</t>
  </si>
  <si>
    <t>CHIEF ADMIN. OFFICER/TECHNICAL STAFF 2-ADMINISTRATIVE AND FINANCE OFFICER</t>
  </si>
  <si>
    <t>1S11T5S6200GM041B52</t>
  </si>
  <si>
    <t>2023-05-034</t>
  </si>
  <si>
    <t>LEAL, CRISANTA CAMILLE J.</t>
  </si>
  <si>
    <t>2023-05-03-10201SP46-01</t>
  </si>
  <si>
    <t>2024-032</t>
  </si>
  <si>
    <t>Emilie M. Jimera</t>
  </si>
  <si>
    <t>REGINE MORALEDA</t>
  </si>
  <si>
    <t>STOD-BAC</t>
  </si>
  <si>
    <t>2023-05-03-10201SP1218-01</t>
  </si>
  <si>
    <t>S-2023-08-007e</t>
  </si>
  <si>
    <t>CPU - GM041B1M MONITOR - VNA99PRV UPS - EL4322 C01865 PRINTER -KNUJ19294</t>
  </si>
  <si>
    <t>TERESITA R. MABUNAY</t>
  </si>
  <si>
    <t>OIC-PARPO II/PROJECT MANAGER</t>
  </si>
  <si>
    <t>2023-05-035</t>
  </si>
  <si>
    <t>2023-05-03-1020ISP1111-1</t>
  </si>
  <si>
    <t>2023-05-03-10201SP47-01</t>
  </si>
  <si>
    <t>1S11T5S6200GM041B53</t>
  </si>
  <si>
    <t>Donna Mae S. Gallardo</t>
  </si>
  <si>
    <t>EREBETE, LYNN I.</t>
  </si>
  <si>
    <t>S-2023-08-007f</t>
  </si>
  <si>
    <t>2024-038</t>
  </si>
  <si>
    <t>2023-05-03-10201SP67-01</t>
  </si>
  <si>
    <t>MARIA EREBETE</t>
  </si>
  <si>
    <t>PARCOM</t>
  </si>
  <si>
    <t>CPU: 4CE301DH6D Keyboard:CT:BKSZU0BUEHD0Y2 Mouse: 9CP25123VX Monitor: CNC249167K UPS: 320225BN30000946 Printer: CN2BT2M0K3</t>
  </si>
  <si>
    <t>MARITES M. BATADLAN</t>
  </si>
  <si>
    <t>ARPO II/RE-DOC UNIT HEAD</t>
  </si>
  <si>
    <t>2023-08-042</t>
  </si>
  <si>
    <t>2023-05-03-10201SP48-01</t>
  </si>
  <si>
    <t>S-2023-08-007g</t>
  </si>
  <si>
    <t>2023-05-03-10201SP68-01</t>
  </si>
  <si>
    <t>CPU: 4CE301DSHG Keyboard:9CP249QB2V Mouse: 9CP251372J Monitor: CNC2471FLM UPS: 320225BO30000606 Printer: CN2BT2M0H9</t>
  </si>
  <si>
    <t>4CE301DSQF</t>
  </si>
  <si>
    <t>BONNAH JOYCE M. UY</t>
  </si>
  <si>
    <t>ARPT./RECORDS UNIT HEAD</t>
  </si>
  <si>
    <t>2023-08-043</t>
  </si>
  <si>
    <t>RONEL DEALCA</t>
  </si>
  <si>
    <t>2023-05-14-10202SP55-01</t>
  </si>
  <si>
    <t>2023-05-03-10201SP69-01</t>
  </si>
  <si>
    <t>S-2023-10-012</t>
  </si>
  <si>
    <t>CPU: 4CE301DSPG Keyboard:9CP249Q9Y4 Mouse: 9CP25134MG Monitor: CNC2471FLJ UPS: 320225BN30000941 Printer: CN2BT2M1D5</t>
  </si>
  <si>
    <t>PETER S. SEGOVIA</t>
  </si>
  <si>
    <t>ARPT./NTD/PeTD UNIT HEAD</t>
  </si>
  <si>
    <t>2023-08-044</t>
  </si>
  <si>
    <t>4CE301DSQ3</t>
  </si>
  <si>
    <t>HV-SPLIT-102-24-05-098</t>
  </si>
  <si>
    <t>2023-05-03-10201SP71-01</t>
  </si>
  <si>
    <t>SIMEONA HIBO</t>
  </si>
  <si>
    <t>CPU: 4CE301DSS4 Keyboard:9CP249QB4H Mouse: 9CP251375R Monitor: CNC2471FLG UPS: 320225BN30000440 Printer: CN2BT2M1G6</t>
  </si>
  <si>
    <t>LIEZEL G. NINA</t>
  </si>
  <si>
    <t>A.O.III/PROJECT CASHIER</t>
  </si>
  <si>
    <t>DARPO AKLAN</t>
  </si>
  <si>
    <t>2023-08-045</t>
  </si>
  <si>
    <t>GUIMARAS</t>
  </si>
  <si>
    <t>CPU: 4CE301DSQ6 Keyboard:9CP249Q9ZW Mouse: 9CP251375X Monitor : CNC2471FLW UPS: 320225BO30000684 Printer: CN2BT2M1D3</t>
  </si>
  <si>
    <t>4CE301DSJN</t>
  </si>
  <si>
    <t>ANNABELLE A. SANCHEZ</t>
  </si>
  <si>
    <t>2023-10-0001SPLITIT</t>
  </si>
  <si>
    <t>A.O. IV/TECHNICAL STAFF 3-PROJECT PROCUREMENT OFFICER</t>
  </si>
  <si>
    <t>VAIL MICHAEL NAGAYNAY</t>
  </si>
  <si>
    <t>ANGELICA EVE PARDINAS</t>
  </si>
  <si>
    <t>OIC-ATTY VI/CHIEF LEGAL OFFICE</t>
  </si>
  <si>
    <t>2023-10-0001SPLIT</t>
  </si>
  <si>
    <t>2023-05-03-10202SP133-01</t>
  </si>
  <si>
    <t>SN - NXEGZSP00330801C6C3400</t>
  </si>
  <si>
    <t>2023-08-047</t>
  </si>
  <si>
    <t>2023-10-0003SPLITIT</t>
  </si>
  <si>
    <t>4CE301DSQY</t>
  </si>
  <si>
    <t>DHANIKKA HUALDE</t>
  </si>
  <si>
    <t>2023-10-0003SPLIT</t>
  </si>
  <si>
    <t>AMELUISA HALCON</t>
  </si>
  <si>
    <t>2023-05-03-10202SP134-01</t>
  </si>
  <si>
    <t>SN - NXEGZSP00330801C5E3400</t>
  </si>
  <si>
    <t>2023-08-048</t>
  </si>
  <si>
    <t>2023-10-0004SPLITIT</t>
  </si>
  <si>
    <t>ANA MARIE BELGA</t>
  </si>
  <si>
    <t>2023-10-0004SPLIT</t>
  </si>
  <si>
    <t>2023-05-03-10202SP241-01</t>
  </si>
  <si>
    <t>2023-05-03-10202SP135-01</t>
  </si>
  <si>
    <t>NXEGZSP00330801ED43400</t>
  </si>
  <si>
    <t>SN - NXEGZSP00330801E073400</t>
  </si>
  <si>
    <t>2023-08-049</t>
  </si>
  <si>
    <t>CASSANDRA JILL N. PALAD</t>
  </si>
  <si>
    <t>PBD DIVISION</t>
  </si>
  <si>
    <t>2023-05-03-10202SP136-01</t>
  </si>
  <si>
    <t>SN - NXEGZSP00330801BBA3400</t>
  </si>
  <si>
    <t>2023-08-050</t>
  </si>
  <si>
    <t>2023-10-0005SPLITIT</t>
  </si>
  <si>
    <t>2023-05-03-10202SP240-01</t>
  </si>
  <si>
    <t>MYLYN NOBLEZA</t>
  </si>
  <si>
    <t>NXEGZSP00330801E6A3400</t>
  </si>
  <si>
    <t>2023-10-0005SPLIT</t>
  </si>
  <si>
    <t>2023-05-03-10202SP56-01</t>
  </si>
  <si>
    <t>SN - NXEGZSP00330801C063400</t>
  </si>
  <si>
    <t>CHRISTY JOY Y. MANGALUS</t>
  </si>
  <si>
    <t>ARPT.-PIO</t>
  </si>
  <si>
    <t>2023-08-055</t>
  </si>
  <si>
    <t>2023-10-0006SPLITIT</t>
  </si>
  <si>
    <t>2022-05-02-10202SP44-01</t>
  </si>
  <si>
    <t>MAILEN GALAS</t>
  </si>
  <si>
    <t>RNK2700176</t>
  </si>
  <si>
    <t>AO IV/HRMO II</t>
  </si>
  <si>
    <t>HVSPLIT-102-24-05-04-094</t>
  </si>
  <si>
    <t>2023-10-0006SPLIT</t>
  </si>
  <si>
    <t>CARPO, LTID/PARCELIZATION COMPONENT COORDINATOR</t>
  </si>
  <si>
    <t>SN-E78947H3H284308</t>
  </si>
  <si>
    <t>JIRO SALEM ESCARILLA</t>
  </si>
  <si>
    <t>PPMO COS STAFF/FVTs</t>
  </si>
  <si>
    <t>ARPT.</t>
  </si>
  <si>
    <t>2024-12-225</t>
  </si>
  <si>
    <t>2023-10-0008SPLITIT</t>
  </si>
  <si>
    <t>MANUEL VELASCO</t>
  </si>
  <si>
    <t>HV SPLIT-102-24-05-01-440</t>
  </si>
  <si>
    <t>2023-10-0008SPLIT</t>
  </si>
  <si>
    <t>Monitor S#- PC6M064401825 CPU S# MSBOA7O4S0103768</t>
  </si>
  <si>
    <t>PARO's OFFICE</t>
  </si>
  <si>
    <t>ORTEGA, MITCH IVONY M.</t>
  </si>
  <si>
    <t>HV-SPLIT-102-24-05-04-37</t>
  </si>
  <si>
    <t>2024-12-159</t>
  </si>
  <si>
    <t>PARPO II/PROVINCIAL PROJECT MANAGER</t>
  </si>
  <si>
    <t>2023-10-0009SPLITIT</t>
  </si>
  <si>
    <t>ANGEL BELGA</t>
  </si>
  <si>
    <t>MARPO/LTI COORDINATOR</t>
  </si>
  <si>
    <t>2023-10-0009SPLIT</t>
  </si>
  <si>
    <t>HV SPLIT-102-24-05-01-431</t>
  </si>
  <si>
    <t>Monitor S#- PC6M064401667 CPU S# MSBOA7O4S0103788</t>
  </si>
  <si>
    <t>VALENTIN, LYNIE E.</t>
  </si>
  <si>
    <t>2024-12-160</t>
  </si>
  <si>
    <t>DAR-V-S-PTR-140-22</t>
  </si>
  <si>
    <t>E81715H2H542903</t>
  </si>
  <si>
    <t>2023-10-0010SPLITIT</t>
  </si>
  <si>
    <t>ALETH E. LAGUNA</t>
  </si>
  <si>
    <t>JENNY ROSE GALFO</t>
  </si>
  <si>
    <t>PCAO/TS2-ADMINISTRATIVE AND FINANCE OFFICER</t>
  </si>
  <si>
    <t>ARPTECH</t>
  </si>
  <si>
    <t>2023-10-0010SPLIT</t>
  </si>
  <si>
    <t>DIANNE GRACE L. FERMANES/ALLAN A. AREVALO</t>
  </si>
  <si>
    <t>HV SPLIT-102-24-05-01-432</t>
  </si>
  <si>
    <t>Monitor S#- PC6M064401593 CPU S# MSBOA7O4S0103493</t>
  </si>
  <si>
    <t>FLORES, CRISTA GRACE I.</t>
  </si>
  <si>
    <t>2024-12-161</t>
  </si>
  <si>
    <t>2023-10-0011SPLITIT</t>
  </si>
  <si>
    <t>JUNGIE EMATA</t>
  </si>
  <si>
    <t>2023-05-03-10202SP43-01</t>
  </si>
  <si>
    <t>2023-10-0011SPLIT</t>
  </si>
  <si>
    <t>HV SPLIT-102-24-05-01-433</t>
  </si>
  <si>
    <t>W. SERRANO</t>
  </si>
  <si>
    <t>2023-10-0012SPLITIT</t>
  </si>
  <si>
    <t>JOHN MARK ISOGON</t>
  </si>
  <si>
    <t>2023-10-0012SPLIT</t>
  </si>
  <si>
    <t>Monitor S#- PC6M064401296 CPU S# MSBOA7O4S0103864</t>
  </si>
  <si>
    <t>2023-10-0014SPLITIT</t>
  </si>
  <si>
    <t>DAISY ANG</t>
  </si>
  <si>
    <t>BALBASIN, PRINCE DAVID O.</t>
  </si>
  <si>
    <t>2023-10-0014SPLIT</t>
  </si>
  <si>
    <t>2024-12-162</t>
  </si>
  <si>
    <t>2023-10-0015SPLITIT</t>
  </si>
  <si>
    <t>HV SPLIT-102-24-05-01-434</t>
  </si>
  <si>
    <t>MELROSE JIMENEZ</t>
  </si>
  <si>
    <t>Monitor S#- PC6M064401791 CPU S# MSBOA7O4S0103640</t>
  </si>
  <si>
    <t>SARPTECH</t>
  </si>
  <si>
    <t>PEDROSA, JOSHUA OLIVER R.</t>
  </si>
  <si>
    <t>2023-10-0015SPLIT</t>
  </si>
  <si>
    <t>HVSPLIT-102-24-05-01-387</t>
  </si>
  <si>
    <t>2024-12-163</t>
  </si>
  <si>
    <t>PC6M064401298</t>
  </si>
  <si>
    <t>DAR-MBT-102-IT-SE-COM-002</t>
  </si>
  <si>
    <t>2023-10-0016SPLITIT</t>
  </si>
  <si>
    <t>2023-06-01-10201SP93-01</t>
  </si>
  <si>
    <t>HARRIETA GEDALANGA</t>
  </si>
  <si>
    <t>SNC 1213</t>
  </si>
  <si>
    <t>2023-10-0016SPLIT</t>
  </si>
  <si>
    <t>PTR 2023-10-059</t>
  </si>
  <si>
    <t>MARO-JORDAN</t>
  </si>
  <si>
    <t>HVSPLIT-102-24-05-01-388</t>
  </si>
  <si>
    <t>PC6M064401313</t>
  </si>
  <si>
    <t>2023-10-0017SPLITIT</t>
  </si>
  <si>
    <t>ROY BUNOL</t>
  </si>
  <si>
    <t>2023-06-01-10201SP143-01</t>
  </si>
  <si>
    <t>DAR-MBT-102-IT-SE-COM-003</t>
  </si>
  <si>
    <t>SNC 1071</t>
  </si>
  <si>
    <t>2023-10-0017SPLIT</t>
  </si>
  <si>
    <t>MARPO-NUEVA VALENCIA</t>
  </si>
  <si>
    <t>2023-10-0018SPLITIT</t>
  </si>
  <si>
    <t>HVSPLIT-102-24-05-01-389</t>
  </si>
  <si>
    <t>JOHN MARC SORTIGOSA</t>
  </si>
  <si>
    <t>PC6M064401874</t>
  </si>
  <si>
    <t>2023-10-0018SPLIT</t>
  </si>
  <si>
    <t>DAR-MBT-102-IT-SE-COM-004</t>
  </si>
  <si>
    <t>MARPO-BUENAVISTA</t>
  </si>
  <si>
    <t>2023-06-01-10202SP230-01</t>
  </si>
  <si>
    <t>JELAN S. MAQUILING</t>
  </si>
  <si>
    <t>PTR 2023-02-016</t>
  </si>
  <si>
    <t>2023-10-0019SPLITIT</t>
  </si>
  <si>
    <t>MARY JEAN TAMBALO</t>
  </si>
  <si>
    <t>2023-06-01-10202SP318-01</t>
  </si>
  <si>
    <t>2023-10-0019SPLIT</t>
  </si>
  <si>
    <t>ENGINEER II / SPLIT ESS Documentation</t>
  </si>
  <si>
    <t>2023-05-03-10202SP249-01</t>
  </si>
  <si>
    <t>MARPO-SIBUNAG</t>
  </si>
  <si>
    <t>PTR 2023-02-017</t>
  </si>
  <si>
    <t>GUARINA, REJEL A.</t>
  </si>
  <si>
    <t>2023-06-01-10202SP313-01</t>
  </si>
  <si>
    <t>2023-10-0002SPLITIT</t>
  </si>
  <si>
    <t>NOVIE Z. GABINETE</t>
  </si>
  <si>
    <t>FROM DARCO, PTR # 2023-06-002L</t>
  </si>
  <si>
    <t>NONALYN BALANO</t>
  </si>
  <si>
    <t>2023-10-0002SPLIT</t>
  </si>
  <si>
    <t>2023-05-03-10202SP246-01</t>
  </si>
  <si>
    <t>2023-10-0007SPLITIT</t>
  </si>
  <si>
    <t>BON RYAN VARONA</t>
  </si>
  <si>
    <t>AO IV/BUDGET OFFICER II</t>
  </si>
  <si>
    <t>2023-10-0007SPLIT</t>
  </si>
  <si>
    <t>2023-06-01-10202SP301-01</t>
  </si>
  <si>
    <t>NIKKO JADE B. ALIPO-ON</t>
  </si>
  <si>
    <t>PTR 2023-02-015</t>
  </si>
  <si>
    <t>HV-SPLIT-102-24-05-01-366</t>
  </si>
  <si>
    <t>2023-10-0013SPLITIT</t>
  </si>
  <si>
    <t>LIZA CABARDO</t>
  </si>
  <si>
    <t>2023-06-01-10202SP333-01</t>
  </si>
  <si>
    <t>2023-10-0013SPLIT</t>
  </si>
  <si>
    <t>KENT PETER A. DAIRO</t>
  </si>
  <si>
    <t>SHINKAI YU</t>
  </si>
  <si>
    <t>2023-10-0020SPLITIT</t>
  </si>
  <si>
    <t>CHRISTINE ANN CHAVEZ</t>
  </si>
  <si>
    <t>GSS CHIEF/AO IV</t>
  </si>
  <si>
    <t>2023-10-0020SPLIT</t>
  </si>
  <si>
    <t>2023-06-01-10202SP312-01</t>
  </si>
  <si>
    <t>ARON B. ALLASCO</t>
  </si>
  <si>
    <t>HV-SPLIT-102-24-05-01-367</t>
  </si>
  <si>
    <t>JULIE NOLASCO</t>
  </si>
  <si>
    <t>2023-10-0021SPLITIT</t>
  </si>
  <si>
    <t>2023-10-0021SPLIT</t>
  </si>
  <si>
    <t>2023-06-01-10202SP309-01</t>
  </si>
  <si>
    <t>ALAN D. HONGO</t>
  </si>
  <si>
    <t>2023-10-0022SPLITIT</t>
  </si>
  <si>
    <t>HV-SPLIT-102-24-05-01-368</t>
  </si>
  <si>
    <t>2023-10-0022SPLIT</t>
  </si>
  <si>
    <t>PARTCELIZATION COMPONENT COORDINATOR</t>
  </si>
  <si>
    <t>2023-06-01-10202SP311-01</t>
  </si>
  <si>
    <t>JOASH N. JARA</t>
  </si>
  <si>
    <t>2022-05-02-10202SP47-01</t>
  </si>
  <si>
    <t>HV-SPLIT-102-24-05-01-369</t>
  </si>
  <si>
    <t>GAY LABAD</t>
  </si>
  <si>
    <t>2023-06-01-10202SP310-01</t>
  </si>
  <si>
    <t>ARDO'S</t>
  </si>
  <si>
    <t>2023-05-03-10202S55-01</t>
  </si>
  <si>
    <t>HV-SPLIT-102-24-05-01-370</t>
  </si>
  <si>
    <t>HERZON DAWAL</t>
  </si>
  <si>
    <t>2023-06-01-10202SP326-01</t>
  </si>
  <si>
    <t>2023-05-03-10202SP52-01</t>
  </si>
  <si>
    <t>LEMUEL J. DIATERA</t>
  </si>
  <si>
    <t>HV-SPLIT-102-24-05-01-371</t>
  </si>
  <si>
    <t>2023-06-01-10202SP324-01</t>
  </si>
  <si>
    <t>NOVIE MAE AGNES J. LLORANDO</t>
  </si>
  <si>
    <t>JOHN MARK P. RUBATON</t>
  </si>
  <si>
    <t>2023-05-03-10201SP54</t>
  </si>
  <si>
    <t>2023-06-01-10202SP316-01</t>
  </si>
  <si>
    <t>HV-SPLIT-102-24-05-01-373</t>
  </si>
  <si>
    <t>JAMES S. JUCAL</t>
  </si>
  <si>
    <t>FROY BERANA</t>
  </si>
  <si>
    <t>2023-05-03-10201SP55</t>
  </si>
  <si>
    <t>MEDIA GRAPHIC ARTIST</t>
  </si>
  <si>
    <t>2023-06-01-10202SP320-01</t>
  </si>
  <si>
    <t>JOSE RENAN P. TALADTAD</t>
  </si>
  <si>
    <t>2023-05-03-10201SP56</t>
  </si>
  <si>
    <t>2024-05-03-10202SPO47-01</t>
  </si>
  <si>
    <t>ESTEVES J.</t>
  </si>
  <si>
    <t>ISA II</t>
  </si>
  <si>
    <t>2023-06-01-10202SP330-01</t>
  </si>
  <si>
    <t>2023-05-03-10201SP57</t>
  </si>
  <si>
    <t>RICHARD M. BAUTISTA</t>
  </si>
  <si>
    <t>2024-05-03-10202SPO48-01</t>
  </si>
  <si>
    <t>2023-05-03-10201SP58</t>
  </si>
  <si>
    <t>2023-06-01-10202SP315-01</t>
  </si>
  <si>
    <t>ARIS J. PABILARIO</t>
  </si>
  <si>
    <t>2024-05-03-10202SPO49-01</t>
  </si>
  <si>
    <t>MUNI A.</t>
  </si>
  <si>
    <t>2023-06-01-10202SP303-01</t>
  </si>
  <si>
    <t>WILMER J. CAYA</t>
  </si>
  <si>
    <t>2023-05-14-2020SP58-01</t>
  </si>
  <si>
    <t>2024-05-03-10202SPO46-01</t>
  </si>
  <si>
    <t>TAMBAL</t>
  </si>
  <si>
    <t>2023-06-01-10202SP304-01</t>
  </si>
  <si>
    <t>MARVIN JOHN M. REMIGIO</t>
  </si>
  <si>
    <t>TAMBAL H.</t>
  </si>
  <si>
    <t>2023-05-14-2020SP56-01</t>
  </si>
  <si>
    <t>2023-06-01-10202SP314-01</t>
  </si>
  <si>
    <t>ROMMEL T. PERALTA</t>
  </si>
  <si>
    <t>HVSPLIT-102-24-05-01-378</t>
  </si>
  <si>
    <t>GERRY L. MATAMOROSA</t>
  </si>
  <si>
    <t>CARPO-PBD</t>
  </si>
  <si>
    <t>2023-06-01-10202SP299-01</t>
  </si>
  <si>
    <t>ABIGAIL T. BOYOC</t>
  </si>
  <si>
    <t>2023-05-14-2020SP55-01</t>
  </si>
  <si>
    <t>2023-06-01-10202SP300-01</t>
  </si>
  <si>
    <t>JASTIN T. TABIA</t>
  </si>
  <si>
    <t>HVSPLIT-102-24-05-01-379</t>
  </si>
  <si>
    <t>2023-06-01-10202SP306-01</t>
  </si>
  <si>
    <t>PATERIO G. DE LA CRUZ JR.</t>
  </si>
  <si>
    <t>HVSPLIT-102-24-05-01-065</t>
  </si>
  <si>
    <t>HVSPLIT-102-24-05-01-380</t>
  </si>
  <si>
    <t>2023-06-01-10202SP302-01</t>
  </si>
  <si>
    <t>ALLAN MARK D. LABRADOR</t>
  </si>
  <si>
    <t>MARK ANDREI S. BACHO</t>
  </si>
  <si>
    <t>ARPT-LTSP</t>
  </si>
  <si>
    <t>2023-06-01-10202SP322-01</t>
  </si>
  <si>
    <t>LOUIE G. DEMISANA</t>
  </si>
  <si>
    <t>HVSPLIT-102-24-05-01-066</t>
  </si>
  <si>
    <t>HVSPLIT-102-24-05-01-384</t>
  </si>
  <si>
    <t>2023-06-01-10202SP317-01</t>
  </si>
  <si>
    <t>RODRIGO L. TIZON JR.</t>
  </si>
  <si>
    <t>HVSPLIT-102-24-05-01-174</t>
  </si>
  <si>
    <t>2023-04-035</t>
  </si>
  <si>
    <t>2023-06-01-10202SP328-01</t>
  </si>
  <si>
    <t>HVSPLIT-102-24-05-01-385</t>
  </si>
  <si>
    <t>GIBSON B. ZAYCO</t>
  </si>
  <si>
    <t>HVSPLIT-102-24-05-01-409</t>
  </si>
  <si>
    <t>2023-04-036</t>
  </si>
  <si>
    <t>2023-06-01-10202SP307-01</t>
  </si>
  <si>
    <t>CHRISTIAN RIZALDY J. TAURO</t>
  </si>
  <si>
    <t>HVSPLIT-102-24-05-01-386</t>
  </si>
  <si>
    <t>HVSPLIT-102-24-05-01-410</t>
  </si>
  <si>
    <t>SARAHC. TITO</t>
  </si>
  <si>
    <t>2023-06-01-10202SP331-01</t>
  </si>
  <si>
    <t>2023-04-037</t>
  </si>
  <si>
    <t>CHRIS C. CABALFIN</t>
  </si>
  <si>
    <t>NCR</t>
  </si>
  <si>
    <t>2023-06-01-10202SP319-01</t>
  </si>
  <si>
    <t>NORMAN RHYS R. ISRAEL</t>
  </si>
  <si>
    <t>HVSPLIT-102-24-05-01-411</t>
  </si>
  <si>
    <t>ASSISTANT STATISTICIAN</t>
  </si>
  <si>
    <t>2023-04-038</t>
  </si>
  <si>
    <t>2023-06-01-10202SP321-01</t>
  </si>
  <si>
    <t>ALAN V. CUADRAS</t>
  </si>
  <si>
    <t>HVSPLIT-102-24-05-01-412</t>
  </si>
  <si>
    <t>DPLOYED TO DENR REGION 5</t>
  </si>
  <si>
    <t>2023-04-039</t>
  </si>
  <si>
    <t>2023-06-01-10202SP323-01</t>
  </si>
  <si>
    <t>LORLIE M. CABREROS</t>
  </si>
  <si>
    <t>HVSPLIT-102-24-05-01-413</t>
  </si>
  <si>
    <t>2023-04-040</t>
  </si>
  <si>
    <t>2023-06-01-10202SP325-01</t>
  </si>
  <si>
    <t>GERARD REY T. ABAD</t>
  </si>
  <si>
    <t>HVSPLIT-102-24-05-01-414</t>
  </si>
  <si>
    <t>2023-06-01-10202SP327-01</t>
  </si>
  <si>
    <t>2023-04-041</t>
  </si>
  <si>
    <t>DANEL P. CORSANES</t>
  </si>
  <si>
    <t>2023-06-01-10202SP332-01</t>
  </si>
  <si>
    <t>JOHN MICHAEL C. ANORAN</t>
  </si>
  <si>
    <t>HVSPLIT-102-24-05-01-415</t>
  </si>
  <si>
    <t>2023-04-042</t>
  </si>
  <si>
    <t>2023-06-01-10202SP305-01</t>
  </si>
  <si>
    <t>MARTIN F. CABRALES</t>
  </si>
  <si>
    <t>HVSPLIT-102-24-05-01-416</t>
  </si>
  <si>
    <t>2023-04-043</t>
  </si>
  <si>
    <t>2023-06-01-10202SP308-01</t>
  </si>
  <si>
    <t>JORGIELYN C. SERFINO</t>
  </si>
  <si>
    <t>HVSPLIT-102-24-05-01-417</t>
  </si>
  <si>
    <t>2023-06-01-10202SP329-01</t>
  </si>
  <si>
    <t>2023-04-044</t>
  </si>
  <si>
    <t>JULYNA H. TABUJARA</t>
  </si>
  <si>
    <t>HV-SPLIT-102-24-05-01-056</t>
  </si>
  <si>
    <t>HVSPLIT-102-24-05-01-418</t>
  </si>
  <si>
    <t>2023-04-045</t>
  </si>
  <si>
    <t>2023-01-060-0001-48</t>
  </si>
  <si>
    <t>Reneliz Vincent L. Meneses</t>
  </si>
  <si>
    <t>HVSPLIT-102-24-05-01-419</t>
  </si>
  <si>
    <t>HV-SPLIT-102-24-05-01-173</t>
  </si>
  <si>
    <t>2023-04-046</t>
  </si>
  <si>
    <t>2023-01-060-0002-48</t>
  </si>
  <si>
    <t>HVSPLIT-102-24-05-01-420</t>
  </si>
  <si>
    <t>2023-01-060-0003-48</t>
  </si>
  <si>
    <t>Joseph Saad Naed V. Bayang</t>
  </si>
  <si>
    <t>Engineering Aide</t>
  </si>
  <si>
    <t>2023-04-047</t>
  </si>
  <si>
    <t>2023-01-060-0004-48</t>
  </si>
  <si>
    <t>HV-SPLIT-102-24-05-01-381</t>
  </si>
  <si>
    <t>Rod Andrew A. Temprosa</t>
  </si>
  <si>
    <t>HVSPLIT-102-24-05-01-421</t>
  </si>
  <si>
    <t>2023-04-048</t>
  </si>
  <si>
    <t>2023-01-060-0005-48</t>
  </si>
  <si>
    <t>John Mark C. Colongon</t>
  </si>
  <si>
    <t>HVSPLIT-102-24-05-01-422</t>
  </si>
  <si>
    <t>HV-SPLIT-102-24-05-01-382</t>
  </si>
  <si>
    <t>2023-01-060-0006-48</t>
  </si>
  <si>
    <t>2023-04-049</t>
  </si>
  <si>
    <t>Francis Homer Benlot</t>
  </si>
  <si>
    <t>2023-01-060-0007-48</t>
  </si>
  <si>
    <t>Jheela Maureen Tañara</t>
  </si>
  <si>
    <t>HVSPLIT-102-24-05-01-423</t>
  </si>
  <si>
    <t>HV-SPLIT-102-24-05-01-383</t>
  </si>
  <si>
    <t>2023-04-050</t>
  </si>
  <si>
    <t>2023-01-060-0008-48</t>
  </si>
  <si>
    <t>Renerio T. Colina</t>
  </si>
  <si>
    <t>HVSPLIT-102-24-05-01-424</t>
  </si>
  <si>
    <t>2023-04-051</t>
  </si>
  <si>
    <t>HV-SPLIT-102-24-05-01-390</t>
  </si>
  <si>
    <t>2023-01-060-0009-48</t>
  </si>
  <si>
    <t>Mar Clinton Liu</t>
  </si>
  <si>
    <t>HVSPLIT-102-24-05-01-425</t>
  </si>
  <si>
    <t>2023-01-060-0010-48</t>
  </si>
  <si>
    <t>Mark Anthony Imbo</t>
  </si>
  <si>
    <t>2023-04-052</t>
  </si>
  <si>
    <t>HV-SPLIT-102-24-05-01-392</t>
  </si>
  <si>
    <t>2023-01-060-0011-48</t>
  </si>
  <si>
    <t>John Benedict P. Chin</t>
  </si>
  <si>
    <t>HVSPLIT-102-24-05-01-426</t>
  </si>
  <si>
    <t>2023-04-053</t>
  </si>
  <si>
    <t>2023-01-060-0012-48</t>
  </si>
  <si>
    <t>HV-SPLIT-102-24-05-01-372</t>
  </si>
  <si>
    <t>Reynaldo Niño L. Vidal</t>
  </si>
  <si>
    <t>HVSPLIT-102-24-05-01-427</t>
  </si>
  <si>
    <t>2023-04-054</t>
  </si>
  <si>
    <t>2023-01-060-0013-48</t>
  </si>
  <si>
    <t>Zed Clyvon G. Fabugais</t>
  </si>
  <si>
    <t>HVSPLIT-102-24-05-01-428</t>
  </si>
  <si>
    <t>2023-04-055</t>
  </si>
  <si>
    <t>HV-SPLIT-102-24-05-01-374</t>
  </si>
  <si>
    <t>2023-01-060-0014-48</t>
  </si>
  <si>
    <t>Elmer Suanque</t>
  </si>
  <si>
    <t>HVSPLIT-102-24-05-01-429</t>
  </si>
  <si>
    <t>2023-04-056</t>
  </si>
  <si>
    <t>2023-01-060-0015-48</t>
  </si>
  <si>
    <t>Genesis Carcusia</t>
  </si>
  <si>
    <t>HV-SPLIT-102-24-05-01-391</t>
  </si>
  <si>
    <t>₱ 49,301.00</t>
  </si>
  <si>
    <t>2023-01-060-0016-48</t>
  </si>
  <si>
    <t>HVSPLIT-102-24-05-01-430</t>
  </si>
  <si>
    <t>Randy Carpio</t>
  </si>
  <si>
    <t>2023-04-057</t>
  </si>
  <si>
    <t>2023-01-060-0017-48</t>
  </si>
  <si>
    <t>Willian Anthony Yee</t>
  </si>
  <si>
    <t>2023-06-01-10201SP74-01</t>
  </si>
  <si>
    <t>SNC 1112</t>
  </si>
  <si>
    <t>2023-01-060-0018-48</t>
  </si>
  <si>
    <t>GAY L. LABAD</t>
  </si>
  <si>
    <t>Migaphel Godwin A. Lemence</t>
  </si>
  <si>
    <t>OIC-ARDO</t>
  </si>
  <si>
    <t>PAR No '2023-10-24</t>
  </si>
  <si>
    <t>₱49,301.00</t>
  </si>
  <si>
    <t>ORDO</t>
  </si>
  <si>
    <t>HVSPLIT-102-24-05-01-057</t>
  </si>
  <si>
    <t>2023-01-060-0019-48</t>
  </si>
  <si>
    <t>Jason A. Abelo</t>
  </si>
  <si>
    <t>central office</t>
  </si>
  <si>
    <t>2023-06-01-10201SP84-01</t>
  </si>
  <si>
    <t>2023-01-060-0020-48</t>
  </si>
  <si>
    <t>SNC 1233</t>
  </si>
  <si>
    <t>Paul Aldrin C. Navarro</t>
  </si>
  <si>
    <t>REUBEN C. SINDAC, CESO VI</t>
  </si>
  <si>
    <t>RD</t>
  </si>
  <si>
    <t>PAR No 2023-10-25</t>
  </si>
  <si>
    <t>2023-01-060-0021-48</t>
  </si>
  <si>
    <t>Ruby R. Tinaytina</t>
  </si>
  <si>
    <t>2023-01-060-0022-48</t>
  </si>
  <si>
    <t>Lalaine V. Toralde</t>
  </si>
  <si>
    <t>2023-06-01-10202-2p-193-1</t>
  </si>
  <si>
    <t>2023-06-01-10201SP85-01</t>
  </si>
  <si>
    <t>2023-06-01-10201SP98-01</t>
  </si>
  <si>
    <t>MECHOR RIGO</t>
  </si>
  <si>
    <t>SNC 1118</t>
  </si>
  <si>
    <t>SNC 1150</t>
  </si>
  <si>
    <t>SURVEYMAN</t>
  </si>
  <si>
    <t>Lucrecia S. Taberna</t>
  </si>
  <si>
    <t>Assistant Regional Director</t>
  </si>
  <si>
    <t>GSS Personnel</t>
  </si>
  <si>
    <t>2023-10-046</t>
  </si>
  <si>
    <t>Office of the Assistant Regional Director for Operation</t>
  </si>
  <si>
    <t>2023-06-01-10202SP280-01</t>
  </si>
  <si>
    <t>DOROMAL, LIBERTY V.</t>
  </si>
  <si>
    <t>2023-06-01-1021SP77-01</t>
  </si>
  <si>
    <t>SNC 1238</t>
  </si>
  <si>
    <t>2023-06-01-10202SP242-01</t>
  </si>
  <si>
    <t>ZYRA JOY D. BERMAS</t>
  </si>
  <si>
    <t>HERNAN C. BUENAVENTURA</t>
  </si>
  <si>
    <t>AO IV/ GSS Chief</t>
  </si>
  <si>
    <t>2023-08-M81100</t>
  </si>
  <si>
    <t>RAMIL M. ROSTATA(COS - SPLIT)</t>
  </si>
  <si>
    <t>General Services Section</t>
  </si>
  <si>
    <t>2023-06-01-10202SP243-01</t>
  </si>
  <si>
    <t>2023-08-M81101</t>
  </si>
  <si>
    <t>Melchor Calugas(COS - SPLIT)</t>
  </si>
  <si>
    <t>PTR:2023-SPLIT-008
 PAR:23-10-015</t>
  </si>
  <si>
    <t>A. MEDINA</t>
  </si>
  <si>
    <t>2023-06-01-10202SP281-01</t>
  </si>
  <si>
    <t>2023-06-01-10202SP244-01</t>
  </si>
  <si>
    <t>REY P. PARREÑO</t>
  </si>
  <si>
    <t>2023-08-M81102</t>
  </si>
  <si>
    <t>ESTRELLA, CRIS VINCENT D.</t>
  </si>
  <si>
    <t>2023-06-01-10202SP245-01</t>
  </si>
  <si>
    <t>2023-08-M81103</t>
  </si>
  <si>
    <t>Denmark Caol-olan(COS - SPLIT)</t>
  </si>
  <si>
    <t>2023-06-01-10202SP246-01</t>
  </si>
  <si>
    <t>2023-08-M81104</t>
  </si>
  <si>
    <t>Patrick John Pahigdana(COS - SPLIT)</t>
  </si>
  <si>
    <t>2023-06-01-10202-SP-181-1</t>
  </si>
  <si>
    <t>2023-06-01-10202SP282-01</t>
  </si>
  <si>
    <t>2023-06-01-10202SP247-02</t>
  </si>
  <si>
    <t>BENITO, EBENEZER JR. G.</t>
  </si>
  <si>
    <t>SARPT.</t>
  </si>
  <si>
    <t>2023-08-M81105</t>
  </si>
  <si>
    <t>Reuben John Maca(COS - SPLIT)</t>
  </si>
  <si>
    <t>PTR:2022-SPLIT-002
 PAR:23-07-015</t>
  </si>
  <si>
    <t>RETURNED TO DARPO</t>
  </si>
  <si>
    <t>2023-06-01-10202SP248-01</t>
  </si>
  <si>
    <t>2023-06-01-10202SP283-01</t>
  </si>
  <si>
    <t>2023-07-3-19</t>
  </si>
  <si>
    <t>ARPT./NTD/PeTD PREPARATION&amp; VERIFIER</t>
  </si>
  <si>
    <t>2023-06-01-10202-SP-168-1</t>
  </si>
  <si>
    <t>PTR:2022-SPLIT-002
 PAR:24-03-003</t>
  </si>
  <si>
    <t>2023-06-01-10202SP249-01</t>
  </si>
  <si>
    <t>JOSELITO C. ALMIRANTE</t>
  </si>
  <si>
    <t>2023-06-01-10202SP284-01</t>
  </si>
  <si>
    <t>2023-08-M81106</t>
  </si>
  <si>
    <t>ZAMORA, HAROLD D.</t>
  </si>
  <si>
    <t>2023-06-01-10202-SP-169-1</t>
  </si>
  <si>
    <t>720 SNE</t>
  </si>
  <si>
    <t>PTR:2022-SPLIT-002
 PAR:24-01-001</t>
  </si>
  <si>
    <t>J. APULI</t>
  </si>
  <si>
    <t>2023-06-01-10202SP250-01</t>
  </si>
  <si>
    <t>2023-06-01-10202SP285-01</t>
  </si>
  <si>
    <t>AGUIERO, JOSE JR., T.</t>
  </si>
  <si>
    <t>2023-08-M81107</t>
  </si>
  <si>
    <t>WILJOE CALIZO(COS - SPLIT)</t>
  </si>
  <si>
    <t>2023-06-01-10202-SP-214-1</t>
  </si>
  <si>
    <t>PTR:2022-SPLIT-002
 PAR:24-03-004</t>
  </si>
  <si>
    <t>J. DLR</t>
  </si>
  <si>
    <t>2023-06-01-10202SP286-01</t>
  </si>
  <si>
    <t>2023-06-01-10202SP233-01</t>
  </si>
  <si>
    <t>JAVARRO, JAN S.</t>
  </si>
  <si>
    <t>NELSON D. MONTAÑO</t>
  </si>
  <si>
    <t>2023-08-M81108</t>
  </si>
  <si>
    <t>2023-06-01-10202-SP-174-1</t>
  </si>
  <si>
    <t>PTR:2022-SPLIT-002
 PAR:24-03-005</t>
  </si>
  <si>
    <t>A. TIBI</t>
  </si>
  <si>
    <t>2023-06-01-10202SP287-01</t>
  </si>
  <si>
    <t>REPUBLICA DONEL C.</t>
  </si>
  <si>
    <t>2023-06-01-10202SP234-01</t>
  </si>
  <si>
    <t>CHRIS S. LABINGHISA</t>
  </si>
  <si>
    <t>2023-08-M81109</t>
  </si>
  <si>
    <t>2023-06-01-10202-SP-201-1</t>
  </si>
  <si>
    <t>PTR:2022-SPLIT-002
 PAR:24-03-002</t>
  </si>
  <si>
    <t>2023-06-01-10202SP288-01</t>
  </si>
  <si>
    <t>C. NUYDA</t>
  </si>
  <si>
    <t>SEGOVIA, PETER S.</t>
  </si>
  <si>
    <t>2023-06-01-10202SP235-01</t>
  </si>
  <si>
    <t>2023-08-M81110</t>
  </si>
  <si>
    <t>EDUARDO III P. PENUELA(COS - SPLIT)</t>
  </si>
  <si>
    <t>2023-06-01-10202-SP-179-1</t>
  </si>
  <si>
    <t>PTR:2022-SPLIT-002
 PAR:23-07-016</t>
  </si>
  <si>
    <t>J. OBSEQUIO</t>
  </si>
  <si>
    <t>2023-06-01-10202SP289-01</t>
  </si>
  <si>
    <t>MORALES, ERNIE J.</t>
  </si>
  <si>
    <t>2023-06-01-10202SP236-01</t>
  </si>
  <si>
    <t>A.O. IV/M&amp;E COORDINATOR</t>
  </si>
  <si>
    <t>RAY S. SOBREVEGA</t>
  </si>
  <si>
    <t>ADA IV</t>
  </si>
  <si>
    <t>2023-08-M81111</t>
  </si>
  <si>
    <t>2023-06-01-10202-SP-170-1</t>
  </si>
  <si>
    <t>PTR:2022-SPLIT-002
 PAR:23-07-017</t>
  </si>
  <si>
    <t>C. PANESA</t>
  </si>
  <si>
    <t>2023-06-01-10202SP290-01</t>
  </si>
  <si>
    <t>AGUIERO, JOSUNDNOVECH T.</t>
  </si>
  <si>
    <t>2023-06-01-10202SP237-01</t>
  </si>
  <si>
    <t>2023-06-01-10202-SP-167-1</t>
  </si>
  <si>
    <t>2023-08-M8112</t>
  </si>
  <si>
    <t>Ace Paches(COS - SPLIT)</t>
  </si>
  <si>
    <t>PTR:2022-SPLIT-002
 PAR:23-07-018</t>
  </si>
  <si>
    <t>M. IGURA</t>
  </si>
  <si>
    <t>2023-06-01-10202SP291-01</t>
  </si>
  <si>
    <t>PALMERA, JOSEPH C.</t>
  </si>
  <si>
    <t>2023-06-01-10202SP238-01</t>
  </si>
  <si>
    <t>Jed L. Quidato</t>
  </si>
  <si>
    <t>2023-06-01-10202-SP-186-1</t>
  </si>
  <si>
    <t>2023-08-M8113</t>
  </si>
  <si>
    <t>PTR:2022-SPLIT-002
 PAR:23-07-019</t>
  </si>
  <si>
    <t>D. OCBINA</t>
  </si>
  <si>
    <t>2023-06-01-10202SP292-01</t>
  </si>
  <si>
    <t>SARABIA, MARK RYAN B.</t>
  </si>
  <si>
    <t>2023-06-01-10202SP239-01</t>
  </si>
  <si>
    <t>2023-06-01-10202-SP-178-1
 2023-06-01-10202-SP-193-1</t>
  </si>
  <si>
    <t>JOSECRIS R. MONTENID</t>
  </si>
  <si>
    <t>2023-08-M81114</t>
  </si>
  <si>
    <t>PTR:2022-SPLIT-002
 PAR:23-07-020</t>
  </si>
  <si>
    <t>C. BASCO</t>
  </si>
  <si>
    <t>2023-06-01-10202SP293-01</t>
  </si>
  <si>
    <t>2023-06-01-10202-SP-180-1</t>
  </si>
  <si>
    <t>TANTERAS, MARLON G.</t>
  </si>
  <si>
    <t>2023-06-01-10202SP240-01</t>
  </si>
  <si>
    <t>PTR:2022-SPLIT-002
 PAR:23-07-021</t>
  </si>
  <si>
    <t>2023-08-M81115</t>
  </si>
  <si>
    <t>N. ANONUEVO</t>
  </si>
  <si>
    <t>Robin Villena(COS - SPLIT)</t>
  </si>
  <si>
    <t>2023-06-01-10202SP294-01</t>
  </si>
  <si>
    <t>REBATO, JAY-R P.</t>
  </si>
  <si>
    <t>2023-06-01-10201SP78-01</t>
  </si>
  <si>
    <t>2023-06-01-10202SP241-01</t>
  </si>
  <si>
    <t>SNC 1240</t>
  </si>
  <si>
    <t>Oscar Louis B. Bunda</t>
  </si>
  <si>
    <t>2023-08-M81116</t>
  </si>
  <si>
    <t>PAR No.: 2024-002/ PTR No.: 2023-SPLIT-008</t>
  </si>
  <si>
    <t>2023-06-01-10202SP295-01</t>
  </si>
  <si>
    <t>VIDAL, VINCENT FORTI S.</t>
  </si>
  <si>
    <t>2023-06-01-10202-SP-221-01</t>
  </si>
  <si>
    <t>2023-06-01-10201SP145-01</t>
  </si>
  <si>
    <t>SNC 7435</t>
  </si>
  <si>
    <t>SNC 1206</t>
  </si>
  <si>
    <t>PAR No.: 2023-005/ PTR No.: 2022-SPLIT-002</t>
  </si>
  <si>
    <t>2023-10-P1001</t>
  </si>
  <si>
    <t>2023-06-01-10202SP296-01</t>
  </si>
  <si>
    <t>MACAPAS, RAYMOND Y.</t>
  </si>
  <si>
    <t>2023-06-01-10202-SP-194-01</t>
  </si>
  <si>
    <t>SNC 7406</t>
  </si>
  <si>
    <t>2023-06-01-10201SP144-01</t>
  </si>
  <si>
    <t>SNC 1308</t>
  </si>
  <si>
    <t>2023-10-P1002</t>
  </si>
  <si>
    <t>2023-06-01-10202SP297-01</t>
  </si>
  <si>
    <t>PORMENTO, MARS MICAH O.</t>
  </si>
  <si>
    <t>2023-06-01-10202SP270-01</t>
  </si>
  <si>
    <t>2023-06-01-10202-SP-173-01</t>
  </si>
  <si>
    <t>RUTHER F. FADEROGAO</t>
  </si>
  <si>
    <t>SNC 7341</t>
  </si>
  <si>
    <t>2023-05-0001</t>
  </si>
  <si>
    <t>2023-06-01-10202SP298-01</t>
  </si>
  <si>
    <t>ALIPIN, KEVIN V.</t>
  </si>
  <si>
    <t>2023-06-01-10202SP271-01</t>
  </si>
  <si>
    <t>2023-05-0002</t>
  </si>
  <si>
    <t>2023-06-01-10202-SP-172-01</t>
  </si>
  <si>
    <t>2023-06-01-10202SP272-01</t>
  </si>
  <si>
    <t>SANITO S. BEDIONES JR.</t>
  </si>
  <si>
    <t>2023-06-01-10201SP91-01</t>
  </si>
  <si>
    <t>2023-05-0003</t>
  </si>
  <si>
    <t>SNC 1224</t>
  </si>
  <si>
    <t>2023-06-01-10202-SP-203-01</t>
  </si>
  <si>
    <t>DARMO - DAO</t>
  </si>
  <si>
    <t>SNC 7408</t>
  </si>
  <si>
    <t>2023-06-01-10202SP273-01</t>
  </si>
  <si>
    <t>DENN MARK P. MACEDA</t>
  </si>
  <si>
    <t>2023-05-0004</t>
  </si>
  <si>
    <t>2023-06-01-10201SP79-01</t>
  </si>
  <si>
    <t>DARMO - DUMARAO</t>
  </si>
  <si>
    <t>SNC 1239</t>
  </si>
  <si>
    <t>2023-06-01-10201SP92-01</t>
  </si>
  <si>
    <t>OIC - CAO</t>
  </si>
  <si>
    <t>PAR NO: 2023-10-038(PS)</t>
  </si>
  <si>
    <t>SNC 1222</t>
  </si>
  <si>
    <t>2023-06-01-10202SP274-01</t>
  </si>
  <si>
    <t>JOEY O. TEFORA</t>
  </si>
  <si>
    <t>2023-05-0005</t>
  </si>
  <si>
    <t>2023-06-01-10202-SP-166-01</t>
  </si>
  <si>
    <t>DARMO-JAMINDAN</t>
  </si>
  <si>
    <t>PAR NO: 2023-10-002(PS)</t>
  </si>
  <si>
    <t>2023-06-01-10202SP275-01</t>
  </si>
  <si>
    <t>WILSON P. DORDAS III</t>
  </si>
  <si>
    <t>2023-06-01-10202-SP-171-01</t>
  </si>
  <si>
    <t>2023-05-0006</t>
  </si>
  <si>
    <t>PHILIP A. BELEN</t>
  </si>
  <si>
    <t>DARMO-MAAYON</t>
  </si>
  <si>
    <t>PAR NO: 2023-10-003(PS)</t>
  </si>
  <si>
    <t>DARMO SIPOCOT</t>
  </si>
  <si>
    <t>2023-06-01-10202SP276-01</t>
  </si>
  <si>
    <t>HVSPLIT-102-24-05-04-070</t>
  </si>
  <si>
    <t>TERI JOE C. PRETTA</t>
  </si>
  <si>
    <t>2023-06-01-10202-SP-189-01</t>
  </si>
  <si>
    <t>2023-05-0007</t>
  </si>
  <si>
    <t>JOENES I. AGATON</t>
  </si>
  <si>
    <t>DARMO-PONTEVEDRA/PANITAN</t>
  </si>
  <si>
    <t>PAR NO: 2023-10-004(PS)</t>
  </si>
  <si>
    <t>DARMO LIBMANAN II</t>
  </si>
  <si>
    <t>2023-06-01-10202SP277-01</t>
  </si>
  <si>
    <t>2023-06-01-10202-SP-205-01</t>
  </si>
  <si>
    <t>CHRISTIAN PAUL M. DOLOR</t>
  </si>
  <si>
    <t>JOHN MICHAEL B. RAMOBOYON</t>
  </si>
  <si>
    <t>2023-05-0008</t>
  </si>
  <si>
    <t>PAR NO: 2023-10-005(PS)</t>
  </si>
  <si>
    <t>DARMO-PRES. ROXAS</t>
  </si>
  <si>
    <t>DARMO LIBMANAN IV</t>
  </si>
  <si>
    <t>2023-06-01-10202-SP-208-01</t>
  </si>
  <si>
    <t>EDWIN S. RELATIVO, JR.</t>
  </si>
  <si>
    <t>2023-06-01-10202SP278-01</t>
  </si>
  <si>
    <t>JONALD D. DEGALA</t>
  </si>
  <si>
    <t>2023-05-0009</t>
  </si>
  <si>
    <t>PAR NO: 2023-10-006(PS)</t>
  </si>
  <si>
    <t>DARMO-SIGMA</t>
  </si>
  <si>
    <t>DARMO BULA</t>
  </si>
  <si>
    <t>2023-06-01-10202SP279-01</t>
  </si>
  <si>
    <t>2023-06-01-10202-SP-210-01</t>
  </si>
  <si>
    <t>VERNEL F. FUTOLAN</t>
  </si>
  <si>
    <t>2023-05-0010</t>
  </si>
  <si>
    <t>JARRED M. ALIPIO</t>
  </si>
  <si>
    <t>DARMO-TAPAZ</t>
  </si>
  <si>
    <t>PAR NO: 2023-10-007(PS)</t>
  </si>
  <si>
    <t>DARMO IRIGA/BUHI</t>
  </si>
  <si>
    <t>2023-06-01-102001SP89-01</t>
  </si>
  <si>
    <t>SNC 1059</t>
  </si>
  <si>
    <t>2023-10-0035</t>
  </si>
  <si>
    <t>GSS/STOD</t>
  </si>
  <si>
    <t>2023-06-01-10202-SP-211-01</t>
  </si>
  <si>
    <t>NEIL SJ. MALLORCA</t>
  </si>
  <si>
    <t>PAR NO: 2023-10-008(PS)</t>
  </si>
  <si>
    <t>2023-06-01-10202SP255-01</t>
  </si>
  <si>
    <t>GIL P. TORDESILLAS</t>
  </si>
  <si>
    <t>DARMO LIBMANAN I</t>
  </si>
  <si>
    <t>2023-06-01-001</t>
  </si>
  <si>
    <t>DARMO Cluster 7</t>
  </si>
  <si>
    <t>2023-06-01-10202SP256-01</t>
  </si>
  <si>
    <t>2023-06-01-10202-SP-213-01</t>
  </si>
  <si>
    <t>Planning Officer IV/M &amp; E Coordinator</t>
  </si>
  <si>
    <t>2023-06-01-002</t>
  </si>
  <si>
    <t>PAR NO: 2024-03-002(PS)</t>
  </si>
  <si>
    <t>TRISHA ANNE O. BETITO</t>
  </si>
  <si>
    <t>2023-06-01-10202SP257-01</t>
  </si>
  <si>
    <t>MARY FAITH G. SERRA</t>
  </si>
  <si>
    <t>2023-06-01-003</t>
  </si>
  <si>
    <t>DARMO Cluster 2</t>
  </si>
  <si>
    <t>2023-06-01-10202-SP-216-01</t>
  </si>
  <si>
    <t>2023-06-01-10202SP258-01</t>
  </si>
  <si>
    <t>JUAN CASTOR PAULO B. ENRIQUEZ</t>
  </si>
  <si>
    <t>JOSE BERNIE G. SANTILLAN</t>
  </si>
  <si>
    <t>2023-06-01-004</t>
  </si>
  <si>
    <t>PAR NO: 2023-10-010(PS)</t>
  </si>
  <si>
    <t>DARMO SIPOCOT I</t>
  </si>
  <si>
    <t>2023-06-01-10202SP259-01</t>
  </si>
  <si>
    <t>OLIVER M. NADONG</t>
  </si>
  <si>
    <t>2023-06-01-005</t>
  </si>
  <si>
    <t>2023-06-01-10202-SP-220-01</t>
  </si>
  <si>
    <t>REGIE G. BELLEN</t>
  </si>
  <si>
    <t>2023-06-01-10202SP260-01</t>
  </si>
  <si>
    <t>PAR NO: 2023-10-011(PS)</t>
  </si>
  <si>
    <t>NOEL B. PAGUNSAN</t>
  </si>
  <si>
    <t>SARPO-</t>
  </si>
  <si>
    <t>2023-06-01-006</t>
  </si>
  <si>
    <t>2023-06-01-10202SP261-01</t>
  </si>
  <si>
    <t>2023-06-01-10201SP80-01</t>
  </si>
  <si>
    <t>SNC 1235</t>
  </si>
  <si>
    <t>ARPO I/KOBO TOOLBOX Administrator</t>
  </si>
  <si>
    <t>2023-06-01-007</t>
  </si>
  <si>
    <t>ENGR. RODEL C. MARTIREZ</t>
  </si>
  <si>
    <t>DARPO-OFFICE OF THE PARPO II</t>
  </si>
  <si>
    <t>2023-06-01-10202SP262-01</t>
  </si>
  <si>
    <t>PAT ALVIN S. CONIENDO</t>
  </si>
  <si>
    <t>2023-06-01-008</t>
  </si>
  <si>
    <t>2023-06-01-10202-SP-192-1</t>
  </si>
  <si>
    <t>2023-06-01-10202SP263-01</t>
  </si>
  <si>
    <t>RONALYN FAITH V. SORIANO</t>
  </si>
  <si>
    <t>LTID-SPLIT -2023-013</t>
  </si>
  <si>
    <t>2023-06-01-009</t>
  </si>
  <si>
    <t>JOEMAR M. FALABI</t>
  </si>
  <si>
    <t>DARMO-CALABANGA</t>
  </si>
  <si>
    <t>2023-06-01-10202SP264-01</t>
  </si>
  <si>
    <t>JOSHUA G. PANALIGAN</t>
  </si>
  <si>
    <t>2023-06-01-010</t>
  </si>
  <si>
    <t>2023-06-01-10202-SP-191-1</t>
  </si>
  <si>
    <t>LTID-SPLIT -2023-011</t>
  </si>
  <si>
    <t>MARK JOSHUA T. GONZALES</t>
  </si>
  <si>
    <t>DARPO-LEGAL DIVISION</t>
  </si>
  <si>
    <t>2023-06-01-10202SP265-01</t>
  </si>
  <si>
    <t>MIGUEL G. JOSE III</t>
  </si>
  <si>
    <t>ADMIN. AIDE VI (Procurement section)</t>
  </si>
  <si>
    <t>2023-06-01-011</t>
  </si>
  <si>
    <t>2023-06-01-10202-SP-190-1</t>
  </si>
  <si>
    <t>2023-06-01-10202SP266-01</t>
  </si>
  <si>
    <t>CRIS JUDE DOLENDO</t>
  </si>
  <si>
    <t>LTID-SPLIT -2023-015</t>
  </si>
  <si>
    <t>2023-06-01-012</t>
  </si>
  <si>
    <t>JASPER JAMES L. ABIERA</t>
  </si>
  <si>
    <t>DARPO CS2</t>
  </si>
  <si>
    <t>2023-06-01-10202SP267-01</t>
  </si>
  <si>
    <t>WILMER T. BELLEZA</t>
  </si>
  <si>
    <t>2023-06-01-10202-SP-223-1</t>
  </si>
  <si>
    <t>2023-06-01-013</t>
  </si>
  <si>
    <t>LTID-SPLIT -2023-012</t>
  </si>
  <si>
    <t>JOSELITO R. NACIONAL</t>
  </si>
  <si>
    <t>DARMO-TIGAON</t>
  </si>
  <si>
    <t>2023-06-01-10202SP268-01</t>
  </si>
  <si>
    <t>JOHN PHILIP G. PACETE</t>
  </si>
  <si>
    <t>ENG'G AIDE</t>
  </si>
  <si>
    <t>2023-06-01-014</t>
  </si>
  <si>
    <t>2023-06-01-10202-SP-218-1</t>
  </si>
  <si>
    <t>2023-06-01-10202SP269-01</t>
  </si>
  <si>
    <t>LTID-SPLIT -2023-017</t>
  </si>
  <si>
    <t>RAYMOND N. MANAGUIT</t>
  </si>
  <si>
    <t>MARK ANGELO V. BURCE</t>
  </si>
  <si>
    <t>2023-06-01-015</t>
  </si>
  <si>
    <t>DARMO-TINAMBAC A</t>
  </si>
  <si>
    <t>2023-06-01-10201SP88-01</t>
  </si>
  <si>
    <t>SNC 1124</t>
  </si>
  <si>
    <t>2023-06-01-10202-SP-225-1</t>
  </si>
  <si>
    <t>FLORENTINO D. SILADAN</t>
  </si>
  <si>
    <t>PARPO II/ Project Manager</t>
  </si>
  <si>
    <t>2023-06-01-01</t>
  </si>
  <si>
    <t>ANTIQUE/DARPO-OFFICE OF THE PARPO II</t>
  </si>
  <si>
    <t>LTID-SPLIT -2023-018</t>
  </si>
  <si>
    <t>DAN-RIEL E. PACIS</t>
  </si>
  <si>
    <t>DARMO-SAGÑAY</t>
  </si>
  <si>
    <t>2023-06-01-10202SP226-01</t>
  </si>
  <si>
    <t>Excel E. Dalupang</t>
  </si>
  <si>
    <t>S-2023-05-001q</t>
  </si>
  <si>
    <t>2023-06-01-10202-SP-195-1</t>
  </si>
  <si>
    <t>LTID-SPLIT -2023-014</t>
  </si>
  <si>
    <t>2023-06-01-10202SP227-01</t>
  </si>
  <si>
    <t>JULIUS T. ACABADO</t>
  </si>
  <si>
    <t>Ronald Jim P. Gasis</t>
  </si>
  <si>
    <t>DARMO-CARAMOAN</t>
  </si>
  <si>
    <t>S-2023-05-001r</t>
  </si>
  <si>
    <t>2023-06-01-10202SP228-01</t>
  </si>
  <si>
    <t>2023-06-01-10202-SP-222-1</t>
  </si>
  <si>
    <t>Naven C. Alcedo</t>
  </si>
  <si>
    <t>S-2023-05-001s</t>
  </si>
  <si>
    <t>LTID-SPLIT -2023-009</t>
  </si>
  <si>
    <t>2023-06-01-10202SP229-01</t>
  </si>
  <si>
    <t>S-2023-05-001t</t>
  </si>
  <si>
    <t>2023-06-01-10202-SP-215-1</t>
  </si>
  <si>
    <t>LTID-SPLIT -2023-016</t>
  </si>
  <si>
    <t>2023-06-01-10202SP232-01</t>
  </si>
  <si>
    <t>S-2023-05-001u</t>
  </si>
  <si>
    <t>2023-06-01-10202-SP-196-1</t>
  </si>
  <si>
    <t>2023-06-01-10202SP231-01</t>
  </si>
  <si>
    <t>Marc Kevin M. Ignacio</t>
  </si>
  <si>
    <t>S-2023-08-007a</t>
  </si>
  <si>
    <t>LTID-SPLIT -2023-010</t>
  </si>
  <si>
    <t>JOSEPH CLARENCE ELLA-AVELLANA</t>
  </si>
  <si>
    <t>DARMO-SIRUMA</t>
  </si>
  <si>
    <t>2023-06-01-10201SP87-01</t>
  </si>
  <si>
    <t>SNC 1135</t>
  </si>
  <si>
    <t>S-2023-10-011</t>
  </si>
  <si>
    <t>SPLIT-2023-003</t>
  </si>
  <si>
    <t>2023-10-0002SPLITMV</t>
  </si>
  <si>
    <t>SNC 1236</t>
  </si>
  <si>
    <t>2023-10-0027SPLIT</t>
  </si>
  <si>
    <t>SPLIT-2023-10-0003</t>
  </si>
  <si>
    <t>2023-10-0003SPLITMV</t>
  </si>
  <si>
    <t>2023-10-0025SPLIT</t>
  </si>
  <si>
    <t>SPLIT-2023-001</t>
  </si>
  <si>
    <t>SPLIT-2023-04-0001</t>
  </si>
  <si>
    <t>2023-10-0004SPLITMV</t>
  </si>
  <si>
    <t>2023-10-0026SPLIT</t>
  </si>
  <si>
    <t>SPLIT-2023-002</t>
  </si>
  <si>
    <t>2023-10-0001SPLITMV</t>
  </si>
  <si>
    <t>SPLIT-2023-04-0002</t>
  </si>
  <si>
    <t>2023-10-0029SPLIT</t>
  </si>
  <si>
    <t>2023-10-SPMS-001
 2023-06-01-10201SP82-01</t>
  </si>
  <si>
    <t>2023-06-01-10201SP90-01</t>
  </si>
  <si>
    <t>SNC 1237</t>
  </si>
  <si>
    <t>SNC 1230</t>
  </si>
  <si>
    <t>DAR-MBT-101163-MV-SP-MS-001</t>
  </si>
  <si>
    <t>ROWENA MARFIGA</t>
  </si>
  <si>
    <t>2023-12-0030SPLIT</t>
  </si>
  <si>
    <t>2023-05-SPMV-001
 2023-06-01-10202SP175-01</t>
  </si>
  <si>
    <t>726 SNE</t>
  </si>
  <si>
    <t>DAR-MBT-101163-MV-MC-001</t>
  </si>
  <si>
    <t xml:space="preserve"> </t>
  </si>
  <si>
    <t>2023-05-SPMV-002
 2023-06-01-10202SP176-01</t>
  </si>
  <si>
    <t>727 SNE</t>
  </si>
  <si>
    <t>DAR-MBT-101163-MV-MC-002</t>
  </si>
  <si>
    <t>2023-05-SPMV-003
 2023-06-01-10202SP177-01</t>
  </si>
  <si>
    <t>728 SNE</t>
  </si>
  <si>
    <t>DAR-MBT-101163-MV-MC-003</t>
  </si>
  <si>
    <t>2023-05-SPMV-004
 2023-06-01-10202SP224-01</t>
  </si>
  <si>
    <t>961 SNE</t>
  </si>
  <si>
    <t>DAR-MBT-101163-MV-MC-004</t>
  </si>
  <si>
    <t>2023-05-SPMV-005
 2023-06-01-10202SP184-01</t>
  </si>
  <si>
    <t>735 SNE</t>
  </si>
  <si>
    <t>DAR-MBT-101163-MV-MC-005</t>
  </si>
  <si>
    <t>2023-05-SPMV-006
 2023-06-01-10202SP185-01</t>
  </si>
  <si>
    <t>736 SNE</t>
  </si>
  <si>
    <t>DAR-MBT-101163-MV-MC-006</t>
  </si>
  <si>
    <t>2023-05-SPMV-007
 2023-06-01-10202SP187-01</t>
  </si>
  <si>
    <t>738 SNE</t>
  </si>
  <si>
    <t>DAR-MBT-101163-MV-MC-007</t>
  </si>
  <si>
    <t>2023-05-SPMV-008
 2023-06-01-10202SP188-01</t>
  </si>
  <si>
    <t>739SNE</t>
  </si>
  <si>
    <t>DAR-MBT-101163-MV-MC-008</t>
  </si>
  <si>
    <t>2023-05-SPMV-009
 2023-06-01-10202SP197-01</t>
  </si>
  <si>
    <t>748 SNE</t>
  </si>
  <si>
    <t>DAR-MBT-101163-MV-MC-009</t>
  </si>
  <si>
    <t>2023-05-SPMV-010
 2023-06-01-10202SP200-01</t>
  </si>
  <si>
    <t>751 SNE</t>
  </si>
  <si>
    <t>DAR-MBT-101163-MV-MC-010</t>
  </si>
  <si>
    <t>2023-05-SPMV-011
 2023-06-01-10202SP202-01</t>
  </si>
  <si>
    <t>753 SNE</t>
  </si>
  <si>
    <t>DAR-MBT-101163-MV-MC-011</t>
  </si>
  <si>
    <t>2023-05-SPMV-012
 2023-06-01-10202SP207-01</t>
  </si>
  <si>
    <t>758 SNE</t>
  </si>
  <si>
    <t>DAR-MBT-101163-MV-MC-012</t>
  </si>
  <si>
    <t>2023-05-SPMV-013
 2023-06-01-10202SP209-01</t>
  </si>
  <si>
    <t>760 SNE</t>
  </si>
  <si>
    <t>DAR-MBT-101163-MV-MC-013</t>
  </si>
  <si>
    <t>2023-05-SPMV-014
 2023-06-01-10202SP217-01</t>
  </si>
  <si>
    <t>749 SNE</t>
  </si>
  <si>
    <t>DAR-MBT-101163-MV-MC-014</t>
  </si>
  <si>
    <t>2023-05-SPMV-015
 2023-06-01-10202SP198-01</t>
  </si>
  <si>
    <t>DAR-MBT-101163-MV-MC-015</t>
  </si>
  <si>
    <t>2023-06-01-10201SP83-01</t>
  </si>
  <si>
    <t>SNC 1241</t>
  </si>
  <si>
    <t>TORRES, ELEANOR F.</t>
  </si>
  <si>
    <t>NIDA A. SANTIAGO</t>
  </si>
  <si>
    <t>STOD-GEN. SERVICE UNIT</t>
  </si>
  <si>
    <t>2023-06-01-10202-SP-204-1</t>
  </si>
  <si>
    <t>FIELD VALIDATION TEAM</t>
  </si>
  <si>
    <t>2023-06-01-10202-SP-183-1</t>
  </si>
  <si>
    <t>2023-06-01-10202-SP-182-1</t>
  </si>
  <si>
    <t>2023-06-01-10202-SP-206-1</t>
  </si>
  <si>
    <t>2023-06-01-10202-SP-199-1</t>
  </si>
  <si>
    <t>2023-06-01-10201SP11-01</t>
  </si>
  <si>
    <t>Y3-B064/SNC 1057/NFX 1715</t>
  </si>
  <si>
    <t>RODRIGO REALUBIT</t>
  </si>
  <si>
    <t>2023-09-002MV</t>
  </si>
  <si>
    <t>2026-06-01-10201SP065-01</t>
  </si>
  <si>
    <t>SGA8144</t>
  </si>
  <si>
    <t>ALTHEA P. PAPINA</t>
  </si>
  <si>
    <t>2026-06-01-10201SP070-01</t>
  </si>
  <si>
    <t>SGA8139</t>
  </si>
  <si>
    <t>2026-06-01-10201SP100-01</t>
  </si>
  <si>
    <t>SGA7186</t>
  </si>
  <si>
    <t>JAY RICK AVENIDO</t>
  </si>
  <si>
    <t>2026-06-01-10201SP101-01</t>
  </si>
  <si>
    <t>SGA7194</t>
  </si>
  <si>
    <t>CAMARINES SUR I</t>
  </si>
  <si>
    <t>2026-06-01-10201SP060-01</t>
  </si>
  <si>
    <t>SGA8149</t>
  </si>
  <si>
    <t>SOUL KLARISSE D. LAPITAN</t>
  </si>
  <si>
    <t>2026-06-01-10201SP061-02</t>
  </si>
  <si>
    <t>SGA8148</t>
  </si>
  <si>
    <t>CAMARINES SUR II</t>
  </si>
  <si>
    <t>2026-06-01-10201SP072-01</t>
  </si>
  <si>
    <t>SGA8150</t>
  </si>
  <si>
    <t>HILUX TAMARAW 2.4 UTILITY VAN DSL MT-UVR -25</t>
  </si>
  <si>
    <t>2026-06-01-10201SP071-02</t>
  </si>
  <si>
    <t>SGA8138</t>
  </si>
  <si>
    <t>2026-06-01-10201SP062-01</t>
  </si>
  <si>
    <t>SGA8147</t>
  </si>
  <si>
    <t>2026-06-01-10201SP102-01</t>
  </si>
  <si>
    <t>SGA7193</t>
  </si>
  <si>
    <t>2026-06-01-10201SP103-01</t>
  </si>
  <si>
    <t>SGA7226</t>
  </si>
  <si>
    <t>2026-06-01-10201SP104-01</t>
  </si>
  <si>
    <t>SGA7262</t>
  </si>
  <si>
    <t>Region VII</t>
  </si>
  <si>
    <t>2023-05-03-10201SP1326-01</t>
  </si>
  <si>
    <t>ENGR. JOEL M. ENCINA</t>
  </si>
  <si>
    <t>PS-2023-05-01-001</t>
  </si>
  <si>
    <t>MARISSA DELA CRUZ</t>
  </si>
  <si>
    <t>2022-05-02-10202SP55-01</t>
  </si>
  <si>
    <t>ISAGANIE L. YEE / Mahilum, Josefina</t>
  </si>
  <si>
    <t>CARPO LTID</t>
  </si>
  <si>
    <t>SPLIT PAR NO. 22-12-048</t>
  </si>
  <si>
    <t>SPLIT PERSONNEL /Apelo, Ivy Rose</t>
  </si>
  <si>
    <t>OK</t>
  </si>
  <si>
    <t>2023-05-03-10201SP1327-01</t>
  </si>
  <si>
    <t>PS-2023-05-01-002</t>
  </si>
  <si>
    <t>GIRLIE COSTA</t>
  </si>
  <si>
    <t>2023-05-03-10201SP1323-01</t>
  </si>
  <si>
    <t>FELIX DANTE ESPINA</t>
  </si>
  <si>
    <t>PO IV</t>
  </si>
  <si>
    <t>PS-2023-05-01-003</t>
  </si>
  <si>
    <t>STO - Planning</t>
  </si>
  <si>
    <t>2023-05-03-10201SP1349-01</t>
  </si>
  <si>
    <t>ANGELITA S. CADIGOY</t>
  </si>
  <si>
    <t>(ARPO II) ACTING CASHIER</t>
  </si>
  <si>
    <t>PS-2023-05-01-004</t>
  </si>
  <si>
    <t>TERESA PASCO</t>
  </si>
  <si>
    <t>STO - Cashier</t>
  </si>
  <si>
    <t>2023-05-03-10201SP1320-01</t>
  </si>
  <si>
    <t>MICHAEL M. MITARAN</t>
  </si>
  <si>
    <t>OIC- REGION AL ACCOUNTANT</t>
  </si>
  <si>
    <t>PS-2023-05-01-005</t>
  </si>
  <si>
    <t>MICHAEL C. MITARAN</t>
  </si>
  <si>
    <t>2023-05-03-10201SP1325-01</t>
  </si>
  <si>
    <t>MA. ELSA M. VELOSO</t>
  </si>
  <si>
    <t>OIC- REG'L. ADMIN OFFICER</t>
  </si>
  <si>
    <t>PS-2023-05-01-006</t>
  </si>
  <si>
    <t>JOMARI TAN
 CECILLE BALASE</t>
  </si>
  <si>
    <t>Admin</t>
  </si>
  <si>
    <t>system unit is deemed unserviceable and can not be repaired</t>
  </si>
  <si>
    <t>2023-05-03-10201SP1299-01</t>
  </si>
  <si>
    <t>GINA MONICA S. CABAHUG</t>
  </si>
  <si>
    <t>PLANNING OFFICER III/CONCURRENT GSS HEAD</t>
  </si>
  <si>
    <t>SPLIT PAR NO. 2023-04-002</t>
  </si>
  <si>
    <t>JENNIFER N. ARCENAL</t>
  </si>
  <si>
    <t>2023-05-03-10201SP1322-01</t>
  </si>
  <si>
    <t>SEGUNDINO MATIAS, JR.</t>
  </si>
  <si>
    <t>REG'L. SUPPLY OFFICER</t>
  </si>
  <si>
    <t>PS-2023-05-01-007</t>
  </si>
  <si>
    <t>2023-05-03-10201SP1321-01</t>
  </si>
  <si>
    <t>GILDA R. LUNA</t>
  </si>
  <si>
    <t>PS-2023-05-01-008</t>
  </si>
  <si>
    <t>2023-05-03-10201SP1300-01</t>
  </si>
  <si>
    <t>Supply</t>
  </si>
  <si>
    <t>DETTA O. TIBAY</t>
  </si>
  <si>
    <t>SPLIT PAR NO. 2023-04-003</t>
  </si>
  <si>
    <t>CHARMAINE GRACE O. BARRIGA</t>
  </si>
  <si>
    <t>2023-05-03-10201SP1324-01</t>
  </si>
  <si>
    <t>ATTY. DANIEL E. PEN</t>
  </si>
  <si>
    <t>CHIEF LEGAL DIVISION</t>
  </si>
  <si>
    <t>PS-2023-05-01-009</t>
  </si>
  <si>
    <t>Legal</t>
  </si>
  <si>
    <t>2023-05-03-10201SP1301-01</t>
  </si>
  <si>
    <t>PAOLO GILBERTO B. CAPUL</t>
  </si>
  <si>
    <t>COMPUTER PROGRAMMER</t>
  </si>
  <si>
    <t>SPLIT PAR NO. 2023-10-022</t>
  </si>
  <si>
    <t>2023-05-03-1020SP1318-01</t>
  </si>
  <si>
    <t>ROCELYN A. GEMINO</t>
  </si>
  <si>
    <t>ATTY.MIRA HYACINTH SOMORAY ALTAR</t>
  </si>
  <si>
    <t>LEGAL SPECIALIST</t>
  </si>
  <si>
    <t>PS-2023-05-01-010</t>
  </si>
  <si>
    <t>ATTY. MIRA HYACINTH SOMORAY ALTAR</t>
  </si>
  <si>
    <t>2023-05-03-10201SP1302-01</t>
  </si>
  <si>
    <t>2023-05-03-10201SP1315-01</t>
  </si>
  <si>
    <t>PUBLIO C. ESTENZO / Buenaflor, Judy Ann</t>
  </si>
  <si>
    <t>PLANNING OFFER IV</t>
  </si>
  <si>
    <t>SPLIT PAR NO. 2023-04-005</t>
  </si>
  <si>
    <t>CARPO LTS/VERIFIER</t>
  </si>
  <si>
    <t>ENGR. KLYDE GLENN S. GONZALES</t>
  </si>
  <si>
    <t>PS-2023-05-01-011</t>
  </si>
  <si>
    <t>LAURENCE SORIYAO</t>
  </si>
  <si>
    <t>2023-05-03-10201SP1303-01</t>
  </si>
  <si>
    <t>2023-05-03-10201SP1313-01</t>
  </si>
  <si>
    <t>PUBLIO C. ESTENZO</t>
  </si>
  <si>
    <t>SPLIT PAR NO. 2023-04-006</t>
  </si>
  <si>
    <t>RCAO/ ADMIN SUPPORT STAFF</t>
  </si>
  <si>
    <t>PS-2023-05-01-012</t>
  </si>
  <si>
    <t>JESA B. OLACO</t>
  </si>
  <si>
    <t>2023-05-03-10201SP1304-01</t>
  </si>
  <si>
    <t>FERDINAND V. YU</t>
  </si>
  <si>
    <t>CARPO PBDD</t>
  </si>
  <si>
    <t>2023-05-03-10201SP1317-01</t>
  </si>
  <si>
    <t>SPLIT PAR NO. 2023-04-007</t>
  </si>
  <si>
    <t>JOSE MARI M. ESPENIDO</t>
  </si>
  <si>
    <t>CARPO LTS/ ENGINEER</t>
  </si>
  <si>
    <t>PS-2023-05-01-013</t>
  </si>
  <si>
    <t>WENDY JANE VILLAS</t>
  </si>
  <si>
    <t>ESS DOCUMENTOR</t>
  </si>
  <si>
    <t>2023-05-03-10201SP1305-01</t>
  </si>
  <si>
    <t>Atty. SARIPAH MANONGGIRING (Vice LUA, DENISE LEAVINA)</t>
  </si>
  <si>
    <t>ATTORNEY IV /Chief Legal</t>
  </si>
  <si>
    <t>2023-05-03-10201SP1314-01</t>
  </si>
  <si>
    <t>SPLIT PAR NO. 2023-04-008</t>
  </si>
  <si>
    <t>JUANITA ROMANO</t>
  </si>
  <si>
    <t>Legal Staff</t>
  </si>
  <si>
    <t>SUARPO/ ESSS STAFF</t>
  </si>
  <si>
    <t>PS-2023-05-01-014</t>
  </si>
  <si>
    <t>MICHAEL DABUET</t>
  </si>
  <si>
    <t>2023-05-03-10201SP1306-01</t>
  </si>
  <si>
    <t>2023-05-03-10201SP1316-01</t>
  </si>
  <si>
    <t>ENGR. ALJER A. DOMAPIAS</t>
  </si>
  <si>
    <t>LORNA REMANDABAN</t>
  </si>
  <si>
    <t>ENGINEER III</t>
  </si>
  <si>
    <t>ARPT/ PROCUREMENT STAFF</t>
  </si>
  <si>
    <t>SPLIT PAR NO. 2023-04-009</t>
  </si>
  <si>
    <t>PS-2023-05-01-015</t>
  </si>
  <si>
    <t>ENGR. AXEL ROSE C. MARIMON</t>
  </si>
  <si>
    <t>JOAN RAAGAS</t>
  </si>
  <si>
    <t>STO - Procurement</t>
  </si>
  <si>
    <t>2023-05-03-10201SP1312-01</t>
  </si>
  <si>
    <t>MICHAEL MITARAN</t>
  </si>
  <si>
    <t>2023-05-03-10201SP1307-01</t>
  </si>
  <si>
    <t>REG'ACCOUNTANT/FSS</t>
  </si>
  <si>
    <t>PS-2023-05-01-016</t>
  </si>
  <si>
    <t>MARCELO ALICANDO</t>
  </si>
  <si>
    <t>SPLIT PAR NO. 2023-04-010</t>
  </si>
  <si>
    <t>EDUARDO GAVIOLA JR.</t>
  </si>
  <si>
    <t>2023-05-03-10201SP1319-01</t>
  </si>
  <si>
    <t>ENGR.J. ABALOYAN</t>
  </si>
  <si>
    <t>ISA / IT STAFF</t>
  </si>
  <si>
    <t>PS-2023-05-01-017</t>
  </si>
  <si>
    <t>2023-05-03-10201SP1308-01</t>
  </si>
  <si>
    <t>CLEMENTE FLORENDO</t>
  </si>
  <si>
    <t>ENGR. ALJER A. DOMAPIAS/Carreon, Ralph Rex
 (vice Lua, Denise Leavina)</t>
  </si>
  <si>
    <t>SPLIT PAR NO. 2023-04-011</t>
  </si>
  <si>
    <t>SHERWIN C. FLORES/Apelo, Ivy Rose</t>
  </si>
  <si>
    <t>2023-05-03-10201SP1348-01</t>
  </si>
  <si>
    <t>UPS and Printer unserviceable</t>
  </si>
  <si>
    <t>IT STAFF</t>
  </si>
  <si>
    <t>PS-2023-05-01-018</t>
  </si>
  <si>
    <t>LEOLITO F. ADRE JR.</t>
  </si>
  <si>
    <t>2023-05-03-10201SP1309-01</t>
  </si>
  <si>
    <t>2023-05-03-10201SP187-01</t>
  </si>
  <si>
    <t>IMEE M. SABILLO (SPLIT DENR)</t>
  </si>
  <si>
    <t>PS-2023-05-01-022</t>
  </si>
  <si>
    <t>IMEE M. SABILLO</t>
  </si>
  <si>
    <t>Atty. MARIANITO Q. MOJICA, JR.</t>
  </si>
  <si>
    <t>ARD FOR OPERATIONS</t>
  </si>
  <si>
    <t>SPLIT PAR NO. 2023-04-012</t>
  </si>
  <si>
    <t>2023-05-03-10201SP190-01</t>
  </si>
  <si>
    <t>PS-2023-05-01-023</t>
  </si>
  <si>
    <t>2023-05-14-10202SP61-01</t>
  </si>
  <si>
    <t>ARTHUR D. DULCERO</t>
  </si>
  <si>
    <t>ARD FOR ADMINISTRATION</t>
  </si>
  <si>
    <t>SPLIT PAR NO. 2023-04-013</t>
  </si>
  <si>
    <t>2023-05-03-10201SP184-01</t>
  </si>
  <si>
    <t>RCAO/CBTA SUPPORT STAFF</t>
  </si>
  <si>
    <t>PS-2023-05-01-024</t>
  </si>
  <si>
    <t>MARVIN ORQUIOLA</t>
  </si>
  <si>
    <t>2023-05-14-10202SP62-01</t>
  </si>
  <si>
    <t>2023-05-03-10201SP189-01</t>
  </si>
  <si>
    <t>CARPO LTS/DOCUMENTOR II</t>
  </si>
  <si>
    <t>SPLIT PAR NO. 2023-04-014</t>
  </si>
  <si>
    <t>PS-2023-05-01-025</t>
  </si>
  <si>
    <t>CYRIL ANN BADEO</t>
  </si>
  <si>
    <t>2023-05-03-10201SP186-01</t>
  </si>
  <si>
    <t>PLANNING OFFICER/M&amp;E STAFF</t>
  </si>
  <si>
    <t>PS-2023-05-01-026</t>
  </si>
  <si>
    <t>MARK LESTER DIMATAWARAN</t>
  </si>
  <si>
    <t>2023-05-14-10202SP65-01</t>
  </si>
  <si>
    <t>REGGIE V. JAYO</t>
  </si>
  <si>
    <t>ARPO II /Engineer III</t>
  </si>
  <si>
    <t>2023-05-03-10201SP170-01</t>
  </si>
  <si>
    <t>SPLIT PAR NO. 2023-04-015</t>
  </si>
  <si>
    <t>ATTY. JEROME PADERES</t>
  </si>
  <si>
    <t>PS-2023-05-01-027</t>
  </si>
  <si>
    <t>2023-05-03-10202SP382-01</t>
  </si>
  <si>
    <t>2023-05-03-1020SP062-01</t>
  </si>
  <si>
    <t>JOSE ALSMITNH SORIA</t>
  </si>
  <si>
    <t>INFORMATION OFFICER</t>
  </si>
  <si>
    <t>SPLIT PAR NO. 2023-09-017</t>
  </si>
  <si>
    <t>001-2023</t>
  </si>
  <si>
    <t>INFO OFFICE</t>
  </si>
  <si>
    <t>2023-05-03-1020SP249-01</t>
  </si>
  <si>
    <t>PS-2023-05-03-001</t>
  </si>
  <si>
    <t>2023-05-03-10202SP383-01</t>
  </si>
  <si>
    <t>2023-05-03-1020SP247-01</t>
  </si>
  <si>
    <t>CARPO-LTS</t>
  </si>
  <si>
    <t>SPLIT PAR NO. 2023-09-018</t>
  </si>
  <si>
    <t>PS-2023-05-03-002</t>
  </si>
  <si>
    <t>2023-05-03-1020SP258-01</t>
  </si>
  <si>
    <t>ATTY. ROBERT ANTHONY P. YU</t>
  </si>
  <si>
    <t>PS-2023-05-03-003</t>
  </si>
  <si>
    <t>RD's Office</t>
  </si>
  <si>
    <t>BILIRAN</t>
  </si>
  <si>
    <t>2023-05-03-10202SP384-01</t>
  </si>
  <si>
    <t>LEOMIDES R. VILLAREAL</t>
  </si>
  <si>
    <t>2023-05-14-10202SP48-01</t>
  </si>
  <si>
    <t>SPLIT PAR NO. 2023-09-019</t>
  </si>
  <si>
    <t>SUPPLY OFFICER</t>
  </si>
  <si>
    <t>PS-2023-05-14-002</t>
  </si>
  <si>
    <t>STO - Supply</t>
  </si>
  <si>
    <t>2023-05-14-10202SP13-01</t>
  </si>
  <si>
    <t>PS-2023-05-14-001</t>
  </si>
  <si>
    <t>2023-05-03-10201SP455-01</t>
  </si>
  <si>
    <t>2023-05-04-1020ISP-09-01</t>
  </si>
  <si>
    <t>ENGR JOEL M ENCINA</t>
  </si>
  <si>
    <t>CARPO LTS</t>
  </si>
  <si>
    <t>SPLIT PAR NO. 2023-09-020</t>
  </si>
  <si>
    <t>Atty. SARIPAH MANONGGIRING</t>
  </si>
  <si>
    <t>HVSPLIT-102-24-05-043</t>
  </si>
  <si>
    <t>ATTY. ROBERT ANTHONY YU</t>
  </si>
  <si>
    <t>2024-05-010</t>
  </si>
  <si>
    <t>DARRO VIII</t>
  </si>
  <si>
    <t>2023-05-03-10201SP456-01</t>
  </si>
  <si>
    <t>Vice Atty. MARIANITO Q. MOJICA, JR. / Manonggiring, Saripah</t>
  </si>
  <si>
    <t>ARD FOR OPERATIONS /Chief Legal</t>
  </si>
  <si>
    <t>2024-05-03-10202SP-314-01</t>
  </si>
  <si>
    <t>JOSE ALSMITH L SORIA</t>
  </si>
  <si>
    <t>Atty. DARYL BASALO /Darpo Legal</t>
  </si>
  <si>
    <t>Printer Unserviceable</t>
  </si>
  <si>
    <t>Biliran</t>
  </si>
  <si>
    <t>2023-06-01-10202SP-436-01</t>
  </si>
  <si>
    <t>YURI PAUL ADRIAN M. TERAZA</t>
  </si>
  <si>
    <t>2023-05-03-10201SP457-01</t>
  </si>
  <si>
    <t>Legal Assistant I /Manonggiring, Saripah</t>
  </si>
  <si>
    <t>LTSP/SPLIT</t>
  </si>
  <si>
    <t>2023-05-03-10201SP458-01</t>
  </si>
  <si>
    <t>Legal Assistant II</t>
  </si>
  <si>
    <t>2023-06-01-10202SP-440-01</t>
  </si>
  <si>
    <t>RAMELL B. PIO</t>
  </si>
  <si>
    <t>2023-06-01-10202SP-406-01</t>
  </si>
  <si>
    <t>CAROLINE ABAD SUMAYOD</t>
  </si>
  <si>
    <t>2023-05-03-10201SP459-01</t>
  </si>
  <si>
    <t>ENGR. ALJER A. DOMAPIAS /Enemecio, Theresa Lynn
 (vice Lua, Denise Leavina)</t>
  </si>
  <si>
    <t>SPLIT PAR NO. 2023-09-021</t>
  </si>
  <si>
    <t>DANICA DAWN T. LOPEZ</t>
  </si>
  <si>
    <t>2023-05-03-10201SP-166-01</t>
  </si>
  <si>
    <t>YURI ADRIAN PAUL M. TERAZA</t>
  </si>
  <si>
    <t>2023-05-03-10201SP-167-01</t>
  </si>
  <si>
    <t>CAROLYN S. SACEDOR</t>
  </si>
  <si>
    <t>2023-05-0310202SP58-01</t>
  </si>
  <si>
    <t>2023-05-02-10202SP57-01</t>
  </si>
  <si>
    <t>Infiesto, Celmer</t>
  </si>
  <si>
    <t>Regional Strategic Media Coordinator</t>
  </si>
  <si>
    <t>2023-05-03-022SPLIT</t>
  </si>
  <si>
    <t>#######</t>
  </si>
  <si>
    <t>Becarri, Stephanie</t>
  </si>
  <si>
    <t>2023-05-03-10201SP460-01</t>
  </si>
  <si>
    <t>-</t>
  </si>
  <si>
    <t>DENR SPLIT PERSONNEL</t>
  </si>
  <si>
    <t>2023-05-03-10201SP461-01</t>
  </si>
  <si>
    <t>THELMA N. ALBA</t>
  </si>
  <si>
    <t>OIC CARPO-LTSP</t>
  </si>
  <si>
    <t>₱ 684,000.00</t>
  </si>
  <si>
    <t>2024-05-13-10204SP06-O1</t>
  </si>
  <si>
    <t>GINA MONICA S CABAHUG</t>
  </si>
  <si>
    <t>PO III/ GSS HEAD</t>
  </si>
  <si>
    <t>2023-05-03-10201SP1328-01</t>
  </si>
  <si>
    <t>2024-05-005PL</t>
  </si>
  <si>
    <t>MARY ANN CANEDA</t>
  </si>
  <si>
    <t>DARRO VII</t>
  </si>
  <si>
    <t>ACTING MARO</t>
  </si>
  <si>
    <t>029-2023</t>
  </si>
  <si>
    <t>DARPO BILIRAN</t>
  </si>
  <si>
    <t>2023-05-03-10201SP1329-01</t>
  </si>
  <si>
    <t>HVSPLIT-102-24-05-088</t>
  </si>
  <si>
    <t>Estenzo, Publio
 (vice Lua, Denise Leavina)</t>
  </si>
  <si>
    <t>Planning Officer IV</t>
  </si>
  <si>
    <t>2024-03-006
 2024-03-070-SPLIT</t>
  </si>
  <si>
    <t>Publio, Estenzo</t>
  </si>
  <si>
    <t>2023-05-03-10201SP1330-01</t>
  </si>
  <si>
    <t>2024-05-03-10202SP-313-01</t>
  </si>
  <si>
    <t>Cabatas, Noel Jerome</t>
  </si>
  <si>
    <t>ARPO II / 
 OIC-Budget Officer</t>
  </si>
  <si>
    <t>2023-05-03-10201SP1331-01</t>
  </si>
  <si>
    <t>Eastern Samar</t>
  </si>
  <si>
    <t>2022-05-02-10202SP56-01</t>
  </si>
  <si>
    <t>MARY CHRISTINE B. TANIÑAS</t>
  </si>
  <si>
    <t>SPLIT / LTSP</t>
  </si>
  <si>
    <t>BOHOL</t>
  </si>
  <si>
    <t>from Region 6</t>
  </si>
  <si>
    <t>2022-05-02-10202SP53-01</t>
  </si>
  <si>
    <t>CAGAMPANG, LEONARD</t>
  </si>
  <si>
    <t>OIC-Budget Officer</t>
  </si>
  <si>
    <t>23-01-001</t>
  </si>
  <si>
    <t>ENGR.LEONARD V. CAGAMPANG</t>
  </si>
  <si>
    <t>DARPO-BOHOL</t>
  </si>
  <si>
    <t>2023-05-14-10202SP15-01</t>
  </si>
  <si>
    <t>ENGR. RENAN M. CADIENTE</t>
  </si>
  <si>
    <t>2023-05-03-10201SP1282-01</t>
  </si>
  <si>
    <t>SEPLON, RACHEL/CAGAMPANG, LEONARDO</t>
  </si>
  <si>
    <t>BUDGET OFFICER/
 Provincial Project Budget Officer/CARPO LTID</t>
  </si>
  <si>
    <t>2023-05-14-10201SP35-01</t>
  </si>
  <si>
    <t>ALCALA, CHRISTINE/RCT</t>
  </si>
  <si>
    <t>2023-05-03-10201SP1283-01</t>
  </si>
  <si>
    <t>2023-05-14-10201SP36-01</t>
  </si>
  <si>
    <t>BONGHANOY, LEONIDA/OPORTO JENNETE</t>
  </si>
  <si>
    <t>ADMIN OFFICER IV/Procurement Officer/ CARPO PBDD</t>
  </si>
  <si>
    <t>GENITA, JEZIEL JORDAN/OPORTO JENNETE</t>
  </si>
  <si>
    <t>2023-05-03-10201SP180-01</t>
  </si>
  <si>
    <t>ELAINE ASTER G. MERRO</t>
  </si>
  <si>
    <t>DARMO - lawaan</t>
  </si>
  <si>
    <t>2023-05-03-10201SP1284-01</t>
  </si>
  <si>
    <t>MORALES, PRUDENCIA / BONGHANOY, LEONIDA</t>
  </si>
  <si>
    <t>ASSISTANT STAT ACCOUNTING</t>
  </si>
  <si>
    <t>ROMERO, SHAINA MAY/RCT</t>
  </si>
  <si>
    <t>2023-05-03-10201SP176-01</t>
  </si>
  <si>
    <t>CHRISTOPHER RYAN P. ROSAL</t>
  </si>
  <si>
    <t>2023-05-03-10201SP1286-01</t>
  </si>
  <si>
    <t>printer unserviceable</t>
  </si>
  <si>
    <t>ACERO, MA. JESSICA/ALO JULIETA</t>
  </si>
  <si>
    <t>PLANNING OFFICER/
 Provincial M&amp;E Coordinator / PROVINCIAL MIS COORDINATOR</t>
  </si>
  <si>
    <t>23-05-018</t>
  </si>
  <si>
    <t>DANO, FHREZEL /DALDE FRIECH JERSON</t>
  </si>
  <si>
    <t>2023-05-03-10201SP177-01</t>
  </si>
  <si>
    <t>2023-05-03-10201SP1279-01</t>
  </si>
  <si>
    <t>ALO, JULIETA /SEPLON RACHEL</t>
  </si>
  <si>
    <t>2023-05-03-10201SP179-01</t>
  </si>
  <si>
    <t>ARPO II-Provincial MIS Coordinator/ BUDGET OFFICER</t>
  </si>
  <si>
    <t>LORENA A. AZURA</t>
  </si>
  <si>
    <t>DALDE, FRIECH JERSON/ ALCALA CHRISTINE</t>
  </si>
  <si>
    <t>2023-05-03-10201SP178-01</t>
  </si>
  <si>
    <t>2023-05-03-10201SP1278-01</t>
  </si>
  <si>
    <t>BLICARISA L. GLORIA</t>
  </si>
  <si>
    <t>CABULAO, ARNEL / MANLIGUEZ GENEVA</t>
  </si>
  <si>
    <t>ENGINEER II/Survey Coordinator /PROJECT ACCOUNTANT</t>
  </si>
  <si>
    <t>STOD- PERSONNEL SECTION</t>
  </si>
  <si>
    <t>23-05-010</t>
  </si>
  <si>
    <t>OCDENARIA, ANADITH / ROMEO SHAINA MAY</t>
  </si>
  <si>
    <t>2023-05-03-1020SP-251-01</t>
  </si>
  <si>
    <t>2023-05-03-10201SP1280-01</t>
  </si>
  <si>
    <t>ALO, JULIETA / CABULAO ARNEL</t>
  </si>
  <si>
    <t>ARPO II/
 Provincial MIS Coordinator ENGR. III</t>
  </si>
  <si>
    <t>ALO, JULIETA / OCDENARIA, ANADITH</t>
  </si>
  <si>
    <t>2023-05-03-10201SP1281-01</t>
  </si>
  <si>
    <t>DANILO C. LOZADA</t>
  </si>
  <si>
    <t>OPORTO, JENNETTE/ ALO, JULIETA</t>
  </si>
  <si>
    <t>CARPO PBDD-ESS Coordinator /ADMIN OFFICER IV</t>
  </si>
  <si>
    <t>PARPOs Office</t>
  </si>
  <si>
    <t>OPORTO, JENNETTE / GENETA JEZIEL JORDAN</t>
  </si>
  <si>
    <t>2023-05-03-10201SP1276-01</t>
  </si>
  <si>
    <t>BONGHANOY, LEONIDA/ALO, JULIETA</t>
  </si>
  <si>
    <t>ADMIN OFFICER IV/Procurement Officer/PROVICIAL MIS</t>
  </si>
  <si>
    <t>23-05-008</t>
  </si>
  <si>
    <t>FVT 2/ALO, JULIETA</t>
  </si>
  <si>
    <t>2023-05-03-1020SP-253-01</t>
  </si>
  <si>
    <t>ALLISON KAYE A. OBON</t>
  </si>
  <si>
    <t>2023-05-03-1020SP-252-01</t>
  </si>
  <si>
    <t>2023-05-03-10201SP1285-01</t>
  </si>
  <si>
    <t>ENGR. RENAFLOR A. DAGANTA</t>
  </si>
  <si>
    <t>OIC- CARPO LTID/Provincial Parcelization Coordinator</t>
  </si>
  <si>
    <t>ROSE ANGELA GACIAS</t>
  </si>
  <si>
    <t>2023-05-03-1020SP-250-01</t>
  </si>
  <si>
    <t>HERMENIA D. BASADA</t>
  </si>
  <si>
    <t>2023-05-03-10201SP1275-01</t>
  </si>
  <si>
    <t>CAGAMPANG, LEONARD / MILLAMA, DIVINA</t>
  </si>
  <si>
    <t>OIC- CARPO LTID/Provincial Parcelization Coordinator/ PLANNING OFFICER</t>
  </si>
  <si>
    <t>23-05-007</t>
  </si>
  <si>
    <t>2023-05-03-10201SP-1337-01</t>
  </si>
  <si>
    <t>FVT 1/MILLAMA, DIVINA</t>
  </si>
  <si>
    <t>LEMUELL SETH TONOG</t>
  </si>
  <si>
    <t>LITO JAKE L. CANDIDO</t>
  </si>
  <si>
    <t>STOD - Personnel</t>
  </si>
  <si>
    <t>2023-05-03-10201SP1277-01</t>
  </si>
  <si>
    <t>ACERO, MA. JESSICA</t>
  </si>
  <si>
    <t>PLANNING OFFICER/
 Provincial M&amp;E Coordinator</t>
  </si>
  <si>
    <t>23-05-009</t>
  </si>
  <si>
    <t>2023-05-03-10201SP-1339-01</t>
  </si>
  <si>
    <t>MA. AMALIA A. APIGO</t>
  </si>
  <si>
    <t>2023-05-14-10202SP64-01</t>
  </si>
  <si>
    <t>BONGHANOY, LEONIDA</t>
  </si>
  <si>
    <t>ADMIN OFFICER IV/Procurement Officer</t>
  </si>
  <si>
    <t>23-05-006</t>
  </si>
  <si>
    <t>2023-05-03-10201SP-1340-01</t>
  </si>
  <si>
    <t>2023-05-03-10202SP374-01</t>
  </si>
  <si>
    <t>23-09-026</t>
  </si>
  <si>
    <t>2023-05-03-10201SP-1333-01</t>
  </si>
  <si>
    <t>DANO, FHREZEL /TADEM, MARY GRACE</t>
  </si>
  <si>
    <t>2023-05-03-10202SP375-01</t>
  </si>
  <si>
    <t>2023-05-03-10201SP-1343-01</t>
  </si>
  <si>
    <t>23-09-027</t>
  </si>
  <si>
    <t>2023-05-03-10201SP-1332-01</t>
  </si>
  <si>
    <t>ARPO1</t>
  </si>
  <si>
    <t>2023-05-03-10202SP376-01</t>
  </si>
  <si>
    <t>BALONDA, JAMES HORACE</t>
  </si>
  <si>
    <t>CHIEF LEGAL/Legal Coordinator</t>
  </si>
  <si>
    <t>Monitor for repair</t>
  </si>
  <si>
    <t>23-09-028</t>
  </si>
  <si>
    <t>2023-05-03-10201SP-1336-01</t>
  </si>
  <si>
    <t>GEORGIE BOY Y. SACRISTAN</t>
  </si>
  <si>
    <t>DARMO - Lawaan</t>
  </si>
  <si>
    <t>2023-05-03-10202SP60(59)-01</t>
  </si>
  <si>
    <t>BANTUGAN, MA. LYDIA/PERECHO, RAXXIN DANE</t>
  </si>
  <si>
    <t>ARPO II/ADMIN AIDE IV</t>
  </si>
  <si>
    <t>24-01-002</t>
  </si>
  <si>
    <t>2023-05-03-10201SP-1335-01</t>
  </si>
  <si>
    <t>LINA A. MISOLA</t>
  </si>
  <si>
    <t>2023-05-03-10201SP448-01</t>
  </si>
  <si>
    <t>2023-05-03-10201SP-1334-01</t>
  </si>
  <si>
    <t>ALO, JULIETA</t>
  </si>
  <si>
    <t>ARPO II/
 Provincial MIS Coordinator</t>
  </si>
  <si>
    <t>23-09-022</t>
  </si>
  <si>
    <t>TADEM , MARY GRACE</t>
  </si>
  <si>
    <t>RENELYN L. GREGORIO</t>
  </si>
  <si>
    <t>2023-05-03-10201SP-1346-01</t>
  </si>
  <si>
    <t>2023-05-03-10201SP449-01</t>
  </si>
  <si>
    <t>MARK ANTHONY D. PATILLA</t>
  </si>
  <si>
    <t>23-09-023</t>
  </si>
  <si>
    <t>TABUNO, FRANCIS MARK</t>
  </si>
  <si>
    <t>2023-05-03-10201SP-1347-01</t>
  </si>
  <si>
    <t>RAYMUND CORADO</t>
  </si>
  <si>
    <t>2023-05-03-10201SP450-01</t>
  </si>
  <si>
    <t>23-09-024</t>
  </si>
  <si>
    <t>BAG-AO, JAMES ARNEL</t>
  </si>
  <si>
    <t>2023-05-03-10201SP-1338-01</t>
  </si>
  <si>
    <t>ALLAN DAVE B. ABELLA</t>
  </si>
  <si>
    <t>JESSEL G. ACLA</t>
  </si>
  <si>
    <t>DARMO - Giporlos</t>
  </si>
  <si>
    <t>2023-05-03-10201SP451-01</t>
  </si>
  <si>
    <t>OPORTO, JENNETTE/LUMINARE H. CALAMBA</t>
  </si>
  <si>
    <t>CARPO PBDD/
 ESS Coordinator</t>
  </si>
  <si>
    <t>2023-05-03-10201SP-1344-01</t>
  </si>
  <si>
    <t>23-09-025</t>
  </si>
  <si>
    <t>SARSALE, WELLHA DIA</t>
  </si>
  <si>
    <t>2023-05-03-10201SP-1345-01</t>
  </si>
  <si>
    <t>MA. FLOR DAGANTA</t>
  </si>
  <si>
    <t>CABULAO, ARNEL</t>
  </si>
  <si>
    <t>AO IV/OIC MARO</t>
  </si>
  <si>
    <t>ENGINEER II/Survey Coordinator</t>
  </si>
  <si>
    <t>DARMO - Borongan</t>
  </si>
  <si>
    <t>24-01-001</t>
  </si>
  <si>
    <t>2023-05-03-10201SP-1341-01</t>
  </si>
  <si>
    <t>HARLEANE LIANNE CATILLEJOS</t>
  </si>
  <si>
    <t>MICHA ARAGO</t>
  </si>
  <si>
    <t>STOD - Accounting</t>
  </si>
  <si>
    <t>2023-05-03-10201SP-1342-01</t>
  </si>
  <si>
    <t>HVSPLIT-102-24-05-047</t>
  </si>
  <si>
    <t>HVSPLIT-102-24-05-079</t>
  </si>
  <si>
    <t>DARPO E. SAMAR</t>
  </si>
  <si>
    <t>2024-03-006</t>
  </si>
  <si>
    <t>Northern Samar</t>
  </si>
  <si>
    <t>DARPO BOHOL</t>
  </si>
  <si>
    <t>2023-05-14-10201SP33-01</t>
  </si>
  <si>
    <t>EUGENIA W. ALMASCO</t>
  </si>
  <si>
    <t>CARPO-LTSP/PPMO</t>
  </si>
  <si>
    <t>JASTIN ROMERO
 LOLITO C. DAPULAG</t>
  </si>
  <si>
    <t>CEBU</t>
  </si>
  <si>
    <t>2023-05-14-1020SP33-01</t>
  </si>
  <si>
    <t>2022-05-02-10202SP52-01</t>
  </si>
  <si>
    <t>JUDLY O. LI</t>
  </si>
  <si>
    <t>PARCELIZATION COORDINATOR /PCAO-STOD</t>
  </si>
  <si>
    <t>JUDLY O. LI / LTID OFFICE</t>
  </si>
  <si>
    <t>DARPO- CEBU</t>
  </si>
  <si>
    <t>2022-05-02-10202SP60-01</t>
  </si>
  <si>
    <t>NEIL CONRAD M. LI</t>
  </si>
  <si>
    <t>2023-05-03-10201SP1287-01</t>
  </si>
  <si>
    <t>LIZA C. TOROY</t>
  </si>
  <si>
    <t>2023-05-03-1020SP-260-01</t>
  </si>
  <si>
    <t>PCAO/ ADMIN &amp; BUDGET COORDINATOR /CARPO-PPBDO</t>
  </si>
  <si>
    <t>MELANIE E. MANATAD</t>
  </si>
  <si>
    <t>ACCOUNTANT II/PPMO</t>
  </si>
  <si>
    <t>2024-01-001-PAR-SPLIT</t>
  </si>
  <si>
    <t>MELANIE E. MANATAD
 JOCELYN C. BALLICUD</t>
  </si>
  <si>
    <t>2023-05-03-1020SP-261-01</t>
  </si>
  <si>
    <t>JOCELYN C. BALLICUD</t>
  </si>
  <si>
    <t>2024-01-002-PAR-SPLIT</t>
  </si>
  <si>
    <t>JOCELYN C. BALLICUD
 MARIAN D. MARQUITA</t>
  </si>
  <si>
    <t>2023-05-03-10201SP1288-01</t>
  </si>
  <si>
    <t>THERESA LYNN L. ENEMECIO</t>
  </si>
  <si>
    <t>MIS COORDINATOR / SARPO</t>
  </si>
  <si>
    <t>2023-05-03-1020SP-262-01</t>
  </si>
  <si>
    <t>ALEX G. MACEDA</t>
  </si>
  <si>
    <t>PLANNING OFFICER II/PPMO</t>
  </si>
  <si>
    <t>2024-01-003-PAR-SPLIT</t>
  </si>
  <si>
    <t>ALEX G. MACEDA
 MARIETA S. SOMORAY</t>
  </si>
  <si>
    <t>2023-05-03-1020SP-263-01</t>
  </si>
  <si>
    <t>MARIETTA S. SOMORAY</t>
  </si>
  <si>
    <t>SARPO/PPMO</t>
  </si>
  <si>
    <t>2023-05-03-10201SP1289-01</t>
  </si>
  <si>
    <t>2024-01-004-PAR-SPLIT</t>
  </si>
  <si>
    <t>MARIETTA S. SOMORAY
 ATTY. MA. LUCILLE G. DE GUIA</t>
  </si>
  <si>
    <t>GRACE B. FUA, CESO V / JUDI O. LI</t>
  </si>
  <si>
    <t>PARO II / PROVINCIAL PROJECT MANAGER / PCAO-STOD</t>
  </si>
  <si>
    <t>2023-06-03-10201SP-162-01</t>
  </si>
  <si>
    <t>2024-01-005-PAR-SPLIT</t>
  </si>
  <si>
    <t>2023-06-03-10201SP-163-01</t>
  </si>
  <si>
    <t>2023-05-03-10201SP1290-01</t>
  </si>
  <si>
    <t>SUPPLY OFFICER/ARPT</t>
  </si>
  <si>
    <t>2024-01-006-PAR-SPLIT</t>
  </si>
  <si>
    <t>PARCELIZATION COORDINATOR / PCAO-STOD</t>
  </si>
  <si>
    <t>JOMARIE A. VALLENTE</t>
  </si>
  <si>
    <t>2023-06-03-10201SP-164-01</t>
  </si>
  <si>
    <t>2024-01-007-PAR-SPLIT</t>
  </si>
  <si>
    <t>2023-06-03-10201SP-165-01</t>
  </si>
  <si>
    <t>2023-05-03-10201SP1291-01</t>
  </si>
  <si>
    <t>2024-01-008-PAR-SPLIT</t>
  </si>
  <si>
    <t>JAN REINHOLD T. DUMAM-AG</t>
  </si>
  <si>
    <t>2023-05-03-1120ASP1368-01</t>
  </si>
  <si>
    <t>MELANIE E MANATAD</t>
  </si>
  <si>
    <t>2023-05-03-10201SP1369-01</t>
  </si>
  <si>
    <t>MARILOU T. ORSUA</t>
  </si>
  <si>
    <t>2023-05-03-10201SP1292-01</t>
  </si>
  <si>
    <t>c</t>
  </si>
  <si>
    <t>DAZELL RUBY C. CASTELLANO</t>
  </si>
  <si>
    <t>2023-05-03-10201SP1370-01</t>
  </si>
  <si>
    <t>ANN LIZA T. IRINCO</t>
  </si>
  <si>
    <t>ARPT/PPMO</t>
  </si>
  <si>
    <t>CPU for repair</t>
  </si>
  <si>
    <t>2023-05-03-10201SP1371-01</t>
  </si>
  <si>
    <t>JESSA MAE MOSCARE</t>
  </si>
  <si>
    <t>2023-05-03-10201SP1293-01</t>
  </si>
  <si>
    <t>2023-05-03-10201SP1372-01</t>
  </si>
  <si>
    <t>TRESHIA MAE T. JASMIN</t>
  </si>
  <si>
    <t>NIKKA LORENA P. ALERIA</t>
  </si>
  <si>
    <t>2023-05-03-10201SP1373-01</t>
  </si>
  <si>
    <t>PHOEBE CATHY M. ADVINCULA</t>
  </si>
  <si>
    <t>2023-05-03-10201SP1294-01</t>
  </si>
  <si>
    <t>VON JOVI R. OPORTO / JECA L. BOCALES</t>
  </si>
  <si>
    <t>2023-05-03-10201SP1374-01</t>
  </si>
  <si>
    <t>MARGUERITE JOYCE C. DE ASIS</t>
  </si>
  <si>
    <t>2023-05-03-1020ASP1375-01</t>
  </si>
  <si>
    <t>KELVIN R. ARTECHE</t>
  </si>
  <si>
    <t>2023-05-03-10201SP1376-01</t>
  </si>
  <si>
    <t>MARIA CORAZON B. PABONITA</t>
  </si>
  <si>
    <t>2023-05-03-10201SP-1377-01</t>
  </si>
  <si>
    <t>BEVERLY O. MALAKI</t>
  </si>
  <si>
    <t>2023-05-03-10201SP1295-01</t>
  </si>
  <si>
    <t>CHRISTIAN S. BICADA</t>
  </si>
  <si>
    <t>2023-05-03-10201SP1383-01</t>
  </si>
  <si>
    <t>MA. LORDELLE A. FLORES</t>
  </si>
  <si>
    <t>2023-05-03-1020ASP1384-01</t>
  </si>
  <si>
    <t>REYNALD L. BALANQUIT</t>
  </si>
  <si>
    <t>2023-05-03-10201SP1296-01</t>
  </si>
  <si>
    <t>2023-05-03-10201SP1385-01</t>
  </si>
  <si>
    <t>HANNELETTE JAY E. ISIANG / CARL VINCENT SOLLANO</t>
  </si>
  <si>
    <t>CARMELITA U. GARCELAZO</t>
  </si>
  <si>
    <t>2023-05-03-10201SP-1378-01</t>
  </si>
  <si>
    <t>AMABEL I. LIM</t>
  </si>
  <si>
    <t>2023-05-03-10201SP1297-01</t>
  </si>
  <si>
    <t>2023-05-03-10201SP-1379-01</t>
  </si>
  <si>
    <t>JASTIN S. ROMERO</t>
  </si>
  <si>
    <t>JAZMINE M. DELA CRUZ</t>
  </si>
  <si>
    <t>2023-05-03-10201SP-1380-01</t>
  </si>
  <si>
    <t>LORELYN L. ESCULLAR</t>
  </si>
  <si>
    <t>ADMIN AIDE</t>
  </si>
  <si>
    <t>2023-05-03-10201SP1298-01</t>
  </si>
  <si>
    <t>JUDLY O. LI /ATTY. ALVIN B. HERAMIZ</t>
  </si>
  <si>
    <t>2023-05-03-10201SP-1381-01</t>
  </si>
  <si>
    <t>PARCELIZATION COORDINATOR / OIC-CHIEF LEGAL</t>
  </si>
  <si>
    <t>GERMAN D. DASIG</t>
  </si>
  <si>
    <t>JUDLY O. LI /ATTY. MIKO R. LAMBO</t>
  </si>
  <si>
    <t>2023-05-03-10201SP-1382-01</t>
  </si>
  <si>
    <t>FRECA S. UBALDO</t>
  </si>
  <si>
    <t>2023-05-14-10202SP63-01</t>
  </si>
  <si>
    <t xml:space="preserve">HVSPLIT-102-24-05-053
</t>
  </si>
  <si>
    <t>2023-07-014</t>
  </si>
  <si>
    <t>DARPO N. SAMAR</t>
  </si>
  <si>
    <t>Western Samar</t>
  </si>
  <si>
    <t>2022-05-02-10202SP59-01</t>
  </si>
  <si>
    <t>ENGR. MELVIN ELEUTERIO</t>
  </si>
  <si>
    <t>PTR# SP2023-02-9015</t>
  </si>
  <si>
    <t>2023-05-03-10202SP60-01</t>
  </si>
  <si>
    <t>ROXANNE B. OSMIL</t>
  </si>
  <si>
    <t>ARPT/PIO</t>
  </si>
  <si>
    <t>2023-05-14-10201SP-36-01</t>
  </si>
  <si>
    <t>PTR# SP2023-10-9038</t>
  </si>
  <si>
    <t>2023-05-03-10202SP377-01</t>
  </si>
  <si>
    <t>IVAN L. TUMULAK</t>
  </si>
  <si>
    <t>no controller, expired license</t>
  </si>
  <si>
    <t>2023-05-03-10202SP378-01</t>
  </si>
  <si>
    <t>PTR# SP2023-10-9039</t>
  </si>
  <si>
    <t>ATTY. MARIA DIVINA GRACIA B. FERNANDEZ</t>
  </si>
  <si>
    <t>expired license</t>
  </si>
  <si>
    <t>2023-05-03-10202SP379-01</t>
  </si>
  <si>
    <t>ELEANOR A. URSONAL</t>
  </si>
  <si>
    <t>2023-05-14-10202SP-16-01</t>
  </si>
  <si>
    <t>PTR# SP2023-10-9040</t>
  </si>
  <si>
    <t>2023-05-03-10201SP452-01</t>
  </si>
  <si>
    <t>2023-05-03-10201SP-1404-01</t>
  </si>
  <si>
    <t>MEL ANTHONY S. MIRA</t>
  </si>
  <si>
    <t>MARK LOUIE BACIERRA / DAPAL, MARK RAJIB Y.</t>
  </si>
  <si>
    <t>MIS Staff</t>
  </si>
  <si>
    <t>PTR# 031-2023</t>
  </si>
  <si>
    <t>2023-05-03-10201SP-1405-01</t>
  </si>
  <si>
    <t>MARK LOUIE BACIERRA / CAÑETE, ARIANE C.</t>
  </si>
  <si>
    <t>M&amp;E Staff</t>
  </si>
  <si>
    <t>2023-05-03-10201SP453-01</t>
  </si>
  <si>
    <t>DAISY M. CATUBIG</t>
  </si>
  <si>
    <t>2023-05-03-10201SP-1406-01</t>
  </si>
  <si>
    <t>MARK LOUIE BACIERRA / GOLISAO, ALLEN C.</t>
  </si>
  <si>
    <t>AutoCad Operator</t>
  </si>
  <si>
    <t>2023-05-03-10201SP454-01</t>
  </si>
  <si>
    <t>FIEL M. ROZ</t>
  </si>
  <si>
    <t>Provincial Procurement Officer/SARPT</t>
  </si>
  <si>
    <t>2023-05-03-10201SP-1408-01</t>
  </si>
  <si>
    <t>MARK LOUIE BACIERRA / OLAJE, REYLITA C.</t>
  </si>
  <si>
    <t>Validator</t>
  </si>
  <si>
    <t>2023-05-03-10201SP-1409-01</t>
  </si>
  <si>
    <t>HVSPLIT-102-24-05-100</t>
  </si>
  <si>
    <t>MARK LOUIE BACIERRA / DUTERTE, MARGIE L.</t>
  </si>
  <si>
    <t>Finance Support Staff</t>
  </si>
  <si>
    <t>DARPO CEBU</t>
  </si>
  <si>
    <t>2023-05-03-10201SP-1410-01</t>
  </si>
  <si>
    <t>MARK LOUIE BACIERRA / OCENAR, MARIA VICTORIA D.</t>
  </si>
  <si>
    <t>Administrative Support Staff</t>
  </si>
  <si>
    <t>2023-05-14-10201SP13-01</t>
  </si>
  <si>
    <t>ENGR.JOSE BRYAN P. VANO</t>
  </si>
  <si>
    <t>ROD-LRA SURVEYOR</t>
  </si>
  <si>
    <t>SPLIT-2024-02-002</t>
  </si>
  <si>
    <t>2023-05-03-10201SP-1411-01</t>
  </si>
  <si>
    <t>MARK LOUIE BACIERRA / FLOR, SHEIREY ANN</t>
  </si>
  <si>
    <t>Procurement Support Staff</t>
  </si>
  <si>
    <t>SPLIT-2024-02-001</t>
  </si>
  <si>
    <t>2023-05-03-10201SP-1407-01</t>
  </si>
  <si>
    <t>MARK LOUIE BACIERRA / ISANAN, CHARLIE D.</t>
  </si>
  <si>
    <t>Technical Support Staff</t>
  </si>
  <si>
    <t>2023-05-03-10201SP-1413-01</t>
  </si>
  <si>
    <t>FERWIL JAN AQUINO</t>
  </si>
  <si>
    <t>PTR# SP2023-06-9028</t>
  </si>
  <si>
    <t>2023-05-03-10201SP-1414-01</t>
  </si>
  <si>
    <t>KIMBERLY BRONDIAL</t>
  </si>
  <si>
    <t>HVSPLIT-102-24-05-01-233</t>
  </si>
  <si>
    <t>PTR# SP2023-10-9030</t>
  </si>
  <si>
    <t>2023-05-03-10201SP-1412-01</t>
  </si>
  <si>
    <t>Carreon, Ralph Rex</t>
  </si>
  <si>
    <t>JODL CHRISTI PEPITO</t>
  </si>
  <si>
    <t>2024-10-162</t>
  </si>
  <si>
    <t>PTR# SP2023-06-9027</t>
  </si>
  <si>
    <t>2023-05-03-10201SP-1415-01</t>
  </si>
  <si>
    <t>LUCENA M. MANCOL</t>
  </si>
  <si>
    <t>DARRO LTID</t>
  </si>
  <si>
    <t>CARPO - LTSP</t>
  </si>
  <si>
    <t>PTR# SP2023-10-9031</t>
  </si>
  <si>
    <t>2023-05-03-10201SP-1416-01</t>
  </si>
  <si>
    <t>HVSPLIT-102-24-05-01-234</t>
  </si>
  <si>
    <t>BRYAN JOY BADAJOS</t>
  </si>
  <si>
    <t>Amance, Cristina</t>
  </si>
  <si>
    <t>PTR# SP2023-10-9032</t>
  </si>
  <si>
    <t>2024-10-163</t>
  </si>
  <si>
    <t>Gerra, Arman</t>
  </si>
  <si>
    <t>DARRO PBD</t>
  </si>
  <si>
    <t>2023-05-03-10201SP-1417-01</t>
  </si>
  <si>
    <t>KIRBY NOGADAS</t>
  </si>
  <si>
    <t>PTR# SP2023-10-9033</t>
  </si>
  <si>
    <t>HVSPLIT-102-24-05-01-235</t>
  </si>
  <si>
    <t>Manonggiring, Saripah D.</t>
  </si>
  <si>
    <t>2024-10-164</t>
  </si>
  <si>
    <t>Hisola, Jhon Allain Apordo</t>
  </si>
  <si>
    <t>DARRO PBD-LEGAL</t>
  </si>
  <si>
    <t>2023-05-03-10201SP-1418-01</t>
  </si>
  <si>
    <t>MA. DANA BRAZAS</t>
  </si>
  <si>
    <t>ARPO I / PARPO's Staff</t>
  </si>
  <si>
    <t>PTR# SP2023-10-9034</t>
  </si>
  <si>
    <t>HVSPLIT-102-24-05-01-236</t>
  </si>
  <si>
    <t>2024-10-165</t>
  </si>
  <si>
    <t>2023-05-03-10201SP-1419-01</t>
  </si>
  <si>
    <t>Ybañez, Jan. Rey</t>
  </si>
  <si>
    <t>RICARDO FLOR</t>
  </si>
  <si>
    <t>PTR# SP2023-10-9035</t>
  </si>
  <si>
    <t>DARMO SAN JORGE</t>
  </si>
  <si>
    <t>HVSPLIT-102-24-05-01-175</t>
  </si>
  <si>
    <t>2023-05-03-10201SP-1420-01</t>
  </si>
  <si>
    <t>2024-10-161</t>
  </si>
  <si>
    <t>CONSTANCIO MABAG JR.</t>
  </si>
  <si>
    <t>PTR# SP2023-12-9050</t>
  </si>
  <si>
    <t>Office of the ARDA</t>
  </si>
  <si>
    <t>DARMO CALBIGA</t>
  </si>
  <si>
    <t>2023-05-03-10201SP-1421-01</t>
  </si>
  <si>
    <t>LINDA AGBON</t>
  </si>
  <si>
    <t>PTR# SP2023-10-9037</t>
  </si>
  <si>
    <t>HV SPLIT 102-24-05-01-221</t>
  </si>
  <si>
    <t>DARMO CATBALOGAN</t>
  </si>
  <si>
    <t>2023-05-03-10201SP-171-01</t>
  </si>
  <si>
    <t>ATTY. RONALDO ESCRIBANO</t>
  </si>
  <si>
    <t>OIC-Chief Legal Officer</t>
  </si>
  <si>
    <t>PTR# SP2023-12-9041</t>
  </si>
  <si>
    <t>2023-05-03-10201SP-172-01</t>
  </si>
  <si>
    <t>PTR# SP2023-12-9042</t>
  </si>
  <si>
    <t>HV SPLIT 102-24-05-01-220</t>
  </si>
  <si>
    <t>Admin Officer IV</t>
  </si>
  <si>
    <t>2024-05-03-10202SP253-01</t>
  </si>
  <si>
    <t>2023-05-03-10201SP-173-01</t>
  </si>
  <si>
    <t>PTR# SP2023-12-9043</t>
  </si>
  <si>
    <t>2024-05-03-10202SP323-01</t>
  </si>
  <si>
    <t>2023-05-03-10201SP-174-01</t>
  </si>
  <si>
    <t>Resma, Neili</t>
  </si>
  <si>
    <t>PARAD/OIC-RARAD</t>
  </si>
  <si>
    <t>PTR# SP2023-12-9044</t>
  </si>
  <si>
    <t>Office of the RARAD</t>
  </si>
  <si>
    <t>2023-05-03-10201SP-175-01</t>
  </si>
  <si>
    <t>SEGUNDINO PAGLIAWAN</t>
  </si>
  <si>
    <t>PTR# SP2023-12-9045</t>
  </si>
  <si>
    <t>2023-05-03-10202SP-245-01</t>
  </si>
  <si>
    <t>PTR# SP2023-12-9046</t>
  </si>
  <si>
    <t>HV SPLIT 102-24-05-01-216</t>
  </si>
  <si>
    <t>2023-05-03-10202SP-246-01</t>
  </si>
  <si>
    <t>PTR# SP2023-12-9047</t>
  </si>
  <si>
    <t>2023-05-03-10202SP-248-01</t>
  </si>
  <si>
    <t>PTR# SP2023-12-9048</t>
  </si>
  <si>
    <t>HV SPLIT 102-24-05-01-217</t>
  </si>
  <si>
    <t>2023-05-03-10202SP-264-01</t>
  </si>
  <si>
    <t>PTR# SP2023-12-9049</t>
  </si>
  <si>
    <t>HVSPLIT-102-24-05-092</t>
  </si>
  <si>
    <t>₱ 49,302.00</t>
  </si>
  <si>
    <t>HV SPLIT 102-24-05-01-218</t>
  </si>
  <si>
    <t>DARPO W. SAMAR</t>
  </si>
  <si>
    <t>Leyte</t>
  </si>
  <si>
    <t>2023-05-14-10201SP37-01</t>
  </si>
  <si>
    <t>PERPETUA D. SABALDAN</t>
  </si>
  <si>
    <t>₱ 49,303.00</t>
  </si>
  <si>
    <t>CARPO LTS / PARCELIZATION COORDINATOR</t>
  </si>
  <si>
    <t>23-03-0001</t>
  </si>
  <si>
    <t>HV SPLIT 102-24-05-01-219</t>
  </si>
  <si>
    <t>MARISSA C. ESTOLANO/RYAN ALMENARIO</t>
  </si>
  <si>
    <t>LICENSE AND CAPABILITY ISSUE</t>
  </si>
  <si>
    <t>23-03-0002</t>
  </si>
  <si>
    <t>₱ 49,304.00</t>
  </si>
  <si>
    <t>HV SPLIT 102-24-05-01-222</t>
  </si>
  <si>
    <t>23-03-0003</t>
  </si>
  <si>
    <t>₱ 49,305.00</t>
  </si>
  <si>
    <t>HV SPLIT 102-24-05-01-229</t>
  </si>
  <si>
    <t>2023-05-03-1020SP-254-01</t>
  </si>
  <si>
    <t>PARPO II / PROJECT MANAGER</t>
  </si>
  <si>
    <t>23-09-0025</t>
  </si>
  <si>
    <t>OFFICE OF THE PARPO II</t>
  </si>
  <si>
    <t>2023-05-03-1020SP-255-01</t>
  </si>
  <si>
    <t>PEDRO B. BIDUA, JR.</t>
  </si>
  <si>
    <t>23-09-0026</t>
  </si>
  <si>
    <t>₱ 49,306.00</t>
  </si>
  <si>
    <t>HV SPLIT 102-24-05-01-230</t>
  </si>
  <si>
    <t>2023-05-02-10202SP58-01</t>
  </si>
  <si>
    <t>PARPO I / CBTA for Implementers / ESS Coordinator</t>
  </si>
  <si>
    <t>23-05-0004</t>
  </si>
  <si>
    <t>OFFICE OF THE PARPO I</t>
  </si>
  <si>
    <t>₱ 49,307.00</t>
  </si>
  <si>
    <t>HV SPLIT 102-24-05-01-231</t>
  </si>
  <si>
    <t>2023-05-03-102015SP1350-01</t>
  </si>
  <si>
    <t>JANET S. MABAG</t>
  </si>
  <si>
    <t>ARPT / SPLIT ACCOUNTANT</t>
  </si>
  <si>
    <t>23-05-0007</t>
  </si>
  <si>
    <t>₱ 49,308.00</t>
  </si>
  <si>
    <t>HV SPLIT 102-24-05-01-232</t>
  </si>
  <si>
    <t>2023-05-03-102015SP1351-01</t>
  </si>
  <si>
    <t>ATTY. PATRECIA A. RAMOS</t>
  </si>
  <si>
    <t>ATTYIII / CHIEF, LEGAL DIV / LEGAL COORDINATOR</t>
  </si>
  <si>
    <t>23-05-0008</t>
  </si>
  <si>
    <t>MARIFIEL GONO</t>
  </si>
  <si>
    <t>2023-06-01-10201SP94-01</t>
  </si>
  <si>
    <t>SNC 1226</t>
  </si>
  <si>
    <t>2023-05-03-102015SP1352-01</t>
  </si>
  <si>
    <t>ARNILYN MAE T. BALDESCO</t>
  </si>
  <si>
    <t>SPLIT PAR NO. 2023-10-024
 2023-06-01-002SPLIT</t>
  </si>
  <si>
    <t>23-05-0009</t>
  </si>
  <si>
    <t>2023-05-03-102015SP1353-01</t>
  </si>
  <si>
    <t>23-05-0010</t>
  </si>
  <si>
    <t xml:space="preserve">
2023-06-01-10201SP95-01</t>
  </si>
  <si>
    <t>MARCELINA FERRAER</t>
  </si>
  <si>
    <t>SPLIT PAR NO. 2023-10-023</t>
  </si>
  <si>
    <t>2023-05-03-102015SP1354-01</t>
  </si>
  <si>
    <t>23-05-0022</t>
  </si>
  <si>
    <t>MARK CACHAO</t>
  </si>
  <si>
    <t>2023-05-03-102015SP1355-01</t>
  </si>
  <si>
    <t>NIEZEL L. MACION</t>
  </si>
  <si>
    <t>2023-06-01-10201SP99-01</t>
  </si>
  <si>
    <t>ARPT - GE</t>
  </si>
  <si>
    <t>SNC 1219</t>
  </si>
  <si>
    <t>23-05-0012</t>
  </si>
  <si>
    <t>LTSP - SURVEY</t>
  </si>
  <si>
    <t>Director III/ARDO
 Asst. Regional Project Manager for Operations</t>
  </si>
  <si>
    <t>SPLIT PAR NO. 2023-10-025
 2023-06-01-003SPLIT</t>
  </si>
  <si>
    <t>2023-05-03-102015SP1356-01</t>
  </si>
  <si>
    <t>SHEILA LUCILLE M. SEMBRERO</t>
  </si>
  <si>
    <t>AO IV (BUDGET OFFICER)</t>
  </si>
  <si>
    <t>23-05-0013</t>
  </si>
  <si>
    <t>2023-06-01-10201SP96-01</t>
  </si>
  <si>
    <t>SNC 1316</t>
  </si>
  <si>
    <t>PUMATONG, RONALD</t>
  </si>
  <si>
    <t>PARPO II / Provincial Project Manager</t>
  </si>
  <si>
    <t>23-10-029</t>
  </si>
  <si>
    <t>2023-05-03-102015SP1357-01</t>
  </si>
  <si>
    <t>ESTELA H. ENCINA</t>
  </si>
  <si>
    <t>AO III (CASHIER)</t>
  </si>
  <si>
    <t>23-05-0014</t>
  </si>
  <si>
    <t>2023-05-03-102015SP1358-01</t>
  </si>
  <si>
    <t>23-05-0015</t>
  </si>
  <si>
    <t>ALDINA SANCHEZ</t>
  </si>
  <si>
    <t>2023-06-01-10202SP355-01</t>
  </si>
  <si>
    <t>MUYALDE, VENICIA</t>
  </si>
  <si>
    <t>23-05-002</t>
  </si>
  <si>
    <t>DALAY, RENATO</t>
  </si>
  <si>
    <t>2023-05-03-102015SP1359-01</t>
  </si>
  <si>
    <t>LOVELY JOY E. CUSTODIO</t>
  </si>
  <si>
    <t>ARPT/CLRP APPROVER 1</t>
  </si>
  <si>
    <t>23-05-0016</t>
  </si>
  <si>
    <t>2023-06-01-10202SP356-01</t>
  </si>
  <si>
    <t>23-05-003</t>
  </si>
  <si>
    <t>MUTIA, FRANICS CARLO</t>
  </si>
  <si>
    <t>2023-05-03-102015SP1360-01</t>
  </si>
  <si>
    <t>LILIBETH L. CARCILLAR</t>
  </si>
  <si>
    <t>ENGR II - GE</t>
  </si>
  <si>
    <t>23-05-0017</t>
  </si>
  <si>
    <t>2023-06-01-10202SP357-01</t>
  </si>
  <si>
    <t>2023-05-03-10201SP1367-01</t>
  </si>
  <si>
    <t>ROEHL-LEE ROY A. MARMITA</t>
  </si>
  <si>
    <t>CIMENI, JUDITH</t>
  </si>
  <si>
    <t>PCAO / Admin and Finance Officer</t>
  </si>
  <si>
    <t>Admin Assistant II</t>
  </si>
  <si>
    <t>23-05-0018</t>
  </si>
  <si>
    <t>23-05-004</t>
  </si>
  <si>
    <t>LORENLY T. FUSIO</t>
  </si>
  <si>
    <t>PARAC, REY ANTHONY</t>
  </si>
  <si>
    <t>2023-05-03-10201SP1361-01</t>
  </si>
  <si>
    <t>23-05-0019</t>
  </si>
  <si>
    <t>2023-06-01-10202SP358-01</t>
  </si>
  <si>
    <t>CAROL FEDILES</t>
  </si>
  <si>
    <t>ARPO II/Provincial MIS Coordinator</t>
  </si>
  <si>
    <t>23-05-005</t>
  </si>
  <si>
    <t>DECASA, JERAMEEL</t>
  </si>
  <si>
    <t>2023-05-03-102015SP1362-01</t>
  </si>
  <si>
    <t>ARPT/CLRP ENCODER</t>
  </si>
  <si>
    <t>23-05-0020</t>
  </si>
  <si>
    <t>LTSP / SPLIT</t>
  </si>
  <si>
    <t>2023-06-01-10202SP359-01</t>
  </si>
  <si>
    <t>ALAN B. TUDTUD</t>
  </si>
  <si>
    <t>MARPO-CARMEN CLUSTER</t>
  </si>
  <si>
    <t>2023-07-015</t>
  </si>
  <si>
    <t>2023-05-03-102015SP1363-01</t>
  </si>
  <si>
    <t>23-05-0021</t>
  </si>
  <si>
    <t>JEANETTE CENTILLAS</t>
  </si>
  <si>
    <t>2023-06-01-10202SP360-01</t>
  </si>
  <si>
    <t>2023-05-03-102015SP1364-01</t>
  </si>
  <si>
    <t>FELIX DELOS SANTOS</t>
  </si>
  <si>
    <t>MARPO-BALAMBAN CLUSTER</t>
  </si>
  <si>
    <t>23-05-0011</t>
  </si>
  <si>
    <t>KYLE MARIE N. GERMANES</t>
  </si>
  <si>
    <t>2023-05-03-102015SP1365-01</t>
  </si>
  <si>
    <t>MARICHU L. TY</t>
  </si>
  <si>
    <t>PLANNING OFFICER II / M &amp; E COORDINATOR</t>
  </si>
  <si>
    <t>23-05-0023</t>
  </si>
  <si>
    <t>AXEL ERWIN AGNER</t>
  </si>
  <si>
    <t>2023-06-01-10202SP361-01</t>
  </si>
  <si>
    <t>GERSYVAL O. VESTAL</t>
  </si>
  <si>
    <t>MARPO-BOGO CLUSTER</t>
  </si>
  <si>
    <t>2023-07-017</t>
  </si>
  <si>
    <t>2023-05-03-102015SP1366-01</t>
  </si>
  <si>
    <t>ATTY V / CHIEF, LEGAL DIV / LEGAL COORDINATOR</t>
  </si>
  <si>
    <t>23-05-0024</t>
  </si>
  <si>
    <t>KETTRICK EDLES</t>
  </si>
  <si>
    <t>2023-06-01-10202SP362-01</t>
  </si>
  <si>
    <t>WILLAM D. DULCERO</t>
  </si>
  <si>
    <t>MARPO-TOLEDO CLUSTER</t>
  </si>
  <si>
    <t>2023-05-03-10201SP-161-01</t>
  </si>
  <si>
    <t>2023-07-018</t>
  </si>
  <si>
    <t>MA. JUN A. CINCO</t>
  </si>
  <si>
    <t>23-10-0031</t>
  </si>
  <si>
    <t>DARMO BATO</t>
  </si>
  <si>
    <t>2023-06-01-10201SP97-01</t>
  </si>
  <si>
    <t>SNC 1123</t>
  </si>
  <si>
    <t>2023-05-03-10201SP-169-01</t>
  </si>
  <si>
    <t>GRACE B. FUA, CESO V</t>
  </si>
  <si>
    <t>LIGAYA R. BATINGAL</t>
  </si>
  <si>
    <t>PARO II / PROVINCIAL PROJECT MANAGER</t>
  </si>
  <si>
    <t>23-10-0030</t>
  </si>
  <si>
    <t>DARMO TABANGO</t>
  </si>
  <si>
    <t>HVSPLIT-102-24-05-093</t>
  </si>
  <si>
    <t>DARPO LEYTE</t>
  </si>
  <si>
    <t>Southern Leyte</t>
  </si>
  <si>
    <t>2022-05-02-10202SP61-01</t>
  </si>
  <si>
    <t>ENG'R. FRANCO C. CINCO</t>
  </si>
  <si>
    <t>MARPO/OIC-CARPO LTID/Parcelization Officer/ FVT Coordinator</t>
  </si>
  <si>
    <t>2024-05-03-10202SPO41-01</t>
  </si>
  <si>
    <t>2023-05-14-10201SP-34-01</t>
  </si>
  <si>
    <t>2023-0030</t>
  </si>
  <si>
    <t>2023-0031</t>
  </si>
  <si>
    <t>2023-05-14-10202SP-14-01</t>
  </si>
  <si>
    <t>2023-0032</t>
  </si>
  <si>
    <t>Observation</t>
  </si>
  <si>
    <t>2023-05-03-10201SP-1386-01</t>
  </si>
  <si>
    <t>RODERICK B. RANCES</t>
  </si>
  <si>
    <t>2023-0024</t>
  </si>
  <si>
    <t>DARPO-PARPO II</t>
  </si>
  <si>
    <t>2023-05-03-10201SP-1389-01</t>
  </si>
  <si>
    <t>MA. FE P. CASTRO</t>
  </si>
  <si>
    <t>OIC-PARPO I/ESS Coordinator</t>
  </si>
  <si>
    <t>1. Plate number issue for motorcycles due to local traffic enforcers and LTO personnels checkpoint and also for motor cycles registration</t>
  </si>
  <si>
    <t>DARPO-PBDD</t>
  </si>
  <si>
    <t>2023-05-03-10201SP-1402-01</t>
  </si>
  <si>
    <t>2023-0022</t>
  </si>
  <si>
    <t>2023-05-03-10201SP-1396-01</t>
  </si>
  <si>
    <t>2023-0016</t>
  </si>
  <si>
    <t>2. ICT Equipment bundles such as HP Desktop and Lenovo desktop some printers and ups are not serviceable</t>
  </si>
  <si>
    <t>2023-05-03-10201SP-1387-01</t>
  </si>
  <si>
    <t>JONATHAN C. ESPEDILLA</t>
  </si>
  <si>
    <t>SARPO/Survey Coordinator</t>
  </si>
  <si>
    <t>2023-05-03-10201SP-1397-01</t>
  </si>
  <si>
    <t>ROSA JANE B. ALARAS</t>
  </si>
  <si>
    <t>ARPO II/ESS Staff</t>
  </si>
  <si>
    <t>2023-0017</t>
  </si>
  <si>
    <t>2023-05-03-10201SP-1388-01</t>
  </si>
  <si>
    <t>CECILE BENITA M. CALATRAVA</t>
  </si>
  <si>
    <t>DARMO MAASIN</t>
  </si>
  <si>
    <t>2023-05-03-10201SP-1390-01</t>
  </si>
  <si>
    <t>VICTORIA C. LIGTAS</t>
  </si>
  <si>
    <t>DARMO SOGOD</t>
  </si>
  <si>
    <t>2023-05-03-10201SP-1391-01</t>
  </si>
  <si>
    <t>VISSA ARNELA Y. VILLA</t>
  </si>
  <si>
    <t>DARPO MAASIN</t>
  </si>
  <si>
    <t>2023-05-03-10201SP-1392-01</t>
  </si>
  <si>
    <t>LUCITA G. GALLETO</t>
  </si>
  <si>
    <t>DARMO MALITBOG</t>
  </si>
  <si>
    <t>2023-05-03-10201SP-1395-01</t>
  </si>
  <si>
    <t>NAPOLEON B. ALBA</t>
  </si>
  <si>
    <t>2023-0015</t>
  </si>
  <si>
    <t>DARMO SAN FRANCISCO</t>
  </si>
  <si>
    <t>2023-05-03-10201SP-1393-01</t>
  </si>
  <si>
    <t>SAMMY V. LAGUNAY</t>
  </si>
  <si>
    <t>SARPT/OIC-MARPO</t>
  </si>
  <si>
    <t>DARMO SAINT BERNARD</t>
  </si>
  <si>
    <t>2023-05-03-10201SP-1394-01</t>
  </si>
  <si>
    <t>LILIBETH L. OLITA</t>
  </si>
  <si>
    <t>DARMO HINUNANGAN</t>
  </si>
  <si>
    <t>2023-05-03-10201SP-1398-01</t>
  </si>
  <si>
    <t>FAMILA R. ABADINGO</t>
  </si>
  <si>
    <t>AO IV/OIC-PCAO/Admin and Finance Officer</t>
  </si>
  <si>
    <t>2023-0018</t>
  </si>
  <si>
    <t>2023-05-03-10201SP-1399-01</t>
  </si>
  <si>
    <t>2023-0019</t>
  </si>
  <si>
    <t>2023-05-03-10201SP-1400-01</t>
  </si>
  <si>
    <t>JOSIELYN M. RAGAS</t>
  </si>
  <si>
    <t>2023-0020</t>
  </si>
  <si>
    <t>2023-05-03-10201SP-1401-01</t>
  </si>
  <si>
    <t>CHERRIE U. EDULAN</t>
  </si>
  <si>
    <t>2023-0021</t>
  </si>
  <si>
    <t>2023-05-03-10201SP-1403-01</t>
  </si>
  <si>
    <t>ATTY. HAROLD C. ABEAR</t>
  </si>
  <si>
    <t>ATTORNEY V/Legal Coordinator</t>
  </si>
  <si>
    <t>2023-0023</t>
  </si>
  <si>
    <t>DARPO-LEGAL DIV.</t>
  </si>
  <si>
    <t>2023-05-02-10203SP-256-01</t>
  </si>
  <si>
    <t>2023-0025</t>
  </si>
  <si>
    <t>2023-05-02-10203SP-257-01</t>
  </si>
  <si>
    <t>CECILIA R. ARGUILLES</t>
  </si>
  <si>
    <t>2023-0026</t>
  </si>
  <si>
    <t>2023-05-03-10201SP-183-01</t>
  </si>
  <si>
    <t>2023-0029</t>
  </si>
  <si>
    <t>2023-05-03-10201SP-181-01</t>
  </si>
  <si>
    <t>2023-0027</t>
  </si>
  <si>
    <t>2023-05-03-10201SP-182-01</t>
  </si>
  <si>
    <t>2023-0028</t>
  </si>
  <si>
    <t>HVSPLIT-102-24-05-095</t>
  </si>
  <si>
    <t>DARPO S. LEYTE</t>
  </si>
  <si>
    <t>HV-SPLIT-102-24-05-01-315-01</t>
  </si>
  <si>
    <t>LEO NEIL M. DORADO</t>
  </si>
  <si>
    <t>HV-SPLIT-102-24-05-01-319-01</t>
  </si>
  <si>
    <t>FRECCA S. UBALDO</t>
  </si>
  <si>
    <t>HV-SPLIT-102-24-05-01-325-01</t>
  </si>
  <si>
    <t>HV-SPLIT-102-24-05-01-328-01</t>
  </si>
  <si>
    <t>AMIEL D. SABILLO</t>
  </si>
  <si>
    <t>2023-05-14-1020S-P49-01</t>
  </si>
  <si>
    <t>2023-05-03-10202SP67-01</t>
  </si>
  <si>
    <t>2023-05-03-10202SP64-01</t>
  </si>
  <si>
    <t>2023-05-03-10202SP66-01</t>
  </si>
  <si>
    <t>HV-SPLIT-102-24-05-01-176-01</t>
  </si>
  <si>
    <t>HV-SPLIT-102-24-05-01-311-01</t>
  </si>
  <si>
    <t>HV-SPLIT-102-24-05-01-312-01</t>
  </si>
  <si>
    <t>HV-SPLIT-102-24-05-01-313-01</t>
  </si>
  <si>
    <t>HV-SPLIT-102-24-05-01-314-01</t>
  </si>
  <si>
    <t>HV-SPLIT-102-24-05-01-316-01</t>
  </si>
  <si>
    <t>HV-SPLIT-102-24-05-01-317-01</t>
  </si>
  <si>
    <t>HV-SPLIT-102-24-05-01-318-01</t>
  </si>
  <si>
    <t>HV-SPLIT-102-24-05-01-320-01</t>
  </si>
  <si>
    <t>HV-SPLIT-102-24-05-01-321-01</t>
  </si>
  <si>
    <t>HV-SPLIT-102-24-05-01-322-01</t>
  </si>
  <si>
    <t>HV-SPLIT-102-24-05-01-323-01</t>
  </si>
  <si>
    <t>HV-SPLIT-102-24-05-01-324-01</t>
  </si>
  <si>
    <t>HV-SPLIT-102-24-05-01-326-01</t>
  </si>
  <si>
    <t>HV-SPLIT-102-24-05-01-327-01</t>
  </si>
  <si>
    <t>HV-SPLIT-102-24-05-01-329-01</t>
  </si>
  <si>
    <t>HV-SPLIT-102-24-05-01-330-01</t>
  </si>
  <si>
    <t>HV-SPLIT-102-24-05-01-331-01</t>
  </si>
  <si>
    <t>HV-SPLIT-102-24-05-01-332-01</t>
  </si>
  <si>
    <t>HV-SPLIT-102-24-05-01-333-01</t>
  </si>
  <si>
    <t>HV-SPLIT-102-24-05-01-334-01</t>
  </si>
  <si>
    <t>HV-SPLIT-102-24-05-01-335-01</t>
  </si>
  <si>
    <t>HV-SPLIT-102-24-05-01-336-01</t>
  </si>
  <si>
    <t>HV-SPLIT-102-24-05-01-337-01</t>
  </si>
  <si>
    <t>HV-SPLIT-102-24-05-01-068-01</t>
  </si>
  <si>
    <t>HV-SPLIT-102-24-05-01-069-01</t>
  </si>
  <si>
    <t>2023-06-01-1020ISP-101-01</t>
  </si>
  <si>
    <t>SNC 1221</t>
  </si>
  <si>
    <t>PS-M-2023-06-01-002</t>
  </si>
  <si>
    <t>2023-06-01-1020ISP-100-01</t>
  </si>
  <si>
    <t>SNC 1200</t>
  </si>
  <si>
    <t>ATTY. VIRGILIO L. ROSACAY</t>
  </si>
  <si>
    <t>Regional Agrarian Reform Adjudicator</t>
  </si>
  <si>
    <t>PS-M-2023-06-01-004</t>
  </si>
  <si>
    <t>RARAD Office</t>
  </si>
  <si>
    <t>2023-06-01-1020ISP-147-01</t>
  </si>
  <si>
    <t>SNC 1145/NFX 2072</t>
  </si>
  <si>
    <t>JOHN RAFAEL T. GADAINGAN</t>
  </si>
  <si>
    <t>PS-M-2023-06-01-003</t>
  </si>
  <si>
    <t>ARDA'S Office</t>
  </si>
  <si>
    <t>2023-06-01-1020ISP-146-01</t>
  </si>
  <si>
    <t>SNC 1137</t>
  </si>
  <si>
    <t>RENATO G. BADILLA</t>
  </si>
  <si>
    <t>ARD for Operation</t>
  </si>
  <si>
    <t>PS-M-2023-06-01-001</t>
  </si>
  <si>
    <t>ARDO's Office</t>
  </si>
  <si>
    <t>2023-06-01-1020ISP-102-01</t>
  </si>
  <si>
    <t>SNC 1062</t>
  </si>
  <si>
    <t>MA MARITES GADE</t>
  </si>
  <si>
    <t>010-2023</t>
  </si>
  <si>
    <t>GERARDO M PECAYO</t>
  </si>
  <si>
    <t>2023-06-01-10202SP486-01</t>
  </si>
  <si>
    <t>MAGDALENA A. AUTOR</t>
  </si>
  <si>
    <t>DARMO - Hernani</t>
  </si>
  <si>
    <t>2023-06-01-10202SP418-01</t>
  </si>
  <si>
    <t>GRACE HOPE LAZARRA</t>
  </si>
  <si>
    <t>DARMO - Oras</t>
  </si>
  <si>
    <t>2023-06-01-10202SP441-01</t>
  </si>
  <si>
    <t>2023-06-01-10202SP409-01</t>
  </si>
  <si>
    <t>2023-06-01-10202SP450-01</t>
  </si>
  <si>
    <t>LAWRENCE STEVE L. TONOG</t>
  </si>
  <si>
    <t>2023-06-01-10202SP484-01</t>
  </si>
  <si>
    <t>2023-06-01-10202SP467-01</t>
  </si>
  <si>
    <t>LEMUELL SETH L. TONOG</t>
  </si>
  <si>
    <t>2023-06-01-10202SP414-01</t>
  </si>
  <si>
    <t>GRACE R. RANOLA</t>
  </si>
  <si>
    <t>DARMO - Llorente</t>
  </si>
  <si>
    <t>2023-06-01-10202SP432-01</t>
  </si>
  <si>
    <t>MARICRIS D. ORGANISTA</t>
  </si>
  <si>
    <t>DARMO - Sulat</t>
  </si>
  <si>
    <t>2023-06-01-10202SP424-01</t>
  </si>
  <si>
    <t>DIZALYN C. ALEGRE</t>
  </si>
  <si>
    <t>DARMO - San Julian</t>
  </si>
  <si>
    <t>2023-06-01-10202SP451-01</t>
  </si>
  <si>
    <t>JIMMY B. OMLANG</t>
  </si>
  <si>
    <t>ENGINEER AIDE/GSO</t>
  </si>
  <si>
    <t>2023-06-01-10202SP425-01</t>
  </si>
  <si>
    <t>2023-06-01-10202SP482-01</t>
  </si>
  <si>
    <t>2023-06-01-10202SP411-01</t>
  </si>
  <si>
    <t>ZENAIDA C. TEGERO</t>
  </si>
  <si>
    <t>DARMO - Quinapondan</t>
  </si>
  <si>
    <t>2023-06-01-10202SP464-01</t>
  </si>
  <si>
    <t>RENAN M. CADIENTE</t>
  </si>
  <si>
    <t>2023-06-01-10202SP415-01</t>
  </si>
  <si>
    <t>SALDY A. CORADO</t>
  </si>
  <si>
    <t>CARTOGRAPHER</t>
  </si>
  <si>
    <t>2023-06-01-1020ISP-103-01</t>
  </si>
  <si>
    <t>SNC 1147</t>
  </si>
  <si>
    <t>ENGR. DANILO C. LOZADA</t>
  </si>
  <si>
    <t>2023-06-01-10202SP-412-01</t>
  </si>
  <si>
    <t>JEREMY TATOY</t>
  </si>
  <si>
    <t>JEREMY TATOY
 PAUL T. CALUBID</t>
  </si>
  <si>
    <t>2023-08-01-10202SP-419-01</t>
  </si>
  <si>
    <t>JOHN ERIC CERDA</t>
  </si>
  <si>
    <t>JOHN ERIC CERDA
 NILO P. DETABLAN</t>
  </si>
  <si>
    <t>2023-08-01-10202SP-420-01</t>
  </si>
  <si>
    <t>ALBIN C. CALAMAY</t>
  </si>
  <si>
    <t>ALBIN C. CALAMAY
 NEIL CONRAD M. LI</t>
  </si>
  <si>
    <t>2023-08-01-10202SP-445-01</t>
  </si>
  <si>
    <t>AUGUSTO D. ARANDIA</t>
  </si>
  <si>
    <t>AUGUSTO D. ARANDIA
 CHRISTOPHER S. GETALADO</t>
  </si>
  <si>
    <t>2023-08-01-10202SP-422-01</t>
  </si>
  <si>
    <t>SILVERIO P. CAGRO</t>
  </si>
  <si>
    <t>SILVERIO P. CAGRO
 GEESSA GLACE M. CARIQUITAN</t>
  </si>
  <si>
    <t>2023-08-01-10202SP-423-01</t>
  </si>
  <si>
    <t>IAN FRUTO PAUL EBRADA</t>
  </si>
  <si>
    <t>IAN FRUTO PAUL EBRADA
 ALBIN C. CALAMAY</t>
  </si>
  <si>
    <t>2023-08-01-10202SP-426-01</t>
  </si>
  <si>
    <t>LOUIE MA. U. LIM</t>
  </si>
  <si>
    <t>LOUIE MA. U. LIM
 ANDREW S. MADAYAG</t>
  </si>
  <si>
    <t>2023-08-01-10202SP-427-01</t>
  </si>
  <si>
    <t>MARIE PAS V. UY</t>
  </si>
  <si>
    <t>ARPO 1</t>
  </si>
  <si>
    <t>2023-08-01-10202SP-407-01</t>
  </si>
  <si>
    <t>BENIGNO S. LEBRINO</t>
  </si>
  <si>
    <t>BENIGNO S. LEBRINO
 ROGER M. BRENZUELA</t>
  </si>
  <si>
    <t>2023-08-01-10202SP-410-01</t>
  </si>
  <si>
    <t>ENGR I</t>
  </si>
  <si>
    <t>LEO NEIL M. DORADO
 LOLITO C. DAPULAG</t>
  </si>
  <si>
    <t>2023-08-01-10202SP-428-01</t>
  </si>
  <si>
    <t>HENRICH BENIDICK D. LOBOS</t>
  </si>
  <si>
    <t>HENRICH BENIDICK D. LOBOS
 ALBIN C. CALAMAY</t>
  </si>
  <si>
    <t>2023-08-01-10202SP-430-01</t>
  </si>
  <si>
    <t>ANDREW S. MADAYAG</t>
  </si>
  <si>
    <t>ANDREW S. MADAYAG
 JASTIN S. ROMERO</t>
  </si>
  <si>
    <t>2023-08-01-10202SP-434-01</t>
  </si>
  <si>
    <t>2023-03-015</t>
  </si>
  <si>
    <t>2023-08-01-10202SP-435-01</t>
  </si>
  <si>
    <t>ROGER BRENZUELA</t>
  </si>
  <si>
    <t>ROGER BRENZUELA
 JASTIN S. ROMERO</t>
  </si>
  <si>
    <t>2023-08-01-10202SP-439-01</t>
  </si>
  <si>
    <t>ARPT/SUPPLY</t>
  </si>
  <si>
    <t>NEIL CONRAD M. LI.
 LEO NEIL M. DORADO</t>
  </si>
  <si>
    <t>2023-08-01-10202SP-442-01</t>
  </si>
  <si>
    <t>RAFFY BALICAT</t>
  </si>
  <si>
    <t>2023-03-014</t>
  </si>
  <si>
    <t>RAFFY BALICAT
 GEESSA GLACE M. CARIQUITAN</t>
  </si>
  <si>
    <t>2023-06-01-1020ISP-105-01</t>
  </si>
  <si>
    <t>SNC 1214</t>
  </si>
  <si>
    <t>NEIL CONRAD M. LI
 CHRISTOPHER S. GETALADO</t>
  </si>
  <si>
    <t>2023-06-01-10202SP377-01</t>
  </si>
  <si>
    <t>MARK LOUIE BACIERRA</t>
  </si>
  <si>
    <t>ARPT / Acting Supply Officer</t>
  </si>
  <si>
    <t>PTR# '001-2023</t>
  </si>
  <si>
    <t>2023-06-01-10202SP433-01</t>
  </si>
  <si>
    <t>2023-06-01-10202SP437-01</t>
  </si>
  <si>
    <t>2023-06-01-10202SP448-01</t>
  </si>
  <si>
    <t>2023-06-01-10202SP452-01</t>
  </si>
  <si>
    <t>2023-06-01-10202SP455-01</t>
  </si>
  <si>
    <t>2023-06-01-10202SP458-01</t>
  </si>
  <si>
    <t>2023-06-01-10202SP463-01</t>
  </si>
  <si>
    <t>2023-06-01-10202SP470-01</t>
  </si>
  <si>
    <t>2023-06-01-10202SP471-01</t>
  </si>
  <si>
    <t>2023-06-01-10202SP389-01</t>
  </si>
  <si>
    <t>DICK TORRIJAS</t>
  </si>
  <si>
    <t>PTR# SP2023-02-9002</t>
  </si>
  <si>
    <t>DARMO CALBAYOG</t>
  </si>
  <si>
    <t>2023-06-01-10202SP405-01</t>
  </si>
  <si>
    <t>ARIEL ALEXIS LEDDA</t>
  </si>
  <si>
    <t>PTR# SP2023-02-9003</t>
  </si>
  <si>
    <t>DARMO MARBUT</t>
  </si>
  <si>
    <t>2023-06-01-10202SP408-01</t>
  </si>
  <si>
    <t>PTR# SP2023-02-9004</t>
  </si>
  <si>
    <t>2023-06-01-10202SP413-01</t>
  </si>
  <si>
    <t>SILVINO PEÑERO</t>
  </si>
  <si>
    <t>Survey Man</t>
  </si>
  <si>
    <t>PTR# SP2023-02-9005</t>
  </si>
  <si>
    <t>DARMO STA. RITA</t>
  </si>
  <si>
    <t>2023-06-01-10202SP416-01</t>
  </si>
  <si>
    <t>JOHN ROMULO</t>
  </si>
  <si>
    <t>DARMO VILLAREAL</t>
  </si>
  <si>
    <t>2023-06-01-10202SP429-01</t>
  </si>
  <si>
    <t>KEITH GABRIEL AMANO</t>
  </si>
  <si>
    <t>PTR# SP2023-02-9007</t>
  </si>
  <si>
    <t>DARMO BASEY</t>
  </si>
  <si>
    <t>2023-06-01-10202SP438-01</t>
  </si>
  <si>
    <t>MELBA DISTRAJO</t>
  </si>
  <si>
    <t>PTR# SP2023-02-9014</t>
  </si>
  <si>
    <t>DARMO PINABACDAO</t>
  </si>
  <si>
    <t>2023-06-01-10202SP443-01</t>
  </si>
  <si>
    <t>MARK KEVIN CHUA</t>
  </si>
  <si>
    <t>PTR# SP2023-02-9016</t>
  </si>
  <si>
    <t>DARMO GANDARA</t>
  </si>
  <si>
    <t>2023-06-01-10202SP444-01</t>
  </si>
  <si>
    <t>RAYNALDO LABINE</t>
  </si>
  <si>
    <t>PTR# SP2023-02-9012</t>
  </si>
  <si>
    <t>DARMO MOTIONG</t>
  </si>
  <si>
    <t>2023-06-01-10202SP453-01</t>
  </si>
  <si>
    <t>VIRGIL GERDILA</t>
  </si>
  <si>
    <t>PTR# SP2023-02-9006</t>
  </si>
  <si>
    <t>DARMO PAGSANGHAN</t>
  </si>
  <si>
    <t>2023-06-01-10202SP456-01</t>
  </si>
  <si>
    <t>RESTITUTO LOZARES</t>
  </si>
  <si>
    <t>PTR# SP2023-02-9017</t>
  </si>
  <si>
    <t>2023-06-01-10202SP457-01</t>
  </si>
  <si>
    <t>CHARMAINE NACIONAL</t>
  </si>
  <si>
    <t>PTR# SP2023-02-9013</t>
  </si>
  <si>
    <t>DARMO SAN SEBASTIAN</t>
  </si>
  <si>
    <t>2023-06-01-10202SP462-01</t>
  </si>
  <si>
    <t>JAYBOY ROLLO</t>
  </si>
  <si>
    <t>PTR# SP2023-02-9022</t>
  </si>
  <si>
    <t>2023-06-01-10202SP465-01</t>
  </si>
  <si>
    <t>GABRIEL MARK OCENAR</t>
  </si>
  <si>
    <t>PTR# SP2023-09-9029</t>
  </si>
  <si>
    <t>DARMO CALPINSET</t>
  </si>
  <si>
    <t>2023-06-01-10202SP468-01</t>
  </si>
  <si>
    <t>ALEXANDER ABIT</t>
  </si>
  <si>
    <t>ADMIN AIDE IV / DRIVER</t>
  </si>
  <si>
    <t>PTR# SP2023-02-9008</t>
  </si>
  <si>
    <t>2023-06-01-10202SP469-01</t>
  </si>
  <si>
    <t>JONAS BRACAMONTE</t>
  </si>
  <si>
    <t>PTR# SP2023-02-9026</t>
  </si>
  <si>
    <t>DARMO STA. MARGARITA</t>
  </si>
  <si>
    <t>2023-06-01-10202SP477-01</t>
  </si>
  <si>
    <t>BALTAZAR DACLES</t>
  </si>
  <si>
    <t>PTR# SP2023-02-9009</t>
  </si>
  <si>
    <t>DARMO ZUMARRAGA</t>
  </si>
  <si>
    <t>2023-06-01-10202SP-461-01</t>
  </si>
  <si>
    <t>2023-06-01-10202SP460-01</t>
  </si>
  <si>
    <t>KENWOOD MENDA</t>
  </si>
  <si>
    <t>PTR# SP2023-02-9011</t>
  </si>
  <si>
    <t>DARMO PARANAS</t>
  </si>
  <si>
    <t>2023-06-01-1020ISP-106-01</t>
  </si>
  <si>
    <t>SNC 1225</t>
  </si>
  <si>
    <t>ALEXANDER P ABIT</t>
  </si>
  <si>
    <t>DRIVER</t>
  </si>
  <si>
    <t>005-2023</t>
  </si>
  <si>
    <t>2023-06-01-10202SP364-01</t>
  </si>
  <si>
    <t>ELIEZER A. CABELIN</t>
  </si>
  <si>
    <t>ARPT (BURAUEN)</t>
  </si>
  <si>
    <t>DARMO BURAUEN</t>
  </si>
  <si>
    <t>2023-06-01-10202SP365-01</t>
  </si>
  <si>
    <t>MARVIN C. SALVATIERRA</t>
  </si>
  <si>
    <t>ARPT / DF (TOLOSA)</t>
  </si>
  <si>
    <t>DARMO TOLOSA</t>
  </si>
  <si>
    <t>2023-06-01-10202SP366-01</t>
  </si>
  <si>
    <t>JEFFREY R. MAJAIT</t>
  </si>
  <si>
    <t>ARPT / DF (HILONGOS)</t>
  </si>
  <si>
    <t>DARMO HILONGOS</t>
  </si>
  <si>
    <t>2023-06-01-10202SP367-01</t>
  </si>
  <si>
    <t>DENNIS H.TORRES</t>
  </si>
  <si>
    <t>SARPT (PALO)</t>
  </si>
  <si>
    <t>DARMO PALO</t>
  </si>
  <si>
    <t>2023-06-01-10202SP368-01</t>
  </si>
  <si>
    <t>AT DARPO</t>
  </si>
  <si>
    <t>ARPT (JARO)</t>
  </si>
  <si>
    <t>DARMO JARO</t>
  </si>
  <si>
    <t>2023-06-01-10202SP369-01</t>
  </si>
  <si>
    <t>GIRLIE C. SERRANO</t>
  </si>
  <si>
    <t>SARPT (BARUGO)</t>
  </si>
  <si>
    <t>DARMO BARUGO</t>
  </si>
  <si>
    <t>2023-06-01-10202SP370-01</t>
  </si>
  <si>
    <t>EDMARK S. OBISPO</t>
  </si>
  <si>
    <t>ARPO I / DF (STA FE)</t>
  </si>
  <si>
    <t>DARMO STA. FE</t>
  </si>
  <si>
    <t>2023-06-01-10202SP371-01</t>
  </si>
  <si>
    <t>ARPT / DF (TANAUAN)</t>
  </si>
  <si>
    <t>DARMO TANAUAN</t>
  </si>
  <si>
    <t>2023-06-01-10202SP372-01</t>
  </si>
  <si>
    <t>MA. EDELYN G. GALLER</t>
  </si>
  <si>
    <t>ARPT (CALUBIAN 2)</t>
  </si>
  <si>
    <t>DARMO CALUBIAN 2</t>
  </si>
  <si>
    <t>2023-06-01-10202SP373-01</t>
  </si>
  <si>
    <t>APOLONIO B. MENDOZA, JR.</t>
  </si>
  <si>
    <t>ARPT (TACLOBAN)</t>
  </si>
  <si>
    <t>DARMO TACLOBAN</t>
  </si>
  <si>
    <t>2023-06-01-10202SP374-01</t>
  </si>
  <si>
    <t>AA IV (DRIVER)</t>
  </si>
  <si>
    <t>2023-06-01-10202SP375-01</t>
  </si>
  <si>
    <t>MELCHOR ABBE O. NATULLA</t>
  </si>
  <si>
    <t>ARPT / DF (VILLABA)</t>
  </si>
  <si>
    <t>DARMO VILLABA</t>
  </si>
  <si>
    <t>2023-06-01-10202SP376-01</t>
  </si>
  <si>
    <t>NYKE PLIMACO</t>
  </si>
  <si>
    <t>ARPT / DF (MATAG-OB)</t>
  </si>
  <si>
    <t>DARMO MATAG-OB</t>
  </si>
  <si>
    <t>2023-06-01-10202SP378-01</t>
  </si>
  <si>
    <t>HENRY C. TERAZA</t>
  </si>
  <si>
    <t>2023-06-01-10202SP379-01</t>
  </si>
  <si>
    <t>SARPT (KANANGA 2)</t>
  </si>
  <si>
    <t>DARMO KANANGA 2</t>
  </si>
  <si>
    <t>need repair and maintenance</t>
  </si>
  <si>
    <t>2023-06-01-10202SP380-01</t>
  </si>
  <si>
    <t>MARK KEVIN C. CAREL</t>
  </si>
  <si>
    <t>ARPT (ISABEL)</t>
  </si>
  <si>
    <t>DARMO ISABEL</t>
  </si>
  <si>
    <t>2023-06-01-10202SP381-01</t>
  </si>
  <si>
    <t>HAROLD R. ANOS</t>
  </si>
  <si>
    <t>SARPT (BAYBAY)</t>
  </si>
  <si>
    <t>DARMO BAYBAY</t>
  </si>
  <si>
    <t>2023-06-01-10202SP382-01</t>
  </si>
  <si>
    <t>LK L. SOLON</t>
  </si>
  <si>
    <t>SARPT (ALBUERA)</t>
  </si>
  <si>
    <t>DARMO ALBUERA</t>
  </si>
  <si>
    <t>2023-06-01-10202SP383-01</t>
  </si>
  <si>
    <t>RITCHEL B. MORILLA</t>
  </si>
  <si>
    <t>SARPT (DULAG)</t>
  </si>
  <si>
    <t>DARMO DULAG</t>
  </si>
  <si>
    <t>2023-06-01-10202SP384-01</t>
  </si>
  <si>
    <t>JAMES STEPHEN C. TABARANZA</t>
  </si>
  <si>
    <t>ARPT (JAVIER)</t>
  </si>
  <si>
    <t>DARMO JAVIER</t>
  </si>
  <si>
    <t>2023-06-01-10202SP385-01</t>
  </si>
  <si>
    <t>JESSIE S. BONITE</t>
  </si>
  <si>
    <t>ARPO I (MAHAPLAG)</t>
  </si>
  <si>
    <t>DARMO MAHAPLAG</t>
  </si>
  <si>
    <t>2023-06-01-10202SP386-01</t>
  </si>
  <si>
    <t>ADROWELL B. GABUCAN</t>
  </si>
  <si>
    <t>SARPT (ALANGALANG)</t>
  </si>
  <si>
    <t>DARMO ALANGALANG</t>
  </si>
  <si>
    <t>2023-06-01-10202SP387-01</t>
  </si>
  <si>
    <t>EDWIN F. PINGOL</t>
  </si>
  <si>
    <t>ARPT (LEYTE 3)</t>
  </si>
  <si>
    <t>DARMO LEYTE 3</t>
  </si>
  <si>
    <t>2023-06-01-10202SP388-01</t>
  </si>
  <si>
    <t>ARNEL B. JAVINES</t>
  </si>
  <si>
    <t>ENGR II - GE (SURVEY SECTION)</t>
  </si>
  <si>
    <t>2023-06-01-10202SP390-01</t>
  </si>
  <si>
    <t>ALETH REY C. ORTEGA</t>
  </si>
  <si>
    <t>ARPT / DF (TABON-TABON)</t>
  </si>
  <si>
    <t>DARMO TABON-TABON</t>
  </si>
  <si>
    <t>2023-06-01-10202SP391-01</t>
  </si>
  <si>
    <t>ADRIAN M. AÑANO</t>
  </si>
  <si>
    <t>SARPT (SAN MIGUEL)</t>
  </si>
  <si>
    <t>DARMO SAN MIGUEL</t>
  </si>
  <si>
    <t>2023-06-01-10202SP392-01</t>
  </si>
  <si>
    <t>EDUARDO B. DIAZ, JR.</t>
  </si>
  <si>
    <t>SARPT (MACARTHUR)</t>
  </si>
  <si>
    <t>DARMO MACARTHUR</t>
  </si>
  <si>
    <t>2023-06-01-10202SP393-01</t>
  </si>
  <si>
    <t>MARK LESTER VELOSO</t>
  </si>
  <si>
    <t>ASST STAT (PROCUREMENT)</t>
  </si>
  <si>
    <t>2023-06-01-10202SP394-01</t>
  </si>
  <si>
    <t>JESLIE ROSE A. TAN</t>
  </si>
  <si>
    <t>SARPT (CARIGARA)</t>
  </si>
  <si>
    <t>DARMO CARIGARA</t>
  </si>
  <si>
    <t>2023-06-01-10202SP395-01</t>
  </si>
  <si>
    <t>ARPO II (REGION)</t>
  </si>
  <si>
    <t>2023-06-01-10202SP396-01</t>
  </si>
  <si>
    <t>JEFFREY B. GARCIANO</t>
  </si>
  <si>
    <t>ARPO I / DF (MATALOM)</t>
  </si>
  <si>
    <t>DARMO MATALOM</t>
  </si>
  <si>
    <t>2023-06-01-10202SP397-01</t>
  </si>
  <si>
    <t>ARPT (ORMOC 1)</t>
  </si>
  <si>
    <t>DARMO ORMOC 1</t>
  </si>
  <si>
    <t>2023-06-01-10202SP398-01</t>
  </si>
  <si>
    <t>FRANK DARWIN DEMILLO</t>
  </si>
  <si>
    <t>ARPT (INOPACAN)</t>
  </si>
  <si>
    <t>DARMO INOPACAN</t>
  </si>
  <si>
    <t>2023-06-01-10202SP399-01</t>
  </si>
  <si>
    <t>EMELY DOGADOGA</t>
  </si>
  <si>
    <t>ARPT (ABUYOG)</t>
  </si>
  <si>
    <t>DARMO ABUYOG</t>
  </si>
  <si>
    <t>2023-06-01-10202SP400-01</t>
  </si>
  <si>
    <t>JUSTINE O. PASCO</t>
  </si>
  <si>
    <t>ARPT (BATO)</t>
  </si>
  <si>
    <t>2023-06-01-10202SP401-01</t>
  </si>
  <si>
    <t>SAMUEL M. BALDOS</t>
  </si>
  <si>
    <t>ARPT (TABANGO)</t>
  </si>
  <si>
    <t>2023-06-01-10202SP402-01</t>
  </si>
  <si>
    <t>ARNEL F. BANTILES</t>
  </si>
  <si>
    <t>ARPT / DF (CALUBIAN 1)</t>
  </si>
  <si>
    <t>DARMO CALUBIAN 1</t>
  </si>
  <si>
    <t>2023-06-01-10202SP403-01</t>
  </si>
  <si>
    <t>CAPOOCAN FOR MR</t>
  </si>
  <si>
    <t>ARPT (TUNGA)</t>
  </si>
  <si>
    <t>DARMO TUNGA</t>
  </si>
  <si>
    <t>2023-06-01-10202SP404-01</t>
  </si>
  <si>
    <t>ARPT / DF (PASTRANA)</t>
  </si>
  <si>
    <t>DARMO PASTRANA</t>
  </si>
  <si>
    <t>2023-06-01-10202SP446-01</t>
  </si>
  <si>
    <t>ARPT / DF (MATALOM)</t>
  </si>
  <si>
    <t>2023-06-01-10202SP447-01</t>
  </si>
  <si>
    <t>LORNA C. PEDROSA</t>
  </si>
  <si>
    <t>ARPO I (BABATNGON)</t>
  </si>
  <si>
    <t>DARMO BABATNGON</t>
  </si>
  <si>
    <t>2023-06-01-10202SP449-01</t>
  </si>
  <si>
    <t>PAUL ANTHONY A. TORRES</t>
  </si>
  <si>
    <t>(NO MR YET)</t>
  </si>
  <si>
    <t>2023-06-01-10202SP454-01</t>
  </si>
  <si>
    <t>JULIE ANN B. LOTERTE</t>
  </si>
  <si>
    <t>2023-06-01-10202SP459-01</t>
  </si>
  <si>
    <t>CHRISTINE MARCELLANA</t>
  </si>
  <si>
    <t>2023-06-01-10202SP466-01</t>
  </si>
  <si>
    <t>LEIGHTON L. ALFARO</t>
  </si>
  <si>
    <t>2023-06-01-10202SP472-01</t>
  </si>
  <si>
    <t>RAL-JIE S. MANAGBANAG</t>
  </si>
  <si>
    <t>2023-06-01-10202SP473-01</t>
  </si>
  <si>
    <t>2023-06-01-10202SP474-01</t>
  </si>
  <si>
    <t>JESSA ROSE C. MACEDA</t>
  </si>
  <si>
    <t>2023-06-01-10202SP475-01</t>
  </si>
  <si>
    <t>ARLAN CASTILLO</t>
  </si>
  <si>
    <t>2023-06-01-10202SP476-01</t>
  </si>
  <si>
    <t>LIANNA MAE E. AGUJA</t>
  </si>
  <si>
    <t>REGION IX</t>
  </si>
  <si>
    <t>2023-06-01-10202SP478-01</t>
  </si>
  <si>
    <t>ERWIN C. SERDONCILLO</t>
  </si>
  <si>
    <t>2023-06-01-10202SP479-01</t>
  </si>
  <si>
    <t>SHERYL A. NATULLA</t>
  </si>
  <si>
    <t>2023-05-03-10201SP1422-01</t>
  </si>
  <si>
    <t>VNA99P34,GM03PGXB,KNUJ20069</t>
  </si>
  <si>
    <t>ATTY. RAMON E. MADROÑAL, JR.</t>
  </si>
  <si>
    <t>2023-007</t>
  </si>
  <si>
    <t>COLEEN JIL B. LARUPAY (ADMIN VI)</t>
  </si>
  <si>
    <t>RD's OFFICE</t>
  </si>
  <si>
    <t>2023-06-01-10202SP480-01</t>
  </si>
  <si>
    <t>KATRINA M. MORALES</t>
  </si>
  <si>
    <t>2023-06-01-10202SP481-01</t>
  </si>
  <si>
    <t>MELQUISEDEC V. ABARRE</t>
  </si>
  <si>
    <t>2023-05-03-10201SP1423-01</t>
  </si>
  <si>
    <t>VNA99P37,GM03RZXV,KNUJ19860</t>
  </si>
  <si>
    <t>ENGR. AGNES Y. MAATA, CESO IV</t>
  </si>
  <si>
    <t>2023-06-01-10202SP483-01</t>
  </si>
  <si>
    <t>ASSISTANT REGIONAL DIRECTOR FOR OPERATIONS</t>
  </si>
  <si>
    <t>ERWIN O. ODON</t>
  </si>
  <si>
    <t>2023-008</t>
  </si>
  <si>
    <t>ARDO's OFFICE</t>
  </si>
  <si>
    <t>2023-06-01-10202SP485-01</t>
  </si>
  <si>
    <t>BOMEBENSON C. LAGARIZA</t>
  </si>
  <si>
    <t>2023-05-03-10201SP1424-01</t>
  </si>
  <si>
    <t>VNA99P3C,GM03S3PN,KNUJ19915</t>
  </si>
  <si>
    <t>MA. SOCORRO C. REAMBONANZA</t>
  </si>
  <si>
    <t>RCAO</t>
  </si>
  <si>
    <t>2023-009</t>
  </si>
  <si>
    <t>ANGELICA ISABELLE M. AGUSTIN (ADMIN SUPPORT STAFF)</t>
  </si>
  <si>
    <t>RCAO's OFFICE</t>
  </si>
  <si>
    <t>ups defective</t>
  </si>
  <si>
    <t>2023-06-01-1020ISP-104-01</t>
  </si>
  <si>
    <t>SNC 1220</t>
  </si>
  <si>
    <t>2023-05-03-10201SP1425-01</t>
  </si>
  <si>
    <t>VNA99P39,GM03S3PR,KNUJ19908</t>
  </si>
  <si>
    <t>AMINA M. BIDIN</t>
  </si>
  <si>
    <t>PLANNING OFFICER III</t>
  </si>
  <si>
    <t>2023-06-01-10202SP-431-01</t>
  </si>
  <si>
    <t>2023-010</t>
  </si>
  <si>
    <t>LEONARD PARCON (M&amp;E SUPPORT STAFF)</t>
  </si>
  <si>
    <t>CHOD EVERETT P. GONZALES</t>
  </si>
  <si>
    <t>ARPO I/MIS Coordinator</t>
  </si>
  <si>
    <t>2023-06-01-10202SP-432-01</t>
  </si>
  <si>
    <t>2023-05-03-10201SP1426-01</t>
  </si>
  <si>
    <t>DEIN NILE T. SEGOVIA</t>
  </si>
  <si>
    <t>VNA99P3B,GM03S3PS,KNUJ19911</t>
  </si>
  <si>
    <t>MELVIN A. FABIAN, JR.</t>
  </si>
  <si>
    <t>REGIONAL ACCOUNTANT</t>
  </si>
  <si>
    <t>2023-011</t>
  </si>
  <si>
    <t>ACCOUNTING OFFICE</t>
  </si>
  <si>
    <t>2023-06-01-10202SP-433-01</t>
  </si>
  <si>
    <t>TEDDY C. LUCERO</t>
  </si>
  <si>
    <t>2023-05-03-10201SP1427-01</t>
  </si>
  <si>
    <t>VNA99P38,GM03S3PZ,KNUJ19923</t>
  </si>
  <si>
    <t>ENGR. CARLOS L. ALCAZAR</t>
  </si>
  <si>
    <t>2023-012</t>
  </si>
  <si>
    <t>CARLOS CAMINS (CARTHOGRAPHER II)</t>
  </si>
  <si>
    <t>2023-06-01-10201SP-107-01</t>
  </si>
  <si>
    <t>SNC 1106</t>
  </si>
  <si>
    <t>2023-0034</t>
  </si>
  <si>
    <t>2023-05-03-10201SP1428-01</t>
  </si>
  <si>
    <t>2023-06-01-10201SP149-01</t>
  </si>
  <si>
    <t>VNA99P3F,GM03S3QS,KNUJ19828</t>
  </si>
  <si>
    <t>DAPHANE JULALEE G. CRUZ</t>
  </si>
  <si>
    <t>COA - AUDITOR</t>
  </si>
  <si>
    <t>Y3-C782/SNC 1203/NFX 1657</t>
  </si>
  <si>
    <t>2023-013</t>
  </si>
  <si>
    <t>ATTY. BRIAN LASSITER</t>
  </si>
  <si>
    <t>2023-05-03-10201SP1429-01</t>
  </si>
  <si>
    <t>VNA9856P,GM0415RB,KNUJ19909</t>
  </si>
  <si>
    <t>MELANIE C. BOKINGKITO</t>
  </si>
  <si>
    <t>ADMIN OFFICE V</t>
  </si>
  <si>
    <t>2023-014</t>
  </si>
  <si>
    <t>JAEMIECO R. ROSCO (PROCUREMENT SUPPPORT STAFF)</t>
  </si>
  <si>
    <t>PERSONNEL OFFICE</t>
  </si>
  <si>
    <t>2023-05-03-10201SP1430-01</t>
  </si>
  <si>
    <t>VNA99P3H,GM0415RF,KNUJ19668</t>
  </si>
  <si>
    <t>REGIONAL CHIEF ADMIN OFFICER</t>
  </si>
  <si>
    <t>2023-015</t>
  </si>
  <si>
    <t>2023-06-01-10201SP29-01</t>
  </si>
  <si>
    <t>2023-05-03-10201SP1431-01</t>
  </si>
  <si>
    <t>Y2-Z516/SNC 1131/NFX 1812</t>
  </si>
  <si>
    <t>VNA99P3AK,GM0415RH,KNUJ20624</t>
  </si>
  <si>
    <t>2023-016</t>
  </si>
  <si>
    <t>RYAN A. TAMBIS (FINANCE SUPPORT STAFF)</t>
  </si>
  <si>
    <t>2023-05-03-10201SP1432-01</t>
  </si>
  <si>
    <t>VNA99P3AK,GM0415RH,KNUJ20025</t>
  </si>
  <si>
    <t>ENGR. FLORINDA S. DEPAMAYLO</t>
  </si>
  <si>
    <t>CARPO - RPBD</t>
  </si>
  <si>
    <t>2023-017</t>
  </si>
  <si>
    <t>RPBDD</t>
  </si>
  <si>
    <t>2023-05-03-10201SP1433-01</t>
  </si>
  <si>
    <t>VNA99PAZ,GM03S3PZ,KNUJ19923</t>
  </si>
  <si>
    <t>FELICIDAD F. CADUNGOG</t>
  </si>
  <si>
    <t>CARPO - LTI</t>
  </si>
  <si>
    <t>2023-018</t>
  </si>
  <si>
    <t>RUSHDIE M. SALIAN (ADMIN AIDE IV)</t>
  </si>
  <si>
    <t>cpu for repair
 printer defective</t>
  </si>
  <si>
    <t>2023-05-03-10201SP1434-01</t>
  </si>
  <si>
    <t>VNA99PB6,GM0415TA,KNUJ19962</t>
  </si>
  <si>
    <t>2023-019</t>
  </si>
  <si>
    <t>ENGR. KRISTEL JOY GRACIANO (VERIFIER)</t>
  </si>
  <si>
    <t>2023-05-03-10201SP1435-01</t>
  </si>
  <si>
    <t>VNA99PBF,GM0415TF,KNUJ19967</t>
  </si>
  <si>
    <t>ATTY. TETTYWANGSA T. HUSIN</t>
  </si>
  <si>
    <t>2023-020</t>
  </si>
  <si>
    <t>MA. IMELDA S. DRUJA (STENOGRAPHIC REPORTER II)</t>
  </si>
  <si>
    <t>2023-05-03-10201SP1436-01</t>
  </si>
  <si>
    <t>VNA99PBM,GM0415TL,KNUJ20642</t>
  </si>
  <si>
    <t>JOB AVECILLA</t>
  </si>
  <si>
    <t>COMPUTER PROGRAMMER II</t>
  </si>
  <si>
    <t>2023-021</t>
  </si>
  <si>
    <t>RAPHAEL ELLIS Z. FORTICH (MIS SUPPORT STAFF)</t>
  </si>
  <si>
    <t>printer C/O RARAD Pagadian</t>
  </si>
  <si>
    <t>2023-05-03-10201SP389-01</t>
  </si>
  <si>
    <t>CNC24811J0,4CE301DH3X,ZN2BT2M07Q</t>
  </si>
  <si>
    <t>2023-036</t>
  </si>
  <si>
    <t>IDRIS KIMHAR S. MANDO (REGIONAL DOCUMENTATOR II)</t>
  </si>
  <si>
    <t>2023-05-03-10201SP390-01</t>
  </si>
  <si>
    <t>CNC24916B4,4CE301DSS5,2CB19-80075</t>
  </si>
  <si>
    <t>2023-037</t>
  </si>
  <si>
    <t>ALRADZ ABDURAHMAN (REGIONAL DOCUMENTATOR II)</t>
  </si>
  <si>
    <t>2023-05-03-10201SP391-01</t>
  </si>
  <si>
    <t>CNC24811GX,4CE301DSHH,2LB19-64001</t>
  </si>
  <si>
    <t>2023-038</t>
  </si>
  <si>
    <t>MARLON S. FABIAN (ESS SUPPORT STAFF)</t>
  </si>
  <si>
    <t>2023-05-03-10201SP392-01</t>
  </si>
  <si>
    <t>CNC24811MM,4CE301DSMS</t>
  </si>
  <si>
    <t>2023-039</t>
  </si>
  <si>
    <t>GILBERT CADOBLA (REGIONAL DOCUMENTATOR II)</t>
  </si>
  <si>
    <t>2023-05-03-10201SP393-01</t>
  </si>
  <si>
    <t>CNC249165H,4CE301DSM8,2CB19-80075</t>
  </si>
  <si>
    <t>2023-040</t>
  </si>
  <si>
    <t>2023-05-03-10201SP394-01</t>
  </si>
  <si>
    <t>CNC249165P</t>
  </si>
  <si>
    <t>ENGR. KARLO D. YLARDE</t>
  </si>
  <si>
    <t>ENGINEER II/CARP FOCAL</t>
  </si>
  <si>
    <t>2023-043A</t>
  </si>
  <si>
    <t>DAR - DENR</t>
  </si>
  <si>
    <t>OK / PICTURE SENT BY DENR PROPERTY NO.</t>
  </si>
  <si>
    <t>2023-05-03-10201SP395-01</t>
  </si>
  <si>
    <t>CNC24811JK</t>
  </si>
  <si>
    <t>ENGINEER III/CHIEF OF CARP</t>
  </si>
  <si>
    <t>2023-043B</t>
  </si>
  <si>
    <t>2023-05-03-10202SP330-01</t>
  </si>
  <si>
    <t>2023-041</t>
  </si>
  <si>
    <t>JOEMAR B. LACAYA (REGIONAL ESS SPECIALIST)</t>
  </si>
  <si>
    <t>2023-05-03-10202SP331-01</t>
  </si>
  <si>
    <t>2023-042</t>
  </si>
  <si>
    <t>ENGR. RONALD Y. GADAINGAN (PROJECT ENGINEER)</t>
  </si>
  <si>
    <t>2023-05-03-10202SP332-01</t>
  </si>
  <si>
    <t>2023-043</t>
  </si>
  <si>
    <t>ATTY. ROFEL ANNE B. GADAINGAN-ISONG (LEGAL OFFICER)</t>
  </si>
  <si>
    <t>2023-05-03-10202SP68-01</t>
  </si>
  <si>
    <t>NXE625P003308010853400</t>
  </si>
  <si>
    <t>SUZETTE T. LOTA</t>
  </si>
  <si>
    <t>2023-05-013L</t>
  </si>
  <si>
    <t>2023-05-14-10201SP39-01</t>
  </si>
  <si>
    <t>Z60SN272200102</t>
  </si>
  <si>
    <t>2023-003</t>
  </si>
  <si>
    <t>BORROWED BY SIBUGAY</t>
  </si>
  <si>
    <t>2023-05-14-10201SP40-01</t>
  </si>
  <si>
    <t>2023-004</t>
  </si>
  <si>
    <t>2023-005</t>
  </si>
  <si>
    <t>2024-05-13-10204SP08-O1</t>
  </si>
  <si>
    <t>OC81268</t>
  </si>
  <si>
    <t>ENGR. CARLOS L. ALCAZAR
 FELICIDAD F. CADUNGOG</t>
  </si>
  <si>
    <t>ENGINEER III
 CARPO</t>
  </si>
  <si>
    <t>2024-05-007PL</t>
  </si>
  <si>
    <t>HVSPLIT-102-24-05-085</t>
  </si>
  <si>
    <t>E78947H3H28432</t>
  </si>
  <si>
    <t>2024-05-011</t>
  </si>
  <si>
    <t>2024-05-03-10202SP-202-01</t>
  </si>
  <si>
    <t>NXVXKSP00341913C237600</t>
  </si>
  <si>
    <t>SUZETTE T LOTA</t>
  </si>
  <si>
    <t>SARPO/ REGIONAL IO</t>
  </si>
  <si>
    <t>DARRO IX</t>
  </si>
  <si>
    <t>HVSPLIT-102-24-05-01-239</t>
  </si>
  <si>
    <t>PC6M064401658,MSB0A704S0103939</t>
  </si>
  <si>
    <t>MARCELA M. CATIS</t>
  </si>
  <si>
    <t>24-087</t>
  </si>
  <si>
    <t>MONITOR DEFECTIVE / POWER SUPPLY ISSUE</t>
  </si>
  <si>
    <t>HVSPLIT-102-24-05-01-240</t>
  </si>
  <si>
    <t>PC6M064401396,MSB0A704S0103845</t>
  </si>
  <si>
    <t>ATTORNEY</t>
  </si>
  <si>
    <t>24-.89</t>
  </si>
  <si>
    <t>ALFAIZA A. AJUJIN</t>
  </si>
  <si>
    <t>HVSPLIT-102-24-05-01-241</t>
  </si>
  <si>
    <t>PC6M064401578,MSB0A704S0103908</t>
  </si>
  <si>
    <t>ADMIN OFFICER V</t>
  </si>
  <si>
    <t>24-088</t>
  </si>
  <si>
    <t>HVSPLIT-102-24-05-01-177</t>
  </si>
  <si>
    <t>PC6M064401850,MSB0A704S0103614</t>
  </si>
  <si>
    <t>24-066</t>
  </si>
  <si>
    <t>PRISTINE JANIELLE PADUA
 ALEXANDRIA MERCHADEZ</t>
  </si>
  <si>
    <t>MONITOR DEFECTIVE</t>
  </si>
  <si>
    <t>Zamboanga Sibugay</t>
  </si>
  <si>
    <t>2023-05-03-1020ISP1480-01</t>
  </si>
  <si>
    <t>VNA99R8F, KNUJ20555, EL4322C01307, GM041AV3</t>
  </si>
  <si>
    <t>CECILE G. MIRAL</t>
  </si>
  <si>
    <t>AO IV -SUPPLY OFFICER</t>
  </si>
  <si>
    <t>ZSSPLIT2023-05-021-001</t>
  </si>
  <si>
    <t>RUSSEL P. LIMBAGO</t>
  </si>
  <si>
    <t>STOD/SUPPLY SECTION</t>
  </si>
  <si>
    <t>2023-05-03-1020ISP1472-01</t>
  </si>
  <si>
    <t>VNA99R5D; GM0418JM</t>
  </si>
  <si>
    <t>JULIE MAE FERRER
 FLORA MAE MIRABUENO</t>
  </si>
  <si>
    <t>ARPT
 ASSISTANT STAT</t>
  </si>
  <si>
    <t>ZSSPLIT2023-05-021-002</t>
  </si>
  <si>
    <t>MELANIE P. LUZA</t>
  </si>
  <si>
    <t>2023-05-03-1020ISP1476-01</t>
  </si>
  <si>
    <t>VNA99R5P,KNUJ20088,L4322C01263,GM041AR5</t>
  </si>
  <si>
    <t>RAGDEE N. GARCIA</t>
  </si>
  <si>
    <t>M &amp; E SUPPORT STAFF</t>
  </si>
  <si>
    <t>ZSSPLIT2023-05-021-003</t>
  </si>
  <si>
    <t>LORYDELL MAQUILING</t>
  </si>
  <si>
    <t>2023-05-03-1020ISP1475-01</t>
  </si>
  <si>
    <t>VNA99R5N; KNUJ20559; EL4322C01262; GM041AR3</t>
  </si>
  <si>
    <t>KYLE PHILIP DE VILLA</t>
  </si>
  <si>
    <t>ZSSPLIT2023-05-021-004</t>
  </si>
  <si>
    <t>2023-05-03-1020ISP1473-01</t>
  </si>
  <si>
    <t>VNA99R5G; KNUJ20375; EL4322C01587; GM041AQY</t>
  </si>
  <si>
    <t>HELENE GARCIA
 JOYCE REALUBIT</t>
  </si>
  <si>
    <t>ZSSPLIT2023-05-021-005</t>
  </si>
  <si>
    <t>JAZEL MAQUILING</t>
  </si>
  <si>
    <t>UPS UNSERVICEABLE UPS, MONITOR C/o Daniel Tauy (STOD)</t>
  </si>
  <si>
    <t>2023-05-03-1020ISP1479-01</t>
  </si>
  <si>
    <t>VNA99R7H; KNUJ20020; EL4322C01306; GM041ASZ</t>
  </si>
  <si>
    <t>REY LACHAMA</t>
  </si>
  <si>
    <t>VALIDATOR</t>
  </si>
  <si>
    <t>ZSSPLIT2023-05-021-006</t>
  </si>
  <si>
    <t>2023-05-03-1020ISP1470-01</t>
  </si>
  <si>
    <t>VNA99R45; KNUJ19833; EL4322C01584; GM041H2</t>
  </si>
  <si>
    <t>EDGAR BALBUENA
 EDGARDO LAMATAN</t>
  </si>
  <si>
    <t>SARPT
 OIC - MARPO</t>
  </si>
  <si>
    <t>ZSSPLIT2023-05-021-007</t>
  </si>
  <si>
    <t>EDGAR BALBUENA</t>
  </si>
  <si>
    <t>DARMO TUNGAWAN</t>
  </si>
  <si>
    <t>DARMO R.T. LIM</t>
  </si>
  <si>
    <t>2023-05-03-1020ISP1471-01</t>
  </si>
  <si>
    <t>VNA99R58; KNUJ19963; EL4322C01583; GM0418JL</t>
  </si>
  <si>
    <t>SUSANA AMODIA</t>
  </si>
  <si>
    <t>OIC - MARPO</t>
  </si>
  <si>
    <t>ZSSPLIT2023-05-021-008</t>
  </si>
  <si>
    <t>DARMO SIAY</t>
  </si>
  <si>
    <t>VERLITO CARAGAN</t>
  </si>
  <si>
    <t>ZSSPLIT2023-05-021-009</t>
  </si>
  <si>
    <t>DARMO DIPLAHAN</t>
  </si>
  <si>
    <t>2023-05-03-1020ISP1481-01</t>
  </si>
  <si>
    <t>VNA99R89; KNUJ19953; GM041AWT</t>
  </si>
  <si>
    <t>FLORDIE BAGUNDOL</t>
  </si>
  <si>
    <t>ZSSPLIT2023-05-021-010</t>
  </si>
  <si>
    <t>DARMO KABASALAN</t>
  </si>
  <si>
    <t>2023-05-03-1020ISP1477-01</t>
  </si>
  <si>
    <t>VNA99R5R; 31Y0BXM; GM041ARE</t>
  </si>
  <si>
    <t>EDGARDO O. LAMATAN
 EDGAR BALBUENA</t>
  </si>
  <si>
    <t>OIC-MARPO
 SARPT</t>
  </si>
  <si>
    <t>ZSSPLIT2023-05-021-011</t>
  </si>
  <si>
    <t>EDGARDO O. LAMATAN</t>
  </si>
  <si>
    <t>DARMO R.T .LIM</t>
  </si>
  <si>
    <t>2023-05-03-1020ISP1467-01</t>
  </si>
  <si>
    <t>VNA99R3Z; KNUJ20627; 8SSS51E09095J1DG32POONG</t>
  </si>
  <si>
    <t>JOEVELIA NAYRE</t>
  </si>
  <si>
    <t>ZSSPLIT2023-05-021-012</t>
  </si>
  <si>
    <t>JOEVELIA B. NAYRE</t>
  </si>
  <si>
    <t>DARMO BUUG</t>
  </si>
  <si>
    <t>2023-05-03-1020ISP1474-01</t>
  </si>
  <si>
    <t>VNA99R5H; KNUJ20012; GM0418GM</t>
  </si>
  <si>
    <t>SUSAN BENASING</t>
  </si>
  <si>
    <t>ZSSPLIT2023-05-021-013</t>
  </si>
  <si>
    <t>DARMO CURUAN</t>
  </si>
  <si>
    <t>2023-05-03-1020ISP1469-01</t>
  </si>
  <si>
    <t>VNA99R43; KNUU21182; GM041AQZ</t>
  </si>
  <si>
    <t>MICHELE CREDO</t>
  </si>
  <si>
    <t>ZSSPLIT2023-05-021-014</t>
  </si>
  <si>
    <t>MICHELLE O. CREDO</t>
  </si>
  <si>
    <t>DARMO MANICAHAN</t>
  </si>
  <si>
    <t>Region XI</t>
  </si>
  <si>
    <t>2023-05-03-1020ISP1468-01</t>
  </si>
  <si>
    <t>VNA99R41;
  KNUJ19921;
  GM0418GL</t>
  </si>
  <si>
    <t>EUFRECINA M. DE GUZMAN</t>
  </si>
  <si>
    <t>ZSSPLIT2023-05-021-015</t>
  </si>
  <si>
    <t>DARMO OLUTANGA</t>
  </si>
  <si>
    <t>2023-05-03-10201SP1579-01</t>
  </si>
  <si>
    <t>1S11T5S16200GM0418LL</t>
  </si>
  <si>
    <t>2023-05-03-1020ISP381-01</t>
  </si>
  <si>
    <t>CNC249165F; CN2BT2M1PX; 4CE301DSHB</t>
  </si>
  <si>
    <t>CHARLOTTE H. SISON</t>
  </si>
  <si>
    <t>CHARITO RAMOS</t>
  </si>
  <si>
    <t>OARDO</t>
  </si>
  <si>
    <t>ZSSPLIT2023-05-021-016</t>
  </si>
  <si>
    <t>CHARITO B. RAMOS</t>
  </si>
  <si>
    <t>DARMO TITAY</t>
  </si>
  <si>
    <t>2023-05-03-1020ISP379-01</t>
  </si>
  <si>
    <t>CNC24811J5; CN2BT2M0DW; CYBERPOWER UPS 4CE301DSMB</t>
  </si>
  <si>
    <t>2023-05-03-10201SP1577-01</t>
  </si>
  <si>
    <t>MARY GAY C. ABUTON</t>
  </si>
  <si>
    <t>1S11T5S16200GM0418K5</t>
  </si>
  <si>
    <t>ROSARIO MAALA</t>
  </si>
  <si>
    <t>ZSSPLIT2023-05-021-017</t>
  </si>
  <si>
    <t>DARMO IPIL</t>
  </si>
  <si>
    <t>2023-05-03-10201SP1578-01</t>
  </si>
  <si>
    <t>2023-05-03-1020ISP380-01</t>
  </si>
  <si>
    <t>1S11T5S16200GM04160C</t>
  </si>
  <si>
    <t>CNC249165S; 320225BU30000248; 4CE301DSQC</t>
  </si>
  <si>
    <t>ACTING PLANNING OFFICER</t>
  </si>
  <si>
    <t>ZSSPLIT2023-05-021-018</t>
  </si>
  <si>
    <t>JENNYMAR LACAYA
 JOEL CASTILLO</t>
  </si>
  <si>
    <t>2023-05-03-10201SP1576-01</t>
  </si>
  <si>
    <t>1S11T5S16200GM0418FF</t>
  </si>
  <si>
    <t>CALIXTO BALLOS</t>
  </si>
  <si>
    <t>ENGINEER IIII</t>
  </si>
  <si>
    <t>2023-05-03-10201SP1575-01</t>
  </si>
  <si>
    <t>2023-05-03-1020ISP383-01</t>
  </si>
  <si>
    <t>1S11T5S16200GM0418EN</t>
  </si>
  <si>
    <t>ATTY. JUANCHO P. CALUD</t>
  </si>
  <si>
    <t>CNC249165V; 320225BQ30000400; 4CE301DH9V</t>
  </si>
  <si>
    <t>ZSSPLIT2023-05-021-019</t>
  </si>
  <si>
    <t>KYLA CHEZZA ACOSTA</t>
  </si>
  <si>
    <t>2023-05-03-10201SP1572-01</t>
  </si>
  <si>
    <t>1S11T5S16200GM041B5B</t>
  </si>
  <si>
    <t>CLAUDIO YBAÑEZ</t>
  </si>
  <si>
    <t>OARDA</t>
  </si>
  <si>
    <t>2023-05-03-1020ISP382-01</t>
  </si>
  <si>
    <t>2023-05-03-10201SP1573-01</t>
  </si>
  <si>
    <t>CNC24719GL; 320225BQ30000398; 4CE301DH5J</t>
  </si>
  <si>
    <t>1S11T5S16200GM03S3Q3</t>
  </si>
  <si>
    <t>MARY JACQUILINE C. ELID</t>
  </si>
  <si>
    <t>ZSSPLIT2023-05-021-020</t>
  </si>
  <si>
    <t>EDGAR VINCENT LAMATAN
 IRISH SANTOLAN</t>
  </si>
  <si>
    <t>NESSIL GALANG</t>
  </si>
  <si>
    <t>2023-05-03-10201SP1567-01</t>
  </si>
  <si>
    <t>1S11T5S16200GM0418JF</t>
  </si>
  <si>
    <t>GENEVIEVE I. ORTIZ</t>
  </si>
  <si>
    <t>JACK ANTOINETTE ELID</t>
  </si>
  <si>
    <t>2023-05-03-10202SP337-01</t>
  </si>
  <si>
    <t>SN: NXEGZSP00330801D3D3400</t>
  </si>
  <si>
    <t>ROLANDO M. LIBETARIO JR, CPA
 CECILE MIRA</t>
  </si>
  <si>
    <t>2023-05-03-10201SP1568-01</t>
  </si>
  <si>
    <t>PARPO II
 AO-IV</t>
  </si>
  <si>
    <t>1S11T5S16200GM041B0J</t>
  </si>
  <si>
    <t>ZSSPLIT2023-05-010-021</t>
  </si>
  <si>
    <t>MARIDEL S. DUQUE</t>
  </si>
  <si>
    <t>PO III</t>
  </si>
  <si>
    <t>PARPO II OFFICE</t>
  </si>
  <si>
    <t>JESSIE ARANAS</t>
  </si>
  <si>
    <t>2023-05-03-10201SP1569-01</t>
  </si>
  <si>
    <t>1S11T5S16200GM041B5D</t>
  </si>
  <si>
    <t>REYNANTE B. DE GUZMAN</t>
  </si>
  <si>
    <t>2023-05-03-10202SP338-01</t>
  </si>
  <si>
    <t>SN: NXEGZSP00330801EOP3400</t>
  </si>
  <si>
    <t>PERLIDITA G. ENGALLA</t>
  </si>
  <si>
    <t>SPLIT - COORDINATOR</t>
  </si>
  <si>
    <t>2023-05-03-10201SP1571-01</t>
  </si>
  <si>
    <t>ZSSPLIT2023-05-010-022</t>
  </si>
  <si>
    <t>1S11T5S16200GM0418L8</t>
  </si>
  <si>
    <t>PERLIDITA G. ENGALLA
 HELENE GARCIA
 JPY GRACE EWAY</t>
  </si>
  <si>
    <t>ROSEMARIE F. REMOLADOR</t>
  </si>
  <si>
    <t>2023-05-03-10201SP1574-01</t>
  </si>
  <si>
    <t>1S11T5S16200GM041B3Y</t>
  </si>
  <si>
    <t>MARK BRIAN ALBIT</t>
  </si>
  <si>
    <t>2023-05-03-10202SP339-01</t>
  </si>
  <si>
    <t>SN: NXEGZSP00330801B2A3400</t>
  </si>
  <si>
    <t>PLANNING OFFICER</t>
  </si>
  <si>
    <t>ZSSPLIT2023-05-010-023</t>
  </si>
  <si>
    <t>2023-05-03-10201SP1570-01</t>
  </si>
  <si>
    <t>1S11T5S16200GM041AZB</t>
  </si>
  <si>
    <t>ZARAH P. ONG</t>
  </si>
  <si>
    <t>JASPER LOPEZ</t>
  </si>
  <si>
    <t>2023-05-03-10202SP340-01</t>
  </si>
  <si>
    <t>SN: NXEGZSP00330801D603400</t>
  </si>
  <si>
    <t>ZSSPLIT2023-05-010-024</t>
  </si>
  <si>
    <t>STOD/ SUPPLY SECTION</t>
  </si>
  <si>
    <t>2023-05-03-10201SP211-01</t>
  </si>
  <si>
    <t>2023-10-019</t>
  </si>
  <si>
    <t>2023-05-03-10201SP213-01</t>
  </si>
  <si>
    <t>2023-05-03-10201SP209-01</t>
  </si>
  <si>
    <t>JOSEPH H. ORILLA</t>
  </si>
  <si>
    <t>SN: NXEGZSP00330801F063400</t>
  </si>
  <si>
    <t>CLARICE CELICIOUS</t>
  </si>
  <si>
    <t>2023-10-020</t>
  </si>
  <si>
    <t>2023-05-03-10201SP210-01</t>
  </si>
  <si>
    <t>2023-10-021</t>
  </si>
  <si>
    <t>2023-05-03-10201SP208-01</t>
  </si>
  <si>
    <t>CLAUDIO A. YBAÑEZ</t>
  </si>
  <si>
    <t>2023-10-022</t>
  </si>
  <si>
    <t xml:space="preserve"> 2022-05-02-10202SP64-01</t>
  </si>
  <si>
    <t>2023-05-03-10201SP207-01</t>
  </si>
  <si>
    <t>MICHAEL ANGELO A. JAMORA</t>
  </si>
  <si>
    <t>RNK1200167</t>
  </si>
  <si>
    <t>DEL R. BIOCO</t>
  </si>
  <si>
    <t>ZSSPLIT2023-04-04-025
 ZSSPLIT2023-04-04-026</t>
  </si>
  <si>
    <t>2023-05-03-10201SP206-01</t>
  </si>
  <si>
    <t>2023-05-03-10202SP280-01</t>
  </si>
  <si>
    <t>NXEGZSP00330801EC23400</t>
  </si>
  <si>
    <t>2023-10-016</t>
  </si>
  <si>
    <t>2023-05-03-10202SP281-01</t>
  </si>
  <si>
    <t>NXEGZSP00330801C553400</t>
  </si>
  <si>
    <t>BASE SN: Z60SN272200117;
  ROVER SN: Z60ST272200354</t>
  </si>
  <si>
    <t>SHEIN ANTONETTE B. CASALEM</t>
  </si>
  <si>
    <t>2023-05-03-10202SP282-01</t>
  </si>
  <si>
    <t>NXEGZSP00330801AA33400</t>
  </si>
  <si>
    <t>ZSSPLIT2023-16-03-056</t>
  </si>
  <si>
    <t>2023-05-14-10201SP38-01</t>
  </si>
  <si>
    <t>SN: 2839864</t>
  </si>
  <si>
    <t>2023-05-14-10202SP52-01</t>
  </si>
  <si>
    <t>2023-04-013</t>
  </si>
  <si>
    <t>ZSSPLIT2023-16-02-057</t>
  </si>
  <si>
    <t>2023-05-14-10202SP53-01</t>
  </si>
  <si>
    <t>2023-05-14-10202SP54-01</t>
  </si>
  <si>
    <t>2023-05-14-10202SP20-01</t>
  </si>
  <si>
    <t>SN: SP10730001</t>
  </si>
  <si>
    <t>2023-05-14-1021S945-01</t>
  </si>
  <si>
    <t>Z60SN272200101</t>
  </si>
  <si>
    <t>WYNDELLE ALFORQUE</t>
  </si>
  <si>
    <t>ZSSPLIT2023-16-04-058</t>
  </si>
  <si>
    <t>2023-04-014</t>
  </si>
  <si>
    <t>2023-05-14-1021SP45-01</t>
  </si>
  <si>
    <t>2023-04-014A</t>
  </si>
  <si>
    <t>HVSPLIT-102-24-05-086</t>
  </si>
  <si>
    <t>2023-04-015</t>
  </si>
  <si>
    <t>CARLOS ALCAZAR</t>
  </si>
  <si>
    <t>DARPO ZAMBO SIBUGAY</t>
  </si>
  <si>
    <t>2024-05-14-10201SP13-01</t>
  </si>
  <si>
    <t>BBAK00032</t>
  </si>
  <si>
    <t>ENGR. WYNDELLE ALFORQUE</t>
  </si>
  <si>
    <t>DARCO PTR 2024-05-010PL / PAR 2024-07-002</t>
  </si>
  <si>
    <t>Zamboanga del Norte</t>
  </si>
  <si>
    <t>2023-05-03-10201SP1452-01</t>
  </si>
  <si>
    <t>VNA99PXP, KNUJ20639, EL4322C01246</t>
  </si>
  <si>
    <t>HV-SPLIT-102-24-05-61</t>
  </si>
  <si>
    <t>JENNY M. LARIOSA</t>
  </si>
  <si>
    <t>P-23-02-ZDN-SPLIT-007</t>
  </si>
  <si>
    <t>CHARLOTTE H SISON</t>
  </si>
  <si>
    <t>2024-05-013</t>
  </si>
  <si>
    <t>DARRO XI</t>
  </si>
  <si>
    <t>2023-05-03-10201SP1453-01</t>
  </si>
  <si>
    <t>VNA99PXT, KNUJ20630, EL4322C01248</t>
  </si>
  <si>
    <t>2024-05-03-10202SP-317-01</t>
  </si>
  <si>
    <t>ROCEL C. ACEVEDO</t>
  </si>
  <si>
    <t>LADYH APRIL V ARANGCON</t>
  </si>
  <si>
    <t>OIC SARPO/INFO OFFICER</t>
  </si>
  <si>
    <t>P-23-02-ZDN-SPLIT-008</t>
  </si>
  <si>
    <t>2023-05-03-10201SP1454-01</t>
  </si>
  <si>
    <t>VNA99PXW, KNUJ19905, EL4322CO1282</t>
  </si>
  <si>
    <t>2024-05-03-10202SP-244-01</t>
  </si>
  <si>
    <t>P-23-02-ZDN-SPLIT-009</t>
  </si>
  <si>
    <t>CATHY O CADUSALE</t>
  </si>
  <si>
    <t>ESS COORDIINATOR</t>
  </si>
  <si>
    <t>Davao City</t>
  </si>
  <si>
    <t>2023-05-03-10201SP1455-01</t>
  </si>
  <si>
    <t>VNA99PXY, KNUJ19966, EL4322C01284</t>
  </si>
  <si>
    <t>SAMUEL ANDREW A. BALITON</t>
  </si>
  <si>
    <t>P-23-02-ZDN-SPLIT-010</t>
  </si>
  <si>
    <t>2022-05-02-10202SP73-01</t>
  </si>
  <si>
    <t>FERIAL V. SANTILLAN</t>
  </si>
  <si>
    <t>PAR 2022-12-0001SP</t>
  </si>
  <si>
    <t>2023-05-14-1021SP42-01</t>
  </si>
  <si>
    <t>Z60SN272200121</t>
  </si>
  <si>
    <t>GABRIEL Y. ILIGAN</t>
  </si>
  <si>
    <t>2023-05-03-10201SP1456-01</t>
  </si>
  <si>
    <t>PAR# 2023-04-0018SP</t>
  </si>
  <si>
    <t>VNA99PYO, KNUJ20186, EL4322C01283</t>
  </si>
  <si>
    <t>MARY CHEREL FL. BUBURAN</t>
  </si>
  <si>
    <t>P-23-02-ZDN-SPLIT-011</t>
  </si>
  <si>
    <t>2023-05-14-1021SP24-01</t>
  </si>
  <si>
    <t>PAR# 2023-04-0019SP</t>
  </si>
  <si>
    <t>PAR# 2023-04-0020SP</t>
  </si>
  <si>
    <t>2023-05-03-10201SP1580-01</t>
  </si>
  <si>
    <t>1S11T5S16200GM041B3Z</t>
  </si>
  <si>
    <t>2023-05-03-10201SP1457-01</t>
  </si>
  <si>
    <t>BRENNA MAE T. CONCEPCION</t>
  </si>
  <si>
    <t>VNA99PY8, KNUJ20178, EL4322C01261</t>
  </si>
  <si>
    <t>PAR# 2023-04-0006SP</t>
  </si>
  <si>
    <t>LIMUEL G. REGALADO</t>
  </si>
  <si>
    <t>P-23-02-ZDN-SPLIT-012</t>
  </si>
  <si>
    <t>2023-05-03-10201SP1581-01</t>
  </si>
  <si>
    <t>1S11T5S16200GM0415W2</t>
  </si>
  <si>
    <t>AIVEY DIANNE V. DIMAANO</t>
  </si>
  <si>
    <t>PAR# 2023-04-0007SP</t>
  </si>
  <si>
    <t>2023-05-03-10201SP1582-01</t>
  </si>
  <si>
    <t>1S11T5S16200GM04160K</t>
  </si>
  <si>
    <t>RODA O. SARTE</t>
  </si>
  <si>
    <t>PAR# 2023-04-0008SP</t>
  </si>
  <si>
    <t>DAVE CRISTOPHER F. CAÑEZAL</t>
  </si>
  <si>
    <t>2023-05-03-10201SP1458-01</t>
  </si>
  <si>
    <t>2023-05-03-10201SP1583-01</t>
  </si>
  <si>
    <t>1S11T5S16200GM0418FH</t>
  </si>
  <si>
    <t>VNA99PYC, KNUJ20185, EL4322C01328</t>
  </si>
  <si>
    <t>ABEGAIL T. MANUTA</t>
  </si>
  <si>
    <t>AL CASSIM A. CAMSIA JR.</t>
  </si>
  <si>
    <t>PAR# 2023-04-0009SP</t>
  </si>
  <si>
    <t>P-23-02-ZDN-SPLIT-013</t>
  </si>
  <si>
    <t>2023-05-03-10201SP1584-01</t>
  </si>
  <si>
    <t>1S11T5S16200GM041B3R</t>
  </si>
  <si>
    <t>RUEL D. LAROSA</t>
  </si>
  <si>
    <t>PAR# 2023-04-0010SP</t>
  </si>
  <si>
    <t>2023-05-03-10201SP1585-01</t>
  </si>
  <si>
    <t>1S11T5S16200GM0418EL</t>
  </si>
  <si>
    <t>PAR# 2023-04-0011SP</t>
  </si>
  <si>
    <t>2023-05-03-10201SP1459-01</t>
  </si>
  <si>
    <t>VNA99PYR, KNUJ20077, EL4322C01605</t>
  </si>
  <si>
    <t>2023-05-03-10201SP1586-01</t>
  </si>
  <si>
    <t>1S11T5S16200GM041AZN</t>
  </si>
  <si>
    <t>GRETCHEN S. PAZON</t>
  </si>
  <si>
    <t>P-23-02-ZDN-SPLIT-014</t>
  </si>
  <si>
    <t>PAR# 2023-04-0012SP</t>
  </si>
  <si>
    <t>MARJUN OBEREZ</t>
  </si>
  <si>
    <t>2023-05-03-10201SP1587-01</t>
  </si>
  <si>
    <t>1S62AFKAR2WWVNA99PMB</t>
  </si>
  <si>
    <t>EMMANUEL M. LUIS</t>
  </si>
  <si>
    <t>PAR# 2023-04-0013SP</t>
  </si>
  <si>
    <t>DARMO BUBUNPAQ</t>
  </si>
  <si>
    <t>2023-05-03-10201SP1460-01</t>
  </si>
  <si>
    <t>VNA99R0K, KNUJ19961, EL4322C01606</t>
  </si>
  <si>
    <t>2023-05-03-10201SP1588-01</t>
  </si>
  <si>
    <t>JOVILYN B. TAGHOY</t>
  </si>
  <si>
    <t>1S11T5S16200GM041AYF</t>
  </si>
  <si>
    <t>LEXAÑO J. MAALA</t>
  </si>
  <si>
    <t>P-23-02-ZDN-SPLIT-015</t>
  </si>
  <si>
    <t>PAR# 2023-04-0014SP</t>
  </si>
  <si>
    <t>DARMO TUGBOK</t>
  </si>
  <si>
    <t>2023-05-03-10201SP1589-01</t>
  </si>
  <si>
    <t>1S11T5S16200GM0418EJ</t>
  </si>
  <si>
    <t>ANGELITA A. DEIPARINE</t>
  </si>
  <si>
    <t>PAR# 2023-04-0015SP</t>
  </si>
  <si>
    <t>DARMO BAGMAR</t>
  </si>
  <si>
    <t>2023-05-03-10201SP1461-01</t>
  </si>
  <si>
    <t>VNA99ROT, KNUJ19946</t>
  </si>
  <si>
    <t>2023-05-03-10201SP1590-01</t>
  </si>
  <si>
    <t>CHERRY L. ATAY</t>
  </si>
  <si>
    <t>1S11T5S16200GM0415TM</t>
  </si>
  <si>
    <t>JOCELYN I. BACHINICHA</t>
  </si>
  <si>
    <t>P-23-02-ZDN-SPLIT-016</t>
  </si>
  <si>
    <t>PAR# 2023-04-0016SP</t>
  </si>
  <si>
    <t>DARMO CALINAN</t>
  </si>
  <si>
    <t>2023-05-03-10201SP1591-01</t>
  </si>
  <si>
    <t>1S11T5S16200GM041B2V</t>
  </si>
  <si>
    <t>MELISSA CLAIRE O. TAN</t>
  </si>
  <si>
    <t>PAR# 2023-04-0017SP</t>
  </si>
  <si>
    <t>DARMO TORIL</t>
  </si>
  <si>
    <t>2023-05-03-10201SP1462-01</t>
  </si>
  <si>
    <t>VNA99ROT, KNUJ19947</t>
  </si>
  <si>
    <t>ELIZA L. PORFERIO</t>
  </si>
  <si>
    <t>2023-05-03-10201SP214-01</t>
  </si>
  <si>
    <t>DENNIS M. EVANGELISTA</t>
  </si>
  <si>
    <t>P-23-02-ZDN-SPLIT-017</t>
  </si>
  <si>
    <t>CARPO-STOD</t>
  </si>
  <si>
    <t>PAR# 2023-04-0021SP</t>
  </si>
  <si>
    <t>ANGEL T. ABING</t>
  </si>
  <si>
    <t>2023-05-03-10201SP215-01</t>
  </si>
  <si>
    <t>PAR# 2023-04-0022SP</t>
  </si>
  <si>
    <t>JACQUELYN MEOLE</t>
  </si>
  <si>
    <t>CARPO STOD</t>
  </si>
  <si>
    <t>PAR# 2023-04-0023SP</t>
  </si>
  <si>
    <t>2023-05-03-10201SP1463-01</t>
  </si>
  <si>
    <t>VNA99R3N, KNVJ19907, EL4322C01327</t>
  </si>
  <si>
    <t>PAR# 2023-04-0024SP</t>
  </si>
  <si>
    <t>JEFFERYSON T. SAURO</t>
  </si>
  <si>
    <t>P-23-02-ZDN-SPLIT-018</t>
  </si>
  <si>
    <t>2023-05-03-10202SP283-01</t>
  </si>
  <si>
    <t>NXEGZSP00330801C9E3400</t>
  </si>
  <si>
    <t>PAR# 2023-04-0025SP</t>
  </si>
  <si>
    <t>2023-05-03-10202SP284-01</t>
  </si>
  <si>
    <t>2023-05-03-10201SP1464-01</t>
  </si>
  <si>
    <t>NXEGZSP00330801E473400</t>
  </si>
  <si>
    <t>VNA99R3R, KNUJ20079, EL4322C01326</t>
  </si>
  <si>
    <t>ATTY. JAN DAVID B. DELA CRUZ</t>
  </si>
  <si>
    <t>PAR# 2023-04-0026SP</t>
  </si>
  <si>
    <t>P-23-02-ZDN-SPLIT-019</t>
  </si>
  <si>
    <t>HV-SPLIT-102-24-05-62</t>
  </si>
  <si>
    <t>DARPO DAVAO CITY</t>
  </si>
  <si>
    <t>FOR REPAIR PRINTER</t>
  </si>
  <si>
    <t>Davao de Oro</t>
  </si>
  <si>
    <t>2023-05-03-10201SPI1628-01</t>
  </si>
  <si>
    <t>1S11T5S16200GM0418FJ</t>
  </si>
  <si>
    <t>ESTELA LUCILA G. FLAMINIA</t>
  </si>
  <si>
    <t>SPLIT-2023-04-002</t>
  </si>
  <si>
    <t>JORAM SUGANO</t>
  </si>
  <si>
    <t>2023-05-03-10201SP1465-01</t>
  </si>
  <si>
    <t>DARPO DAVAO DE ORO</t>
  </si>
  <si>
    <t>VNA9953V, EL4322C01325</t>
  </si>
  <si>
    <t>ICY C. OMBALINO</t>
  </si>
  <si>
    <t>2023-05-03-10201SPI1629-01</t>
  </si>
  <si>
    <t>P-23-05-ZDN-SPLIT-020</t>
  </si>
  <si>
    <t>1S11T5S16200GM0415WT</t>
  </si>
  <si>
    <t>JOESITO A. VISAYA</t>
  </si>
  <si>
    <t>SPLIT-2023-04-003</t>
  </si>
  <si>
    <t>NELSON SALVACION</t>
  </si>
  <si>
    <t>2023-05-03-10201SPI1630-01</t>
  </si>
  <si>
    <t>1S11T5S16200GM0418F4</t>
  </si>
  <si>
    <t>AVELINO O. TOCMO</t>
  </si>
  <si>
    <t>2023-05-03-10201SP1466-01</t>
  </si>
  <si>
    <t>SPLIT-2023-04-004</t>
  </si>
  <si>
    <t>VNA99RIX KNUJ21188 EL4322C01256</t>
  </si>
  <si>
    <t>PETER PAUL R. CAJOCON</t>
  </si>
  <si>
    <t>P-23-05-ZDN-SPLIT-021</t>
  </si>
  <si>
    <t>2023-05-03-10201SPI1631-01</t>
  </si>
  <si>
    <t>DARMO-KALAWIT</t>
  </si>
  <si>
    <t>1S11T5S16200GM0418LH</t>
  </si>
  <si>
    <t>GENECRIS A. BALINTAG</t>
  </si>
  <si>
    <t>SPLIT-2023-04-005</t>
  </si>
  <si>
    <t>2023-05-03-10201SPI1632-01</t>
  </si>
  <si>
    <t>1S11T5S16200GM041B1X</t>
  </si>
  <si>
    <t>JAYFRED SILANA</t>
  </si>
  <si>
    <t>SPLIT-2023-04-006</t>
  </si>
  <si>
    <t>2023-05-03-10201SP369-01</t>
  </si>
  <si>
    <t>CNC24719D2 CN2BTM1PB 320225BQ30000165</t>
  </si>
  <si>
    <t>2023-05-03-10201SPI1633-01</t>
  </si>
  <si>
    <t>1S11T5S16200GM04182Y</t>
  </si>
  <si>
    <t>CRISTINA H. ROSALES</t>
  </si>
  <si>
    <t>SPLIT-2023-04-007</t>
  </si>
  <si>
    <t>P-23-02-ZDN-SPLIT-041</t>
  </si>
  <si>
    <t>JOVERLY GENABE</t>
  </si>
  <si>
    <t>2023-05-03-10201SPI1634-01</t>
  </si>
  <si>
    <t>1S11T5S16200GM0418LJ</t>
  </si>
  <si>
    <t>MARIA SIEZAMIE B. AGOILO</t>
  </si>
  <si>
    <t>SPLIT-2023-04-008</t>
  </si>
  <si>
    <t>IRIS POBLETE</t>
  </si>
  <si>
    <t>2023-05-03-10201SPI1635-01</t>
  </si>
  <si>
    <t>GERALDINE B. SOBRENO</t>
  </si>
  <si>
    <t>SPLIT-2023-04-009</t>
  </si>
  <si>
    <t>AMYTESS H. OBRA</t>
  </si>
  <si>
    <t>2023-05-03-10201SP370-01</t>
  </si>
  <si>
    <t>2023-05-03-10201SPI1636-01</t>
  </si>
  <si>
    <t>CNC24719C7, CN2BT2M0FI, 320225BQ30000166</t>
  </si>
  <si>
    <t>1S11T5S16200GM041B3L</t>
  </si>
  <si>
    <t>MERLINA T. BABATID</t>
  </si>
  <si>
    <t>SPLIT-2023-04-0010</t>
  </si>
  <si>
    <t>MARY GRACE AREGLADO</t>
  </si>
  <si>
    <t>P-23-02-ZDN-SPLIT-042</t>
  </si>
  <si>
    <t>2023-05-03-10201SPI1637-01</t>
  </si>
  <si>
    <t>1S11T5S16200GM0415ZE</t>
  </si>
  <si>
    <t>MAYLENE GRACE P. IDULSA</t>
  </si>
  <si>
    <t>SPLIT-2023-04-0011</t>
  </si>
  <si>
    <t>2023-05-03-10201SPI1638-01</t>
  </si>
  <si>
    <t>1S11T5S16200GM0415W9</t>
  </si>
  <si>
    <t>ANGELITA V. PILLEREN</t>
  </si>
  <si>
    <t>SPLIT-2023-04-0012</t>
  </si>
  <si>
    <t>MAVERICK PAUL SULTAN</t>
  </si>
  <si>
    <t>2023-05-03-10201SP371-01</t>
  </si>
  <si>
    <t>2023-05-03-10201SPI1639-01</t>
  </si>
  <si>
    <t>CNC2471MO, CNLBT2M005, 320225BQ30000167</t>
  </si>
  <si>
    <t>1S11T5S16200GM0415TK</t>
  </si>
  <si>
    <t>DANILO BALINAWA</t>
  </si>
  <si>
    <t>SPLIT-2023-04-0013</t>
  </si>
  <si>
    <t>P-23-02-ZDN-SPLIT-043</t>
  </si>
  <si>
    <t>NXEGZSP00330801F463400</t>
  </si>
  <si>
    <t>VIC ONOD</t>
  </si>
  <si>
    <t>SPLIT-2023-04-0027</t>
  </si>
  <si>
    <t>NXEGZSP00330801B3A3400</t>
  </si>
  <si>
    <t>SPLIT-2023-09-0028</t>
  </si>
  <si>
    <t>JAMES CAINA</t>
  </si>
  <si>
    <t>2023-05-03-10201SP372-01</t>
  </si>
  <si>
    <t>2471PLP / CN2BT2M005</t>
  </si>
  <si>
    <t>NXEGZSP00330801BD73400</t>
  </si>
  <si>
    <t>SPLIT-2023-09-0029</t>
  </si>
  <si>
    <t>LERMA B. ONGUE</t>
  </si>
  <si>
    <t>P-23-02-ZDN-SPLIT-044</t>
  </si>
  <si>
    <t>NXEGZSP00330801D5D3400</t>
  </si>
  <si>
    <t>JENIE C. CADOTDOT</t>
  </si>
  <si>
    <t>SPLIT-2023-09-0030</t>
  </si>
  <si>
    <t>NXEGZSP00330801B0F3400</t>
  </si>
  <si>
    <t>SPLIT-2023-09-0031</t>
  </si>
  <si>
    <t>PINKY CAGAPE</t>
  </si>
  <si>
    <t>2023-05-03-10201SP223-01</t>
  </si>
  <si>
    <t>SPLIT-2023-09-0032</t>
  </si>
  <si>
    <t>JONAHFHE AMPONE</t>
  </si>
  <si>
    <t>2023-05-03-10201SP373-01</t>
  </si>
  <si>
    <t>2023-05-03-10201SP220-01</t>
  </si>
  <si>
    <t>NANCY RAMOS</t>
  </si>
  <si>
    <t>CNC2471PL / CN2B12M0HS</t>
  </si>
  <si>
    <t>SPLIT-2023-09-0033</t>
  </si>
  <si>
    <t>EDEN ROSAL</t>
  </si>
  <si>
    <t>JESSICA A. BRIONES</t>
  </si>
  <si>
    <t>2023-05-03-10201SP221-01</t>
  </si>
  <si>
    <t>P-23-02-ZDN-SPLIT-045</t>
  </si>
  <si>
    <t>SPLIT-2023-09-0034</t>
  </si>
  <si>
    <t>ZALDY CUATON</t>
  </si>
  <si>
    <t>2023-05-03-10201SP219-01</t>
  </si>
  <si>
    <t>SPLIT-2023-09-0035</t>
  </si>
  <si>
    <t>JASPER ESCANO</t>
  </si>
  <si>
    <t>2023-05-03-10202SP333-01</t>
  </si>
  <si>
    <t>NXEGZSP00330801F493400</t>
  </si>
  <si>
    <t>2023-05-03-10201SP218-01</t>
  </si>
  <si>
    <t>LIMUEL G. REGALADO
 ICY OMBALINNO</t>
  </si>
  <si>
    <t>SPLIT-2023-09-0036</t>
  </si>
  <si>
    <t>P-23-02-ZDN-SPLIT-046</t>
  </si>
  <si>
    <t>SPLIT-2022-11-001</t>
  </si>
  <si>
    <t>HV-SPLIT-102-24-05-64</t>
  </si>
  <si>
    <t>Davao Occidental</t>
  </si>
  <si>
    <t>2023-05-03-10201SP1604-01</t>
  </si>
  <si>
    <t>1S11T5S16200GM03S3PT</t>
  </si>
  <si>
    <t>2023-05-03-10202SP334-01</t>
  </si>
  <si>
    <t>J. JOJJETTE L. COSSID</t>
  </si>
  <si>
    <t>NXEGZSP0033801CFE3400</t>
  </si>
  <si>
    <t>DARMO DON MARCELINO &amp; JAS</t>
  </si>
  <si>
    <t>P-23-02-ZDN-SPLIT-047</t>
  </si>
  <si>
    <t>2023-05-03-10201SP1605-01</t>
  </si>
  <si>
    <t>1S11T5S16200GM0418FC</t>
  </si>
  <si>
    <t>NOEL T. OCARIZA</t>
  </si>
  <si>
    <t>DARMO MALITA</t>
  </si>
  <si>
    <t>2023-05-03-10201SP1606-01</t>
  </si>
  <si>
    <t>2023-05-03-10202SP335-01</t>
  </si>
  <si>
    <t>1S11T5S16200GM0418LE</t>
  </si>
  <si>
    <t>NXEGZSP0033801DF23400</t>
  </si>
  <si>
    <t>CARMELA M. FLORES</t>
  </si>
  <si>
    <t>DARMO STA. MARIA &amp; SARANGANI</t>
  </si>
  <si>
    <t>P-23-02-ZDN-SPLIT-048</t>
  </si>
  <si>
    <t>2023-05-03-10201SP1607-01</t>
  </si>
  <si>
    <t>1S11T5S16200GM0418F8</t>
  </si>
  <si>
    <t>ESTHER I. GEYROZAGA</t>
  </si>
  <si>
    <t>SARPO / LTID</t>
  </si>
  <si>
    <t>DARPO - SPLIT</t>
  </si>
  <si>
    <t>2023-05-03-10202SP336-01</t>
  </si>
  <si>
    <t>2023-05-03-10201SP1608-01</t>
  </si>
  <si>
    <t>1S11T5S16200GM041B3N</t>
  </si>
  <si>
    <t>P-23-02-ZDN-SPLIT-049</t>
  </si>
  <si>
    <t>2023-05-03-10201SP1609-01</t>
  </si>
  <si>
    <t>1S11T5S16200GM03S3Q0</t>
  </si>
  <si>
    <t>2023-05-03-10201SP1610-01</t>
  </si>
  <si>
    <t>1S11T5S16200GM0418GB</t>
  </si>
  <si>
    <t>2023-05-03-10202SP70-01</t>
  </si>
  <si>
    <t>SN: NXEGZSP00330801C2B3400</t>
  </si>
  <si>
    <t>ROSEMAY PEREZ</t>
  </si>
  <si>
    <t>2023-05-03-10201SP1611-01</t>
  </si>
  <si>
    <t>1S11T5S16200GM04160J</t>
  </si>
  <si>
    <t>JESUSITA D. DIZON</t>
  </si>
  <si>
    <t>DARPO - AFD</t>
  </si>
  <si>
    <t>DARPO -AFD</t>
  </si>
  <si>
    <t>2023-05-03-10201SP1612-01</t>
  </si>
  <si>
    <t>1S11T5S16200GM0418KD</t>
  </si>
  <si>
    <t>RNK1200141</t>
  </si>
  <si>
    <t>ISOLDE L. LOPEZ
 TEODULO YANOYAN</t>
  </si>
  <si>
    <t>P-23-02-ZDN-SPLIT-050</t>
  </si>
  <si>
    <t>2023-05-03-10201SP1613-01</t>
  </si>
  <si>
    <t>1S11T5S16200GM0418EM</t>
  </si>
  <si>
    <t>2023-05-00010</t>
  </si>
  <si>
    <t>2023-05-03-10201SP1614-01</t>
  </si>
  <si>
    <t>1S11T5S16200GM03S3Q4</t>
  </si>
  <si>
    <t>ELDALIZA R. ANGCON</t>
  </si>
  <si>
    <t>SARPO -LEGAL</t>
  </si>
  <si>
    <t>2023-05-00011</t>
  </si>
  <si>
    <t>2023-05-14-10201SP41-01</t>
  </si>
  <si>
    <t>DARPO -LEGAL</t>
  </si>
  <si>
    <t>P-23-04-ZDN-SPLIT-004</t>
  </si>
  <si>
    <t>2023-05-03-10201SP1615-01</t>
  </si>
  <si>
    <t>1S11T5S16200GM041618</t>
  </si>
  <si>
    <t>JULIO P. LUPAS</t>
  </si>
  <si>
    <t>2023-05-00012</t>
  </si>
  <si>
    <t>DARPO- PBDD</t>
  </si>
  <si>
    <t>2023-05-03-10202SP296-01</t>
  </si>
  <si>
    <t>NXEGZSP00330801E053400</t>
  </si>
  <si>
    <t>P-23-02-ZDN-SPLIT-005</t>
  </si>
  <si>
    <t>2023-05-03-10202SP295-01</t>
  </si>
  <si>
    <t>NXEGZSP00330801DCB3400</t>
  </si>
  <si>
    <t>2023-05-02-10202SP72-01</t>
  </si>
  <si>
    <t>DARPO -LTID</t>
  </si>
  <si>
    <t>P-23-02-ZDN-SPLIT-006</t>
  </si>
  <si>
    <t>2023-05-03-10201SP233-01</t>
  </si>
  <si>
    <t>OIC CARPO LTI</t>
  </si>
  <si>
    <t>2023-09-0022</t>
  </si>
  <si>
    <t>2023-09-0023</t>
  </si>
  <si>
    <t>HVSPLIT-102-24-05-089</t>
  </si>
  <si>
    <t>2023-05-03-10201SP235-01</t>
  </si>
  <si>
    <t>2023-09-0024</t>
  </si>
  <si>
    <t>DARPO ZAMBO NORTE</t>
  </si>
  <si>
    <t>2023-05-03-10201SP236-01</t>
  </si>
  <si>
    <t>2023-09-0025</t>
  </si>
  <si>
    <t>Zamboanga del Sur</t>
  </si>
  <si>
    <t>HV-SPLIT-102-24-05-71</t>
  </si>
  <si>
    <t>2023-05-03-10201SP1437-01</t>
  </si>
  <si>
    <t>DARPO DAVAO OCC</t>
  </si>
  <si>
    <t>Maria Cecilia Q. Agnis</t>
  </si>
  <si>
    <t>AO-IV</t>
  </si>
  <si>
    <t>Davao del Norte</t>
  </si>
  <si>
    <t>2023-05-03-10201SP1437-01-ZDS</t>
  </si>
  <si>
    <t>2023-05-03-10201SP1616-01</t>
  </si>
  <si>
    <t>1S11T5S16200GM041B5A</t>
  </si>
  <si>
    <t>FLORO FLORASIL Z. ASTILLPO</t>
  </si>
  <si>
    <t>DARCO PTR 2023-04-074 / DARRO PTR 2023-03-SP-016 / PAR 2023-04-012L</t>
  </si>
  <si>
    <t>MARO NEW CORELLA</t>
  </si>
  <si>
    <t>2023-05-03-10202SP1617-01</t>
  </si>
  <si>
    <t>1S11T5S16200GM0418EZ</t>
  </si>
  <si>
    <t>ENGR. RAMEL R. CALIGDONG</t>
  </si>
  <si>
    <t>2023-04-001A</t>
  </si>
  <si>
    <t>LTI</t>
  </si>
  <si>
    <t>2023-05-03-10201SP1438-01</t>
  </si>
  <si>
    <t>Allan G. Apao</t>
  </si>
  <si>
    <t>2023-05-03-10201SP1438-01-ZDS</t>
  </si>
  <si>
    <t>2023-05-03-10202SP1618-01</t>
  </si>
  <si>
    <t>1S11T5S16200GM04160D</t>
  </si>
  <si>
    <t>DARMO-Molave</t>
  </si>
  <si>
    <t>BIENVENIDO T. GALANG, JR.</t>
  </si>
  <si>
    <t>Printer DARMO</t>
  </si>
  <si>
    <t>2023-04-001B</t>
  </si>
  <si>
    <t>2023-05-03-10202SP1623-01</t>
  </si>
  <si>
    <t>1S11T5S16200GM041B3H</t>
  </si>
  <si>
    <t>HENRY T. MARIN</t>
  </si>
  <si>
    <t>2023-04-001-C</t>
  </si>
  <si>
    <t>2023-05-03-10201SP1439-01</t>
  </si>
  <si>
    <t>MARO TAGUM CITY</t>
  </si>
  <si>
    <t>2023-05-03-10201SP1439-01-ZDS</t>
  </si>
  <si>
    <t>2023-05-03-10202SP1620-01</t>
  </si>
  <si>
    <t>1S11T5S16200GM041AVG</t>
  </si>
  <si>
    <t>VIRGINIA J. BATOSALEM</t>
  </si>
  <si>
    <t>(Monitor 1451( (Ups1450)</t>
  </si>
  <si>
    <t>2023-04-006F</t>
  </si>
  <si>
    <t>MARO CARMEN</t>
  </si>
  <si>
    <t>2023-05-03-10202SP1619-01</t>
  </si>
  <si>
    <t>1S11T5S16200GM041B5E</t>
  </si>
  <si>
    <t>ROSAVILLA L. ARROCENA</t>
  </si>
  <si>
    <t>2023-05-03-10201SP1440-01</t>
  </si>
  <si>
    <t>2023-04-006H</t>
  </si>
  <si>
    <t>Lorna L. Dumandan</t>
  </si>
  <si>
    <t>MARO SAN ISIDRO</t>
  </si>
  <si>
    <t>2023-05-03-10201SP1440-01-ZDS</t>
  </si>
  <si>
    <t>2023-05-03-10202SP1625-01</t>
  </si>
  <si>
    <t>CPU 1443, Printer 1451, UPS 1441</t>
  </si>
  <si>
    <t>1S11T5S16200GM03S3PP</t>
  </si>
  <si>
    <t>ENGR. MELINA C. AVILA</t>
  </si>
  <si>
    <t>2023-04-007G</t>
  </si>
  <si>
    <t>MARO ASUNCION</t>
  </si>
  <si>
    <t>2023-05-03-10202SP1616-01</t>
  </si>
  <si>
    <t>2023-05-03-10201SP1441-01</t>
  </si>
  <si>
    <t>2023-04-012L</t>
  </si>
  <si>
    <t>Maguid M. Israel</t>
  </si>
  <si>
    <t>2023-05-03-10201SP1441-01-ZDS</t>
  </si>
  <si>
    <t>DARMO-Dinas</t>
  </si>
  <si>
    <t>2023-05-03-10202SP1626-01</t>
  </si>
  <si>
    <t>CPU 1445</t>
  </si>
  <si>
    <t>1S11T5S16200GM041AZ4</t>
  </si>
  <si>
    <t>MACRINO D. TORRES</t>
  </si>
  <si>
    <t>2023-04-009I</t>
  </si>
  <si>
    <t>MARO KAPALONG</t>
  </si>
  <si>
    <t>2023-05-03-10201SP1442-01</t>
  </si>
  <si>
    <t>2023-05-03-10202SP1622-01</t>
  </si>
  <si>
    <t>1S11T5S16200GM0418H3</t>
  </si>
  <si>
    <t>Wilma V. Janipin</t>
  </si>
  <si>
    <t>JULIANA R. MACEREN</t>
  </si>
  <si>
    <t>2023-04-005E</t>
  </si>
  <si>
    <t>2023-05-03-10201SP1442-01-ZDS</t>
  </si>
  <si>
    <t>MARO B.E. DUJALI</t>
  </si>
  <si>
    <t>2023-05-03-10202SP1621-01</t>
  </si>
  <si>
    <t>1S11T5S16200GM0415WQ</t>
  </si>
  <si>
    <t>MADELEN Z. APOSTOL</t>
  </si>
  <si>
    <t>2023-04-010K</t>
  </si>
  <si>
    <t>MARO IGACOS</t>
  </si>
  <si>
    <t>2023-05-03-10202SP1624-01</t>
  </si>
  <si>
    <t>1S11T5S16200GM041B3W</t>
  </si>
  <si>
    <t>JOSIE V. CAQUILALA</t>
  </si>
  <si>
    <t>2023-04-011J</t>
  </si>
  <si>
    <t>2023-05-03-10201SP1443-01</t>
  </si>
  <si>
    <t>MARO PANABO CITY</t>
  </si>
  <si>
    <t>Delia L. Memorando</t>
  </si>
  <si>
    <t>2023-05-03-10201SP1443-01-ZDS</t>
  </si>
  <si>
    <t>2023-05-03-10202SP1627-01</t>
  </si>
  <si>
    <t>1S11T5S16200GM041B41</t>
  </si>
  <si>
    <t>Monitor unserviceable</t>
  </si>
  <si>
    <t>FLORADELFA L. MONTES</t>
  </si>
  <si>
    <t>2023-04-004D</t>
  </si>
  <si>
    <t>MARO STO. TOMAS</t>
  </si>
  <si>
    <t>2023-05-03-10201SP228-01</t>
  </si>
  <si>
    <t>2023-05-03-10201SP1444-01</t>
  </si>
  <si>
    <t>RHEA MAY A. EDLISAN</t>
  </si>
  <si>
    <t>2023-04-012-S</t>
  </si>
  <si>
    <t>2023-05-03-10201SP1444-01-ZDS</t>
  </si>
  <si>
    <t>UPS 1443</t>
  </si>
  <si>
    <t>2023-05-03-10201SP227-01</t>
  </si>
  <si>
    <t>LANIMAY M. WANAY</t>
  </si>
  <si>
    <t>2023-04-012-R</t>
  </si>
  <si>
    <t>2023-05-03-10201SP226-01</t>
  </si>
  <si>
    <t>2023-05-03-10201SP1445-01</t>
  </si>
  <si>
    <t>BEATRIZ M. ALCONERA</t>
  </si>
  <si>
    <t>2023-04-012-Q</t>
  </si>
  <si>
    <t>2023-05-03-10201SP1445-01-ZDS</t>
  </si>
  <si>
    <t>ADMIN. &amp; FINANCE</t>
  </si>
  <si>
    <t>CPU 1440, UPS 1440, PRINTER DARMO</t>
  </si>
  <si>
    <t>2023-05-03-10201SP225-01</t>
  </si>
  <si>
    <t>EVELYN S. PARAME</t>
  </si>
  <si>
    <t>2023-04-012-P</t>
  </si>
  <si>
    <t>2023-05-03-10201SP1446-01</t>
  </si>
  <si>
    <t>2023-05-03-10202SP289-01</t>
  </si>
  <si>
    <t>NXEGZSP00330801ADB3400</t>
  </si>
  <si>
    <t>MIA JENNIFER S. ALCOMENDRAS</t>
  </si>
  <si>
    <t>2023-05-03-10201SP1446-01-ZDS</t>
  </si>
  <si>
    <t>2023-05-03-10202SP290-01</t>
  </si>
  <si>
    <t>NXEGZSP00330801CA03400</t>
  </si>
  <si>
    <t>JANICE H. MICABALO</t>
  </si>
  <si>
    <t>2023-04-012-T</t>
  </si>
  <si>
    <t>2023-05-03-10202SP291-01</t>
  </si>
  <si>
    <t>NXEGZSP00330801DE83400</t>
  </si>
  <si>
    <t>2023-04-012-U</t>
  </si>
  <si>
    <t>2023-05-03-10201SP1447-01</t>
  </si>
  <si>
    <t>2023-05-03-10202SP292-01</t>
  </si>
  <si>
    <t>Dina J. Mayormita</t>
  </si>
  <si>
    <t>NXEGZSP00330801AF53400</t>
  </si>
  <si>
    <t>JOANNAH S. JARA</t>
  </si>
  <si>
    <t>2023-05-03-10201SP1447-01-ZDS</t>
  </si>
  <si>
    <t>2023-04-012-V</t>
  </si>
  <si>
    <t>2022-05-02-10202SP74-01</t>
  </si>
  <si>
    <t>2022-11-SP-005</t>
  </si>
  <si>
    <t>2023-05-03-10201SP1448-01</t>
  </si>
  <si>
    <t>Ana Georgina C. Saysip, CPA</t>
  </si>
  <si>
    <t>2023-05-03-10201SP1448-01-ZDS</t>
  </si>
  <si>
    <t>Printer 1449, CPU 1438, UPS 1439</t>
  </si>
  <si>
    <t>HV-SPLIT-102-24-05-73</t>
  </si>
  <si>
    <t>DARPO DAVAO NORTE</t>
  </si>
  <si>
    <t>2023-05-03-10201SP1449-01</t>
  </si>
  <si>
    <t>Davao del Sur</t>
  </si>
  <si>
    <t>HV-SPLIT-102-24-05-76</t>
  </si>
  <si>
    <t>DARPO DAVAO SUR</t>
  </si>
  <si>
    <t>Davao Oriental</t>
  </si>
  <si>
    <t>Liezel R. Taborno</t>
  </si>
  <si>
    <t>HV-SPLIT-102-24-05-81</t>
  </si>
  <si>
    <t>Cartographer II</t>
  </si>
  <si>
    <t>2023-05-03-10201SP1449-01-ZDS</t>
  </si>
  <si>
    <t>DARPO DAVAO ORIENTAL</t>
  </si>
  <si>
    <t>2022-05-02-10202SP71-01</t>
  </si>
  <si>
    <t>UPS Unserviceable</t>
  </si>
  <si>
    <t>RNK2700182</t>
  </si>
  <si>
    <t>LEONILO D. CASAURAN</t>
  </si>
  <si>
    <t>DARCO PTR 2022-11-007S / DARRO PTR 2022-11-SP-003 / PAR 2023-10-034</t>
  </si>
  <si>
    <t>2023-05-03-10201SP1450-01</t>
  </si>
  <si>
    <t>2023-05-14-1021SP44-01</t>
  </si>
  <si>
    <t>Engr. Segundo T. Torres</t>
  </si>
  <si>
    <t>Z60SN272200394</t>
  </si>
  <si>
    <t>ENGR. EUTIQUIO PAGSAC, III</t>
  </si>
  <si>
    <t>2023-05-03-10201SP1450-01-ZDS</t>
  </si>
  <si>
    <t>DARCO PTR 2023-03-045S / DARRO PTR 2023-03-SP-003A / PAR 2023-05-018</t>
  </si>
  <si>
    <t>DARMO-San Miguel</t>
  </si>
  <si>
    <t>Monitor 1438, UPS 1449</t>
  </si>
  <si>
    <t>DARCO PTR 2023-03-045S / DARRO PTR 2023-03-SP-003B / PAR 2023-05-019</t>
  </si>
  <si>
    <t>2023-05-03-10201SP1451-01</t>
  </si>
  <si>
    <t>Jollybie R. Lanzado</t>
  </si>
  <si>
    <t>2023-05-03-10201SP1451-01-ZDS</t>
  </si>
  <si>
    <t>2023-05-14-10202SP26-01</t>
  </si>
  <si>
    <t>SP10730087</t>
  </si>
  <si>
    <t>CPU Unserviceable</t>
  </si>
  <si>
    <t>DARCO PTR 2023-03-045S / DARRO PTR 2023-03-SP-006 / PAR 2023-05-020</t>
  </si>
  <si>
    <t>2023-05-14-10202SP25-01</t>
  </si>
  <si>
    <t>SP10730031</t>
  </si>
  <si>
    <t>ENGR. JEIGFRED PEPITO</t>
  </si>
  <si>
    <t>DARCO PTR 2023-03-045S / DARRO PTR 2023-03-SP-005 / PAR __</t>
  </si>
  <si>
    <t>NO PAR No.</t>
  </si>
  <si>
    <t>2023-05-03-10201SP384-01</t>
  </si>
  <si>
    <t>2023-05-03-10202SP293-01</t>
  </si>
  <si>
    <t>NXEGZSP00330801A983400</t>
  </si>
  <si>
    <t>JUPITER S. ARANDELA, JR.</t>
  </si>
  <si>
    <t>Engr. Jena C. Salaug</t>
  </si>
  <si>
    <t>DARCO PTR 2023-08-051S / DARRO PTR 2023-09-SP-022 / PAR 2023-09-032</t>
  </si>
  <si>
    <t>2023-05-03-10201SP384-01-ZDS</t>
  </si>
  <si>
    <t>2023-05-03-10202SP294-01</t>
  </si>
  <si>
    <t>Printer 1441</t>
  </si>
  <si>
    <t>NXEGZSP00330801BD03400</t>
  </si>
  <si>
    <t>FE E. VASQUEZ</t>
  </si>
  <si>
    <t>CARTOGRAOHER</t>
  </si>
  <si>
    <t>DARCO PTR 2023-08-051S / DARRO PTR 2023-09-SP-022 / PAR 2023-09-029</t>
  </si>
  <si>
    <t>DAN CHRISTIAN M. MACAS</t>
  </si>
  <si>
    <t>SPLIT-MIS</t>
  </si>
  <si>
    <t>2023-05-03-10202SP80-01 &gt; 
NEW 2023-05-10-10202SP-80-04</t>
  </si>
  <si>
    <t>JOEL B. BAYLA</t>
  </si>
  <si>
    <t>PAR 2023-05-025</t>
  </si>
  <si>
    <t>JOELB.BAYLA</t>
  </si>
  <si>
    <t>MARO BANSALAN</t>
  </si>
  <si>
    <t>Directly issued from DARCO to recipient</t>
  </si>
  <si>
    <t>2023-05-03-10202SP297-01</t>
  </si>
  <si>
    <t>2023-05-03-10201SP385-01</t>
  </si>
  <si>
    <t>NXEGZSP00330801BAE3400</t>
  </si>
  <si>
    <t>ELISA S. DACULA</t>
  </si>
  <si>
    <t>Delly A. Mangapis</t>
  </si>
  <si>
    <t>PLANNING OFFICER IV/M&amp;E COORDINATOR</t>
  </si>
  <si>
    <t>DARCO PTR 2023-08-051S / DARRO PTR 2023-09-SP-024 / PAR _________</t>
  </si>
  <si>
    <t>2023-05-03-10201SP385-01-ZDS</t>
  </si>
  <si>
    <t>2023-05-03-10202SP298-01</t>
  </si>
  <si>
    <t>Printer 1439</t>
  </si>
  <si>
    <t>NXEGZSP00330801D133400</t>
  </si>
  <si>
    <t>DANIEL P. APALE</t>
  </si>
  <si>
    <t>ARPT/MISS COORDINATOR</t>
  </si>
  <si>
    <t>2023-05-03-10202SP299-01</t>
  </si>
  <si>
    <t>NXEGZSP00330801F353400</t>
  </si>
  <si>
    <t>2023-05-03-10201SP386-01</t>
  </si>
  <si>
    <t>EDUARDO E. SUAYBAGUIO</t>
  </si>
  <si>
    <t>2023-05-03-10201SP386-01-ZDS</t>
  </si>
  <si>
    <t>2023-05-03-10202SP300-01</t>
  </si>
  <si>
    <t>NXEGZSP00330801D7D3400</t>
  </si>
  <si>
    <t>LANELIE AGUANTAA</t>
  </si>
  <si>
    <t>2023-05-03-10201SP387-01</t>
  </si>
  <si>
    <t>2023-05-03-10201SP1592-01</t>
  </si>
  <si>
    <t>1S11T5S16200GM041B00</t>
  </si>
  <si>
    <t>MARY GRACE L. MAGHARI</t>
  </si>
  <si>
    <t>2023-05-03-10201SP387-01-ZDS</t>
  </si>
  <si>
    <t>DARCO PTR 2023-04-074 / DARRO PTR 2023-03-SP-014 / PAR 2023-04-006</t>
  </si>
  <si>
    <t>MA. CARMEN DE VERA</t>
  </si>
  <si>
    <t>DARPO - PERSONNEL</t>
  </si>
  <si>
    <t>Unserviceable Printer</t>
  </si>
  <si>
    <t>2023-05-03-10201SP1593-01</t>
  </si>
  <si>
    <t>1S11T5S16200GM0418E2</t>
  </si>
  <si>
    <t>CHRISTIAN C. LABAJO</t>
  </si>
  <si>
    <t>DARCO PTR 2023-04-074 / DARRO PTR 2023-03-SP-014 / PAR 2023-04-007</t>
  </si>
  <si>
    <t>DARPO - STO</t>
  </si>
  <si>
    <t>2023-05-03-10201SP388-01</t>
  </si>
  <si>
    <t>2023-05-03-10201SP388-01-ZDS</t>
  </si>
  <si>
    <t>2023-05-03-10201SP1594-01</t>
  </si>
  <si>
    <t>1S11T5S16200GM0415TT</t>
  </si>
  <si>
    <t>EVANGELINE DELA CERNA</t>
  </si>
  <si>
    <t>DARCO PTR 2023-04-074 / DARRO PTR 2023-03-SP-014 / PAR 2023-04-017</t>
  </si>
  <si>
    <t>DARPO - PBDD</t>
  </si>
  <si>
    <t>2023-05-03-10201SP1595-01</t>
  </si>
  <si>
    <t>1S11T5S16200GM0418LA</t>
  </si>
  <si>
    <t>2023-05-03-10202SP341-01</t>
  </si>
  <si>
    <t>DARCO PTR 2023-04-074 / DARRO PTR 2023-03-SP-014 / PAR 2023-04-011</t>
  </si>
  <si>
    <t>2023-05-03-10202SP341-01-ZDS</t>
  </si>
  <si>
    <t>2023-05-03-10201SP1596-01</t>
  </si>
  <si>
    <t>1S11T5S16200GM041AZQ</t>
  </si>
  <si>
    <t>MARIETH S. FLORENTINO</t>
  </si>
  <si>
    <t>DARCO PTR 2023-04-074 / DARRO PTR 2023-03-SP-014 / PAR 2023-04-012</t>
  </si>
  <si>
    <t>SPLIT - MIS</t>
  </si>
  <si>
    <t>2023-05-03-10202SP342-01</t>
  </si>
  <si>
    <t>2023-05-03-10201SP1597-01</t>
  </si>
  <si>
    <t>1S11T5S16200GM0415WR</t>
  </si>
  <si>
    <t>IMELDA V. DIMAANO</t>
  </si>
  <si>
    <t>2023-05-03-10202SP342-01-ZDS</t>
  </si>
  <si>
    <t>DARCO PTR 2023-04-074 / DARRO PTR 2023-03-SP-014 / PAR 2023-04-013</t>
  </si>
  <si>
    <t>KHAZZANDRA ABALDE</t>
  </si>
  <si>
    <t>SPLIT ACCOUNTING</t>
  </si>
  <si>
    <t>2023-05-03-10201SP1598-01</t>
  </si>
  <si>
    <t>1S11T5S16200GM0415TQ</t>
  </si>
  <si>
    <t>FE E. VELASQUEZ</t>
  </si>
  <si>
    <t>DARCO PTR 2023-04-074 / DARRO PTR 2023-03-SP-014 / PAR 2023-04-014</t>
  </si>
  <si>
    <t>RICHCHELYN GENON</t>
  </si>
  <si>
    <t>2023-05-03-10202SP343-01</t>
  </si>
  <si>
    <t>2023-05-03-10201SP1599-01</t>
  </si>
  <si>
    <t>1S11T5S16200GM041B19</t>
  </si>
  <si>
    <t>2023-05-03-10202SP343-01-ZDS</t>
  </si>
  <si>
    <t>DARCO PTR 2023-04-074 / DARRO PTR 2023-03-SP-014 / PAR 2023-04-015</t>
  </si>
  <si>
    <t>KATRINA CABANGIL</t>
  </si>
  <si>
    <t>SPLIT (BUDGET)</t>
  </si>
  <si>
    <t>2023-05-03-10201SP1601-01</t>
  </si>
  <si>
    <t>1S11T5S16200GM0418F2</t>
  </si>
  <si>
    <t>CARTOGRAPHER III</t>
  </si>
  <si>
    <t>DARCO PTR 2023-04-074 / DARRO PTR 2023-03-SP-014 / PAR 2023-04-008</t>
  </si>
  <si>
    <t>DARPO - LTID - SURVEY</t>
  </si>
  <si>
    <t>2023-05-03-10202SP344-01</t>
  </si>
  <si>
    <t>2023-05-03-10202SP344-01-ZDS</t>
  </si>
  <si>
    <t>2023-05-03-10201SP1602-01</t>
  </si>
  <si>
    <t>1S11T5S16200GM041AXJ</t>
  </si>
  <si>
    <t>DEXTER C. ALONZO</t>
  </si>
  <si>
    <t>DARCO PTR 2023-04-074 / DARRO PTR 2023-03-SP-014 / PAR 2023-04-016</t>
  </si>
  <si>
    <t>DARPO - LTID</t>
  </si>
  <si>
    <t>2023-05-03-10201SP1603-01</t>
  </si>
  <si>
    <t>1S11T5S16200GM04160F</t>
  </si>
  <si>
    <t>EMGR. EUTIQUIO B. PAGSAC III</t>
  </si>
  <si>
    <t>DARCO PTR 2023-04-074 / DARRO PTR 2023-03-SP-014 / PAR 2023-04-010</t>
  </si>
  <si>
    <t>ENGR. EUTIQUIO B. PAGSAC III</t>
  </si>
  <si>
    <t>2023-05-03-10201SP1640-01</t>
  </si>
  <si>
    <t>1S11T5S16200GM0418F9</t>
  </si>
  <si>
    <t>AMOR JESSA PASAGUE</t>
  </si>
  <si>
    <t>DARCO PTR 2023-04-074 / DARRO PTR 2023-03-SP-018 / PAR _______</t>
  </si>
  <si>
    <t>DARMO - BOSTON</t>
  </si>
  <si>
    <t>2023-05-03-10201SP1641-01</t>
  </si>
  <si>
    <t>1S11T5S16200GM041AYJ</t>
  </si>
  <si>
    <t>CONCORDIA BOLAMBAO</t>
  </si>
  <si>
    <t>DARMO - CARAGA</t>
  </si>
  <si>
    <t>2023-05-03-10202SP69-01</t>
  </si>
  <si>
    <t>2023-05-03-10201SP1642-01</t>
  </si>
  <si>
    <t>1S11T5S16200GM0418L5</t>
  </si>
  <si>
    <t>DANIEL APALE</t>
  </si>
  <si>
    <t>LTID - SPLIT MIS</t>
  </si>
  <si>
    <t xml:space="preserve"> 2022-05-02-10202SP63-01</t>
  </si>
  <si>
    <t>2023-05-03-10201SP1643-01</t>
  </si>
  <si>
    <t>1S11T5S16200GM041B58</t>
  </si>
  <si>
    <t>EVANGELINE L. CASICNAN</t>
  </si>
  <si>
    <t>2022-04-04-003-ZDS</t>
  </si>
  <si>
    <t>DARMO - MATI</t>
  </si>
  <si>
    <t>2023-05-03-10201SP1644-01</t>
  </si>
  <si>
    <t>1S11T5S16200GM0415XL</t>
  </si>
  <si>
    <t>ROY L. BALILAHON</t>
  </si>
  <si>
    <t>Engr. Raimund A. Tamin</t>
  </si>
  <si>
    <t>2023-05-14-10201SP38-01-ZDS</t>
  </si>
  <si>
    <t>2023-05-03-10201SP1645-01</t>
  </si>
  <si>
    <t>1S11T5S16200GM04160L</t>
  </si>
  <si>
    <t>CRISELDA Z. RAMOS</t>
  </si>
  <si>
    <t>DARMO - MANAY</t>
  </si>
  <si>
    <t>2023-05-14-10201SP39-01-ZDS</t>
  </si>
  <si>
    <t>2023-05-03-10201SP1646-01</t>
  </si>
  <si>
    <t>1S11T5S16200GM0415RY</t>
  </si>
  <si>
    <t>ADELA FIGURACION</t>
  </si>
  <si>
    <t>DARMO - BANAYBANAY</t>
  </si>
  <si>
    <t>2023-05-14-10201SP20-01-ZDS</t>
  </si>
  <si>
    <t>2023-05-03-10201SP1647-01</t>
  </si>
  <si>
    <t>1S11T5S16200GM0418JA</t>
  </si>
  <si>
    <t>LANIELIE AGUANTA</t>
  </si>
  <si>
    <t>HVSPLIT-102-24-05-090</t>
  </si>
  <si>
    <t>2023-05-03-10201SP1648-01</t>
  </si>
  <si>
    <t>1S11T5S16200GM041AZC</t>
  </si>
  <si>
    <t>ARLENE B. LINSAG</t>
  </si>
  <si>
    <t>PBDD / ESS</t>
  </si>
  <si>
    <t>DARPO ZAMBO SUR</t>
  </si>
  <si>
    <t>2023-05-03-10201SP1649-01</t>
  </si>
  <si>
    <t>1S11T5S16200GM0418E1</t>
  </si>
  <si>
    <t>ATTY. DEBBIE LOVE PUDPUD</t>
  </si>
  <si>
    <t>2024-05-03-10202SP-335-01</t>
  </si>
  <si>
    <t>NXVXKSP00341913C7D7600</t>
  </si>
  <si>
    <t>JAMES CARL MONTIMOR</t>
  </si>
  <si>
    <t>DARAB LEGAL ASSISTANT I</t>
  </si>
  <si>
    <t>24-016</t>
  </si>
  <si>
    <t>2023-05-03-10201SP1650-01</t>
  </si>
  <si>
    <t>1S11T5S16200GM0418FM</t>
  </si>
  <si>
    <t>SOLOMON AMILA II</t>
  </si>
  <si>
    <t>DARMO - GOV. GENEROSO</t>
  </si>
  <si>
    <t>HVSPLIT-102-24-05-01-237</t>
  </si>
  <si>
    <t>MSB0A7O4S0103547; PC6M064401286</t>
  </si>
  <si>
    <t>RAGDEE GARCIA</t>
  </si>
  <si>
    <t>SARPO/Acting Planning Officer</t>
  </si>
  <si>
    <t>(For Issuance of ICS No.)</t>
  </si>
  <si>
    <t>MARIAN BOYLES</t>
  </si>
  <si>
    <t>2023-05-03-10201SP1651-01</t>
  </si>
  <si>
    <t>1S11T5S16200GM0418LK</t>
  </si>
  <si>
    <t>ADELINE P. CLAVERIA</t>
  </si>
  <si>
    <t>SARPT / OIC - MARPO</t>
  </si>
  <si>
    <t>DARMO - BANGANGA</t>
  </si>
  <si>
    <t>HVSPLIT-102-24-05-01-242</t>
  </si>
  <si>
    <t>MSB0A7O4S0103962; PC6M064401626</t>
  </si>
  <si>
    <t>(NO END USER DUE TO RENEWAL OF RCT)</t>
  </si>
  <si>
    <t>HVSPLIT-102-24-05-01-179</t>
  </si>
  <si>
    <t>HVSPLIT-102-24-05-01-243</t>
  </si>
  <si>
    <t>MSB0A7O4S0103711; PC6M064401840</t>
  </si>
  <si>
    <t>BONA JANE AMODIA</t>
  </si>
  <si>
    <t>DARMO - KABASALAN/NAGA</t>
  </si>
  <si>
    <t>HVSPLIT-102-24-05-01-460</t>
  </si>
  <si>
    <t>HVSPLIT-102-24-05-01-461</t>
  </si>
  <si>
    <t>HVSPLIT-102-24-05-01-482</t>
  </si>
  <si>
    <t>PC6M064402062/MSB0A704S0103931</t>
  </si>
  <si>
    <t>MARY CHEREL L. BUBURAN</t>
  </si>
  <si>
    <t>I-24-02-ZDN-SPLIT-230</t>
  </si>
  <si>
    <t>MARY CHEREL L. BUBURAN
 DIVINE MERCY DOLORICAN</t>
  </si>
  <si>
    <t>STOD-ACCOUNTING</t>
  </si>
  <si>
    <t>HVSPLIT-102-24-05-01-483</t>
  </si>
  <si>
    <t>HVSPLIT-102-24-05-01-462</t>
  </si>
  <si>
    <t>PC6M064401562/MSB0A704S0103914</t>
  </si>
  <si>
    <t>MILA D. BANQUIRIGO</t>
  </si>
  <si>
    <t>I-24-02-ZDN-SPLIT-231</t>
  </si>
  <si>
    <t>DARMO SINDANGAN</t>
  </si>
  <si>
    <t>HVSPLIT-102-24-05-01-463</t>
  </si>
  <si>
    <t>HVSPLIT-102-24-05-01-484</t>
  </si>
  <si>
    <t>HVSPLIT-102-24-05-01-464</t>
  </si>
  <si>
    <t>PC6M064401318/MSB0A704S0103852</t>
  </si>
  <si>
    <t>ANGELA PATAC</t>
  </si>
  <si>
    <t>I-24-02-ZDN-SPLIT-232</t>
  </si>
  <si>
    <t>DARMO RIZAL</t>
  </si>
  <si>
    <t>HVSPLIT-102-24-05-01-465</t>
  </si>
  <si>
    <t>HVSPLIT-102-24-05-01-466</t>
  </si>
  <si>
    <t>HVSPLIT-102-24-05-01-467</t>
  </si>
  <si>
    <t>HVSPLIT-102-24-05-01-468</t>
  </si>
  <si>
    <t>HVSPLIT-102-24-05-01-485</t>
  </si>
  <si>
    <t>PC6M064401318/MSB0A704S0103853</t>
  </si>
  <si>
    <t>I-24-02-ZDN-SPLIT-233</t>
  </si>
  <si>
    <t>HVSPLIT-102-24-05-01-469</t>
  </si>
  <si>
    <t>HVSPLIT-102-24-05-01-470</t>
  </si>
  <si>
    <t>HVSPLIT-102-24-05-01-471</t>
  </si>
  <si>
    <t>HVSPLIT-102-24-05-01-486</t>
  </si>
  <si>
    <t>PC6M064401318/MSB0A704S0103854</t>
  </si>
  <si>
    <t>HVSPLIT-102-24-05-01-472</t>
  </si>
  <si>
    <t>I-24-02-ZDN-SPLIT-234</t>
  </si>
  <si>
    <t>HVSPLIT-102-24-05-01-473</t>
  </si>
  <si>
    <t>HVSPLIT-102-24-05-01-474</t>
  </si>
  <si>
    <t>HVSPLIT-102-24-05-01-487</t>
  </si>
  <si>
    <t>PC6M064401318/MSB0A704S0103855</t>
  </si>
  <si>
    <t>I-24-02-ZDN-SPLIT-235</t>
  </si>
  <si>
    <t>HVSPLIT-102-24-05-01-475</t>
  </si>
  <si>
    <t>HVSPLIT-102-24-05-01-476</t>
  </si>
  <si>
    <t>HVSPLIT-102-24-05-01-477</t>
  </si>
  <si>
    <t>2023-06-01-10201SP128-01</t>
  </si>
  <si>
    <t>SNC 1205</t>
  </si>
  <si>
    <t>GERMAN G. PEDROS</t>
  </si>
  <si>
    <t>ADMIN AIDE IV</t>
  </si>
  <si>
    <t>2023-047</t>
  </si>
  <si>
    <t>HVSPLIT-102-24-05-01-478</t>
  </si>
  <si>
    <t>2023-06-01-10201SP112-01</t>
  </si>
  <si>
    <t>SNC 1202</t>
  </si>
  <si>
    <t>ROEL T. GOMEZ</t>
  </si>
  <si>
    <t>HVSPLIT-102-24-05-01-479</t>
  </si>
  <si>
    <t>2023-048</t>
  </si>
  <si>
    <t>RICTHIE MAQUILING (DRIVER)</t>
  </si>
  <si>
    <t>SUPPLY SECTION</t>
  </si>
  <si>
    <t>HVSPLIT-102-24-05-01-480</t>
  </si>
  <si>
    <t>2023-06-01-10202SP549-01</t>
  </si>
  <si>
    <t>HVSPLIT-102-24-05-01-481</t>
  </si>
  <si>
    <t>2023-006</t>
  </si>
  <si>
    <t>2023-06-01-10201SP120-01</t>
  </si>
  <si>
    <t>SNC 1315</t>
  </si>
  <si>
    <t>2023-06-01-10202SP548-01</t>
  </si>
  <si>
    <t>2023-06-01-10201SP121-01</t>
  </si>
  <si>
    <t>SNC 1242</t>
  </si>
  <si>
    <t>2023-006B</t>
  </si>
  <si>
    <t>ROQUE B. ONGAY (HEO II)</t>
  </si>
  <si>
    <t>2023-06-01-10202SP612-01</t>
  </si>
  <si>
    <t>PRIMEROSE C. SARA</t>
  </si>
  <si>
    <t>DARCO PTR 2023-04-013S / DARRO PTR 2023-03-SP-007 / PAR 2023-04-0001SP</t>
  </si>
  <si>
    <t>NONE</t>
  </si>
  <si>
    <t>2023-06-01-10202SP551-01</t>
  </si>
  <si>
    <t>2023-06-01-10202SP613-01</t>
  </si>
  <si>
    <t>JULIE ANN T. VENUS</t>
  </si>
  <si>
    <t>DARCO PTR 2023-04-013S / DARRO PTR 2023-03-SP-007 / PAR 2023-04-0002SP</t>
  </si>
  <si>
    <t>2023-006A</t>
  </si>
  <si>
    <t>2023-06-01-10202SP614-01</t>
  </si>
  <si>
    <t>ANNABEL C. NUÑEZ</t>
  </si>
  <si>
    <t>DARCO PTR 2023-04-013S / DARRO PTR 2023-03-SP-007 / PAR 2023-04-0003SP</t>
  </si>
  <si>
    <t>2023-06-01-10202SP615-01</t>
  </si>
  <si>
    <t>NASIF S. BALINDONG</t>
  </si>
  <si>
    <t>DARCO PTR 2023-04-013S / DARRO PTR 2023-03-SP-007 / PAR 2023-04-0004SP</t>
  </si>
  <si>
    <t>MARK ANDREW M. DORIA</t>
  </si>
  <si>
    <t>2023-06-01-10201SP108-01</t>
  </si>
  <si>
    <t>SNC 1207</t>
  </si>
  <si>
    <t>AO IV - SUPPLY OFFICER</t>
  </si>
  <si>
    <t>ZSSPLIT2023-13-01-027</t>
  </si>
  <si>
    <t>ROLANDO M. LIBETARIO JR, CPA</t>
  </si>
  <si>
    <t>2023-06-01-10202SP616-01</t>
  </si>
  <si>
    <t>AO IV-BUDGET</t>
  </si>
  <si>
    <t>DARCO PTR 2023-04-013S / DARRO PTR 2023-03-SP-007 / PAR 2023-04-0005SP</t>
  </si>
  <si>
    <t>2023-06-01-10202SP506-01</t>
  </si>
  <si>
    <t>2023-06-01-10201SP122-01</t>
  </si>
  <si>
    <t>CECILE G. MIRAL
 BRYAN MONTIGO</t>
  </si>
  <si>
    <t>SNC 1152</t>
  </si>
  <si>
    <t>AO IV - SUPPLY OFFICER
 ACTING PLANNING</t>
  </si>
  <si>
    <t>ZSSPLIT2023-13-06-028</t>
  </si>
  <si>
    <t>2023-06-01-10202SP509-01 ACTUAL BUT PER ACCOUNTING 2023-06-01-10202SP506-01</t>
  </si>
  <si>
    <t>2023-05-03-10201SP123-01</t>
  </si>
  <si>
    <t>SNC 1215</t>
  </si>
  <si>
    <t>ZALDY A. ARENAS</t>
  </si>
  <si>
    <t>SPLIT-2023-09-0037</t>
  </si>
  <si>
    <t>2023-06-01-10202SP505-01</t>
  </si>
  <si>
    <t>ZSSPLIT2023-13-06-029</t>
  </si>
  <si>
    <t>RUSSEL P. LIMBAGO
 JUSTINE MARK DE ASIS</t>
  </si>
  <si>
    <t>2023-06-01-10202SP496-01</t>
  </si>
  <si>
    <t>MOTORCYCLE - HONDA XR150L</t>
  </si>
  <si>
    <t>ROMNICK B. SARSABA</t>
  </si>
  <si>
    <t>ZSSPLIT2023-13-06-030</t>
  </si>
  <si>
    <t>JOEL CASTILLO
 JEREMY ALEJANDRO</t>
  </si>
  <si>
    <t>DARCO PTR 2023-04-013S / DARRO PTR 2023-03-SP-011/ PAR 2023-05-0014</t>
  </si>
  <si>
    <t>2023-06-01-10202SP510-01</t>
  </si>
  <si>
    <t>JERIC ARANDIA</t>
  </si>
  <si>
    <t>DANIEL G. BETIL JR.</t>
  </si>
  <si>
    <t>ZSSPLIT2023-13-06-031</t>
  </si>
  <si>
    <t>DARCO PTR 2023-04-013S / DARRO PTR 2023-03-SP-011/ PAR 2023-05-0015</t>
  </si>
  <si>
    <t>REYMUND L. TAMPOS</t>
  </si>
  <si>
    <t>DARCO PTR 2023-04-013S / DARRO PTR 2023-03-SP-011/ PAR 2023-05-0016</t>
  </si>
  <si>
    <t>2023-06-01-10202SP513-01</t>
  </si>
  <si>
    <t>JOCELYN N. BAGUIO</t>
  </si>
  <si>
    <t>ZSSPLIT2023-13-06-032</t>
  </si>
  <si>
    <t>DARMO PAYAO</t>
  </si>
  <si>
    <t>JAN ANTHONY D. HINOS</t>
  </si>
  <si>
    <t>DARCO PTR 2023-04-013S / DARRO PTR 2023-03-SP-011/ PAR 2023-05-0017</t>
  </si>
  <si>
    <t>2023-06-01-10202SP517-01</t>
  </si>
  <si>
    <t>RYAN B. MONACILLO</t>
  </si>
  <si>
    <t>JONELL J. DAGWAYAN</t>
  </si>
  <si>
    <t>ZSSPLIT2023-13-06-033</t>
  </si>
  <si>
    <t>AOIV - GSO</t>
  </si>
  <si>
    <t>DARCO PTR 2023-04-013S / DARRO PTR 2023-03-SP-011/ PAR 2023-05-0018</t>
  </si>
  <si>
    <t>2023-06-01-10201SP126-01</t>
  </si>
  <si>
    <t>SNC 1177</t>
  </si>
  <si>
    <t>TERSO D. GREGORIO SR.</t>
  </si>
  <si>
    <t>2023-10-0026</t>
  </si>
  <si>
    <t>2023-06-01-10202SP519-01</t>
  </si>
  <si>
    <t>OPARPO</t>
  </si>
  <si>
    <t>EZRA ACLA</t>
  </si>
  <si>
    <t>ZSSPLIT2023-13-06-034</t>
  </si>
  <si>
    <t>DARMO MABUHAY</t>
  </si>
  <si>
    <t>2023-06-01-10202SP658-01</t>
  </si>
  <si>
    <t>DARCO PTR 2023-04-013S / DARRO PTR 2023-03-SP-012 / PAR 2023-04-001A</t>
  </si>
  <si>
    <t>2023-06-01-10202SP659-01</t>
  </si>
  <si>
    <t>REYNOLD L. CAMACHO</t>
  </si>
  <si>
    <t>DARCO PTR 2023-04-013S / DARRO PTR 2023-03-SP-012 / PAR 2023-04-002B</t>
  </si>
  <si>
    <t>2023-06-01-10202SP520-01</t>
  </si>
  <si>
    <t>ZSSPLIT2023-13-06-035</t>
  </si>
  <si>
    <t>2023-06-01-10202SP660-01</t>
  </si>
  <si>
    <t>RICHARD T. GUDIN</t>
  </si>
  <si>
    <t>DARCO PTR 2023-04-013S / DARRO PTR 2023-03-SP-012 / PAR 2023-04-003C</t>
  </si>
  <si>
    <t>2023-06-01-10202SP661-01</t>
  </si>
  <si>
    <t>ALVIN M. NARBOADA</t>
  </si>
  <si>
    <t>DARCO PTR 2023-04-013S / DARRO PTR 2023-03-SP-012 / PAR 2023-04-004D</t>
  </si>
  <si>
    <t>2023-06-01-10202SP522-01</t>
  </si>
  <si>
    <t>LETICIA SAGA</t>
  </si>
  <si>
    <t>ZSSPLIT2023-13-06-036</t>
  </si>
  <si>
    <t>2023-06-01-10202SP662-01</t>
  </si>
  <si>
    <t>BERNARDO S. LAVILLA</t>
  </si>
  <si>
    <t>DARCO PTR 2023-04-013S / DARRO PTR 2023-03-SP-012 / PAR 2023-04-005E</t>
  </si>
  <si>
    <t>2023-06-01-10202SP663-01</t>
  </si>
  <si>
    <t>ABMER D. MACAPENDEG</t>
  </si>
  <si>
    <t>DARCO PTR 2023-04-013S / DARRO PTR 2023-03-SP-012 / PAR 2023-04-006F</t>
  </si>
  <si>
    <t>2023-06-01-10202SP537-01</t>
  </si>
  <si>
    <t>HELENE GARCIA</t>
  </si>
  <si>
    <t>ZSSPLIT2023-13-06-037</t>
  </si>
  <si>
    <t>RAYMAR SUARDIAZ</t>
  </si>
  <si>
    <t>2023-06-01-10202SP664-01</t>
  </si>
  <si>
    <t>RENN MARR C. MANINGO</t>
  </si>
  <si>
    <t>DARCO PTR 2023-04-013S / DARRO PTR 2023-03-SP-012 / PAR 2023-04-007G</t>
  </si>
  <si>
    <t>2023-06-01-10202SP665-01</t>
  </si>
  <si>
    <t>CRES Q. LAMOSTE</t>
  </si>
  <si>
    <t>DARCO PTR 2023-04-013S / DARRO PTR 2023-03-SP-012 / PAR 2023-04-008H</t>
  </si>
  <si>
    <t>2023-06-01-10202SP524-01</t>
  </si>
  <si>
    <t>ALBERT IAN CORVERA</t>
  </si>
  <si>
    <t>ZSSPLIT2023-13-06-038</t>
  </si>
  <si>
    <t>2023-06-01-10202SP666-01</t>
  </si>
  <si>
    <t>DARMO ISABELA</t>
  </si>
  <si>
    <t>NELIA C. GANIERA</t>
  </si>
  <si>
    <t>DARCO PTR 2023-04-013S / DARRO PTR 2023-03-SP-012 / PAR 2023-04-009I</t>
  </si>
  <si>
    <t>2023-06-01-10202SP667-01</t>
  </si>
  <si>
    <t>CARL A. QUINDAO</t>
  </si>
  <si>
    <t>DARCO PTR 2023-04-013S / DARRO PTR 2023-03-SP-012 / PAR 2023-04-012L</t>
  </si>
  <si>
    <t>2023-06-01-10202SP526-01</t>
  </si>
  <si>
    <t>EDWARD EBILLO</t>
  </si>
  <si>
    <t>ZSSPLIT2023-13-06-039</t>
  </si>
  <si>
    <t>2023-06-01-10202SP668-01</t>
  </si>
  <si>
    <t>REX S. PRESILDA</t>
  </si>
  <si>
    <t>DARCO PTR 2023-04-013S / DARRO PTR 2023-03-SP-012 / PAR 2023-04-011J</t>
  </si>
  <si>
    <t>2023-06-01-10202SP669-01</t>
  </si>
  <si>
    <t>ALBERT D. ORPIANO</t>
  </si>
  <si>
    <t>DARCO PTR 2023-04-013S / DARRO PTR 2023-03-SP-012 / PAR 2023-04-010K</t>
  </si>
  <si>
    <t>2023-06-01-10202SP527-01</t>
  </si>
  <si>
    <t>ALFRED BERMUDEZ</t>
  </si>
  <si>
    <t>ZSSPLIT2023-13-06-040</t>
  </si>
  <si>
    <t>2023-06-01-10202SP670-01</t>
  </si>
  <si>
    <t>ARCEL E. NEROSA</t>
  </si>
  <si>
    <t>DARCO PTR 2023-04-013S / DARRO PTR 2023-03-SP-012 / PAR 2023-04-012M</t>
  </si>
  <si>
    <t>ACOOUNTING SECTION</t>
  </si>
  <si>
    <t>2023-06-01-10201SP124-01</t>
  </si>
  <si>
    <t>SNC-1070</t>
  </si>
  <si>
    <t>2023-06-01-10202SP530-01</t>
  </si>
  <si>
    <t>CRISOSTOMO N. BERNLDEZ</t>
  </si>
  <si>
    <t>PARO II</t>
  </si>
  <si>
    <t>SAMMY J. ACALUL</t>
  </si>
  <si>
    <t>2023-10-SP-032</t>
  </si>
  <si>
    <t>OPARO</t>
  </si>
  <si>
    <t>ZSSPLIT2023-13-06-041</t>
  </si>
  <si>
    <t>2023-06-01-10202SP617-01</t>
  </si>
  <si>
    <t>RAMIL C. NONOL</t>
  </si>
  <si>
    <t>ENGINEERING AIDE</t>
  </si>
  <si>
    <t>DARCO PTR 2023-04-013S / DARRO PTR 2023-03-SP-008 / PAR 2023-04-001</t>
  </si>
  <si>
    <t>2023-06-01-10202SP533-01</t>
  </si>
  <si>
    <t>NEMESIO J. BALBIN</t>
  </si>
  <si>
    <t>ZSSPLIT2023-13-06-042</t>
  </si>
  <si>
    <t>DARMO TALUSAN</t>
  </si>
  <si>
    <t>2023-06-01-10202SP618-01</t>
  </si>
  <si>
    <t>RAZEL A. MAGHARI</t>
  </si>
  <si>
    <t>DARCO PTR 2023-04-013S / DARRO PTR 2023-03-SP-008 / PAR 2023-04-002</t>
  </si>
  <si>
    <t>2023-06-01-10202SP619-01</t>
  </si>
  <si>
    <t>JOEL B.BAYLA</t>
  </si>
  <si>
    <t>2023-06-01-10202SP534-01</t>
  </si>
  <si>
    <t>DARCO PTR 2023-04-013S / DARRO PTR 2023-03-SP-008 / PAR 2023-04-003</t>
  </si>
  <si>
    <t>FLORINDINO ESTORICO</t>
  </si>
  <si>
    <t>MARO BANSALAN / MAGSAYSAY</t>
  </si>
  <si>
    <t>ZSSPLIT2023-13-06-043</t>
  </si>
  <si>
    <t>2023-06-01-10202SP620-01</t>
  </si>
  <si>
    <t>DANIEL M. ESPERANZA</t>
  </si>
  <si>
    <t>DARCO PTR 2023-04-013S / DARRO PTR 2023-03-SP-008 / PAR 2023-04-004</t>
  </si>
  <si>
    <t>MARO MATANAO</t>
  </si>
  <si>
    <t>2023-06-01-10202SP621-01</t>
  </si>
  <si>
    <t>2023-06-01-10202SP535-01</t>
  </si>
  <si>
    <t>RAMIL N. MARQUEZ</t>
  </si>
  <si>
    <t>SHADIL AKIM ADJU</t>
  </si>
  <si>
    <t>DARCO PTR 2023-04-013S / DARRO PTR 2023-03-SP-008 / PAR 2023-04-005</t>
  </si>
  <si>
    <t>ZSSPLIT2023-13-06-044</t>
  </si>
  <si>
    <t>MARO SULOP</t>
  </si>
  <si>
    <t>2023-06-01-10201SP125-01</t>
  </si>
  <si>
    <t>SNC-1232</t>
  </si>
  <si>
    <t>JONATHAN FABUNA</t>
  </si>
  <si>
    <t>DARCO PTR 2023-10-016MV / DARRO PTR 2023-10-SP-035 / PAR</t>
  </si>
  <si>
    <t>2023-06-01-10202SP536-01</t>
  </si>
  <si>
    <t>2023-06-01-10202SP622-01</t>
  </si>
  <si>
    <t>EDGARDO TALA</t>
  </si>
  <si>
    <t>ANTHONY O. FUERZAS</t>
  </si>
  <si>
    <t>ZSSPLIT2023-13-06-045</t>
  </si>
  <si>
    <t>DARCO PTR 2023-04-013S / DARRO PTR 2023-03-SP-009 / PAR SPLIT 2023-04-0014</t>
  </si>
  <si>
    <t>DARMO ALICIA</t>
  </si>
  <si>
    <t>2023-06-01-10202SP623-01</t>
  </si>
  <si>
    <t>GERALDINE SOBRENO</t>
  </si>
  <si>
    <t>DARCO PTR 2023-04-013S / DARRO PTR 2023-03-SP-009 / PAR SPLIT 2023-04-0015</t>
  </si>
  <si>
    <t>2023-06-01-10202SP522-01
 2023-06-01-10202SP525-01</t>
  </si>
  <si>
    <t>PRETTY M. VILLAGANAS</t>
  </si>
  <si>
    <t>ZSSPLIT2023-13-06-046</t>
  </si>
  <si>
    <t>2023-06-01-10202SP540-01</t>
  </si>
  <si>
    <t>JOHN LLYOD P. CABABAT</t>
  </si>
  <si>
    <t>HRMO</t>
  </si>
  <si>
    <t>ZSSPLIT2023-13-06-047</t>
  </si>
  <si>
    <t>2023-06-01-10202SP624-01</t>
  </si>
  <si>
    <t>DANDY R. BARULO</t>
  </si>
  <si>
    <t>DARCO PTR 2023-04-013S / DARRO PTR 2023-03-SP-009 / PAR SPLIT 2023-04-0017</t>
  </si>
  <si>
    <t>2023-06-01-10202SP625-01</t>
  </si>
  <si>
    <t>2023-06-01-10202SP541-01</t>
  </si>
  <si>
    <t>GENELEEWIN IDULSA</t>
  </si>
  <si>
    <t>EMILYN DAGA-ANG</t>
  </si>
  <si>
    <t>ZSSPLIT2023-13-06-048</t>
  </si>
  <si>
    <t>2023-06-01-10202SP626-01</t>
  </si>
  <si>
    <t>VIC M. ONOD</t>
  </si>
  <si>
    <t>DARCO PTR 2023-04-013S / DARRO PTR 2023-03-SP-009 / PAR SPLIT 2023-04-0018</t>
  </si>
  <si>
    <t>2023-06-01-10202SP627-01</t>
  </si>
  <si>
    <t>2023-06-01-10202SP544-01</t>
  </si>
  <si>
    <t>BERMUDO HAYANA</t>
  </si>
  <si>
    <t>DARCO PTR 2023-04-013S / DARRO PTR 2023-03-SP-009 / PAR SPLIT 2023-04-0019</t>
  </si>
  <si>
    <t>ZSSPLIT2023-13-06-049</t>
  </si>
  <si>
    <t>FAIZAL N. GARINGAN</t>
  </si>
  <si>
    <t>2023-06-01-10202SP628-01</t>
  </si>
  <si>
    <t>ALEXANDER C. DELIMA</t>
  </si>
  <si>
    <t>DARCO PTR 2023-04-013S / DARRO PTR 2023-03-SP-009 / PAR SPLIT 2023-04-0020</t>
  </si>
  <si>
    <t>2023-06-01-10202SP629-01</t>
  </si>
  <si>
    <t>2023-06-01-10202SP543-01</t>
  </si>
  <si>
    <t>VICENTE BATO II</t>
  </si>
  <si>
    <t>DARCO PTR 2023-04-013S / DARRO PTR 2023-03-SP-009 / PAR SPLIT 2023-04-0021</t>
  </si>
  <si>
    <t>ZSSPLIT2023-13-06-050</t>
  </si>
  <si>
    <t>2023-06-01-10202SP630-01</t>
  </si>
  <si>
    <t>ANGELO NAVARRO</t>
  </si>
  <si>
    <t>DARCO PTR 2023-04-013S / DARRO PTR 2023-03-SP-009 / PAR SPLIT 2023-04-0022</t>
  </si>
  <si>
    <t>2023-06-01-10202SP545-01</t>
  </si>
  <si>
    <t>2023-06-01-10202SP631-01</t>
  </si>
  <si>
    <t>LOWELL TOMADA</t>
  </si>
  <si>
    <t>ZSSPLIT2023-13-06-051</t>
  </si>
  <si>
    <t>DARCO PTR 2023-04-013S / DARRO PTR 2023-03-SP-009 / PAR SPLIT 2023-04-0023</t>
  </si>
  <si>
    <t>RENELOU ALMARIO</t>
  </si>
  <si>
    <t>2023-06-01-10202SP632-01</t>
  </si>
  <si>
    <t>FRITZ RANDOLF L. DELAN</t>
  </si>
  <si>
    <t>DARCO PTR 2023-04-013S / DARRO PTR 2023-03-SP-009 / PAR SPLIT 2023-04-0024</t>
  </si>
  <si>
    <t>2023-06-01-10202SP546-01</t>
  </si>
  <si>
    <t>BLENDI ENDONG</t>
  </si>
  <si>
    <t>ASSIST. STAT</t>
  </si>
  <si>
    <t>2023-06-01-10202SP633-01</t>
  </si>
  <si>
    <t>ZSSPLIT2023-13-06-052</t>
  </si>
  <si>
    <t>DANNY L. ROSALES</t>
  </si>
  <si>
    <t>DARCO PTR 2023-04-013S / DARRO PTR 2023-03-SP-009 / PAR SPLIT 2023-04-0025</t>
  </si>
  <si>
    <t>2023-06-01-10202SP634-01</t>
  </si>
  <si>
    <t>DARCO PTR 2023-04-013S / DARRO PTR 2023-03-SP-009 / PAR SPLIT 2023-04-0026</t>
  </si>
  <si>
    <t>2023-06-01-10202SP635-01</t>
  </si>
  <si>
    <t>ZSSPLIT2023-13-06-053</t>
  </si>
  <si>
    <t>RANDY ORELLANIDA</t>
  </si>
  <si>
    <t>DARCO PTR 2023-04-013S / DARRO PTR 2023-03-SP-010 / PAR __</t>
  </si>
  <si>
    <t>2023-06-01-10202SP636-01</t>
  </si>
  <si>
    <t>2023-06-01-10202SP547-01</t>
  </si>
  <si>
    <t>REMI N. LUCERNAS</t>
  </si>
  <si>
    <t>SURVEY MAN</t>
  </si>
  <si>
    <t>ZSSPLIT2023-13-06-054</t>
  </si>
  <si>
    <t>DARMO-SAN ISIDRO</t>
  </si>
  <si>
    <t>2023-06-01-10202SP637-01</t>
  </si>
  <si>
    <t>RHEA MAE SALIMABJON</t>
  </si>
  <si>
    <t>2023-06-01-10202SP542-01</t>
  </si>
  <si>
    <t>DARMO-TARRAGONA</t>
  </si>
  <si>
    <t>ANTAO, PENDATUN</t>
  </si>
  <si>
    <t>ZSSPLIT2023-13-06-055</t>
  </si>
  <si>
    <t>DARMO AYALA</t>
  </si>
  <si>
    <t>2023-06-01-10202SP638-01</t>
  </si>
  <si>
    <t>JHON REY CUBILLO</t>
  </si>
  <si>
    <t>2023-06-01-10202SP639-01</t>
  </si>
  <si>
    <t>RAUL LOPEZ</t>
  </si>
  <si>
    <t>2023-06-01-10201SP109-01</t>
  </si>
  <si>
    <t>DARMO-BOSTON</t>
  </si>
  <si>
    <t>Y3-B136</t>
  </si>
  <si>
    <t>RICARDO M. ABAD</t>
  </si>
  <si>
    <t>P-23-05-ZDN-SPLIT-051</t>
  </si>
  <si>
    <t>2023-06-01-10202SP640-01</t>
  </si>
  <si>
    <t>NOE SETON</t>
  </si>
  <si>
    <t>DARMO-BANAYBANAY</t>
  </si>
  <si>
    <t>2023-06-01-10202SP641-01</t>
  </si>
  <si>
    <t>2023-06-01-10202SP491-01</t>
  </si>
  <si>
    <t>NOEL B. CREDO</t>
  </si>
  <si>
    <t>P-23-05-ZDN-SPLIT-022</t>
  </si>
  <si>
    <t>2023-06-01-10202SP642-01</t>
  </si>
  <si>
    <t>NO PAR Forwarded from province/ NO PAR No.</t>
  </si>
  <si>
    <t>2023-06-01-10202SP643-01</t>
  </si>
  <si>
    <t>ALLAN PATRICK MALUBAY</t>
  </si>
  <si>
    <t>2023-06-01-10202SP492-01</t>
  </si>
  <si>
    <t>DARMO-MATI</t>
  </si>
  <si>
    <t>P-23-05-ZDN-SPLIT-023</t>
  </si>
  <si>
    <t>2023-06-01-10202SP644-01</t>
  </si>
  <si>
    <t>2023-06-01-10202SP494-01</t>
  </si>
  <si>
    <t>2023-06-01-10202SP645-01</t>
  </si>
  <si>
    <t>DOROTHY APRIL M. GAHUM</t>
  </si>
  <si>
    <t>P-23-05-ZDN-SPLIT-024</t>
  </si>
  <si>
    <t>JANYLITO LINSAG</t>
  </si>
  <si>
    <t>DARAD</t>
  </si>
  <si>
    <t>DARMO-BAGANGA</t>
  </si>
  <si>
    <t>2023-06-01-10202SP646-01</t>
  </si>
  <si>
    <t>DONNA BLANCA P. DUPA</t>
  </si>
  <si>
    <t>2023-06-01-10202SP500-01</t>
  </si>
  <si>
    <t>JOY B. AGUM</t>
  </si>
  <si>
    <t>P-23-05-ZDN-SPLIT-025</t>
  </si>
  <si>
    <t>2023-06-01-10202SP647-01</t>
  </si>
  <si>
    <t>DARMO-MUTIA</t>
  </si>
  <si>
    <t>CHRISTOPHER ROGER GAMALE</t>
  </si>
  <si>
    <t>DARMO-CARAGA</t>
  </si>
  <si>
    <t>2023-06-01-10202SP648-01</t>
  </si>
  <si>
    <t>ARNOLD MENDOZA</t>
  </si>
  <si>
    <t>2023-06-01-10202SP498-00
 2023-06-01-10202SP499-01</t>
  </si>
  <si>
    <t>DARMO-CATEEL</t>
  </si>
  <si>
    <t>GRACE D. MALIGRO</t>
  </si>
  <si>
    <t>P-23-05-ZDN-SPLIT-026</t>
  </si>
  <si>
    <t>2023-06-01-10202SP649-01</t>
  </si>
  <si>
    <t>DARMO-RIZAL</t>
  </si>
  <si>
    <t>JORLAND MAQUE</t>
  </si>
  <si>
    <t>2023-06-01-10202SP650-01</t>
  </si>
  <si>
    <t>JOEMAR VICERA</t>
  </si>
  <si>
    <t>2023-06-01-10202SP499-01
 2023-06-01-10202SP498-01</t>
  </si>
  <si>
    <t>APRIL JOY B. MAGARANG</t>
  </si>
  <si>
    <t>P-23-05-ZDN-SPLIT-027</t>
  </si>
  <si>
    <t>2023-06-01-10202SP651-01</t>
  </si>
  <si>
    <t>DARMO-SERGIO OSMEÑA</t>
  </si>
  <si>
    <t>DARMO-GOVERNOR GENEROSO</t>
  </si>
  <si>
    <t>2023-06-01-10202SP652-01</t>
  </si>
  <si>
    <t>JUAN L. DAGPIN</t>
  </si>
  <si>
    <t>2023-06-01-10202SP502-01</t>
  </si>
  <si>
    <t>RUNA JANE B. SABAC</t>
  </si>
  <si>
    <t>P-23-05-ZDN-SPLIT-028</t>
  </si>
  <si>
    <t>DARMO-LUPON</t>
  </si>
  <si>
    <t>DARMO-LILOY</t>
  </si>
  <si>
    <t>2023-06-01-10201SP127-01</t>
  </si>
  <si>
    <t>SNC 1223</t>
  </si>
  <si>
    <t>DARCO PTR 2023-10-016MV / DARRO PTR 2023-10-SP-034 / PAR</t>
  </si>
  <si>
    <t>2023-06-01-10202SP504-01</t>
  </si>
  <si>
    <t>P-23-05-ZDN-SPLIT-029</t>
  </si>
  <si>
    <t>2023-05-03-10201SP224-01</t>
  </si>
  <si>
    <t>2023-05-03-10201SP229-01</t>
  </si>
  <si>
    <t>JOVELYN A. SALBORO</t>
  </si>
  <si>
    <t>P-23-05-ZDN-SPLIT-030</t>
  </si>
  <si>
    <t>2023-05-03-10201SP230-01</t>
  </si>
  <si>
    <t>DARMO-SIRAWAI</t>
  </si>
  <si>
    <t>2023-05-03-10201SP231-01</t>
  </si>
  <si>
    <t>2023-06-01-10202SP507-01</t>
  </si>
  <si>
    <t>CYRINE L. PALMA</t>
  </si>
  <si>
    <t>P-23-05-ZDN-SPLIT-031</t>
  </si>
  <si>
    <t>2023-05-03-10201SP232-01</t>
  </si>
  <si>
    <t>DARMO-DAPITAN</t>
  </si>
  <si>
    <t>2023-05-03-10201SP237-01</t>
  </si>
  <si>
    <t>2023-06-01-10202SP508-01</t>
  </si>
  <si>
    <t>ALVIN R. BUBURAN</t>
  </si>
  <si>
    <t>P-23-05-ZDN-SPLIT-032</t>
  </si>
  <si>
    <t>DARMO-LABASON</t>
  </si>
  <si>
    <t>2023-05-03-10201SP239-01</t>
  </si>
  <si>
    <t>2023-05-03-10201SP241-01</t>
  </si>
  <si>
    <t>2023-06-01-10202SP511-01</t>
  </si>
  <si>
    <t>SILVENO D. CAGAYAN JR.</t>
  </si>
  <si>
    <t>P-23-05-ZDN-SPLIT-033</t>
  </si>
  <si>
    <t>2023-05-03-10201SP242-01</t>
  </si>
  <si>
    <t>DARMO-SINDANGAN</t>
  </si>
  <si>
    <t>2023-05-03-10201SP243-01</t>
  </si>
  <si>
    <t>2023-06-01-10202SP514-01</t>
  </si>
  <si>
    <t>YOLANDA L. HERMANO</t>
  </si>
  <si>
    <t>P-23-05-ZDN-SPLIT-034</t>
  </si>
  <si>
    <t>DARMO-SIOCON</t>
  </si>
  <si>
    <t>2023-06-01-10202SP515-01</t>
  </si>
  <si>
    <t>GLEYZ REYMAR D. LIM</t>
  </si>
  <si>
    <t>P-23-05-ZDN-SPLIT-035</t>
  </si>
  <si>
    <t>DARMO-KATIPUNAN</t>
  </si>
  <si>
    <t>2023-06-01-10202SP523-01</t>
  </si>
  <si>
    <t>EDGAR Y. UYCOCO</t>
  </si>
  <si>
    <t>P-23-05-ZDN-SPLIT-036</t>
  </si>
  <si>
    <t>DARMO-GODOD</t>
  </si>
  <si>
    <t>2023-06-01-10202SP528-01</t>
  </si>
  <si>
    <t>RYAN E. MONLEON</t>
  </si>
  <si>
    <t>P-23-05-ZDN-SPLIT-037</t>
  </si>
  <si>
    <t>2023-06-01-10202SP487-01</t>
  </si>
  <si>
    <t>P-23-05-ZDN-SPLIT-038</t>
  </si>
  <si>
    <t>2023-06-01-10202SP488-01</t>
  </si>
  <si>
    <t>P-23-02-ZDN-SPLIT-039</t>
  </si>
  <si>
    <t>2023-06-01-10202SP489-01</t>
  </si>
  <si>
    <t>EWALD S. ORDINARIA</t>
  </si>
  <si>
    <t>P-23-02-ZDN-SPLIT-040</t>
  </si>
  <si>
    <t>2023-06-01-10201SP110-01</t>
  </si>
  <si>
    <t>SNC 1117</t>
  </si>
  <si>
    <t>Maria Gizella F. Lanuzga</t>
  </si>
  <si>
    <t>2023-03-01-00-0104-77-ZDS</t>
  </si>
  <si>
    <t>2023-06-01-10202SP490-01</t>
  </si>
  <si>
    <t>Enrico Jose C. Bodiongan</t>
  </si>
  <si>
    <t>2023-06-01-102202SP490-01-ZDS</t>
  </si>
  <si>
    <t>2023-06-01-10202SP493-01</t>
  </si>
  <si>
    <t>Charmeine Joy A. Mabulay</t>
  </si>
  <si>
    <t>Admin Aide VI</t>
  </si>
  <si>
    <t>2023-06-01-10202SP493-01-ZDS</t>
  </si>
  <si>
    <t>DARPO- STOD</t>
  </si>
  <si>
    <t>2023-06-01-10202SP495-01</t>
  </si>
  <si>
    <t>Eric Anthony B. Galaraga</t>
  </si>
  <si>
    <t>2023-06-01-10202SP495-01-ZDS</t>
  </si>
  <si>
    <t>Girlyn C. Toling</t>
  </si>
  <si>
    <t>2023-06-01-10202SP496-01-ZDS</t>
  </si>
  <si>
    <t>DARMO-Tambulig</t>
  </si>
  <si>
    <t>2023-06-01-10202SP501-01</t>
  </si>
  <si>
    <t>Jocelyn l. Cagatan</t>
  </si>
  <si>
    <t>2023-06-01-10202SP501-01-ZDS</t>
  </si>
  <si>
    <t>Jocelyn M. Cagas</t>
  </si>
  <si>
    <t>DARMO-Dumingag</t>
  </si>
  <si>
    <t>2023-06-01-10202SP503-01</t>
  </si>
  <si>
    <t>Philipp N. Allego</t>
  </si>
  <si>
    <t>2023-06-01-10202SP503-01-ZDS</t>
  </si>
  <si>
    <t>DARMO-Tigbao</t>
  </si>
  <si>
    <t>2023-06-01-10202SP512-01</t>
  </si>
  <si>
    <t>Mercylyn D. Robaro</t>
  </si>
  <si>
    <t>2023-06-01-10202SP512-01-ZDS</t>
  </si>
  <si>
    <t>2023-06-01-10202SP516-01</t>
  </si>
  <si>
    <t>Jaymark C. Agac-ac</t>
  </si>
  <si>
    <t>2023-06-01-10202SP516-01-ZDS</t>
  </si>
  <si>
    <t>DARMO-Pag. City</t>
  </si>
  <si>
    <t>2023-06-01-10202SP518-01</t>
  </si>
  <si>
    <t>Carlito N. Soria</t>
  </si>
  <si>
    <t>2023-06-01-10202SP518-01-ZDS</t>
  </si>
  <si>
    <t>2023-06-01-10202SP521-01</t>
  </si>
  <si>
    <t>Elmer M. De Guzman</t>
  </si>
  <si>
    <t>Surveyman</t>
  </si>
  <si>
    <t>2023-06-01-10202SP521-01-ZDS</t>
  </si>
  <si>
    <t>Edgar P. Decena</t>
  </si>
  <si>
    <t>2023-06-01-10202SP527-01-ZDS</t>
  </si>
  <si>
    <t>DARMO-Lapuyan</t>
  </si>
  <si>
    <t>2023-06-01-10202SP531-01</t>
  </si>
  <si>
    <t>Jose Regner S. Coraza</t>
  </si>
  <si>
    <t>2023-06-01-10202SP531-01-ZDS</t>
  </si>
  <si>
    <t>DARMO-Tukuran</t>
  </si>
  <si>
    <t>2023-06-01-10202SP532-01</t>
  </si>
  <si>
    <t>Melissa M. Batbatan</t>
  </si>
  <si>
    <t>2023-06-01-10202SP532-01-ZDS</t>
  </si>
  <si>
    <t>2023-06-01-10202SP538-01</t>
  </si>
  <si>
    <t>Jocelyn S. Mayol</t>
  </si>
  <si>
    <t>2023-06-01-10202SP538-01-ZDS</t>
  </si>
  <si>
    <t>DARMO-Josefina</t>
  </si>
  <si>
    <t>2023-06-01-10202SP539-01</t>
  </si>
  <si>
    <t>2023-06-01-10202SP539-01-ZDS</t>
  </si>
  <si>
    <t>2024-05-03-10202SPO55-01</t>
  </si>
  <si>
    <t>2024-05-03-10202SPO72-01</t>
  </si>
  <si>
    <t>Region X</t>
  </si>
  <si>
    <t>2023-05-03-1020SP72-01</t>
  </si>
  <si>
    <t>JOCELYN A. CHUA</t>
  </si>
  <si>
    <t>REGIONAL INFORMATION OFFICER</t>
  </si>
  <si>
    <t>2023-001</t>
  </si>
  <si>
    <t>DAR REGIONAL OFFICEX</t>
  </si>
  <si>
    <t>REMIA M. BUGAHOD</t>
  </si>
  <si>
    <t>PARCELIZATION COMPONENT AND FIELD VALIDATION TEAM COORDINATOR/ CARPO, LTSP</t>
  </si>
  <si>
    <t>RICHARD TANILON</t>
  </si>
  <si>
    <t>VLADIMIR ALFID B. FABE</t>
  </si>
  <si>
    <t>2023-002</t>
  </si>
  <si>
    <t>MAYBELLE T. ALCALA</t>
  </si>
  <si>
    <t>TECHNICAL STAFF 1 - CBTA FOR IMPLEMENTERS/ESS/ PARO I</t>
  </si>
  <si>
    <t>JUSTINE ENILEE A
 TABOTABO</t>
  </si>
  <si>
    <t>2023-05-03-10201SP181-01</t>
  </si>
  <si>
    <t>2023-05-03-10201SP182-01</t>
  </si>
  <si>
    <t>VIOLETA G. CAJES</t>
  </si>
  <si>
    <t>M/E COORDINATOR/ POV</t>
  </si>
  <si>
    <t>JOCELYN BONJOC</t>
  </si>
  <si>
    <t>2023-05-03-10201SP183-01</t>
  </si>
  <si>
    <t>ATTY. STEPHANIE D. CABRERA</t>
  </si>
  <si>
    <t>LEGAL COORDINATOR/TA V</t>
  </si>
  <si>
    <t>MARIALYN C. AMPLAYO</t>
  </si>
  <si>
    <t>2023-05-03-10201SP1541-01</t>
  </si>
  <si>
    <t>ZORAIDA 0. MACADINDANG, AL- HADJ, JD</t>
  </si>
  <si>
    <t>REGIONAL DIRECTOR/ PROJECT MANAGER</t>
  </si>
  <si>
    <t>ZORAIDA 0.
 MACADINDANG, AL-HADJ, JD</t>
  </si>
  <si>
    <t>2023-05-03-10201SP1549-01</t>
  </si>
  <si>
    <t>ATTY. NOEL P. CARREON</t>
  </si>
  <si>
    <t>GRIEVANCE REDRESS MECHANISM (GRM)
 COORDINATOR/ RARAD</t>
  </si>
  <si>
    <t>2023-05-03-10201SP1564-01</t>
  </si>
  <si>
    <t>2023-05-03-10201SP1542-01</t>
  </si>
  <si>
    <t>SENY FE B. FABE</t>
  </si>
  <si>
    <t>PROJECT MANAGER - ADMINISTRA TION/GRM COORDINATOR (TYPE 1 AND
 TYPE 2A)/ ARDA</t>
  </si>
  <si>
    <t>SENY FEB. FABE</t>
  </si>
  <si>
    <t>2023-05-03-10201SP1543-01</t>
  </si>
  <si>
    <t>ENGR. NORBERTO R.
 PAQUINGAN, OM</t>
  </si>
  <si>
    <t>ASSISTANT REGIONAL PROJECT MANAGER - OPN</t>
  </si>
  <si>
    <t>ENGR.' NORBERTO R.
 PAQUINGAN, OM</t>
  </si>
  <si>
    <t>2023-05-03-10201SP1544-01</t>
  </si>
  <si>
    <t>TECHNICAL STAFF 1 -CBTA
 FOR IMPLEMENTERS/ESS, PAROI</t>
  </si>
  <si>
    <t>REGIONAL
 OFFICE</t>
  </si>
  <si>
    <t>2023-05-03-10201SP1561-01</t>
  </si>
  <si>
    <t>TECHNICAL STAFF 1 -CBTA FOR IMPLEMENTERS/ESS, PAROI</t>
  </si>
  <si>
    <t>2023-05-03-
 10201SP1562-01</t>
  </si>
  <si>
    <t>2023-05-03-
 10201SP1563-01</t>
  </si>
  <si>
    <t>2023-05-03-
 10201SP1551-01</t>
  </si>
  <si>
    <t>LEGAL COORDINATOR/ TA V</t>
  </si>
  <si>
    <t>DAR REGIONAL OFFICE X</t>
  </si>
  <si>
    <t>2023-05-03-
 10201SP1550-01</t>
  </si>
  <si>
    <t>2023-05-03-
 10201SP1558-01</t>
  </si>
  <si>
    <t>JOEL ANGELO M. PALER</t>
  </si>
  <si>
    <t>TECHNICAL STAFF 2 - ADMINISTRATIVE AND FINANCE OFFICER/ RCAO</t>
  </si>
  <si>
    <t>LUIS T. ARQUIZA</t>
  </si>
  <si>
    <t>2023-05-03-
 10201SP1559-01</t>
  </si>
  <si>
    <t>JOMARJD.PAPANDAYAN</t>
  </si>
  <si>
    <t>2023-05-03-
 10201SP1560-01</t>
  </si>
  <si>
    <t>RAQUEL D. DE LOS REYES</t>
  </si>
  <si>
    <t>2023-05-03-
 10201SP1553-01</t>
  </si>
  <si>
    <t>2023-05-03-
 10201SP1552-01</t>
  </si>
  <si>
    <t>MARCO ANTONIO M. MABULAY</t>
  </si>
  <si>
    <t>2023-05-03-
 10201SP1565-01</t>
  </si>
  <si>
    <t>ABEGAIL LAGUNA</t>
  </si>
  <si>
    <t>2023-05-03-
 10201SP1545-01</t>
  </si>
  <si>
    <t>2023-05-03-
 10201SP1546-01</t>
  </si>
  <si>
    <t>ARISA A. CUASITO</t>
  </si>
  <si>
    <t>DOCUMENTATION AND ENVIRONMENT AND SOCIAL SAFEGUARDS SUPPORT STAFF/ SUARPO, LTSP</t>
  </si>
  <si>
    <t>2023-05-03-
 10201SP1547-01</t>
  </si>
  <si>
    <t>ENGR. JOVY ANN D. CLARO</t>
  </si>
  <si>
    <t>DENR/LRA-ROD SURVEY
 COORDINATOR/ ENGR Ill, LTSP</t>
  </si>
  <si>
    <t>ENGR.DEAMARKJHONE
 C. PALARAN</t>
  </si>
  <si>
    <t>2023-05-03-
 10201SP1548-01</t>
  </si>
  <si>
    <t>ALVIN V. PIOLO</t>
  </si>
  <si>
    <t>MIS COORDINATOR/ CARTO II, LTSP</t>
  </si>
  <si>
    <t>MODENITA A. MABAYLAN</t>
  </si>
  <si>
    <t>2023-05-03-
 10201SP1554-01</t>
  </si>
  <si>
    <t>IVO T. TOLENTINO</t>
  </si>
  <si>
    <t>2023-05-03-
 10201SP1555-01</t>
  </si>
  <si>
    <t>ENGR. LEONARD Z. CASILLO</t>
  </si>
  <si>
    <t>2023-05-03-
 10201SP1556-01</t>
  </si>
  <si>
    <t>ERRIELYN T. PARDINAN</t>
  </si>
  <si>
    <t>2023-05-03-
 10201SP1557-01</t>
  </si>
  <si>
    <t>2023-05-03-
 10201SP1566-01</t>
  </si>
  <si>
    <t>ENGR. ARNOLFO B.
 MAGADAN</t>
  </si>
  <si>
    <t>CHIEF, SURVEY &amp; CONTROL
 SECTION</t>
  </si>
  <si>
    <t>PTR No. 2023
 04-015</t>
  </si>
  <si>
    <t>DENR REGIONAL
 OFFICEX</t>
  </si>
  <si>
    <t>2023-05-03-
 10201SP463-01</t>
  </si>
  <si>
    <t>ZORAIDA 0.
 MACADINDANG, AL-
 HADJ, JD</t>
  </si>
  <si>
    <t>PROJECT MANAGER/ REGIONAL DIRECTOR</t>
  </si>
  <si>
    <t>GLOW T. BANAC</t>
  </si>
  <si>
    <t>2023-05-03-
 10201SP464-01</t>
  </si>
  <si>
    <t>DENR/LRA-ROD SURVEY COORDINATOR/ ENGR Ill, LTSP</t>
  </si>
  <si>
    <t>ENGR. KRISHA ANN N. OLLER</t>
  </si>
  <si>
    <t>2023-05-03-
 10201SP465-01</t>
  </si>
  <si>
    <t>CITRA LIKKA P. SENIEDO</t>
  </si>
  <si>
    <t>2023-05-03-
 10201SP466-01</t>
  </si>
  <si>
    <t>TECHNICAL STAFF 2 - ADMINISTRATIVE AND
 FINANCE OFFICER/ RCAO</t>
  </si>
  <si>
    <t>JUSSEL S. GABE</t>
  </si>
  <si>
    <t>2023-05-03-
 10201SP467-01</t>
  </si>
  <si>
    <t>BELLA VEJA 0. DILLA</t>
  </si>
  <si>
    <t>2023-05-03-
 10201SP472-01</t>
  </si>
  <si>
    <t>ENGR. ARNOLFO B. MAGADAN</t>
  </si>
  <si>
    <t>CHIEF, SURVEY &amp; CONTROL SECTION</t>
  </si>
  <si>
    <t>PTR No. 2023
 09-007</t>
  </si>
  <si>
    <t>DENR REGIONAL OFFICEX</t>
  </si>
  <si>
    <t>2023-05-03-
 10201SP476-01</t>
  </si>
  <si>
    <t>2023-05-03-
 10201SP478-01</t>
  </si>
  <si>
    <t>2023-05-03-
 10201SP479-01</t>
  </si>
  <si>
    <t>2023-05-03-
 10201SP462-01</t>
  </si>
  <si>
    <t>MISAMIS ORIENTAL</t>
  </si>
  <si>
    <t>2023-04-14-1020SP71-01</t>
  </si>
  <si>
    <t>LANAO DEL NORTE</t>
  </si>
  <si>
    <t>2023-04-14-1020SP68-01</t>
  </si>
  <si>
    <t>MISAMI9S OCCIDENTAL</t>
  </si>
  <si>
    <t>2023-04-14-1020SP70-01</t>
  </si>
  <si>
    <t>BUKIDNON</t>
  </si>
  <si>
    <t>2023-04-14-1020SP69-01</t>
  </si>
  <si>
    <t>2023-04-14-1020SP67-01</t>
  </si>
  <si>
    <t>2023-04-14-1020SP72-01</t>
  </si>
  <si>
    <t>2024-05-13-10204SP13-O1</t>
  </si>
  <si>
    <t>HV-SPLIT-102-24-05-058</t>
  </si>
  <si>
    <t>ZORAIDA MACADINDANG</t>
  </si>
  <si>
    <t>2024-05-012</t>
  </si>
  <si>
    <t>DARRO X</t>
  </si>
  <si>
    <t>2024-05-03-10202SP-316-01</t>
  </si>
  <si>
    <t>WILFREDO P HISONA JR</t>
  </si>
  <si>
    <t>2024-05-03-10202SP-324-01</t>
  </si>
  <si>
    <t>2023-05-03-
 10201SP184-01</t>
  </si>
  <si>
    <t>JAMMALG. PANGANDAMAN</t>
  </si>
  <si>
    <t>2023-PAR-09-
 01</t>
  </si>
  <si>
    <t>2023-05-03-
 10201SP185-01</t>
  </si>
  <si>
    <t>HAZEL S. ABALORIO</t>
  </si>
  <si>
    <t>AO IV/PROCUREMENT COORDINATOR</t>
  </si>
  <si>
    <t>2023-PAR-09-
 02</t>
  </si>
  <si>
    <t>PARPO ll'S OFFICE</t>
  </si>
  <si>
    <t>2023-05-03-
 10202SP73-01</t>
  </si>
  <si>
    <t>JOY P. GEGATO</t>
  </si>
  <si>
    <t>ARPOII</t>
  </si>
  <si>
    <t>2023-PAR-09-
 03</t>
  </si>
  <si>
    <t>REGION XII</t>
  </si>
  <si>
    <t>2023-05-03-
 10201SP468-01</t>
  </si>
  <si>
    <t>JADEDA L. GUNTI</t>
  </si>
  <si>
    <t>SARANGANI</t>
  </si>
  <si>
    <t>2023-05-03-
 10201SP469-01</t>
  </si>
  <si>
    <t>BAIKHAN SARIPADA</t>
  </si>
  <si>
    <t>2022-05-02-10202SP79-01</t>
  </si>
  <si>
    <t>RNK2700202</t>
  </si>
  <si>
    <t>GLENDA M. MANANSALA</t>
  </si>
  <si>
    <t>2023-05-03-
 10201SP470-01</t>
  </si>
  <si>
    <t>NAEMA U. PERMITES</t>
  </si>
  <si>
    <t>2023-10-132
 SPHV-2024-12-0587</t>
  </si>
  <si>
    <t>ARPOI</t>
  </si>
  <si>
    <t>2023-05-03-
 10201SP1482-01</t>
  </si>
  <si>
    <t>AO IV/ PROCUREMENT COORDINATOR</t>
  </si>
  <si>
    <t>2023-PAR-05-
 01</t>
  </si>
  <si>
    <t>2023-05-03-
 10201SP1483-01</t>
  </si>
  <si>
    <t>ENGR. JOCELYN B. VALMORES</t>
  </si>
  <si>
    <t>OIC-CARPO, LTSP/ PCV COORDINATOR</t>
  </si>
  <si>
    <t>2023-PAR-05-
 02</t>
  </si>
  <si>
    <t>SULTAN KUDARAT</t>
  </si>
  <si>
    <t>ENGR. KHENN L. BOISER</t>
  </si>
  <si>
    <t>2022-05-02-10202SP77-01</t>
  </si>
  <si>
    <t>RECHEL ANN SALCEDO
 MARY JANE GENEZA</t>
  </si>
  <si>
    <t>2023-05-03-
 10201SP1484-01</t>
  </si>
  <si>
    <t>2023-PAR-05-
 03</t>
  </si>
  <si>
    <t>ENGR. KATHLEEN R. SERONDA</t>
  </si>
  <si>
    <t>2023-12-054</t>
  </si>
  <si>
    <t>MARY JANE GENEZA</t>
  </si>
  <si>
    <t>2023-05-03-
 10201SP1485-01</t>
  </si>
  <si>
    <t>HOPER. QUIMPANG</t>
  </si>
  <si>
    <t>2023-PAR-05-
 04</t>
  </si>
  <si>
    <t>HOPE R. QUIMPANG</t>
  </si>
  <si>
    <t>SOUTH COTABATO</t>
  </si>
  <si>
    <t>2023-05-03-
 10201SP1486-01</t>
  </si>
  <si>
    <t>2022-05-02-102025P76-01</t>
  </si>
  <si>
    <t>2023-PAR-05-
 05</t>
  </si>
  <si>
    <t>CAMILLE LORRAINE Z. BULATAO</t>
  </si>
  <si>
    <t>RECHEL ANN SALCEDO</t>
  </si>
  <si>
    <t>43-23</t>
  </si>
  <si>
    <t>2023-05-03-
 10201SP1487-01</t>
  </si>
  <si>
    <t>OIC-CARPO, LTSP / PCV COORDINATOR</t>
  </si>
  <si>
    <t>2023-PAR-05-
 06</t>
  </si>
  <si>
    <t>LAILA MAE G. ROZAL</t>
  </si>
  <si>
    <t>NORTH COTABATO</t>
  </si>
  <si>
    <t>2022-05-02-10202SP78-01</t>
  </si>
  <si>
    <t>2023-05-03-
 10201SP1488-01</t>
  </si>
  <si>
    <t>FRANCES JUN I. BAUTISTA
 lelanie l. carugda</t>
  </si>
  <si>
    <t>ENGR. JAQUELINE ESTANIEL</t>
  </si>
  <si>
    <t>engineer II
 pcao</t>
  </si>
  <si>
    <t>2023-PAR-05-
 07</t>
  </si>
  <si>
    <t>4-03-23-002</t>
  </si>
  <si>
    <t>LELANIE L. CARUGDA
 paulinger ogoc</t>
  </si>
  <si>
    <t>2023-05-03-
 10201SP1489-01</t>
  </si>
  <si>
    <t>JUREN SOTELO</t>
  </si>
  <si>
    <t>2023-PAR-05-
 08</t>
  </si>
  <si>
    <t>HV-SPLIT-102-24-05-38
 HV-SPLIT-102-24-05-04-41</t>
  </si>
  <si>
    <t>JOHN REY TARRAJA</t>
  </si>
  <si>
    <t>SARPO, LTID</t>
  </si>
  <si>
    <t>2023-05-03-
 10201SP1490-01</t>
  </si>
  <si>
    <t>CHRISTIAN JUN S. MONTEFALCON</t>
  </si>
  <si>
    <t>2023-PAR-05-
 09</t>
  </si>
  <si>
    <t>2023-05-03-
 10201SP1491-01</t>
  </si>
  <si>
    <t>KAREN PEARLE. LABIAL</t>
  </si>
  <si>
    <t>2023-PAR-05-
 10</t>
  </si>
  <si>
    <t>KAREN PEARL E. LABIAL</t>
  </si>
  <si>
    <t>HV-SPLIT-102-24-05-39</t>
  </si>
  <si>
    <t>BRYAN JOHN T. VICTORIANO
 MARY JANE GENEZA</t>
  </si>
  <si>
    <t>2023-05-03-
 10201SP1492-01</t>
  </si>
  <si>
    <t>ANNA LIZA V. HERNANDEZ</t>
  </si>
  <si>
    <t>2023-PAR-05-
 11</t>
  </si>
  <si>
    <t>DARMO BAUNGON</t>
  </si>
  <si>
    <t>COTABATO</t>
  </si>
  <si>
    <t>2023-05-03-
 10201SP1493-01</t>
  </si>
  <si>
    <t>HV-SPLIT-102-24-05-40
 HV-SPLIT-102-24-05-04-039</t>
  </si>
  <si>
    <t>EDILBERTO R. DEVEZA</t>
  </si>
  <si>
    <t>FRANCES JUN I. BAUTISTA</t>
  </si>
  <si>
    <t>2023-PAR-05-
 12</t>
  </si>
  <si>
    <t>DARMO TALAKAG</t>
  </si>
  <si>
    <t>2023-05-03-
 10201SP1494-01</t>
  </si>
  <si>
    <t>ZARAH 8. LUCMAN</t>
  </si>
  <si>
    <t>AO IV/ PERSONNEL OFFICER</t>
  </si>
  <si>
    <t>2023-PAR-05-
 13</t>
  </si>
  <si>
    <t>ZARAH B. LUCMAN</t>
  </si>
  <si>
    <t>HV-SPLIT-102-24-05-41
 HV-SPLIT-102-24-05-04-042</t>
  </si>
  <si>
    <t>2023-05-03-
 10201SP1495-01</t>
  </si>
  <si>
    <t>DARPO SOUTH COTABATO</t>
  </si>
  <si>
    <t>MERCIDITA C. CONSOLACION</t>
  </si>
  <si>
    <t>2023-PAR-05-
 14</t>
  </si>
  <si>
    <t>DARMO MARAMAG</t>
  </si>
  <si>
    <t>2023-05-03-
 10201SP1496-01</t>
  </si>
  <si>
    <t>CHARITO EDEN PACHO</t>
  </si>
  <si>
    <t>2023-05-03-10201SP-1691-01</t>
  </si>
  <si>
    <t>2023-PAR-05-
 15</t>
  </si>
  <si>
    <t>1S11T5S16200GM041B3V</t>
  </si>
  <si>
    <t>MICHAEL A. DOMINGO</t>
  </si>
  <si>
    <t>2023-05-03-
 10201SP1497-01</t>
  </si>
  <si>
    <t>PHOEBE I. NOVAL</t>
  </si>
  <si>
    <t>CARPO-ARBDSP</t>
  </si>
  <si>
    <t>2023-PAR-05-
 16</t>
  </si>
  <si>
    <t>2023-05-03-
 10201SP1498-01</t>
  </si>
  <si>
    <t>FE Q. TUMAMPOS</t>
  </si>
  <si>
    <t>2023-PAR-05-
 17</t>
  </si>
  <si>
    <t>2023-05-03-10201SP-1692-01</t>
  </si>
  <si>
    <t>DARMO LANTAPAN</t>
  </si>
  <si>
    <t>1S11T5S16200GM0418G6</t>
  </si>
  <si>
    <t>2022-05-02-10202SP65-01</t>
  </si>
  <si>
    <t>2022-PAR-10-
 01</t>
  </si>
  <si>
    <t>2023-05-03-10201SP-1697-01</t>
  </si>
  <si>
    <t>1S11T5S16200GM041AWL</t>
  </si>
  <si>
    <t>HV-SPLIT-102-24-05-066</t>
  </si>
  <si>
    <t>ATTY. KAY A. AVILES</t>
  </si>
  <si>
    <t>DARPO BUKIDNON</t>
  </si>
  <si>
    <t>CAMIGUIN</t>
  </si>
  <si>
    <t>2023-05-03-
 1021SP1516-01</t>
  </si>
  <si>
    <t>MARGARITA R. FLORES</t>
  </si>
  <si>
    <t>CARPO/FVT COORDINATOR</t>
  </si>
  <si>
    <t>DAR-MIS. OR/CAM</t>
  </si>
  <si>
    <t>2023-05-03-10201SP-1694-01</t>
  </si>
  <si>
    <t>1S11T5S16200GM041B3G</t>
  </si>
  <si>
    <t>2023-05-03-
 1021SP1517-01</t>
  </si>
  <si>
    <t>2023-05-03-
 1021SP1514-01</t>
  </si>
  <si>
    <t>SHARON A. MAWILE</t>
  </si>
  <si>
    <t>ARPO 11/ESS COORDINATOR</t>
  </si>
  <si>
    <t>2023-05-03-10201SP-1695-01</t>
  </si>
  <si>
    <t>1S11T5S16200GM0418H6</t>
  </si>
  <si>
    <t>REDZMA. MINDALANO</t>
  </si>
  <si>
    <t>2023-05-03-
 1021SP1515-01</t>
  </si>
  <si>
    <t>HAYLY JANE A. ROMANILLOS</t>
  </si>
  <si>
    <t>ARPO I/MIS COORDINATOR</t>
  </si>
  <si>
    <t>DAR-CAMIGUIN</t>
  </si>
  <si>
    <t>2023-05-03-10201SP-1688-01</t>
  </si>
  <si>
    <t>1S11T5S16200GM0415TR</t>
  </si>
  <si>
    <t>2023-05-03-
 1020SP482-01</t>
  </si>
  <si>
    <t>RUTH G. CARREON</t>
  </si>
  <si>
    <t>2022-05-02-10202SP66-01</t>
  </si>
  <si>
    <t>2023-05-03-10201SP-1689-01</t>
  </si>
  <si>
    <t>DAR-MIS. OR./CAM</t>
  </si>
  <si>
    <t>1S11T5S16200GM041B2X</t>
  </si>
  <si>
    <t>2023-05-03-
 10202SP176-01</t>
  </si>
  <si>
    <t>FATIMA ANIQA T. MACARAMBON</t>
  </si>
  <si>
    <t>PARPO 11</t>
  </si>
  <si>
    <t>2023-05-03-10201SP-1696-01</t>
  </si>
  <si>
    <t>2023-05-03-
 10201SP1499-01</t>
  </si>
  <si>
    <t>1S11T5S16200GM0415ZD</t>
  </si>
  <si>
    <t>JAMIEL BELGADO</t>
  </si>
  <si>
    <t>LADY DOMINIQUE REMOLLO</t>
  </si>
  <si>
    <t>CHIEF, GEN. SERVICES/ TECH. STAFF 3 PROCUREMENT OFFICER</t>
  </si>
  <si>
    <t>MOHAMMAD AL-JIHAD B. DIMAPORO - PROCUREMENT SUPPORT STAFF</t>
  </si>
  <si>
    <t>DAR
 PROVINCIAL OFFICE</t>
  </si>
  <si>
    <t>2023-05-03-
 10201SP1500-01</t>
  </si>
  <si>
    <t>FAISAL D. MACABATO</t>
  </si>
  <si>
    <t>BUDGET OFFICER/ PROJECT BUDGET OFFICER</t>
  </si>
  <si>
    <t>NORAYA D. MAGUMPARA- ADMIN. SUPPORT STAFF</t>
  </si>
  <si>
    <t>2023-05-03-10201SP-1690-01</t>
  </si>
  <si>
    <t>1S11T5S16200GM0418GS</t>
  </si>
  <si>
    <t>ARMIE ORACION</t>
  </si>
  <si>
    <t>ARPO I/LTID</t>
  </si>
  <si>
    <t>2023-05-03-
 10201SP1501-01</t>
  </si>
  <si>
    <t>JOHAIRA H. MINDALANO</t>
  </si>
  <si>
    <t>ACCOUNTANT/PROJECT ACCOUNTANT</t>
  </si>
  <si>
    <t>AISA M. MONTE - FINANCE SUPPORT STAFF</t>
  </si>
  <si>
    <t>DAR PROVINCIAL
 OFFICE</t>
  </si>
  <si>
    <t>2023-05-03-1020SP-167887-01</t>
  </si>
  <si>
    <t>2023-05-03-
 10201SP1502-01</t>
  </si>
  <si>
    <t>1S11T5S16200GM041B5V</t>
  </si>
  <si>
    <t>HONEY GRACE G. CASPE</t>
  </si>
  <si>
    <t>MA. SONIANITA S. MAGALONG</t>
  </si>
  <si>
    <t>CARPO FOR LTSP / PARCELIZATION COMPONENT COORDINATOR</t>
  </si>
  <si>
    <t>LAARNE MAE G. LLENOS - VALIDATOR</t>
  </si>
  <si>
    <t>2022-08-092</t>
  </si>
  <si>
    <t>DAR PROVINCIAL OFFICE</t>
  </si>
  <si>
    <t>DARMO GENSAN</t>
  </si>
  <si>
    <t>2023-05-03-
 10201SP1503-01</t>
  </si>
  <si>
    <t>CARPO FOR LTSP /
 PARCELIZATION COMPONENT COORDINATOR</t>
  </si>
  <si>
    <t>MOH RASAD L.
 DECAMPONG - TECHNICAL SUPPORT STAFF</t>
  </si>
  <si>
    <t>2023-05-03-1020SP-1698-01</t>
  </si>
  <si>
    <t>1S11T5S16200GM041B08</t>
  </si>
  <si>
    <t>ROSELYN DALANDAO</t>
  </si>
  <si>
    <t>2023-05-03-
 10201SP1504-01</t>
  </si>
  <si>
    <t>DARMO GLAN</t>
  </si>
  <si>
    <t>AMINKHAIR BEN AMIN BUALAN</t>
  </si>
  <si>
    <t>SURVEY COORDINATOR</t>
  </si>
  <si>
    <t>AMINKHAIR M. BEN AMIN BUALAN - SURVEY
 COORDINATOR</t>
  </si>
  <si>
    <t>2023-05-03-
 10201SP1505-01</t>
  </si>
  <si>
    <t>AIDAH PACASIRANG</t>
  </si>
  <si>
    <t>2023-05-03-1020SP-1686-01</t>
  </si>
  <si>
    <t>AIDAH PACASIRANG - DARMO SAPAD</t>
  </si>
  <si>
    <t>1S11T5S16200GM0415X0</t>
  </si>
  <si>
    <t>DARMO SAPAD</t>
  </si>
  <si>
    <t>JESSA MAE E. ABUBO</t>
  </si>
  <si>
    <t>ARPT/acting AO IV</t>
  </si>
  <si>
    <t>2023-05-03-
 10201SP1506-01</t>
  </si>
  <si>
    <t>ATTY. NIKKI
 MORSHEDA D. BANTUAS</t>
  </si>
  <si>
    <t>CHIEF, LEGAL/ LEGAL COORDINATOR</t>
  </si>
  <si>
    <t>ATTY. NIKKI MORSHIDA D.
 BANTUAS - CHIEF LEGAL/ LEGAL COORDINATOR</t>
  </si>
  <si>
    <t>2023-05-03-
 10201SP1507-01</t>
  </si>
  <si>
    <t>2023-05-03-1020SP-1684-01</t>
  </si>
  <si>
    <t>STEPHINE L. CHAN</t>
  </si>
  <si>
    <t>1S11T5S16200GM0418JD</t>
  </si>
  <si>
    <t>ARPO I/ M &amp; E COORDINATOR</t>
  </si>
  <si>
    <t>NASSER MANGINDRA</t>
  </si>
  <si>
    <t>MARPO, MALAPATAN</t>
  </si>
  <si>
    <t>2023-05-03-
 10201SP1508-01</t>
  </si>
  <si>
    <t>KARL WILFRED A. ECUACION</t>
  </si>
  <si>
    <t>ARPT / MIS COORDINATOR</t>
  </si>
  <si>
    <t>JAYLORD CABALLES - MIS STAFF</t>
  </si>
  <si>
    <t>2023-05-03-1020SP-1699-01</t>
  </si>
  <si>
    <t>1S11T5S16200GM0418L9</t>
  </si>
  <si>
    <t>2023-05-03-
 10201SP1509-01</t>
  </si>
  <si>
    <t>DARMO MALAPATAN</t>
  </si>
  <si>
    <t>CHIEF, GEN. SERVICES/ TECH. STAFF 3
 PROCUREMENT OFFICER</t>
  </si>
  <si>
    <t>NAFISA HAMID - COA</t>
  </si>
  <si>
    <t>2023-05-03-
 10201SP1510-01</t>
  </si>
  <si>
    <t>CARPO FOR LTSP/ PARCELIZATION COMPONENT COORDINATOR</t>
  </si>
  <si>
    <t>2023-05-03-1020SP-1693-01</t>
  </si>
  <si>
    <t>HONEY GRACE G. CASPE - CARPO FOR LTSP/ PARCELIZATION COMPONENT COORDINATOR</t>
  </si>
  <si>
    <t>HAZEL S. BAROTILLA</t>
  </si>
  <si>
    <t>2023-05-03-
 10201SP1511-01</t>
  </si>
  <si>
    <t>MOHAMMAD NASIM 0.
 TANTAO</t>
  </si>
  <si>
    <t>ARPT / DOCUMENTATION &amp; ESS SUPPORT STAFF</t>
  </si>
  <si>
    <t>MOHAMMAD NASSIM 0. TANTAO - DOCUMENTATION AND ESS SUPPORT STAFF</t>
  </si>
  <si>
    <t>2023-05-03-1020SP-1685-01</t>
  </si>
  <si>
    <t>1S11T5S16200GM0418FE</t>
  </si>
  <si>
    <t>2023-05-03-
 10201SP1512-01</t>
  </si>
  <si>
    <t>KADAFFE A. PALAO</t>
  </si>
  <si>
    <t>RACMAH SAiD - PROCESSOR</t>
  </si>
  <si>
    <t>DARMO MAASIM</t>
  </si>
  <si>
    <t>2023-05-03-
 10201SP1513-01</t>
  </si>
  <si>
    <t>RAYHANA M. MONTE</t>
  </si>
  <si>
    <t>CASHIER/ PROJECT CASHIER</t>
  </si>
  <si>
    <t>SOBAIR MINDALANO - CASHIER STAFF</t>
  </si>
  <si>
    <t>2023-05-03-10201SP1730-01</t>
  </si>
  <si>
    <t>1S11T5S16200GM0415RT</t>
  </si>
  <si>
    <t>IMELDA DIMAAMPAO</t>
  </si>
  <si>
    <t>2023-11-041</t>
  </si>
  <si>
    <t>2023-05-03-
 10201SP473-01</t>
  </si>
  <si>
    <t>NOROLHAYA H. AMINODDEN</t>
  </si>
  <si>
    <t>OIC-HRMO</t>
  </si>
  <si>
    <t>2023-029</t>
  </si>
  <si>
    <t>2023-05-03-
 10201SP474-01</t>
  </si>
  <si>
    <t>2023-05-03-10201SP1729-01</t>
  </si>
  <si>
    <t>2023-030</t>
  </si>
  <si>
    <t>1S11T5S16200GM04160T</t>
  </si>
  <si>
    <t>AMERHUSSEIN AMENODIN
 - PROCESSOR</t>
  </si>
  <si>
    <t>ENGR. ADRIANO L. LOSARIA</t>
  </si>
  <si>
    <t>2023-11-040</t>
  </si>
  <si>
    <t>2023-05-03-
 10201SP475-01</t>
  </si>
  <si>
    <t>2023-031</t>
  </si>
  <si>
    <t>MOHAMMAD SIDIC DIMANA
 -PROCESSOR</t>
  </si>
  <si>
    <t>2023-05-03-10201SP1728-01</t>
  </si>
  <si>
    <t>1S11T5S16200GM041B55</t>
  </si>
  <si>
    <t>ISIDRO OLOFERNES</t>
  </si>
  <si>
    <t>2023-05-03-
 10201SP186-01</t>
  </si>
  <si>
    <t>2023-11-039</t>
  </si>
  <si>
    <t>BEVERLY FAITH T. TANGGOL</t>
  </si>
  <si>
    <t>MOHAMADSAUDI S. ADAM</t>
  </si>
  <si>
    <t>CHIEF, ADMIN. /TECH.STAFF 2 ADMIN. &amp; FINANCE OFFICER</t>
  </si>
  <si>
    <t>2023-032</t>
  </si>
  <si>
    <t>BEVERLY FAITH T. TANGGOL PCAO / TECHNICAL STAFF 2 ADMINISTRATIVE AND FINANCE OFFICER</t>
  </si>
  <si>
    <t>2023-05-03-
 10201SP187-01</t>
  </si>
  <si>
    <t>MARIE VIL M. CODILLA, JD</t>
  </si>
  <si>
    <t>2023-05-03-10201SP1727-01</t>
  </si>
  <si>
    <t>2023-033</t>
  </si>
  <si>
    <t>1S11T5S16200GM0418L4</t>
  </si>
  <si>
    <t>MARIE VIL M. CODILLA, JD PARPO II / PROJECT
 MANAGER</t>
  </si>
  <si>
    <t>RONILO FLORESCA</t>
  </si>
  <si>
    <t>2023-05-
 10202SP74-01</t>
  </si>
  <si>
    <t>ELINOR JUDYFIND ABRAGAN</t>
  </si>
  <si>
    <t>ELINOR JUDYFIND ABRAGAN - PIO</t>
  </si>
  <si>
    <t>2023-05-03-10201SP1726-01</t>
  </si>
  <si>
    <t>1S11T5S16200GM0415ST</t>
  </si>
  <si>
    <t>2022-05-02-10202SP67-01</t>
  </si>
  <si>
    <t>2023-11-037</t>
  </si>
  <si>
    <t>JENNIFER C. ARCIBAL</t>
  </si>
  <si>
    <t>CARPO FOR LTSP / PARCELIZA TION COMPONENT COORDINATOR</t>
  </si>
  <si>
    <t>SPLIT PROJECT HIRED SUPPORT STAFFS AND FVTS</t>
  </si>
  <si>
    <t>HV-SPLIT-102-24-05-078</t>
  </si>
  <si>
    <t>DARPO LANAO NORTE</t>
  </si>
  <si>
    <t>2023-05-03-10201SP1720-01</t>
  </si>
  <si>
    <t>1S11T5S16200GM0418HY</t>
  </si>
  <si>
    <t>JOEL L.GELLANG JR.</t>
  </si>
  <si>
    <t>MISAMIS OCCIDENTAL</t>
  </si>
  <si>
    <t>2023-11-031</t>
  </si>
  <si>
    <t>2023-05-01-
 10201SP1523-01</t>
  </si>
  <si>
    <t>MAYBELE T. ALCALA</t>
  </si>
  <si>
    <t>DARRO-ARBDSP</t>
  </si>
  <si>
    <t>2023-05-03-10201SP1724-01</t>
  </si>
  <si>
    <t>1S11T5S16200GM0418EP</t>
  </si>
  <si>
    <t>RHEA MARIE P. BETQUE</t>
  </si>
  <si>
    <t>2023-11-035</t>
  </si>
  <si>
    <t>2023-05-03-
 10201SP1530-01</t>
  </si>
  <si>
    <t>ATTY.SHARA- MYELLAH S. SAMPACO</t>
  </si>
  <si>
    <t>ATTY. ADRIANO G. BAHIAN</t>
  </si>
  <si>
    <t>2023-05-03-10201SP1716-01</t>
  </si>
  <si>
    <t>2023-05-03-
 10201SP1525-01</t>
  </si>
  <si>
    <t>1S11T5S16200GM041B48</t>
  </si>
  <si>
    <t>LITA T. TORRES</t>
  </si>
  <si>
    <t>ATTY. EDWIN H. BARAQUIA</t>
  </si>
  <si>
    <t>DAR-SPLIT- 2023-011</t>
  </si>
  <si>
    <t>2023-11-042</t>
  </si>
  <si>
    <t>2023-05-03-
 10201SP1526-01</t>
  </si>
  <si>
    <t>DAR-SPLIT- 2023-012</t>
  </si>
  <si>
    <t>JOHN PETER REMULTA</t>
  </si>
  <si>
    <t>2023-05-03-
 10201SP1518-01</t>
  </si>
  <si>
    <t>KAREEN MAE M. ESPIGA</t>
  </si>
  <si>
    <t>CARPO ARBDSP</t>
  </si>
  <si>
    <t>DAR-SPLIT- 2023-013</t>
  </si>
  <si>
    <t>2023-05-03-10201SP1723-01</t>
  </si>
  <si>
    <t>1S11T5S16200GM0418HB</t>
  </si>
  <si>
    <t>ENGR. ALINADER M. DIMA</t>
  </si>
  <si>
    <t>2023-11-034</t>
  </si>
  <si>
    <t>2023-05-03-
 10201SP1521-01</t>
  </si>
  <si>
    <t>DANILO M. PILAR</t>
  </si>
  <si>
    <t>CARPO LTSP</t>
  </si>
  <si>
    <t>DAR-SPLIT- 2023-014</t>
  </si>
  <si>
    <t>DARPO-LTSP</t>
  </si>
  <si>
    <t>2023-05-03-10201SP1719-01</t>
  </si>
  <si>
    <t>1S11T5S16200GM0418KA</t>
  </si>
  <si>
    <t>ABDUL C. SALIGAN JR.</t>
  </si>
  <si>
    <t>2023-11-043</t>
  </si>
  <si>
    <t>2023-05-03-
 10201SP1527-01</t>
  </si>
  <si>
    <t>GERAH LOREN P.MORENO</t>
  </si>
  <si>
    <t>CHERRY MAE L. PURAZO</t>
  </si>
  <si>
    <t>DAR-SPLIT- 2023-015</t>
  </si>
  <si>
    <t>CHERYLC.BERNALDO</t>
  </si>
  <si>
    <t>2023-05-03-
 10201SP1528-01</t>
  </si>
  <si>
    <t>MERLYN P. SALAC</t>
  </si>
  <si>
    <t>DAR-SPLIT- 2023-016</t>
  </si>
  <si>
    <t>2023-05-03-10201SP1718-01</t>
  </si>
  <si>
    <t>1S11T5S16200GM041B0F</t>
  </si>
  <si>
    <t>KORAIS M. KAMSA ESTEBAN</t>
  </si>
  <si>
    <t>2023-11-030</t>
  </si>
  <si>
    <t>CYNTHIA C. DARDO</t>
  </si>
  <si>
    <t>2023-05-03-
 10201SP1524-01</t>
  </si>
  <si>
    <t>AlDA F. JALALON</t>
  </si>
  <si>
    <t>DAR-SPLIT- 2023-017</t>
  </si>
  <si>
    <t>AIDA F. JALALON</t>
  </si>
  <si>
    <t>2023-05-03-
 10201SP1529-01</t>
  </si>
  <si>
    <t>2023-05-03-10201SP1721-01</t>
  </si>
  <si>
    <t>1S11T5S16200GM041AWN</t>
  </si>
  <si>
    <t>DAR-SPLIT- 2023-018</t>
  </si>
  <si>
    <t>RONALDO L. CORNEJA</t>
  </si>
  <si>
    <t>GERALD RICONALLA</t>
  </si>
  <si>
    <t>2023-11-032</t>
  </si>
  <si>
    <t>2023-05-03-
 10201SP1522-01</t>
  </si>
  <si>
    <t>DAR-SPLIT- 2023-019</t>
  </si>
  <si>
    <t>2023-05-03-10201SP1731-01</t>
  </si>
  <si>
    <t>EDEN EROY</t>
  </si>
  <si>
    <t>1S11T5S16200GM0418F1</t>
  </si>
  <si>
    <t>FLORENTINO M. MARCELO, JR.</t>
  </si>
  <si>
    <t>AMPAWA AMPANG</t>
  </si>
  <si>
    <t>2023-05-03-
 10201SP1520-01</t>
  </si>
  <si>
    <t>DAR-SPLIT- 2023-020</t>
  </si>
  <si>
    <t>ALDRICH RICABORDA</t>
  </si>
  <si>
    <t>2023-05-03-10201SP1722-01</t>
  </si>
  <si>
    <t>1S11T5S16200GM0418FA</t>
  </si>
  <si>
    <t>LUIS C. JULIANO</t>
  </si>
  <si>
    <t>2023-05-03-
 10201SP1519-01</t>
  </si>
  <si>
    <t>2023-11-033</t>
  </si>
  <si>
    <t>DAR-SPLIT- 2023-021</t>
  </si>
  <si>
    <t>FELYFLOR DECENA</t>
  </si>
  <si>
    <t>2022-05-02-10202SP68-01</t>
  </si>
  <si>
    <t>DAR-SPLIT- 2023-022</t>
  </si>
  <si>
    <t>2023-05-03-10201SP1717-01</t>
  </si>
  <si>
    <t>1S11T5S16200GM0418F7</t>
  </si>
  <si>
    <t>2023-05-03-
 10201SP188-01</t>
  </si>
  <si>
    <t>IDA R. FREGILLANA</t>
  </si>
  <si>
    <t>DAR-SPLIT- 2023-024</t>
  </si>
  <si>
    <t>2023-11-029</t>
  </si>
  <si>
    <t>AINIL FERNANDEZ</t>
  </si>
  <si>
    <t>2023-05-03-
 10201SP189-01</t>
  </si>
  <si>
    <t>DAR-SPLIT- 2023-025</t>
  </si>
  <si>
    <t>2023-05-03-
 10201SP471-01</t>
  </si>
  <si>
    <t>2023-05-03-10201SP1725-01</t>
  </si>
  <si>
    <t>DAR-SPLIT- 2023-026</t>
  </si>
  <si>
    <t>1S11T5S16200GM041B09</t>
  </si>
  <si>
    <t>2023-11-036</t>
  </si>
  <si>
    <t>ELVIE SEGURA</t>
  </si>
  <si>
    <t>2023-05-03-
 10201SP477-01</t>
  </si>
  <si>
    <t>DAR-SPLIT- 2023-027</t>
  </si>
  <si>
    <t>2023-05-03-10201SP1668-01</t>
  </si>
  <si>
    <t>2023-05-03-
 10202SP76-01</t>
  </si>
  <si>
    <t>DAR-SPLIT- 2023-028</t>
  </si>
  <si>
    <t>1S11T5S16200GM041B07</t>
  </si>
  <si>
    <t>MITZIE I. ANTONIO</t>
  </si>
  <si>
    <t>102-2023-05-001</t>
  </si>
  <si>
    <t>HV-SPLIT-102-24-05-082</t>
  </si>
  <si>
    <t>DARPO MIS OCC</t>
  </si>
  <si>
    <t>2023-05-03-10201SP1669-01</t>
  </si>
  <si>
    <t>2023-ICTE-SP-05-
 0007-06</t>
  </si>
  <si>
    <t>1S11T5S16200GM0418LF</t>
  </si>
  <si>
    <t>ELEANOR A. RAAGAS</t>
  </si>
  <si>
    <t>ROSCIELE C. CADUNGOG</t>
  </si>
  <si>
    <t>ADMIN.OFFICER IV</t>
  </si>
  <si>
    <t>2023-PAR-05-
 0002</t>
  </si>
  <si>
    <t>102-2023-05-002</t>
  </si>
  <si>
    <t>2023-ICTE-SP-05-
 0008-06</t>
  </si>
  <si>
    <t>FRANZ PHILIP DOBLUIS</t>
  </si>
  <si>
    <t>SAIi</t>
  </si>
  <si>
    <t>2023-PAR-10-
 0006</t>
  </si>
  <si>
    <t>DARPO-COA</t>
  </si>
  <si>
    <t>2023-05-03-10201SP1670-01</t>
  </si>
  <si>
    <t>1S11T5S16200GM0418HE</t>
  </si>
  <si>
    <t>MARIA IDA BAUTISTA</t>
  </si>
  <si>
    <t>2023-ICTE-SP-05-
 0009-06</t>
  </si>
  <si>
    <t>MA. CLEOFE A. MANTICAHON</t>
  </si>
  <si>
    <t>2023-PAR-05-
 0005</t>
  </si>
  <si>
    <t>SARAH MOSQUEDA</t>
  </si>
  <si>
    <t>2023-ICTE-SP-05-
 0010-06</t>
  </si>
  <si>
    <t>2023-05-03-10201SP1671-01</t>
  </si>
  <si>
    <t>2023-PAR-05-
 0004</t>
  </si>
  <si>
    <t>1S11T5S16200GM0415WS</t>
  </si>
  <si>
    <t>KENDY T. EMBATE</t>
  </si>
  <si>
    <t>2023-ICTE-SP-05-
 0011-06</t>
  </si>
  <si>
    <t>NOEL P. SUPREMO</t>
  </si>
  <si>
    <t>2023-PAR-05-
 0007</t>
  </si>
  <si>
    <t>WALID MAPANDI</t>
  </si>
  <si>
    <t>2023-05-03-10201SP1672-01</t>
  </si>
  <si>
    <t>1S11T5S16200GM04160M</t>
  </si>
  <si>
    <t>MYRENE AMPURADO</t>
  </si>
  <si>
    <t>2023-ICTE-SP-05-
 0012-06</t>
  </si>
  <si>
    <t>2023-PAR-05-
 0006</t>
  </si>
  <si>
    <t>OMAR MAPANDI</t>
  </si>
  <si>
    <t>2023-ICTE-SP-05-
 0013-06</t>
  </si>
  <si>
    <t>2023-PAR-05-
 0008</t>
  </si>
  <si>
    <t>ROBERTO LICARDO, JR.</t>
  </si>
  <si>
    <t>2023-05-03-10201SP1674-01</t>
  </si>
  <si>
    <t>1S11T5S16200GM041AZP</t>
  </si>
  <si>
    <t>LEAH S. ORTEGA</t>
  </si>
  <si>
    <t>102-2023-05-007</t>
  </si>
  <si>
    <t>2023-ICTE-SP-05-
 0014-06</t>
  </si>
  <si>
    <t>MARIE JURENA N. LAPUZ</t>
  </si>
  <si>
    <t>DARPO-DARAB</t>
  </si>
  <si>
    <t>2023-PAR-10-
 0002</t>
  </si>
  <si>
    <t>JEREMYL CASIL</t>
  </si>
  <si>
    <t>2023-ICTE-SP-05-
 0015-06</t>
  </si>
  <si>
    <t>EDEN B. ALOJACIN</t>
  </si>
  <si>
    <t>2023-05-03-10201SP1675-01</t>
  </si>
  <si>
    <t>1S11T5S16200GM03S3PM</t>
  </si>
  <si>
    <t>2023-PAR-05-
 0011</t>
  </si>
  <si>
    <t>CHERIE JOY BAYA</t>
  </si>
  <si>
    <t>102-2023-05-008</t>
  </si>
  <si>
    <t>JOEL D. PAJAC</t>
  </si>
  <si>
    <t>DARMO-ALAMADA</t>
  </si>
  <si>
    <t>2023-ICTE-SP-05-
 0016-06</t>
  </si>
  <si>
    <t>BUDGET OFFICER 11</t>
  </si>
  <si>
    <t>2023-PAR-05-
 0010</t>
  </si>
  <si>
    <t>JOYCE GAJARDO</t>
  </si>
  <si>
    <t>2023-05-03-10201SP1676-01</t>
  </si>
  <si>
    <t>1S11T5S16200GM0418L7</t>
  </si>
  <si>
    <t>REIAN E. SUMATRA</t>
  </si>
  <si>
    <t>2023-05-03-
 10201SP480-01</t>
  </si>
  <si>
    <t>PROPERTY CUSTODIAN</t>
  </si>
  <si>
    <t>102-2023-05-009</t>
  </si>
  <si>
    <t>GINA ESCALA</t>
  </si>
  <si>
    <t>2023-PAR-10-
 0003</t>
  </si>
  <si>
    <t>FATIMAANIQA T.
 MACARAMBON</t>
  </si>
  <si>
    <t>PARO'S OFFICE</t>
  </si>
  <si>
    <t>2023-05-03-
 10201SP481-01</t>
  </si>
  <si>
    <t>BENEDICT ALAIN BARBA</t>
  </si>
  <si>
    <t>2023-PAR-10-
 0004</t>
  </si>
  <si>
    <t>2023-05-03-10201SP1677-01</t>
  </si>
  <si>
    <t>1S11T5S16200GM04160H</t>
  </si>
  <si>
    <t>MICHELLE G. BONA</t>
  </si>
  <si>
    <t>102-2023-05-010</t>
  </si>
  <si>
    <t>2022-05-02-10202SP69-01</t>
  </si>
  <si>
    <t>2023-PAR-05-
 0001</t>
  </si>
  <si>
    <t>2023-05-03-10201SP1678-01</t>
  </si>
  <si>
    <t>2023-05-03-
 10202SP175-01</t>
  </si>
  <si>
    <t>1S11T5S16200GM041B06</t>
  </si>
  <si>
    <t>FATIMAANIQA T. MACARAMBON</t>
  </si>
  <si>
    <t>MAYCHEL RIVERA</t>
  </si>
  <si>
    <t>2023-PAR-09-
 0002</t>
  </si>
  <si>
    <t>102-2023-05-011</t>
  </si>
  <si>
    <t>LELANIE L. CARUGDA</t>
  </si>
  <si>
    <t>DARPO-MAGPET</t>
  </si>
  <si>
    <t>JHON MARK NEL BADARAN</t>
  </si>
  <si>
    <t>2023-PAR-10-
 0001</t>
  </si>
  <si>
    <t>2023-05-03-10201SP1679-01</t>
  </si>
  <si>
    <t>1S11T5S16200GM041AWK</t>
  </si>
  <si>
    <t>IAN SIDNEY M. BELVIS</t>
  </si>
  <si>
    <t>FELIPA CABRERA</t>
  </si>
  <si>
    <t>DARPO-LIBUNGAN</t>
  </si>
  <si>
    <t>2023-05-03-
 10202SP174-01</t>
  </si>
  <si>
    <t>2023-05-03-10201SP1681-01</t>
  </si>
  <si>
    <t>NORBERTO G. MUNSAYAC</t>
  </si>
  <si>
    <t>1S11T5S16200GM041B2D</t>
  </si>
  <si>
    <t>LIEZEL PALENCIA</t>
  </si>
  <si>
    <t>2023-PAR-09-
 0004</t>
  </si>
  <si>
    <t>102-2023-05-014</t>
  </si>
  <si>
    <t>DARMO-MAKILALA</t>
  </si>
  <si>
    <t>2023-05-03-10201SP1683-01</t>
  </si>
  <si>
    <t>1S11T5S16200GM041B0K</t>
  </si>
  <si>
    <t>LEA ANN CIMPRON</t>
  </si>
  <si>
    <t>102-2023-05-016</t>
  </si>
  <si>
    <t>JULIE GARCIA</t>
  </si>
  <si>
    <t>Agusan del Norte</t>
  </si>
  <si>
    <t>HV-SPLIT-102-24-05-091</t>
  </si>
  <si>
    <t>2022-05-02-10202SP84-01</t>
  </si>
  <si>
    <t>2023-05-03-10201SP1673-01</t>
  </si>
  <si>
    <t>SN: RNK1600157</t>
  </si>
  <si>
    <t>1S11T5S16200GM0415VN</t>
  </si>
  <si>
    <t>Zilah May B. Nortega</t>
  </si>
  <si>
    <t>FE BARELA</t>
  </si>
  <si>
    <t>102-2023-05-017</t>
  </si>
  <si>
    <t>PAR: 2025-07-0012</t>
  </si>
  <si>
    <t>ENGR. JONARD SERRA</t>
  </si>
  <si>
    <t>DARMO-MATALAM</t>
  </si>
  <si>
    <t>PPMO - Agusan del Norte/LTID</t>
  </si>
  <si>
    <t>DARPO MIS ORIENTAL</t>
  </si>
  <si>
    <t>2023-05-03-10201SP1682-01</t>
  </si>
  <si>
    <t>Agusan del Sur</t>
  </si>
  <si>
    <t>1S11T5S16200GM0415RP</t>
  </si>
  <si>
    <t>EMILY T. BELO</t>
  </si>
  <si>
    <t>102-2023-05-019</t>
  </si>
  <si>
    <t xml:space="preserve"> 2022-05-02-10202SP83-01</t>
  </si>
  <si>
    <t>SN: RNK1600156</t>
  </si>
  <si>
    <t>Ruby Jane M. Salvado</t>
  </si>
  <si>
    <t>SARPT/ Acting GS Chief</t>
  </si>
  <si>
    <t>PTR: 2022-11-006</t>
  </si>
  <si>
    <t>2023-05-14-10201SP15-01</t>
  </si>
  <si>
    <t>PPMO - Agusan del Sur/ GS</t>
  </si>
  <si>
    <t>2023-05-03-10201SP1680-01</t>
  </si>
  <si>
    <t>1S11T5S16200GM0418LG</t>
  </si>
  <si>
    <t>MARY ROSE D. CASERES</t>
  </si>
  <si>
    <t>102-2023-05-021</t>
  </si>
  <si>
    <t>Surigao del Norte</t>
  </si>
  <si>
    <t>2023-05-14-10201SP14-01</t>
  </si>
  <si>
    <t>2023-05-04-1020SP1700-01</t>
  </si>
  <si>
    <t>1S11T5S16200GM041B3X</t>
  </si>
  <si>
    <t>2022-05-02-10202SP81-01</t>
  </si>
  <si>
    <t>JOSEPH U. RABARA</t>
  </si>
  <si>
    <t>SN: RNK1600147</t>
  </si>
  <si>
    <t>Engr. Grecita P. Calinawan</t>
  </si>
  <si>
    <t>019-23</t>
  </si>
  <si>
    <t>PTR: 2022-12-008</t>
  </si>
  <si>
    <t>SPLIT Personnel/Hired</t>
  </si>
  <si>
    <t>PPMO - Surigao del Norte/LTID</t>
  </si>
  <si>
    <t>2023-05-04-1020SP1701-01</t>
  </si>
  <si>
    <t>1S11T5S16200GM0415SX</t>
  </si>
  <si>
    <t>ANGELES R. BARRETO</t>
  </si>
  <si>
    <t>020-23</t>
  </si>
  <si>
    <t>2022-05-02-10202SP82-01</t>
  </si>
  <si>
    <t>SN: RNK1600149</t>
  </si>
  <si>
    <t>Dante C. Manlimos</t>
  </si>
  <si>
    <t>SARPO/OIC CARPO PDI</t>
  </si>
  <si>
    <t>PTR: 2022-11-003</t>
  </si>
  <si>
    <t>PPMO -DARPO PDI</t>
  </si>
  <si>
    <t>unserviceable</t>
  </si>
  <si>
    <t>HVSPLIT-102-24-05-01-178</t>
  </si>
  <si>
    <t>For Repair</t>
  </si>
  <si>
    <t>2023-05-04-1020SP1702-01</t>
  </si>
  <si>
    <t>1S11T5S16200GM041AWJ</t>
  </si>
  <si>
    <t>TRICIA SALVE BELO</t>
  </si>
  <si>
    <t>Surigao del Sur</t>
  </si>
  <si>
    <t>015-23</t>
  </si>
  <si>
    <t>2022-05-02-10202SP80-01</t>
  </si>
  <si>
    <t>SN: RNK1600139</t>
  </si>
  <si>
    <t>Jesiel R. Romano</t>
  </si>
  <si>
    <t>HVSPLIT-102-24-05-01-291</t>
  </si>
  <si>
    <t>PTR: 2022-11-004</t>
  </si>
  <si>
    <t>PPMO - Surigao del Sur</t>
  </si>
  <si>
    <t>2023-05-04-1020SP1703-01</t>
  </si>
  <si>
    <t>1S11T5S16200GM04160P</t>
  </si>
  <si>
    <t>JESSIE OMBID</t>
  </si>
  <si>
    <t>HVSPLIT-102-24-05-01-292</t>
  </si>
  <si>
    <t>021-23</t>
  </si>
  <si>
    <t>2023-05-03-10202SP171-01</t>
  </si>
  <si>
    <t>NXEGZSP00330801EDB3400</t>
  </si>
  <si>
    <t>Engr. Roel C. Abesamis</t>
  </si>
  <si>
    <t>HVSPLIT-102-24-05-01-293</t>
  </si>
  <si>
    <t>DAR-DENR-ROD/LRA Coordinator</t>
  </si>
  <si>
    <t>RPMO-Caraga/LTID</t>
  </si>
  <si>
    <t>2023-05-04-1020SP1704-01</t>
  </si>
  <si>
    <t>1S11T5S16200GM0415XZ</t>
  </si>
  <si>
    <t>CIELO AMOR M. BELANDRES</t>
  </si>
  <si>
    <t>022-23</t>
  </si>
  <si>
    <t>HVSPLIT-102-24-05-01-294</t>
  </si>
  <si>
    <t>2023-05-03-10201SP173-01</t>
  </si>
  <si>
    <t>NXEGZSP00330801F1E3400</t>
  </si>
  <si>
    <t>Atty. Merlita S. Capinpuyan</t>
  </si>
  <si>
    <t>2023-05-04-1020SP1705-01</t>
  </si>
  <si>
    <t>2024-04-016</t>
  </si>
  <si>
    <t>1S11T5S16200GM0418F3</t>
  </si>
  <si>
    <t>FREDERICK PEREYRA</t>
  </si>
  <si>
    <t>RPMO-Caraga/ORD</t>
  </si>
  <si>
    <t>023-23</t>
  </si>
  <si>
    <t>HVSPLIT-102-24-05-01-295</t>
  </si>
  <si>
    <t>2023-05-03-10201SP172-01</t>
  </si>
  <si>
    <t>NXEGZSP003308020553400</t>
  </si>
  <si>
    <t>C. Lafuente</t>
  </si>
  <si>
    <t>StratCom Coordinator</t>
  </si>
  <si>
    <t>2023-05-04-1020SP1706-01</t>
  </si>
  <si>
    <t>Marvin Burdeos</t>
  </si>
  <si>
    <t>1S11T5S16200GM04160S</t>
  </si>
  <si>
    <t>RPMO-Caraga/STOD- RIU</t>
  </si>
  <si>
    <t>HVSPLIT-102-24-05-01-296</t>
  </si>
  <si>
    <t>REYDANN S. DELMO</t>
  </si>
  <si>
    <t>024-23</t>
  </si>
  <si>
    <t>2023-05-03-10202SP89-01</t>
  </si>
  <si>
    <t>HVSPLIT-102-24-05-01-297</t>
  </si>
  <si>
    <t>NXEGZSP00330801CBC3400</t>
  </si>
  <si>
    <t>R. Sambaan</t>
  </si>
  <si>
    <t>2024-04-017</t>
  </si>
  <si>
    <t>2023-05-04-1020SP1707-01</t>
  </si>
  <si>
    <t>RPMO-Caraga/STOD- GSS</t>
  </si>
  <si>
    <t>1S11T5S16200GM041B3P</t>
  </si>
  <si>
    <t>FE MARGARET I. SOLIS</t>
  </si>
  <si>
    <t>025-23</t>
  </si>
  <si>
    <t>HVSPLIT-102-24-05-01-298</t>
  </si>
  <si>
    <t>2023-05-03-10202SP158-01</t>
  </si>
  <si>
    <t>SN: NXEGZSP00330801D223400</t>
  </si>
  <si>
    <t>Atty. John Winston A. Baje</t>
  </si>
  <si>
    <t>Atty. IV</t>
  </si>
  <si>
    <t>HVSPLIT-102-24-05-01-299</t>
  </si>
  <si>
    <t>PAR: 2025-07-0021</t>
  </si>
  <si>
    <t>Xyra Xena Amadeo</t>
  </si>
  <si>
    <t>Legal Services Division/SPLIT</t>
  </si>
  <si>
    <t>2023-05-04-1020SP1708-01</t>
  </si>
  <si>
    <t>1S11T5S16200GM041B0D</t>
  </si>
  <si>
    <t>SHERYL B. BUNDA</t>
  </si>
  <si>
    <t>026-23</t>
  </si>
  <si>
    <t>HVSPLIT-102-24-05-01-300</t>
  </si>
  <si>
    <t>2023-05-03-10202SP159-01</t>
  </si>
  <si>
    <t>SN: NXEGZSP00330801C83400</t>
  </si>
  <si>
    <t>Ester T. Cabalan</t>
  </si>
  <si>
    <t>PAR: 2025-07-0024</t>
  </si>
  <si>
    <t>PPMO - Agusan del Norte/ARBDSP</t>
  </si>
  <si>
    <t>HVSPLIT-102-24-05-01-301</t>
  </si>
  <si>
    <t>2023-05-04-1020SP1709-01</t>
  </si>
  <si>
    <t>1S11T5S16200GM041AYT</t>
  </si>
  <si>
    <t>JESSIE MAE D. VILLALOBOS</t>
  </si>
  <si>
    <t>027-23</t>
  </si>
  <si>
    <t>2023-05-03-10202SP160-01</t>
  </si>
  <si>
    <t>SN: NXEGZSP00330801ACF3400</t>
  </si>
  <si>
    <t>Hazel Desales</t>
  </si>
  <si>
    <t>HVSPLIT-102-24-05-01-302</t>
  </si>
  <si>
    <t>MARPO/ Provincial Parcelization Coordinator</t>
  </si>
  <si>
    <t>2023-10-45-SPLIT</t>
  </si>
  <si>
    <t>Ace Cyril Awid</t>
  </si>
  <si>
    <t>PPMO - AGUSAN DEL SUR/ SPLIT OFFICE</t>
  </si>
  <si>
    <t>2023-05-04-1020SP1710-01</t>
  </si>
  <si>
    <t>1S11T5S16200GM0418LP</t>
  </si>
  <si>
    <t>JEAN O. GONEDA</t>
  </si>
  <si>
    <t>016-23</t>
  </si>
  <si>
    <t>HVSPLIT-102-24-05-01-303</t>
  </si>
  <si>
    <t>2023-05-03-10202SP161-01</t>
  </si>
  <si>
    <t>SN: NXEGZSP00330801D463400</t>
  </si>
  <si>
    <t>Kate Veronica Dumanillo</t>
  </si>
  <si>
    <t>ARPT / CORD Coordinator</t>
  </si>
  <si>
    <t>2023-10-48-SPLIT</t>
  </si>
  <si>
    <t>PPMO - AGUSAN DEL SUR/ LTID</t>
  </si>
  <si>
    <t>HVSPLIT-102-24-05-01-304</t>
  </si>
  <si>
    <t>2023-05-04-1020SP1711-01</t>
  </si>
  <si>
    <t>1S11T5S16200GM0418GV</t>
  </si>
  <si>
    <t>GINA F. GARCIA</t>
  </si>
  <si>
    <t>028-23</t>
  </si>
  <si>
    <t>2023-05-03-10202SP162-01</t>
  </si>
  <si>
    <t>SN: NXEGZSP00330801C783400</t>
  </si>
  <si>
    <t>Jake Renier Capa</t>
  </si>
  <si>
    <t>ARPO I / Chief Survey Section</t>
  </si>
  <si>
    <t>2023-10-47-SPLIT</t>
  </si>
  <si>
    <t>HVSPLIT-102-24-05-01-305</t>
  </si>
  <si>
    <t>PPMO - AGUSAN DEL SUR/ SURVEY</t>
  </si>
  <si>
    <t>Lost</t>
  </si>
  <si>
    <t>2023-05-04-1020SP1712-01</t>
  </si>
  <si>
    <t>1S11T5S16200GM041B57</t>
  </si>
  <si>
    <t>MIRELLE ELECCION</t>
  </si>
  <si>
    <t>HVSPLIT-102-24-05-01-306</t>
  </si>
  <si>
    <t>2023-05-03-10202SP028-01</t>
  </si>
  <si>
    <t>SN: NXEGZSP00330801F363400</t>
  </si>
  <si>
    <t>Adelle Anciado</t>
  </si>
  <si>
    <t>2023-10-46-SPLIT</t>
  </si>
  <si>
    <t>PPMO - AGUSAN DEL SUR SPLIT OFFICE</t>
  </si>
  <si>
    <t>2023-05-04-1020SP1713-01</t>
  </si>
  <si>
    <t>HVSPLIT-102-24-05-01-307</t>
  </si>
  <si>
    <t>1S11T5S16200GM041AYR</t>
  </si>
  <si>
    <t>CRISTY ARIBAS</t>
  </si>
  <si>
    <t>2023-05-03-10202SP163-01</t>
  </si>
  <si>
    <t>SN: NXEGZSP00330801F373400</t>
  </si>
  <si>
    <t>Justin Riel Caberos</t>
  </si>
  <si>
    <t>HVSPLIT-102-24-05-01-308</t>
  </si>
  <si>
    <t>PIO - AGUSAN DEL SUR SPLIT OFFICE</t>
  </si>
  <si>
    <t>2023-05-04-1020SP1714-01</t>
  </si>
  <si>
    <t>1S11T5S16200GM0415TZ</t>
  </si>
  <si>
    <t>ATTY. LELANIE APITONG</t>
  </si>
  <si>
    <t>018-23</t>
  </si>
  <si>
    <t>HVSPLIT-102-24-05-01-309</t>
  </si>
  <si>
    <t>2023-05-03-10202SP164-01</t>
  </si>
  <si>
    <t>SN: NXEGZSP00330801E963400</t>
  </si>
  <si>
    <t>Grecita P. Calinawan</t>
  </si>
  <si>
    <t>R13SDN-102-2023-05-ICT-029</t>
  </si>
  <si>
    <t>Melencio C. Migullas, Jr.</t>
  </si>
  <si>
    <t>DARMO-Tubod</t>
  </si>
  <si>
    <t>2023-05-04-1020SP1715-01</t>
  </si>
  <si>
    <t>1S11T5S16200GM0415WP</t>
  </si>
  <si>
    <t>LORNA GARDE</t>
  </si>
  <si>
    <t>HVSPLIT-102-24-05-01-310</t>
  </si>
  <si>
    <t>017-23</t>
  </si>
  <si>
    <t>2023-05-03-10202SP165-01</t>
  </si>
  <si>
    <t>SN: NXEGZSP00330801CF43400</t>
  </si>
  <si>
    <t>R13SDN-102-2023-05-ICT-030</t>
  </si>
  <si>
    <t>Felipe U. Requina Jr.</t>
  </si>
  <si>
    <t>DAR-PDI Office</t>
  </si>
  <si>
    <t>2023-06-01-10201SP116-01</t>
  </si>
  <si>
    <t>2023-05-03-10201SP1660-01</t>
  </si>
  <si>
    <t>SNC 1132</t>
  </si>
  <si>
    <t>1S11T5S16200GM0415SZ</t>
  </si>
  <si>
    <t>ZORAIDA 0. MACADINDANG, AL HADJ, JD</t>
  </si>
  <si>
    <t>ANISHA OMAR, MPA</t>
  </si>
  <si>
    <t>SUPPLY OFFICER II</t>
  </si>
  <si>
    <t>SPLIT-2023-0010</t>
  </si>
  <si>
    <t>ZORAIDA 0. MACADINDANG, AL-HADJ, JD</t>
  </si>
  <si>
    <t>2023-05-03-10202SP166-01</t>
  </si>
  <si>
    <t>SN: NXEGZSP00330801B4A3400</t>
  </si>
  <si>
    <t>Dante Manlimos</t>
  </si>
  <si>
    <t>OIC CARPO PDI</t>
  </si>
  <si>
    <t>R13SDN-102-2023-05-ICT-031</t>
  </si>
  <si>
    <t>DARPO SDN PDI</t>
  </si>
  <si>
    <t>2023-05-03-10201SP1658-01</t>
  </si>
  <si>
    <t>1S11T5S16200GM041AWF</t>
  </si>
  <si>
    <t>SARAH A. BAZAR</t>
  </si>
  <si>
    <t>2023-05-03-10202SP90-01</t>
  </si>
  <si>
    <t>Good Condition</t>
  </si>
  <si>
    <t>SN: NXEGZSP0030801EE734</t>
  </si>
  <si>
    <t>Daryll M. Tumbaga</t>
  </si>
  <si>
    <t>R13SDN-102-2023-11-ICT-034</t>
  </si>
  <si>
    <t>PPMO - Surigao del Norte/PARPO II</t>
  </si>
  <si>
    <t>from DARCO for Information Officers</t>
  </si>
  <si>
    <t>2023-05-03-10201SP1654-01</t>
  </si>
  <si>
    <t>1S11T5S16200GM0415SP</t>
  </si>
  <si>
    <t>MARIA CECILIA R. MACHAN</t>
  </si>
  <si>
    <t>CARPO, PBDD</t>
  </si>
  <si>
    <t>SPLIT-2023-005</t>
  </si>
  <si>
    <t>PBDD OFFICE</t>
  </si>
  <si>
    <t>2023-05-03-10202SP167-01</t>
  </si>
  <si>
    <t>SN: NXEGZSP00330801B483400</t>
  </si>
  <si>
    <t>Atty. Mardovic Dodge D. Benigian II</t>
  </si>
  <si>
    <t>2023-06-01-10201SP117-01</t>
  </si>
  <si>
    <t>SNC 1172</t>
  </si>
  <si>
    <t>2023-SPLIT-01</t>
  </si>
  <si>
    <t>Atty. Mardovic Dodge D. Benegian II</t>
  </si>
  <si>
    <t>PROJECT MANAGER - ADMINISTRATION/GRM COORDINATOR (TYPE 1 AND TYPE
 2A)/ ARDA</t>
  </si>
  <si>
    <t>PPMO - Legal Division, Surigao del Sur</t>
  </si>
  <si>
    <t>2023-05-03-10201SP1664-01</t>
  </si>
  <si>
    <t>1S11T5S16200GM0418GT</t>
  </si>
  <si>
    <t>JOVIELYN E. CONDES</t>
  </si>
  <si>
    <t>SPLIT-2023-013</t>
  </si>
  <si>
    <t>2023-05-03-10202SP168-01</t>
  </si>
  <si>
    <t>SN: NXEGZSP00330801BBD3400</t>
  </si>
  <si>
    <t>2023-SPLIT-02</t>
  </si>
  <si>
    <t>Atty. Mardovic Dodge D. Benegian II (USER: Jobert Velasco)</t>
  </si>
  <si>
    <t>2023-05-03-10201SP1666-01</t>
  </si>
  <si>
    <t>1S11T5S16200GM0418EW</t>
  </si>
  <si>
    <t>KATHLEEN S. PAGAYON</t>
  </si>
  <si>
    <t>2023-06-01-
 10202SP608-01</t>
  </si>
  <si>
    <t>SPLIT-2023-015</t>
  </si>
  <si>
    <t>2023-05-03-10202SP169-01</t>
  </si>
  <si>
    <t>SN: NXEGZSP00330801BCB3400</t>
  </si>
  <si>
    <t>PRINCESS SHARIFE LAUBAN</t>
  </si>
  <si>
    <t>April Annabelle C. Guarte</t>
  </si>
  <si>
    <t>2023-SPLIT-03</t>
  </si>
  <si>
    <t>April Annabelle C. Guarte (User: Ellaine Rose M. Bautista)</t>
  </si>
  <si>
    <t>PPMO -STOD, Surigao del Sur</t>
  </si>
  <si>
    <t>2023-05-03-10201SP1657-01</t>
  </si>
  <si>
    <t>1S11T5S16200GM0418G9</t>
  </si>
  <si>
    <t>HONEYKENN MAÑOSA</t>
  </si>
  <si>
    <t>ADMINISTRATIVE AIDE VI</t>
  </si>
  <si>
    <t>2023-05-03-10202SP170-01</t>
  </si>
  <si>
    <t>2023-06-01-
 10202SP606-01</t>
  </si>
  <si>
    <t>SPLIT-2023-008</t>
  </si>
  <si>
    <t>SN: NXEGZSP00330801C013400</t>
  </si>
  <si>
    <t>ANNALIE VINLUAN</t>
  </si>
  <si>
    <t>TECHNICAL STAFF 2- ADMINISTRATIVE AND FINANCE OFFICER/ RCAO</t>
  </si>
  <si>
    <t>PERSONNEL SECTION</t>
  </si>
  <si>
    <t>PPMO - STOD, Surigao del Sur</t>
  </si>
  <si>
    <t>2023-06-01-
 10202SP607-01</t>
  </si>
  <si>
    <t>JOMARID.PAPANDAYAN</t>
  </si>
  <si>
    <t>2023-05-03-10201SP1662-01</t>
  </si>
  <si>
    <t>2023-05-03-10202SP91-01</t>
  </si>
  <si>
    <t>1S11T5S16200GM0418J1</t>
  </si>
  <si>
    <t>SN: NXEGZSP00330801F183400</t>
  </si>
  <si>
    <t>CARIMA NATA</t>
  </si>
  <si>
    <t>Junelyn A. Pagaran</t>
  </si>
  <si>
    <t>SPLIT-2023-011</t>
  </si>
  <si>
    <t>2023-SPLIT-04</t>
  </si>
  <si>
    <t>2023-06-01-
 10202SP609-01</t>
  </si>
  <si>
    <t>ACCOUNTING SECTION</t>
  </si>
  <si>
    <t>TECHNICAL STAFF 1 - CBTA FOR IMPLEMENTERS/ESS, PARO I</t>
  </si>
  <si>
    <t>ENGR. ROLAND ALCANTARA</t>
  </si>
  <si>
    <t>2023-06-01-
 10202SP610-01</t>
  </si>
  <si>
    <t>2023-05-03-10201SP1665-01</t>
  </si>
  <si>
    <t>1S11T5S16200GM041AZW</t>
  </si>
  <si>
    <t>ALIASGHAR A. BAZAR</t>
  </si>
  <si>
    <t>SPLIT-2023-014</t>
  </si>
  <si>
    <t>2023-06-01-
 10202SP573-01</t>
  </si>
  <si>
    <t>2023-06-01-
 10202SP552-01</t>
  </si>
  <si>
    <t>JOFEL M. BELETA</t>
  </si>
  <si>
    <t>2023-PAR-08-
 01</t>
  </si>
  <si>
    <t>DARMO
 KALILANGAN</t>
  </si>
  <si>
    <t>2023-05-03-10201SP1663-01</t>
  </si>
  <si>
    <t>PPMO -LTID, Surigao del Sur</t>
  </si>
  <si>
    <t>1S11T5S16200GM0418FD</t>
  </si>
  <si>
    <t>ASHRAFIA ROMANDA</t>
  </si>
  <si>
    <t>SPLIT-2023-012</t>
  </si>
  <si>
    <t>2023-06-01-
 10202SP553-01</t>
  </si>
  <si>
    <t>CLARENCE MARKE.
 RAMIREZ</t>
  </si>
  <si>
    <t>2023-PAR-08-
 02</t>
  </si>
  <si>
    <t>CLARENCE MARK E. RAMIREZ</t>
  </si>
  <si>
    <t>DARMO
 CABANGLASAN</t>
  </si>
  <si>
    <t>2023-05-03-10201SP1781-01</t>
  </si>
  <si>
    <t>SN: 1S11T5S16200GM041AV8</t>
  </si>
  <si>
    <t>2023-06-01-
 10202SP554-01</t>
  </si>
  <si>
    <t>2023-05-03-10201SP1652-01</t>
  </si>
  <si>
    <t>NESTOR C. CAILING</t>
  </si>
  <si>
    <t>1S11T5S16200GM0415X4</t>
  </si>
  <si>
    <t>AHMAD JOHN M. BAULO</t>
  </si>
  <si>
    <t>2023-PAR-08-
 03</t>
  </si>
  <si>
    <t>DARMO
 DAMULOG</t>
  </si>
  <si>
    <t>SPLIT-2023-004</t>
  </si>
  <si>
    <t>PLANNING SECTION, DARRO XII</t>
  </si>
  <si>
    <t>2023-06-01-
 10202SP555-01</t>
  </si>
  <si>
    <t>EDGARJ.
 EDULLANTES</t>
  </si>
  <si>
    <t>2023-PAR-08-
 04</t>
  </si>
  <si>
    <t>EDGAR J. EDULLANTES</t>
  </si>
  <si>
    <t>2023-05-03-10201SP1803-01</t>
  </si>
  <si>
    <t>DARMO
 PANGANTUCAN</t>
  </si>
  <si>
    <t>SN: 1S11T5S16200GM041B4F</t>
  </si>
  <si>
    <t>2023-05-31-SPLIT</t>
  </si>
  <si>
    <t>Engr. J. Torrentira</t>
  </si>
  <si>
    <t>2023-05-03-10201SP1656-01</t>
  </si>
  <si>
    <t>2023-06-01-
 10202SP556-01</t>
  </si>
  <si>
    <t>1S11T5S16200GM041616</t>
  </si>
  <si>
    <t>ABDULLAH M. RASOL</t>
  </si>
  <si>
    <t>MOHAMMAD 0.
 PANDAPATAN</t>
  </si>
  <si>
    <t>2023-PAR-08-
 05</t>
  </si>
  <si>
    <t>SPLIT-2023-007</t>
  </si>
  <si>
    <t>DARMO
 MALAYBALAY</t>
  </si>
  <si>
    <t>2023-05-03-10201SP1805-01</t>
  </si>
  <si>
    <t>2023-06-01-
 10202SP557-01</t>
  </si>
  <si>
    <t>SN:1S11T5S16200GM041B56</t>
  </si>
  <si>
    <t>RONIEGLENN C.
 GENITA</t>
  </si>
  <si>
    <t>Atty. M. Ruiz</t>
  </si>
  <si>
    <t>2023-PAR-08-
 06</t>
  </si>
  <si>
    <t>RONIEGLENN C. GENITA</t>
  </si>
  <si>
    <t>2024-04-014</t>
  </si>
  <si>
    <t>DARMO
 SUMILAO</t>
  </si>
  <si>
    <t>J. Ali</t>
  </si>
  <si>
    <t>RPMO-Caraga/LSD</t>
  </si>
  <si>
    <t>2023-05-03-10201SP1659-01</t>
  </si>
  <si>
    <t>1S11T5S16200GM041B5F</t>
  </si>
  <si>
    <t>2023-06-01-
 10202SP558-01</t>
  </si>
  <si>
    <t>SPLIT-2023-009</t>
  </si>
  <si>
    <t>CLAUDE GREGOR A.
 IGTOS</t>
  </si>
  <si>
    <t>AMIN H.H.NAIM</t>
  </si>
  <si>
    <t>2023-PAR-08-
 07</t>
  </si>
  <si>
    <t>CLAUDE GREGOR A. IGTOS</t>
  </si>
  <si>
    <t>SPLIT RPMO OFFICE</t>
  </si>
  <si>
    <t>DARMO
 MARAMAG</t>
  </si>
  <si>
    <t>2023-06-01-
 10202SP559-01</t>
  </si>
  <si>
    <t>DOMINADOR P. PALMA
 JR.</t>
  </si>
  <si>
    <t>2023-PAR-08-
 08</t>
  </si>
  <si>
    <t>2023-05-03-10201SP1815-01</t>
  </si>
  <si>
    <t>DOMINADOR P. PALMA JR.</t>
  </si>
  <si>
    <t>SN: 1S11T5S16200GM0418KY</t>
  </si>
  <si>
    <t>DARMO SAN
 FERNANDO</t>
  </si>
  <si>
    <t>E. Capitania</t>
  </si>
  <si>
    <t>Cashier II</t>
  </si>
  <si>
    <t>2023-05-03-10201SP1655-01</t>
  </si>
  <si>
    <t>1S11T5S16200GM041B2S</t>
  </si>
  <si>
    <t>RPMO-Caraga/Cashiering Section</t>
  </si>
  <si>
    <t>ABDULBAYAN M. AKMAD</t>
  </si>
  <si>
    <t>2023-06-01-
 10202SP560-01</t>
  </si>
  <si>
    <t>ESMAEL G.
 CONTRERAS</t>
  </si>
  <si>
    <t>2023-PAR-08-
 09</t>
  </si>
  <si>
    <t>CARLOS JR. M. MONTAÑO</t>
  </si>
  <si>
    <t>ESMAELG.CONTRERAS</t>
  </si>
  <si>
    <t>DARMO
 QUEZON</t>
  </si>
  <si>
    <t>2023-05-03-10201SP1812-01</t>
  </si>
  <si>
    <t>2023-06-01-
 10202SP561-01</t>
  </si>
  <si>
    <t>SN: 1S11T5S16200GM041608</t>
  </si>
  <si>
    <t>EUTIQUIO L. SEVILLA</t>
  </si>
  <si>
    <t>M. Daquipil</t>
  </si>
  <si>
    <t>Records Officer II</t>
  </si>
  <si>
    <t>2023-PAR-08-
 10</t>
  </si>
  <si>
    <t>RPMO-Caraga/STOD- Records Section</t>
  </si>
  <si>
    <t>2023-05-03-10201SP1653-01</t>
  </si>
  <si>
    <t>1S11T5S16200GM0415WN</t>
  </si>
  <si>
    <t>2023-06-01-
 10202SP562-01</t>
  </si>
  <si>
    <t>ESTHER GRACE R. ONG</t>
  </si>
  <si>
    <t>HASMEN C. DIMAGIBA</t>
  </si>
  <si>
    <t>STATISTICIAN II</t>
  </si>
  <si>
    <t>2023-PAR-08-
 11</t>
  </si>
  <si>
    <t>DARMO
 LANTAPAN</t>
  </si>
  <si>
    <t>JEHAN L. ALONGAN</t>
  </si>
  <si>
    <t>2023-06-01-
 10202SP563-01</t>
  </si>
  <si>
    <t>2023-05-03-10201SP1816-01</t>
  </si>
  <si>
    <t>SN:1S11T5S16200GM0418LN</t>
  </si>
  <si>
    <t>EUNICE CRISTA B.
 LINA</t>
  </si>
  <si>
    <t>N. Casil</t>
  </si>
  <si>
    <t>2023-PAR-08-
 12</t>
  </si>
  <si>
    <t>EUNICE CRISTA B. LINA</t>
  </si>
  <si>
    <t>2025-01-001</t>
  </si>
  <si>
    <t>DARMO KIBAWE</t>
  </si>
  <si>
    <t>RPMO-Caraga/STOD- Planning Section</t>
  </si>
  <si>
    <t>2023-06-01-
 10202SP564-01</t>
  </si>
  <si>
    <t>2023-05-03-10201SP1661-01</t>
  </si>
  <si>
    <t>MANUEL JADE P.
 ARRIOLA</t>
  </si>
  <si>
    <t>1S11T5S16200GM0418HZ</t>
  </si>
  <si>
    <t>2023-PAR-08-
 13</t>
  </si>
  <si>
    <t>MANUEL JADE P. ARRIOLA</t>
  </si>
  <si>
    <t>BRYAN JOHN T. VICTORIANO</t>
  </si>
  <si>
    <t>DARMO
 MALITBOG</t>
  </si>
  <si>
    <t>2023-05-03-10201SP1780-01</t>
  </si>
  <si>
    <t>SN:1S11T5S16200GM0418LC</t>
  </si>
  <si>
    <t>2023-09-026</t>
  </si>
  <si>
    <t>2023-06-01-
 10202SP565-01</t>
  </si>
  <si>
    <t>EPHRAIM T. PAILDEN</t>
  </si>
  <si>
    <t>2023-PAR-08-
 14</t>
  </si>
  <si>
    <t>DARMO
 MANOLO</t>
  </si>
  <si>
    <t>2023-05-03-10201SP1667-01</t>
  </si>
  <si>
    <t>2023-06-01-
 10202SP566-01</t>
  </si>
  <si>
    <t>JEROME M. RANARA</t>
  </si>
  <si>
    <t>2023-PAR-08-
 15</t>
  </si>
  <si>
    <t>DARMO
 TALAKAG</t>
  </si>
  <si>
    <t>2023-05-03-10201SP1809-01</t>
  </si>
  <si>
    <t>SN:1S11T5S16200GM041B68</t>
  </si>
  <si>
    <t>2023-06-01-
 10202SP567-01</t>
  </si>
  <si>
    <t>C. Tantay</t>
  </si>
  <si>
    <t>EFREN L. PAYPA</t>
  </si>
  <si>
    <t>2023-PAR-08-
 16</t>
  </si>
  <si>
    <t>2024-05-13-10204SP15-O1</t>
  </si>
  <si>
    <t>2023-06-01-
 10202SP568-01</t>
  </si>
  <si>
    <t>ENGR. JONATHAN Y. DEDICATORIA</t>
  </si>
  <si>
    <t>RODEL G. CAMBARE</t>
  </si>
  <si>
    <t>2023-05-03-10201SP1814-01</t>
  </si>
  <si>
    <t>2023-PAR-08-
 17</t>
  </si>
  <si>
    <t>SN:1S11T5S16200GM0418J6</t>
  </si>
  <si>
    <t>LTID OFFICE</t>
  </si>
  <si>
    <t>A. Sanico</t>
  </si>
  <si>
    <t>DARMO VALENCIA</t>
  </si>
  <si>
    <t>RPMO-Caraga/STOD- Accounting Section</t>
  </si>
  <si>
    <t>2023-06-01-
 10202SP569-01</t>
  </si>
  <si>
    <t>DENNIS L.
 MANSALADEZ</t>
  </si>
  <si>
    <t>2023-PAR-08-
 18</t>
  </si>
  <si>
    <t>DENNIS L. MANSALADEZ</t>
  </si>
  <si>
    <t>DARPO- LTSP</t>
  </si>
  <si>
    <t>HV-SPLIT-102-24-05-42
 HV-SPLIT-102-24-05-04-38</t>
  </si>
  <si>
    <t>2023-05-03-10201SP1813-01</t>
  </si>
  <si>
    <t>SN:1S11T5S16200GM0418CL</t>
  </si>
  <si>
    <t>2023-06-01-
 10202SP570-01</t>
  </si>
  <si>
    <t>JONATHAN C.
 CELESTIANO</t>
  </si>
  <si>
    <t>2023-PAR-08-
 19</t>
  </si>
  <si>
    <t>JONATHAN C. CELESTIANO</t>
  </si>
  <si>
    <t>DARPO XII</t>
  </si>
  <si>
    <t>Ma. Ethely A. Ylaya</t>
  </si>
  <si>
    <t>2023-06-01-
 10202SP571-01</t>
  </si>
  <si>
    <t>JAQUELINE R.
 ESTANIEL</t>
  </si>
  <si>
    <t>2023-PAR-08-
 20</t>
  </si>
  <si>
    <t>JAQUELINE R. ESTANIEL</t>
  </si>
  <si>
    <t>2024-05-03-10202SP-318-01</t>
  </si>
  <si>
    <t>NXVXKSP0034193BDO07600</t>
  </si>
  <si>
    <t>2023-06-01-
 10202SP572-01</t>
  </si>
  <si>
    <t>ESS SPECIALIST</t>
  </si>
  <si>
    <t>2023-PAR-08-
 21</t>
  </si>
  <si>
    <t>2023-06-01-10201SP113-01</t>
  </si>
  <si>
    <t>JAMMAL G. PANGANDAMAN</t>
  </si>
  <si>
    <t>2023-PAR-10-
 01</t>
  </si>
  <si>
    <t>RPMO-Caraga/STOD-Budget Section</t>
  </si>
  <si>
    <t>2024-05-03-10202SP-257-01</t>
  </si>
  <si>
    <t>EVA JOY SILVINO</t>
  </si>
  <si>
    <t>SPLIT-MEDIA WRITER</t>
  </si>
  <si>
    <t>2023-06-01-10201SP114-01</t>
  </si>
  <si>
    <t>RPMO OFFICE, DARO XII</t>
  </si>
  <si>
    <t>SNC 1307</t>
  </si>
  <si>
    <t>2023-PAR-10-
 02</t>
  </si>
  <si>
    <t>2022-MV-06-0004
 01</t>
  </si>
  <si>
    <t>2023-05-03-10201SP425-01</t>
  </si>
  <si>
    <t>ASST. STAT./M &amp; E
 COORDINATOR</t>
  </si>
  <si>
    <t>4CE301DH6T</t>
  </si>
  <si>
    <t>2023-08-008</t>
  </si>
  <si>
    <t>WAHIDA SANGKULA</t>
  </si>
  <si>
    <t>DAR- MIS.
 OR./CAM</t>
  </si>
  <si>
    <t>ATTY</t>
  </si>
  <si>
    <t>2023-10-099 to 102</t>
  </si>
  <si>
    <t>2022-MV-06-0004-
 02</t>
  </si>
  <si>
    <t>2023-06-01-
 10202SP575-01</t>
  </si>
  <si>
    <t>2023-05-03-10201SP426-01</t>
  </si>
  <si>
    <t>4CE301DH4F</t>
  </si>
  <si>
    <t>2023-05-03-10201SP1800-01</t>
  </si>
  <si>
    <t>MOHAMMAD AL-JIHAD B. DIMAPORO- PROCUREMENT STAFF</t>
  </si>
  <si>
    <t>PHOEBE ROSE ALAO</t>
  </si>
  <si>
    <t>2023-10-103 to 106</t>
  </si>
  <si>
    <t>2023-06-01-
 10202SP576-01</t>
  </si>
  <si>
    <t>ENGR. JOHNIEL VILLEJO</t>
  </si>
  <si>
    <t>SPLIT PROJECT HIRED FVTS</t>
  </si>
  <si>
    <t>SN:1S11T5S16200GM041B42</t>
  </si>
  <si>
    <t>2023-06-01-
 10202SP577-01</t>
  </si>
  <si>
    <t>AHMED MIONDAS</t>
  </si>
  <si>
    <t>2023-05-03-10201SP427-01</t>
  </si>
  <si>
    <t>4CE301DH9B</t>
  </si>
  <si>
    <t>SHARON SETIAR</t>
  </si>
  <si>
    <t>2023-10-107 to 110</t>
  </si>
  <si>
    <t>DARMO KIAMBA</t>
  </si>
  <si>
    <t>2023-06-01-
 10202SP578-01</t>
  </si>
  <si>
    <t>WITHOUT MR YET</t>
  </si>
  <si>
    <t>DAR</t>
  </si>
  <si>
    <t>2024-02-008</t>
  </si>
  <si>
    <t>N. Cabeltis</t>
  </si>
  <si>
    <t>HP PRINTER</t>
  </si>
  <si>
    <t>2023-06-01-
 10202SP579-01</t>
  </si>
  <si>
    <t>2023-05-03-10201SP443-01</t>
  </si>
  <si>
    <t>Printer unserviceable</t>
  </si>
  <si>
    <t>NORLAISA S. HASSAN</t>
  </si>
  <si>
    <t>2023-10-114</t>
  </si>
  <si>
    <t>DAR
 PROVINCIAL</t>
  </si>
  <si>
    <t>2023-06-01-
 10202SP580-01</t>
  </si>
  <si>
    <t>HAMDAN! S. MAKABINTA</t>
  </si>
  <si>
    <t>2023-05-03-10201SP437-01</t>
  </si>
  <si>
    <t>2023-05-03-10201SP1808-01</t>
  </si>
  <si>
    <t>4CE301DH4V</t>
  </si>
  <si>
    <t>2023-06-01-
 10202SP581-01</t>
  </si>
  <si>
    <t>SN: 1S11T5S16200GM041B5P</t>
  </si>
  <si>
    <t>AYOB L. SOMADING</t>
  </si>
  <si>
    <t>KRISTIN MYCEL C. MENSERA</t>
  </si>
  <si>
    <t>Atty IV</t>
  </si>
  <si>
    <t>2023-10-111 to 113</t>
  </si>
  <si>
    <t>2023-022</t>
  </si>
  <si>
    <t>Atty. Elsie A. Alejandro</t>
  </si>
  <si>
    <t>2023-06-01-
 10202SP582-01</t>
  </si>
  <si>
    <t>JEHANE NAYSSAH M. PACOTE</t>
  </si>
  <si>
    <t>2023-023</t>
  </si>
  <si>
    <t>2023-05-03-10201SP439-01</t>
  </si>
  <si>
    <t>4C3301DSP5</t>
  </si>
  <si>
    <t>2023-06-01-
 10202SP583-01</t>
  </si>
  <si>
    <t>ATTY. IVY A. CABINTA</t>
  </si>
  <si>
    <t>2023-024</t>
  </si>
  <si>
    <t>2023-10-115 to 118</t>
  </si>
  <si>
    <t>ELEANOR SERRA</t>
  </si>
  <si>
    <t>DARMO ALABEL</t>
  </si>
  <si>
    <t>2023-05-03-10201SP1802-01</t>
  </si>
  <si>
    <t>SN: 1S11T5S16200GM041AW8</t>
  </si>
  <si>
    <t>2023-06-01-
 10202SP584-01</t>
  </si>
  <si>
    <t>J. Ceballos</t>
  </si>
  <si>
    <t>ABDULBASHET AROBINTO</t>
  </si>
  <si>
    <t>ARDA</t>
  </si>
  <si>
    <t>ARPT / LEGAL OFFICER</t>
  </si>
  <si>
    <t>2023-025</t>
  </si>
  <si>
    <t>ABDUL BASHET AROBINTO</t>
  </si>
  <si>
    <t>RPMO-Caraga/OARDA</t>
  </si>
  <si>
    <t>12-SULKUD-GF-S-23-05-01-110</t>
  </si>
  <si>
    <t>2023-06-01-
 10202SP585-01</t>
  </si>
  <si>
    <t>ABULKHAYR A. ISMAEL</t>
  </si>
  <si>
    <t>RUEL M. ESPAÑOL</t>
  </si>
  <si>
    <t>2023-026</t>
  </si>
  <si>
    <t>2023-12-049</t>
  </si>
  <si>
    <t>JOEL L. GELLANG JR.</t>
  </si>
  <si>
    <t>2023-06-01-
 10202SP586-01</t>
  </si>
  <si>
    <t>VASHER A. MACAAYAN</t>
  </si>
  <si>
    <t>2023-027</t>
  </si>
  <si>
    <t>12-SULKUD-GF-S-23-05-01-111</t>
  </si>
  <si>
    <t>2023-06-01-
 10202SP587-01</t>
  </si>
  <si>
    <t>JOEL L. GELLANG, JR.</t>
  </si>
  <si>
    <t>2023-12-050</t>
  </si>
  <si>
    <t>2023-028</t>
  </si>
  <si>
    <t>SUNSHINE MAHILUM</t>
  </si>
  <si>
    <t>2023-05-03-10201SP145-01</t>
  </si>
  <si>
    <t>SN:4CE301DH6Y</t>
  </si>
  <si>
    <t>P. Reyes</t>
  </si>
  <si>
    <t>12-SULKUD-GF-S-23-05-01-113</t>
  </si>
  <si>
    <t>2023-06-01-10201SP115-01</t>
  </si>
  <si>
    <t>RHETJANE H. RAMAS</t>
  </si>
  <si>
    <t>2023-12-042</t>
  </si>
  <si>
    <t>MARY JANE J. GENEZA</t>
  </si>
  <si>
    <t>SNC 1143</t>
  </si>
  <si>
    <t>CHIEF, GEN. SERVICES/
 TECH. STAFF 3 PROCUREMENT OFFICER</t>
  </si>
  <si>
    <t>MARIE VIL M. CODILLA, JD PARPO II / PROJECT MANAGER</t>
  </si>
  <si>
    <t>2023-05-03-10201SP146-01</t>
  </si>
  <si>
    <t>SN: 4CE301DSNP</t>
  </si>
  <si>
    <t>H. Tudlasan</t>
  </si>
  <si>
    <t>CBTA Coordinator</t>
  </si>
  <si>
    <t>2023-06-01-
 1202SP594-01</t>
  </si>
  <si>
    <t>M. Fernandez</t>
  </si>
  <si>
    <t>12-SULKUD-GF-S-23-05-01-112</t>
  </si>
  <si>
    <t>RPMO-Caraga/STOD- Personnel Section</t>
  </si>
  <si>
    <t>2023-12-051</t>
  </si>
  <si>
    <t>2023-06-01-
 102025SP591-01</t>
  </si>
  <si>
    <t>MERLE A. GEPAYO</t>
  </si>
  <si>
    <t>2023-05-03-10201SP147-01</t>
  </si>
  <si>
    <t>SN: 4CE301DSHDMonitor</t>
  </si>
  <si>
    <t>2023-06-01-
 1202SP595-01</t>
  </si>
  <si>
    <t>12-SULKUD-GF-S-23-05-01-114</t>
  </si>
  <si>
    <t>2023-12-046</t>
  </si>
  <si>
    <t>JOSE G. HAPITAN, III</t>
  </si>
  <si>
    <t>Joshua Acompañado</t>
  </si>
  <si>
    <t>DENR Region 13</t>
  </si>
  <si>
    <t>2023-12-053</t>
  </si>
  <si>
    <t>2023-06-01-
 1202SP589-01</t>
  </si>
  <si>
    <t>2023-06-01-
 1202SP590-01</t>
  </si>
  <si>
    <t>2023-05-03-10201SP144-01</t>
  </si>
  <si>
    <t>SN:4CE301DHB6</t>
  </si>
  <si>
    <t>M. Pizarro</t>
  </si>
  <si>
    <t>4CE301DSQJ</t>
  </si>
  <si>
    <t>NESS B. JUANDAY</t>
  </si>
  <si>
    <t>Atty. Fatima Madale</t>
  </si>
  <si>
    <t>2023-06-01-
 1202SP588-01</t>
  </si>
  <si>
    <t>2023-10-092</t>
  </si>
  <si>
    <t>2023-06-01-
 1202SP593-01</t>
  </si>
  <si>
    <t>4CE301DH5B</t>
  </si>
  <si>
    <t>2023-06-01-
 1202SP592-01</t>
  </si>
  <si>
    <t>RYNHEART DAROY</t>
  </si>
  <si>
    <t>MOHAMMAD ABDUL
 JABBARM. PANDAPATAN,DPA</t>
  </si>
  <si>
    <t>2023-05-03-110201SP1782-01</t>
  </si>
  <si>
    <t>MOHAMMAD ABDUL JABBARM. PANDAPATAN, DPA</t>
  </si>
  <si>
    <t>2023-10-094</t>
  </si>
  <si>
    <t>SN: 1S11T5S16200GM041AV9</t>
  </si>
  <si>
    <t>Alexa Barsobia</t>
  </si>
  <si>
    <t>2023-06-01-10201SP118-01</t>
  </si>
  <si>
    <t>4CE301DH97</t>
  </si>
  <si>
    <t>SNC 1313</t>
  </si>
  <si>
    <t>JERUEL G. BINOYA, JR.</t>
  </si>
  <si>
    <t>2023-10-090</t>
  </si>
  <si>
    <t>SN: 4CE301DSQP</t>
  </si>
  <si>
    <t>Sharon S. Azote</t>
  </si>
  <si>
    <t>DAR-SPLIT- 2023-023</t>
  </si>
  <si>
    <t>2023-09-016</t>
  </si>
  <si>
    <t>2023-06-01-
 10202SP596-01</t>
  </si>
  <si>
    <t>4CE301DSN1</t>
  </si>
  <si>
    <t>JOHN RONELO B. MENSALVAS</t>
  </si>
  <si>
    <t>ALAIN BENEDICT BARBA</t>
  </si>
  <si>
    <t>2023-PAR-08-
 0001</t>
  </si>
  <si>
    <t>2023-10-091</t>
  </si>
  <si>
    <t>2023-06-01-
 10202SP602-01</t>
  </si>
  <si>
    <t>ARGELSALISE</t>
  </si>
  <si>
    <t>SN: 4CE301DSQW</t>
  </si>
  <si>
    <t>2023-PAR-08-
 0004</t>
  </si>
  <si>
    <t>ARGEL SAUSE</t>
  </si>
  <si>
    <t>CLUSTER 1 MARO</t>
  </si>
  <si>
    <t>Jeremy Corvera</t>
  </si>
  <si>
    <t>JOSELITO DE NAVA</t>
  </si>
  <si>
    <t>2023-10-093</t>
  </si>
  <si>
    <t>2023-06-01-
 10202SP599-01</t>
  </si>
  <si>
    <t>CERILO PALONGPALONG</t>
  </si>
  <si>
    <t>ASST. STAT.</t>
  </si>
  <si>
    <t>2023-PAR-08-
 0006</t>
  </si>
  <si>
    <t>CLUSTER 3 MARO</t>
  </si>
  <si>
    <t>2023-06-01-
 10202SP605-01</t>
  </si>
  <si>
    <t>FRANCIS PADILLA</t>
  </si>
  <si>
    <t>2023-PAR-08-
 0023</t>
  </si>
  <si>
    <t>CLUSTER4 MARO</t>
  </si>
  <si>
    <t>2023-05-03-10201SP445-01</t>
  </si>
  <si>
    <t>4CE301DSKP</t>
  </si>
  <si>
    <t>DAYLEN D. VILLAMAR</t>
  </si>
  <si>
    <t>SN:4CE301DH2X</t>
  </si>
  <si>
    <t>102-2023-10-044</t>
  </si>
  <si>
    <t>2023-06-01-
 10202SP604-01</t>
  </si>
  <si>
    <t>DAYLEN S. DALUMBAY</t>
  </si>
  <si>
    <t>2024-02-007</t>
  </si>
  <si>
    <t>AUDIE SACLOTE</t>
  </si>
  <si>
    <t>2023-PAR-08-
 0002</t>
  </si>
  <si>
    <t>CLUSTER 5 MARO</t>
  </si>
  <si>
    <t>2023-06-01-
 10202SP597-01</t>
  </si>
  <si>
    <t>NOEL SUPREMO</t>
  </si>
  <si>
    <t>2023-PAR-08-
 0009</t>
  </si>
  <si>
    <t>2023-05-03-10201SP433-01</t>
  </si>
  <si>
    <t>JAYSON ABENIS</t>
  </si>
  <si>
    <t>4CE301DH8T</t>
  </si>
  <si>
    <t>MARICEL G. BONA</t>
  </si>
  <si>
    <t>102-2023-10-045</t>
  </si>
  <si>
    <t>2023-05-03-10201SP1801-01</t>
  </si>
  <si>
    <t>SN: 1S11T5S16200GM0418I2</t>
  </si>
  <si>
    <t>DARMO-PIGCAWAYAN</t>
  </si>
  <si>
    <t>2023-06-01-
 10202SP598-01</t>
  </si>
  <si>
    <t>2023-PAR-08-
 0008</t>
  </si>
  <si>
    <t>JOHN ELEAZAR PACANA</t>
  </si>
  <si>
    <t>2023-05-03-10201SP423-01</t>
  </si>
  <si>
    <t>2023-06-01-
 10202SP601-01</t>
  </si>
  <si>
    <t>4CE301DSHP</t>
  </si>
  <si>
    <t>DIVINA C. DELCANO</t>
  </si>
  <si>
    <t>2023-PAR-08-
 0010</t>
  </si>
  <si>
    <t>JOHN MARK BADARAN</t>
  </si>
  <si>
    <t>102-2023-10-046</t>
  </si>
  <si>
    <t>KENT JOUSEL S. AUSTRIA</t>
  </si>
  <si>
    <t>2023-05-03-10201SP1806-01</t>
  </si>
  <si>
    <t>2023-06-01-
 10202SP600-01</t>
  </si>
  <si>
    <t>SN: 1S11T5S16200GM041B59</t>
  </si>
  <si>
    <t>ABDUL RAHMAN TAMPI</t>
  </si>
  <si>
    <t>Agnes L. Dela Cerna</t>
  </si>
  <si>
    <t>2023-PAR-08-
 0007</t>
  </si>
  <si>
    <t>ARDO</t>
  </si>
  <si>
    <t>CLUSTER 2 MARO</t>
  </si>
  <si>
    <t>RPMO-Caraga/OARDO</t>
  </si>
  <si>
    <t>2023-05-03-10201SP422-01</t>
  </si>
  <si>
    <t>4CE301DH61</t>
  </si>
  <si>
    <t>KERNEL CLETUS PATROCINIO</t>
  </si>
  <si>
    <t>ENGR. MELODY SARIP</t>
  </si>
  <si>
    <t>2023-PAR-08-
 0003</t>
  </si>
  <si>
    <t>DARPO-PBD</t>
  </si>
  <si>
    <t>102-2023-10-047</t>
  </si>
  <si>
    <t>2023-06-01-10201SP119-01</t>
  </si>
  <si>
    <t>SNC 1211</t>
  </si>
  <si>
    <t>2023-05-03-10201SP1807-01</t>
  </si>
  <si>
    <t>SN:1S11T5S16200GM041B5H</t>
  </si>
  <si>
    <t>2023-PAR-10-
 0008</t>
  </si>
  <si>
    <t>Glizel Estorque</t>
  </si>
  <si>
    <t>2023-05-03-10201SP428-01</t>
  </si>
  <si>
    <t>4CE301DHBH</t>
  </si>
  <si>
    <t>ROHAIMA T. LATIP</t>
  </si>
  <si>
    <t>JHOANNA FE B. BOOC</t>
  </si>
  <si>
    <t>2024-05-03-10202SPO56-01</t>
  </si>
  <si>
    <t>2023-06-01-10201SP154-01</t>
  </si>
  <si>
    <t>2023-05-03-10201SP1810-01</t>
  </si>
  <si>
    <t>SN: 1S11T5S16200GM041B69</t>
  </si>
  <si>
    <t xml:space="preserve"> Y3-B164/SNC-1156/NFX-1711</t>
  </si>
  <si>
    <t>Edhel Love M. Bautista</t>
  </si>
  <si>
    <t>2023-05-03-10201SP429-01</t>
  </si>
  <si>
    <t>Acting ARPO II</t>
  </si>
  <si>
    <t>4CE301DHB5</t>
  </si>
  <si>
    <t>ABDULLAH LINOG</t>
  </si>
  <si>
    <t>ALLIAH S. BANTO</t>
  </si>
  <si>
    <t>V. Lastimado</t>
  </si>
  <si>
    <t>2024-01-002MV</t>
  </si>
  <si>
    <t>RPMO-Caraga/SSD</t>
  </si>
  <si>
    <t>SPLIT-2023-017</t>
  </si>
  <si>
    <t>2023-05-03-10201SP1811-01</t>
  </si>
  <si>
    <t>SN: 1S11T5S16200GM041B6G</t>
  </si>
  <si>
    <t>2024-06-002</t>
  </si>
  <si>
    <t>BUKINON</t>
  </si>
  <si>
    <t>A. Miso</t>
  </si>
  <si>
    <t>2023-05-03-10201SP430-01</t>
  </si>
  <si>
    <t>2023-06-01-10201SP08-01</t>
  </si>
  <si>
    <t>ATTY. KEVIN LAVIÑA</t>
  </si>
  <si>
    <t>ATTORNEY III</t>
  </si>
  <si>
    <t>Y3-C773/SNC 1080</t>
  </si>
  <si>
    <t>SPLIT-2023-018</t>
  </si>
  <si>
    <t>JAMMAL PANGANDAMAN</t>
  </si>
  <si>
    <t>2023-09-003MV</t>
  </si>
  <si>
    <t>2023-05-03-10201SP1804-01</t>
  </si>
  <si>
    <t>SN:1S11T5S16200GM041B4P</t>
  </si>
  <si>
    <t xml:space="preserve">DARPO </t>
  </si>
  <si>
    <t>R. Manoay</t>
  </si>
  <si>
    <t>2024-01-005</t>
  </si>
  <si>
    <t>A. Eboa</t>
  </si>
  <si>
    <t>2023-05-03-10201SP431-01</t>
  </si>
  <si>
    <t>4CE301DSJ9</t>
  </si>
  <si>
    <t>RACHEL S. GUERRA</t>
  </si>
  <si>
    <t>SPLIT-2023-019</t>
  </si>
  <si>
    <t>2023-05-03-10201SP1783-01</t>
  </si>
  <si>
    <t>C. Chua</t>
  </si>
  <si>
    <t>2023-05-03-10201SP432-01</t>
  </si>
  <si>
    <t>2024-01-006</t>
  </si>
  <si>
    <t>4CE301DH6B</t>
  </si>
  <si>
    <t>D. De Guzman</t>
  </si>
  <si>
    <t>ENGR. TADJODEN NAGA</t>
  </si>
  <si>
    <t>RPMO-Caraga</t>
  </si>
  <si>
    <t>SURVEY SECTION CHIEF</t>
  </si>
  <si>
    <t>SPLIT-2023-020</t>
  </si>
  <si>
    <t>DEPLOYED AT DENR REGIONAL OFFICE</t>
  </si>
  <si>
    <t>SPLIT-2023-021</t>
  </si>
  <si>
    <t>2024-05-13-10204SP16-O1</t>
  </si>
  <si>
    <t>2023-05-03-10202SP357-01</t>
  </si>
  <si>
    <t>NXEGZSP00330801BE03400</t>
  </si>
  <si>
    <t>2023-09-098</t>
  </si>
  <si>
    <t>HV-SPLIT-102-24-05-59</t>
  </si>
  <si>
    <t>RECHEL D. BESONIA</t>
  </si>
  <si>
    <t>2023-05-03-10202SP363-01</t>
  </si>
  <si>
    <t>NXEGZSP00330801B933400</t>
  </si>
  <si>
    <t>2024-03-014</t>
  </si>
  <si>
    <t>JOHN GAMAD</t>
  </si>
  <si>
    <t>DARRO CARAGA</t>
  </si>
  <si>
    <t>2023-09-097</t>
  </si>
  <si>
    <t>2023-05-03-10202SP362-01</t>
  </si>
  <si>
    <t>NXEGZSP00330801BC03400</t>
  </si>
  <si>
    <t>2024-05-03-10202SP-319-01</t>
  </si>
  <si>
    <t>2023-09-096</t>
  </si>
  <si>
    <t>CHRISTIAN I LA FUENTE</t>
  </si>
  <si>
    <t>ACTING IO III</t>
  </si>
  <si>
    <t>RPMO - Caraga</t>
  </si>
  <si>
    <t>2023-05-03-10202SP356-01</t>
  </si>
  <si>
    <t>NXEGZSP00330801D3A3400</t>
  </si>
  <si>
    <t>ABDUL KHARIM ODOYA</t>
  </si>
  <si>
    <t>2023-09-095</t>
  </si>
  <si>
    <t>12-SULKUD-GFF-S-23-05-10-107
 2023-05-03-10202SP372-01</t>
  </si>
  <si>
    <t>2024-05-03-10202SP-334-01</t>
  </si>
  <si>
    <t>NXEG2P00330801CC83400</t>
  </si>
  <si>
    <t>ABDULLAH N. BALINDONG</t>
  </si>
  <si>
    <t>2023-05-03-10201SPI732-01</t>
  </si>
  <si>
    <t>Rica Joyce B. Ortillano</t>
  </si>
  <si>
    <t>APRT</t>
  </si>
  <si>
    <t>PAR: 2025-07-0014</t>
  </si>
  <si>
    <t>12-SULKUD-GFF-S-23-05-10-109
 2023-05-03-10202SP369-01</t>
  </si>
  <si>
    <t>DARMO-Butuan (PSSPLIT)</t>
  </si>
  <si>
    <t>NXEG2P00330801EC73400</t>
  </si>
  <si>
    <t>JOSEPH ALVIN C. CONSTANTINOPLA</t>
  </si>
  <si>
    <t>2023-12-048</t>
  </si>
  <si>
    <t>12-SULKUD-GFF-S-23-05-10-106
 2023-05-03-10202SP370-01</t>
  </si>
  <si>
    <t>2023-05-03-10201SPI733-01</t>
  </si>
  <si>
    <t>NXEG2P00330801B533400</t>
  </si>
  <si>
    <t>Charles Aldous A. Sabuga-a</t>
  </si>
  <si>
    <t>2023-12-045</t>
  </si>
  <si>
    <t>PAR: 2025-07-0015</t>
  </si>
  <si>
    <t>MARPO-Magallanes (PSSPLIT)</t>
  </si>
  <si>
    <t>12-SULKUD-GFF-S-23-05-10-108</t>
  </si>
  <si>
    <t>NXEG2P00330801DBF3400</t>
  </si>
  <si>
    <t>EILEEN S. LLARENAS</t>
  </si>
  <si>
    <t>2023-12-047</t>
  </si>
  <si>
    <t>2023-05-03-10201SPI734-01</t>
  </si>
  <si>
    <t>Shallemar H. Maturan</t>
  </si>
  <si>
    <t>PAR: 2025-07-0016</t>
  </si>
  <si>
    <t>MARPO-Santiago (PSSPLIT)</t>
  </si>
  <si>
    <t>2023-05-03-10201SPI735-01</t>
  </si>
  <si>
    <t>Lorjessa E. Bongosia</t>
  </si>
  <si>
    <t>PAR: 2025-07-0017</t>
  </si>
  <si>
    <t>2023-05-03-10202SP359-01</t>
  </si>
  <si>
    <t>MARPO-Jabonga (PSSPLIT)</t>
  </si>
  <si>
    <t>EMELITA A. MAYOL</t>
  </si>
  <si>
    <t>102-2023-09-039</t>
  </si>
  <si>
    <t>2023-05-03-10201SPI736-01</t>
  </si>
  <si>
    <t>Jocelyn P. Mindajao</t>
  </si>
  <si>
    <t>2023-05-03-10202SP365-01</t>
  </si>
  <si>
    <t>PAR: 2025-07-0018</t>
  </si>
  <si>
    <t>JAN IVY SALMORIN</t>
  </si>
  <si>
    <t>STOD-Budget (PSSPLIT)</t>
  </si>
  <si>
    <t>102-2023-09-040</t>
  </si>
  <si>
    <t>2023-05-03-10201SPI737-01</t>
  </si>
  <si>
    <t>2023-05-03-10202SP361-01</t>
  </si>
  <si>
    <t>Teresita N. Ledesma</t>
  </si>
  <si>
    <t>MARY JOY C. MINA</t>
  </si>
  <si>
    <t>PAR: 2025-07-0019</t>
  </si>
  <si>
    <t>102-2023-09-041</t>
  </si>
  <si>
    <t>Nelzen Thrill C. Garay</t>
  </si>
  <si>
    <t>STOD-Accounting (PSSPLIT)</t>
  </si>
  <si>
    <t>2023-05-03-10202SP373-01</t>
  </si>
  <si>
    <t>CHERRYLYN PEROCHO</t>
  </si>
  <si>
    <t>2023-05-03-10201SPI738-01</t>
  </si>
  <si>
    <t>102-2023-09-042</t>
  </si>
  <si>
    <t>Maegan C. Tiu</t>
  </si>
  <si>
    <t>PAR: 2025-07-0010</t>
  </si>
  <si>
    <t>STOD-PMEU (PSSPLIT)</t>
  </si>
  <si>
    <t>S/N: NXEGZSP00330801B783400</t>
  </si>
  <si>
    <t>LOWELL ESPARAGOZA</t>
  </si>
  <si>
    <t>2023-05-03-10201SPI739-01</t>
  </si>
  <si>
    <t>2023-11-083</t>
  </si>
  <si>
    <t>George D. Balibay</t>
  </si>
  <si>
    <t>PAR: 2025-07-0020</t>
  </si>
  <si>
    <t>LTI-A (PSSPLIT)</t>
  </si>
  <si>
    <t>2023-05-03-10201SPI740-01</t>
  </si>
  <si>
    <t>Deanna T. Semine</t>
  </si>
  <si>
    <t>S/N: NXEGZSP00330801C2243400</t>
  </si>
  <si>
    <t>AO IV/ Chief-GSS</t>
  </si>
  <si>
    <t>PAR: 2025-07-0011</t>
  </si>
  <si>
    <t>Yancy James C. Alaba</t>
  </si>
  <si>
    <t>2023-11-084</t>
  </si>
  <si>
    <t>STOD-GSS (PSSPLIT)</t>
  </si>
  <si>
    <t>S/N: NXEGZSP00330801D1A3400</t>
  </si>
  <si>
    <t>RENANTE T. MONTO</t>
  </si>
  <si>
    <t>2023-05-03-10201SPI741-01</t>
  </si>
  <si>
    <t>Miguel Al Louis L. Legaspi</t>
  </si>
  <si>
    <t>2023-11-085</t>
  </si>
  <si>
    <t>Rikki Mae Yamit</t>
  </si>
  <si>
    <t>LSD (PSSPLIT)</t>
  </si>
  <si>
    <t>S/N: NXEGZSP00330801B9D3401</t>
  </si>
  <si>
    <t>2023-05-03-10201SPI742-01</t>
  </si>
  <si>
    <t>2023-11-086</t>
  </si>
  <si>
    <t>PAR: 2025-07-0026</t>
  </si>
  <si>
    <t>Joseph M. Tuburan</t>
  </si>
  <si>
    <t>LTI-C (PSSPLIT)</t>
  </si>
  <si>
    <t>2023-05-03-10202SP85-01</t>
  </si>
  <si>
    <t>S/N: NXEGZSP00330801BA53400</t>
  </si>
  <si>
    <t>EAULA MAE GUNSI</t>
  </si>
  <si>
    <t>2023-05-03-10201SPI743-01</t>
  </si>
  <si>
    <t>Mauriel T. Fesalboni</t>
  </si>
  <si>
    <t>2023-94</t>
  </si>
  <si>
    <t>ROWHANIZA P. ABBAS</t>
  </si>
  <si>
    <t>PAR: 2025-07-0025</t>
  </si>
  <si>
    <t>Carmina Bacol</t>
  </si>
  <si>
    <t>2023-05-03-10202SP86-01</t>
  </si>
  <si>
    <t>S/N: NXEGZSP00330801D473400</t>
  </si>
  <si>
    <t>XYRIS APRIL G. AYSON, CPA</t>
  </si>
  <si>
    <t>2023-05-03-10201SPI744-01</t>
  </si>
  <si>
    <t>SPLIT-2023-023</t>
  </si>
  <si>
    <t>Sherryl Vim l. Austral</t>
  </si>
  <si>
    <t>Cindy Rose J. Silagan</t>
  </si>
  <si>
    <t>2023-05-03-10202SP87-01</t>
  </si>
  <si>
    <t>S/N: NXEGZSP00330801F3D3400</t>
  </si>
  <si>
    <t>ENGR. MARY JANE A. AGUILAR</t>
  </si>
  <si>
    <t>SPLIT-2023-024</t>
  </si>
  <si>
    <t>2023-05-03-10201SPI745-01</t>
  </si>
  <si>
    <t>PAR: 2025-07-0022</t>
  </si>
  <si>
    <t>CPU: Leonard Quitorio
 Monitor: Rosalyn Lagura
 UPS: Rosalyn Lagura
 Printer: Leonard Quitori</t>
  </si>
  <si>
    <t>2023-05-03-10202SP84-01</t>
  </si>
  <si>
    <t>NXEGZSP00330801F523400</t>
  </si>
  <si>
    <t>2024-01-090
 SPHV-2024-12-0588</t>
  </si>
  <si>
    <t>2023-05-03-10201SPI746-01</t>
  </si>
  <si>
    <t>Daryl Mae Ruego</t>
  </si>
  <si>
    <t>CPU: Vanessa Sordilla
 Monitor: Vanessa Sordilla
 UPS: Vanessa Sordilla
 Printer: Rosalyn Lagura</t>
  </si>
  <si>
    <t>EALUA MAE GUNSI</t>
  </si>
  <si>
    <t>2023-05-03-10201SPI747-01</t>
  </si>
  <si>
    <t>PAR: 2025-07-0023</t>
  </si>
  <si>
    <t>Rosalyn Lagura</t>
  </si>
  <si>
    <t>2023-05-03-10201SP148-01</t>
  </si>
  <si>
    <t>RODEL D. OREJUDOS</t>
  </si>
  <si>
    <t>Zenaida A. Paloma</t>
  </si>
  <si>
    <t>MARPO/REGIONAL INFORMATION OFFICER</t>
  </si>
  <si>
    <t>PAR-03-01-2024</t>
  </si>
  <si>
    <t>Records Office</t>
  </si>
  <si>
    <t>NXEGZSP0030801B0A3400</t>
  </si>
  <si>
    <t>KATHLEAH F. PEBOJOT</t>
  </si>
  <si>
    <t>PAR2024-01-055</t>
  </si>
  <si>
    <t>2023-05-03-10201SP149-01</t>
  </si>
  <si>
    <t>DARYL MAE RUEGO</t>
  </si>
  <si>
    <t>SPLIT-2023-025</t>
  </si>
  <si>
    <t>2023-05-03-10201SP150-01</t>
  </si>
  <si>
    <t>TRICIA SALVE E. BELO</t>
  </si>
  <si>
    <t>NOEL LECIONES</t>
  </si>
  <si>
    <t>007-23</t>
  </si>
  <si>
    <t>HV-SPLIT-102-24-05-72
 HV-SPLIT-102-24-05-04-084</t>
  </si>
  <si>
    <t>JONATHAN Y. DEDICATORIA</t>
  </si>
  <si>
    <t>SN: E78947H3H284293</t>
  </si>
  <si>
    <t>Henry M. Lee</t>
  </si>
  <si>
    <t>SPLIT-2023-028</t>
  </si>
  <si>
    <t>2023-05-03-10201SP1748-01</t>
  </si>
  <si>
    <t>SN: 1S11T5S16200GM0418HI</t>
  </si>
  <si>
    <t>Hazel S. Desales</t>
  </si>
  <si>
    <t>2023-05-29-SPLIT</t>
  </si>
  <si>
    <t>AIZA LIBANDO</t>
  </si>
  <si>
    <t>PPMO - Agusan del Sur/ SPLIT OFFICE</t>
  </si>
  <si>
    <t>SPLIT-2023-030</t>
  </si>
  <si>
    <t>2023-05-03-10201SP1749-01</t>
  </si>
  <si>
    <t>SN: 1S11T5S16200GM0418HF</t>
  </si>
  <si>
    <t>2023-05-30-SPLIT</t>
  </si>
  <si>
    <t>DANIEL PALER</t>
  </si>
  <si>
    <t>2023-05-14-10202SP28-01</t>
  </si>
  <si>
    <t>2023-05-03-10201SP1750-01</t>
  </si>
  <si>
    <t>SN: 
 1S11T5S16200GM0418HJ</t>
  </si>
  <si>
    <t>Ruth A. Galvez</t>
  </si>
  <si>
    <t>CARPO / LTID</t>
  </si>
  <si>
    <t>2023-05-14-10202SP29-01</t>
  </si>
  <si>
    <t>Shem Apura</t>
  </si>
  <si>
    <t>PPMO - Agusan del Sur/ LTID</t>
  </si>
  <si>
    <t>SPLIT-2023-029</t>
  </si>
  <si>
    <t>DEPRECIATION</t>
  </si>
  <si>
    <t>2023-05-03-10201SP1751-01</t>
  </si>
  <si>
    <t>SN: 1S11T5S16200GM0418HK</t>
  </si>
  <si>
    <t>Jay Ann Lou Advincula</t>
  </si>
  <si>
    <t>Accountant/ Project Accountant</t>
  </si>
  <si>
    <t>PPMO - Agusan del Sur/ Accounting Office</t>
  </si>
  <si>
    <t>NAMRIA</t>
  </si>
  <si>
    <t>2023-05-03-10201SP412-01</t>
  </si>
  <si>
    <t>2023-05-03-10201SP1752-01</t>
  </si>
  <si>
    <t>HVSPLIT-102-24-05-01-496</t>
  </si>
  <si>
    <t>SN: 1S11T5S16200GM0418HX</t>
  </si>
  <si>
    <t>Jefree Romero</t>
  </si>
  <si>
    <t>ARPT/ IT CHIEF</t>
  </si>
  <si>
    <t>BEATA D BATADLAN</t>
  </si>
  <si>
    <t>CHIEF LCD</t>
  </si>
  <si>
    <t>PPMO - Agusan del Sur/ IT Room</t>
  </si>
  <si>
    <t>2023-08-026DS</t>
  </si>
  <si>
    <t>SN:MSBOA70450103950</t>
  </si>
  <si>
    <t>DENR NAMRIA</t>
  </si>
  <si>
    <t>MARK ANTHONY DELA TORRE</t>
  </si>
  <si>
    <t>ACCT II</t>
  </si>
  <si>
    <t>SPHV-2024-11-0441</t>
  </si>
  <si>
    <t>DARPO-SAR</t>
  </si>
  <si>
    <t>2023-05-03-10201SP1753-01</t>
  </si>
  <si>
    <t>Gretchen Ranoco</t>
  </si>
  <si>
    <t>PPMO - Agusan del Sur/ STOD-GS</t>
  </si>
  <si>
    <t>HVSPLIT-102-24-05-01-497</t>
  </si>
  <si>
    <t>2023-05-03-10201SP413-01</t>
  </si>
  <si>
    <t>SN:MSBOA70450103719</t>
  </si>
  <si>
    <t>REDZMA. MINDALANO/ USED BY: SHARON ONDE</t>
  </si>
  <si>
    <t>SPHV-2024-11-0442</t>
  </si>
  <si>
    <t>REDZMA A. MINDALANO</t>
  </si>
  <si>
    <t>2023-05-03-10201SP1754-01</t>
  </si>
  <si>
    <t>SN: 1S11T5S16200GM0418I3</t>
  </si>
  <si>
    <t>Lorei Mae Delos Santos</t>
  </si>
  <si>
    <t>AO IV / Personnel Officer</t>
  </si>
  <si>
    <t>PPMO - Agusan del Sur/ Personnel Office</t>
  </si>
  <si>
    <t>2023-05-03-10201SP414-01</t>
  </si>
  <si>
    <t>HVSPLIT-102-24-05-01-498</t>
  </si>
  <si>
    <t>SN:MSB0A70450103992</t>
  </si>
  <si>
    <t>KRISTIN AVELINO</t>
  </si>
  <si>
    <t>SPHV-2024-11-0443</t>
  </si>
  <si>
    <t>NANCY N. GREGORIO</t>
  </si>
  <si>
    <t>2023-05-03-10201SP1755-01</t>
  </si>
  <si>
    <t>2023-05-03-10201SP001-01</t>
  </si>
  <si>
    <t>SN: 1S11T5S16200GM0418I4</t>
  </si>
  <si>
    <t>Dhel Yosna Yyain Panggo</t>
  </si>
  <si>
    <t>2023-09-067DS</t>
  </si>
  <si>
    <t>AO III / Records Officer</t>
  </si>
  <si>
    <t>2023-05-36-SPLIT</t>
  </si>
  <si>
    <t>PPMO - Agusan del Sur/ Records Office</t>
  </si>
  <si>
    <t>HVSPLIT-102-24-05-01-499</t>
  </si>
  <si>
    <t>SN:MSBOA70450103494</t>
  </si>
  <si>
    <t>PBDD/ JOHN H. GAMAD</t>
  </si>
  <si>
    <t>SPHV-2024-11-0444</t>
  </si>
  <si>
    <t>JOHN G. GAMAD</t>
  </si>
  <si>
    <t>2023-05-03-10201SP002-01</t>
  </si>
  <si>
    <t>2023-05-03-10201SP1756-01</t>
  </si>
  <si>
    <t>SN: 1S11T5S16200GM0418I5</t>
  </si>
  <si>
    <t>Kenneth Salabao</t>
  </si>
  <si>
    <t>Budget Officer II</t>
  </si>
  <si>
    <t>2023-05-37-SPLIT</t>
  </si>
  <si>
    <t>NGAS server</t>
  </si>
  <si>
    <t>PPMO - Agusan del Sur/ Budget Office</t>
  </si>
  <si>
    <t>2023-05-03-10201SP003-01</t>
  </si>
  <si>
    <t>2023-05-03-10201SP1757-01</t>
  </si>
  <si>
    <t>2023-05-03-10201SP004-01</t>
  </si>
  <si>
    <t>HVSPLIT-102-24-05-01-492</t>
  </si>
  <si>
    <t>SN: 1S11T5S16200GM0418I7</t>
  </si>
  <si>
    <t>NORMAN JAKE B. GABRIEL</t>
  </si>
  <si>
    <t>2023-05-38-SPLIT</t>
  </si>
  <si>
    <t>102-2024-10-290</t>
  </si>
  <si>
    <t>Maricel Lugaos</t>
  </si>
  <si>
    <t>ELSIE LAPAS</t>
  </si>
  <si>
    <t>PPMO - Agusan del Sur/' Budget Office</t>
  </si>
  <si>
    <t>2023-05-03-10201SP075-01</t>
  </si>
  <si>
    <t>HVSPLIT-102-24-05-01-493</t>
  </si>
  <si>
    <t>2023-05-03-10201SP1758-01</t>
  </si>
  <si>
    <t>SN: 1S11T5S16200GM0418I8</t>
  </si>
  <si>
    <t>CAMILLE JONE L. ORIGINAL</t>
  </si>
  <si>
    <t>Giovanni Rosado</t>
  </si>
  <si>
    <t>ARPT/ LSD</t>
  </si>
  <si>
    <t>102-2024-10-291</t>
  </si>
  <si>
    <t>2023-05-39-SPLIT</t>
  </si>
  <si>
    <t>PPMO - Agusan del Sur/ LSD</t>
  </si>
  <si>
    <t>2023-05-03-10201SP077-01</t>
  </si>
  <si>
    <t>HVSPLIT-102-24-05-01-494</t>
  </si>
  <si>
    <t>GRACE JOY L. ALOLOD</t>
  </si>
  <si>
    <t>2023-05-03-10201SP1759-01</t>
  </si>
  <si>
    <t>102-2024-10-292</t>
  </si>
  <si>
    <t>SN: 1S11T5S16200GM0418JH</t>
  </si>
  <si>
    <t>2023-05-03-10201SP090-01</t>
  </si>
  <si>
    <t>Leonida A. Betita</t>
  </si>
  <si>
    <t>2023-05-40-SPLIT</t>
  </si>
  <si>
    <t>Kristine Donor</t>
  </si>
  <si>
    <t>PPMO - Agusan del Sur/ DARMO Talacogon</t>
  </si>
  <si>
    <t>HVSPLIT-102-24-05-01-495</t>
  </si>
  <si>
    <t>2023-05-03-10201SP091-01</t>
  </si>
  <si>
    <t>102-2024-10-293</t>
  </si>
  <si>
    <t>2024-07-003L</t>
  </si>
  <si>
    <t>2023-05-03-10201SP1760-01</t>
  </si>
  <si>
    <t>SN: 1S11T5S16200GM0418JJ</t>
  </si>
  <si>
    <t>Alexander O. Germo</t>
  </si>
  <si>
    <t>2023-05-41-SPLIT</t>
  </si>
  <si>
    <t>Diana Jane Canata</t>
  </si>
  <si>
    <t>PPMO - Agusan del Sur/ DARMO Prosperidad</t>
  </si>
  <si>
    <t>2023-05-03-10201SP093-01</t>
  </si>
  <si>
    <t>2023-05-14-10202SP75-01</t>
  </si>
  <si>
    <t>2023-05-03-10201SP1761-01</t>
  </si>
  <si>
    <t>SN: 1S11T5S16200GM0418JN</t>
  </si>
  <si>
    <t>2023-05-03-10201SP094-01</t>
  </si>
  <si>
    <t>Leah Nario</t>
  </si>
  <si>
    <t>2023-05-42-SPLIT</t>
  </si>
  <si>
    <t>Princess Dalagon</t>
  </si>
  <si>
    <t>PPMO - Agusan del Sur/ DARMO Bunawan</t>
  </si>
  <si>
    <t>2023-05-14-10202SP74-01</t>
  </si>
  <si>
    <t>2023-05-03-10201SP095-01</t>
  </si>
  <si>
    <t>SP10730032</t>
  </si>
  <si>
    <t>2023-05-03-10201SP096-01</t>
  </si>
  <si>
    <t>LTID, DARRO XII</t>
  </si>
  <si>
    <t>2023-05-03-10201SP1762-01</t>
  </si>
  <si>
    <t>SN: 1S11T5S16200GM0418JW</t>
  </si>
  <si>
    <t>Clemencia Adem</t>
  </si>
  <si>
    <t>2023-05-43-SPLIT</t>
  </si>
  <si>
    <t>Hizel Rodriguez</t>
  </si>
  <si>
    <t>PPMO - Agusan del Sur/ DARMO Veruela</t>
  </si>
  <si>
    <t>SP10730027</t>
  </si>
  <si>
    <t>2023-05-03-10201SP097-01</t>
  </si>
  <si>
    <t>FMB</t>
  </si>
  <si>
    <t>2023-05-03-10201SP376-01</t>
  </si>
  <si>
    <t>LALYN FAITH C AGGABAO</t>
  </si>
  <si>
    <t>DMO IV</t>
  </si>
  <si>
    <t>2023-09-060-DS</t>
  </si>
  <si>
    <t>HVSPLIT-102-24-05-01-504</t>
  </si>
  <si>
    <t>DENR-FMB</t>
  </si>
  <si>
    <t>ENGR. MARY JANE A. AGULAR</t>
  </si>
  <si>
    <t>SPLIT-2024-10-117</t>
  </si>
  <si>
    <t>2023-05-03-10201SP1763-01</t>
  </si>
  <si>
    <t>SN: 1S11T5S16200GM0418K1</t>
  </si>
  <si>
    <t>Shirley Salcedo</t>
  </si>
  <si>
    <t>2023-05-44-SPLIT</t>
  </si>
  <si>
    <t>Karen Rutuerto</t>
  </si>
  <si>
    <t>LMB</t>
  </si>
  <si>
    <t>PPMO - Agusan del Sur/ DARMO San Francisco</t>
  </si>
  <si>
    <t>HVSPLIT-102-24-05-01-505</t>
  </si>
  <si>
    <t>2024-05-03-10202SP001-01</t>
  </si>
  <si>
    <t>ATTY EMELYN V TALABIS</t>
  </si>
  <si>
    <t>SPLIT-2024-10-118</t>
  </si>
  <si>
    <t>2024-06-001L</t>
  </si>
  <si>
    <t>RCAO OFFICE, DARRO XII</t>
  </si>
  <si>
    <t>DENR LMB</t>
  </si>
  <si>
    <t>HVSPLIT-102-24-05-01-506</t>
  </si>
  <si>
    <t>JASMIN EZRADIN TRIHANA SLA LINSO</t>
  </si>
  <si>
    <t>2024-05-03-10202SP002-01</t>
  </si>
  <si>
    <t>SPLIT-2024-10-119</t>
  </si>
  <si>
    <t>MARIA CECILIA MACHAN</t>
  </si>
  <si>
    <t>PBDD OFFICE, DARRO XII</t>
  </si>
  <si>
    <t>2023-05-03-10201SP151-01</t>
  </si>
  <si>
    <t>SN: 4CE301DSKT</t>
  </si>
  <si>
    <t>2024-05-03-10202SP003-01</t>
  </si>
  <si>
    <t>Mary Joy Salido</t>
  </si>
  <si>
    <t>HVSPLIT-102-24-05-01-507</t>
  </si>
  <si>
    <t>Legal Assistant</t>
  </si>
  <si>
    <t>2023-10-49-SPLIT</t>
  </si>
  <si>
    <t>SPLIT-2024-10-120</t>
  </si>
  <si>
    <t>PPMO - Agusan del Sur/ DARAB</t>
  </si>
  <si>
    <t>2024-05-03-10202SP004-01</t>
  </si>
  <si>
    <t>HVSPLIT-102-24-05-01-508</t>
  </si>
  <si>
    <t>2024-05-03-10202SP005-01</t>
  </si>
  <si>
    <t>NASRODEN P. HADJI SERAD</t>
  </si>
  <si>
    <t>SPLIT-2024-10-121</t>
  </si>
  <si>
    <t>RECORDS SECTION, DARRO XII</t>
  </si>
  <si>
    <t>SN: 4CE301DSNK</t>
  </si>
  <si>
    <t>Atty. Oliver Baylosis</t>
  </si>
  <si>
    <t>2024-05-03-10202SP006-01</t>
  </si>
  <si>
    <t>Atty V</t>
  </si>
  <si>
    <t>2023-10-50-SPLIT</t>
  </si>
  <si>
    <t>Antolin Lacea</t>
  </si>
  <si>
    <t>HVSPLIT-102-24-05-01-180</t>
  </si>
  <si>
    <t>2024-05-03-10202SP007-01</t>
  </si>
  <si>
    <t>ENGR. ROGER P. IGBUS</t>
  </si>
  <si>
    <t>PLANNING OFFICER IV</t>
  </si>
  <si>
    <t>SPLIT-2024-10-122</t>
  </si>
  <si>
    <t>PLANNING OFFICE, DARRO XII</t>
  </si>
  <si>
    <t>SN: 4CE301DSRB</t>
  </si>
  <si>
    <t>Juvilyn Patalan</t>
  </si>
  <si>
    <t>ARPO I / HEA</t>
  </si>
  <si>
    <t>2024-05-03-10202SP008-01</t>
  </si>
  <si>
    <t>2023-10-51-SPLIT</t>
  </si>
  <si>
    <t>Aida Lorns Castro</t>
  </si>
  <si>
    <t>PPMO - Agusan del Sur/ OPARPO II</t>
  </si>
  <si>
    <t>JOSH OSWALD S. GEPTE</t>
  </si>
  <si>
    <t>SPLIT-GRAPHIC ARTIST</t>
  </si>
  <si>
    <t>2024-05-03-10202SP009-01</t>
  </si>
  <si>
    <t>HV-SPLIT-102-24-05-01-180</t>
  </si>
  <si>
    <t>RPMO OFFICE, DARRO XII</t>
  </si>
  <si>
    <t>2023-05-03-10201SP154-01</t>
  </si>
  <si>
    <t>SN: 4CE301DSND</t>
  </si>
  <si>
    <t>Ruth Galvez</t>
  </si>
  <si>
    <t>2023-10-52-SPLIT</t>
  </si>
  <si>
    <t>Florimae Teves</t>
  </si>
  <si>
    <t>2024-05-03-10202SP010-01</t>
  </si>
  <si>
    <t>HVSPLIT-102-24-05-01-488</t>
  </si>
  <si>
    <t>FRANCIS TE</t>
  </si>
  <si>
    <t>2024-05-03-10202SP011-01</t>
  </si>
  <si>
    <t>DARPO-SOUTH COTABATO</t>
  </si>
  <si>
    <t>2023-05-03-10201SP155-01</t>
  </si>
  <si>
    <t>SN: 4CE301DSRC</t>
  </si>
  <si>
    <t>SARPT/ Project Procurement Officer</t>
  </si>
  <si>
    <t>2023-10-53-SPLIT</t>
  </si>
  <si>
    <t>PPMO - Agusan del Sur/ STOD GS</t>
  </si>
  <si>
    <t>2024-05-03-10202SP012-01</t>
  </si>
  <si>
    <t>HVSPLIT-102-24-05-01-489</t>
  </si>
  <si>
    <t>JOANNE OGARIO</t>
  </si>
  <si>
    <t>HV-SPLIT-102-24-05-84</t>
  </si>
  <si>
    <t>2024-05-03-10202SP013-01</t>
  </si>
  <si>
    <t>DARPO AGUSAN SUR</t>
  </si>
  <si>
    <t>HVSPLIT-102-24-05-01-490</t>
  </si>
  <si>
    <t>SHEILA F. RUBA</t>
  </si>
  <si>
    <t>2024-05-03-10202SP014-01</t>
  </si>
  <si>
    <t>2023-05-03-10201SP1764-01</t>
  </si>
  <si>
    <t>Felipe U. Requina, Jr.</t>
  </si>
  <si>
    <t>OIC-CARPO PDI</t>
  </si>
  <si>
    <t>R13SDN-102-2022-10-ICT-003</t>
  </si>
  <si>
    <t>PPMO - Surigao del Norte</t>
  </si>
  <si>
    <t>2024-05-03-10202SP015-01</t>
  </si>
  <si>
    <t>HVSPLIT-102-24-05-01-491</t>
  </si>
  <si>
    <t>ROLAN PADERNAL</t>
  </si>
  <si>
    <t>2023-05-03-10201SP1765-01</t>
  </si>
  <si>
    <t>2024-05-03-10202SP016-01</t>
  </si>
  <si>
    <t>R13SDN-102-2022-10-ICT-004</t>
  </si>
  <si>
    <t>HVSPLIT-102-24-05-01-500</t>
  </si>
  <si>
    <t>MARIA ESTRELLA Y. CURTIZ</t>
  </si>
  <si>
    <t>AO IV (BUDGET OFFICER II)</t>
  </si>
  <si>
    <t>2024-05-03-10202SP017-01</t>
  </si>
  <si>
    <t>ICS2024-11-192</t>
  </si>
  <si>
    <t>2023-05-03-10201SP1766-01</t>
  </si>
  <si>
    <t>R13SDN-102-2022-10-ICT-005</t>
  </si>
  <si>
    <t>2024-05-03-10202SP018-01</t>
  </si>
  <si>
    <t>HVSPLIT-102-24-05-01-501</t>
  </si>
  <si>
    <t>2023-05-03-10201SP1767-01</t>
  </si>
  <si>
    <t>Milagrosa B. Bulawan</t>
  </si>
  <si>
    <t>ICS2024-11-191</t>
  </si>
  <si>
    <t>R13SDN-102-2022-10-ICT-006</t>
  </si>
  <si>
    <t>Marilou Tinambacan/M&amp;E SDN</t>
  </si>
  <si>
    <t>2024-05-03-10202SP019-01</t>
  </si>
  <si>
    <t>2024-05-03-10202SP020-01</t>
  </si>
  <si>
    <t>HVSPLIT-102-24-05-01-502</t>
  </si>
  <si>
    <t>2023-05-03-10201SP1768-01</t>
  </si>
  <si>
    <t>MISTY ROSE T. NGADAO</t>
  </si>
  <si>
    <t>ICS2024-11-194</t>
  </si>
  <si>
    <t>R13SDN-102-2022-10-ICT-007</t>
  </si>
  <si>
    <t>Syme Harvey Chua/ MIS SDN</t>
  </si>
  <si>
    <t>2024-05-03-10202SP021-01</t>
  </si>
  <si>
    <t>2023-05-03-10201SP1769-01</t>
  </si>
  <si>
    <t>HVSPLIT-102-24-05-01-503</t>
  </si>
  <si>
    <t>2024-05-03-10202SP022-01</t>
  </si>
  <si>
    <t>R13SDN-102-2022-10-ICT-008</t>
  </si>
  <si>
    <t>ICS2024-11-193</t>
  </si>
  <si>
    <t>Jaymel Diegas/ Validator PDI</t>
  </si>
  <si>
    <t>2024-05-03-10202SP023-01</t>
  </si>
  <si>
    <t>2023-05-03-10201SP1770-01</t>
  </si>
  <si>
    <t>2023-05-03-10201SP434-01</t>
  </si>
  <si>
    <t>R13SDN-102-2022-10-ICT-009</t>
  </si>
  <si>
    <t>Cynthia Jaculba/Validator SDN</t>
  </si>
  <si>
    <t>2024-05-03-10202SP024-01</t>
  </si>
  <si>
    <t>2023-05-03-10201SP1771-01</t>
  </si>
  <si>
    <t>2024-05-03-10202SP025-01</t>
  </si>
  <si>
    <t>R13SDN-102-2022-10-ICT-010</t>
  </si>
  <si>
    <t>2023-05-03-10201SP438-01</t>
  </si>
  <si>
    <t>Jess Marie Araneta/Autocad PDI</t>
  </si>
  <si>
    <t>2023-05-03-10201SP1772-01</t>
  </si>
  <si>
    <t>R13SDN-102-2022-10-ICT-011</t>
  </si>
  <si>
    <t>Cris Vincent Perez/Autocad SDN</t>
  </si>
  <si>
    <t>2024-05-03-10204SP001-01</t>
  </si>
  <si>
    <t>2023-05-03-10201SP1773-01</t>
  </si>
  <si>
    <t>R13SDN-102-2022-10-ICT-012</t>
  </si>
  <si>
    <t>Rafael Arlan/Technical Staff SDN</t>
  </si>
  <si>
    <t>2023-06-01-10202SP714-01</t>
  </si>
  <si>
    <t>DAISY PENIDA</t>
  </si>
  <si>
    <t>2023-10-119</t>
  </si>
  <si>
    <t>2023-05-03-10201SP1774-01</t>
  </si>
  <si>
    <t>R13SDN-102-2022-10-ICT-013</t>
  </si>
  <si>
    <t>Lance Pangilinan/ MIS PDI</t>
  </si>
  <si>
    <t>2023-05-03-10201SP1775-01</t>
  </si>
  <si>
    <t>R13SDN-102-2022-10-ICT-014</t>
  </si>
  <si>
    <t>Lorevey Noriega/M&amp;E PDI</t>
  </si>
  <si>
    <t>2023-06-01-10202SP713-01</t>
  </si>
  <si>
    <t>SONNY OCLARIT</t>
  </si>
  <si>
    <t>2023-10-120</t>
  </si>
  <si>
    <t>2023-05-03-10201SP1776-01</t>
  </si>
  <si>
    <t>Apolonio L. Macalos</t>
  </si>
  <si>
    <t>R13SDN-102-2022-10-ICT-015</t>
  </si>
  <si>
    <t>Rowena Bayogbog/Admin Fiannce PDI</t>
  </si>
  <si>
    <t>2023-06-01-10202SP712-01</t>
  </si>
  <si>
    <t>2023-10-121</t>
  </si>
  <si>
    <t>2023-05-03-10201SP1777-01</t>
  </si>
  <si>
    <t>R13SDN-102-2022-10-ICT-016</t>
  </si>
  <si>
    <t>Jireh Quisto/ It Support SDN</t>
  </si>
  <si>
    <t>2023-06-01-10202SP711-01</t>
  </si>
  <si>
    <t>NUR ARHMAD UY</t>
  </si>
  <si>
    <t>2023-05-03-10201SP1778-01</t>
  </si>
  <si>
    <t>2023-10-122</t>
  </si>
  <si>
    <t>Rafael Nicolas R. Febrero</t>
  </si>
  <si>
    <t>R13SDN-102-2022-10-ICT-017</t>
  </si>
  <si>
    <t>Charlie Nogaliza/Admin PDI</t>
  </si>
  <si>
    <t>2023-06-01-10202SP710-01</t>
  </si>
  <si>
    <t>2023-05-03-10201SP1779-01</t>
  </si>
  <si>
    <t>RYAN BADILLA</t>
  </si>
  <si>
    <t>GSS HEAD</t>
  </si>
  <si>
    <t>R13SDN-102-2022-10-ICT-018</t>
  </si>
  <si>
    <t>2023-10-123</t>
  </si>
  <si>
    <t>Jestony Makalolot/Procurement PDI</t>
  </si>
  <si>
    <t>HV-SPLIT-102-24-05-63</t>
  </si>
  <si>
    <t>2023-06-01-10202SP709-01</t>
  </si>
  <si>
    <t>DARPO SURIGAO NORTE</t>
  </si>
  <si>
    <t>2023-10-124</t>
  </si>
  <si>
    <t>DARMO MALUNGON</t>
  </si>
  <si>
    <t>2023-05-03-10201SP1784-01</t>
  </si>
  <si>
    <t>1S11T5S16200GM041AWB</t>
  </si>
  <si>
    <t>Jacinto L. Diaz Jr.</t>
  </si>
  <si>
    <t>2023-06-01-10202SP708-01</t>
  </si>
  <si>
    <t>SERAPION L. BUENO JR.</t>
  </si>
  <si>
    <t>2023-10-125</t>
  </si>
  <si>
    <t>SERAPION L. BUENO JR</t>
  </si>
  <si>
    <t>Christine Dawn Japson</t>
  </si>
  <si>
    <t>2023-06-01-10202SP707-01</t>
  </si>
  <si>
    <t>VON ANGELO CATALUNA</t>
  </si>
  <si>
    <t>2023-10-126</t>
  </si>
  <si>
    <t>2023-05-03-10201SP1785-01</t>
  </si>
  <si>
    <t>1S11T5S16200GM041AWE</t>
  </si>
  <si>
    <t>Jeryl Villason</t>
  </si>
  <si>
    <t>2023-06-01-10202SP706-01</t>
  </si>
  <si>
    <t>JESSA MAE ABUBO</t>
  </si>
  <si>
    <t>2023-10-127</t>
  </si>
  <si>
    <t>2023-05-03-10201SP1786-01</t>
  </si>
  <si>
    <t>1S11T5S16200GM041AWG</t>
  </si>
  <si>
    <t>2023-06-01-10202SP705-01</t>
  </si>
  <si>
    <t>Ruben Carlo R. Clenur</t>
  </si>
  <si>
    <t>CLYDE DREXLER BIDAD</t>
  </si>
  <si>
    <t>2023-10-128</t>
  </si>
  <si>
    <t>UPS is unserviceable</t>
  </si>
  <si>
    <t>2023-06-01-10202SP704-01</t>
  </si>
  <si>
    <t>2023-05-03-10201SP1787-01</t>
  </si>
  <si>
    <t>1S11T5S16200GM041AWM</t>
  </si>
  <si>
    <t>SHIELA MAE D. BERDOS</t>
  </si>
  <si>
    <t>2023-10-129</t>
  </si>
  <si>
    <t>Ellaine Rose Bautista</t>
  </si>
  <si>
    <t>DARMO MAITUM</t>
  </si>
  <si>
    <t>2023-06-01-10202SP703-01</t>
  </si>
  <si>
    <t>HALLENE GRACE C. BIERNEZA</t>
  </si>
  <si>
    <t>2023-10-130</t>
  </si>
  <si>
    <t>2023-05-03-10201SP1788-01</t>
  </si>
  <si>
    <t>1S11T5S16200GM041AWP</t>
  </si>
  <si>
    <t>Atty. Glenn L. Auza</t>
  </si>
  <si>
    <t>2023-SPLIT-05</t>
  </si>
  <si>
    <t>PARAD, Surigao del Sur</t>
  </si>
  <si>
    <t>2023-06-01-10202SP702-01</t>
  </si>
  <si>
    <t>Printer is unserviceable</t>
  </si>
  <si>
    <t>MOHAMMAD Q. BALAWAG</t>
  </si>
  <si>
    <t>2023-10-131</t>
  </si>
  <si>
    <t>2023-05-03-10201SP1789-01</t>
  </si>
  <si>
    <t>1S11T5S16200GM041AX0</t>
  </si>
  <si>
    <t>Mayluna P. Simplicio</t>
  </si>
  <si>
    <t>2023-SPLIT-06</t>
  </si>
  <si>
    <t>Merbeth Jean Quilisadio</t>
  </si>
  <si>
    <t>DARMO-TANDAG, SDS</t>
  </si>
  <si>
    <t>2023-06-01-10202SP758-01</t>
  </si>
  <si>
    <t>2023-05-03-10201SP1790-01</t>
  </si>
  <si>
    <t>1S11T5S16200GM041AX1</t>
  </si>
  <si>
    <t>MENARD CARL B. LIM</t>
  </si>
  <si>
    <t>Karen D. Cagalawan</t>
  </si>
  <si>
    <t>2023-SPLIT-07-027</t>
  </si>
  <si>
    <t>2023-SPLIT-07</t>
  </si>
  <si>
    <t>DARMO- TAGO, SDS</t>
  </si>
  <si>
    <t>2023-06-01-10202SP757-01</t>
  </si>
  <si>
    <t>ROSELYN V. AGUSTIN</t>
  </si>
  <si>
    <t>2023-SPLIT-07-026</t>
  </si>
  <si>
    <t>2023-05-03-10201SP1791-01</t>
  </si>
  <si>
    <t>1S11T5S16200GM041AX4</t>
  </si>
  <si>
    <t>Roselyn Y. Rendon</t>
  </si>
  <si>
    <t>2023-SPLIT-08</t>
  </si>
  <si>
    <t>DARMO- SAN MIGUEL, SDS</t>
  </si>
  <si>
    <t>2023-06-01-10202SP756-01</t>
  </si>
  <si>
    <t>MARCHELYN P. GANIT</t>
  </si>
  <si>
    <t>2023-05-03-10201SP1792-01</t>
  </si>
  <si>
    <t>1S11T5S16200GM041AX5</t>
  </si>
  <si>
    <t>2023-SPLIT-07-025</t>
  </si>
  <si>
    <t>Cheryl Zoe O. Pelayo</t>
  </si>
  <si>
    <t>2023-SPLIT-09</t>
  </si>
  <si>
    <t>DARMO- MADRID, SDS</t>
  </si>
  <si>
    <t>2023-06-01-10202SP755-01</t>
  </si>
  <si>
    <t>2023-05-03-10201SP1793-01</t>
  </si>
  <si>
    <t>1S11T5S16200GM041AX8</t>
  </si>
  <si>
    <t>ENGR. ELZEVIR F. PAGAYON</t>
  </si>
  <si>
    <t>Gregorio L. Casimiro</t>
  </si>
  <si>
    <t>2023-SPLIT-10</t>
  </si>
  <si>
    <t>2023-SPLIT-07-024</t>
  </si>
  <si>
    <t>DARMO- HINATUAN, SDS</t>
  </si>
  <si>
    <t>2023-05-03-10201SP1794-01</t>
  </si>
  <si>
    <t>1S11T5S16200GM041AXA</t>
  </si>
  <si>
    <t>Doris B. Salang</t>
  </si>
  <si>
    <t>2023-SPLIT-11</t>
  </si>
  <si>
    <t>DARMO- MARIHATAG, SDS</t>
  </si>
  <si>
    <t>UPS &amp; Printer are unserviceable</t>
  </si>
  <si>
    <t>2023-06-01-10202SP754-01</t>
  </si>
  <si>
    <t>2023-SPLIT-07-023</t>
  </si>
  <si>
    <t>2023-05-03-10201SP1795-01</t>
  </si>
  <si>
    <t>1S11T5S16200GM041AZT</t>
  </si>
  <si>
    <t>Eleanor P. Tresballes</t>
  </si>
  <si>
    <t>2023-SPLIT-12</t>
  </si>
  <si>
    <t>DARMO- BAROBO/LIANGA, SDS</t>
  </si>
  <si>
    <t>2023-06-01-10202SP752-01</t>
  </si>
  <si>
    <t>CPU &amp; UPS are unserviceable</t>
  </si>
  <si>
    <t>JAN EDWARD D. VILLARDE</t>
  </si>
  <si>
    <t>2023-SPLIT-07-021</t>
  </si>
  <si>
    <t>2023-05-03-10201SP1796-01</t>
  </si>
  <si>
    <t>1S11T5S16200GM041AZY</t>
  </si>
  <si>
    <t>2023-SPLIT-13</t>
  </si>
  <si>
    <t>2023-06-01-10202SP740-01</t>
  </si>
  <si>
    <t>SELLA GRACE E. MUSALI</t>
  </si>
  <si>
    <t>2023-SPLIT-07-009</t>
  </si>
  <si>
    <t>2023-05-03-10201SP1797-01</t>
  </si>
  <si>
    <t>1S11T5S16200GM041B01</t>
  </si>
  <si>
    <t>2023-06-01-10202SP748-01</t>
  </si>
  <si>
    <t>JOSE G. HAPITAN III</t>
  </si>
  <si>
    <t>2023-SPLIT-07-017</t>
  </si>
  <si>
    <t>Jacinto P. Diaz Jr.</t>
  </si>
  <si>
    <t>2023-06-01-10202SP733-01</t>
  </si>
  <si>
    <t>RASHIDA A. ARUMPAC</t>
  </si>
  <si>
    <t>2023-SPLIT-14</t>
  </si>
  <si>
    <t>2023-SPLIT-07-002</t>
  </si>
  <si>
    <t>Jemimah Lee Gelsano</t>
  </si>
  <si>
    <t>2023-06-01-10202SP732-01</t>
  </si>
  <si>
    <t>2023-SPLIT-07-001</t>
  </si>
  <si>
    <t>2023-05-03-10201SP1798-01</t>
  </si>
  <si>
    <t>1S11T5S16200GM041B05</t>
  </si>
  <si>
    <t>Titansur M. Dagaas</t>
  </si>
  <si>
    <t>2023-SPLIT-15</t>
  </si>
  <si>
    <t>DARMO- BISLIG, SDS</t>
  </si>
  <si>
    <t>2023-06-01-10202SP737-01</t>
  </si>
  <si>
    <t>JAY H. EMBAJADOR</t>
  </si>
  <si>
    <t>2023-SPLIT-07-006</t>
  </si>
  <si>
    <t>2023-05-03-10201SP1799-01</t>
  </si>
  <si>
    <t>1S11T5S16200GM041B0S</t>
  </si>
  <si>
    <t>2023-SPLIT-16</t>
  </si>
  <si>
    <t>Sheila Dalusa</t>
  </si>
  <si>
    <t>2023-06-01-10202SP749-01</t>
  </si>
  <si>
    <t>2023-SPLIT-07-018</t>
  </si>
  <si>
    <t>DARMO-SNA</t>
  </si>
  <si>
    <t>2023-05-03-10201SP156-01</t>
  </si>
  <si>
    <t>Reynaldo P. Dedicatoria</t>
  </si>
  <si>
    <t>2023-SPLIT-17</t>
  </si>
  <si>
    <t>(For delivery to DARMO-Cagwait SDS)</t>
  </si>
  <si>
    <t>2023-06-01-10202SP734-01</t>
  </si>
  <si>
    <t>AO III (CASHIER II)</t>
  </si>
  <si>
    <t>2023-SPLIT-07-003</t>
  </si>
  <si>
    <t>DARMO-COLUMBIO</t>
  </si>
  <si>
    <t>2023-05-03-10201SP157-01</t>
  </si>
  <si>
    <t>Euberta R. Mozo</t>
  </si>
  <si>
    <t>2023-SPLIT-18</t>
  </si>
  <si>
    <t>2023-06-01-10202SP744-01</t>
  </si>
  <si>
    <t>(For delivery to DARMO-Tagbina, SDS)</t>
  </si>
  <si>
    <t>2023-SPLIT-07-013</t>
  </si>
  <si>
    <t>NORAISA T. UMPA</t>
  </si>
  <si>
    <t>DARMO-PALIMBANG</t>
  </si>
  <si>
    <t>2023-05-03-10201SP158-01</t>
  </si>
  <si>
    <t>Jose A. Tulod Jr.</t>
  </si>
  <si>
    <t>2023-SPLIT-19</t>
  </si>
  <si>
    <t>(For delivery to DARMO-Lingig, SDS)</t>
  </si>
  <si>
    <t>2023-06-01-10202SP738-01</t>
  </si>
  <si>
    <t>2023-SPLIT-07-007</t>
  </si>
  <si>
    <t>MARIA RHODA R. VICTORIO</t>
  </si>
  <si>
    <t>2023-05-03-10201SP159-01</t>
  </si>
  <si>
    <t>2023-SPLIT-20</t>
  </si>
  <si>
    <t>2023-06-01-10202SP736-01</t>
  </si>
  <si>
    <t>2023-SPLIT-07-005</t>
  </si>
  <si>
    <t>AZMIE NORHAN M. BINANGON</t>
  </si>
  <si>
    <t>2023-05-03-10201SP160-01</t>
  </si>
  <si>
    <t>2023-SPLIT-21</t>
  </si>
  <si>
    <t>Lewjan Daniel Q. Becoy</t>
  </si>
  <si>
    <t>2023-06-01-10202SP741-01</t>
  </si>
  <si>
    <t>2023-SPLIT-07-010</t>
  </si>
  <si>
    <t>2023-05-14-10202SP78-01</t>
  </si>
  <si>
    <t>Roel C. Abesamis</t>
  </si>
  <si>
    <t>2023-06-01-10202SP743-01</t>
  </si>
  <si>
    <t>2023-SPLIT-07-012</t>
  </si>
  <si>
    <t>SYLVIA M. SALARZA</t>
  </si>
  <si>
    <t>2023-06-01-10202SP745-01</t>
  </si>
  <si>
    <t>2023-SPLIT-07-014</t>
  </si>
  <si>
    <t>JESUS M. ESCOTO, JR.</t>
  </si>
  <si>
    <t>2023-06-01-10202SP746-01</t>
  </si>
  <si>
    <t>2023-SPLIT-07-015</t>
  </si>
  <si>
    <t>WILSON D. ESPARTERO</t>
  </si>
  <si>
    <t>DARMO-KALAMANSIG</t>
  </si>
  <si>
    <t>2023-05-14-10202SP32-01</t>
  </si>
  <si>
    <t>PTR: 2023-03-053S</t>
  </si>
  <si>
    <t>2023-06-01-10202SP753-01</t>
  </si>
  <si>
    <t>RASIDA A. ARUMPAC</t>
  </si>
  <si>
    <t>2023-SPLIT-07-022</t>
  </si>
  <si>
    <t>MYRNA G. ABUOMAR</t>
  </si>
  <si>
    <t>2023-05-14-10202SP31-01</t>
  </si>
  <si>
    <t>SN: SP10730068</t>
  </si>
  <si>
    <t>Gino P. Roa</t>
  </si>
  <si>
    <t>PAR: 2025-07-0008</t>
  </si>
  <si>
    <t>PPMO - Agusan del norte/LTID</t>
  </si>
  <si>
    <t>2023-06-01-10202SP739-01</t>
  </si>
  <si>
    <t>2023-SPLIT-07-008</t>
  </si>
  <si>
    <t>JOSEPH F. CLAVERIA</t>
  </si>
  <si>
    <t>2023-05-14-10202SP30-01</t>
  </si>
  <si>
    <t>SN: SP10730057</t>
  </si>
  <si>
    <t>Engr. Renier Jake Capa</t>
  </si>
  <si>
    <t>ARPO I/ Chief Survey</t>
  </si>
  <si>
    <t>PTR: 2023-04-016</t>
  </si>
  <si>
    <t>PPMO - Agusan del Sur/ Survey Office</t>
  </si>
  <si>
    <t>2023-06-01-10202SP750-01</t>
  </si>
  <si>
    <t>2023-SPLIT-07-019</t>
  </si>
  <si>
    <t>SYRIA P. USOP</t>
  </si>
  <si>
    <t>2023-05-14-10202SP77-01</t>
  </si>
  <si>
    <t>SN: SP10730075</t>
  </si>
  <si>
    <t>PTR: 2023-05-027</t>
  </si>
  <si>
    <t>2023-06-01-10202SP735-01</t>
  </si>
  <si>
    <t>2023-SPLIT-07-004</t>
  </si>
  <si>
    <t>ELNORA M. LAVARIAS</t>
  </si>
  <si>
    <t>DARMO-ISULAN</t>
  </si>
  <si>
    <t>2023-05-14-10202SP76-01</t>
  </si>
  <si>
    <t>Sophonias J. Igsolo</t>
  </si>
  <si>
    <t>Engr II/Survey Section Chief</t>
  </si>
  <si>
    <t>2023-06-01-10202SP742-01</t>
  </si>
  <si>
    <t>2023-SPLIT-07-011</t>
  </si>
  <si>
    <t>HVSPLIT-102-24-05-55</t>
  </si>
  <si>
    <t>MEL ' ADOR P. ESTIMADA</t>
  </si>
  <si>
    <t>DARMO-LAMBAYONG</t>
  </si>
  <si>
    <t>2023-06-01-10202SP747-39</t>
  </si>
  <si>
    <t>2023-05-14-10201SP49-01</t>
  </si>
  <si>
    <t>2023-SPLIT-07-016</t>
  </si>
  <si>
    <t>BASE SN:Z60SN272200416; ROVER SN: Z60ST27220428</t>
  </si>
  <si>
    <t>GUIA D. LACAP</t>
  </si>
  <si>
    <t>DAMOR-LEBAK</t>
  </si>
  <si>
    <t>PPMO - Agusan del Norte</t>
  </si>
  <si>
    <t>2023-06-01-10202SP751-01</t>
  </si>
  <si>
    <t>2023-05-14-10201SP48-01</t>
  </si>
  <si>
    <t>2023-SPLIT-07-020</t>
  </si>
  <si>
    <t>BASE SN: Z60SN272200108; ROVER SN: Z60ST272200425</t>
  </si>
  <si>
    <t>ROMEO G. AYSON II</t>
  </si>
  <si>
    <t>DARMO-TACURONG</t>
  </si>
  <si>
    <t>PTR: 2023-04-015</t>
  </si>
  <si>
    <t>2023-05-14-10201SP50-01</t>
  </si>
  <si>
    <t>2023-06-01-10202SP671-01</t>
  </si>
  <si>
    <t>PTR: 2023-04-012</t>
  </si>
  <si>
    <t>ALEXANDER OMAR</t>
  </si>
  <si>
    <t>PROPERTY CUSTODIAN/ADMIN.ASST.II</t>
  </si>
  <si>
    <t>001-05-2023</t>
  </si>
  <si>
    <t>SN: 2839978</t>
  </si>
  <si>
    <t>MARBEN RESOMADERO</t>
  </si>
  <si>
    <t>PARPO - Agusan del Norte</t>
  </si>
  <si>
    <t>SN: 2839778</t>
  </si>
  <si>
    <t>2023-06-01-10202SP673-01</t>
  </si>
  <si>
    <t>PTR: 2023-04-017</t>
  </si>
  <si>
    <t>003-05-2023</t>
  </si>
  <si>
    <t>2023-06-01-10202SP674-01</t>
  </si>
  <si>
    <t>CARLO BACUS</t>
  </si>
  <si>
    <t>004-05-2023</t>
  </si>
  <si>
    <t>HVSPLIT-102-24-05-01-181</t>
  </si>
  <si>
    <t>2023-06-01-10202SP675-01</t>
  </si>
  <si>
    <t>GENER PAGARAN</t>
  </si>
  <si>
    <t>005-05-2023</t>
  </si>
  <si>
    <t>2024-10-189</t>
  </si>
  <si>
    <t>Merliza Balbido</t>
  </si>
  <si>
    <t>PPMO - Agusan del Norte/LSD</t>
  </si>
  <si>
    <t>2023-06-01-10202SP676-01</t>
  </si>
  <si>
    <t>KEERO TOLERAN</t>
  </si>
  <si>
    <t>006-05-2023</t>
  </si>
  <si>
    <t>HVSPLIT-102-24-05-01-510</t>
  </si>
  <si>
    <t>FAMADOR, RUSTAN JAY I. ANOTHER USER</t>
  </si>
  <si>
    <t>Archibald Quistadio</t>
  </si>
  <si>
    <t>2023-06-01-10202SP677-01</t>
  </si>
  <si>
    <t>ALEXIS UNTAL</t>
  </si>
  <si>
    <t>HVSPLIT-102-24-05-01-511</t>
  </si>
  <si>
    <t>007-05-2023</t>
  </si>
  <si>
    <t>Edilberto Dulanas</t>
  </si>
  <si>
    <t>2023-06-01-10202SP678-01</t>
  </si>
  <si>
    <t>008-05-2023</t>
  </si>
  <si>
    <t>HVSPLIT-102-24-05-01-512</t>
  </si>
  <si>
    <t>2024-10-190</t>
  </si>
  <si>
    <t>2023-06-01-10202SP679-01</t>
  </si>
  <si>
    <t>HVSPLIT-102-24-05-01-513</t>
  </si>
  <si>
    <t>009-05-2023</t>
  </si>
  <si>
    <t>2024-10-191</t>
  </si>
  <si>
    <t>2023-06-01-10202SP680-01</t>
  </si>
  <si>
    <t>LESTER JAY G. NONAN</t>
  </si>
  <si>
    <t>010-05-2023</t>
  </si>
  <si>
    <t>HVSPLIT-102-24-05-01-514</t>
  </si>
  <si>
    <t>MSB0A7O4S0103891</t>
  </si>
  <si>
    <t>2023-06-01-10202SP681-01</t>
  </si>
  <si>
    <t>RUSTAN JAY I. FAMADOR</t>
  </si>
  <si>
    <t>HVSPLIT-102-24-05-01-515</t>
  </si>
  <si>
    <t>011-05-2023</t>
  </si>
  <si>
    <t>2023-06-01-10202SP682-01</t>
  </si>
  <si>
    <t>HVSPLIT-102-24-05-01-516</t>
  </si>
  <si>
    <t>012-05-2023</t>
  </si>
  <si>
    <t>HVSPLIT-102-24-05-01-517</t>
  </si>
  <si>
    <t>2023-06-01-10202SP683-01</t>
  </si>
  <si>
    <t>RAENARD KENRICK LLANO</t>
  </si>
  <si>
    <t>013-05-2023</t>
  </si>
  <si>
    <t>DARMO-ALEOSAN</t>
  </si>
  <si>
    <t>HVSPLIT-102-24-05-01-518</t>
  </si>
  <si>
    <t>2023-06-01-10202SP684-01</t>
  </si>
  <si>
    <t>JEFFREY CESAR M. EBORDA</t>
  </si>
  <si>
    <t>014-05-2023</t>
  </si>
  <si>
    <t>DARMO-ARAKAN</t>
  </si>
  <si>
    <t>HVSPLIT-102-24-05-01-519</t>
  </si>
  <si>
    <t>2024-10-192</t>
  </si>
  <si>
    <t>2023-06-01-10202SP685-01</t>
  </si>
  <si>
    <t>ELPIDIO NIEL III PORRAS</t>
  </si>
  <si>
    <t>015-05-2023</t>
  </si>
  <si>
    <t>DARMO-ANTIPAS</t>
  </si>
  <si>
    <t>HVSPLIT-102-24-05-01-520</t>
  </si>
  <si>
    <t>2024-10-193</t>
  </si>
  <si>
    <t>2023-06-01-10202SP686-01</t>
  </si>
  <si>
    <t>CHARLES JELO GUMBAN</t>
  </si>
  <si>
    <t>2023-05-03-10201SP485-01</t>
  </si>
  <si>
    <t>016-05-2023</t>
  </si>
  <si>
    <t>DARMO-BANISILAN</t>
  </si>
  <si>
    <t>HVSPLIT-102-24-05-01-521</t>
  </si>
  <si>
    <t>2024-10-194</t>
  </si>
  <si>
    <t>CARP</t>
  </si>
  <si>
    <t>2023-06-01-10202SP687-01</t>
  </si>
  <si>
    <t>ARESCON O. MALICAY-VANVUGT</t>
  </si>
  <si>
    <t>017-05-2023</t>
  </si>
  <si>
    <t>DARMO-CARMEN</t>
  </si>
  <si>
    <t>HVSPLIT-102-24-05-01-522</t>
  </si>
  <si>
    <t>2024-10-195</t>
  </si>
  <si>
    <t>2023-06-01-10202SP688-01</t>
  </si>
  <si>
    <t>2023-05-03-10201SP486-01</t>
  </si>
  <si>
    <t>WENILYN E. COMISSION</t>
  </si>
  <si>
    <t>018-05-2023</t>
  </si>
  <si>
    <t>DARMO-KABACAN</t>
  </si>
  <si>
    <t>HVSPLIT-102-24-05-01-523</t>
  </si>
  <si>
    <t>2023-05-03-10201SP487-01</t>
  </si>
  <si>
    <t>2024-10-196</t>
  </si>
  <si>
    <t>2023-06-01-10202SP690-01</t>
  </si>
  <si>
    <t>MICHAEL D. ALCORDO</t>
  </si>
  <si>
    <t>020-05-2023</t>
  </si>
  <si>
    <t>DARMO-LIBUNGAN</t>
  </si>
  <si>
    <t>HVSPLIT-102-24-05-01-524</t>
  </si>
  <si>
    <t>2023-05-03-10201SP488-01</t>
  </si>
  <si>
    <t>2024-10-197</t>
  </si>
  <si>
    <t>2023-06-01-10202SP691-01</t>
  </si>
  <si>
    <t>021-05-2023</t>
  </si>
  <si>
    <t>2023-05-03-10201SP489-01</t>
  </si>
  <si>
    <t>HVSPLIT-102-24-05-01-525</t>
  </si>
  <si>
    <t>DARMO-MAGPET</t>
  </si>
  <si>
    <t>2024-10-198</t>
  </si>
  <si>
    <t>2023-05-03-10201SP490-01</t>
  </si>
  <si>
    <t>HVSPLIT-102-24-05-01-526</t>
  </si>
  <si>
    <t>2023-06-01-10202SP692-01</t>
  </si>
  <si>
    <t>2024-10-199</t>
  </si>
  <si>
    <t>ELMER T. YURAG</t>
  </si>
  <si>
    <t>022-05-2023</t>
  </si>
  <si>
    <t>DARMO-TULUNAN</t>
  </si>
  <si>
    <t>2023-05-03-10201SP491-01</t>
  </si>
  <si>
    <t>2023-05-03-10201SP492-01</t>
  </si>
  <si>
    <t>HVSPLIT-102-24-05-01-527</t>
  </si>
  <si>
    <t>2023-06-01-10202SP693-01</t>
  </si>
  <si>
    <t>2024-10-200</t>
  </si>
  <si>
    <t>023-05-2023</t>
  </si>
  <si>
    <t>2023-06-01-10202SP694-01</t>
  </si>
  <si>
    <t>JESSIE TACUYAN</t>
  </si>
  <si>
    <t>024-05-2023</t>
  </si>
  <si>
    <t>2024-05-03-10202SP077-01</t>
  </si>
  <si>
    <t>2023-06-01-10201SP135-01</t>
  </si>
  <si>
    <t>SNC 1157</t>
  </si>
  <si>
    <t>2023-06-01-10202SP695-01</t>
  </si>
  <si>
    <t>2024-05-03-10202SP078-01</t>
  </si>
  <si>
    <t>RYANN Q. GELACIO</t>
  </si>
  <si>
    <t>025-05-2023</t>
  </si>
  <si>
    <t>2024-05-03-10202SP079-01</t>
  </si>
  <si>
    <t>2023-06-01-10202SP696-01</t>
  </si>
  <si>
    <t>2024-05-03-10202SP080-01</t>
  </si>
  <si>
    <t>JOSE MARIE V. GENTICA</t>
  </si>
  <si>
    <t>026-05-2023</t>
  </si>
  <si>
    <t>DARMO-MLANG</t>
  </si>
  <si>
    <t>2024-05-03-10202SP039-01</t>
  </si>
  <si>
    <t>2023-06-01-10201SP134-01</t>
  </si>
  <si>
    <t>2023-06-01-10202SP697-01</t>
  </si>
  <si>
    <t>SNC 1227</t>
  </si>
  <si>
    <t>HENRY T. GUILLERMO</t>
  </si>
  <si>
    <t>Asst. Regional Director for Operation</t>
  </si>
  <si>
    <t>027-05-2023</t>
  </si>
  <si>
    <t>2023-12-044</t>
  </si>
  <si>
    <t>RPMO-Caraga/OARD0</t>
  </si>
  <si>
    <t>2023-06-01-10202SP698-01</t>
  </si>
  <si>
    <t>2023-06-01-10201SP136-01</t>
  </si>
  <si>
    <t>SNC 1162</t>
  </si>
  <si>
    <t>MOHAMMAD NASSIF BASHERON</t>
  </si>
  <si>
    <t>AO IV/Chief GSS</t>
  </si>
  <si>
    <t>Glen A. Petilla</t>
  </si>
  <si>
    <t>028-05-2023</t>
  </si>
  <si>
    <t>PPMO - Agusan del Norte/GS</t>
  </si>
  <si>
    <t>DARMO-PIKIT</t>
  </si>
  <si>
    <t>General Dispatch</t>
  </si>
  <si>
    <t>2023-06-01-10201SP137-01</t>
  </si>
  <si>
    <t>SNC 1229</t>
  </si>
  <si>
    <t>Ruby Jnae M. Salvado</t>
  </si>
  <si>
    <t>General dispatch</t>
  </si>
  <si>
    <t>2023-06-01-10202SP699-01</t>
  </si>
  <si>
    <t>NOLI A. AGUILAR</t>
  </si>
  <si>
    <t>029-05-2023</t>
  </si>
  <si>
    <t>DARMO-PRES.ROXAS</t>
  </si>
  <si>
    <t>2023-06-01-10201SP138-01</t>
  </si>
  <si>
    <t>SNC 1263</t>
  </si>
  <si>
    <t>DANTE C. MANLIMOS</t>
  </si>
  <si>
    <t>R13SDN-102-2023-10-MV-032</t>
  </si>
  <si>
    <t>2023-06-01-10202SP700-01</t>
  </si>
  <si>
    <t>NOR HASSSAN PANDAPATAN</t>
  </si>
  <si>
    <t>030-05-2023</t>
  </si>
  <si>
    <t>2023-06-01-10201SP140-01</t>
  </si>
  <si>
    <t>SNC 1243</t>
  </si>
  <si>
    <t>MA. FLORDELUNA Q. TOLDO</t>
  </si>
  <si>
    <t>ARPO I/GSS HEAD</t>
  </si>
  <si>
    <t>R13SDN-102-2023-10-IMV-033</t>
  </si>
  <si>
    <t>2023-06-01-10202SP701-01</t>
  </si>
  <si>
    <t>PPMO - Surigao del Norte/GS</t>
  </si>
  <si>
    <t>JULIUS CEAZAR BAHINTING</t>
  </si>
  <si>
    <t>032-05-2023</t>
  </si>
  <si>
    <t>2023-06-01-10201SP139-01</t>
  </si>
  <si>
    <t>SNC 1140</t>
  </si>
  <si>
    <t>Larry W. Ilogon</t>
  </si>
  <si>
    <t>2023-06-01-10202SP689-01</t>
  </si>
  <si>
    <t>JONA TRINIDAD</t>
  </si>
  <si>
    <t>034-05-2023</t>
  </si>
  <si>
    <t>CARO-KIDAPAWAN</t>
  </si>
  <si>
    <t>2023-06-01-10202SP792-01</t>
  </si>
  <si>
    <t>Engine #: KRH10E058029, Chassis #:KRHV0058083</t>
  </si>
  <si>
    <t>Jose E. Bagood</t>
  </si>
  <si>
    <t>Gilbert S. Gabor</t>
  </si>
  <si>
    <t>2023-06-01-10202SP672-01</t>
  </si>
  <si>
    <t>RPMO- Caraga/STOD-GSS</t>
  </si>
  <si>
    <t>AHIEZER BIÑAS</t>
  </si>
  <si>
    <t>033-07-2023</t>
  </si>
  <si>
    <t>2023-06-01-10202SP804-01</t>
  </si>
  <si>
    <t>Engine #: KRH10E058011, Chassis #: KRHV0058071</t>
  </si>
  <si>
    <t>2023-06-01-1020SP715-01</t>
  </si>
  <si>
    <t>RODRIGO OMAR GARDE III</t>
  </si>
  <si>
    <t>029-23</t>
  </si>
  <si>
    <t>2023-09-015</t>
  </si>
  <si>
    <t>2023-06-01-1020SP716-01</t>
  </si>
  <si>
    <t>VON ERIC T. BANDOY</t>
  </si>
  <si>
    <t>030-23</t>
  </si>
  <si>
    <t>2023-06-01-10202SP790-01</t>
  </si>
  <si>
    <t>Engine #:KRH10E058029, Chassis #: KRH10E058029</t>
  </si>
  <si>
    <t>Glenn Catalan</t>
  </si>
  <si>
    <t>2024-04-013</t>
  </si>
  <si>
    <t>2023-06-01-1020SP717-01</t>
  </si>
  <si>
    <t>JENITO G. PASCUAL, JR.</t>
  </si>
  <si>
    <t>031-23</t>
  </si>
  <si>
    <t>2023-06-01-10202SP759-01</t>
  </si>
  <si>
    <t>Engine #: KRH10E058837, Chassis #: KRHV0057949</t>
  </si>
  <si>
    <t>PPMO - Agusan del norte</t>
  </si>
  <si>
    <t>2023-06-01-1020SP718-01</t>
  </si>
  <si>
    <t>2023-06-01-10202SP760-01</t>
  </si>
  <si>
    <t>JAYPEE S. DINOPOL</t>
  </si>
  <si>
    <t>Engine #: KRH10E058834, Chassis #: KRHV0057947</t>
  </si>
  <si>
    <t>Rocilo Surion</t>
  </si>
  <si>
    <t>032-23</t>
  </si>
  <si>
    <t>PAR: 2025-07-0009</t>
  </si>
  <si>
    <t>2023-06-01-1020SP719-01</t>
  </si>
  <si>
    <t>2023-06-01-10202SP761-01</t>
  </si>
  <si>
    <t>LEI-J R. GUARDAYA</t>
  </si>
  <si>
    <t>Engine #: KRH10E058833, Chassis #: KRHV0057944</t>
  </si>
  <si>
    <t>033-23</t>
  </si>
  <si>
    <t>2023-06-01-10202SP762-01</t>
  </si>
  <si>
    <t>Engine #: KRH10E058831, Chassis #: KRHV0057951</t>
  </si>
  <si>
    <t>SARPT/Acting GS Chief</t>
  </si>
  <si>
    <t>PTR: 2023-05-018</t>
  </si>
  <si>
    <t>Antolin Lacea Jr. (LEA II)</t>
  </si>
  <si>
    <t>2023-06-01-1020SP720-01</t>
  </si>
  <si>
    <t>ROLAINE JAY T. ELADIA</t>
  </si>
  <si>
    <t>2023-06-01-10202SP763-01</t>
  </si>
  <si>
    <t>034-23</t>
  </si>
  <si>
    <t>Engine #: KRH10E058829, Chassis #: KRHV0057953</t>
  </si>
  <si>
    <t>Jefffrey Mariscal (LEA II)</t>
  </si>
  <si>
    <t>2023-06-01-10202SP764-01</t>
  </si>
  <si>
    <t>Engine #: KRH10E058827, Chassis #: KRHV0057945</t>
  </si>
  <si>
    <t>RUEL P. SAMPUTON</t>
  </si>
  <si>
    <t>PTR: 2023-05-018/ 2025-04-001</t>
  </si>
  <si>
    <t>PPMO - Agusan del Sur/ DARMO TRENTO</t>
  </si>
  <si>
    <t>2023-06-01-1020SP721-01</t>
  </si>
  <si>
    <t>2023-06-01-10202SP765-01</t>
  </si>
  <si>
    <t>Engine #: KRH10E058822, Chassis #: KRHV0057952</t>
  </si>
  <si>
    <t>ARTEMIO F. TIONSON</t>
  </si>
  <si>
    <t>Paquito Funa , Jr (rct)</t>
  </si>
  <si>
    <t>035-23</t>
  </si>
  <si>
    <t>2023-06-01-10202SP766-01</t>
  </si>
  <si>
    <t>Engine #: KRH10E058816, Chassis #: KRHV0057956</t>
  </si>
  <si>
    <t>PPMO - Agusan del Sur/ DARMO LORETO</t>
  </si>
  <si>
    <t>2023-06-01-1020SP722-01</t>
  </si>
  <si>
    <t>KRYAN GONORA</t>
  </si>
  <si>
    <t>2023-06-01-10202SP767-01</t>
  </si>
  <si>
    <t>Engine #: KRH10E058836, Chassis #: KRHV0057943</t>
  </si>
  <si>
    <t>036-23</t>
  </si>
  <si>
    <t>Ronald Campos (RCT)</t>
  </si>
  <si>
    <t>2023-06-01-10202SP768-01</t>
  </si>
  <si>
    <t>Engine #: KRH10E058830, Chassis #: KRHV0057946</t>
  </si>
  <si>
    <t>Jayward Baco (RCT)</t>
  </si>
  <si>
    <t>2023-06-01-1020SP723-01</t>
  </si>
  <si>
    <t>ARNEL DIPANTAR</t>
  </si>
  <si>
    <t>2023-06-01-10202SP769-01</t>
  </si>
  <si>
    <t>037-23</t>
  </si>
  <si>
    <t>Engine #: KRH10E058826, Chassis #: KRHV0057950</t>
  </si>
  <si>
    <t>Noel Marial</t>
  </si>
  <si>
    <t>2023-06-01-10202SP770-01</t>
  </si>
  <si>
    <t>Engine #: KRH10E058824, Chassis #: KRHV0057948</t>
  </si>
  <si>
    <t>Romnick Ariñez (RCT)</t>
  </si>
  <si>
    <t>2023-06-01-1020SP724-01</t>
  </si>
  <si>
    <t>GERMAR G. HOSPITAL</t>
  </si>
  <si>
    <t>038-23</t>
  </si>
  <si>
    <t>2023-06-01-10202SP771-01</t>
  </si>
  <si>
    <t>Engine #: KRH10E058808, Chassis #: KRHV0057955</t>
  </si>
  <si>
    <t>PPMO - Agusan del Sur/ PBDD</t>
  </si>
  <si>
    <t>2023-06-01-10202SP772-01</t>
  </si>
  <si>
    <t>2023-06-01-1020SP725-01</t>
  </si>
  <si>
    <t>Engine #: KRH10E058086, Chassis #: KRHV0058012</t>
  </si>
  <si>
    <t>REY G. ENGANE</t>
  </si>
  <si>
    <t>Ryan Gerald Matildo ( RCT)</t>
  </si>
  <si>
    <t>039-23</t>
  </si>
  <si>
    <t>2023-06-01-10202SP773-01</t>
  </si>
  <si>
    <t>Engine #: KRH10E058081, Chassis #: KRHV0058021</t>
  </si>
  <si>
    <t>Ariel Sauza</t>
  </si>
  <si>
    <t>PPMO - Agusan del Sur/ SURVEY OFFICE</t>
  </si>
  <si>
    <t>2023-06-01-10202SP774-01</t>
  </si>
  <si>
    <t>Engine #: KRH10E058072, Chassis #:KRVH058001</t>
  </si>
  <si>
    <t>2023-06-01-1020SP726-01</t>
  </si>
  <si>
    <t>SITTIE KHAYA B. FERMIN</t>
  </si>
  <si>
    <t>040-23</t>
  </si>
  <si>
    <t>2023-06-01-10202SP775-01</t>
  </si>
  <si>
    <t>Engine #: KRH10E058062, Chassis #:KRVH058007</t>
  </si>
  <si>
    <t>Sianber Lou S. Taray</t>
  </si>
  <si>
    <t>2023-06-01-10202SP776-01</t>
  </si>
  <si>
    <t>2023-06-01-1020SP727-01</t>
  </si>
  <si>
    <t>Engine #: KRH10E058058, Chassis #:KRVH058013</t>
  </si>
  <si>
    <t>Jefferson E. Zapanta</t>
  </si>
  <si>
    <t>NORKHAN CADATUAN</t>
  </si>
  <si>
    <t>041-23</t>
  </si>
  <si>
    <t>2023-06-01-10202SP777-01</t>
  </si>
  <si>
    <t>Engine #: KRH10E058102, Chassis #:KRVH058036</t>
  </si>
  <si>
    <t>Zaldy Nicolas</t>
  </si>
  <si>
    <t>2023-06-01-1020SP728-01</t>
  </si>
  <si>
    <t>RONNIE VAL S. RAÑO</t>
  </si>
  <si>
    <t>042-23</t>
  </si>
  <si>
    <t>2023-06-01-10202SP778-01</t>
  </si>
  <si>
    <t>Engine #: KRH10E058100, Chassis #:KRVH058039</t>
  </si>
  <si>
    <t>2023-06-01-1020SP729-01</t>
  </si>
  <si>
    <t>PHILIP MIGUEL BASCO</t>
  </si>
  <si>
    <t>043-23</t>
  </si>
  <si>
    <t>2023-06-01-10202SP779-01</t>
  </si>
  <si>
    <t>Engine #: KRH10E058099, Chassis #:KRVH058031</t>
  </si>
  <si>
    <t>HISHAM SARIP (RCT)</t>
  </si>
  <si>
    <t>2023-06-01-1020SP730-01</t>
  </si>
  <si>
    <t>2023-06-01-10202SP780-01</t>
  </si>
  <si>
    <t>KARL ANDREW DUMALAOS</t>
  </si>
  <si>
    <t>Engine #: KRH10E058098, Chassis #:KRVH058032</t>
  </si>
  <si>
    <t>Rowee Kim Peñaranda</t>
  </si>
  <si>
    <t>044-23</t>
  </si>
  <si>
    <t>PPMO - Agusan del Sur/ DARMO Bayugan City</t>
  </si>
  <si>
    <t>2023-06-01-10202SP781-01</t>
  </si>
  <si>
    <t>Engine #: KRH10E058097, Chassis #:KRVH058033</t>
  </si>
  <si>
    <t>Mark Gil Latorre (RCT)</t>
  </si>
  <si>
    <t>2023-06-01-1020SP731-01</t>
  </si>
  <si>
    <t>VON VERGEL CUBILO</t>
  </si>
  <si>
    <t>045-23</t>
  </si>
  <si>
    <t>2023-06-01-10202SP782-01</t>
  </si>
  <si>
    <t>Engine #: KRH10E058096, Chassis #:KRVH058035</t>
  </si>
  <si>
    <t>Bienvenido Uy III</t>
  </si>
  <si>
    <t>XII-19-1012-13-08-064
 2023-06-01-10201SP131-01</t>
  </si>
  <si>
    <t>SNC 1161</t>
  </si>
  <si>
    <t>SPHV-2025-02-0014</t>
  </si>
  <si>
    <t>FOR OFFICE USE</t>
  </si>
  <si>
    <t>FOR SPLIT PURPOSES</t>
  </si>
  <si>
    <t>2023-06-01-10202SP783-01</t>
  </si>
  <si>
    <t>Engine #: KRH10E058095, Chassis #:KRVH058038</t>
  </si>
  <si>
    <t>Eduardo Bongato</t>
  </si>
  <si>
    <t>12-SULKUD-GF-23-13-01-105
 2023-06-01-10201SP132-01</t>
  </si>
  <si>
    <t>SNC 1144</t>
  </si>
  <si>
    <t>2023-11-044</t>
  </si>
  <si>
    <t>2023-06-01-10202SP784-01</t>
  </si>
  <si>
    <t>Engine #: KRH10E058084, Chassis #:KRVH058029</t>
  </si>
  <si>
    <t>Lee marvin Corro (RCT)</t>
  </si>
  <si>
    <t>2023-06-01-10201SP130-01</t>
  </si>
  <si>
    <t>SNC 1067</t>
  </si>
  <si>
    <t>VALERIE F. SEITON</t>
  </si>
  <si>
    <t>2023-11-087</t>
  </si>
  <si>
    <t>2023-06-01-10202SP785-01</t>
  </si>
  <si>
    <t>Engine #: KRH10E058077, Chassis #:KRVH058026</t>
  </si>
  <si>
    <t>Erwin Parreno</t>
  </si>
  <si>
    <t>2023-06-01-10201SP129-01</t>
  </si>
  <si>
    <t>SNC 1314</t>
  </si>
  <si>
    <t>2023-06-01-10202SP786-01</t>
  </si>
  <si>
    <t>Engine #: KRH10E058027, Chassis #:KRVH058069</t>
  </si>
  <si>
    <t>Arjon Desoy</t>
  </si>
  <si>
    <t>0036-10-2023</t>
  </si>
  <si>
    <t>PPMO - Agusan del Sur/ DARMO San Luis</t>
  </si>
  <si>
    <t>2023-06-01-10202SP787-01</t>
  </si>
  <si>
    <t>Engine #: KRH10E058036, Chassis #:KRVH058073</t>
  </si>
  <si>
    <t>MARIANNIE S. LAUBAN-BAUNTO</t>
  </si>
  <si>
    <t>SPLIT-2023-027
 SPLIT-2023-021 (NEW)</t>
  </si>
  <si>
    <t>Christian Jay Franco (RCT)</t>
  </si>
  <si>
    <t>2023-06-01-10202SP788-01</t>
  </si>
  <si>
    <t>2023-06-01-10201SP133-01</t>
  </si>
  <si>
    <t>Engine #: KRH10E058034, Chassis #:KRVH058066</t>
  </si>
  <si>
    <t>SNC 1198</t>
  </si>
  <si>
    <t>Benito Castrro Jr</t>
  </si>
  <si>
    <t>ATTY. RAHYLL SAGA</t>
  </si>
  <si>
    <t>PTR: 2023-05-018/ 2025-01-001</t>
  </si>
  <si>
    <t>Benito CAstro Jr</t>
  </si>
  <si>
    <t>SPLIT-2023-026
 SPLIT-2023-020 (NEW)</t>
  </si>
  <si>
    <t>2023-06-01-10202SP789-01</t>
  </si>
  <si>
    <t>Engine #: KRH10E058030, Chassis #:KRVH058067</t>
  </si>
  <si>
    <t>Kherr España (RCT)</t>
  </si>
  <si>
    <t>2023-06-01-10201SP76-01</t>
  </si>
  <si>
    <t>2023-06-01-10202SP793-01</t>
  </si>
  <si>
    <t>Y3-B177/SNC 1129/NFX 1660</t>
  </si>
  <si>
    <t>Engine #:KRH10E58013, Chassis #:KRHV0058064</t>
  </si>
  <si>
    <t>2023-09-006MV</t>
  </si>
  <si>
    <t>R13SDN-102-2023-05-MV-019</t>
  </si>
  <si>
    <t>PPMO - Dinagat Islands</t>
  </si>
  <si>
    <t>2023-06-01-10202SP794-01</t>
  </si>
  <si>
    <t>Engine #:KRH10E58010, Chassis #:KRHV0058079</t>
  </si>
  <si>
    <t>R13SDN-102-2023-05-MV-020</t>
  </si>
  <si>
    <t>2023-06-01-10202SP795-01</t>
  </si>
  <si>
    <t>Engine #:KRH10E58008, Chassis #:KRHV0058078</t>
  </si>
  <si>
    <t>R13SDN-102-2023-05-MV-021</t>
  </si>
  <si>
    <t>2023-06-01-10202SP796-01</t>
  </si>
  <si>
    <t>Engine #:KRH10E58006, Chassis #:KRHV0058080</t>
  </si>
  <si>
    <t>R13SDN-102-2023-05-MV-022</t>
  </si>
  <si>
    <t>2023-06-01-10202SP797-01</t>
  </si>
  <si>
    <t>Engine #:KRH10E58044, Chassis #:KRHV0058090</t>
  </si>
  <si>
    <t>Engr. Gilbert P. Dahug</t>
  </si>
  <si>
    <t>ENGR II-LTID</t>
  </si>
  <si>
    <t>R13SDN-102-2023-05-MV-023</t>
  </si>
  <si>
    <t>Gilbert P. Dahug</t>
  </si>
  <si>
    <t>2023-06-01-10202SP798-01</t>
  </si>
  <si>
    <t>Engine #:KRH10E58033, Chassis #:KRHV0058094</t>
  </si>
  <si>
    <t>Ma. Flordeluna Q. Toldo</t>
  </si>
  <si>
    <t>R13SDN-102-2023-05-MV-024</t>
  </si>
  <si>
    <t>2023-06-01-10202SP799-01</t>
  </si>
  <si>
    <t>Engine #:KRH10E58031, Chassis #:KRHV0058095</t>
  </si>
  <si>
    <t>Charlemagne C. Alatraca</t>
  </si>
  <si>
    <t>R13SDN-102-2023-05-MV-025</t>
  </si>
  <si>
    <t>DRMO - Dapa, Siargao, Surigao del Norte</t>
  </si>
  <si>
    <t>2023-06-01-10202SP800-01</t>
  </si>
  <si>
    <t>Engine #:KRH10E58028, Chassis #:KRHV0058091</t>
  </si>
  <si>
    <t>R13SDN-102-2023-05-MV-026</t>
  </si>
  <si>
    <t>2023-06-01-10202SP801-01</t>
  </si>
  <si>
    <t>Engine #: KRH10E058074, Chassis #: KRH0058030</t>
  </si>
  <si>
    <t>R13SDN-102-2023-05-MV-027</t>
  </si>
  <si>
    <t>2023-06-01-10202SP802-01</t>
  </si>
  <si>
    <t>Engine #:KRH10E58025, Chassis #:KRHV0058089</t>
  </si>
  <si>
    <t>R13SDN-102-2023-05-MV-028</t>
  </si>
  <si>
    <t>2023-06-01-10202SP805-01</t>
  </si>
  <si>
    <t>Emmanuel S. Zerda Jr.</t>
  </si>
  <si>
    <t>2023-SPLIT-01/ PTR: 2023-05-025</t>
  </si>
  <si>
    <t>Reuben J. Pacheco</t>
  </si>
  <si>
    <t>DARMO-Hinatuan, SDS</t>
  </si>
  <si>
    <t>2023-06-01-10202SP806-01</t>
  </si>
  <si>
    <t>Renel Limbing</t>
  </si>
  <si>
    <t>2023-SPLIT-02/ PTR: 2023-05-025</t>
  </si>
  <si>
    <t>Ian G. Quico</t>
  </si>
  <si>
    <t>DARMO-Lingig, SDS</t>
  </si>
  <si>
    <t>2023-06-01-10202SP807-01</t>
  </si>
  <si>
    <t>2023-SPLIT-03/ PTR: 2023-05-025</t>
  </si>
  <si>
    <t>Aldren M. Amigo</t>
  </si>
  <si>
    <t>DARMO-Tago, SDS</t>
  </si>
  <si>
    <t>2023-06-01-10202SP808-01</t>
  </si>
  <si>
    <t>John Philip Ramos</t>
  </si>
  <si>
    <t>2023-SPLIT-04/ PTR: 2023-05-025</t>
  </si>
  <si>
    <t>Ralph Cris B. Lamigo</t>
  </si>
  <si>
    <t>DARMO-Cagwait, SDS</t>
  </si>
  <si>
    <t>2023-06-01-10202SP809-01</t>
  </si>
  <si>
    <t>Onimar D. Otagan</t>
  </si>
  <si>
    <t>Cartographer</t>
  </si>
  <si>
    <t>2023-SPLIT-05/ PTR: 2023-05-025</t>
  </si>
  <si>
    <t>Jean Phili Q. Pepito</t>
  </si>
  <si>
    <t>DARMO-Bislig, SDS</t>
  </si>
  <si>
    <t>2023-06-01-10202SP810-01</t>
  </si>
  <si>
    <t>Christel Sadernas</t>
  </si>
  <si>
    <t>2023-SPLIT-06/ PTR: 2023-05-025</t>
  </si>
  <si>
    <t>Alfredo Siman</t>
  </si>
  <si>
    <t>DARMO-San Miguel, SDS</t>
  </si>
  <si>
    <t>2023-06-01-10202SP811-01</t>
  </si>
  <si>
    <t>Renato D. Morial</t>
  </si>
  <si>
    <t>2023-SPLIT-07/ PTR: 2023-05-025</t>
  </si>
  <si>
    <t>Jose Sebastian B. Arreza</t>
  </si>
  <si>
    <t>2023-06-01-10202SP812-01</t>
  </si>
  <si>
    <t>Jefrey A. Obina</t>
  </si>
  <si>
    <t>Surveying Aide</t>
  </si>
  <si>
    <t>2023-SPLIT-08/ PTR: 2023-05-025</t>
  </si>
  <si>
    <t>Jiward P. Balmoria</t>
  </si>
  <si>
    <t>DARMO-Barobo, SDS</t>
  </si>
  <si>
    <t>2023-06-01-10202SP813-01</t>
  </si>
  <si>
    <t>2023-SPLIT-09/ PTR: 2023-05-025</t>
  </si>
  <si>
    <t>Cris T. Josol</t>
  </si>
  <si>
    <t>2023-06-01-10202SP814-01</t>
  </si>
  <si>
    <t>Caribean Casio</t>
  </si>
  <si>
    <t>2023-SPLIT-10/ PTR: 2023-05-025</t>
  </si>
  <si>
    <t>Mark Renz D. Perez</t>
  </si>
  <si>
    <t>DARMO-Tandag, SDS</t>
  </si>
  <si>
    <t>Returned to GSS due to retirement</t>
  </si>
  <si>
    <t>2023-06-01-10202SP815-01</t>
  </si>
  <si>
    <t>JB Sorongon</t>
  </si>
  <si>
    <t>2023-SPLIT-11/ PTR: 2023-05-025</t>
  </si>
  <si>
    <t>Leonardo A. Rivera</t>
  </si>
  <si>
    <t>DARMO-Marihatag, SDS</t>
  </si>
  <si>
    <t>2023-06-01-10202SP816-01</t>
  </si>
  <si>
    <t>Jerry R. Villason</t>
  </si>
  <si>
    <t>2023-SPLIT-12/ PTR: 2023-05-025</t>
  </si>
  <si>
    <t>Mark Sean Anthony Mendoza</t>
  </si>
  <si>
    <t>OFFICE OF THE PARO II</t>
  </si>
  <si>
    <t>2023-06-01-10202SP817-01</t>
  </si>
  <si>
    <t>2023-SPLIT-13/ PTR: 2023-05-025</t>
  </si>
  <si>
    <t>Gilbert P. Garcia</t>
  </si>
  <si>
    <t>2023-06-01-10202SP818-01</t>
  </si>
  <si>
    <t>2023-SPLIT-14/ PTR: 2023-05-025</t>
  </si>
  <si>
    <t>Louie M. Tajonera</t>
  </si>
  <si>
    <t>DARMO-Madrid, SDS</t>
  </si>
  <si>
    <t>2023-06-01-10202SP819-01</t>
  </si>
  <si>
    <t>Jay Brian Sumabat</t>
  </si>
  <si>
    <t>2023-SPLIT-15/ PTR: 2023-05-025</t>
  </si>
  <si>
    <t>DARMO-Tagbina, SDS</t>
  </si>
  <si>
    <t>2023-06-01-10202SP820-01</t>
  </si>
  <si>
    <t>Jeric R. Villason</t>
  </si>
  <si>
    <t>2023-SPLIT-16/ PTR: 2023-05-025</t>
  </si>
  <si>
    <t>2023-06-01-10202SP803-01</t>
  </si>
  <si>
    <t>Rochelly A. Cahilog</t>
  </si>
  <si>
    <t>from region transfer to surigao</t>
  </si>
  <si>
    <t>2023-06-01-10202SP791-01</t>
  </si>
  <si>
    <t>Revolex A. Maglinte</t>
  </si>
  <si>
    <t>Jobert Velasco</t>
  </si>
  <si>
    <t>2023-06-01-10201SP03-01</t>
  </si>
  <si>
    <t>Y2-Z506/SNC 1051/NFX 1646</t>
  </si>
  <si>
    <t>ATTY. MCDONALD GALIT</t>
  </si>
  <si>
    <t>2024-02-004MV</t>
  </si>
  <si>
    <t>RD Merly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</si>
</sst>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/dd/yyyy"/>
    <numFmt numFmtId="165" formatCode="[$₱]#,##0.00"/>
    <numFmt numFmtId="166" formatCode="&quot;$&quot;#,##0.00"/>
    <numFmt numFmtId="167" formatCode="yyyy\-mm\-dd"/>
    <numFmt numFmtId="168" formatCode="_(&quot;$&quot;* #,##0.00_);_(&quot;$&quot;* \(#,##0.00\);_(&quot;$&quot;* &quot;-&quot;??_);_(@_)"/>
    <numFmt numFmtId="169" formatCode="[$₱]#,##0"/>
  </numFmts>
  <fonts count="45">
    <font>
      <sz val="10"/>
      <color rgb="FF000000"/>
      <name val="Arial"/>
      <scheme val="minor"/>
    </font>
    <font>
      <b/>
      <sz val="11"/>
      <color rgb="FF000000"/>
      <name val="Arial"/>
    </font>
    <font>
      <b/>
      <sz val="11"/>
      <color rgb="FF000000"/>
      <name val="Calibri"/>
    </font>
    <font>
      <b/>
      <sz val="16"/>
      <color rgb="FF000000"/>
      <name val="Calibri"/>
    </font>
    <font>
      <sz val="10"/>
      <color rgb="FF000000"/>
      <name val="Arial"/>
    </font>
    <font>
      <b/>
      <sz val="11"/>
      <color rgb="FFFFFFFF"/>
      <name val="Calibri"/>
    </font>
    <font>
      <sz val="10"/>
      <name val="Arial"/>
    </font>
    <font>
      <b/>
      <sz val="14"/>
      <color rgb="FF000000"/>
      <name val="Calibri"/>
    </font>
    <font>
      <sz val="11"/>
      <color theme="1"/>
      <name val="Calibri"/>
    </font>
    <font>
      <sz val="10"/>
      <color rgb="FF000000"/>
      <name val="Calibri"/>
    </font>
    <font>
      <sz val="11"/>
      <color rgb="FF000000"/>
      <name val="Calibri"/>
    </font>
    <font>
      <b/>
      <sz val="10"/>
      <color rgb="FF000000"/>
      <name val="Calibri"/>
    </font>
    <font>
      <sz val="10"/>
      <color rgb="FFFFFFFF"/>
      <name val="Calibri"/>
    </font>
    <font>
      <sz val="11"/>
      <color rgb="FFFFFFFF"/>
      <name val="Calibri"/>
    </font>
    <font>
      <sz val="10"/>
      <color theme="1"/>
      <name val="Arial"/>
      <scheme val="minor"/>
    </font>
    <font>
      <sz val="10"/>
      <color rgb="FF1F1F1F"/>
      <name val="Calibri"/>
    </font>
    <font>
      <sz val="10"/>
      <color theme="1"/>
      <name val="Calibri"/>
    </font>
    <font>
      <strike/>
      <sz val="11"/>
      <color rgb="FFFF0000"/>
      <name val="Calibri"/>
    </font>
    <font>
      <sz val="11"/>
      <color rgb="FF2F75B5"/>
      <name val="Calibri"/>
    </font>
    <font>
      <sz val="11"/>
      <color rgb="FFFF0000"/>
      <name val="Calibri"/>
    </font>
    <font>
      <b/>
      <sz val="11"/>
      <color rgb="FFFF0000"/>
      <name val="Calibri"/>
    </font>
    <font>
      <sz val="11"/>
      <color theme="1"/>
      <name val="Arial"/>
      <scheme val="minor"/>
    </font>
    <font>
      <sz val="11"/>
      <color rgb="FF1F1F1F"/>
      <name val="Calibri"/>
    </font>
    <font>
      <sz val="11"/>
      <color rgb="FF000000"/>
      <name val="Tahoma"/>
    </font>
    <font>
      <i/>
      <sz val="11"/>
      <color rgb="FF000000"/>
      <name val="Calibri"/>
    </font>
    <font>
      <strike/>
      <sz val="11"/>
      <color rgb="FF000000"/>
      <name val="Calibri"/>
    </font>
    <font>
      <sz val="9"/>
      <color rgb="FF000000"/>
      <name val="Calibri"/>
    </font>
    <font>
      <sz val="10"/>
      <color rgb="FF000000"/>
      <name val="Arial"/>
      <scheme val="minor"/>
    </font>
    <font>
      <sz val="10"/>
      <color rgb="FFFF0000"/>
      <name val="Calibri"/>
    </font>
    <font>
      <b/>
      <sz val="10"/>
      <color rgb="FFFF0000"/>
      <name val="Calibri"/>
    </font>
    <font>
      <sz val="10"/>
      <color theme="1"/>
      <name val="Arial"/>
      <scheme val="minor"/>
    </font>
    <font>
      <sz val="11"/>
      <color rgb="FF002060"/>
      <name val="Calibri"/>
    </font>
    <font>
      <sz val="9"/>
      <color theme="1"/>
      <name val="Calibri"/>
    </font>
    <font>
      <sz val="11"/>
      <color rgb="FF000000"/>
      <name val="Arial"/>
    </font>
    <font>
      <b/>
      <sz val="11"/>
      <color rgb="FF1F1F1F"/>
      <name val="Calibri"/>
    </font>
    <font>
      <b/>
      <sz val="11"/>
      <color theme="1"/>
      <name val="Calibri"/>
    </font>
    <font>
      <sz val="9"/>
      <color rgb="FF1F1F1F"/>
      <name val="Calibri"/>
    </font>
    <font>
      <sz val="11"/>
      <color rgb="FF00B0F0"/>
      <name val="Calibri"/>
    </font>
    <font>
      <sz val="11"/>
      <color theme="1"/>
      <name val="Aptos Narrow"/>
    </font>
    <font>
      <sz val="10"/>
      <color rgb="FF000000"/>
      <name val="Calibri"/>
    </font>
    <font>
      <b/>
      <sz val="12"/>
      <color rgb="FF000000"/>
      <name val="Arial"/>
    </font>
    <font>
      <sz val="11"/>
      <color rgb="FFC00000"/>
      <name val="Calibri"/>
    </font>
    <font>
      <sz val="11"/>
      <color rgb="FF000000"/>
      <name val="&quot;Arial Narrow&quot;"/>
    </font>
    <font>
      <b/>
      <sz val="11"/>
      <color theme="1"/>
      <name val="Arial"/>
      <scheme val="minor"/>
    </font>
    <font>
      <b/>
      <sz val="10"/>
      <color rgb="FF000000"/>
      <name val="Arial"/>
    </font>
  </fonts>
  <fills count="1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5B9BD5"/>
        <bgColor rgb="FF5B9BD5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DEBF7"/>
        <bgColor rgb="FFDDEBF7"/>
      </patternFill>
    </fill>
    <fill>
      <patternFill patternType="solid">
        <fgColor rgb="FFD9EAD3"/>
        <bgColor rgb="FFD9EAD3"/>
      </patternFill>
    </fill>
    <fill>
      <patternFill patternType="solid">
        <fgColor rgb="FFD9E1F2"/>
        <bgColor rgb="FFD9E1F2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4472C4"/>
        <bgColor rgb="FF4472C4"/>
      </patternFill>
    </fill>
  </fills>
  <borders count="4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5B9BD5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5B9BD5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9BC2E6"/>
      </top>
      <bottom style="thin">
        <color rgb="FF000000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 style="thin">
        <color rgb="FF9BC2E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9BC2E6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9BC2E6"/>
      </bottom>
      <diagonal/>
    </border>
    <border>
      <left style="thin">
        <color rgb="FF000000"/>
      </left>
      <right/>
      <top style="thin">
        <color rgb="FF000000"/>
      </top>
      <bottom style="thin">
        <color rgb="FF9BC2E6"/>
      </bottom>
      <diagonal/>
    </border>
    <border>
      <left/>
      <right style="thin">
        <color rgb="FF000000"/>
      </right>
      <top style="thin">
        <color rgb="FF000000"/>
      </top>
      <bottom style="thin">
        <color rgb="FF9BC2E6"/>
      </bottom>
      <diagonal/>
    </border>
    <border>
      <left style="thin">
        <color rgb="FF000000"/>
      </left>
      <right style="thin">
        <color rgb="FF000000"/>
      </right>
      <top style="thin">
        <color rgb="FF9BC2E6"/>
      </top>
      <bottom style="thin">
        <color rgb="FF9BC2E6"/>
      </bottom>
      <diagonal/>
    </border>
    <border>
      <left style="thin">
        <color rgb="FF000000"/>
      </left>
      <right/>
      <top style="thin">
        <color rgb="FF000000"/>
      </top>
      <bottom style="thin">
        <color rgb="FF8EA9DB"/>
      </bottom>
      <diagonal/>
    </border>
    <border>
      <left style="thin">
        <color rgb="FF000000"/>
      </left>
      <right style="thin">
        <color rgb="FF000000"/>
      </right>
      <top style="thin">
        <color rgb="FF8EA9DB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8EA9DB"/>
      </top>
      <bottom style="thin">
        <color rgb="FF8EA9D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8EA9DB"/>
      </bottom>
      <diagonal/>
    </border>
    <border>
      <left style="thin">
        <color rgb="FF000000"/>
      </left>
      <right style="thin">
        <color rgb="FF8EA9DB"/>
      </right>
      <top style="thin">
        <color rgb="FF000000"/>
      </top>
      <bottom style="thin">
        <color rgb="FF8EA9DB"/>
      </bottom>
      <diagonal/>
    </border>
    <border>
      <left style="thin">
        <color rgb="FF8EA9DB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EA9DB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8EA9DB"/>
      </top>
      <bottom/>
      <diagonal/>
    </border>
    <border>
      <left style="thin">
        <color rgb="FF666666"/>
      </left>
      <right/>
      <top style="thin">
        <color rgb="FF666666"/>
      </top>
      <bottom style="thin">
        <color rgb="FF666666"/>
      </bottom>
      <diagonal/>
    </border>
    <border>
      <left style="thin">
        <color rgb="FF666666"/>
      </left>
      <right/>
      <top/>
      <bottom style="thin">
        <color rgb="FF666666"/>
      </bottom>
      <diagonal/>
    </border>
    <border>
      <left style="thin">
        <color rgb="FF000000"/>
      </left>
      <right/>
      <top style="thin">
        <color rgb="FF666666"/>
      </top>
      <bottom/>
      <diagonal/>
    </border>
  </borders>
  <cellStyleXfs count="1">
    <xf numFmtId="0" fontId="0" fillId="0" borderId="0"/>
  </cellStyleXfs>
  <cellXfs count="361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4" fillId="0" borderId="0" xfId="0" applyFont="1"/>
    <xf numFmtId="0" fontId="5" fillId="3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5" fillId="3" borderId="5" xfId="0" applyFont="1" applyFill="1" applyBorder="1" applyAlignment="1">
      <alignment horizontal="center" vertical="center"/>
    </xf>
    <xf numFmtId="0" fontId="9" fillId="0" borderId="0" xfId="0" applyFont="1"/>
    <xf numFmtId="0" fontId="10" fillId="5" borderId="5" xfId="0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/>
    </xf>
    <xf numFmtId="0" fontId="8" fillId="5" borderId="5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11" fillId="4" borderId="5" xfId="0" applyFont="1" applyFill="1" applyBorder="1" applyAlignment="1">
      <alignment horizontal="center"/>
    </xf>
    <xf numFmtId="0" fontId="12" fillId="0" borderId="0" xfId="0" applyFont="1"/>
    <xf numFmtId="0" fontId="10" fillId="5" borderId="9" xfId="0" applyFont="1" applyFill="1" applyBorder="1" applyAlignment="1">
      <alignment horizontal="center"/>
    </xf>
    <xf numFmtId="0" fontId="4" fillId="6" borderId="0" xfId="0" applyFont="1" applyFill="1"/>
    <xf numFmtId="0" fontId="10" fillId="6" borderId="9" xfId="0" applyFont="1" applyFill="1" applyBorder="1" applyAlignment="1">
      <alignment horizontal="center"/>
    </xf>
    <xf numFmtId="0" fontId="11" fillId="4" borderId="12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/>
    </xf>
    <xf numFmtId="0" fontId="11" fillId="4" borderId="9" xfId="0" applyFont="1" applyFill="1" applyBorder="1" applyAlignment="1">
      <alignment horizontal="center"/>
    </xf>
    <xf numFmtId="0" fontId="10" fillId="6" borderId="5" xfId="0" applyFont="1" applyFill="1" applyBorder="1" applyAlignment="1">
      <alignment horizontal="center"/>
    </xf>
    <xf numFmtId="0" fontId="10" fillId="6" borderId="5" xfId="0" applyFont="1" applyFill="1" applyBorder="1"/>
    <xf numFmtId="0" fontId="11" fillId="4" borderId="5" xfId="0" applyFont="1" applyFill="1" applyBorder="1" applyAlignment="1">
      <alignment horizontal="center" wrapText="1"/>
    </xf>
    <xf numFmtId="0" fontId="2" fillId="6" borderId="10" xfId="0" applyFont="1" applyFill="1" applyBorder="1" applyAlignment="1">
      <alignment horizontal="center"/>
    </xf>
    <xf numFmtId="0" fontId="11" fillId="4" borderId="13" xfId="0" applyFont="1" applyFill="1" applyBorder="1" applyAlignment="1">
      <alignment horizontal="center"/>
    </xf>
    <xf numFmtId="0" fontId="9" fillId="4" borderId="12" xfId="0" applyFont="1" applyFill="1" applyBorder="1" applyAlignment="1">
      <alignment horizontal="center"/>
    </xf>
    <xf numFmtId="0" fontId="10" fillId="6" borderId="14" xfId="0" applyFont="1" applyFill="1" applyBorder="1" applyAlignment="1">
      <alignment horizontal="center"/>
    </xf>
    <xf numFmtId="0" fontId="10" fillId="4" borderId="9" xfId="0" applyFont="1" applyFill="1" applyBorder="1" applyAlignment="1">
      <alignment horizontal="center"/>
    </xf>
    <xf numFmtId="0" fontId="13" fillId="3" borderId="0" xfId="0" applyFont="1" applyFill="1" applyAlignment="1">
      <alignment horizontal="center"/>
    </xf>
    <xf numFmtId="0" fontId="8" fillId="6" borderId="5" xfId="0" applyFont="1" applyFill="1" applyBorder="1" applyAlignment="1">
      <alignment horizontal="center"/>
    </xf>
    <xf numFmtId="0" fontId="9" fillId="6" borderId="0" xfId="0" applyFont="1" applyFill="1"/>
    <xf numFmtId="0" fontId="9" fillId="4" borderId="3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9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/>
    </xf>
    <xf numFmtId="0" fontId="10" fillId="6" borderId="15" xfId="0" applyFont="1" applyFill="1" applyBorder="1"/>
    <xf numFmtId="0" fontId="2" fillId="4" borderId="9" xfId="0" applyFont="1" applyFill="1" applyBorder="1" applyAlignment="1">
      <alignment horizontal="center"/>
    </xf>
    <xf numFmtId="0" fontId="14" fillId="6" borderId="0" xfId="0" applyFont="1" applyFill="1"/>
    <xf numFmtId="0" fontId="9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9" fillId="7" borderId="12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9" fillId="7" borderId="3" xfId="0" applyFont="1" applyFill="1" applyBorder="1" applyAlignment="1">
      <alignment horizontal="center"/>
    </xf>
    <xf numFmtId="0" fontId="11" fillId="7" borderId="3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11" fillId="7" borderId="9" xfId="0" applyFont="1" applyFill="1" applyBorder="1" applyAlignment="1">
      <alignment horizontal="center"/>
    </xf>
    <xf numFmtId="0" fontId="10" fillId="7" borderId="9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9" fillId="7" borderId="9" xfId="0" applyFont="1" applyFill="1" applyBorder="1" applyAlignment="1">
      <alignment horizontal="center"/>
    </xf>
    <xf numFmtId="0" fontId="10" fillId="6" borderId="0" xfId="0" applyFont="1" applyFill="1"/>
    <xf numFmtId="0" fontId="8" fillId="5" borderId="0" xfId="0" applyFont="1" applyFill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11" fillId="8" borderId="3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11" fillId="8" borderId="9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8" fillId="6" borderId="10" xfId="0" applyFont="1" applyFill="1" applyBorder="1" applyAlignment="1">
      <alignment horizontal="center"/>
    </xf>
    <xf numFmtId="0" fontId="11" fillId="4" borderId="0" xfId="0" applyFont="1" applyFill="1" applyAlignment="1">
      <alignment horizontal="center"/>
    </xf>
    <xf numFmtId="0" fontId="8" fillId="6" borderId="14" xfId="0" applyFont="1" applyFill="1" applyBorder="1" applyAlignment="1">
      <alignment horizontal="center"/>
    </xf>
    <xf numFmtId="0" fontId="11" fillId="4" borderId="8" xfId="0" applyFont="1" applyFill="1" applyBorder="1" applyAlignment="1">
      <alignment horizontal="center"/>
    </xf>
    <xf numFmtId="0" fontId="16" fillId="6" borderId="0" xfId="0" applyFont="1" applyFill="1"/>
    <xf numFmtId="0" fontId="9" fillId="4" borderId="13" xfId="0" applyFont="1" applyFill="1" applyBorder="1" applyAlignment="1">
      <alignment horizontal="center"/>
    </xf>
    <xf numFmtId="4" fontId="10" fillId="6" borderId="15" xfId="0" applyNumberFormat="1" applyFont="1" applyFill="1" applyBorder="1"/>
    <xf numFmtId="0" fontId="9" fillId="7" borderId="4" xfId="0" applyFont="1" applyFill="1" applyBorder="1" applyAlignment="1">
      <alignment horizontal="center"/>
    </xf>
    <xf numFmtId="0" fontId="10" fillId="7" borderId="5" xfId="0" applyFont="1" applyFill="1" applyBorder="1" applyAlignment="1">
      <alignment horizontal="center"/>
    </xf>
    <xf numFmtId="0" fontId="9" fillId="7" borderId="6" xfId="0" applyFont="1" applyFill="1" applyBorder="1" applyAlignment="1">
      <alignment horizontal="center"/>
    </xf>
    <xf numFmtId="0" fontId="11" fillId="7" borderId="6" xfId="0" applyFont="1" applyFill="1" applyBorder="1" applyAlignment="1">
      <alignment horizontal="center"/>
    </xf>
    <xf numFmtId="0" fontId="11" fillId="7" borderId="5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9" fillId="7" borderId="16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10" fillId="4" borderId="5" xfId="0" applyFont="1" applyFill="1" applyBorder="1" applyAlignment="1">
      <alignment horizontal="center"/>
    </xf>
    <xf numFmtId="0" fontId="9" fillId="4" borderId="16" xfId="0" applyFont="1" applyFill="1" applyBorder="1" applyAlignment="1">
      <alignment horizontal="center"/>
    </xf>
    <xf numFmtId="0" fontId="9" fillId="7" borderId="5" xfId="0" applyFont="1" applyFill="1" applyBorder="1" applyAlignment="1">
      <alignment horizontal="center"/>
    </xf>
    <xf numFmtId="0" fontId="11" fillId="7" borderId="16" xfId="0" applyFont="1" applyFill="1" applyBorder="1" applyAlignment="1">
      <alignment horizontal="center"/>
    </xf>
    <xf numFmtId="0" fontId="11" fillId="4" borderId="16" xfId="0" applyFont="1" applyFill="1" applyBorder="1" applyAlignment="1">
      <alignment horizontal="center"/>
    </xf>
    <xf numFmtId="0" fontId="17" fillId="6" borderId="10" xfId="0" applyFont="1" applyFill="1" applyBorder="1" applyAlignment="1">
      <alignment horizontal="center"/>
    </xf>
    <xf numFmtId="0" fontId="11" fillId="4" borderId="2" xfId="0" applyFont="1" applyFill="1" applyBorder="1" applyAlignment="1">
      <alignment horizontal="right"/>
    </xf>
    <xf numFmtId="0" fontId="18" fillId="6" borderId="10" xfId="0" applyFont="1" applyFill="1" applyBorder="1" applyAlignment="1">
      <alignment horizontal="center"/>
    </xf>
    <xf numFmtId="0" fontId="18" fillId="6" borderId="17" xfId="0" applyFont="1" applyFill="1" applyBorder="1" applyAlignment="1">
      <alignment horizontal="center"/>
    </xf>
    <xf numFmtId="0" fontId="19" fillId="6" borderId="10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164" fontId="10" fillId="6" borderId="10" xfId="0" applyNumberFormat="1" applyFont="1" applyFill="1" applyBorder="1" applyAlignment="1">
      <alignment horizontal="center"/>
    </xf>
    <xf numFmtId="0" fontId="20" fillId="6" borderId="10" xfId="0" applyFont="1" applyFill="1" applyBorder="1" applyAlignment="1">
      <alignment horizontal="center"/>
    </xf>
    <xf numFmtId="0" fontId="10" fillId="6" borderId="14" xfId="0" applyFont="1" applyFill="1" applyBorder="1"/>
    <xf numFmtId="0" fontId="2" fillId="6" borderId="2" xfId="0" applyFont="1" applyFill="1" applyBorder="1" applyAlignment="1">
      <alignment horizontal="center"/>
    </xf>
    <xf numFmtId="0" fontId="10" fillId="6" borderId="13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1" fillId="0" borderId="0" xfId="0" applyFont="1"/>
    <xf numFmtId="0" fontId="5" fillId="3" borderId="2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10" fillId="6" borderId="6" xfId="0" applyFont="1" applyFill="1" applyBorder="1" applyAlignment="1">
      <alignment horizontal="center"/>
    </xf>
    <xf numFmtId="0" fontId="10" fillId="6" borderId="18" xfId="0" applyFont="1" applyFill="1" applyBorder="1" applyAlignment="1">
      <alignment horizontal="center"/>
    </xf>
    <xf numFmtId="0" fontId="21" fillId="6" borderId="0" xfId="0" applyFont="1" applyFill="1"/>
    <xf numFmtId="0" fontId="22" fillId="6" borderId="5" xfId="0" applyFont="1" applyFill="1" applyBorder="1" applyAlignment="1">
      <alignment horizontal="center"/>
    </xf>
    <xf numFmtId="0" fontId="23" fillId="6" borderId="5" xfId="0" applyFont="1" applyFill="1" applyBorder="1" applyAlignment="1">
      <alignment horizontal="center"/>
    </xf>
    <xf numFmtId="164" fontId="23" fillId="6" borderId="5" xfId="0" applyNumberFormat="1" applyFont="1" applyFill="1" applyBorder="1" applyAlignment="1">
      <alignment horizontal="center"/>
    </xf>
    <xf numFmtId="0" fontId="10" fillId="6" borderId="2" xfId="0" applyFont="1" applyFill="1" applyBorder="1" applyAlignment="1">
      <alignment horizontal="center"/>
    </xf>
    <xf numFmtId="0" fontId="24" fillId="6" borderId="5" xfId="0" applyFont="1" applyFill="1" applyBorder="1" applyAlignment="1">
      <alignment horizontal="center"/>
    </xf>
    <xf numFmtId="0" fontId="10" fillId="6" borderId="19" xfId="0" applyFont="1" applyFill="1" applyBorder="1"/>
    <xf numFmtId="0" fontId="9" fillId="6" borderId="0" xfId="0" applyFont="1" applyFill="1" applyAlignment="1">
      <alignment horizontal="center"/>
    </xf>
    <xf numFmtId="0" fontId="10" fillId="6" borderId="20" xfId="0" applyFont="1" applyFill="1" applyBorder="1" applyAlignment="1">
      <alignment horizontal="center"/>
    </xf>
    <xf numFmtId="0" fontId="23" fillId="6" borderId="6" xfId="0" applyFont="1" applyFill="1" applyBorder="1" applyAlignment="1">
      <alignment horizontal="center"/>
    </xf>
    <xf numFmtId="0" fontId="10" fillId="6" borderId="21" xfId="0" applyFont="1" applyFill="1" applyBorder="1" applyAlignment="1">
      <alignment horizontal="center"/>
    </xf>
    <xf numFmtId="0" fontId="25" fillId="6" borderId="10" xfId="0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8" fillId="0" borderId="22" xfId="0" applyFont="1" applyBorder="1" applyAlignment="1">
      <alignment horizontal="center"/>
    </xf>
    <xf numFmtId="0" fontId="8" fillId="9" borderId="22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165" fontId="8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wrapText="1"/>
    </xf>
    <xf numFmtId="0" fontId="10" fillId="0" borderId="0" xfId="0" applyFont="1"/>
    <xf numFmtId="0" fontId="10" fillId="6" borderId="0" xfId="0" applyFont="1" applyFill="1" applyAlignment="1">
      <alignment horizontal="center" wrapText="1"/>
    </xf>
    <xf numFmtId="0" fontId="10" fillId="6" borderId="23" xfId="0" applyFont="1" applyFill="1" applyBorder="1" applyAlignment="1">
      <alignment horizontal="center"/>
    </xf>
    <xf numFmtId="0" fontId="10" fillId="6" borderId="24" xfId="0" applyFont="1" applyFill="1" applyBorder="1" applyAlignment="1">
      <alignment horizontal="center"/>
    </xf>
    <xf numFmtId="0" fontId="10" fillId="6" borderId="25" xfId="0" applyFont="1" applyFill="1" applyBorder="1" applyAlignment="1">
      <alignment horizontal="center"/>
    </xf>
    <xf numFmtId="0" fontId="10" fillId="6" borderId="26" xfId="0" applyFont="1" applyFill="1" applyBorder="1" applyAlignment="1">
      <alignment horizontal="center"/>
    </xf>
    <xf numFmtId="0" fontId="2" fillId="6" borderId="24" xfId="0" applyFont="1" applyFill="1" applyBorder="1" applyAlignment="1">
      <alignment horizontal="center"/>
    </xf>
    <xf numFmtId="0" fontId="10" fillId="6" borderId="8" xfId="0" applyFont="1" applyFill="1" applyBorder="1" applyAlignment="1">
      <alignment horizontal="center"/>
    </xf>
    <xf numFmtId="0" fontId="10" fillId="6" borderId="13" xfId="0" applyFont="1" applyFill="1" applyBorder="1"/>
    <xf numFmtId="0" fontId="2" fillId="6" borderId="13" xfId="0" applyFont="1" applyFill="1" applyBorder="1" applyAlignment="1">
      <alignment horizontal="center"/>
    </xf>
    <xf numFmtId="0" fontId="10" fillId="6" borderId="16" xfId="0" applyFont="1" applyFill="1" applyBorder="1" applyAlignment="1">
      <alignment horizontal="center"/>
    </xf>
    <xf numFmtId="0" fontId="10" fillId="6" borderId="16" xfId="0" applyFont="1" applyFill="1" applyBorder="1"/>
    <xf numFmtId="0" fontId="10" fillId="6" borderId="6" xfId="0" applyFont="1" applyFill="1" applyBorder="1"/>
    <xf numFmtId="0" fontId="10" fillId="10" borderId="0" xfId="0" applyFont="1" applyFill="1" applyAlignment="1">
      <alignment horizontal="center"/>
    </xf>
    <xf numFmtId="0" fontId="10" fillId="6" borderId="27" xfId="0" applyFont="1" applyFill="1" applyBorder="1" applyAlignment="1">
      <alignment horizontal="center"/>
    </xf>
    <xf numFmtId="0" fontId="10" fillId="11" borderId="5" xfId="0" applyFont="1" applyFill="1" applyBorder="1" applyAlignment="1">
      <alignment horizontal="center"/>
    </xf>
    <xf numFmtId="0" fontId="22" fillId="10" borderId="0" xfId="0" applyFont="1" applyFill="1" applyAlignment="1">
      <alignment horizontal="center"/>
    </xf>
    <xf numFmtId="0" fontId="10" fillId="6" borderId="28" xfId="0" applyFont="1" applyFill="1" applyBorder="1" applyAlignment="1">
      <alignment horizontal="center"/>
    </xf>
    <xf numFmtId="0" fontId="22" fillId="11" borderId="5" xfId="0" applyFont="1" applyFill="1" applyBorder="1" applyAlignment="1">
      <alignment horizontal="center"/>
    </xf>
    <xf numFmtId="166" fontId="8" fillId="11" borderId="16" xfId="0" applyNumberFormat="1" applyFont="1" applyFill="1" applyBorder="1" applyAlignment="1">
      <alignment horizontal="center"/>
    </xf>
    <xf numFmtId="0" fontId="10" fillId="9" borderId="0" xfId="0" applyFont="1" applyFill="1" applyAlignment="1">
      <alignment horizontal="center"/>
    </xf>
    <xf numFmtId="0" fontId="22" fillId="11" borderId="16" xfId="0" applyFont="1" applyFill="1" applyBorder="1" applyAlignment="1">
      <alignment horizontal="center"/>
    </xf>
    <xf numFmtId="0" fontId="2" fillId="11" borderId="16" xfId="0" applyFont="1" applyFill="1" applyBorder="1" applyAlignment="1">
      <alignment horizontal="center"/>
    </xf>
    <xf numFmtId="0" fontId="10" fillId="11" borderId="16" xfId="0" applyFont="1" applyFill="1" applyBorder="1" applyAlignment="1">
      <alignment horizontal="center"/>
    </xf>
    <xf numFmtId="0" fontId="10" fillId="11" borderId="3" xfId="0" applyFont="1" applyFill="1" applyBorder="1" applyAlignment="1">
      <alignment horizontal="center"/>
    </xf>
    <xf numFmtId="0" fontId="4" fillId="11" borderId="0" xfId="0" applyFont="1" applyFill="1"/>
    <xf numFmtId="0" fontId="2" fillId="11" borderId="5" xfId="0" applyFont="1" applyFill="1" applyBorder="1" applyAlignment="1">
      <alignment horizontal="center"/>
    </xf>
    <xf numFmtId="0" fontId="10" fillId="6" borderId="29" xfId="0" applyFont="1" applyFill="1" applyBorder="1" applyAlignment="1">
      <alignment horizontal="center"/>
    </xf>
    <xf numFmtId="0" fontId="2" fillId="6" borderId="29" xfId="0" applyFont="1" applyFill="1" applyBorder="1" applyAlignment="1">
      <alignment horizontal="center"/>
    </xf>
    <xf numFmtId="0" fontId="10" fillId="6" borderId="30" xfId="0" applyFont="1" applyFill="1" applyBorder="1" applyAlignment="1">
      <alignment horizontal="center"/>
    </xf>
    <xf numFmtId="0" fontId="26" fillId="0" borderId="0" xfId="0" applyFont="1"/>
    <xf numFmtId="165" fontId="10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5" fillId="3" borderId="27" xfId="0" applyFont="1" applyFill="1" applyBorder="1" applyAlignment="1">
      <alignment horizontal="center"/>
    </xf>
    <xf numFmtId="0" fontId="5" fillId="3" borderId="30" xfId="0" applyFont="1" applyFill="1" applyBorder="1" applyAlignment="1">
      <alignment horizontal="center"/>
    </xf>
    <xf numFmtId="0" fontId="10" fillId="6" borderId="27" xfId="0" applyFont="1" applyFill="1" applyBorder="1"/>
    <xf numFmtId="0" fontId="2" fillId="6" borderId="27" xfId="0" applyFont="1" applyFill="1" applyBorder="1" applyAlignment="1">
      <alignment horizontal="center"/>
    </xf>
    <xf numFmtId="167" fontId="10" fillId="6" borderId="27" xfId="0" applyNumberFormat="1" applyFont="1" applyFill="1" applyBorder="1" applyAlignment="1">
      <alignment horizontal="center"/>
    </xf>
    <xf numFmtId="0" fontId="14" fillId="0" borderId="0" xfId="0" applyFont="1"/>
    <xf numFmtId="0" fontId="10" fillId="6" borderId="5" xfId="0" applyFont="1" applyFill="1" applyBorder="1" applyAlignment="1">
      <alignment horizontal="center" vertical="center"/>
    </xf>
    <xf numFmtId="0" fontId="10" fillId="6" borderId="27" xfId="0" applyFont="1" applyFill="1" applyBorder="1" applyAlignment="1">
      <alignment horizontal="left"/>
    </xf>
    <xf numFmtId="0" fontId="8" fillId="6" borderId="27" xfId="0" applyFont="1" applyFill="1" applyBorder="1" applyAlignment="1">
      <alignment horizontal="center"/>
    </xf>
    <xf numFmtId="0" fontId="2" fillId="0" borderId="0" xfId="0" applyFont="1"/>
    <xf numFmtId="0" fontId="5" fillId="3" borderId="5" xfId="0" applyFont="1" applyFill="1" applyBorder="1" applyAlignment="1">
      <alignment horizontal="right"/>
    </xf>
    <xf numFmtId="0" fontId="10" fillId="6" borderId="28" xfId="0" applyFont="1" applyFill="1" applyBorder="1" applyAlignment="1">
      <alignment horizontal="right"/>
    </xf>
    <xf numFmtId="0" fontId="10" fillId="6" borderId="28" xfId="0" applyFont="1" applyFill="1" applyBorder="1"/>
    <xf numFmtId="0" fontId="10" fillId="6" borderId="5" xfId="0" applyFont="1" applyFill="1" applyBorder="1" applyAlignment="1">
      <alignment horizontal="right"/>
    </xf>
    <xf numFmtId="0" fontId="22" fillId="6" borderId="27" xfId="0" applyFont="1" applyFill="1" applyBorder="1" applyAlignment="1">
      <alignment horizontal="center"/>
    </xf>
    <xf numFmtId="0" fontId="22" fillId="6" borderId="2" xfId="0" applyFont="1" applyFill="1" applyBorder="1" applyAlignment="1">
      <alignment horizontal="center"/>
    </xf>
    <xf numFmtId="0" fontId="10" fillId="6" borderId="2" xfId="0" applyFont="1" applyFill="1" applyBorder="1"/>
    <xf numFmtId="0" fontId="10" fillId="6" borderId="31" xfId="0" applyFont="1" applyFill="1" applyBorder="1" applyAlignment="1">
      <alignment horizontal="center"/>
    </xf>
    <xf numFmtId="0" fontId="10" fillId="6" borderId="30" xfId="0" applyFont="1" applyFill="1" applyBorder="1" applyAlignment="1">
      <alignment horizontal="right"/>
    </xf>
    <xf numFmtId="0" fontId="9" fillId="6" borderId="5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9" fillId="6" borderId="5" xfId="0" applyFont="1" applyFill="1" applyBorder="1" applyAlignment="1">
      <alignment horizontal="left"/>
    </xf>
    <xf numFmtId="0" fontId="15" fillId="6" borderId="5" xfId="0" applyFont="1" applyFill="1" applyBorder="1" applyAlignment="1">
      <alignment horizontal="center"/>
    </xf>
    <xf numFmtId="0" fontId="26" fillId="6" borderId="0" xfId="0" applyFont="1" applyFill="1" applyAlignment="1">
      <alignment horizontal="left"/>
    </xf>
    <xf numFmtId="0" fontId="26" fillId="6" borderId="0" xfId="0" applyFont="1" applyFill="1" applyAlignment="1">
      <alignment horizontal="center"/>
    </xf>
    <xf numFmtId="0" fontId="22" fillId="6" borderId="13" xfId="0" applyFont="1" applyFill="1" applyBorder="1" applyAlignment="1">
      <alignment horizontal="center"/>
    </xf>
    <xf numFmtId="0" fontId="10" fillId="6" borderId="13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 vertical="center"/>
    </xf>
    <xf numFmtId="0" fontId="9" fillId="6" borderId="5" xfId="0" applyFont="1" applyFill="1" applyBorder="1"/>
    <xf numFmtId="0" fontId="14" fillId="6" borderId="5" xfId="0" applyFont="1" applyFill="1" applyBorder="1"/>
    <xf numFmtId="0" fontId="27" fillId="6" borderId="5" xfId="0" applyFont="1" applyFill="1" applyBorder="1" applyAlignment="1">
      <alignment horizontal="center"/>
    </xf>
    <xf numFmtId="0" fontId="28" fillId="6" borderId="5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5" xfId="0" applyFont="1" applyBorder="1"/>
    <xf numFmtId="0" fontId="29" fillId="6" borderId="5" xfId="0" applyFont="1" applyFill="1" applyBorder="1" applyAlignment="1">
      <alignment horizontal="center"/>
    </xf>
    <xf numFmtId="0" fontId="14" fillId="6" borderId="5" xfId="0" applyFont="1" applyFill="1" applyBorder="1" applyAlignment="1">
      <alignment horizontal="center"/>
    </xf>
    <xf numFmtId="0" fontId="30" fillId="6" borderId="5" xfId="0" applyFont="1" applyFill="1" applyBorder="1"/>
    <xf numFmtId="0" fontId="0" fillId="6" borderId="5" xfId="0" applyFill="1" applyBorder="1" applyAlignment="1">
      <alignment horizontal="center"/>
    </xf>
    <xf numFmtId="0" fontId="10" fillId="5" borderId="5" xfId="0" applyFont="1" applyFill="1" applyBorder="1" applyAlignment="1">
      <alignment horizontal="left"/>
    </xf>
    <xf numFmtId="0" fontId="10" fillId="5" borderId="28" xfId="0" applyFont="1" applyFill="1" applyBorder="1" applyAlignment="1">
      <alignment horizontal="center"/>
    </xf>
    <xf numFmtId="0" fontId="14" fillId="5" borderId="0" xfId="0" applyFont="1" applyFill="1"/>
    <xf numFmtId="0" fontId="4" fillId="5" borderId="0" xfId="0" applyFont="1" applyFill="1"/>
    <xf numFmtId="0" fontId="9" fillId="0" borderId="0" xfId="0" applyFont="1" applyAlignment="1">
      <alignment horizontal="center" vertical="center"/>
    </xf>
    <xf numFmtId="0" fontId="9" fillId="6" borderId="30" xfId="0" applyFont="1" applyFill="1" applyBorder="1" applyAlignment="1">
      <alignment horizontal="center"/>
    </xf>
    <xf numFmtId="0" fontId="15" fillId="6" borderId="30" xfId="0" applyFont="1" applyFill="1" applyBorder="1" applyAlignment="1">
      <alignment horizontal="center"/>
    </xf>
    <xf numFmtId="0" fontId="9" fillId="6" borderId="30" xfId="0" applyFont="1" applyFill="1" applyBorder="1" applyAlignment="1">
      <alignment horizontal="left"/>
    </xf>
    <xf numFmtId="0" fontId="9" fillId="6" borderId="29" xfId="0" applyFont="1" applyFill="1" applyBorder="1" applyAlignment="1">
      <alignment horizontal="center"/>
    </xf>
    <xf numFmtId="0" fontId="8" fillId="6" borderId="5" xfId="0" applyFont="1" applyFill="1" applyBorder="1" applyAlignment="1">
      <alignment horizontal="center" wrapText="1"/>
    </xf>
    <xf numFmtId="168" fontId="10" fillId="6" borderId="0" xfId="0" applyNumberFormat="1" applyFont="1" applyFill="1" applyAlignment="1">
      <alignment horizontal="center"/>
    </xf>
    <xf numFmtId="0" fontId="8" fillId="0" borderId="0" xfId="0" applyFont="1"/>
    <xf numFmtId="0" fontId="10" fillId="6" borderId="32" xfId="0" applyFont="1" applyFill="1" applyBorder="1" applyAlignment="1">
      <alignment horizontal="center"/>
    </xf>
    <xf numFmtId="0" fontId="10" fillId="0" borderId="0" xfId="0" applyFont="1" applyAlignment="1">
      <alignment horizontal="left"/>
    </xf>
    <xf numFmtId="0" fontId="10" fillId="6" borderId="33" xfId="0" applyFont="1" applyFill="1" applyBorder="1" applyAlignment="1">
      <alignment horizontal="center"/>
    </xf>
    <xf numFmtId="0" fontId="10" fillId="6" borderId="5" xfId="0" applyFont="1" applyFill="1" applyBorder="1" applyAlignment="1">
      <alignment horizontal="left"/>
    </xf>
    <xf numFmtId="0" fontId="22" fillId="6" borderId="5" xfId="0" applyFont="1" applyFill="1" applyBorder="1" applyAlignment="1">
      <alignment horizontal="right"/>
    </xf>
    <xf numFmtId="0" fontId="8" fillId="6" borderId="0" xfId="0" applyFont="1" applyFill="1" applyAlignment="1">
      <alignment horizontal="center" wrapText="1"/>
    </xf>
    <xf numFmtId="165" fontId="8" fillId="6" borderId="0" xfId="0" applyNumberFormat="1" applyFont="1" applyFill="1" applyAlignment="1">
      <alignment horizontal="right" vertical="center"/>
    </xf>
    <xf numFmtId="0" fontId="14" fillId="6" borderId="0" xfId="0" applyFont="1" applyFill="1" applyAlignment="1">
      <alignment horizontal="center"/>
    </xf>
    <xf numFmtId="165" fontId="14" fillId="6" borderId="0" xfId="0" applyNumberFormat="1" applyFont="1" applyFill="1" applyAlignment="1">
      <alignment horizontal="right"/>
    </xf>
    <xf numFmtId="0" fontId="8" fillId="6" borderId="5" xfId="0" applyFont="1" applyFill="1" applyBorder="1"/>
    <xf numFmtId="0" fontId="14" fillId="6" borderId="0" xfId="0" applyFont="1" applyFill="1" applyAlignment="1">
      <alignment horizontal="right"/>
    </xf>
    <xf numFmtId="165" fontId="14" fillId="0" borderId="0" xfId="0" applyNumberFormat="1" applyFont="1" applyAlignment="1">
      <alignment horizontal="right"/>
    </xf>
    <xf numFmtId="0" fontId="10" fillId="6" borderId="22" xfId="0" applyFont="1" applyFill="1" applyBorder="1"/>
    <xf numFmtId="0" fontId="8" fillId="0" borderId="1" xfId="0" applyFont="1" applyBorder="1"/>
    <xf numFmtId="0" fontId="10" fillId="6" borderId="30" xfId="0" applyFont="1" applyFill="1" applyBorder="1"/>
    <xf numFmtId="167" fontId="10" fillId="6" borderId="5" xfId="0" applyNumberFormat="1" applyFont="1" applyFill="1" applyBorder="1" applyAlignment="1">
      <alignment horizontal="center"/>
    </xf>
    <xf numFmtId="0" fontId="31" fillId="6" borderId="5" xfId="0" applyFont="1" applyFill="1" applyBorder="1" applyAlignment="1">
      <alignment horizontal="center"/>
    </xf>
    <xf numFmtId="0" fontId="8" fillId="6" borderId="0" xfId="0" applyFont="1" applyFill="1" applyAlignment="1">
      <alignment horizontal="center" vertical="center"/>
    </xf>
    <xf numFmtId="0" fontId="8" fillId="6" borderId="0" xfId="0" applyFont="1" applyFill="1"/>
    <xf numFmtId="165" fontId="10" fillId="6" borderId="0" xfId="0" applyNumberFormat="1" applyFont="1" applyFill="1" applyAlignment="1">
      <alignment horizontal="center"/>
    </xf>
    <xf numFmtId="0" fontId="32" fillId="6" borderId="0" xfId="0" applyFont="1" applyFill="1" applyAlignment="1">
      <alignment horizontal="center"/>
    </xf>
    <xf numFmtId="0" fontId="32" fillId="0" borderId="0" xfId="0" applyFont="1" applyAlignment="1">
      <alignment horizontal="center"/>
    </xf>
    <xf numFmtId="0" fontId="2" fillId="6" borderId="30" xfId="0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10" fillId="6" borderId="5" xfId="0" applyFont="1" applyFill="1" applyBorder="1" applyAlignment="1">
      <alignment horizontal="center" wrapText="1"/>
    </xf>
    <xf numFmtId="0" fontId="33" fillId="6" borderId="6" xfId="0" applyFont="1" applyFill="1" applyBorder="1" applyAlignment="1">
      <alignment horizontal="center"/>
    </xf>
    <xf numFmtId="169" fontId="10" fillId="6" borderId="0" xfId="0" applyNumberFormat="1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5" fillId="12" borderId="27" xfId="0" applyFont="1" applyFill="1" applyBorder="1" applyAlignment="1">
      <alignment horizontal="center"/>
    </xf>
    <xf numFmtId="0" fontId="5" fillId="12" borderId="30" xfId="0" applyFont="1" applyFill="1" applyBorder="1" applyAlignment="1">
      <alignment horizontal="center"/>
    </xf>
    <xf numFmtId="0" fontId="33" fillId="6" borderId="5" xfId="0" applyFont="1" applyFill="1" applyBorder="1"/>
    <xf numFmtId="0" fontId="10" fillId="6" borderId="15" xfId="0" applyFont="1" applyFill="1" applyBorder="1" applyAlignment="1">
      <alignment horizontal="center"/>
    </xf>
    <xf numFmtId="0" fontId="10" fillId="6" borderId="34" xfId="0" applyFont="1" applyFill="1" applyBorder="1" applyAlignment="1">
      <alignment horizontal="center"/>
    </xf>
    <xf numFmtId="0" fontId="34" fillId="6" borderId="27" xfId="0" applyFont="1" applyFill="1" applyBorder="1" applyAlignment="1">
      <alignment horizontal="center"/>
    </xf>
    <xf numFmtId="0" fontId="2" fillId="6" borderId="34" xfId="0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16" fillId="0" borderId="0" xfId="0" applyFont="1"/>
    <xf numFmtId="0" fontId="36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19" fillId="6" borderId="5" xfId="0" applyFont="1" applyFill="1" applyBorder="1" applyAlignment="1">
      <alignment horizontal="center"/>
    </xf>
    <xf numFmtId="4" fontId="10" fillId="6" borderId="5" xfId="0" applyNumberFormat="1" applyFont="1" applyFill="1" applyBorder="1" applyAlignment="1">
      <alignment horizontal="center"/>
    </xf>
    <xf numFmtId="0" fontId="10" fillId="10" borderId="5" xfId="0" applyFont="1" applyFill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6" borderId="2" xfId="0" applyFont="1" applyFill="1" applyBorder="1" applyAlignment="1">
      <alignment horizontal="left"/>
    </xf>
    <xf numFmtId="0" fontId="10" fillId="6" borderId="4" xfId="0" applyFont="1" applyFill="1" applyBorder="1" applyAlignment="1">
      <alignment horizontal="left"/>
    </xf>
    <xf numFmtId="0" fontId="10" fillId="6" borderId="6" xfId="0" applyFont="1" applyFill="1" applyBorder="1" applyAlignment="1">
      <alignment horizontal="left"/>
    </xf>
    <xf numFmtId="0" fontId="2" fillId="6" borderId="5" xfId="0" applyFont="1" applyFill="1" applyBorder="1"/>
    <xf numFmtId="0" fontId="37" fillId="6" borderId="5" xfId="0" applyFont="1" applyFill="1" applyBorder="1" applyAlignment="1">
      <alignment horizontal="center"/>
    </xf>
    <xf numFmtId="0" fontId="38" fillId="6" borderId="5" xfId="0" applyFont="1" applyFill="1" applyBorder="1"/>
    <xf numFmtId="0" fontId="8" fillId="6" borderId="3" xfId="0" applyFont="1" applyFill="1" applyBorder="1" applyAlignment="1">
      <alignment horizontal="center"/>
    </xf>
    <xf numFmtId="0" fontId="38" fillId="6" borderId="1" xfId="0" applyFont="1" applyFill="1" applyBorder="1"/>
    <xf numFmtId="0" fontId="38" fillId="6" borderId="0" xfId="0" applyFont="1" applyFill="1"/>
    <xf numFmtId="0" fontId="10" fillId="0" borderId="10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35" xfId="0" applyFont="1" applyBorder="1" applyAlignment="1">
      <alignment horizontal="center"/>
    </xf>
    <xf numFmtId="0" fontId="10" fillId="0" borderId="5" xfId="0" applyFont="1" applyBorder="1"/>
    <xf numFmtId="0" fontId="10" fillId="0" borderId="35" xfId="0" applyFont="1" applyBorder="1"/>
    <xf numFmtId="0" fontId="10" fillId="0" borderId="15" xfId="0" applyFont="1" applyBorder="1"/>
    <xf numFmtId="0" fontId="2" fillId="0" borderId="10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6" borderId="35" xfId="0" applyFont="1" applyFill="1" applyBorder="1" applyAlignment="1">
      <alignment horizontal="center"/>
    </xf>
    <xf numFmtId="0" fontId="10" fillId="0" borderId="10" xfId="0" applyFont="1" applyBorder="1"/>
    <xf numFmtId="0" fontId="10" fillId="0" borderId="9" xfId="0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10" fillId="0" borderId="36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22" fillId="0" borderId="14" xfId="0" applyFont="1" applyBorder="1" applyAlignment="1">
      <alignment horizontal="center"/>
    </xf>
    <xf numFmtId="0" fontId="19" fillId="6" borderId="5" xfId="0" applyFont="1" applyFill="1" applyBorder="1"/>
    <xf numFmtId="0" fontId="22" fillId="0" borderId="2" xfId="0" applyFont="1" applyBorder="1" applyAlignment="1">
      <alignment horizontal="center"/>
    </xf>
    <xf numFmtId="0" fontId="2" fillId="6" borderId="1" xfId="0" applyFont="1" applyFill="1" applyBorder="1" applyAlignment="1">
      <alignment horizontal="left"/>
    </xf>
    <xf numFmtId="0" fontId="8" fillId="6" borderId="1" xfId="0" applyFont="1" applyFill="1" applyBorder="1"/>
    <xf numFmtId="0" fontId="10" fillId="6" borderId="1" xfId="0" applyFont="1" applyFill="1" applyBorder="1"/>
    <xf numFmtId="0" fontId="10" fillId="6" borderId="12" xfId="0" applyFont="1" applyFill="1" applyBorder="1" applyAlignment="1">
      <alignment horizontal="center"/>
    </xf>
    <xf numFmtId="0" fontId="10" fillId="6" borderId="17" xfId="0" applyFont="1" applyFill="1" applyBorder="1" applyAlignment="1">
      <alignment horizontal="center"/>
    </xf>
    <xf numFmtId="0" fontId="10" fillId="6" borderId="37" xfId="0" applyFont="1" applyFill="1" applyBorder="1"/>
    <xf numFmtId="0" fontId="10" fillId="6" borderId="38" xfId="0" applyFont="1" applyFill="1" applyBorder="1"/>
    <xf numFmtId="0" fontId="10" fillId="6" borderId="4" xfId="0" applyFont="1" applyFill="1" applyBorder="1" applyAlignment="1">
      <alignment horizontal="center"/>
    </xf>
    <xf numFmtId="0" fontId="10" fillId="6" borderId="12" xfId="0" applyFont="1" applyFill="1" applyBorder="1"/>
    <xf numFmtId="0" fontId="10" fillId="6" borderId="3" xfId="0" applyFont="1" applyFill="1" applyBorder="1"/>
    <xf numFmtId="0" fontId="33" fillId="6" borderId="5" xfId="0" applyFont="1" applyFill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5" fillId="3" borderId="10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22" fillId="6" borderId="16" xfId="0" applyFont="1" applyFill="1" applyBorder="1" applyAlignment="1">
      <alignment horizontal="center"/>
    </xf>
    <xf numFmtId="0" fontId="22" fillId="6" borderId="35" xfId="0" applyFont="1" applyFill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0" borderId="35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22" fillId="6" borderId="4" xfId="0" applyFont="1" applyFill="1" applyBorder="1" applyAlignment="1">
      <alignment horizontal="center"/>
    </xf>
    <xf numFmtId="0" fontId="22" fillId="0" borderId="5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24" fillId="0" borderId="10" xfId="0" applyFont="1" applyBorder="1" applyAlignment="1">
      <alignment horizontal="center"/>
    </xf>
    <xf numFmtId="0" fontId="39" fillId="0" borderId="5" xfId="0" applyFont="1" applyBorder="1" applyAlignment="1">
      <alignment horizontal="center"/>
    </xf>
    <xf numFmtId="0" fontId="39" fillId="6" borderId="3" xfId="0" applyFont="1" applyFill="1" applyBorder="1" applyAlignment="1">
      <alignment horizontal="center"/>
    </xf>
    <xf numFmtId="0" fontId="40" fillId="0" borderId="1" xfId="0" applyFont="1" applyBorder="1" applyAlignment="1">
      <alignment horizontal="left"/>
    </xf>
    <xf numFmtId="0" fontId="41" fillId="6" borderId="5" xfId="0" applyFont="1" applyFill="1" applyBorder="1" applyAlignment="1">
      <alignment horizontal="center"/>
    </xf>
    <xf numFmtId="0" fontId="42" fillId="6" borderId="5" xfId="0" applyFont="1" applyFill="1" applyBorder="1" applyAlignment="1">
      <alignment horizontal="center"/>
    </xf>
    <xf numFmtId="0" fontId="9" fillId="6" borderId="32" xfId="0" applyFont="1" applyFill="1" applyBorder="1" applyAlignment="1">
      <alignment horizontal="center"/>
    </xf>
    <xf numFmtId="0" fontId="9" fillId="6" borderId="33" xfId="0" applyFont="1" applyFill="1" applyBorder="1" applyAlignment="1">
      <alignment horizontal="center"/>
    </xf>
    <xf numFmtId="4" fontId="9" fillId="6" borderId="5" xfId="0" applyNumberFormat="1" applyFont="1" applyFill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10" fillId="0" borderId="10" xfId="0" applyFont="1" applyBorder="1" applyAlignment="1">
      <alignment vertical="top"/>
    </xf>
    <xf numFmtId="0" fontId="10" fillId="0" borderId="14" xfId="0" applyFont="1" applyBorder="1" applyAlignment="1">
      <alignment vertical="top"/>
    </xf>
    <xf numFmtId="0" fontId="19" fillId="0" borderId="14" xfId="0" applyFont="1" applyBorder="1" applyAlignment="1">
      <alignment vertical="top"/>
    </xf>
    <xf numFmtId="0" fontId="8" fillId="0" borderId="10" xfId="0" applyFont="1" applyBorder="1" applyAlignment="1">
      <alignment vertical="top"/>
    </xf>
    <xf numFmtId="0" fontId="8" fillId="0" borderId="10" xfId="0" applyFont="1" applyBorder="1" applyAlignment="1">
      <alignment horizontal="center"/>
    </xf>
    <xf numFmtId="0" fontId="8" fillId="0" borderId="14" xfId="0" applyFont="1" applyBorder="1" applyAlignment="1">
      <alignment vertical="top"/>
    </xf>
    <xf numFmtId="0" fontId="10" fillId="0" borderId="39" xfId="0" applyFont="1" applyBorder="1"/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0" fillId="0" borderId="5" xfId="0" applyFont="1" applyBorder="1" applyAlignment="1">
      <alignment horizontal="left"/>
    </xf>
    <xf numFmtId="0" fontId="8" fillId="0" borderId="5" xfId="0" applyFont="1" applyBorder="1" applyAlignment="1">
      <alignment horizontal="center"/>
    </xf>
    <xf numFmtId="0" fontId="8" fillId="0" borderId="5" xfId="0" applyFont="1" applyBorder="1"/>
    <xf numFmtId="0" fontId="16" fillId="0" borderId="0" xfId="0" applyFont="1" applyAlignment="1">
      <alignment horizontal="center"/>
    </xf>
    <xf numFmtId="0" fontId="35" fillId="6" borderId="5" xfId="0" applyFont="1" applyFill="1" applyBorder="1" applyAlignment="1">
      <alignment horizontal="center" wrapText="1"/>
    </xf>
    <xf numFmtId="0" fontId="2" fillId="6" borderId="9" xfId="0" applyFont="1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43" fillId="6" borderId="0" xfId="0" applyFont="1" applyFill="1"/>
    <xf numFmtId="0" fontId="44" fillId="6" borderId="0" xfId="0" applyFont="1" applyFill="1"/>
    <xf numFmtId="0" fontId="10" fillId="0" borderId="1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6" fillId="0" borderId="9" xfId="0" applyFont="1" applyBorder="1"/>
    <xf numFmtId="0" fontId="7" fillId="4" borderId="4" xfId="0" applyFont="1" applyFill="1" applyBorder="1" applyAlignment="1">
      <alignment horizontal="center"/>
    </xf>
    <xf numFmtId="0" fontId="6" fillId="0" borderId="4" xfId="0" applyFont="1" applyBorder="1"/>
    <xf numFmtId="0" fontId="6" fillId="0" borderId="6" xfId="0" applyFont="1" applyBorder="1"/>
    <xf numFmtId="0" fontId="2" fillId="0" borderId="1" xfId="0" applyFont="1" applyBorder="1" applyAlignment="1">
      <alignment horizontal="left"/>
    </xf>
    <xf numFmtId="0" fontId="6" fillId="0" borderId="1" xfId="0" applyFont="1" applyBorder="1"/>
    <xf numFmtId="0" fontId="10" fillId="6" borderId="14" xfId="0" applyFont="1" applyFill="1" applyBorder="1" applyAlignment="1">
      <alignment horizontal="center" vertical="center"/>
    </xf>
    <xf numFmtId="0" fontId="6" fillId="0" borderId="8" xfId="0" applyFont="1" applyBorder="1"/>
    <xf numFmtId="0" fontId="10" fillId="6" borderId="1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0" fillId="0" borderId="0" xfId="0"/>
    <xf numFmtId="0" fontId="26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2" fillId="0" borderId="0" xfId="0" applyFont="1"/>
    <xf numFmtId="0" fontId="10" fillId="0" borderId="0" xfId="0" applyFont="1"/>
    <xf numFmtId="0" fontId="2" fillId="6" borderId="0" xfId="0" applyFont="1" applyFill="1" applyAlignment="1">
      <alignment horizontal="left"/>
    </xf>
    <xf numFmtId="0" fontId="40" fillId="0" borderId="1" xfId="0" applyFont="1" applyBorder="1" applyAlignment="1">
      <alignment horizontal="left"/>
    </xf>
  </cellXfs>
  <cellStyles count="1"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W30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ColWidth="12.6640625" defaultRowHeight="15.75" customHeight="1"/>
  <cols>
    <col min="1" max="1" width="39.88671875" customWidth="1"/>
    <col min="2" max="2" width="6.6640625" customWidth="1"/>
    <col min="3" max="3" width="6.44140625" customWidth="1"/>
    <col min="4" max="5" width="7.33203125" customWidth="1"/>
    <col min="6" max="6" width="7.109375" customWidth="1"/>
    <col min="7" max="7" width="7.44140625" customWidth="1"/>
    <col min="8" max="8" width="6.6640625" customWidth="1"/>
    <col min="9" max="9" width="7.44140625" customWidth="1"/>
    <col min="10" max="10" width="6.33203125" customWidth="1"/>
    <col min="11" max="12" width="7.88671875" customWidth="1"/>
    <col min="13" max="13" width="6.88671875" customWidth="1"/>
    <col min="14" max="14" width="7" customWidth="1"/>
    <col min="15" max="15" width="7.44140625" customWidth="1"/>
    <col min="16" max="16" width="7.109375" customWidth="1"/>
    <col min="17" max="17" width="6.88671875" customWidth="1"/>
    <col min="18" max="18" width="7.77734375" customWidth="1"/>
    <col min="19" max="19" width="7.6640625" customWidth="1"/>
    <col min="20" max="20" width="8.109375" customWidth="1"/>
    <col min="21" max="21" width="7.77734375" customWidth="1"/>
    <col min="22" max="22" width="10.44140625" customWidth="1"/>
    <col min="23" max="23" width="10.109375" customWidth="1"/>
  </cols>
  <sheetData>
    <row r="1" spans="1:23" ht="15.75" customHeight="1">
      <c r="A1" s="4" t="s">
        <v>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9"/>
    </row>
    <row r="2" spans="1:23" ht="15.75" customHeight="1">
      <c r="A2" s="343" t="s">
        <v>7</v>
      </c>
      <c r="B2" s="345" t="s">
        <v>13</v>
      </c>
      <c r="C2" s="346"/>
      <c r="D2" s="346"/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346"/>
      <c r="W2" s="347"/>
    </row>
    <row r="3" spans="1:23" ht="15.75" customHeight="1">
      <c r="A3" s="344"/>
      <c r="B3" s="15" t="s">
        <v>21</v>
      </c>
      <c r="C3" s="15" t="s">
        <v>22</v>
      </c>
      <c r="D3" s="15" t="s">
        <v>23</v>
      </c>
      <c r="E3" s="15" t="s">
        <v>25</v>
      </c>
      <c r="F3" s="15" t="s">
        <v>26</v>
      </c>
      <c r="G3" s="15" t="s">
        <v>27</v>
      </c>
      <c r="H3" s="15" t="s">
        <v>29</v>
      </c>
      <c r="I3" s="15" t="s">
        <v>30</v>
      </c>
      <c r="J3" s="15" t="s">
        <v>31</v>
      </c>
      <c r="K3" s="15" t="s">
        <v>33</v>
      </c>
      <c r="L3" s="18" t="s">
        <v>34</v>
      </c>
      <c r="M3" s="20" t="s">
        <v>39</v>
      </c>
      <c r="N3" s="15" t="s">
        <v>42</v>
      </c>
      <c r="O3" s="15" t="s">
        <v>43</v>
      </c>
      <c r="P3" s="15" t="s">
        <v>44</v>
      </c>
      <c r="Q3" s="15" t="s">
        <v>45</v>
      </c>
      <c r="R3" s="15" t="s">
        <v>18</v>
      </c>
      <c r="S3" s="18" t="s">
        <v>47</v>
      </c>
      <c r="T3" s="25" t="s">
        <v>48</v>
      </c>
      <c r="U3" s="27" t="s">
        <v>50</v>
      </c>
      <c r="V3" s="30" t="s">
        <v>53</v>
      </c>
      <c r="W3" s="32" t="s">
        <v>56</v>
      </c>
    </row>
    <row r="4" spans="1:23" ht="15.75" customHeight="1">
      <c r="A4" s="33"/>
      <c r="B4" s="35"/>
      <c r="C4" s="39"/>
      <c r="D4" s="39"/>
      <c r="E4" s="39"/>
      <c r="F4" s="39"/>
      <c r="G4" s="39"/>
      <c r="H4" s="39"/>
      <c r="I4" s="39"/>
      <c r="J4" s="39"/>
      <c r="K4" s="39"/>
      <c r="L4" s="40"/>
      <c r="M4" s="41"/>
      <c r="N4" s="39"/>
      <c r="O4" s="39"/>
      <c r="P4" s="39"/>
      <c r="Q4" s="39"/>
      <c r="R4" s="39"/>
      <c r="S4" s="39"/>
      <c r="T4" s="39"/>
      <c r="U4" s="39"/>
      <c r="V4" s="39"/>
      <c r="W4" s="42"/>
    </row>
    <row r="5" spans="1:23" ht="15.75" customHeight="1">
      <c r="A5" s="33" t="s">
        <v>51</v>
      </c>
      <c r="B5" s="44">
        <v>6</v>
      </c>
      <c r="C5" s="15">
        <v>0</v>
      </c>
      <c r="D5" s="15">
        <v>6</v>
      </c>
      <c r="E5" s="15">
        <v>1</v>
      </c>
      <c r="F5" s="15">
        <v>4</v>
      </c>
      <c r="G5" s="15">
        <v>0</v>
      </c>
      <c r="H5" s="15">
        <v>8</v>
      </c>
      <c r="I5" s="15">
        <v>2</v>
      </c>
      <c r="J5" s="15">
        <v>2</v>
      </c>
      <c r="K5" s="15">
        <v>2</v>
      </c>
      <c r="L5" s="18">
        <v>5</v>
      </c>
      <c r="M5" s="27">
        <v>4</v>
      </c>
      <c r="N5" s="15">
        <v>2</v>
      </c>
      <c r="O5" s="15">
        <v>3</v>
      </c>
      <c r="P5" s="15">
        <v>2</v>
      </c>
      <c r="Q5" s="15">
        <v>3</v>
      </c>
      <c r="R5" s="39">
        <v>0</v>
      </c>
      <c r="S5" s="39">
        <v>0</v>
      </c>
      <c r="T5" s="39">
        <v>0</v>
      </c>
      <c r="U5" s="39">
        <f t="shared" ref="U5:U6" si="0">SUM(B5:Q5)</f>
        <v>50</v>
      </c>
      <c r="V5" s="39">
        <v>50</v>
      </c>
      <c r="W5" s="39">
        <f t="shared" ref="W5:W19" si="1">V5-U5</f>
        <v>0</v>
      </c>
    </row>
    <row r="6" spans="1:23" ht="15.75" customHeight="1">
      <c r="A6" s="48" t="s">
        <v>70</v>
      </c>
      <c r="B6" s="49">
        <v>6</v>
      </c>
      <c r="C6" s="50">
        <v>0</v>
      </c>
      <c r="D6" s="51">
        <v>6</v>
      </c>
      <c r="E6" s="51">
        <v>1</v>
      </c>
      <c r="F6" s="51">
        <v>4</v>
      </c>
      <c r="G6" s="50">
        <v>0</v>
      </c>
      <c r="H6" s="51">
        <v>8</v>
      </c>
      <c r="I6" s="51">
        <v>2</v>
      </c>
      <c r="J6" s="51">
        <v>2</v>
      </c>
      <c r="K6" s="51">
        <v>2</v>
      </c>
      <c r="L6" s="52">
        <v>5</v>
      </c>
      <c r="M6" s="53">
        <v>4</v>
      </c>
      <c r="N6" s="51">
        <v>2</v>
      </c>
      <c r="O6" s="51">
        <v>3</v>
      </c>
      <c r="P6" s="51">
        <v>2</v>
      </c>
      <c r="Q6" s="51">
        <v>3</v>
      </c>
      <c r="R6" s="50">
        <v>0</v>
      </c>
      <c r="S6" s="50">
        <v>0</v>
      </c>
      <c r="T6" s="50">
        <v>0</v>
      </c>
      <c r="U6" s="50">
        <f t="shared" si="0"/>
        <v>50</v>
      </c>
      <c r="V6" s="50">
        <v>50</v>
      </c>
      <c r="W6" s="39">
        <f t="shared" si="1"/>
        <v>0</v>
      </c>
    </row>
    <row r="7" spans="1:23" ht="15.75" customHeight="1">
      <c r="A7" s="33" t="s">
        <v>79</v>
      </c>
      <c r="B7" s="35">
        <v>7</v>
      </c>
      <c r="C7" s="39">
        <v>5</v>
      </c>
      <c r="D7" s="39">
        <v>6</v>
      </c>
      <c r="E7" s="39">
        <v>8</v>
      </c>
      <c r="F7" s="39">
        <v>4</v>
      </c>
      <c r="G7" s="39">
        <v>0</v>
      </c>
      <c r="H7" s="39">
        <v>7</v>
      </c>
      <c r="I7" s="39">
        <v>7</v>
      </c>
      <c r="J7" s="39">
        <v>2</v>
      </c>
      <c r="K7" s="39">
        <v>5</v>
      </c>
      <c r="L7" s="40">
        <v>7</v>
      </c>
      <c r="M7" s="41">
        <v>4</v>
      </c>
      <c r="N7" s="39">
        <v>6</v>
      </c>
      <c r="O7" s="39">
        <v>7</v>
      </c>
      <c r="P7" s="39">
        <v>6</v>
      </c>
      <c r="Q7" s="39">
        <v>6</v>
      </c>
      <c r="R7" s="39">
        <v>16</v>
      </c>
      <c r="S7" s="39">
        <v>0</v>
      </c>
      <c r="T7" s="39">
        <v>0</v>
      </c>
      <c r="U7" s="39">
        <f t="shared" ref="U7:U8" si="2">SUM(B7:R7)</f>
        <v>103</v>
      </c>
      <c r="V7" s="39">
        <v>103</v>
      </c>
      <c r="W7" s="39">
        <f t="shared" si="1"/>
        <v>0</v>
      </c>
    </row>
    <row r="8" spans="1:23" ht="15.75" customHeight="1">
      <c r="A8" s="48" t="s">
        <v>85</v>
      </c>
      <c r="B8" s="54">
        <v>97</v>
      </c>
      <c r="C8" s="50">
        <v>70</v>
      </c>
      <c r="D8" s="50">
        <v>89</v>
      </c>
      <c r="E8" s="50">
        <v>104</v>
      </c>
      <c r="F8" s="50">
        <v>82</v>
      </c>
      <c r="G8" s="50">
        <v>70</v>
      </c>
      <c r="H8" s="50">
        <v>109</v>
      </c>
      <c r="I8" s="50">
        <v>94</v>
      </c>
      <c r="J8" s="50">
        <v>60</v>
      </c>
      <c r="K8" s="50">
        <v>35</v>
      </c>
      <c r="L8" s="55">
        <v>110</v>
      </c>
      <c r="M8" s="56">
        <v>60</v>
      </c>
      <c r="N8" s="50">
        <v>85</v>
      </c>
      <c r="O8" s="50">
        <v>85</v>
      </c>
      <c r="P8" s="50">
        <v>80</v>
      </c>
      <c r="Q8" s="50">
        <v>85</v>
      </c>
      <c r="R8" s="50">
        <v>9</v>
      </c>
      <c r="S8" s="50">
        <v>0</v>
      </c>
      <c r="T8" s="50">
        <v>0</v>
      </c>
      <c r="U8" s="50">
        <f t="shared" si="2"/>
        <v>1324</v>
      </c>
      <c r="V8" s="50">
        <v>1324</v>
      </c>
      <c r="W8" s="39">
        <f t="shared" si="1"/>
        <v>0</v>
      </c>
    </row>
    <row r="9" spans="1:23" ht="15.75" customHeight="1">
      <c r="A9" s="33" t="s">
        <v>220</v>
      </c>
      <c r="B9" s="35">
        <v>26</v>
      </c>
      <c r="C9" s="39">
        <v>24</v>
      </c>
      <c r="D9" s="39">
        <v>15</v>
      </c>
      <c r="E9" s="39">
        <v>21</v>
      </c>
      <c r="F9" s="39">
        <v>23</v>
      </c>
      <c r="G9" s="39">
        <v>24</v>
      </c>
      <c r="H9" s="39">
        <v>38</v>
      </c>
      <c r="I9" s="39">
        <v>29</v>
      </c>
      <c r="J9" s="39">
        <v>10</v>
      </c>
      <c r="K9" s="39">
        <v>14</v>
      </c>
      <c r="L9" s="40">
        <v>30</v>
      </c>
      <c r="M9" s="41">
        <v>22</v>
      </c>
      <c r="N9" s="39">
        <v>21</v>
      </c>
      <c r="O9" s="39">
        <v>34</v>
      </c>
      <c r="P9" s="39">
        <v>27</v>
      </c>
      <c r="Q9" s="39">
        <v>20</v>
      </c>
      <c r="R9" s="39">
        <v>89</v>
      </c>
      <c r="S9" s="39">
        <v>17</v>
      </c>
      <c r="T9" s="39">
        <v>8</v>
      </c>
      <c r="U9" s="39">
        <f>SUM(B9:T9)</f>
        <v>492</v>
      </c>
      <c r="V9" s="39">
        <v>492</v>
      </c>
      <c r="W9" s="39">
        <f t="shared" si="1"/>
        <v>0</v>
      </c>
    </row>
    <row r="10" spans="1:23" ht="15.75" customHeight="1">
      <c r="A10" s="48" t="s">
        <v>233</v>
      </c>
      <c r="B10" s="54">
        <v>23</v>
      </c>
      <c r="C10" s="50">
        <v>19</v>
      </c>
      <c r="D10" s="50">
        <v>17</v>
      </c>
      <c r="E10" s="50">
        <v>21</v>
      </c>
      <c r="F10" s="50">
        <v>21</v>
      </c>
      <c r="G10" s="50">
        <v>18</v>
      </c>
      <c r="H10" s="50">
        <v>29</v>
      </c>
      <c r="I10" s="50">
        <v>24</v>
      </c>
      <c r="J10" s="50">
        <v>13</v>
      </c>
      <c r="K10" s="50">
        <v>12</v>
      </c>
      <c r="L10" s="55">
        <v>25</v>
      </c>
      <c r="M10" s="56">
        <v>19</v>
      </c>
      <c r="N10" s="50">
        <v>21</v>
      </c>
      <c r="O10" s="50">
        <v>23</v>
      </c>
      <c r="P10" s="50">
        <v>24</v>
      </c>
      <c r="Q10" s="50">
        <v>20</v>
      </c>
      <c r="R10" s="50">
        <v>71</v>
      </c>
      <c r="S10" s="50">
        <v>0</v>
      </c>
      <c r="T10" s="50">
        <v>0</v>
      </c>
      <c r="U10" s="50">
        <f t="shared" ref="U10:U19" si="3">SUM(B10:T10)</f>
        <v>400</v>
      </c>
      <c r="V10" s="50">
        <v>400</v>
      </c>
      <c r="W10" s="39">
        <f t="shared" si="1"/>
        <v>0</v>
      </c>
    </row>
    <row r="11" spans="1:23" ht="15.75" customHeight="1">
      <c r="A11" s="33" t="s">
        <v>20</v>
      </c>
      <c r="B11" s="61">
        <v>9</v>
      </c>
      <c r="C11" s="62">
        <v>8</v>
      </c>
      <c r="D11" s="62">
        <v>11</v>
      </c>
      <c r="E11" s="62">
        <v>10</v>
      </c>
      <c r="F11" s="62">
        <v>8</v>
      </c>
      <c r="G11" s="62">
        <v>8</v>
      </c>
      <c r="H11" s="62">
        <v>10</v>
      </c>
      <c r="I11" s="62">
        <v>8</v>
      </c>
      <c r="J11" s="62">
        <v>5</v>
      </c>
      <c r="K11" s="62">
        <v>5</v>
      </c>
      <c r="L11" s="63">
        <v>13</v>
      </c>
      <c r="M11" s="64">
        <v>5</v>
      </c>
      <c r="N11" s="62">
        <v>9</v>
      </c>
      <c r="O11" s="62">
        <v>8</v>
      </c>
      <c r="P11" s="62">
        <v>7</v>
      </c>
      <c r="Q11" s="62">
        <v>8</v>
      </c>
      <c r="R11" s="15">
        <v>25</v>
      </c>
      <c r="S11" s="39">
        <v>0</v>
      </c>
      <c r="T11" s="39">
        <v>0</v>
      </c>
      <c r="U11" s="39">
        <f t="shared" si="3"/>
        <v>157</v>
      </c>
      <c r="V11" s="39">
        <v>157</v>
      </c>
      <c r="W11" s="39">
        <f t="shared" si="1"/>
        <v>0</v>
      </c>
    </row>
    <row r="12" spans="1:23" ht="15.75" customHeight="1">
      <c r="A12" s="48" t="s">
        <v>260</v>
      </c>
      <c r="B12" s="49">
        <v>25</v>
      </c>
      <c r="C12" s="51">
        <v>27</v>
      </c>
      <c r="D12" s="51">
        <v>52</v>
      </c>
      <c r="E12" s="51">
        <v>20</v>
      </c>
      <c r="F12" s="51">
        <v>17</v>
      </c>
      <c r="G12" s="51">
        <v>22</v>
      </c>
      <c r="H12" s="51">
        <v>60</v>
      </c>
      <c r="I12" s="51">
        <v>53</v>
      </c>
      <c r="J12" s="51">
        <v>77</v>
      </c>
      <c r="K12" s="51">
        <v>8</v>
      </c>
      <c r="L12" s="52">
        <v>123</v>
      </c>
      <c r="M12" s="53">
        <v>65</v>
      </c>
      <c r="N12" s="51">
        <v>60</v>
      </c>
      <c r="O12" s="51">
        <v>59</v>
      </c>
      <c r="P12" s="51">
        <v>88</v>
      </c>
      <c r="Q12" s="51">
        <v>62</v>
      </c>
      <c r="R12" s="51">
        <v>2</v>
      </c>
      <c r="S12" s="50">
        <v>0</v>
      </c>
      <c r="T12" s="50">
        <v>0</v>
      </c>
      <c r="U12" s="50">
        <f t="shared" si="3"/>
        <v>820</v>
      </c>
      <c r="V12" s="50">
        <v>820</v>
      </c>
      <c r="W12" s="39">
        <f t="shared" si="1"/>
        <v>0</v>
      </c>
    </row>
    <row r="13" spans="1:23" ht="15.75" customHeight="1">
      <c r="A13" s="33" t="s">
        <v>275</v>
      </c>
      <c r="B13" s="44">
        <v>6</v>
      </c>
      <c r="C13" s="15">
        <v>4</v>
      </c>
      <c r="D13" s="15">
        <v>5</v>
      </c>
      <c r="E13" s="15">
        <v>7</v>
      </c>
      <c r="F13" s="15">
        <v>6</v>
      </c>
      <c r="G13" s="15">
        <v>5</v>
      </c>
      <c r="H13" s="15">
        <v>7</v>
      </c>
      <c r="I13" s="15">
        <v>6</v>
      </c>
      <c r="J13" s="15">
        <v>3</v>
      </c>
      <c r="K13" s="15">
        <v>3</v>
      </c>
      <c r="L13" s="18">
        <v>6</v>
      </c>
      <c r="M13" s="27">
        <v>3</v>
      </c>
      <c r="N13" s="15">
        <v>5</v>
      </c>
      <c r="O13" s="15">
        <v>5</v>
      </c>
      <c r="P13" s="15">
        <v>4</v>
      </c>
      <c r="Q13" s="15">
        <v>5</v>
      </c>
      <c r="R13" s="15">
        <v>4</v>
      </c>
      <c r="S13" s="39">
        <v>0</v>
      </c>
      <c r="T13" s="39">
        <v>0</v>
      </c>
      <c r="U13" s="39">
        <f t="shared" si="3"/>
        <v>84</v>
      </c>
      <c r="V13" s="39">
        <v>84</v>
      </c>
      <c r="W13" s="39">
        <f t="shared" si="1"/>
        <v>0</v>
      </c>
    </row>
    <row r="14" spans="1:23" ht="15.75" customHeight="1">
      <c r="A14" s="48" t="s">
        <v>287</v>
      </c>
      <c r="B14" s="49">
        <v>1</v>
      </c>
      <c r="C14" s="51">
        <v>1</v>
      </c>
      <c r="D14" s="51">
        <v>1</v>
      </c>
      <c r="E14" s="51">
        <v>1</v>
      </c>
      <c r="F14" s="51">
        <v>1</v>
      </c>
      <c r="G14" s="51">
        <v>1</v>
      </c>
      <c r="H14" s="51">
        <v>1</v>
      </c>
      <c r="I14" s="51">
        <v>1</v>
      </c>
      <c r="J14" s="51">
        <v>0</v>
      </c>
      <c r="K14" s="51">
        <v>1</v>
      </c>
      <c r="L14" s="52">
        <v>1</v>
      </c>
      <c r="M14" s="53">
        <v>1</v>
      </c>
      <c r="N14" s="51">
        <v>1</v>
      </c>
      <c r="O14" s="51">
        <v>1</v>
      </c>
      <c r="P14" s="51">
        <v>1</v>
      </c>
      <c r="Q14" s="51">
        <v>1</v>
      </c>
      <c r="R14" s="51">
        <v>1</v>
      </c>
      <c r="S14" s="50">
        <v>0</v>
      </c>
      <c r="T14" s="50">
        <v>0</v>
      </c>
      <c r="U14" s="50">
        <f t="shared" si="3"/>
        <v>16</v>
      </c>
      <c r="V14" s="50">
        <v>16</v>
      </c>
      <c r="W14" s="39">
        <f t="shared" si="1"/>
        <v>0</v>
      </c>
    </row>
    <row r="15" spans="1:23" ht="15.75" customHeight="1">
      <c r="A15" s="33" t="s">
        <v>296</v>
      </c>
      <c r="B15" s="44">
        <v>7</v>
      </c>
      <c r="C15" s="15">
        <v>5</v>
      </c>
      <c r="D15" s="15">
        <v>5</v>
      </c>
      <c r="E15" s="15">
        <v>7</v>
      </c>
      <c r="F15" s="15">
        <v>7</v>
      </c>
      <c r="G15" s="15">
        <v>5</v>
      </c>
      <c r="H15" s="15">
        <v>8</v>
      </c>
      <c r="I15" s="15">
        <v>5</v>
      </c>
      <c r="J15" s="15">
        <v>3</v>
      </c>
      <c r="K15" s="15">
        <v>3</v>
      </c>
      <c r="L15" s="18">
        <v>6</v>
      </c>
      <c r="M15" s="27">
        <v>4</v>
      </c>
      <c r="N15" s="15">
        <v>5</v>
      </c>
      <c r="O15" s="15">
        <v>7</v>
      </c>
      <c r="P15" s="15">
        <v>5</v>
      </c>
      <c r="Q15" s="15">
        <v>4</v>
      </c>
      <c r="R15" s="15">
        <v>14</v>
      </c>
      <c r="S15" s="39">
        <v>0</v>
      </c>
      <c r="T15" s="39">
        <v>0</v>
      </c>
      <c r="U15" s="39">
        <f t="shared" si="3"/>
        <v>100</v>
      </c>
      <c r="V15" s="39">
        <v>100</v>
      </c>
      <c r="W15" s="39">
        <f t="shared" si="1"/>
        <v>0</v>
      </c>
    </row>
    <row r="16" spans="1:23" ht="15.75" customHeight="1">
      <c r="A16" s="48" t="s">
        <v>306</v>
      </c>
      <c r="B16" s="49">
        <v>3</v>
      </c>
      <c r="C16" s="51">
        <v>3</v>
      </c>
      <c r="D16" s="51">
        <v>3</v>
      </c>
      <c r="E16" s="51">
        <v>2</v>
      </c>
      <c r="F16" s="51">
        <v>2</v>
      </c>
      <c r="G16" s="51">
        <v>3</v>
      </c>
      <c r="H16" s="51">
        <v>3</v>
      </c>
      <c r="I16" s="51">
        <v>2</v>
      </c>
      <c r="J16" s="50"/>
      <c r="K16" s="51">
        <v>3</v>
      </c>
      <c r="L16" s="52">
        <v>1</v>
      </c>
      <c r="M16" s="53">
        <v>3</v>
      </c>
      <c r="N16" s="51">
        <v>3</v>
      </c>
      <c r="O16" s="51">
        <v>2</v>
      </c>
      <c r="P16" s="51">
        <v>2</v>
      </c>
      <c r="Q16" s="51">
        <v>2</v>
      </c>
      <c r="R16" s="50">
        <v>264</v>
      </c>
      <c r="S16" s="50">
        <v>0</v>
      </c>
      <c r="T16" s="50">
        <v>0</v>
      </c>
      <c r="U16" s="50">
        <f t="shared" si="3"/>
        <v>301</v>
      </c>
      <c r="V16" s="50">
        <v>301</v>
      </c>
      <c r="W16" s="39">
        <f t="shared" si="1"/>
        <v>0</v>
      </c>
    </row>
    <row r="17" spans="1:23" ht="15.75" customHeight="1">
      <c r="A17" s="65" t="s">
        <v>319</v>
      </c>
      <c r="B17" s="66">
        <v>17</v>
      </c>
      <c r="C17" s="32">
        <v>14</v>
      </c>
      <c r="D17" s="32">
        <v>25</v>
      </c>
      <c r="E17" s="32">
        <v>27</v>
      </c>
      <c r="F17" s="32">
        <v>24</v>
      </c>
      <c r="G17" s="32">
        <v>19</v>
      </c>
      <c r="H17" s="32">
        <v>29</v>
      </c>
      <c r="I17" s="32">
        <v>26</v>
      </c>
      <c r="J17" s="32">
        <v>11</v>
      </c>
      <c r="K17" s="32">
        <v>16</v>
      </c>
      <c r="L17" s="68">
        <v>30</v>
      </c>
      <c r="M17" s="70">
        <v>13</v>
      </c>
      <c r="N17" s="32">
        <v>21</v>
      </c>
      <c r="O17" s="32">
        <v>23</v>
      </c>
      <c r="P17" s="32">
        <v>23</v>
      </c>
      <c r="Q17" s="32">
        <v>19</v>
      </c>
      <c r="R17" s="32">
        <v>194</v>
      </c>
      <c r="S17" s="72">
        <v>0</v>
      </c>
      <c r="T17" s="72">
        <v>0</v>
      </c>
      <c r="U17" s="39">
        <f t="shared" si="3"/>
        <v>531</v>
      </c>
      <c r="V17" s="72">
        <v>531</v>
      </c>
      <c r="W17" s="39">
        <f t="shared" si="1"/>
        <v>0</v>
      </c>
    </row>
    <row r="18" spans="1:23" ht="15.75" customHeight="1">
      <c r="A18" s="74" t="s">
        <v>337</v>
      </c>
      <c r="B18" s="75">
        <v>0</v>
      </c>
      <c r="C18" s="76">
        <v>0</v>
      </c>
      <c r="D18" s="76">
        <v>0</v>
      </c>
      <c r="E18" s="76">
        <v>0</v>
      </c>
      <c r="F18" s="77">
        <v>1</v>
      </c>
      <c r="G18" s="76">
        <v>0</v>
      </c>
      <c r="H18" s="77">
        <v>4</v>
      </c>
      <c r="I18" s="76">
        <v>0</v>
      </c>
      <c r="J18" s="76">
        <v>2</v>
      </c>
      <c r="K18" s="77">
        <v>1</v>
      </c>
      <c r="L18" s="74">
        <v>0</v>
      </c>
      <c r="M18" s="78">
        <v>2</v>
      </c>
      <c r="N18" s="77">
        <v>1</v>
      </c>
      <c r="O18" s="76">
        <v>0</v>
      </c>
      <c r="P18" s="76">
        <v>0</v>
      </c>
      <c r="Q18" s="76">
        <v>0</v>
      </c>
      <c r="R18" s="76">
        <v>39</v>
      </c>
      <c r="S18" s="77">
        <v>25</v>
      </c>
      <c r="T18" s="77">
        <v>5</v>
      </c>
      <c r="U18" s="50">
        <f t="shared" si="3"/>
        <v>80</v>
      </c>
      <c r="V18" s="80">
        <v>80</v>
      </c>
      <c r="W18" s="39">
        <f t="shared" si="1"/>
        <v>0</v>
      </c>
    </row>
    <row r="19" spans="1:23" ht="14.4">
      <c r="A19" s="81" t="s">
        <v>346</v>
      </c>
      <c r="B19" s="82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>
        <v>1</v>
      </c>
      <c r="T19" s="81"/>
      <c r="U19" s="39">
        <f t="shared" si="3"/>
        <v>1</v>
      </c>
      <c r="V19" s="83">
        <v>1</v>
      </c>
      <c r="W19" s="39">
        <f t="shared" si="1"/>
        <v>0</v>
      </c>
    </row>
    <row r="20" spans="1:23" ht="13.8">
      <c r="A20" s="84" t="s">
        <v>353</v>
      </c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51"/>
      <c r="V20" s="85"/>
      <c r="W20" s="15"/>
    </row>
    <row r="21" spans="1:23" ht="13.8">
      <c r="A21" s="81" t="s">
        <v>364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15"/>
      <c r="V21" s="86"/>
      <c r="W21" s="15"/>
    </row>
    <row r="22" spans="1:23" ht="13.8">
      <c r="A22" s="84" t="s">
        <v>375</v>
      </c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51"/>
      <c r="V22" s="85"/>
      <c r="W22" s="15"/>
    </row>
    <row r="23" spans="1:23" ht="13.8">
      <c r="A23" s="81" t="s">
        <v>383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15"/>
      <c r="V23" s="86"/>
      <c r="W23" s="15"/>
    </row>
    <row r="24" spans="1:23" ht="13.8">
      <c r="A24" s="84" t="s">
        <v>385</v>
      </c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51"/>
      <c r="V24" s="85"/>
      <c r="W24" s="15"/>
    </row>
    <row r="25" spans="1:23" ht="13.8">
      <c r="A25" s="81" t="s">
        <v>392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15"/>
      <c r="V25" s="86"/>
      <c r="W25" s="15"/>
    </row>
    <row r="26" spans="1:23" ht="13.8">
      <c r="A26" s="84" t="s">
        <v>395</v>
      </c>
      <c r="B26" s="78">
        <v>7</v>
      </c>
      <c r="C26" s="78">
        <v>7</v>
      </c>
      <c r="D26" s="78">
        <v>9</v>
      </c>
      <c r="E26" s="78">
        <v>7</v>
      </c>
      <c r="F26" s="78">
        <v>6</v>
      </c>
      <c r="G26" s="78">
        <v>5</v>
      </c>
      <c r="H26" s="78">
        <v>12</v>
      </c>
      <c r="I26" s="78">
        <v>14</v>
      </c>
      <c r="J26" s="78">
        <v>10</v>
      </c>
      <c r="K26" s="78">
        <v>2</v>
      </c>
      <c r="L26" s="78">
        <v>13</v>
      </c>
      <c r="M26" s="78">
        <v>6</v>
      </c>
      <c r="N26" s="78">
        <v>9</v>
      </c>
      <c r="O26" s="78">
        <v>10</v>
      </c>
      <c r="P26" s="78">
        <v>10</v>
      </c>
      <c r="Q26" s="78">
        <v>8</v>
      </c>
      <c r="R26" s="78"/>
      <c r="S26" s="78"/>
      <c r="T26" s="78"/>
      <c r="U26" s="51">
        <f>SUM(B26:T26)</f>
        <v>135</v>
      </c>
      <c r="V26" s="85"/>
      <c r="W26" s="15"/>
    </row>
    <row r="27" spans="1:23" ht="13.8">
      <c r="A27" s="88" t="s">
        <v>411</v>
      </c>
      <c r="B27" s="20">
        <f t="shared" ref="B27:V27" si="4">SUM(B3:B19)</f>
        <v>233</v>
      </c>
      <c r="C27" s="20">
        <f t="shared" si="4"/>
        <v>180</v>
      </c>
      <c r="D27" s="20">
        <f t="shared" si="4"/>
        <v>241</v>
      </c>
      <c r="E27" s="20">
        <f t="shared" si="4"/>
        <v>230</v>
      </c>
      <c r="F27" s="20">
        <f t="shared" si="4"/>
        <v>204</v>
      </c>
      <c r="G27" s="20">
        <f t="shared" si="4"/>
        <v>175</v>
      </c>
      <c r="H27" s="20">
        <f t="shared" si="4"/>
        <v>321</v>
      </c>
      <c r="I27" s="20">
        <f t="shared" si="4"/>
        <v>259</v>
      </c>
      <c r="J27" s="20">
        <f t="shared" si="4"/>
        <v>190</v>
      </c>
      <c r="K27" s="20">
        <f t="shared" si="4"/>
        <v>110</v>
      </c>
      <c r="L27" s="20">
        <f t="shared" si="4"/>
        <v>362</v>
      </c>
      <c r="M27" s="20">
        <f t="shared" si="4"/>
        <v>209</v>
      </c>
      <c r="N27" s="20">
        <f t="shared" si="4"/>
        <v>242</v>
      </c>
      <c r="O27" s="20">
        <f t="shared" si="4"/>
        <v>260</v>
      </c>
      <c r="P27" s="20">
        <f t="shared" si="4"/>
        <v>271</v>
      </c>
      <c r="Q27" s="20">
        <f t="shared" si="4"/>
        <v>238</v>
      </c>
      <c r="R27" s="20">
        <f t="shared" si="4"/>
        <v>728</v>
      </c>
      <c r="S27" s="20">
        <f t="shared" si="4"/>
        <v>43</v>
      </c>
      <c r="T27" s="20">
        <f t="shared" si="4"/>
        <v>13</v>
      </c>
      <c r="U27" s="20">
        <f t="shared" si="4"/>
        <v>4509</v>
      </c>
      <c r="V27" s="20">
        <f t="shared" si="4"/>
        <v>4509</v>
      </c>
      <c r="W27" s="20">
        <f>SUM(V5-U5)</f>
        <v>0</v>
      </c>
    </row>
    <row r="28" spans="1:23" ht="13.2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</row>
    <row r="29" spans="1:23" ht="13.2">
      <c r="A29" s="93"/>
      <c r="O29" s="92"/>
      <c r="P29" s="92"/>
      <c r="Q29" s="92"/>
      <c r="R29" s="92"/>
    </row>
    <row r="30" spans="1:23" ht="13.2">
      <c r="A30" s="93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</row>
  </sheetData>
  <mergeCells count="2">
    <mergeCell ref="A2:A3"/>
    <mergeCell ref="B2:W2"/>
  </mergeCells>
  <printOptions horizontalCentered="1" gridLines="1"/>
  <pageMargins left="0.7" right="0.7" top="0.75" bottom="0.75" header="0" footer="0"/>
  <pageSetup paperSize="14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Z451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9" customWidth="1"/>
    <col min="2" max="2" width="12.109375" customWidth="1"/>
    <col min="3" max="3" width="40" customWidth="1"/>
    <col min="5" max="5" width="14.77734375" customWidth="1"/>
    <col min="6" max="6" width="22.21875" customWidth="1"/>
    <col min="7" max="7" width="18" customWidth="1"/>
  </cols>
  <sheetData>
    <row r="1" spans="1:26" ht="14.4">
      <c r="A1" s="348"/>
      <c r="B1" s="349"/>
      <c r="C1" s="349"/>
      <c r="D1" s="349"/>
      <c r="E1" s="349"/>
      <c r="F1" s="11"/>
      <c r="G1" s="11"/>
      <c r="H1" s="11"/>
      <c r="I1" s="11"/>
      <c r="J1" s="11"/>
      <c r="K1" s="11"/>
      <c r="L1" s="11"/>
      <c r="M1" s="11"/>
      <c r="N1" s="11"/>
    </row>
    <row r="2" spans="1:26" ht="14.4">
      <c r="A2" s="36" t="str">
        <f ca="1">IFERROR(__xludf.DUMMYFUNCTION("QUERY({DARCO!A2:N731;CAR!A3:N234;'R-I'!A3:N182;'R-II'!A3:N243;'R-III'!A3:N232;'R-IVA'!A3:N206;'R-IVB'!A3:N177;'R-V'!A3:N322;'R-VI'!A3:N261;'R-VII'!A3:N112;NIR!A3:N191;'R-VIII'!A3:N363;'R-IX'!A3:N210;'R-X'!A3:N242;'R-XI'!A3:N262;'R-XII'!A3:N274;CARAGA!A3:N"&amp;"241;DENR!A3:N45;LRA!A3:N15},""select*"")"),"REGION")</f>
        <v>REGION</v>
      </c>
      <c r="B2" s="36" t="str">
        <f ca="1">IFERROR(__xludf.DUMMYFUNCTION("""COMPUTED_VALUE"""),"PROVINCE")</f>
        <v>PROVINCE</v>
      </c>
      <c r="C2" s="36" t="str">
        <f ca="1">IFERROR(__xludf.DUMMYFUNCTION("""COMPUTED_VALUE"""),"EQUIPMENT")</f>
        <v>EQUIPMENT</v>
      </c>
      <c r="D2" s="36" t="str">
        <f ca="1">IFERROR(__xludf.DUMMYFUNCTION("""COMPUTED_VALUE"""),"UNIT COST")</f>
        <v>UNIT COST</v>
      </c>
      <c r="E2" s="36" t="str">
        <f ca="1">IFERROR(__xludf.DUMMYFUNCTION("""COMPUTED_VALUE"""),"DEPRECIATION COST")</f>
        <v>DEPRECIATION COST</v>
      </c>
      <c r="F2" s="36" t="str">
        <f ca="1">IFERROR(__xludf.DUMMYFUNCTION("""COMPUTED_VALUE"""),"PROPERTY NUMBER")</f>
        <v>PROPERTY NUMBER</v>
      </c>
      <c r="G2" s="36" t="str">
        <f ca="1">IFERROR(__xludf.DUMMYFUNCTION("""COMPUTED_VALUE"""),"PLATE NUMBER")</f>
        <v>PLATE NUMBER</v>
      </c>
      <c r="H2" s="36" t="str">
        <f ca="1">IFERROR(__xludf.DUMMYFUNCTION("""COMPUTED_VALUE"""),"ISSUED TO
 (MATERIAL REQUISITION)")</f>
        <v>ISSUED TO
 (MATERIAL REQUISITION)</v>
      </c>
      <c r="I2" s="36" t="str">
        <f ca="1">IFERROR(__xludf.DUMMYFUNCTION("""COMPUTED_VALUE"""),"DESIGNATION
 /POSITION")</f>
        <v>DESIGNATION
 /POSITION</v>
      </c>
      <c r="J2" s="36" t="str">
        <f ca="1">IFERROR(__xludf.DUMMYFUNCTION("""COMPUTED_VALUE"""),"PAR/PTR/ICS NO.")</f>
        <v>PAR/PTR/ICS NO.</v>
      </c>
      <c r="K2" s="36" t="str">
        <f ca="1">IFERROR(__xludf.DUMMYFUNCTION("""COMPUTED_VALUE"""),"NAME OF END USER")</f>
        <v>NAME OF END USER</v>
      </c>
      <c r="L2" s="36" t="str">
        <f ca="1">IFERROR(__xludf.DUMMYFUNCTION("""COMPUTED_VALUE"""),"OFFICE")</f>
        <v>OFFICE</v>
      </c>
      <c r="M2" s="36" t="str">
        <f ca="1">IFERROR(__xludf.DUMMYFUNCTION("""COMPUTED_VALUE"""),"STATUS OF EQUIPMENT
 (SERVICEABLE/UNSERVICEABLE)")</f>
        <v>STATUS OF EQUIPMENT
 (SERVICEABLE/UNSERVICEABLE)</v>
      </c>
      <c r="N2" s="36" t="str">
        <f ca="1">IFERROR(__xludf.DUMMYFUNCTION("""COMPUTED_VALUE"""),"REMARKS")</f>
        <v>REMARKS</v>
      </c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spans="1:26" ht="13.8">
      <c r="A3" s="46" t="str">
        <f ca="1">IFERROR(__xludf.DUMMYFUNCTION("""COMPUTED_VALUE"""),"DARCO")</f>
        <v>DARCO</v>
      </c>
      <c r="B3" s="46" t="str">
        <f ca="1">IFERROR(__xludf.DUMMYFUNCTION("""COMPUTED_VALUE"""),"CENTRAL OFFICE")</f>
        <v>CENTRAL OFFICE</v>
      </c>
      <c r="C3" s="47" t="str">
        <f ca="1">IFERROR(__xludf.DUMMYFUNCTION("""COMPUTED_VALUE"""),"Double Cabin Pick-up Vehicles – Mitsubishi Strada")</f>
        <v>Double Cabin Pick-up Vehicles – Mitsubishi Strada</v>
      </c>
      <c r="D3" s="47"/>
      <c r="E3" s="46"/>
      <c r="F3" s="46" t="str">
        <f ca="1">IFERROR(__xludf.DUMMYFUNCTION("""COMPUTED_VALUE"""),"2023-06-01-10201SP07-01")</f>
        <v>2023-06-01-10201SP07-01</v>
      </c>
      <c r="G3" s="46" t="str">
        <f ca="1">IFERROR(__xludf.DUMMYFUNCTION("""COMPUTED_VALUE""")," Y3-B075/SNC 1049/NFX 1710")</f>
        <v xml:space="preserve"> Y3-B075/SNC 1049/NFX 1710</v>
      </c>
      <c r="H3" s="46" t="str">
        <f ca="1">IFERROR(__xludf.DUMMYFUNCTION("""COMPUTED_VALUE"""),"ATTY. NESTOR IFURUNG JR")</f>
        <v>ATTY. NESTOR IFURUNG JR</v>
      </c>
      <c r="I3" s="46" t="str">
        <f ca="1">IFERROR(__xludf.DUMMYFUNCTION("""COMPUTED_VALUE"""),"HEA")</f>
        <v>HEA</v>
      </c>
      <c r="J3" s="46" t="str">
        <f ca="1">IFERROR(__xludf.DUMMYFUNCTION("""COMPUTED_VALUE"""),"2023-10-021MV")</f>
        <v>2023-10-021MV</v>
      </c>
      <c r="K3" s="46" t="str">
        <f ca="1">IFERROR(__xludf.DUMMYFUNCTION("""COMPUTED_VALUE"""),"CHARLOTTE LASMARIAS(PANGASINAN)")</f>
        <v>CHARLOTTE LASMARIAS(PANGASINAN)</v>
      </c>
      <c r="L3" s="46" t="str">
        <f ca="1">IFERROR(__xludf.DUMMYFUNCTION("""COMPUTED_VALUE"""),"OSEC")</f>
        <v>OSEC</v>
      </c>
      <c r="M3" s="46" t="str">
        <f ca="1">IFERROR(__xludf.DUMMYFUNCTION("""COMPUTED_VALUE"""),"SERVICEABLE")</f>
        <v>SERVICEABLE</v>
      </c>
      <c r="N3" s="46" t="str">
        <f ca="1">IFERROR(__xludf.DUMMYFUNCTION("""COMPUTED_VALUE"""),"REGION VIII")</f>
        <v>REGION VIII</v>
      </c>
    </row>
    <row r="4" spans="1:26" ht="13.8">
      <c r="A4" s="46" t="str">
        <f ca="1">IFERROR(__xludf.DUMMYFUNCTION("""COMPUTED_VALUE"""),"DARCO")</f>
        <v>DARCO</v>
      </c>
      <c r="B4" s="46" t="str">
        <f ca="1">IFERROR(__xludf.DUMMYFUNCTION("""COMPUTED_VALUE"""),"CENTRAL OFFICE")</f>
        <v>CENTRAL OFFICE</v>
      </c>
      <c r="C4" s="47" t="str">
        <f ca="1">IFERROR(__xludf.DUMMYFUNCTION("""COMPUTED_VALUE"""),"Double Cabin Pick-up Vehicles – Mitsubishi Strada")</f>
        <v>Double Cabin Pick-up Vehicles – Mitsubishi Strada</v>
      </c>
      <c r="D4" s="47"/>
      <c r="E4" s="46"/>
      <c r="F4" s="46" t="str">
        <f ca="1">IFERROR(__xludf.DUMMYFUNCTION("""COMPUTED_VALUE"""),"2023-06-01-10201SP14-01")</f>
        <v>2023-06-01-10201SP14-01</v>
      </c>
      <c r="G4" s="46" t="str">
        <f ca="1">IFERROR(__xludf.DUMMYFUNCTION("""COMPUTED_VALUE"""),"Y3-B109/SNC 1039/NFX 1810")</f>
        <v>Y3-B109/SNC 1039/NFX 1810</v>
      </c>
      <c r="H4" s="46" t="str">
        <f ca="1">IFERROR(__xludf.DUMMYFUNCTION("""COMPUTED_VALUE"""),"NEIL LUMAUAN")</f>
        <v>NEIL LUMAUAN</v>
      </c>
      <c r="I4" s="46" t="str">
        <f ca="1">IFERROR(__xludf.DUMMYFUNCTION("""COMPUTED_VALUE"""),"ASEC")</f>
        <v>ASEC</v>
      </c>
      <c r="J4" s="46" t="str">
        <f ca="1">IFERROR(__xludf.DUMMYFUNCTION("""COMPUTED_VALUE"""),"2023-11-028MV")</f>
        <v>2023-11-028MV</v>
      </c>
      <c r="K4" s="46"/>
      <c r="L4" s="46" t="str">
        <f ca="1">IFERROR(__xludf.DUMMYFUNCTION("""COMPUTED_VALUE"""),"AFMAO")</f>
        <v>AFMAO</v>
      </c>
      <c r="M4" s="46" t="str">
        <f ca="1">IFERROR(__xludf.DUMMYFUNCTION("""COMPUTED_VALUE"""),"SERVICEABLE")</f>
        <v>SERVICEABLE</v>
      </c>
      <c r="N4" s="46" t="str">
        <f ca="1">IFERROR(__xludf.DUMMYFUNCTION("""COMPUTED_VALUE"""),"Asec Kit")</f>
        <v>Asec Kit</v>
      </c>
    </row>
    <row r="5" spans="1:26" ht="13.8">
      <c r="A5" s="46" t="str">
        <f ca="1">IFERROR(__xludf.DUMMYFUNCTION("""COMPUTED_VALUE"""),"DARCO")</f>
        <v>DARCO</v>
      </c>
      <c r="B5" s="46" t="str">
        <f ca="1">IFERROR(__xludf.DUMMYFUNCTION("""COMPUTED_VALUE"""),"CENTRAL OFFICE")</f>
        <v>CENTRAL OFFICE</v>
      </c>
      <c r="C5" s="47" t="str">
        <f ca="1">IFERROR(__xludf.DUMMYFUNCTION("""COMPUTED_VALUE"""),"Double Cabin Pick-up Vehicles – Mitsubishi Strada")</f>
        <v>Double Cabin Pick-up Vehicles – Mitsubishi Strada</v>
      </c>
      <c r="D5" s="47"/>
      <c r="E5" s="46"/>
      <c r="F5" s="46" t="str">
        <f ca="1">IFERROR(__xludf.DUMMYFUNCTION("""COMPUTED_VALUE"""),"2023-06-01-10201SP26-01")</f>
        <v>2023-06-01-10201SP26-01</v>
      </c>
      <c r="G5" s="46" t="str">
        <f ca="1">IFERROR(__xludf.DUMMYFUNCTION("""COMPUTED_VALUE"""),"Y3-B160/SNC 1309/NFX 1713")</f>
        <v>Y3-B160/SNC 1309/NFX 1713</v>
      </c>
      <c r="H5" s="46" t="str">
        <f ca="1">IFERROR(__xludf.DUMMYFUNCTION("""COMPUTED_VALUE"""),"ATTY. QUENTIN MARSICO JR")</f>
        <v>ATTY. QUENTIN MARSICO JR</v>
      </c>
      <c r="I5" s="46" t="str">
        <f ca="1">IFERROR(__xludf.DUMMYFUNCTION("""COMPUTED_VALUE"""),"ASEC")</f>
        <v>ASEC</v>
      </c>
      <c r="J5" s="46" t="str">
        <f ca="1">IFERROR(__xludf.DUMMYFUNCTION("""COMPUTED_VALUE"""),"2023-11-030MV")</f>
        <v>2023-11-030MV</v>
      </c>
      <c r="K5" s="46"/>
      <c r="L5" s="46" t="str">
        <f ca="1">IFERROR(__xludf.DUMMYFUNCTION("""COMPUTED_VALUE"""),"AFMAO")</f>
        <v>AFMAO</v>
      </c>
      <c r="M5" s="46" t="str">
        <f ca="1">IFERROR(__xludf.DUMMYFUNCTION("""COMPUTED_VALUE"""),"SERVICEABLE")</f>
        <v>SERVICEABLE</v>
      </c>
      <c r="N5" s="46" t="str">
        <f ca="1">IFERROR(__xludf.DUMMYFUNCTION("""COMPUTED_VALUE"""),"Dir Enzo")</f>
        <v>Dir Enzo</v>
      </c>
    </row>
    <row r="6" spans="1:26" ht="13.8">
      <c r="A6" s="46" t="str">
        <f ca="1">IFERROR(__xludf.DUMMYFUNCTION("""COMPUTED_VALUE"""),"DARCO")</f>
        <v>DARCO</v>
      </c>
      <c r="B6" s="46" t="str">
        <f ca="1">IFERROR(__xludf.DUMMYFUNCTION("""COMPUTED_VALUE"""),"CENTRAL OFFICE")</f>
        <v>CENTRAL OFFICE</v>
      </c>
      <c r="C6" s="47" t="str">
        <f ca="1">IFERROR(__xludf.DUMMYFUNCTION("""COMPUTED_VALUE"""),"Double Cabin Pick-up Vehicles – Mitsubishi Strada")</f>
        <v>Double Cabin Pick-up Vehicles – Mitsubishi Strada</v>
      </c>
      <c r="D6" s="47"/>
      <c r="E6" s="46"/>
      <c r="F6" s="46" t="str">
        <f ca="1">IFERROR(__xludf.DUMMYFUNCTION("""COMPUTED_VALUE"""),"2023-06-01-10201SP13-01")</f>
        <v>2023-06-01-10201SP13-01</v>
      </c>
      <c r="G6" s="46" t="str">
        <f ca="1">IFERROR(__xludf.DUMMYFUNCTION("""COMPUTED_VALUE"""),"Y2-Z518/SNC 1073/NFX 1426")</f>
        <v>Y2-Z518/SNC 1073/NFX 1426</v>
      </c>
      <c r="H6" s="46" t="str">
        <f ca="1">IFERROR(__xludf.DUMMYFUNCTION("""COMPUTED_VALUE"""),"VON MARK MENDOZA")</f>
        <v>VON MARK MENDOZA</v>
      </c>
      <c r="I6" s="46" t="str">
        <f ca="1">IFERROR(__xludf.DUMMYFUNCTION("""COMPUTED_VALUE"""),"DIRECTOR III")</f>
        <v>DIRECTOR III</v>
      </c>
      <c r="J6" s="46" t="str">
        <f ca="1">IFERROR(__xludf.DUMMYFUNCTION("""COMPUTED_VALUE"""),"2023-10-016MV")</f>
        <v>2023-10-016MV</v>
      </c>
      <c r="K6" s="46"/>
      <c r="L6" s="46" t="str">
        <f ca="1">IFERROR(__xludf.DUMMYFUNCTION("""COMPUTED_VALUE"""),"PMS")</f>
        <v>PMS</v>
      </c>
      <c r="M6" s="46" t="str">
        <f ca="1">IFERROR(__xludf.DUMMYFUNCTION("""COMPUTED_VALUE"""),"SERVICEABLE")</f>
        <v>SERVICEABLE</v>
      </c>
      <c r="N6" s="46"/>
    </row>
    <row r="7" spans="1:26" ht="13.8">
      <c r="A7" s="46" t="str">
        <f ca="1">IFERROR(__xludf.DUMMYFUNCTION("""COMPUTED_VALUE"""),"DARCO")</f>
        <v>DARCO</v>
      </c>
      <c r="B7" s="46" t="str">
        <f ca="1">IFERROR(__xludf.DUMMYFUNCTION("""COMPUTED_VALUE"""),"CENTRAL OFFICE")</f>
        <v>CENTRAL OFFICE</v>
      </c>
      <c r="C7" s="47" t="str">
        <f ca="1">IFERROR(__xludf.DUMMYFUNCTION("""COMPUTED_VALUE"""),"Double Cabin Pick-up Vehicles – Mitsubishi Strada")</f>
        <v>Double Cabin Pick-up Vehicles – Mitsubishi Strada</v>
      </c>
      <c r="D7" s="47"/>
      <c r="E7" s="46"/>
      <c r="F7" s="46" t="str">
        <f ca="1">IFERROR(__xludf.DUMMYFUNCTION("""COMPUTED_VALUE"""),"2023-06-01-10201SP15-01")</f>
        <v>2023-06-01-10201SP15-01</v>
      </c>
      <c r="G7" s="46" t="str">
        <f ca="1">IFERROR(__xludf.DUMMYFUNCTION("""COMPUTED_VALUE"""),"Y2-Z503/SNC 1077/NFX 1809")</f>
        <v>Y2-Z503/SNC 1077/NFX 1809</v>
      </c>
      <c r="H7" s="46" t="str">
        <f ca="1">IFERROR(__xludf.DUMMYFUNCTION("""COMPUTED_VALUE"""),"UBALDO SADIARIN")</f>
        <v>UBALDO SADIARIN</v>
      </c>
      <c r="I7" s="46" t="str">
        <f ca="1">IFERROR(__xludf.DUMMYFUNCTION("""COMPUTED_VALUE"""),"SSO")</f>
        <v>SSO</v>
      </c>
      <c r="J7" s="46" t="str">
        <f ca="1">IFERROR(__xludf.DUMMYFUNCTION("""COMPUTED_VALUE"""),"2023-09-002A")</f>
        <v>2023-09-002A</v>
      </c>
      <c r="K7" s="46"/>
      <c r="L7" s="46" t="str">
        <f ca="1">IFERROR(__xludf.DUMMYFUNCTION("""COMPUTED_VALUE"""),"ASEC")</f>
        <v>ASEC</v>
      </c>
      <c r="M7" s="46" t="str">
        <f ca="1">IFERROR(__xludf.DUMMYFUNCTION("""COMPUTED_VALUE"""),"SERVICEABLE")</f>
        <v>SERVICEABLE</v>
      </c>
      <c r="N7" s="46"/>
    </row>
    <row r="8" spans="1:26" ht="13.8">
      <c r="A8" s="46" t="str">
        <f ca="1">IFERROR(__xludf.DUMMYFUNCTION("""COMPUTED_VALUE"""),"DARCO")</f>
        <v>DARCO</v>
      </c>
      <c r="B8" s="46" t="str">
        <f ca="1">IFERROR(__xludf.DUMMYFUNCTION("""COMPUTED_VALUE"""),"CENTRAL OFFICE")</f>
        <v>CENTRAL OFFICE</v>
      </c>
      <c r="C8" s="47" t="str">
        <f ca="1">IFERROR(__xludf.DUMMYFUNCTION("""COMPUTED_VALUE"""),"Double Cabin Pick-up Vehicles – Mitsubishi Strada")</f>
        <v>Double Cabin Pick-up Vehicles – Mitsubishi Strada</v>
      </c>
      <c r="D8" s="47"/>
      <c r="E8" s="46"/>
      <c r="F8" s="46" t="str">
        <f ca="1">IFERROR(__xludf.DUMMYFUNCTION("""COMPUTED_VALUE"""),"2023-06-01-10201SP22-01")</f>
        <v>2023-06-01-10201SP22-01</v>
      </c>
      <c r="G8" s="46" t="str">
        <f ca="1">IFERROR(__xludf.DUMMYFUNCTION("""COMPUTED_VALUE"""),"Y3-B079/SNC 1072/NFX 1714")</f>
        <v>Y3-B079/SNC 1072/NFX 1714</v>
      </c>
      <c r="H8" s="46" t="str">
        <f ca="1">IFERROR(__xludf.DUMMYFUNCTION("""COMPUTED_VALUE"""),"LILIBETH G. LEE")</f>
        <v>LILIBETH G. LEE</v>
      </c>
      <c r="I8" s="46" t="str">
        <f ca="1">IFERROR(__xludf.DUMMYFUNCTION("""COMPUTED_VALUE"""),"BLTI")</f>
        <v>BLTI</v>
      </c>
      <c r="J8" s="46" t="str">
        <f ca="1">IFERROR(__xludf.DUMMYFUNCTION("""COMPUTED_VALUE"""),"2023-09-003MV/010")</f>
        <v>2023-09-003MV/010</v>
      </c>
      <c r="K8" s="46"/>
      <c r="L8" s="46" t="str">
        <f ca="1">IFERROR(__xludf.DUMMYFUNCTION("""COMPUTED_VALUE"""),"DIRECTOR IV")</f>
        <v>DIRECTOR IV</v>
      </c>
      <c r="M8" s="46" t="str">
        <f ca="1">IFERROR(__xludf.DUMMYFUNCTION("""COMPUTED_VALUE"""),"SERVICEABLE")</f>
        <v>SERVICEABLE</v>
      </c>
      <c r="N8" s="46" t="str">
        <f ca="1">IFERROR(__xludf.DUMMYFUNCTION("""COMPUTED_VALUE"""),"Dir Tin")</f>
        <v>Dir Tin</v>
      </c>
    </row>
    <row r="9" spans="1:26" ht="13.8">
      <c r="A9" s="46" t="str">
        <f ca="1">IFERROR(__xludf.DUMMYFUNCTION("""COMPUTED_VALUE"""),"DARCO")</f>
        <v>DARCO</v>
      </c>
      <c r="B9" s="46" t="str">
        <f ca="1">IFERROR(__xludf.DUMMYFUNCTION("""COMPUTED_VALUE"""),"CENTRAL OFFICE")</f>
        <v>CENTRAL OFFICE</v>
      </c>
      <c r="C9" s="47" t="str">
        <f ca="1">IFERROR(__xludf.DUMMYFUNCTION("""COMPUTED_VALUE"""),"Double Cabin Pick-up Vehicles – Mitsubishi Strada")</f>
        <v>Double Cabin Pick-up Vehicles – Mitsubishi Strada</v>
      </c>
      <c r="D9" s="47"/>
      <c r="E9" s="46"/>
      <c r="F9" s="46" t="str">
        <f ca="1">IFERROR(__xludf.DUMMYFUNCTION("""COMPUTED_VALUE"""),"2023-06-01-10201SP24-01")</f>
        <v>2023-06-01-10201SP24-01</v>
      </c>
      <c r="G9" s="46" t="str">
        <f ca="1">IFERROR(__xludf.DUMMYFUNCTION("""COMPUTED_VALUE"""),"Y3-B168/SNC 1101/NFX 1717")</f>
        <v>Y3-B168/SNC 1101/NFX 1717</v>
      </c>
      <c r="H9" s="46" t="str">
        <f ca="1">IFERROR(__xludf.DUMMYFUNCTION("""COMPUTED_VALUE"""),"FE LEZZIE FALCON")</f>
        <v>FE LEZZIE FALCON</v>
      </c>
      <c r="I9" s="46" t="str">
        <f ca="1">IFERROR(__xludf.DUMMYFUNCTION("""COMPUTED_VALUE"""),"BLTI")</f>
        <v>BLTI</v>
      </c>
      <c r="J9" s="46" t="str">
        <f ca="1">IFERROR(__xludf.DUMMYFUNCTION("""COMPUTED_VALUE"""),"2023-09-005MV/009")</f>
        <v>2023-09-005MV/009</v>
      </c>
      <c r="K9" s="46"/>
      <c r="L9" s="46" t="str">
        <f ca="1">IFERROR(__xludf.DUMMYFUNCTION("""COMPUTED_VALUE"""),"CARPO")</f>
        <v>CARPO</v>
      </c>
      <c r="M9" s="46" t="str">
        <f ca="1">IFERROR(__xludf.DUMMYFUNCTION("""COMPUTED_VALUE"""),"SERVICEABLE")</f>
        <v>SERVICEABLE</v>
      </c>
      <c r="N9" s="46"/>
    </row>
    <row r="10" spans="1:26" ht="13.8">
      <c r="A10" s="46" t="str">
        <f ca="1">IFERROR(__xludf.DUMMYFUNCTION("""COMPUTED_VALUE"""),"DARCO")</f>
        <v>DARCO</v>
      </c>
      <c r="B10" s="46" t="str">
        <f ca="1">IFERROR(__xludf.DUMMYFUNCTION("""COMPUTED_VALUE"""),"CENTRAL OFFICE")</f>
        <v>CENTRAL OFFICE</v>
      </c>
      <c r="C10" s="47" t="str">
        <f ca="1">IFERROR(__xludf.DUMMYFUNCTION("""COMPUTED_VALUE"""),"Double Cabin Pick-up Vehicles – Mitsubishi Strada")</f>
        <v>Double Cabin Pick-up Vehicles – Mitsubishi Strada</v>
      </c>
      <c r="D10" s="47"/>
      <c r="E10" s="46"/>
      <c r="F10" s="46" t="str">
        <f ca="1">IFERROR(__xludf.DUMMYFUNCTION("""COMPUTED_VALUE"""),"2023-06-01-10201SP19-01")</f>
        <v>2023-06-01-10201SP19-01</v>
      </c>
      <c r="G10" s="46" t="str">
        <f ca="1">IFERROR(__xludf.DUMMYFUNCTION("""COMPUTED_VALUE"""),"Y2-Z526/SNC 1085/NFX 1804")</f>
        <v>Y2-Z526/SNC 1085/NFX 1804</v>
      </c>
      <c r="H10" s="46" t="str">
        <f ca="1">IFERROR(__xludf.DUMMYFUNCTION("""COMPUTED_VALUE"""),"MARJORIE AYSON")</f>
        <v>MARJORIE AYSON</v>
      </c>
      <c r="I10" s="46" t="str">
        <f ca="1">IFERROR(__xludf.DUMMYFUNCTION("""COMPUTED_VALUE"""),"ASEC")</f>
        <v>ASEC</v>
      </c>
      <c r="J10" s="46" t="str">
        <f ca="1">IFERROR(__xludf.DUMMYFUNCTION("""COMPUTED_VALUE"""),"2023-10-025MV")</f>
        <v>2023-10-025MV</v>
      </c>
      <c r="K10" s="46"/>
      <c r="L10" s="46" t="str">
        <f ca="1">IFERROR(__xludf.DUMMYFUNCTION("""COMPUTED_VALUE"""),"AFOO")</f>
        <v>AFOO</v>
      </c>
      <c r="M10" s="46" t="str">
        <f ca="1">IFERROR(__xludf.DUMMYFUNCTION("""COMPUTED_VALUE"""),"SERVICEABLE")</f>
        <v>SERVICEABLE</v>
      </c>
      <c r="N10" s="46"/>
    </row>
    <row r="11" spans="1:26" ht="13.8">
      <c r="A11" s="46" t="str">
        <f ca="1">IFERROR(__xludf.DUMMYFUNCTION("""COMPUTED_VALUE"""),"DARCO")</f>
        <v>DARCO</v>
      </c>
      <c r="B11" s="46" t="str">
        <f ca="1">IFERROR(__xludf.DUMMYFUNCTION("""COMPUTED_VALUE"""),"CENTRAL OFFICE")</f>
        <v>CENTRAL OFFICE</v>
      </c>
      <c r="C11" s="47" t="str">
        <f ca="1">IFERROR(__xludf.DUMMYFUNCTION("""COMPUTED_VALUE"""),"Double Cabin Pick-up Vehicles – Mitsubishi Strada")</f>
        <v>Double Cabin Pick-up Vehicles – Mitsubishi Strada</v>
      </c>
      <c r="D11" s="47"/>
      <c r="E11" s="46"/>
      <c r="F11" s="46" t="str">
        <f ca="1">IFERROR(__xludf.DUMMYFUNCTION("""COMPUTED_VALUE"""),"2023-06-01-10201SP148-01")</f>
        <v>2023-06-01-10201SP148-01</v>
      </c>
      <c r="G11" s="46" t="str">
        <f ca="1">IFERROR(__xludf.DUMMYFUNCTION("""COMPUTED_VALUE"""),"Y3-C781/SNC 1305/NFX 1647")</f>
        <v>Y3-C781/SNC 1305/NFX 1647</v>
      </c>
      <c r="H11" s="46" t="str">
        <f ca="1">IFERROR(__xludf.DUMMYFUNCTION("""COMPUTED_VALUE"""),"ATTY. JIM G. COLETO")</f>
        <v>ATTY. JIM G. COLETO</v>
      </c>
      <c r="I11" s="46" t="str">
        <f ca="1">IFERROR(__xludf.DUMMYFUNCTION("""COMPUTED_VALUE"""),"DARAB")</f>
        <v>DARAB</v>
      </c>
      <c r="J11" s="46" t="str">
        <f ca="1">IFERROR(__xludf.DUMMYFUNCTION("""COMPUTED_VALUE"""),"2023-10-027MV")</f>
        <v>2023-10-027MV</v>
      </c>
      <c r="K11" s="46"/>
      <c r="L11" s="46" t="str">
        <f ca="1">IFERROR(__xludf.DUMMYFUNCTION("""COMPUTED_VALUE"""),"BM III")</f>
        <v>BM III</v>
      </c>
      <c r="M11" s="46" t="str">
        <f ca="1">IFERROR(__xludf.DUMMYFUNCTION("""COMPUTED_VALUE"""),"SERVICEABLE")</f>
        <v>SERVICEABLE</v>
      </c>
      <c r="N11" s="46"/>
    </row>
    <row r="12" spans="1:26" ht="13.8">
      <c r="A12" s="46" t="str">
        <f ca="1">IFERROR(__xludf.DUMMYFUNCTION("""COMPUTED_VALUE"""),"DARCO")</f>
        <v>DARCO</v>
      </c>
      <c r="B12" s="46" t="str">
        <f ca="1">IFERROR(__xludf.DUMMYFUNCTION("""COMPUTED_VALUE"""),"CENTRAL OFFICE")</f>
        <v>CENTRAL OFFICE</v>
      </c>
      <c r="C12" s="47" t="str">
        <f ca="1">IFERROR(__xludf.DUMMYFUNCTION("""COMPUTED_VALUE"""),"Double Cabin Pick-up Vehicles – Mitsubishi Strada")</f>
        <v>Double Cabin Pick-up Vehicles – Mitsubishi Strada</v>
      </c>
      <c r="D12" s="47"/>
      <c r="E12" s="46"/>
      <c r="F12" s="46" t="str">
        <f ca="1">IFERROR(__xludf.DUMMYFUNCTION("""COMPUTED_VALUE"""),"2023-06-01-10201SP155-01")</f>
        <v>2023-06-01-10201SP155-01</v>
      </c>
      <c r="G12" s="46" t="str">
        <f ca="1">IFERROR(__xludf.DUMMYFUNCTION("""COMPUTED_VALUE"""),"Y3-C774/SNC 1149/NFX 1644")</f>
        <v>Y3-C774/SNC 1149/NFX 1644</v>
      </c>
      <c r="H12" s="46" t="str">
        <f ca="1">IFERROR(__xludf.DUMMYFUNCTION("""COMPUTED_VALUE"""),"ATTY. VIRGILIO L. MENDEZ")</f>
        <v>ATTY. VIRGILIO L. MENDEZ</v>
      </c>
      <c r="I12" s="46" t="str">
        <f ca="1">IFERROR(__xludf.DUMMYFUNCTION("""COMPUTED_VALUE"""),"ASEC")</f>
        <v>ASEC</v>
      </c>
      <c r="J12" s="46" t="str">
        <f ca="1">IFERROR(__xludf.DUMMYFUNCTION("""COMPUTED_VALUE"""),"2023-10-020MV")</f>
        <v>2023-10-020MV</v>
      </c>
      <c r="K12" s="46"/>
      <c r="L12" s="46" t="str">
        <f ca="1">IFERROR(__xludf.DUMMYFUNCTION("""COMPUTED_VALUE"""),"ALAO AARC")</f>
        <v>ALAO AARC</v>
      </c>
      <c r="M12" s="46" t="str">
        <f ca="1">IFERROR(__xludf.DUMMYFUNCTION("""COMPUTED_VALUE"""),"SERVICEABLE")</f>
        <v>SERVICEABLE</v>
      </c>
      <c r="N12" s="46"/>
    </row>
    <row r="13" spans="1:26" ht="13.8">
      <c r="A13" s="46" t="str">
        <f ca="1">IFERROR(__xludf.DUMMYFUNCTION("""COMPUTED_VALUE"""),"DARCO")</f>
        <v>DARCO</v>
      </c>
      <c r="B13" s="46" t="str">
        <f ca="1">IFERROR(__xludf.DUMMYFUNCTION("""COMPUTED_VALUE"""),"CENTRAL OFFICE")</f>
        <v>CENTRAL OFFICE</v>
      </c>
      <c r="C13" s="47" t="str">
        <f ca="1">IFERROR(__xludf.DUMMYFUNCTION("""COMPUTED_VALUE"""),"Double Cabin Pick-up Vehicles – Mitsubishi Strada")</f>
        <v>Double Cabin Pick-up Vehicles – Mitsubishi Strada</v>
      </c>
      <c r="D13" s="47"/>
      <c r="E13" s="46"/>
      <c r="F13" s="46" t="str">
        <f ca="1">IFERROR(__xludf.DUMMYFUNCTION("""COMPUTED_VALUE"""),"2023-06-01-10201SP02-01")</f>
        <v>2023-06-01-10201SP02-01</v>
      </c>
      <c r="G13" s="46" t="str">
        <f ca="1">IFERROR(__xludf.DUMMYFUNCTION("""COMPUTED_VALUE"""),"Y2-Z499/SNC 1050/NFX 1653")</f>
        <v>Y2-Z499/SNC 1050/NFX 1653</v>
      </c>
      <c r="H13" s="46" t="str">
        <f ca="1">IFERROR(__xludf.DUMMYFUNCTION("""COMPUTED_VALUE"""),"ROLANDO CUA")</f>
        <v>ROLANDO CUA</v>
      </c>
      <c r="I13" s="46" t="str">
        <f ca="1">IFERROR(__xludf.DUMMYFUNCTION("""COMPUTED_VALUE"""),"BM III")</f>
        <v>BM III</v>
      </c>
      <c r="J13" s="46" t="str">
        <f ca="1">IFERROR(__xludf.DUMMYFUNCTION("""COMPUTED_VALUE"""),"2023-11-029MV")</f>
        <v>2023-11-029MV</v>
      </c>
      <c r="K13" s="46"/>
      <c r="L13" s="46" t="str">
        <f ca="1">IFERROR(__xludf.DUMMYFUNCTION("""COMPUTED_VALUE"""),"DARAB")</f>
        <v>DARAB</v>
      </c>
      <c r="M13" s="46" t="str">
        <f ca="1">IFERROR(__xludf.DUMMYFUNCTION("""COMPUTED_VALUE"""),"SERVICEABLE")</f>
        <v>SERVICEABLE</v>
      </c>
      <c r="N13" s="46"/>
    </row>
    <row r="14" spans="1:26" ht="13.8">
      <c r="A14" s="46" t="str">
        <f ca="1">IFERROR(__xludf.DUMMYFUNCTION("""COMPUTED_VALUE"""),"DARCO")</f>
        <v>DARCO</v>
      </c>
      <c r="B14" s="46" t="str">
        <f ca="1">IFERROR(__xludf.DUMMYFUNCTION("""COMPUTED_VALUE"""),"CENTRAL OFFICE")</f>
        <v>CENTRAL OFFICE</v>
      </c>
      <c r="C14" s="47" t="str">
        <f ca="1">IFERROR(__xludf.DUMMYFUNCTION("""COMPUTED_VALUE"""),"Double Cabin Pick-up Vehicles – Mitsubishi Strada")</f>
        <v>Double Cabin Pick-up Vehicles – Mitsubishi Strada</v>
      </c>
      <c r="D14" s="47"/>
      <c r="E14" s="46"/>
      <c r="F14" s="46" t="str">
        <f ca="1">IFERROR(__xludf.DUMMYFUNCTION("""COMPUTED_VALUE"""),"2023-06-01-10201SP27-01")</f>
        <v>2023-06-01-10201SP27-01</v>
      </c>
      <c r="G14" s="46" t="str">
        <f ca="1">IFERROR(__xludf.DUMMYFUNCTION("""COMPUTED_VALUE"""),"Y2-Z520/SNC 1193/NFX 1643")</f>
        <v>Y2-Z520/SNC 1193/NFX 1643</v>
      </c>
      <c r="H14" s="46" t="str">
        <f ca="1">IFERROR(__xludf.DUMMYFUNCTION("""COMPUTED_VALUE"""),"ATTY. ROLAND MANALAYSAY")</f>
        <v>ATTY. ROLAND MANALAYSAY</v>
      </c>
      <c r="I14" s="46" t="str">
        <f ca="1">IFERROR(__xludf.DUMMYFUNCTION("""COMPUTED_VALUE"""),"DARAB SEC")</f>
        <v>DARAB SEC</v>
      </c>
      <c r="J14" s="46" t="str">
        <f ca="1">IFERROR(__xludf.DUMMYFUNCTION("""COMPUTED_VALUE"""),"2023-10-014MV")</f>
        <v>2023-10-014MV</v>
      </c>
      <c r="K14" s="46"/>
      <c r="L14" s="46" t="str">
        <f ca="1">IFERROR(__xludf.DUMMYFUNCTION("""COMPUTED_VALUE"""),"EXECUTIVE DIRECTOR")</f>
        <v>EXECUTIVE DIRECTOR</v>
      </c>
      <c r="M14" s="46" t="str">
        <f ca="1">IFERROR(__xludf.DUMMYFUNCTION("""COMPUTED_VALUE"""),"SERVICEABLE")</f>
        <v>SERVICEABLE</v>
      </c>
      <c r="N14" s="46" t="str">
        <f ca="1">IFERROR(__xludf.DUMMYFUNCTION("""COMPUTED_VALUE"""),"Asec Castil")</f>
        <v>Asec Castil</v>
      </c>
    </row>
    <row r="15" spans="1:26" ht="13.8">
      <c r="A15" s="46" t="str">
        <f ca="1">IFERROR(__xludf.DUMMYFUNCTION("""COMPUTED_VALUE"""),"DARCO")</f>
        <v>DARCO</v>
      </c>
      <c r="B15" s="46" t="str">
        <f ca="1">IFERROR(__xludf.DUMMYFUNCTION("""COMPUTED_VALUE"""),"CENTRAL OFFICE")</f>
        <v>CENTRAL OFFICE</v>
      </c>
      <c r="C15" s="47" t="str">
        <f ca="1">IFERROR(__xludf.DUMMYFUNCTION("""COMPUTED_VALUE"""),"Double Cabin Pick-up Vehicles – Mitsubishi Strada")</f>
        <v>Double Cabin Pick-up Vehicles – Mitsubishi Strada</v>
      </c>
      <c r="D15" s="47"/>
      <c r="E15" s="46"/>
      <c r="F15" s="46" t="str">
        <f ca="1">IFERROR(__xludf.DUMMYFUNCTION("""COMPUTED_VALUE"""),"2023-06-01-10201SP25-01")</f>
        <v>2023-06-01-10201SP25-01</v>
      </c>
      <c r="G15" s="46" t="str">
        <f ca="1">IFERROR(__xludf.DUMMYFUNCTION("""COMPUTED_VALUE"""),"Y2-Z501/SNC 1170")</f>
        <v>Y2-Z501/SNC 1170</v>
      </c>
      <c r="H15" s="46" t="str">
        <f ca="1">IFERROR(__xludf.DUMMYFUNCTION("""COMPUTED_VALUE"""),"GLORIA JULIANO / RAYMOND BAUTISTA")</f>
        <v>GLORIA JULIANO / RAYMOND BAUTISTA</v>
      </c>
      <c r="I15" s="46" t="str">
        <f ca="1">IFERROR(__xludf.DUMMYFUNCTION("""COMPUTED_VALUE"""),"GSD/PROCUREMENT")</f>
        <v>GSD/PROCUREMENT</v>
      </c>
      <c r="J15" s="46" t="str">
        <f ca="1">IFERROR(__xludf.DUMMYFUNCTION("""COMPUTED_VALUE"""),"2023-10-017MV")</f>
        <v>2023-10-017MV</v>
      </c>
      <c r="K15" s="46"/>
      <c r="L15" s="46" t="str">
        <f ca="1">IFERROR(__xludf.DUMMYFUNCTION("""COMPUTED_VALUE"""),"CARPO")</f>
        <v>CARPO</v>
      </c>
      <c r="M15" s="46" t="str">
        <f ca="1">IFERROR(__xludf.DUMMYFUNCTION("""COMPUTED_VALUE"""),"SERVICEABLE")</f>
        <v>SERVICEABLE</v>
      </c>
      <c r="N15" s="46"/>
    </row>
    <row r="16" spans="1:26" ht="13.8">
      <c r="A16" s="46" t="str">
        <f ca="1">IFERROR(__xludf.DUMMYFUNCTION("""COMPUTED_VALUE"""),"DARCO")</f>
        <v>DARCO</v>
      </c>
      <c r="B16" s="46" t="str">
        <f ca="1">IFERROR(__xludf.DUMMYFUNCTION("""COMPUTED_VALUE"""),"CENTRAL OFFICE")</f>
        <v>CENTRAL OFFICE</v>
      </c>
      <c r="C16" s="47" t="str">
        <f ca="1">IFERROR(__xludf.DUMMYFUNCTION("""COMPUTED_VALUE"""),"Double Cabin Pick-up Vehicles – Mitsubishi Strada")</f>
        <v>Double Cabin Pick-up Vehicles – Mitsubishi Strada</v>
      </c>
      <c r="D16" s="47"/>
      <c r="E16" s="46"/>
      <c r="F16" s="46" t="str">
        <f ca="1">IFERROR(__xludf.DUMMYFUNCTION("""COMPUTED_VALUE"""),"2023-06-01-10201SP04-01")</f>
        <v>2023-06-01-10201SP04-01</v>
      </c>
      <c r="G16" s="46" t="str">
        <f ca="1">IFERROR(__xludf.DUMMYFUNCTION("""COMPUTED_VALUE"""),"Y2-Z515/SNC 1090/NFX 1716")</f>
        <v>Y2-Z515/SNC 1090/NFX 1716</v>
      </c>
      <c r="H16" s="46" t="str">
        <f ca="1">IFERROR(__xludf.DUMMYFUNCTION("""COMPUTED_VALUE"""),"RENE E. COLOCAR")</f>
        <v>RENE E. COLOCAR</v>
      </c>
      <c r="I16" s="46" t="str">
        <f ca="1">IFERROR(__xludf.DUMMYFUNCTION("""COMPUTED_VALUE"""),"ASEC")</f>
        <v>ASEC</v>
      </c>
      <c r="J16" s="46" t="str">
        <f ca="1">IFERROR(__xludf.DUMMYFUNCTION("""COMPUTED_VALUE"""),"2023-09-002MV/?")</f>
        <v>2023-09-002MV/?</v>
      </c>
      <c r="K16" s="46"/>
      <c r="L16" s="46" t="str">
        <f ca="1">IFERROR(__xludf.DUMMYFUNCTION("""COMPUTED_VALUE"""),"FASPO")</f>
        <v>FASPO</v>
      </c>
      <c r="M16" s="46" t="str">
        <f ca="1">IFERROR(__xludf.DUMMYFUNCTION("""COMPUTED_VALUE"""),"SERVICEABLE")</f>
        <v>SERVICEABLE</v>
      </c>
      <c r="N16" s="46" t="str">
        <f ca="1">IFERROR(__xludf.DUMMYFUNCTION("""COMPUTED_VALUE"""),"Dir Lhet")</f>
        <v>Dir Lhet</v>
      </c>
    </row>
    <row r="17" spans="1:14" ht="13.8">
      <c r="A17" s="46" t="str">
        <f ca="1">IFERROR(__xludf.DUMMYFUNCTION("""COMPUTED_VALUE"""),"DARCO")</f>
        <v>DARCO</v>
      </c>
      <c r="B17" s="46" t="str">
        <f ca="1">IFERROR(__xludf.DUMMYFUNCTION("""COMPUTED_VALUE"""),"CENTRAL OFFICE")</f>
        <v>CENTRAL OFFICE</v>
      </c>
      <c r="C17" s="47" t="str">
        <f ca="1">IFERROR(__xludf.DUMMYFUNCTION("""COMPUTED_VALUE"""),"Double Cabin Pick-up Vehicles – Mitsubishi Strada")</f>
        <v>Double Cabin Pick-up Vehicles – Mitsubishi Strada</v>
      </c>
      <c r="D17" s="47"/>
      <c r="E17" s="46"/>
      <c r="F17" s="46" t="str">
        <f ca="1">IFERROR(__xludf.DUMMYFUNCTION("""COMPUTED_VALUE"""),"2023-06-01-10201SP156-01")</f>
        <v>2023-06-01-10201SP156-01</v>
      </c>
      <c r="G17" s="46" t="str">
        <f ca="1">IFERROR(__xludf.DUMMYFUNCTION("""COMPUTED_VALUE"""),"Y3-C772/SNC-1199/NFX 1712")</f>
        <v>Y3-C772/SNC-1199/NFX 1712</v>
      </c>
      <c r="H17" s="46" t="str">
        <f ca="1">IFERROR(__xludf.DUMMYFUNCTION("""COMPUTED_VALUE"""),"JOSEF ANGELO MARTIRES")</f>
        <v>JOSEF ANGELO MARTIRES</v>
      </c>
      <c r="I17" s="46" t="str">
        <f ca="1">IFERROR(__xludf.DUMMYFUNCTION("""COMPUTED_VALUE"""),"ASEC")</f>
        <v>ASEC</v>
      </c>
      <c r="J17" s="46" t="str">
        <f ca="1">IFERROR(__xludf.DUMMYFUNCTION("""COMPUTED_VALUE"""),"2024-01-003MV")</f>
        <v>2024-01-003MV</v>
      </c>
      <c r="K17" s="46"/>
      <c r="L17" s="46" t="str">
        <f ca="1">IFERROR(__xludf.DUMMYFUNCTION("""COMPUTED_VALUE"""),"FASPO")</f>
        <v>FASPO</v>
      </c>
      <c r="M17" s="46" t="str">
        <f ca="1">IFERROR(__xludf.DUMMYFUNCTION("""COMPUTED_VALUE"""),"SERVICEABLE")</f>
        <v>SERVICEABLE</v>
      </c>
      <c r="N17" s="46"/>
    </row>
    <row r="18" spans="1:14" ht="13.8">
      <c r="A18" s="46" t="str">
        <f ca="1">IFERROR(__xludf.DUMMYFUNCTION("""COMPUTED_VALUE"""),"DARCO")</f>
        <v>DARCO</v>
      </c>
      <c r="B18" s="46" t="str">
        <f ca="1">IFERROR(__xludf.DUMMYFUNCTION("""COMPUTED_VALUE"""),"CENTRAL OFFICE")</f>
        <v>CENTRAL OFFICE</v>
      </c>
      <c r="C18" s="47" t="str">
        <f ca="1">IFERROR(__xludf.DUMMYFUNCTION("""COMPUTED_VALUE"""),"Double Cabin Pick-up Vehicles – Mitsubishi Strada")</f>
        <v>Double Cabin Pick-up Vehicles – Mitsubishi Strada</v>
      </c>
      <c r="D18" s="47"/>
      <c r="E18" s="46"/>
      <c r="F18" s="46" t="str">
        <f ca="1">IFERROR(__xludf.DUMMYFUNCTION("""COMPUTED_VALUE"""),"2023-06-01-10201SP18-01")</f>
        <v>2023-06-01-10201SP18-01</v>
      </c>
      <c r="G18" s="46" t="str">
        <f ca="1">IFERROR(__xludf.DUMMYFUNCTION("""COMPUTED_VALUE"""),"Y3-B175/SNC 1041")</f>
        <v>Y3-B175/SNC 1041</v>
      </c>
      <c r="H18" s="46" t="str">
        <f ca="1">IFERROR(__xludf.DUMMYFUNCTION("""COMPUTED_VALUE"""),"JESRY PALMARES / COA")</f>
        <v>JESRY PALMARES / COA</v>
      </c>
      <c r="I18" s="46" t="str">
        <f ca="1">IFERROR(__xludf.DUMMYFUNCTION("""COMPUTED_VALUE"""),"USEC")</f>
        <v>USEC</v>
      </c>
      <c r="J18" s="46" t="str">
        <f ca="1">IFERROR(__xludf.DUMMYFUNCTION("""COMPUTED_VALUE"""),"2023-10-019MV")</f>
        <v>2023-10-019MV</v>
      </c>
      <c r="K18" s="46" t="str">
        <f ca="1">IFERROR(__xludf.DUMMYFUNCTION("""COMPUTED_VALUE"""),"LEA T. PETERO (COA AUDITOR)")</f>
        <v>LEA T. PETERO (COA AUDITOR)</v>
      </c>
      <c r="L18" s="46" t="str">
        <f ca="1">IFERROR(__xludf.DUMMYFUNCTION("""COMPUTED_VALUE"""),"UFASPO")</f>
        <v>UFASPO</v>
      </c>
      <c r="M18" s="46" t="str">
        <f ca="1">IFERROR(__xludf.DUMMYFUNCTION("""COMPUTED_VALUE"""),"SERVICEABLE")</f>
        <v>SERVICEABLE</v>
      </c>
      <c r="N18" s="46"/>
    </row>
    <row r="19" spans="1:14" ht="13.8">
      <c r="A19" s="46" t="str">
        <f ca="1">IFERROR(__xludf.DUMMYFUNCTION("""COMPUTED_VALUE"""),"DARCO")</f>
        <v>DARCO</v>
      </c>
      <c r="B19" s="46" t="str">
        <f ca="1">IFERROR(__xludf.DUMMYFUNCTION("""COMPUTED_VALUE"""),"CENTRAL OFFICE")</f>
        <v>CENTRAL OFFICE</v>
      </c>
      <c r="C19" s="47" t="str">
        <f ca="1">IFERROR(__xludf.DUMMYFUNCTION("""COMPUTED_VALUE"""),"Double Cabin Pick-up Vehicles – Mitsubishi Strada")</f>
        <v>Double Cabin Pick-up Vehicles – Mitsubishi Strada</v>
      </c>
      <c r="D19" s="47"/>
      <c r="E19" s="46"/>
      <c r="F19" s="46" t="str">
        <f ca="1">IFERROR(__xludf.DUMMYFUNCTION("""COMPUTED_VALUE"""),"2023-06-01-10201SP23-01")</f>
        <v>2023-06-01-10201SP23-01</v>
      </c>
      <c r="G19" s="46" t="str">
        <f ca="1">IFERROR(__xludf.DUMMYFUNCTION("""COMPUTED_VALUE"""),"Y3-B134/SNC 1083/NFX 1807")</f>
        <v>Y3-B134/SNC 1083/NFX 1807</v>
      </c>
      <c r="H19" s="46" t="str">
        <f ca="1">IFERROR(__xludf.DUMMYFUNCTION("""COMPUTED_VALUE"""),"ARTEMIO DUMAOANG")</f>
        <v>ARTEMIO DUMAOANG</v>
      </c>
      <c r="I19" s="46" t="str">
        <f ca="1">IFERROR(__xludf.DUMMYFUNCTION("""COMPUTED_VALUE"""),"DIRECTOR")</f>
        <v>DIRECTOR</v>
      </c>
      <c r="J19" s="46" t="str">
        <f ca="1">IFERROR(__xludf.DUMMYFUNCTION("""COMPUTED_VALUE"""),"2023-09-004MV")</f>
        <v>2023-09-004MV</v>
      </c>
      <c r="K19" s="46"/>
      <c r="L19" s="46" t="str">
        <f ca="1">IFERROR(__xludf.DUMMYFUNCTION("""COMPUTED_VALUE"""),"MISS")</f>
        <v>MISS</v>
      </c>
      <c r="M19" s="46" t="str">
        <f ca="1">IFERROR(__xludf.DUMMYFUNCTION("""COMPUTED_VALUE"""),"SERVICEABLE")</f>
        <v>SERVICEABLE</v>
      </c>
      <c r="N19" s="46" t="str">
        <f ca="1">IFERROR(__xludf.DUMMYFUNCTION("""COMPUTED_VALUE"""),"CARPO Glo")</f>
        <v>CARPO Glo</v>
      </c>
    </row>
    <row r="20" spans="1:14" ht="13.8">
      <c r="A20" s="46" t="str">
        <f ca="1">IFERROR(__xludf.DUMMYFUNCTION("""COMPUTED_VALUE"""),"DARCO")</f>
        <v>DARCO</v>
      </c>
      <c r="B20" s="46" t="str">
        <f ca="1">IFERROR(__xludf.DUMMYFUNCTION("""COMPUTED_VALUE"""),"CENTRAL OFFICE")</f>
        <v>CENTRAL OFFICE</v>
      </c>
      <c r="C20" s="47" t="str">
        <f ca="1">IFERROR(__xludf.DUMMYFUNCTION("""COMPUTED_VALUE"""),"Double Cabin Pick-up Vehicles – Mitsubishi Strada")</f>
        <v>Double Cabin Pick-up Vehicles – Mitsubishi Strada</v>
      </c>
      <c r="D20" s="47"/>
      <c r="E20" s="46"/>
      <c r="F20" s="46" t="str">
        <f ca="1">IFERROR(__xludf.DUMMYFUNCTION("""COMPUTED_VALUE"""),"2023-06-01-10201SP01-01")</f>
        <v>2023-06-01-10201SP01-01</v>
      </c>
      <c r="G20" s="46" t="str">
        <f ca="1">IFERROR(__xludf.DUMMYFUNCTION("""COMPUTED_VALUE"""),"Y3-B065/SNC 1052/NFX 1661")</f>
        <v>Y3-B065/SNC 1052/NFX 1661</v>
      </c>
      <c r="H20" s="46" t="str">
        <f ca="1">IFERROR(__xludf.DUMMYFUNCTION("""COMPUTED_VALUE"""),"ATTY. NESTOR IFURUNG JR")</f>
        <v>ATTY. NESTOR IFURUNG JR</v>
      </c>
      <c r="I20" s="46" t="str">
        <f ca="1">IFERROR(__xludf.DUMMYFUNCTION("""COMPUTED_VALUE"""),"HEA")</f>
        <v>HEA</v>
      </c>
      <c r="J20" s="46" t="str">
        <f ca="1">IFERROR(__xludf.DUMMYFUNCTION("""COMPUTED_VALUE"""),"2023-09-001MV")</f>
        <v>2023-09-001MV</v>
      </c>
      <c r="K20" s="46"/>
      <c r="L20" s="46" t="str">
        <f ca="1">IFERROR(__xludf.DUMMYFUNCTION("""COMPUTED_VALUE"""),"OSEC")</f>
        <v>OSEC</v>
      </c>
      <c r="M20" s="46" t="str">
        <f ca="1">IFERROR(__xludf.DUMMYFUNCTION("""COMPUTED_VALUE"""),"SERVICEABLE")</f>
        <v>SERVICEABLE</v>
      </c>
      <c r="N20" s="46" t="str">
        <f ca="1">IFERROR(__xludf.DUMMYFUNCTION("""COMPUTED_VALUE"""),"REGION VI")</f>
        <v>REGION VI</v>
      </c>
    </row>
    <row r="21" spans="1:14" ht="13.8">
      <c r="A21" s="46" t="str">
        <f ca="1">IFERROR(__xludf.DUMMYFUNCTION("""COMPUTED_VALUE"""),"DARCO")</f>
        <v>DARCO</v>
      </c>
      <c r="B21" s="46" t="str">
        <f ca="1">IFERROR(__xludf.DUMMYFUNCTION("""COMPUTED_VALUE"""),"CENTRAL OFFICE")</f>
        <v>CENTRAL OFFICE</v>
      </c>
      <c r="C21" s="47" t="str">
        <f ca="1">IFERROR(__xludf.DUMMYFUNCTION("""COMPUTED_VALUE"""),"Double Cabin Pick-up Vehicles – Mitsubishi Strada")</f>
        <v>Double Cabin Pick-up Vehicles – Mitsubishi Strada</v>
      </c>
      <c r="D21" s="47"/>
      <c r="E21" s="46"/>
      <c r="F21" s="46" t="str">
        <f ca="1">IFERROR(__xludf.DUMMYFUNCTION("""COMPUTED_VALUE"""),"2023-06-01-10201SP12-01")</f>
        <v>2023-06-01-10201SP12-01</v>
      </c>
      <c r="G21" s="46" t="str">
        <f ca="1">IFERROR(__xludf.DUMMYFUNCTION("""COMPUTED_VALUE"""),"Y2-Z500/SNC 1042/NFX 1655")</f>
        <v>Y2-Z500/SNC 1042/NFX 1655</v>
      </c>
      <c r="H21" s="46" t="str">
        <f ca="1">IFERROR(__xludf.DUMMYFUNCTION("""COMPUTED_VALUE"""),"ATTY. NESTOR IFURUNG JR")</f>
        <v>ATTY. NESTOR IFURUNG JR</v>
      </c>
      <c r="I21" s="46" t="str">
        <f ca="1">IFERROR(__xludf.DUMMYFUNCTION("""COMPUTED_VALUE"""),"HEA")</f>
        <v>HEA</v>
      </c>
      <c r="J21" s="46" t="str">
        <f ca="1">IFERROR(__xludf.DUMMYFUNCTION("""COMPUTED_VALUE"""),"2023-10-026MV")</f>
        <v>2023-10-026MV</v>
      </c>
      <c r="K21" s="46"/>
      <c r="L21" s="46" t="str">
        <f ca="1">IFERROR(__xludf.DUMMYFUNCTION("""COMPUTED_VALUE"""),"OSEC")</f>
        <v>OSEC</v>
      </c>
      <c r="M21" s="46" t="str">
        <f ca="1">IFERROR(__xludf.DUMMYFUNCTION("""COMPUTED_VALUE"""),"SERVICEABLE")</f>
        <v>SERVICEABLE</v>
      </c>
      <c r="N21" s="46" t="str">
        <f ca="1">IFERROR(__xludf.DUMMYFUNCTION("""COMPUTED_VALUE"""),"Asec Palafox")</f>
        <v>Asec Palafox</v>
      </c>
    </row>
    <row r="22" spans="1:14" ht="13.8">
      <c r="A22" s="46" t="str">
        <f ca="1">IFERROR(__xludf.DUMMYFUNCTION("""COMPUTED_VALUE"""),"DARCO")</f>
        <v>DARCO</v>
      </c>
      <c r="B22" s="46" t="str">
        <f ca="1">IFERROR(__xludf.DUMMYFUNCTION("""COMPUTED_VALUE"""),"CENTRAL OFFICE")</f>
        <v>CENTRAL OFFICE</v>
      </c>
      <c r="C22" s="47" t="str">
        <f ca="1">IFERROR(__xludf.DUMMYFUNCTION("""COMPUTED_VALUE"""),"Double Cabin Pick-up Vehicles – Mitsubishi Strada")</f>
        <v>Double Cabin Pick-up Vehicles – Mitsubishi Strada</v>
      </c>
      <c r="D22" s="47"/>
      <c r="E22" s="46"/>
      <c r="F22" s="46" t="str">
        <f ca="1">IFERROR(__xludf.DUMMYFUNCTION("""COMPUTED_VALUE"""),"2023-06-01-10201SP150-01")</f>
        <v>2023-06-01-10201SP150-01</v>
      </c>
      <c r="G22" s="46" t="str">
        <f ca="1">IFERROR(__xludf.DUMMYFUNCTION("""COMPUTED_VALUE"""),"Y3-C778/SNC 1262/NFX 1662")</f>
        <v>Y3-C778/SNC 1262/NFX 1662</v>
      </c>
      <c r="H22" s="46" t="str">
        <f ca="1">IFERROR(__xludf.DUMMYFUNCTION("""COMPUTED_VALUE"""),"ATTY. NESTOR IFURUNG JR")</f>
        <v>ATTY. NESTOR IFURUNG JR</v>
      </c>
      <c r="I22" s="46" t="str">
        <f ca="1">IFERROR(__xludf.DUMMYFUNCTION("""COMPUTED_VALUE"""),"OSEC")</f>
        <v>OSEC</v>
      </c>
      <c r="J22" s="46" t="str">
        <f ca="1">IFERROR(__xludf.DUMMYFUNCTION("""COMPUTED_VALUE"""),"2023-10-021MV")</f>
        <v>2023-10-021MV</v>
      </c>
      <c r="K22" s="46"/>
      <c r="L22" s="46" t="str">
        <f ca="1">IFERROR(__xludf.DUMMYFUNCTION("""COMPUTED_VALUE"""),"HEA")</f>
        <v>HEA</v>
      </c>
      <c r="M22" s="46" t="str">
        <f ca="1">IFERROR(__xludf.DUMMYFUNCTION("""COMPUTED_VALUE"""),"SERVICEABLE")</f>
        <v>SERVICEABLE</v>
      </c>
      <c r="N22" s="46"/>
    </row>
    <row r="23" spans="1:14" ht="13.8">
      <c r="A23" s="46" t="str">
        <f ca="1">IFERROR(__xludf.DUMMYFUNCTION("""COMPUTED_VALUE"""),"DARCO")</f>
        <v>DARCO</v>
      </c>
      <c r="B23" s="46" t="str">
        <f ca="1">IFERROR(__xludf.DUMMYFUNCTION("""COMPUTED_VALUE"""),"CENTRAL OFFICE")</f>
        <v>CENTRAL OFFICE</v>
      </c>
      <c r="C23" s="47" t="str">
        <f ca="1">IFERROR(__xludf.DUMMYFUNCTION("""COMPUTED_VALUE"""),"Double Cabin Pick-up Vehicles – Mitsubishi Strada")</f>
        <v>Double Cabin Pick-up Vehicles – Mitsubishi Strada</v>
      </c>
      <c r="D23" s="47"/>
      <c r="E23" s="46"/>
      <c r="F23" s="46" t="str">
        <f ca="1">IFERROR(__xludf.DUMMYFUNCTION("""COMPUTED_VALUE"""),"2023-06-01-10201SP21-01")</f>
        <v>2023-06-01-10201SP21-01</v>
      </c>
      <c r="G23" s="46" t="str">
        <f ca="1">IFERROR(__xludf.DUMMYFUNCTION("""COMPUTED_VALUE"""),"Y2-Z514/SNC 1047/NFX 1659")</f>
        <v>Y2-Z514/SNC 1047/NFX 1659</v>
      </c>
      <c r="H23" s="46" t="str">
        <f ca="1">IFERROR(__xludf.DUMMYFUNCTION("""COMPUTED_VALUE"""),"ATTY. MARILYN BARUA YAP")</f>
        <v>ATTY. MARILYN BARUA YAP</v>
      </c>
      <c r="I23" s="46" t="str">
        <f ca="1">IFERROR(__xludf.DUMMYFUNCTION("""COMPUTED_VALUE"""),"SCEACOO")</f>
        <v>SCEACOO</v>
      </c>
      <c r="J23" s="46" t="str">
        <f ca="1">IFERROR(__xludf.DUMMYFUNCTION("""COMPUTED_VALUE"""),"2023-11-031MV")</f>
        <v>2023-11-031MV</v>
      </c>
      <c r="K23" s="46"/>
      <c r="L23" s="46" t="str">
        <f ca="1">IFERROR(__xludf.DUMMYFUNCTION("""COMPUTED_VALUE"""),"USEC")</f>
        <v>USEC</v>
      </c>
      <c r="M23" s="46" t="str">
        <f ca="1">IFERROR(__xludf.DUMMYFUNCTION("""COMPUTED_VALUE"""),"SERVICEABLE")</f>
        <v>SERVICEABLE</v>
      </c>
      <c r="N23" s="46" t="str">
        <f ca="1">IFERROR(__xludf.DUMMYFUNCTION("""COMPUTED_VALUE"""),"AFOO")</f>
        <v>AFOO</v>
      </c>
    </row>
    <row r="24" spans="1:14" ht="13.8">
      <c r="A24" s="46" t="str">
        <f ca="1">IFERROR(__xludf.DUMMYFUNCTION("""COMPUTED_VALUE"""),"DARCO")</f>
        <v>DARCO</v>
      </c>
      <c r="B24" s="46" t="str">
        <f ca="1">IFERROR(__xludf.DUMMYFUNCTION("""COMPUTED_VALUE"""),"CENTRAL OFFICE")</f>
        <v>CENTRAL OFFICE</v>
      </c>
      <c r="C24" s="47" t="str">
        <f ca="1">IFERROR(__xludf.DUMMYFUNCTION("""COMPUTED_VALUE"""),"Double Cabin Pick-up Vehicles – Mitsubishi Strada")</f>
        <v>Double Cabin Pick-up Vehicles – Mitsubishi Strada</v>
      </c>
      <c r="D24" s="47"/>
      <c r="E24" s="46"/>
      <c r="F24" s="46" t="str">
        <f ca="1">IFERROR(__xludf.DUMMYFUNCTION("""COMPUTED_VALUE"""),"2023-06-01-10201SP141-01")</f>
        <v>2023-06-01-10201SP141-01</v>
      </c>
      <c r="G24" s="46" t="str">
        <f ca="1">IFERROR(__xludf.DUMMYFUNCTION("""COMPUTED_VALUE"""),"Y3-B133/SNC 1069/NFX 1807")</f>
        <v>Y3-B133/SNC 1069/NFX 1807</v>
      </c>
      <c r="H24" s="46" t="str">
        <f ca="1">IFERROR(__xludf.DUMMYFUNCTION("""COMPUTED_VALUE"""),"LANI DE LEON")</f>
        <v>LANI DE LEON</v>
      </c>
      <c r="I24" s="46" t="str">
        <f ca="1">IFERROR(__xludf.DUMMYFUNCTION("""COMPUTED_VALUE"""),"USEC")</f>
        <v>USEC</v>
      </c>
      <c r="J24" s="46" t="str">
        <f ca="1">IFERROR(__xludf.DUMMYFUNCTION("""COMPUTED_VALUE"""),"2023-10-011MV")</f>
        <v>2023-10-011MV</v>
      </c>
      <c r="K24" s="46"/>
      <c r="L24" s="46" t="str">
        <f ca="1">IFERROR(__xludf.DUMMYFUNCTION("""COMPUTED_VALUE"""),"UFMAO")</f>
        <v>UFMAO</v>
      </c>
      <c r="M24" s="46" t="str">
        <f ca="1">IFERROR(__xludf.DUMMYFUNCTION("""COMPUTED_VALUE"""),"SERVICEABLE")</f>
        <v>SERVICEABLE</v>
      </c>
      <c r="N24" s="46"/>
    </row>
    <row r="25" spans="1:14" ht="13.8">
      <c r="A25" s="46" t="str">
        <f ca="1">IFERROR(__xludf.DUMMYFUNCTION("""COMPUTED_VALUE"""),"DARCO")</f>
        <v>DARCO</v>
      </c>
      <c r="B25" s="46" t="str">
        <f ca="1">IFERROR(__xludf.DUMMYFUNCTION("""COMPUTED_VALUE"""),"CENTRAL OFFICE")</f>
        <v>CENTRAL OFFICE</v>
      </c>
      <c r="C25" s="47" t="str">
        <f ca="1">IFERROR(__xludf.DUMMYFUNCTION("""COMPUTED_VALUE"""),"Double Cabin Pick-up Vehicles – Mitsubishi Strada")</f>
        <v>Double Cabin Pick-up Vehicles – Mitsubishi Strada</v>
      </c>
      <c r="D25" s="47"/>
      <c r="E25" s="46"/>
      <c r="F25" s="46" t="str">
        <f ca="1">IFERROR(__xludf.DUMMYFUNCTION("""COMPUTED_VALUE"""),"2023-06-01-10201SP153-01")</f>
        <v>2023-06-01-10201SP153-01</v>
      </c>
      <c r="G25" s="46" t="str">
        <f ca="1">IFERROR(__xludf.DUMMYFUNCTION("""COMPUTED_VALUE"""),"Y3-B127/SNC 1155/NFX 1654")</f>
        <v>Y3-B127/SNC 1155/NFX 1654</v>
      </c>
      <c r="H25" s="46" t="str">
        <f ca="1">IFERROR(__xludf.DUMMYFUNCTION("""COMPUTED_VALUE"""),"ATTY. EUGENE FOLLANTE")</f>
        <v>ATTY. EUGENE FOLLANTE</v>
      </c>
      <c r="I25" s="46" t="str">
        <f ca="1">IFERROR(__xludf.DUMMYFUNCTION("""COMPUTED_VALUE"""),"DIRECTOR IV")</f>
        <v>DIRECTOR IV</v>
      </c>
      <c r="J25" s="46" t="str">
        <f ca="1">IFERROR(__xludf.DUMMYFUNCTION("""COMPUTED_VALUE"""),"2023-10-018MV")</f>
        <v>2023-10-018MV</v>
      </c>
      <c r="K25" s="46"/>
      <c r="L25" s="46" t="str">
        <f ca="1">IFERROR(__xludf.DUMMYFUNCTION("""COMPUTED_VALUE"""),"LEGAL SERVICE")</f>
        <v>LEGAL SERVICE</v>
      </c>
      <c r="M25" s="46" t="str">
        <f ca="1">IFERROR(__xludf.DUMMYFUNCTION("""COMPUTED_VALUE"""),"SERVICEABLE")</f>
        <v>SERVICEABLE</v>
      </c>
      <c r="N25" s="46"/>
    </row>
    <row r="26" spans="1:14" ht="13.8">
      <c r="A26" s="46" t="str">
        <f ca="1">IFERROR(__xludf.DUMMYFUNCTION("""COMPUTED_VALUE"""),"DARCO")</f>
        <v>DARCO</v>
      </c>
      <c r="B26" s="46" t="str">
        <f ca="1">IFERROR(__xludf.DUMMYFUNCTION("""COMPUTED_VALUE"""),"CENTRAL OFFICE")</f>
        <v>CENTRAL OFFICE</v>
      </c>
      <c r="C26" s="47" t="str">
        <f ca="1">IFERROR(__xludf.DUMMYFUNCTION("""COMPUTED_VALUE"""),"Double Cabin Pick-up Vehicles – Mitsubishi Strada")</f>
        <v>Double Cabin Pick-up Vehicles – Mitsubishi Strada</v>
      </c>
      <c r="D26" s="47"/>
      <c r="E26" s="46"/>
      <c r="F26" s="46" t="str">
        <f ca="1">IFERROR(__xludf.DUMMYFUNCTION("""COMPUTED_VALUE"""),"2023-06-01-10201SP017-01")</f>
        <v>2023-06-01-10201SP017-01</v>
      </c>
      <c r="G26" s="46" t="str">
        <f ca="1">IFERROR(__xludf.DUMMYFUNCTION("""COMPUTED_VALUE"""),"Y3-B071/SNC 1088")</f>
        <v>Y3-B071/SNC 1088</v>
      </c>
      <c r="H26" s="46" t="str">
        <f ca="1">IFERROR(__xludf.DUMMYFUNCTION("""COMPUTED_VALUE"""),"ATTY NAPOLEON U. GALIT")</f>
        <v>ATTY NAPOLEON U. GALIT</v>
      </c>
      <c r="I26" s="46" t="str">
        <f ca="1">IFERROR(__xludf.DUMMYFUNCTION("""COMPUTED_VALUE"""),"USEC LAO")</f>
        <v>USEC LAO</v>
      </c>
      <c r="J26" s="46"/>
      <c r="K26" s="46"/>
      <c r="L26" s="46" t="str">
        <f ca="1">IFERROR(__xludf.DUMMYFUNCTION("""COMPUTED_VALUE"""),"ULAO")</f>
        <v>ULAO</v>
      </c>
      <c r="M26" s="46" t="str">
        <f ca="1">IFERROR(__xludf.DUMMYFUNCTION("""COMPUTED_VALUE"""),"SERVICEABLE")</f>
        <v>SERVICEABLE</v>
      </c>
      <c r="N26" s="46"/>
    </row>
    <row r="27" spans="1:14" ht="13.8">
      <c r="A27" s="46" t="str">
        <f ca="1">IFERROR(__xludf.DUMMYFUNCTION("""COMPUTED_VALUE"""),"DARCO")</f>
        <v>DARCO</v>
      </c>
      <c r="B27" s="46" t="str">
        <f ca="1">IFERROR(__xludf.DUMMYFUNCTION("""COMPUTED_VALUE"""),"CENTRAL OFFICE")</f>
        <v>CENTRAL OFFICE</v>
      </c>
      <c r="C27" s="47" t="str">
        <f ca="1">IFERROR(__xludf.DUMMYFUNCTION("""COMPUTED_VALUE"""),"Double Cabin Pick-up Vehicles – Mitsubishi Strada")</f>
        <v>Double Cabin Pick-up Vehicles – Mitsubishi Strada</v>
      </c>
      <c r="D27" s="47"/>
      <c r="E27" s="46"/>
      <c r="F27" s="46" t="str">
        <f ca="1">IFERROR(__xludf.DUMMYFUNCTION("""COMPUTED_VALUE"""),"2023-06-01-10201SP06-01")</f>
        <v>2023-06-01-10201SP06-01</v>
      </c>
      <c r="G27" s="46" t="str">
        <f ca="1">IFERROR(__xludf.DUMMYFUNCTION("""COMPUTED_VALUE"""),"Y2-Z529/SNC 1078/NFX 1638")</f>
        <v>Y2-Z529/SNC 1078/NFX 1638</v>
      </c>
      <c r="H27" s="46" t="str">
        <f ca="1">IFERROR(__xludf.DUMMYFUNCTION("""COMPUTED_VALUE"""),"ATTY. LUIS MEINRADO PAÑGULAYAN")</f>
        <v>ATTY. LUIS MEINRADO PAÑGULAYAN</v>
      </c>
      <c r="I27" s="46" t="str">
        <f ca="1">IFERROR(__xludf.DUMMYFUNCTION("""COMPUTED_VALUE"""),"USEC")</f>
        <v>USEC</v>
      </c>
      <c r="J27" s="46" t="str">
        <f ca="1">IFERROR(__xludf.DUMMYFUNCTION("""COMPUTED_VALUE"""),"2023-09-002MV/006")</f>
        <v>2023-09-002MV/006</v>
      </c>
      <c r="K27" s="46"/>
      <c r="L27" s="46" t="str">
        <f ca="1">IFERROR(__xludf.DUMMYFUNCTION("""COMPUTED_VALUE"""),"UPPRO")</f>
        <v>UPPRO</v>
      </c>
      <c r="M27" s="46" t="str">
        <f ca="1">IFERROR(__xludf.DUMMYFUNCTION("""COMPUTED_VALUE"""),"SERVICEABLE")</f>
        <v>SERVICEABLE</v>
      </c>
      <c r="N27" s="46" t="str">
        <f ca="1">IFERROR(__xludf.DUMMYFUNCTION("""COMPUTED_VALUE"""),"Dir Alfiler")</f>
        <v>Dir Alfiler</v>
      </c>
    </row>
    <row r="28" spans="1:14" ht="13.8">
      <c r="A28" s="46" t="str">
        <f ca="1">IFERROR(__xludf.DUMMYFUNCTION("""COMPUTED_VALUE"""),"DARCO")</f>
        <v>DARCO</v>
      </c>
      <c r="B28" s="46" t="str">
        <f ca="1">IFERROR(__xludf.DUMMYFUNCTION("""COMPUTED_VALUE"""),"CENTRAL OFFICE")</f>
        <v>CENTRAL OFFICE</v>
      </c>
      <c r="C28" s="47" t="str">
        <f ca="1">IFERROR(__xludf.DUMMYFUNCTION("""COMPUTED_VALUE"""),"Double Cabin Pick-up Vehicles – Mitsubishi Strada")</f>
        <v>Double Cabin Pick-up Vehicles – Mitsubishi Strada</v>
      </c>
      <c r="D28" s="47"/>
      <c r="E28" s="46"/>
      <c r="F28" s="46" t="str">
        <f ca="1">IFERROR(__xludf.DUMMYFUNCTION("""COMPUTED_VALUE"""),"2023-06-01-10201SP151-01")</f>
        <v>2023-06-01-10201SP151-01</v>
      </c>
      <c r="G28" s="46" t="str">
        <f ca="1">IFERROR(__xludf.DUMMYFUNCTION("""COMPUTED_VALUE"""),"Y3-B108/SNC 1201/NFX 1719")</f>
        <v>Y3-B108/SNC 1201/NFX 1719</v>
      </c>
      <c r="H28" s="46" t="str">
        <f ca="1">IFERROR(__xludf.DUMMYFUNCTION("""COMPUTED_VALUE"""),"ROWENA NIÑA TADURAN")</f>
        <v>ROWENA NIÑA TADURAN</v>
      </c>
      <c r="I28" s="46" t="str">
        <f ca="1">IFERROR(__xludf.DUMMYFUNCTION("""COMPUTED_VALUE"""),"SSO")</f>
        <v>SSO</v>
      </c>
      <c r="J28" s="46" t="str">
        <f ca="1">IFERROR(__xludf.DUMMYFUNCTION("""COMPUTED_VALUE"""),"2023-10-022MV")</f>
        <v>2023-10-022MV</v>
      </c>
      <c r="K28" s="46"/>
      <c r="L28" s="46" t="str">
        <f ca="1">IFERROR(__xludf.DUMMYFUNCTION("""COMPUTED_VALUE"""),"USEC")</f>
        <v>USEC</v>
      </c>
      <c r="M28" s="46" t="str">
        <f ca="1">IFERROR(__xludf.DUMMYFUNCTION("""COMPUTED_VALUE"""),"SERVICEABLE")</f>
        <v>SERVICEABLE</v>
      </c>
      <c r="N28" s="46"/>
    </row>
    <row r="29" spans="1:14" ht="13.8">
      <c r="A29" s="46" t="str">
        <f ca="1">IFERROR(__xludf.DUMMYFUNCTION("""COMPUTED_VALUE"""),"DARCO")</f>
        <v>DARCO</v>
      </c>
      <c r="B29" s="46" t="str">
        <f ca="1">IFERROR(__xludf.DUMMYFUNCTION("""COMPUTED_VALUE"""),"CENTRAL OFFICE")</f>
        <v>CENTRAL OFFICE</v>
      </c>
      <c r="C29" s="47" t="str">
        <f ca="1">IFERROR(__xludf.DUMMYFUNCTION("""COMPUTED_VALUE"""),"Laptop – (ACER EXTENSA EX215-55G i7)")</f>
        <v>Laptop – (ACER EXTENSA EX215-55G i7)</v>
      </c>
      <c r="D29" s="47"/>
      <c r="E29" s="46"/>
      <c r="F29" s="46" t="str">
        <f ca="1">IFERROR(__xludf.DUMMYFUNCTION("""COMPUTED_VALUE"""),"2023-05-03-10202SP01-01")</f>
        <v>2023-05-03-10202SP01-01</v>
      </c>
      <c r="G29" s="46"/>
      <c r="H29" s="46" t="str">
        <f ca="1">IFERROR(__xludf.DUMMYFUNCTION("""COMPUTED_VALUE"""),"RAMON GERRARDO SAN LUIS")</f>
        <v>RAMON GERRARDO SAN LUIS</v>
      </c>
      <c r="I29" s="46" t="str">
        <f ca="1">IFERROR(__xludf.DUMMYFUNCTION("""COMPUTED_VALUE"""),"EA")</f>
        <v>EA</v>
      </c>
      <c r="J29" s="46" t="str">
        <f ca="1">IFERROR(__xludf.DUMMYFUNCTION("""COMPUTED_VALUE"""),"2023-05-001L")</f>
        <v>2023-05-001L</v>
      </c>
      <c r="K29" s="46" t="str">
        <f ca="1">IFERROR(__xludf.DUMMYFUNCTION("""COMPUTED_VALUE"""),"RAMON GERRARDO SAN LUIS")</f>
        <v>RAMON GERRARDO SAN LUIS</v>
      </c>
      <c r="L29" s="46" t="str">
        <f ca="1">IFERROR(__xludf.DUMMYFUNCTION("""COMPUTED_VALUE"""),"SCEACOO")</f>
        <v>SCEACOO</v>
      </c>
      <c r="M29" s="46" t="str">
        <f ca="1">IFERROR(__xludf.DUMMYFUNCTION("""COMPUTED_VALUE"""),"SERVICEABLE")</f>
        <v>SERVICEABLE</v>
      </c>
      <c r="N29" s="46"/>
    </row>
    <row r="30" spans="1:14" ht="13.8">
      <c r="A30" s="46" t="str">
        <f ca="1">IFERROR(__xludf.DUMMYFUNCTION("""COMPUTED_VALUE"""),"DARCO")</f>
        <v>DARCO</v>
      </c>
      <c r="B30" s="46" t="str">
        <f ca="1">IFERROR(__xludf.DUMMYFUNCTION("""COMPUTED_VALUE"""),"CENTRAL OFFICE")</f>
        <v>CENTRAL OFFICE</v>
      </c>
      <c r="C30" s="47" t="str">
        <f ca="1">IFERROR(__xludf.DUMMYFUNCTION("""COMPUTED_VALUE"""),"Laptop – (ACER EXTENSA EX215-55G i7)")</f>
        <v>Laptop – (ACER EXTENSA EX215-55G i7)</v>
      </c>
      <c r="D30" s="47"/>
      <c r="E30" s="46"/>
      <c r="F30" s="46" t="str">
        <f ca="1">IFERROR(__xludf.DUMMYFUNCTION("""COMPUTED_VALUE"""),"2023-05-03-10202SP02-01")</f>
        <v>2023-05-03-10202SP02-01</v>
      </c>
      <c r="G30" s="46"/>
      <c r="H30" s="46" t="str">
        <f ca="1">IFERROR(__xludf.DUMMYFUNCTION("""COMPUTED_VALUE"""),"RAMON GERRARDO SAN LUIS")</f>
        <v>RAMON GERRARDO SAN LUIS</v>
      </c>
      <c r="I30" s="46" t="str">
        <f ca="1">IFERROR(__xludf.DUMMYFUNCTION("""COMPUTED_VALUE"""),"EA")</f>
        <v>EA</v>
      </c>
      <c r="J30" s="46" t="str">
        <f ca="1">IFERROR(__xludf.DUMMYFUNCTION("""COMPUTED_VALUE"""),"2023-05-001L")</f>
        <v>2023-05-001L</v>
      </c>
      <c r="K30" s="46" t="str">
        <f ca="1">IFERROR(__xludf.DUMMYFUNCTION("""COMPUTED_VALUE"""),"RAMON GERRARDO SAN LUIS")</f>
        <v>RAMON GERRARDO SAN LUIS</v>
      </c>
      <c r="L30" s="46" t="str">
        <f ca="1">IFERROR(__xludf.DUMMYFUNCTION("""COMPUTED_VALUE"""),"SCEACOO")</f>
        <v>SCEACOO</v>
      </c>
      <c r="M30" s="46" t="str">
        <f ca="1">IFERROR(__xludf.DUMMYFUNCTION("""COMPUTED_VALUE"""),"SERVICEABLE")</f>
        <v>SERVICEABLE</v>
      </c>
      <c r="N30" s="46"/>
    </row>
    <row r="31" spans="1:14" ht="13.8">
      <c r="A31" s="46" t="str">
        <f ca="1">IFERROR(__xludf.DUMMYFUNCTION("""COMPUTED_VALUE"""),"DARCO")</f>
        <v>DARCO</v>
      </c>
      <c r="B31" s="46" t="str">
        <f ca="1">IFERROR(__xludf.DUMMYFUNCTION("""COMPUTED_VALUE"""),"CENTRAL OFFICE")</f>
        <v>CENTRAL OFFICE</v>
      </c>
      <c r="C31" s="47" t="str">
        <f ca="1">IFERROR(__xludf.DUMMYFUNCTION("""COMPUTED_VALUE"""),"Laptop – (ACER EXTENSA EX215-55G i7)")</f>
        <v>Laptop – (ACER EXTENSA EX215-55G i7)</v>
      </c>
      <c r="D31" s="47"/>
      <c r="E31" s="46"/>
      <c r="F31" s="46" t="str">
        <f ca="1">IFERROR(__xludf.DUMMYFUNCTION("""COMPUTED_VALUE"""),"2023-05-03-10202SP03-01")</f>
        <v>2023-05-03-10202SP03-01</v>
      </c>
      <c r="G31" s="46"/>
      <c r="H31" s="46" t="str">
        <f ca="1">IFERROR(__xludf.DUMMYFUNCTION("""COMPUTED_VALUE"""),"ANGEL DIESTA")</f>
        <v>ANGEL DIESTA</v>
      </c>
      <c r="I31" s="46" t="str">
        <f ca="1">IFERROR(__xludf.DUMMYFUNCTION("""COMPUTED_VALUE"""),"EA")</f>
        <v>EA</v>
      </c>
      <c r="J31" s="46" t="str">
        <f ca="1">IFERROR(__xludf.DUMMYFUNCTION("""COMPUTED_VALUE"""),"2023-08-023S")</f>
        <v>2023-08-023S</v>
      </c>
      <c r="K31" s="46" t="str">
        <f ca="1">IFERROR(__xludf.DUMMYFUNCTION("""COMPUTED_VALUE"""),"ANGEL DIESTA")</f>
        <v>ANGEL DIESTA</v>
      </c>
      <c r="L31" s="46" t="str">
        <f ca="1">IFERROR(__xludf.DUMMYFUNCTION("""COMPUTED_VALUE"""),"SCEACOO")</f>
        <v>SCEACOO</v>
      </c>
      <c r="M31" s="46" t="str">
        <f ca="1">IFERROR(__xludf.DUMMYFUNCTION("""COMPUTED_VALUE"""),"SERVICEABLE")</f>
        <v>SERVICEABLE</v>
      </c>
      <c r="N31" s="46"/>
    </row>
    <row r="32" spans="1:14" ht="13.8">
      <c r="A32" s="46" t="str">
        <f ca="1">IFERROR(__xludf.DUMMYFUNCTION("""COMPUTED_VALUE"""),"DARCO")</f>
        <v>DARCO</v>
      </c>
      <c r="B32" s="46" t="str">
        <f ca="1">IFERROR(__xludf.DUMMYFUNCTION("""COMPUTED_VALUE"""),"CENTRAL OFFICE")</f>
        <v>CENTRAL OFFICE</v>
      </c>
      <c r="C32" s="47" t="str">
        <f ca="1">IFERROR(__xludf.DUMMYFUNCTION("""COMPUTED_VALUE"""),"Laptop – (ACER EXTENSA EX215-55G i7)")</f>
        <v>Laptop – (ACER EXTENSA EX215-55G i7)</v>
      </c>
      <c r="D32" s="47"/>
      <c r="E32" s="46"/>
      <c r="F32" s="46" t="str">
        <f ca="1">IFERROR(__xludf.DUMMYFUNCTION("""COMPUTED_VALUE"""),"2023-05-03-10202SP06-01")</f>
        <v>2023-05-03-10202SP06-01</v>
      </c>
      <c r="G32" s="46"/>
      <c r="H32" s="46" t="str">
        <f ca="1">IFERROR(__xludf.DUMMYFUNCTION("""COMPUTED_VALUE"""),"ARNOLD YAP")</f>
        <v>ARNOLD YAP</v>
      </c>
      <c r="I32" s="46" t="str">
        <f ca="1">IFERROR(__xludf.DUMMYFUNCTION("""COMPUTED_VALUE"""),"EA")</f>
        <v>EA</v>
      </c>
      <c r="J32" s="46" t="str">
        <f ca="1">IFERROR(__xludf.DUMMYFUNCTION("""COMPUTED_VALUE"""),"2023-06-013S")</f>
        <v>2023-06-013S</v>
      </c>
      <c r="K32" s="46" t="str">
        <f ca="1">IFERROR(__xludf.DUMMYFUNCTION("""COMPUTED_VALUE"""),"ARNOLD YAP")</f>
        <v>ARNOLD YAP</v>
      </c>
      <c r="L32" s="46" t="str">
        <f ca="1">IFERROR(__xludf.DUMMYFUNCTION("""COMPUTED_VALUE"""),"SCEACOO")</f>
        <v>SCEACOO</v>
      </c>
      <c r="M32" s="46" t="str">
        <f ca="1">IFERROR(__xludf.DUMMYFUNCTION("""COMPUTED_VALUE"""),"SERVICEABLE")</f>
        <v>SERVICEABLE</v>
      </c>
      <c r="N32" s="46"/>
    </row>
    <row r="33" spans="1:14" ht="13.8">
      <c r="A33" s="46" t="str">
        <f ca="1">IFERROR(__xludf.DUMMYFUNCTION("""COMPUTED_VALUE"""),"DARCO")</f>
        <v>DARCO</v>
      </c>
      <c r="B33" s="46" t="str">
        <f ca="1">IFERROR(__xludf.DUMMYFUNCTION("""COMPUTED_VALUE"""),"CENTRAL OFFICE")</f>
        <v>CENTRAL OFFICE</v>
      </c>
      <c r="C33" s="47" t="str">
        <f ca="1">IFERROR(__xludf.DUMMYFUNCTION("""COMPUTED_VALUE"""),"Laptop – (ACER EXTENSA EX215-55G i7)")</f>
        <v>Laptop – (ACER EXTENSA EX215-55G i7)</v>
      </c>
      <c r="D33" s="47"/>
      <c r="E33" s="46"/>
      <c r="F33" s="46" t="str">
        <f ca="1">IFERROR(__xludf.DUMMYFUNCTION("""COMPUTED_VALUE"""),"2023-05-03-10202SP41-01")</f>
        <v>2023-05-03-10202SP41-01</v>
      </c>
      <c r="G33" s="46"/>
      <c r="H33" s="46" t="str">
        <f ca="1">IFERROR(__xludf.DUMMYFUNCTION("""COMPUTED_VALUE"""),"ARNOLD YAP")</f>
        <v>ARNOLD YAP</v>
      </c>
      <c r="I33" s="46" t="str">
        <f ca="1">IFERROR(__xludf.DUMMYFUNCTION("""COMPUTED_VALUE"""),"EA")</f>
        <v>EA</v>
      </c>
      <c r="J33" s="46" t="str">
        <f ca="1">IFERROR(__xludf.DUMMYFUNCTION("""COMPUTED_VALUE"""),"2023-06-013S")</f>
        <v>2023-06-013S</v>
      </c>
      <c r="K33" s="46" t="str">
        <f ca="1">IFERROR(__xludf.DUMMYFUNCTION("""COMPUTED_VALUE"""),"ARNOLD YAP")</f>
        <v>ARNOLD YAP</v>
      </c>
      <c r="L33" s="46" t="str">
        <f ca="1">IFERROR(__xludf.DUMMYFUNCTION("""COMPUTED_VALUE"""),"SCEACOO")</f>
        <v>SCEACOO</v>
      </c>
      <c r="M33" s="46" t="str">
        <f ca="1">IFERROR(__xludf.DUMMYFUNCTION("""COMPUTED_VALUE"""),"SERVICEABLE")</f>
        <v>SERVICEABLE</v>
      </c>
      <c r="N33" s="46"/>
    </row>
    <row r="34" spans="1:14" ht="13.8">
      <c r="A34" s="46" t="str">
        <f ca="1">IFERROR(__xludf.DUMMYFUNCTION("""COMPUTED_VALUE"""),"DARCO")</f>
        <v>DARCO</v>
      </c>
      <c r="B34" s="46" t="str">
        <f ca="1">IFERROR(__xludf.DUMMYFUNCTION("""COMPUTED_VALUE"""),"CENTRAL OFFICE")</f>
        <v>CENTRAL OFFICE</v>
      </c>
      <c r="C34" s="47" t="str">
        <f ca="1">IFERROR(__xludf.DUMMYFUNCTION("""COMPUTED_VALUE"""),"Laptop – (ACER EXTENSA EX215-55G i7)")</f>
        <v>Laptop – (ACER EXTENSA EX215-55G i7)</v>
      </c>
      <c r="D34" s="47"/>
      <c r="E34" s="46"/>
      <c r="F34" s="46" t="str">
        <f ca="1">IFERROR(__xludf.DUMMYFUNCTION("""COMPUTED_VALUE"""),"2023-05-03-10202SP63-01")</f>
        <v>2023-05-03-10202SP63-01</v>
      </c>
      <c r="G34" s="46"/>
      <c r="H34" s="46" t="str">
        <f ca="1">IFERROR(__xludf.DUMMYFUNCTION("""COMPUTED_VALUE"""),"ARNOLD YAP")</f>
        <v>ARNOLD YAP</v>
      </c>
      <c r="I34" s="46" t="str">
        <f ca="1">IFERROR(__xludf.DUMMYFUNCTION("""COMPUTED_VALUE"""),"EA")</f>
        <v>EA</v>
      </c>
      <c r="J34" s="46" t="str">
        <f ca="1">IFERROR(__xludf.DUMMYFUNCTION("""COMPUTED_VALUE"""),"2023-06-013S")</f>
        <v>2023-06-013S</v>
      </c>
      <c r="K34" s="46" t="str">
        <f ca="1">IFERROR(__xludf.DUMMYFUNCTION("""COMPUTED_VALUE"""),"ARNOLD YAP")</f>
        <v>ARNOLD YAP</v>
      </c>
      <c r="L34" s="46" t="str">
        <f ca="1">IFERROR(__xludf.DUMMYFUNCTION("""COMPUTED_VALUE"""),"SCEACOO")</f>
        <v>SCEACOO</v>
      </c>
      <c r="M34" s="46" t="str">
        <f ca="1">IFERROR(__xludf.DUMMYFUNCTION("""COMPUTED_VALUE"""),"SERVICEABLE")</f>
        <v>SERVICEABLE</v>
      </c>
      <c r="N34" s="46"/>
    </row>
    <row r="35" spans="1:14" ht="13.8">
      <c r="A35" s="46" t="str">
        <f ca="1">IFERROR(__xludf.DUMMYFUNCTION("""COMPUTED_VALUE"""),"DARCO")</f>
        <v>DARCO</v>
      </c>
      <c r="B35" s="46" t="str">
        <f ca="1">IFERROR(__xludf.DUMMYFUNCTION("""COMPUTED_VALUE"""),"CENTRAL OFFICE")</f>
        <v>CENTRAL OFFICE</v>
      </c>
      <c r="C35" s="47" t="str">
        <f ca="1">IFERROR(__xludf.DUMMYFUNCTION("""COMPUTED_VALUE"""),"Laptop – (ACER EXTENSA EX215-55G i7)")</f>
        <v>Laptop – (ACER EXTENSA EX215-55G i7)</v>
      </c>
      <c r="D35" s="47"/>
      <c r="E35" s="46"/>
      <c r="F35" s="46" t="str">
        <f ca="1">IFERROR(__xludf.DUMMYFUNCTION("""COMPUTED_VALUE"""),"2023-05-03-10202SP77-01")</f>
        <v>2023-05-03-10202SP77-01</v>
      </c>
      <c r="G35" s="46"/>
      <c r="H35" s="46" t="str">
        <f ca="1">IFERROR(__xludf.DUMMYFUNCTION("""COMPUTED_VALUE"""),"ARNOLD YAP")</f>
        <v>ARNOLD YAP</v>
      </c>
      <c r="I35" s="46" t="str">
        <f ca="1">IFERROR(__xludf.DUMMYFUNCTION("""COMPUTED_VALUE"""),"EA")</f>
        <v>EA</v>
      </c>
      <c r="J35" s="46" t="str">
        <f ca="1">IFERROR(__xludf.DUMMYFUNCTION("""COMPUTED_VALUE"""),"2023-06-013S")</f>
        <v>2023-06-013S</v>
      </c>
      <c r="K35" s="46" t="str">
        <f ca="1">IFERROR(__xludf.DUMMYFUNCTION("""COMPUTED_VALUE"""),"ARNOLD YAP")</f>
        <v>ARNOLD YAP</v>
      </c>
      <c r="L35" s="46" t="str">
        <f ca="1">IFERROR(__xludf.DUMMYFUNCTION("""COMPUTED_VALUE"""),"SCEACOO")</f>
        <v>SCEACOO</v>
      </c>
      <c r="M35" s="46" t="str">
        <f ca="1">IFERROR(__xludf.DUMMYFUNCTION("""COMPUTED_VALUE"""),"SERVICEABLE")</f>
        <v>SERVICEABLE</v>
      </c>
      <c r="N35" s="46"/>
    </row>
    <row r="36" spans="1:14" ht="13.8">
      <c r="A36" s="46" t="str">
        <f ca="1">IFERROR(__xludf.DUMMYFUNCTION("""COMPUTED_VALUE"""),"DARCO")</f>
        <v>DARCO</v>
      </c>
      <c r="B36" s="46" t="str">
        <f ca="1">IFERROR(__xludf.DUMMYFUNCTION("""COMPUTED_VALUE"""),"CENTRAL OFFICE")</f>
        <v>CENTRAL OFFICE</v>
      </c>
      <c r="C36" s="47" t="str">
        <f ca="1">IFERROR(__xludf.DUMMYFUNCTION("""COMPUTED_VALUE"""),"Laptop – (ACER EXTENSA EX215-55G i7)")</f>
        <v>Laptop – (ACER EXTENSA EX215-55G i7)</v>
      </c>
      <c r="D36" s="47"/>
      <c r="E36" s="46"/>
      <c r="F36" s="46" t="str">
        <f ca="1">IFERROR(__xludf.DUMMYFUNCTION("""COMPUTED_VALUE"""),"2023-05-03-10202SP78-01")</f>
        <v>2023-05-03-10202SP78-01</v>
      </c>
      <c r="G36" s="46"/>
      <c r="H36" s="46" t="str">
        <f ca="1">IFERROR(__xludf.DUMMYFUNCTION("""COMPUTED_VALUE"""),"ARNOLD YAP")</f>
        <v>ARNOLD YAP</v>
      </c>
      <c r="I36" s="46" t="str">
        <f ca="1">IFERROR(__xludf.DUMMYFUNCTION("""COMPUTED_VALUE"""),"EA")</f>
        <v>EA</v>
      </c>
      <c r="J36" s="46" t="str">
        <f ca="1">IFERROR(__xludf.DUMMYFUNCTION("""COMPUTED_VALUE"""),"2023-06-013S")</f>
        <v>2023-06-013S</v>
      </c>
      <c r="K36" s="46" t="str">
        <f ca="1">IFERROR(__xludf.DUMMYFUNCTION("""COMPUTED_VALUE"""),"ARNOLD YAP")</f>
        <v>ARNOLD YAP</v>
      </c>
      <c r="L36" s="46" t="str">
        <f ca="1">IFERROR(__xludf.DUMMYFUNCTION("""COMPUTED_VALUE"""),"SCEACOO")</f>
        <v>SCEACOO</v>
      </c>
      <c r="M36" s="46" t="str">
        <f ca="1">IFERROR(__xludf.DUMMYFUNCTION("""COMPUTED_VALUE"""),"SERVICEABLE")</f>
        <v>SERVICEABLE</v>
      </c>
      <c r="N36" s="46"/>
    </row>
    <row r="37" spans="1:14" ht="13.8">
      <c r="A37" s="46" t="str">
        <f ca="1">IFERROR(__xludf.DUMMYFUNCTION("""COMPUTED_VALUE"""),"DARCO")</f>
        <v>DARCO</v>
      </c>
      <c r="B37" s="46" t="str">
        <f ca="1">IFERROR(__xludf.DUMMYFUNCTION("""COMPUTED_VALUE"""),"CENTRAL OFFICE")</f>
        <v>CENTRAL OFFICE</v>
      </c>
      <c r="C37" s="47" t="str">
        <f ca="1">IFERROR(__xludf.DUMMYFUNCTION("""COMPUTED_VALUE"""),"Laptop – (ACER EXTENSA EX215-55G i7)")</f>
        <v>Laptop – (ACER EXTENSA EX215-55G i7)</v>
      </c>
      <c r="D37" s="47"/>
      <c r="E37" s="46"/>
      <c r="F37" s="46" t="str">
        <f ca="1">IFERROR(__xludf.DUMMYFUNCTION("""COMPUTED_VALUE"""),"2023-05-03-10202SP79-01")</f>
        <v>2023-05-03-10202SP79-01</v>
      </c>
      <c r="G37" s="46"/>
      <c r="H37" s="46" t="str">
        <f ca="1">IFERROR(__xludf.DUMMYFUNCTION("""COMPUTED_VALUE"""),"ARNOLD YAP")</f>
        <v>ARNOLD YAP</v>
      </c>
      <c r="I37" s="46" t="str">
        <f ca="1">IFERROR(__xludf.DUMMYFUNCTION("""COMPUTED_VALUE"""),"EA")</f>
        <v>EA</v>
      </c>
      <c r="J37" s="46" t="str">
        <f ca="1">IFERROR(__xludf.DUMMYFUNCTION("""COMPUTED_VALUE"""),"2023-06-013S")</f>
        <v>2023-06-013S</v>
      </c>
      <c r="K37" s="46" t="str">
        <f ca="1">IFERROR(__xludf.DUMMYFUNCTION("""COMPUTED_VALUE"""),"ARNOLD YAP")</f>
        <v>ARNOLD YAP</v>
      </c>
      <c r="L37" s="46" t="str">
        <f ca="1">IFERROR(__xludf.DUMMYFUNCTION("""COMPUTED_VALUE"""),"SCEACOO")</f>
        <v>SCEACOO</v>
      </c>
      <c r="M37" s="46" t="str">
        <f ca="1">IFERROR(__xludf.DUMMYFUNCTION("""COMPUTED_VALUE"""),"SERVICEABLE")</f>
        <v>SERVICEABLE</v>
      </c>
      <c r="N37" s="46"/>
    </row>
    <row r="38" spans="1:14" ht="13.8">
      <c r="A38" s="46" t="str">
        <f ca="1">IFERROR(__xludf.DUMMYFUNCTION("""COMPUTED_VALUE"""),"DARCO")</f>
        <v>DARCO</v>
      </c>
      <c r="B38" s="46" t="str">
        <f ca="1">IFERROR(__xludf.DUMMYFUNCTION("""COMPUTED_VALUE"""),"CENTRAL OFFICE")</f>
        <v>CENTRAL OFFICE</v>
      </c>
      <c r="C38" s="47" t="str">
        <f ca="1">IFERROR(__xludf.DUMMYFUNCTION("""COMPUTED_VALUE"""),"Laptop – (ACER EXTENSA EX215-55G i7)")</f>
        <v>Laptop – (ACER EXTENSA EX215-55G i7)</v>
      </c>
      <c r="D38" s="47"/>
      <c r="E38" s="46"/>
      <c r="F38" s="46" t="str">
        <f ca="1">IFERROR(__xludf.DUMMYFUNCTION("""COMPUTED_VALUE"""),"2023-05-03-10202SP92-01")</f>
        <v>2023-05-03-10202SP92-01</v>
      </c>
      <c r="G38" s="46"/>
      <c r="H38" s="46" t="str">
        <f ca="1">IFERROR(__xludf.DUMMYFUNCTION("""COMPUTED_VALUE"""),"RENE E. COLOCAR")</f>
        <v>RENE E. COLOCAR</v>
      </c>
      <c r="I38" s="46" t="str">
        <f ca="1">IFERROR(__xludf.DUMMYFUNCTION("""COMPUTED_VALUE"""),"ASEC")</f>
        <v>ASEC</v>
      </c>
      <c r="J38" s="46" t="str">
        <f ca="1">IFERROR(__xludf.DUMMYFUNCTION("""COMPUTED_VALUE"""),"2023-07-014S")</f>
        <v>2023-07-014S</v>
      </c>
      <c r="K38" s="46" t="str">
        <f ca="1">IFERROR(__xludf.DUMMYFUNCTION("""COMPUTED_VALUE"""),"RENE E. COLOCAR")</f>
        <v>RENE E. COLOCAR</v>
      </c>
      <c r="L38" s="46" t="str">
        <f ca="1">IFERROR(__xludf.DUMMYFUNCTION("""COMPUTED_VALUE"""),"FASPO")</f>
        <v>FASPO</v>
      </c>
      <c r="M38" s="46" t="str">
        <f ca="1">IFERROR(__xludf.DUMMYFUNCTION("""COMPUTED_VALUE"""),"SERVICEABLE")</f>
        <v>SERVICEABLE</v>
      </c>
      <c r="N38" s="46"/>
    </row>
    <row r="39" spans="1:14" ht="13.8">
      <c r="A39" s="46" t="str">
        <f ca="1">IFERROR(__xludf.DUMMYFUNCTION("""COMPUTED_VALUE"""),"DARCO")</f>
        <v>DARCO</v>
      </c>
      <c r="B39" s="46" t="str">
        <f ca="1">IFERROR(__xludf.DUMMYFUNCTION("""COMPUTED_VALUE"""),"CENTRAL OFFICE")</f>
        <v>CENTRAL OFFICE</v>
      </c>
      <c r="C39" s="47" t="str">
        <f ca="1">IFERROR(__xludf.DUMMYFUNCTION("""COMPUTED_VALUE"""),"Laptop – (ACER EXTENSA EX215-55G i7)")</f>
        <v>Laptop – (ACER EXTENSA EX215-55G i7)</v>
      </c>
      <c r="D39" s="47"/>
      <c r="E39" s="46"/>
      <c r="F39" s="46" t="str">
        <f ca="1">IFERROR(__xludf.DUMMYFUNCTION("""COMPUTED_VALUE"""),"2023-05-03-10202SP93-01")</f>
        <v>2023-05-03-10202SP93-01</v>
      </c>
      <c r="G39" s="46"/>
      <c r="H39" s="46" t="str">
        <f ca="1">IFERROR(__xludf.DUMMYFUNCTION("""COMPUTED_VALUE"""),"ARDEN D. BANDAL")</f>
        <v>ARDEN D. BANDAL</v>
      </c>
      <c r="I39" s="46" t="str">
        <f ca="1">IFERROR(__xludf.DUMMYFUNCTION("""COMPUTED_VALUE"""),"ASST. DIRECTOR")</f>
        <v>ASST. DIRECTOR</v>
      </c>
      <c r="J39" s="46" t="str">
        <f ca="1">IFERROR(__xludf.DUMMYFUNCTION("""COMPUTED_VALUE"""),"2023-07-015S")</f>
        <v>2023-07-015S</v>
      </c>
      <c r="K39" s="46" t="str">
        <f ca="1">IFERROR(__xludf.DUMMYFUNCTION("""COMPUTED_VALUE"""),"ARDEN D. BANDAL")</f>
        <v>ARDEN D. BANDAL</v>
      </c>
      <c r="L39" s="46" t="str">
        <f ca="1">IFERROR(__xludf.DUMMYFUNCTION("""COMPUTED_VALUE"""),"MISS")</f>
        <v>MISS</v>
      </c>
      <c r="M39" s="46" t="str">
        <f ca="1">IFERROR(__xludf.DUMMYFUNCTION("""COMPUTED_VALUE"""),"SERVICEABLE")</f>
        <v>SERVICEABLE</v>
      </c>
      <c r="N39" s="46"/>
    </row>
    <row r="40" spans="1:14" ht="13.8">
      <c r="A40" s="46" t="str">
        <f ca="1">IFERROR(__xludf.DUMMYFUNCTION("""COMPUTED_VALUE"""),"DARCO")</f>
        <v>DARCO</v>
      </c>
      <c r="B40" s="46" t="str">
        <f ca="1">IFERROR(__xludf.DUMMYFUNCTION("""COMPUTED_VALUE"""),"CENTRAL OFFICE")</f>
        <v>CENTRAL OFFICE</v>
      </c>
      <c r="C40" s="47" t="str">
        <f ca="1">IFERROR(__xludf.DUMMYFUNCTION("""COMPUTED_VALUE"""),"Laptop – (ACER EXTENSA EX215-55G i7)")</f>
        <v>Laptop – (ACER EXTENSA EX215-55G i7)</v>
      </c>
      <c r="D40" s="47"/>
      <c r="E40" s="46"/>
      <c r="F40" s="46" t="str">
        <f ca="1">IFERROR(__xludf.DUMMYFUNCTION("""COMPUTED_VALUE"""),"2023-05-03-10202SP94-01")</f>
        <v>2023-05-03-10202SP94-01</v>
      </c>
      <c r="G40" s="46"/>
      <c r="H40" s="46" t="str">
        <f ca="1">IFERROR(__xludf.DUMMYFUNCTION("""COMPUTED_VALUE"""),"ELIZABETH F. DAMASCO")</f>
        <v>ELIZABETH F. DAMASCO</v>
      </c>
      <c r="I40" s="46" t="str">
        <f ca="1">IFERROR(__xludf.DUMMYFUNCTION("""COMPUTED_VALUE"""),"CHIEF")</f>
        <v>CHIEF</v>
      </c>
      <c r="J40" s="46" t="str">
        <f ca="1">IFERROR(__xludf.DUMMYFUNCTION("""COMPUTED_VALUE"""),"2023-07-016S")</f>
        <v>2023-07-016S</v>
      </c>
      <c r="K40" s="46" t="str">
        <f ca="1">IFERROR(__xludf.DUMMYFUNCTION("""COMPUTED_VALUE"""),"ELIZABETH F. DAMASCO")</f>
        <v>ELIZABETH F. DAMASCO</v>
      </c>
      <c r="L40" s="46" t="str">
        <f ca="1">IFERROR(__xludf.DUMMYFUNCTION("""COMPUTED_VALUE"""),"MISS")</f>
        <v>MISS</v>
      </c>
      <c r="M40" s="46" t="str">
        <f ca="1">IFERROR(__xludf.DUMMYFUNCTION("""COMPUTED_VALUE"""),"SERVICEABLE")</f>
        <v>SERVICEABLE</v>
      </c>
      <c r="N40" s="46"/>
    </row>
    <row r="41" spans="1:14" ht="13.8">
      <c r="A41" s="46" t="str">
        <f ca="1">IFERROR(__xludf.DUMMYFUNCTION("""COMPUTED_VALUE"""),"DARCO")</f>
        <v>DARCO</v>
      </c>
      <c r="B41" s="46" t="str">
        <f ca="1">IFERROR(__xludf.DUMMYFUNCTION("""COMPUTED_VALUE"""),"CENTRAL OFFICE")</f>
        <v>CENTRAL OFFICE</v>
      </c>
      <c r="C41" s="47" t="str">
        <f ca="1">IFERROR(__xludf.DUMMYFUNCTION("""COMPUTED_VALUE"""),"Laptop – (ACER EXTENSA EX215-55G i7)")</f>
        <v>Laptop – (ACER EXTENSA EX215-55G i7)</v>
      </c>
      <c r="D41" s="47"/>
      <c r="E41" s="46"/>
      <c r="F41" s="46" t="str">
        <f ca="1">IFERROR(__xludf.DUMMYFUNCTION("""COMPUTED_VALUE"""),"2023-05-03-10202SP95-01")</f>
        <v>2023-05-03-10202SP95-01</v>
      </c>
      <c r="G41" s="46"/>
      <c r="H41" s="46" t="str">
        <f ca="1">IFERROR(__xludf.DUMMYFUNCTION("""COMPUTED_VALUE"""),"JENER URFINDO C. BACUYAG")</f>
        <v>JENER URFINDO C. BACUYAG</v>
      </c>
      <c r="I41" s="46" t="str">
        <f ca="1">IFERROR(__xludf.DUMMYFUNCTION("""COMPUTED_VALUE"""),"CHIEF")</f>
        <v>CHIEF</v>
      </c>
      <c r="J41" s="46" t="str">
        <f ca="1">IFERROR(__xludf.DUMMYFUNCTION("""COMPUTED_VALUE"""),"2023-07-017S")</f>
        <v>2023-07-017S</v>
      </c>
      <c r="K41" s="46" t="str">
        <f ca="1">IFERROR(__xludf.DUMMYFUNCTION("""COMPUTED_VALUE"""),"JENER URFINDO C. BACUYAG")</f>
        <v>JENER URFINDO C. BACUYAG</v>
      </c>
      <c r="L41" s="46" t="str">
        <f ca="1">IFERROR(__xludf.DUMMYFUNCTION("""COMPUTED_VALUE"""),"MISS")</f>
        <v>MISS</v>
      </c>
      <c r="M41" s="46" t="str">
        <f ca="1">IFERROR(__xludf.DUMMYFUNCTION("""COMPUTED_VALUE"""),"SERVICEABLE")</f>
        <v>SERVICEABLE</v>
      </c>
      <c r="N41" s="46"/>
    </row>
    <row r="42" spans="1:14" ht="13.8">
      <c r="A42" s="46" t="str">
        <f ca="1">IFERROR(__xludf.DUMMYFUNCTION("""COMPUTED_VALUE"""),"DARCO")</f>
        <v>DARCO</v>
      </c>
      <c r="B42" s="46" t="str">
        <f ca="1">IFERROR(__xludf.DUMMYFUNCTION("""COMPUTED_VALUE"""),"CENTRAL OFFICE")</f>
        <v>CENTRAL OFFICE</v>
      </c>
      <c r="C42" s="47" t="str">
        <f ca="1">IFERROR(__xludf.DUMMYFUNCTION("""COMPUTED_VALUE"""),"Laptop – (ACER EXTENSA EX215-55G i7)")</f>
        <v>Laptop – (ACER EXTENSA EX215-55G i7)</v>
      </c>
      <c r="D42" s="47"/>
      <c r="E42" s="46"/>
      <c r="F42" s="46" t="str">
        <f ca="1">IFERROR(__xludf.DUMMYFUNCTION("""COMPUTED_VALUE"""),"2023-05-03-10202SP96-01")</f>
        <v>2023-05-03-10202SP96-01</v>
      </c>
      <c r="G42" s="46"/>
      <c r="H42" s="46" t="str">
        <f ca="1">IFERROR(__xludf.DUMMYFUNCTION("""COMPUTED_VALUE"""),"ASEC FMAO")</f>
        <v>ASEC FMAO</v>
      </c>
      <c r="I42" s="46" t="str">
        <f ca="1">IFERROR(__xludf.DUMMYFUNCTION("""COMPUTED_VALUE"""),"ASEC")</f>
        <v>ASEC</v>
      </c>
      <c r="J42" s="46" t="str">
        <f ca="1">IFERROR(__xludf.DUMMYFUNCTION("""COMPUTED_VALUE"""),"2023-07-021S")</f>
        <v>2023-07-021S</v>
      </c>
      <c r="K42" s="46" t="str">
        <f ca="1">IFERROR(__xludf.DUMMYFUNCTION("""COMPUTED_VALUE"""),"ASEC FMAO")</f>
        <v>ASEC FMAO</v>
      </c>
      <c r="L42" s="46" t="str">
        <f ca="1">IFERROR(__xludf.DUMMYFUNCTION("""COMPUTED_VALUE"""),"AFMAO")</f>
        <v>AFMAO</v>
      </c>
      <c r="M42" s="46" t="str">
        <f ca="1">IFERROR(__xludf.DUMMYFUNCTION("""COMPUTED_VALUE"""),"SERVICEABLE")</f>
        <v>SERVICEABLE</v>
      </c>
      <c r="N42" s="46"/>
    </row>
    <row r="43" spans="1:14" ht="13.8">
      <c r="A43" s="46" t="str">
        <f ca="1">IFERROR(__xludf.DUMMYFUNCTION("""COMPUTED_VALUE"""),"DARCO")</f>
        <v>DARCO</v>
      </c>
      <c r="B43" s="46" t="str">
        <f ca="1">IFERROR(__xludf.DUMMYFUNCTION("""COMPUTED_VALUE"""),"CENTRAL OFFICE")</f>
        <v>CENTRAL OFFICE</v>
      </c>
      <c r="C43" s="47" t="str">
        <f ca="1">IFERROR(__xludf.DUMMYFUNCTION("""COMPUTED_VALUE"""),"Laptop – (ACER EXTENSA EX215-55G i7)")</f>
        <v>Laptop – (ACER EXTENSA EX215-55G i7)</v>
      </c>
      <c r="D43" s="47"/>
      <c r="E43" s="46"/>
      <c r="F43" s="46" t="str">
        <f ca="1">IFERROR(__xludf.DUMMYFUNCTION("""COMPUTED_VALUE"""),"2023-05-03-10202SP97-01")</f>
        <v>2023-05-03-10202SP97-01</v>
      </c>
      <c r="G43" s="46"/>
      <c r="H43" s="46" t="str">
        <f ca="1">IFERROR(__xludf.DUMMYFUNCTION("""COMPUTED_VALUE"""),"LILIBETH G. LEE")</f>
        <v>LILIBETH G. LEE</v>
      </c>
      <c r="I43" s="46" t="str">
        <f ca="1">IFERROR(__xludf.DUMMYFUNCTION("""COMPUTED_VALUE"""),"DIRECTOR")</f>
        <v>DIRECTOR</v>
      </c>
      <c r="J43" s="46" t="str">
        <f ca="1">IFERROR(__xludf.DUMMYFUNCTION("""COMPUTED_VALUE"""),"2023-07-022S")</f>
        <v>2023-07-022S</v>
      </c>
      <c r="K43" s="46" t="str">
        <f ca="1">IFERROR(__xludf.DUMMYFUNCTION("""COMPUTED_VALUE"""),"LILIBETH G. LEE")</f>
        <v>LILIBETH G. LEE</v>
      </c>
      <c r="L43" s="46" t="str">
        <f ca="1">IFERROR(__xludf.DUMMYFUNCTION("""COMPUTED_VALUE"""),"BLTI")</f>
        <v>BLTI</v>
      </c>
      <c r="M43" s="46" t="str">
        <f ca="1">IFERROR(__xludf.DUMMYFUNCTION("""COMPUTED_VALUE"""),"SERVICEABLE")</f>
        <v>SERVICEABLE</v>
      </c>
      <c r="N43" s="46"/>
    </row>
    <row r="44" spans="1:14" ht="13.8">
      <c r="A44" s="46" t="str">
        <f ca="1">IFERROR(__xludf.DUMMYFUNCTION("""COMPUTED_VALUE"""),"DARCO")</f>
        <v>DARCO</v>
      </c>
      <c r="B44" s="46" t="str">
        <f ca="1">IFERROR(__xludf.DUMMYFUNCTION("""COMPUTED_VALUE"""),"CENTRAL OFFICE")</f>
        <v>CENTRAL OFFICE</v>
      </c>
      <c r="C44" s="47" t="str">
        <f ca="1">IFERROR(__xludf.DUMMYFUNCTION("""COMPUTED_VALUE"""),"Laptop – (ACER EXTENSA EX215-55G i7)")</f>
        <v>Laptop – (ACER EXTENSA EX215-55G i7)</v>
      </c>
      <c r="D44" s="47"/>
      <c r="E44" s="46"/>
      <c r="F44" s="46" t="str">
        <f ca="1">IFERROR(__xludf.DUMMYFUNCTION("""COMPUTED_VALUE"""),"2023-05-03-10202SP98-01")</f>
        <v>2023-05-03-10202SP98-01</v>
      </c>
      <c r="G44" s="46"/>
      <c r="H44" s="46" t="str">
        <f ca="1">IFERROR(__xludf.DUMMYFUNCTION("""COMPUTED_VALUE"""),"ATTY. RUJEN RUJH MAGLIBA")</f>
        <v>ATTY. RUJEN RUJH MAGLIBA</v>
      </c>
      <c r="I44" s="46" t="str">
        <f ca="1">IFERROR(__xludf.DUMMYFUNCTION("""COMPUTED_VALUE"""),"EA")</f>
        <v>EA</v>
      </c>
      <c r="J44" s="46" t="str">
        <f ca="1">IFERROR(__xludf.DUMMYFUNCTION("""COMPUTED_VALUE"""),"2023-08-024S")</f>
        <v>2023-08-024S</v>
      </c>
      <c r="K44" s="46" t="str">
        <f ca="1">IFERROR(__xludf.DUMMYFUNCTION("""COMPUTED_VALUE"""),"ATTY. RUJEN RUJH MAGLIBA")</f>
        <v>ATTY. RUJEN RUJH MAGLIBA</v>
      </c>
      <c r="L44" s="46" t="str">
        <f ca="1">IFERROR(__xludf.DUMMYFUNCTION("""COMPUTED_VALUE"""),"OSEC")</f>
        <v>OSEC</v>
      </c>
      <c r="M44" s="46" t="str">
        <f ca="1">IFERROR(__xludf.DUMMYFUNCTION("""COMPUTED_VALUE"""),"SERVICEABLE")</f>
        <v>SERVICEABLE</v>
      </c>
      <c r="N44" s="46"/>
    </row>
    <row r="45" spans="1:14" ht="13.8">
      <c r="A45" s="46" t="str">
        <f ca="1">IFERROR(__xludf.DUMMYFUNCTION("""COMPUTED_VALUE"""),"DARCO")</f>
        <v>DARCO</v>
      </c>
      <c r="B45" s="46" t="str">
        <f ca="1">IFERROR(__xludf.DUMMYFUNCTION("""COMPUTED_VALUE"""),"CENTRAL OFFICE")</f>
        <v>CENTRAL OFFICE</v>
      </c>
      <c r="C45" s="47" t="str">
        <f ca="1">IFERROR(__xludf.DUMMYFUNCTION("""COMPUTED_VALUE"""),"Laptop – (ACER EXTENSA EX215-55G i7)")</f>
        <v>Laptop – (ACER EXTENSA EX215-55G i7)</v>
      </c>
      <c r="D45" s="47"/>
      <c r="E45" s="46"/>
      <c r="F45" s="46" t="str">
        <f ca="1">IFERROR(__xludf.DUMMYFUNCTION("""COMPUTED_VALUE"""),"2023-05-03-10202SP99-01")</f>
        <v>2023-05-03-10202SP99-01</v>
      </c>
      <c r="G45" s="46"/>
      <c r="H45" s="46" t="str">
        <f ca="1">IFERROR(__xludf.DUMMYFUNCTION("""COMPUTED_VALUE"""),"CRISTINA DAGDAG")</f>
        <v>CRISTINA DAGDAG</v>
      </c>
      <c r="I45" s="46" t="str">
        <f ca="1">IFERROR(__xludf.DUMMYFUNCTION("""COMPUTED_VALUE"""),"CAO")</f>
        <v>CAO</v>
      </c>
      <c r="J45" s="46" t="str">
        <f ca="1">IFERROR(__xludf.DUMMYFUNCTION("""COMPUTED_VALUE"""),"2023-08-025S")</f>
        <v>2023-08-025S</v>
      </c>
      <c r="K45" s="46" t="str">
        <f ca="1">IFERROR(__xludf.DUMMYFUNCTION("""COMPUTED_VALUE"""),"CRISTINA DAGDAG")</f>
        <v>CRISTINA DAGDAG</v>
      </c>
      <c r="L45" s="46" t="str">
        <f ca="1">IFERROR(__xludf.DUMMYFUNCTION("""COMPUTED_VALUE"""),"SPLIT")</f>
        <v>SPLIT</v>
      </c>
      <c r="M45" s="46" t="str">
        <f ca="1">IFERROR(__xludf.DUMMYFUNCTION("""COMPUTED_VALUE"""),"SERVICEABLE")</f>
        <v>SERVICEABLE</v>
      </c>
      <c r="N45" s="46"/>
    </row>
    <row r="46" spans="1:14" ht="13.8">
      <c r="A46" s="46" t="str">
        <f ca="1">IFERROR(__xludf.DUMMYFUNCTION("""COMPUTED_VALUE"""),"DARCO")</f>
        <v>DARCO</v>
      </c>
      <c r="B46" s="46" t="str">
        <f ca="1">IFERROR(__xludf.DUMMYFUNCTION("""COMPUTED_VALUE"""),"CENTRAL OFFICE")</f>
        <v>CENTRAL OFFICE</v>
      </c>
      <c r="C46" s="47" t="str">
        <f ca="1">IFERROR(__xludf.DUMMYFUNCTION("""COMPUTED_VALUE"""),"Laptop – (ACER EXTENSA EX215-55G i7)")</f>
        <v>Laptop – (ACER EXTENSA EX215-55G i7)</v>
      </c>
      <c r="D46" s="47"/>
      <c r="E46" s="46"/>
      <c r="F46" s="46" t="str">
        <f ca="1">IFERROR(__xludf.DUMMYFUNCTION("""COMPUTED_VALUE"""),"2023-05-03-10202SP100-01")</f>
        <v>2023-05-03-10202SP100-01</v>
      </c>
      <c r="G46" s="46"/>
      <c r="H46" s="46" t="str">
        <f ca="1">IFERROR(__xludf.DUMMYFUNCTION("""COMPUTED_VALUE"""),"DENNIS RAMOS")</f>
        <v>DENNIS RAMOS</v>
      </c>
      <c r="I46" s="46" t="str">
        <f ca="1">IFERROR(__xludf.DUMMYFUNCTION("""COMPUTED_VALUE"""),"DIRECTOR")</f>
        <v>DIRECTOR</v>
      </c>
      <c r="J46" s="46" t="str">
        <f ca="1">IFERROR(__xludf.DUMMYFUNCTION("""COMPUTED_VALUE"""),"2023-08-026S")</f>
        <v>2023-08-026S</v>
      </c>
      <c r="K46" s="46" t="str">
        <f ca="1">IFERROR(__xludf.DUMMYFUNCTION("""COMPUTED_VALUE"""),"DENNIS RAMOS")</f>
        <v>DENNIS RAMOS</v>
      </c>
      <c r="L46" s="46" t="str">
        <f ca="1">IFERROR(__xludf.DUMMYFUNCTION("""COMPUTED_VALUE"""),"FMS OD")</f>
        <v>FMS OD</v>
      </c>
      <c r="M46" s="46" t="str">
        <f ca="1">IFERROR(__xludf.DUMMYFUNCTION("""COMPUTED_VALUE"""),"SERVICEABLE")</f>
        <v>SERVICEABLE</v>
      </c>
      <c r="N46" s="46"/>
    </row>
    <row r="47" spans="1:14" ht="13.8">
      <c r="A47" s="46" t="str">
        <f ca="1">IFERROR(__xludf.DUMMYFUNCTION("""COMPUTED_VALUE"""),"DARCO")</f>
        <v>DARCO</v>
      </c>
      <c r="B47" s="46" t="str">
        <f ca="1">IFERROR(__xludf.DUMMYFUNCTION("""COMPUTED_VALUE"""),"CENTRAL OFFICE")</f>
        <v>CENTRAL OFFICE</v>
      </c>
      <c r="C47" s="47" t="str">
        <f ca="1">IFERROR(__xludf.DUMMYFUNCTION("""COMPUTED_VALUE"""),"Laptop – (ACER EXTENSA EX215-55G i7)")</f>
        <v>Laptop – (ACER EXTENSA EX215-55G i7)</v>
      </c>
      <c r="D47" s="47"/>
      <c r="E47" s="46"/>
      <c r="F47" s="46" t="str">
        <f ca="1">IFERROR(__xludf.DUMMYFUNCTION("""COMPUTED_VALUE"""),"2023-05-03-10202SP101-01")</f>
        <v>2023-05-03-10202SP101-01</v>
      </c>
      <c r="G47" s="46"/>
      <c r="H47" s="46" t="str">
        <f ca="1">IFERROR(__xludf.DUMMYFUNCTION("""COMPUTED_VALUE"""),"FE LEZZIE A. FALCON")</f>
        <v>FE LEZZIE A. FALCON</v>
      </c>
      <c r="I47" s="46" t="str">
        <f ca="1">IFERROR(__xludf.DUMMYFUNCTION("""COMPUTED_VALUE"""),"CARPO")</f>
        <v>CARPO</v>
      </c>
      <c r="J47" s="46" t="str">
        <f ca="1">IFERROR(__xludf.DUMMYFUNCTION("""COMPUTED_VALUE"""),"2023-07-018S")</f>
        <v>2023-07-018S</v>
      </c>
      <c r="K47" s="46" t="str">
        <f ca="1">IFERROR(__xludf.DUMMYFUNCTION("""COMPUTED_VALUE"""),"FE LEZZIE A. FALCON")</f>
        <v>FE LEZZIE A. FALCON</v>
      </c>
      <c r="L47" s="46" t="str">
        <f ca="1">IFERROR(__xludf.DUMMYFUNCTION("""COMPUTED_VALUE"""),"BLTI")</f>
        <v>BLTI</v>
      </c>
      <c r="M47" s="46" t="str">
        <f ca="1">IFERROR(__xludf.DUMMYFUNCTION("""COMPUTED_VALUE"""),"SERVICEABLE")</f>
        <v>SERVICEABLE</v>
      </c>
      <c r="N47" s="46"/>
    </row>
    <row r="48" spans="1:14" ht="13.8">
      <c r="A48" s="46" t="str">
        <f ca="1">IFERROR(__xludf.DUMMYFUNCTION("""COMPUTED_VALUE"""),"DARCO")</f>
        <v>DARCO</v>
      </c>
      <c r="B48" s="46" t="str">
        <f ca="1">IFERROR(__xludf.DUMMYFUNCTION("""COMPUTED_VALUE"""),"CENTRAL OFFICE")</f>
        <v>CENTRAL OFFICE</v>
      </c>
      <c r="C48" s="47" t="str">
        <f ca="1">IFERROR(__xludf.DUMMYFUNCTION("""COMPUTED_VALUE"""),"Laptop – (ACER EXTENSA EX215-55G i7)")</f>
        <v>Laptop – (ACER EXTENSA EX215-55G i7)</v>
      </c>
      <c r="D48" s="47"/>
      <c r="E48" s="46"/>
      <c r="F48" s="46" t="str">
        <f ca="1">IFERROR(__xludf.DUMMYFUNCTION("""COMPUTED_VALUE"""),"2023-05-03-10202SP102-01")</f>
        <v>2023-05-03-10202SP102-01</v>
      </c>
      <c r="G48" s="46"/>
      <c r="H48" s="46" t="str">
        <f ca="1">IFERROR(__xludf.DUMMYFUNCTION("""COMPUTED_VALUE"""),"ATTY. JOSEPH RAYMUND I. BAUTISTA")</f>
        <v>ATTY. JOSEPH RAYMUND I. BAUTISTA</v>
      </c>
      <c r="I48" s="46" t="str">
        <f ca="1">IFERROR(__xludf.DUMMYFUNCTION("""COMPUTED_VALUE"""),"OIC CAO")</f>
        <v>OIC CAO</v>
      </c>
      <c r="J48" s="46" t="str">
        <f ca="1">IFERROR(__xludf.DUMMYFUNCTION("""COMPUTED_VALUE"""),"2023-07-019S")</f>
        <v>2023-07-019S</v>
      </c>
      <c r="K48" s="46" t="str">
        <f ca="1">IFERROR(__xludf.DUMMYFUNCTION("""COMPUTED_VALUE"""),"ATTY. JOSEPH RAYMUND I. BAUTISTA")</f>
        <v>ATTY. JOSEPH RAYMUND I. BAUTISTA</v>
      </c>
      <c r="L48" s="46" t="str">
        <f ca="1">IFERROR(__xludf.DUMMYFUNCTION("""COMPUTED_VALUE"""),"PROCUREMENT DIV")</f>
        <v>PROCUREMENT DIV</v>
      </c>
      <c r="M48" s="46" t="str">
        <f ca="1">IFERROR(__xludf.DUMMYFUNCTION("""COMPUTED_VALUE"""),"SERVICEABLE")</f>
        <v>SERVICEABLE</v>
      </c>
      <c r="N48" s="46"/>
    </row>
    <row r="49" spans="1:14" ht="13.8">
      <c r="A49" s="46" t="str">
        <f ca="1">IFERROR(__xludf.DUMMYFUNCTION("""COMPUTED_VALUE"""),"DARCO")</f>
        <v>DARCO</v>
      </c>
      <c r="B49" s="46" t="str">
        <f ca="1">IFERROR(__xludf.DUMMYFUNCTION("""COMPUTED_VALUE"""),"CENTRAL OFFICE")</f>
        <v>CENTRAL OFFICE</v>
      </c>
      <c r="C49" s="47" t="str">
        <f ca="1">IFERROR(__xludf.DUMMYFUNCTION("""COMPUTED_VALUE"""),"Laptop – (ACER EXTENSA EX215-55G i7)")</f>
        <v>Laptop – (ACER EXTENSA EX215-55G i7)</v>
      </c>
      <c r="D49" s="47"/>
      <c r="E49" s="46"/>
      <c r="F49" s="46" t="str">
        <f ca="1">IFERROR(__xludf.DUMMYFUNCTION("""COMPUTED_VALUE"""),"2023-05-03-10202SP103-01")</f>
        <v>2023-05-03-10202SP103-01</v>
      </c>
      <c r="G49" s="46"/>
      <c r="H49" s="46" t="str">
        <f ca="1">IFERROR(__xludf.DUMMYFUNCTION("""COMPUTED_VALUE"""),"ATTY. JOSEPH RAYMUND I. BAUTISTA")</f>
        <v>ATTY. JOSEPH RAYMUND I. BAUTISTA</v>
      </c>
      <c r="I49" s="46" t="str">
        <f ca="1">IFERROR(__xludf.DUMMYFUNCTION("""COMPUTED_VALUE"""),"OIC CAO")</f>
        <v>OIC CAO</v>
      </c>
      <c r="J49" s="46" t="str">
        <f ca="1">IFERROR(__xludf.DUMMYFUNCTION("""COMPUTED_VALUE"""),"2023-07-019S")</f>
        <v>2023-07-019S</v>
      </c>
      <c r="K49" s="46" t="str">
        <f ca="1">IFERROR(__xludf.DUMMYFUNCTION("""COMPUTED_VALUE"""),"ATTY. JOSEPH RAYMUND I. BAUTISTA")</f>
        <v>ATTY. JOSEPH RAYMUND I. BAUTISTA</v>
      </c>
      <c r="L49" s="46" t="str">
        <f ca="1">IFERROR(__xludf.DUMMYFUNCTION("""COMPUTED_VALUE"""),"PROCUREMENT DIV")</f>
        <v>PROCUREMENT DIV</v>
      </c>
      <c r="M49" s="46" t="str">
        <f ca="1">IFERROR(__xludf.DUMMYFUNCTION("""COMPUTED_VALUE"""),"SERVICEABLE")</f>
        <v>SERVICEABLE</v>
      </c>
      <c r="N49" s="46"/>
    </row>
    <row r="50" spans="1:14" ht="13.8">
      <c r="A50" s="46" t="str">
        <f ca="1">IFERROR(__xludf.DUMMYFUNCTION("""COMPUTED_VALUE"""),"DARCO")</f>
        <v>DARCO</v>
      </c>
      <c r="B50" s="46" t="str">
        <f ca="1">IFERROR(__xludf.DUMMYFUNCTION("""COMPUTED_VALUE"""),"CENTRAL OFFICE")</f>
        <v>CENTRAL OFFICE</v>
      </c>
      <c r="C50" s="47" t="str">
        <f ca="1">IFERROR(__xludf.DUMMYFUNCTION("""COMPUTED_VALUE"""),"Laptop – (ACER EXTENSA EX215-55G i7)")</f>
        <v>Laptop – (ACER EXTENSA EX215-55G i7)</v>
      </c>
      <c r="D50" s="47"/>
      <c r="E50" s="46"/>
      <c r="F50" s="46" t="str">
        <f ca="1">IFERROR(__xludf.DUMMYFUNCTION("""COMPUTED_VALUE"""),"2023-05-03-10202SP104-01")</f>
        <v>2023-05-03-10202SP104-01</v>
      </c>
      <c r="G50" s="46"/>
      <c r="H50" s="46" t="str">
        <f ca="1">IFERROR(__xludf.DUMMYFUNCTION("""COMPUTED_VALUE"""),"ATTY. JOSEPH RAYMUND I. BAUTISTA")</f>
        <v>ATTY. JOSEPH RAYMUND I. BAUTISTA</v>
      </c>
      <c r="I50" s="46" t="str">
        <f ca="1">IFERROR(__xludf.DUMMYFUNCTION("""COMPUTED_VALUE"""),"OIC CAO")</f>
        <v>OIC CAO</v>
      </c>
      <c r="J50" s="46" t="str">
        <f ca="1">IFERROR(__xludf.DUMMYFUNCTION("""COMPUTED_VALUE"""),"2023-07-019S")</f>
        <v>2023-07-019S</v>
      </c>
      <c r="K50" s="46" t="str">
        <f ca="1">IFERROR(__xludf.DUMMYFUNCTION("""COMPUTED_VALUE"""),"ATTY. JOSEPH RAYMUND I. BAUTISTA")</f>
        <v>ATTY. JOSEPH RAYMUND I. BAUTISTA</v>
      </c>
      <c r="L50" s="46" t="str">
        <f ca="1">IFERROR(__xludf.DUMMYFUNCTION("""COMPUTED_VALUE"""),"PROCUREMENT DIV")</f>
        <v>PROCUREMENT DIV</v>
      </c>
      <c r="M50" s="46" t="str">
        <f ca="1">IFERROR(__xludf.DUMMYFUNCTION("""COMPUTED_VALUE"""),"SERVICEABLE")</f>
        <v>SERVICEABLE</v>
      </c>
      <c r="N50" s="46"/>
    </row>
    <row r="51" spans="1:14" ht="13.8">
      <c r="A51" s="46" t="str">
        <f ca="1">IFERROR(__xludf.DUMMYFUNCTION("""COMPUTED_VALUE"""),"DARCO")</f>
        <v>DARCO</v>
      </c>
      <c r="B51" s="46" t="str">
        <f ca="1">IFERROR(__xludf.DUMMYFUNCTION("""COMPUTED_VALUE"""),"CENTRAL OFFICE")</f>
        <v>CENTRAL OFFICE</v>
      </c>
      <c r="C51" s="47" t="str">
        <f ca="1">IFERROR(__xludf.DUMMYFUNCTION("""COMPUTED_VALUE"""),"Laptop – (ACER EXTENSA EX215-55G i7)")</f>
        <v>Laptop – (ACER EXTENSA EX215-55G i7)</v>
      </c>
      <c r="D51" s="47"/>
      <c r="E51" s="46"/>
      <c r="F51" s="46" t="str">
        <f ca="1">IFERROR(__xludf.DUMMYFUNCTION("""COMPUTED_VALUE"""),"2023-05-03-10202SP105-01")</f>
        <v>2023-05-03-10202SP105-01</v>
      </c>
      <c r="G51" s="46"/>
      <c r="H51" s="46" t="str">
        <f ca="1">IFERROR(__xludf.DUMMYFUNCTION("""COMPUTED_VALUE"""),"MA. CRISTINA C. DAGDAG")</f>
        <v>MA. CRISTINA C. DAGDAG</v>
      </c>
      <c r="I51" s="46" t="str">
        <f ca="1">IFERROR(__xludf.DUMMYFUNCTION("""COMPUTED_VALUE"""),"CAO")</f>
        <v>CAO</v>
      </c>
      <c r="J51" s="46" t="str">
        <f ca="1">IFERROR(__xludf.DUMMYFUNCTION("""COMPUTED_VALUE"""),"2023-07-020S")</f>
        <v>2023-07-020S</v>
      </c>
      <c r="K51" s="46" t="str">
        <f ca="1">IFERROR(__xludf.DUMMYFUNCTION("""COMPUTED_VALUE"""),"MA. CRISTINA C. DAGDAG")</f>
        <v>MA. CRISTINA C. DAGDAG</v>
      </c>
      <c r="L51" s="46" t="str">
        <f ca="1">IFERROR(__xludf.DUMMYFUNCTION("""COMPUTED_VALUE"""),"SPLIT")</f>
        <v>SPLIT</v>
      </c>
      <c r="M51" s="46" t="str">
        <f ca="1">IFERROR(__xludf.DUMMYFUNCTION("""COMPUTED_VALUE"""),"SERVICEABLE")</f>
        <v>SERVICEABLE</v>
      </c>
      <c r="N51" s="46"/>
    </row>
    <row r="52" spans="1:14" ht="13.8">
      <c r="A52" s="46" t="str">
        <f ca="1">IFERROR(__xludf.DUMMYFUNCTION("""COMPUTED_VALUE"""),"DARCO")</f>
        <v>DARCO</v>
      </c>
      <c r="B52" s="46" t="str">
        <f ca="1">IFERROR(__xludf.DUMMYFUNCTION("""COMPUTED_VALUE"""),"CENTRAL OFFICE")</f>
        <v>CENTRAL OFFICE</v>
      </c>
      <c r="C52" s="47" t="str">
        <f ca="1">IFERROR(__xludf.DUMMYFUNCTION("""COMPUTED_VALUE"""),"Laptop – (ACER EXTENSA EX215-55G i7)")</f>
        <v>Laptop – (ACER EXTENSA EX215-55G i7)</v>
      </c>
      <c r="D52" s="47"/>
      <c r="E52" s="46"/>
      <c r="F52" s="46" t="str">
        <f ca="1">IFERROR(__xludf.DUMMYFUNCTION("""COMPUTED_VALUE"""),"2023-05-03-10202SP106-01")</f>
        <v>2023-05-03-10202SP106-01</v>
      </c>
      <c r="G52" s="46"/>
      <c r="H52" s="46" t="str">
        <f ca="1">IFERROR(__xludf.DUMMYFUNCTION("""COMPUTED_VALUE"""),"EMMANUEL M. FALLARIA")</f>
        <v>EMMANUEL M. FALLARIA</v>
      </c>
      <c r="I52" s="46" t="str">
        <f ca="1">IFERROR(__xludf.DUMMYFUNCTION("""COMPUTED_VALUE"""),"DIRECTOR")</f>
        <v>DIRECTOR</v>
      </c>
      <c r="J52" s="46" t="str">
        <f ca="1">IFERROR(__xludf.DUMMYFUNCTION("""COMPUTED_VALUE"""),"2023-08-027S")</f>
        <v>2023-08-027S</v>
      </c>
      <c r="K52" s="46" t="str">
        <f ca="1">IFERROR(__xludf.DUMMYFUNCTION("""COMPUTED_VALUE"""),"EMMANUEL M. FALLARIA")</f>
        <v>EMMANUEL M. FALLARIA</v>
      </c>
      <c r="L52" s="46" t="str">
        <f ca="1">IFERROR(__xludf.DUMMYFUNCTION("""COMPUTED_VALUE"""),"PS")</f>
        <v>PS</v>
      </c>
      <c r="M52" s="46" t="str">
        <f ca="1">IFERROR(__xludf.DUMMYFUNCTION("""COMPUTED_VALUE"""),"SERVICEABLE")</f>
        <v>SERVICEABLE</v>
      </c>
      <c r="N52" s="46"/>
    </row>
    <row r="53" spans="1:14" ht="13.8">
      <c r="A53" s="46" t="str">
        <f ca="1">IFERROR(__xludf.DUMMYFUNCTION("""COMPUTED_VALUE"""),"DARCO")</f>
        <v>DARCO</v>
      </c>
      <c r="B53" s="46" t="str">
        <f ca="1">IFERROR(__xludf.DUMMYFUNCTION("""COMPUTED_VALUE"""),"CENTRAL OFFICE")</f>
        <v>CENTRAL OFFICE</v>
      </c>
      <c r="C53" s="47" t="str">
        <f ca="1">IFERROR(__xludf.DUMMYFUNCTION("""COMPUTED_VALUE"""),"Laptop – (ACER EXTENSA EX215-55G i7)")</f>
        <v>Laptop – (ACER EXTENSA EX215-55G i7)</v>
      </c>
      <c r="D53" s="47"/>
      <c r="E53" s="46"/>
      <c r="F53" s="46" t="str">
        <f ca="1">IFERROR(__xludf.DUMMYFUNCTION("""COMPUTED_VALUE"""),"2023-05-03-10202SP107-01")</f>
        <v>2023-05-03-10202SP107-01</v>
      </c>
      <c r="G53" s="46"/>
      <c r="H53" s="46" t="str">
        <f ca="1">IFERROR(__xludf.DUMMYFUNCTION("""COMPUTED_VALUE"""),"BENILDA ALVAREZ")</f>
        <v>BENILDA ALVAREZ</v>
      </c>
      <c r="I53" s="46" t="str">
        <f ca="1">IFERROR(__xludf.DUMMYFUNCTION("""COMPUTED_VALUE"""),"CARPO")</f>
        <v>CARPO</v>
      </c>
      <c r="J53" s="46" t="str">
        <f ca="1">IFERROR(__xludf.DUMMYFUNCTION("""COMPUTED_VALUE"""),"2023-08-028S")</f>
        <v>2023-08-028S</v>
      </c>
      <c r="K53" s="46" t="str">
        <f ca="1">IFERROR(__xludf.DUMMYFUNCTION("""COMPUTED_VALUE"""),"BENILDA ALVAREZ")</f>
        <v>BENILDA ALVAREZ</v>
      </c>
      <c r="L53" s="46" t="str">
        <f ca="1">IFERROR(__xludf.DUMMYFUNCTION("""COMPUTED_VALUE"""),"BLTI")</f>
        <v>BLTI</v>
      </c>
      <c r="M53" s="46" t="str">
        <f ca="1">IFERROR(__xludf.DUMMYFUNCTION("""COMPUTED_VALUE"""),"SERVICEABLE")</f>
        <v>SERVICEABLE</v>
      </c>
      <c r="N53" s="46"/>
    </row>
    <row r="54" spans="1:14" ht="13.8">
      <c r="A54" s="46" t="str">
        <f ca="1">IFERROR(__xludf.DUMMYFUNCTION("""COMPUTED_VALUE"""),"DARCO")</f>
        <v>DARCO</v>
      </c>
      <c r="B54" s="46" t="str">
        <f ca="1">IFERROR(__xludf.DUMMYFUNCTION("""COMPUTED_VALUE"""),"CENTRAL OFFICE")</f>
        <v>CENTRAL OFFICE</v>
      </c>
      <c r="C54" s="47" t="str">
        <f ca="1">IFERROR(__xludf.DUMMYFUNCTION("""COMPUTED_VALUE"""),"Laptop – (ACER EXTENSA EX215-55G i7)")</f>
        <v>Laptop – (ACER EXTENSA EX215-55G i7)</v>
      </c>
      <c r="D54" s="47"/>
      <c r="E54" s="46"/>
      <c r="F54" s="46" t="str">
        <f ca="1">IFERROR(__xludf.DUMMYFUNCTION("""COMPUTED_VALUE"""),"2023-05-03-10202SP108-01")</f>
        <v>2023-05-03-10202SP108-01</v>
      </c>
      <c r="G54" s="46"/>
      <c r="H54" s="46" t="str">
        <f ca="1">IFERROR(__xludf.DUMMYFUNCTION("""COMPUTED_VALUE"""),"ATTY. MARIA CHRISTINE EVANGELISTA")</f>
        <v>ATTY. MARIA CHRISTINE EVANGELISTA</v>
      </c>
      <c r="I54" s="46" t="str">
        <f ca="1">IFERROR(__xludf.DUMMYFUNCTION("""COMPUTED_VALUE"""),"CHIEF")</f>
        <v>CHIEF</v>
      </c>
      <c r="J54" s="46" t="str">
        <f ca="1">IFERROR(__xludf.DUMMYFUNCTION("""COMPUTED_VALUE"""),"2023-08-029S")</f>
        <v>2023-08-029S</v>
      </c>
      <c r="K54" s="46" t="str">
        <f ca="1">IFERROR(__xludf.DUMMYFUNCTION("""COMPUTED_VALUE"""),"ATTY. MARIA CHRISTINE EVANGELISTA")</f>
        <v>ATTY. MARIA CHRISTINE EVANGELISTA</v>
      </c>
      <c r="L54" s="46" t="str">
        <f ca="1">IFERROR(__xludf.DUMMYFUNCTION("""COMPUTED_VALUE"""),"BALA")</f>
        <v>BALA</v>
      </c>
      <c r="M54" s="46" t="str">
        <f ca="1">IFERROR(__xludf.DUMMYFUNCTION("""COMPUTED_VALUE"""),"SERVICEABLE")</f>
        <v>SERVICEABLE</v>
      </c>
      <c r="N54" s="46"/>
    </row>
    <row r="55" spans="1:14" ht="13.8">
      <c r="A55" s="46" t="str">
        <f ca="1">IFERROR(__xludf.DUMMYFUNCTION("""COMPUTED_VALUE"""),"DARCO")</f>
        <v>DARCO</v>
      </c>
      <c r="B55" s="46" t="str">
        <f ca="1">IFERROR(__xludf.DUMMYFUNCTION("""COMPUTED_VALUE"""),"CENTRAL OFFICE")</f>
        <v>CENTRAL OFFICE</v>
      </c>
      <c r="C55" s="47" t="str">
        <f ca="1">IFERROR(__xludf.DUMMYFUNCTION("""COMPUTED_VALUE"""),"Laptop – (ACER EXTENSA EX215-55G i7)")</f>
        <v>Laptop – (ACER EXTENSA EX215-55G i7)</v>
      </c>
      <c r="D55" s="47"/>
      <c r="E55" s="46"/>
      <c r="F55" s="46" t="str">
        <f ca="1">IFERROR(__xludf.DUMMYFUNCTION("""COMPUTED_VALUE"""),"2023-05-03-10202SP109-01")</f>
        <v>2023-05-03-10202SP109-01</v>
      </c>
      <c r="G55" s="46"/>
      <c r="H55" s="46" t="str">
        <f ca="1">IFERROR(__xludf.DUMMYFUNCTION("""COMPUTED_VALUE"""),"ROSARIO R. REGALADO")</f>
        <v>ROSARIO R. REGALADO</v>
      </c>
      <c r="I55" s="46"/>
      <c r="J55" s="46" t="str">
        <f ca="1">IFERROR(__xludf.DUMMYFUNCTION("""COMPUTED_VALUE"""),"2023-08-030S")</f>
        <v>2023-08-030S</v>
      </c>
      <c r="K55" s="46" t="str">
        <f ca="1">IFERROR(__xludf.DUMMYFUNCTION("""COMPUTED_VALUE"""),"ROSARIO R. REGALADO")</f>
        <v>ROSARIO R. REGALADO</v>
      </c>
      <c r="L55" s="46" t="str">
        <f ca="1">IFERROR(__xludf.DUMMYFUNCTION("""COMPUTED_VALUE"""),"PMS")</f>
        <v>PMS</v>
      </c>
      <c r="M55" s="46" t="str">
        <f ca="1">IFERROR(__xludf.DUMMYFUNCTION("""COMPUTED_VALUE"""),"SERVICEABLE")</f>
        <v>SERVICEABLE</v>
      </c>
      <c r="N55" s="46"/>
    </row>
    <row r="56" spans="1:14" ht="13.8">
      <c r="A56" s="46" t="str">
        <f ca="1">IFERROR(__xludf.DUMMYFUNCTION("""COMPUTED_VALUE"""),"DARCO")</f>
        <v>DARCO</v>
      </c>
      <c r="B56" s="46" t="str">
        <f ca="1">IFERROR(__xludf.DUMMYFUNCTION("""COMPUTED_VALUE"""),"CENTRAL OFFICE")</f>
        <v>CENTRAL OFFICE</v>
      </c>
      <c r="C56" s="47" t="str">
        <f ca="1">IFERROR(__xludf.DUMMYFUNCTION("""COMPUTED_VALUE"""),"Laptop – (ACER EXTENSA EX215-55G i7)")</f>
        <v>Laptop – (ACER EXTENSA EX215-55G i7)</v>
      </c>
      <c r="D56" s="47"/>
      <c r="E56" s="46"/>
      <c r="F56" s="46" t="str">
        <f ca="1">IFERROR(__xludf.DUMMYFUNCTION("""COMPUTED_VALUE"""),"2023-05-03-10202SP110-01")</f>
        <v>2023-05-03-10202SP110-01</v>
      </c>
      <c r="G56" s="46"/>
      <c r="H56" s="46" t="str">
        <f ca="1">IFERROR(__xludf.DUMMYFUNCTION("""COMPUTED_VALUE"""),"ONOFRE V. VALDEZ")</f>
        <v>ONOFRE V. VALDEZ</v>
      </c>
      <c r="I56" s="46" t="str">
        <f ca="1">IFERROR(__xludf.DUMMYFUNCTION("""COMPUTED_VALUE"""),"CHIEF")</f>
        <v>CHIEF</v>
      </c>
      <c r="J56" s="46" t="str">
        <f ca="1">IFERROR(__xludf.DUMMYFUNCTION("""COMPUTED_VALUE"""),"2023-08-031S")</f>
        <v>2023-08-031S</v>
      </c>
      <c r="K56" s="46" t="str">
        <f ca="1">IFERROR(__xludf.DUMMYFUNCTION("""COMPUTED_VALUE"""),"ONOFRE V. VALDEZ")</f>
        <v>ONOFRE V. VALDEZ</v>
      </c>
      <c r="L56" s="46" t="str">
        <f ca="1">IFERROR(__xludf.DUMMYFUNCTION("""COMPUTED_VALUE"""),"ACCOUNTING")</f>
        <v>ACCOUNTING</v>
      </c>
      <c r="M56" s="46" t="str">
        <f ca="1">IFERROR(__xludf.DUMMYFUNCTION("""COMPUTED_VALUE"""),"SERVICEABLE")</f>
        <v>SERVICEABLE</v>
      </c>
      <c r="N56" s="46"/>
    </row>
    <row r="57" spans="1:14" ht="13.8">
      <c r="A57" s="46" t="str">
        <f ca="1">IFERROR(__xludf.DUMMYFUNCTION("""COMPUTED_VALUE"""),"DARCO")</f>
        <v>DARCO</v>
      </c>
      <c r="B57" s="46" t="str">
        <f ca="1">IFERROR(__xludf.DUMMYFUNCTION("""COMPUTED_VALUE"""),"CENTRAL OFFICE")</f>
        <v>CENTRAL OFFICE</v>
      </c>
      <c r="C57" s="47" t="str">
        <f ca="1">IFERROR(__xludf.DUMMYFUNCTION("""COMPUTED_VALUE"""),"Laptop – (ACER EXTENSA EX215-55G i7)")</f>
        <v>Laptop – (ACER EXTENSA EX215-55G i7)</v>
      </c>
      <c r="D57" s="47"/>
      <c r="E57" s="46"/>
      <c r="F57" s="46" t="str">
        <f ca="1">IFERROR(__xludf.DUMMYFUNCTION("""COMPUTED_VALUE"""),"2023-05-03-10202SP111-01")</f>
        <v>2023-05-03-10202SP111-01</v>
      </c>
      <c r="G57" s="46"/>
      <c r="H57" s="46" t="str">
        <f ca="1">IFERROR(__xludf.DUMMYFUNCTION("""COMPUTED_VALUE"""),"JAMIL P. AMATONDING JR.")</f>
        <v>JAMIL P. AMATONDING JR.</v>
      </c>
      <c r="I57" s="46" t="str">
        <f ca="1">IFERROR(__xludf.DUMMYFUNCTION("""COMPUTED_VALUE"""),"DIRECTOR")</f>
        <v>DIRECTOR</v>
      </c>
      <c r="J57" s="46" t="str">
        <f ca="1">IFERROR(__xludf.DUMMYFUNCTION("""COMPUTED_VALUE"""),"2023-08-032S")</f>
        <v>2023-08-032S</v>
      </c>
      <c r="K57" s="46" t="str">
        <f ca="1">IFERROR(__xludf.DUMMYFUNCTION("""COMPUTED_VALUE"""),"JAMIL P. AMATONDING JR.")</f>
        <v>JAMIL P. AMATONDING JR.</v>
      </c>
      <c r="L57" s="46" t="str">
        <f ca="1">IFERROR(__xludf.DUMMYFUNCTION("""COMPUTED_VALUE"""),"PRS")</f>
        <v>PRS</v>
      </c>
      <c r="M57" s="46" t="str">
        <f ca="1">IFERROR(__xludf.DUMMYFUNCTION("""COMPUTED_VALUE"""),"SERVICEABLE")</f>
        <v>SERVICEABLE</v>
      </c>
      <c r="N57" s="46"/>
    </row>
    <row r="58" spans="1:14" ht="13.8">
      <c r="A58" s="46" t="str">
        <f ca="1">IFERROR(__xludf.DUMMYFUNCTION("""COMPUTED_VALUE"""),"DARCO")</f>
        <v>DARCO</v>
      </c>
      <c r="B58" s="46" t="str">
        <f ca="1">IFERROR(__xludf.DUMMYFUNCTION("""COMPUTED_VALUE"""),"CENTRAL OFFICE")</f>
        <v>CENTRAL OFFICE</v>
      </c>
      <c r="C58" s="47" t="str">
        <f ca="1">IFERROR(__xludf.DUMMYFUNCTION("""COMPUTED_VALUE"""),"Laptop – (ACER EXTENSA EX215-55G i7)")</f>
        <v>Laptop – (ACER EXTENSA EX215-55G i7)</v>
      </c>
      <c r="D58" s="47"/>
      <c r="E58" s="46"/>
      <c r="F58" s="46" t="str">
        <f ca="1">IFERROR(__xludf.DUMMYFUNCTION("""COMPUTED_VALUE"""),"2023-05-03-10202SP112-01")</f>
        <v>2023-05-03-10202SP112-01</v>
      </c>
      <c r="G58" s="46"/>
      <c r="H58" s="46" t="str">
        <f ca="1">IFERROR(__xludf.DUMMYFUNCTION("""COMPUTED_VALUE"""),"JOCELYN RAMONES")</f>
        <v>JOCELYN RAMONES</v>
      </c>
      <c r="I58" s="46" t="str">
        <f ca="1">IFERROR(__xludf.DUMMYFUNCTION("""COMPUTED_VALUE"""),"DIRECTOR")</f>
        <v>DIRECTOR</v>
      </c>
      <c r="J58" s="46" t="str">
        <f ca="1">IFERROR(__xludf.DUMMYFUNCTION("""COMPUTED_VALUE"""),"2023-08-033S")</f>
        <v>2023-08-033S</v>
      </c>
      <c r="K58" s="46" t="str">
        <f ca="1">IFERROR(__xludf.DUMMYFUNCTION("""COMPUTED_VALUE"""),"JOCELYN RAMONES")</f>
        <v>JOCELYN RAMONES</v>
      </c>
      <c r="L58" s="46" t="str">
        <f ca="1">IFERROR(__xludf.DUMMYFUNCTION("""COMPUTED_VALUE"""),"PARC")</f>
        <v>PARC</v>
      </c>
      <c r="M58" s="46" t="str">
        <f ca="1">IFERROR(__xludf.DUMMYFUNCTION("""COMPUTED_VALUE"""),"SERVICEABLE")</f>
        <v>SERVICEABLE</v>
      </c>
      <c r="N58" s="46"/>
    </row>
    <row r="59" spans="1:14" ht="13.8">
      <c r="A59" s="46" t="str">
        <f ca="1">IFERROR(__xludf.DUMMYFUNCTION("""COMPUTED_VALUE"""),"DARCO")</f>
        <v>DARCO</v>
      </c>
      <c r="B59" s="46" t="str">
        <f ca="1">IFERROR(__xludf.DUMMYFUNCTION("""COMPUTED_VALUE"""),"CENTRAL OFFICE")</f>
        <v>CENTRAL OFFICE</v>
      </c>
      <c r="C59" s="47" t="str">
        <f ca="1">IFERROR(__xludf.DUMMYFUNCTION("""COMPUTED_VALUE"""),"Laptop – (ACER EXTENSA EX215-55G i7)")</f>
        <v>Laptop – (ACER EXTENSA EX215-55G i7)</v>
      </c>
      <c r="D59" s="47"/>
      <c r="E59" s="46"/>
      <c r="F59" s="46" t="str">
        <f ca="1">IFERROR(__xludf.DUMMYFUNCTION("""COMPUTED_VALUE"""),"2023-05-03-10202SP113-01")</f>
        <v>2023-05-03-10202SP113-01</v>
      </c>
      <c r="G59" s="46"/>
      <c r="H59" s="46" t="str">
        <f ca="1">IFERROR(__xludf.DUMMYFUNCTION("""COMPUTED_VALUE"""),"ATTY. MACDONALD GALIT")</f>
        <v>ATTY. MACDONALD GALIT</v>
      </c>
      <c r="I59" s="46" t="str">
        <f ca="1">IFERROR(__xludf.DUMMYFUNCTION("""COMPUTED_VALUE"""),"DIRECTOR")</f>
        <v>DIRECTOR</v>
      </c>
      <c r="J59" s="46" t="str">
        <f ca="1">IFERROR(__xludf.DUMMYFUNCTION("""COMPUTED_VALUE"""),"2023-08-033S")</f>
        <v>2023-08-033S</v>
      </c>
      <c r="K59" s="46" t="str">
        <f ca="1">IFERROR(__xludf.DUMMYFUNCTION("""COMPUTED_VALUE"""),"ATTY. MACDONALD GALIT")</f>
        <v>ATTY. MACDONALD GALIT</v>
      </c>
      <c r="L59" s="46" t="str">
        <f ca="1">IFERROR(__xludf.DUMMYFUNCTION("""COMPUTED_VALUE"""),"PARC")</f>
        <v>PARC</v>
      </c>
      <c r="M59" s="46" t="str">
        <f ca="1">IFERROR(__xludf.DUMMYFUNCTION("""COMPUTED_VALUE"""),"SERVICEABLE")</f>
        <v>SERVICEABLE</v>
      </c>
      <c r="N59" s="46"/>
    </row>
    <row r="60" spans="1:14" ht="13.8">
      <c r="A60" s="46" t="str">
        <f ca="1">IFERROR(__xludf.DUMMYFUNCTION("""COMPUTED_VALUE"""),"DARCO")</f>
        <v>DARCO</v>
      </c>
      <c r="B60" s="46" t="str">
        <f ca="1">IFERROR(__xludf.DUMMYFUNCTION("""COMPUTED_VALUE"""),"CENTRAL OFFICE")</f>
        <v>CENTRAL OFFICE</v>
      </c>
      <c r="C60" s="47" t="str">
        <f ca="1">IFERROR(__xludf.DUMMYFUNCTION("""COMPUTED_VALUE"""),"Laptop – (ACER EXTENSA EX215-55G i7)")</f>
        <v>Laptop – (ACER EXTENSA EX215-55G i7)</v>
      </c>
      <c r="D60" s="47"/>
      <c r="E60" s="46"/>
      <c r="F60" s="46" t="str">
        <f ca="1">IFERROR(__xludf.DUMMYFUNCTION("""COMPUTED_VALUE"""),"2023-05-03-10202SP114-01")</f>
        <v>2023-05-03-10202SP114-01</v>
      </c>
      <c r="G60" s="46"/>
      <c r="H60" s="46" t="str">
        <f ca="1">IFERROR(__xludf.DUMMYFUNCTION("""COMPUTED_VALUE"""),"LORIVI SANTIAGO")</f>
        <v>LORIVI SANTIAGO</v>
      </c>
      <c r="I60" s="46" t="str">
        <f ca="1">IFERROR(__xludf.DUMMYFUNCTION("""COMPUTED_VALUE"""),"AUDITOR")</f>
        <v>AUDITOR</v>
      </c>
      <c r="J60" s="46" t="str">
        <f ca="1">IFERROR(__xludf.DUMMYFUNCTION("""COMPUTED_VALUE"""),"2023-08-034S")</f>
        <v>2023-08-034S</v>
      </c>
      <c r="K60" s="46" t="str">
        <f ca="1">IFERROR(__xludf.DUMMYFUNCTION("""COMPUTED_VALUE"""),"LORIVI SANTIAGO")</f>
        <v>LORIVI SANTIAGO</v>
      </c>
      <c r="L60" s="46" t="str">
        <f ca="1">IFERROR(__xludf.DUMMYFUNCTION("""COMPUTED_VALUE"""),"COA")</f>
        <v>COA</v>
      </c>
      <c r="M60" s="46" t="str">
        <f ca="1">IFERROR(__xludf.DUMMYFUNCTION("""COMPUTED_VALUE"""),"SERVICEABLE")</f>
        <v>SERVICEABLE</v>
      </c>
      <c r="N60" s="46"/>
    </row>
    <row r="61" spans="1:14" ht="13.8">
      <c r="A61" s="46" t="str">
        <f ca="1">IFERROR(__xludf.DUMMYFUNCTION("""COMPUTED_VALUE"""),"DARCO")</f>
        <v>DARCO</v>
      </c>
      <c r="B61" s="46" t="str">
        <f ca="1">IFERROR(__xludf.DUMMYFUNCTION("""COMPUTED_VALUE"""),"CENTRAL OFFICE")</f>
        <v>CENTRAL OFFICE</v>
      </c>
      <c r="C61" s="47" t="str">
        <f ca="1">IFERROR(__xludf.DUMMYFUNCTION("""COMPUTED_VALUE"""),"Laptop – (ACER EXTENSA EX215-55G i7)")</f>
        <v>Laptop – (ACER EXTENSA EX215-55G i7)</v>
      </c>
      <c r="D61" s="47"/>
      <c r="E61" s="46"/>
      <c r="F61" s="46" t="str">
        <f ca="1">IFERROR(__xludf.DUMMYFUNCTION("""COMPUTED_VALUE"""),"2023-05-03-10202SP115-01")</f>
        <v>2023-05-03-10202SP115-01</v>
      </c>
      <c r="G61" s="46"/>
      <c r="H61" s="46" t="str">
        <f ca="1">IFERROR(__xludf.DUMMYFUNCTION("""COMPUTED_VALUE"""),"LYN TRINIDAD")</f>
        <v>LYN TRINIDAD</v>
      </c>
      <c r="I61" s="46" t="str">
        <f ca="1">IFERROR(__xludf.DUMMYFUNCTION("""COMPUTED_VALUE"""),"AUDITOR")</f>
        <v>AUDITOR</v>
      </c>
      <c r="J61" s="46" t="str">
        <f ca="1">IFERROR(__xludf.DUMMYFUNCTION("""COMPUTED_VALUE"""),"2023-08-035S")</f>
        <v>2023-08-035S</v>
      </c>
      <c r="K61" s="46" t="str">
        <f ca="1">IFERROR(__xludf.DUMMYFUNCTION("""COMPUTED_VALUE"""),"LYN TRINIDAD")</f>
        <v>LYN TRINIDAD</v>
      </c>
      <c r="L61" s="46" t="str">
        <f ca="1">IFERROR(__xludf.DUMMYFUNCTION("""COMPUTED_VALUE"""),"COA")</f>
        <v>COA</v>
      </c>
      <c r="M61" s="46" t="str">
        <f ca="1">IFERROR(__xludf.DUMMYFUNCTION("""COMPUTED_VALUE"""),"SERVICEABLE")</f>
        <v>SERVICEABLE</v>
      </c>
      <c r="N61" s="46"/>
    </row>
    <row r="62" spans="1:14" ht="13.8">
      <c r="A62" s="46" t="str">
        <f ca="1">IFERROR(__xludf.DUMMYFUNCTION("""COMPUTED_VALUE"""),"DARCO")</f>
        <v>DARCO</v>
      </c>
      <c r="B62" s="46" t="str">
        <f ca="1">IFERROR(__xludf.DUMMYFUNCTION("""COMPUTED_VALUE"""),"CENTRAL OFFICE")</f>
        <v>CENTRAL OFFICE</v>
      </c>
      <c r="C62" s="47" t="str">
        <f ca="1">IFERROR(__xludf.DUMMYFUNCTION("""COMPUTED_VALUE"""),"Laptop – (ACER EXTENSA EX215-55G i7)")</f>
        <v>Laptop – (ACER EXTENSA EX215-55G i7)</v>
      </c>
      <c r="D62" s="47"/>
      <c r="E62" s="46"/>
      <c r="F62" s="46" t="str">
        <f ca="1">IFERROR(__xludf.DUMMYFUNCTION("""COMPUTED_VALUE"""),"2023-05-03-10202SP116-01")</f>
        <v>2023-05-03-10202SP116-01</v>
      </c>
      <c r="G62" s="46"/>
      <c r="H62" s="46" t="str">
        <f ca="1">IFERROR(__xludf.DUMMYFUNCTION("""COMPUTED_VALUE"""),"ATTY. ROLANDO CUA")</f>
        <v>ATTY. ROLANDO CUA</v>
      </c>
      <c r="I62" s="46" t="str">
        <f ca="1">IFERROR(__xludf.DUMMYFUNCTION("""COMPUTED_VALUE"""),"BM III")</f>
        <v>BM III</v>
      </c>
      <c r="J62" s="46" t="str">
        <f ca="1">IFERROR(__xludf.DUMMYFUNCTION("""COMPUTED_VALUE"""),"2023-08-046")</f>
        <v>2023-08-046</v>
      </c>
      <c r="K62" s="46" t="str">
        <f ca="1">IFERROR(__xludf.DUMMYFUNCTION("""COMPUTED_VALUE"""),"ATTY. ROLANDO CUA")</f>
        <v>ATTY. ROLANDO CUA</v>
      </c>
      <c r="L62" s="46" t="str">
        <f ca="1">IFERROR(__xludf.DUMMYFUNCTION("""COMPUTED_VALUE"""),"DARAB")</f>
        <v>DARAB</v>
      </c>
      <c r="M62" s="46" t="str">
        <f ca="1">IFERROR(__xludf.DUMMYFUNCTION("""COMPUTED_VALUE"""),"SERVICEABLE")</f>
        <v>SERVICEABLE</v>
      </c>
      <c r="N62" s="46"/>
    </row>
    <row r="63" spans="1:14" ht="13.8">
      <c r="A63" s="46" t="str">
        <f ca="1">IFERROR(__xludf.DUMMYFUNCTION("""COMPUTED_VALUE"""),"DARCO")</f>
        <v>DARCO</v>
      </c>
      <c r="B63" s="46" t="str">
        <f ca="1">IFERROR(__xludf.DUMMYFUNCTION("""COMPUTED_VALUE"""),"CENTRAL OFFICE")</f>
        <v>CENTRAL OFFICE</v>
      </c>
      <c r="C63" s="47" t="str">
        <f ca="1">IFERROR(__xludf.DUMMYFUNCTION("""COMPUTED_VALUE"""),"Laptop – (ACER EXTENSA EX215-55G i7)")</f>
        <v>Laptop – (ACER EXTENSA EX215-55G i7)</v>
      </c>
      <c r="D63" s="47"/>
      <c r="E63" s="46"/>
      <c r="F63" s="46" t="str">
        <f ca="1">IFERROR(__xludf.DUMMYFUNCTION("""COMPUTED_VALUE"""),"2023-05-03-10202SP117-01")</f>
        <v>2023-05-03-10202SP117-01</v>
      </c>
      <c r="G63" s="46"/>
      <c r="H63" s="46" t="str">
        <f ca="1">IFERROR(__xludf.DUMMYFUNCTION("""COMPUTED_VALUE"""),"GLENDA MARTHA TABUT")</f>
        <v>GLENDA MARTHA TABUT</v>
      </c>
      <c r="I63" s="46" t="str">
        <f ca="1">IFERROR(__xludf.DUMMYFUNCTION("""COMPUTED_VALUE"""),"EA")</f>
        <v>EA</v>
      </c>
      <c r="J63" s="46" t="str">
        <f ca="1">IFERROR(__xludf.DUMMYFUNCTION("""COMPUTED_VALUE"""),"2023-09-065S")</f>
        <v>2023-09-065S</v>
      </c>
      <c r="K63" s="46" t="str">
        <f ca="1">IFERROR(__xludf.DUMMYFUNCTION("""COMPUTED_VALUE"""),"GLENDA MARTHA TABUT")</f>
        <v>GLENDA MARTHA TABUT</v>
      </c>
      <c r="L63" s="46" t="str">
        <f ca="1">IFERROR(__xludf.DUMMYFUNCTION("""COMPUTED_VALUE"""),"OSEC")</f>
        <v>OSEC</v>
      </c>
      <c r="M63" s="46" t="str">
        <f ca="1">IFERROR(__xludf.DUMMYFUNCTION("""COMPUTED_VALUE"""),"SERVICEABLE")</f>
        <v>SERVICEABLE</v>
      </c>
      <c r="N63" s="46"/>
    </row>
    <row r="64" spans="1:14" ht="13.8">
      <c r="A64" s="46" t="str">
        <f ca="1">IFERROR(__xludf.DUMMYFUNCTION("""COMPUTED_VALUE"""),"DARCO")</f>
        <v>DARCO</v>
      </c>
      <c r="B64" s="46" t="str">
        <f ca="1">IFERROR(__xludf.DUMMYFUNCTION("""COMPUTED_VALUE"""),"CENTRAL OFFICE")</f>
        <v>CENTRAL OFFICE</v>
      </c>
      <c r="C64" s="47" t="str">
        <f ca="1">IFERROR(__xludf.DUMMYFUNCTION("""COMPUTED_VALUE"""),"Laptop – (ACER EXTENSA EX215-55G i7)")</f>
        <v>Laptop – (ACER EXTENSA EX215-55G i7)</v>
      </c>
      <c r="D64" s="47"/>
      <c r="E64" s="46"/>
      <c r="F64" s="46" t="str">
        <f ca="1">IFERROR(__xludf.DUMMYFUNCTION("""COMPUTED_VALUE"""),"2023-05-03-10202SP201-01")</f>
        <v>2023-05-03-10202SP201-01</v>
      </c>
      <c r="G64" s="46"/>
      <c r="H64" s="46" t="str">
        <f ca="1">IFERROR(__xludf.DUMMYFUNCTION("""COMPUTED_VALUE"""),"MARK ANTHONY DOMINGO")</f>
        <v>MARK ANTHONY DOMINGO</v>
      </c>
      <c r="I64" s="46" t="str">
        <f ca="1">IFERROR(__xludf.DUMMYFUNCTION("""COMPUTED_VALUE"""),"EA")</f>
        <v>EA</v>
      </c>
      <c r="J64" s="46" t="str">
        <f ca="1">IFERROR(__xludf.DUMMYFUNCTION("""COMPUTED_VALUE"""),"2023-09-060S")</f>
        <v>2023-09-060S</v>
      </c>
      <c r="K64" s="46" t="str">
        <f ca="1">IFERROR(__xludf.DUMMYFUNCTION("""COMPUTED_VALUE"""),"MARK ANTHONY DOMINGO")</f>
        <v>MARK ANTHONY DOMINGO</v>
      </c>
      <c r="L64" s="46" t="str">
        <f ca="1">IFERROR(__xludf.DUMMYFUNCTION("""COMPUTED_VALUE"""),"ULAO")</f>
        <v>ULAO</v>
      </c>
      <c r="M64" s="46" t="str">
        <f ca="1">IFERROR(__xludf.DUMMYFUNCTION("""COMPUTED_VALUE"""),"SERVICEABLE")</f>
        <v>SERVICEABLE</v>
      </c>
      <c r="N64" s="46"/>
    </row>
    <row r="65" spans="1:14" ht="13.8">
      <c r="A65" s="46" t="str">
        <f ca="1">IFERROR(__xludf.DUMMYFUNCTION("""COMPUTED_VALUE"""),"DARCO")</f>
        <v>DARCO</v>
      </c>
      <c r="B65" s="46" t="str">
        <f ca="1">IFERROR(__xludf.DUMMYFUNCTION("""COMPUTED_VALUE"""),"CENTRAL OFFICE")</f>
        <v>CENTRAL OFFICE</v>
      </c>
      <c r="C65" s="47" t="str">
        <f ca="1">IFERROR(__xludf.DUMMYFUNCTION("""COMPUTED_VALUE"""),"Laptop – (ACER EXTENSA EX215-55G i7)")</f>
        <v>Laptop – (ACER EXTENSA EX215-55G i7)</v>
      </c>
      <c r="D65" s="47"/>
      <c r="E65" s="46"/>
      <c r="F65" s="46" t="str">
        <f ca="1">IFERROR(__xludf.DUMMYFUNCTION("""COMPUTED_VALUE"""),"2023-05-03-10202SP202-01")</f>
        <v>2023-05-03-10202SP202-01</v>
      </c>
      <c r="G65" s="46"/>
      <c r="H65" s="46" t="str">
        <f ca="1">IFERROR(__xludf.DUMMYFUNCTION("""COMPUTED_VALUE"""),"ATTY. NESTOR IFURUNG JR")</f>
        <v>ATTY. NESTOR IFURUNG JR</v>
      </c>
      <c r="I65" s="46" t="str">
        <f ca="1">IFERROR(__xludf.DUMMYFUNCTION("""COMPUTED_VALUE"""),"HEA")</f>
        <v>HEA</v>
      </c>
      <c r="J65" s="46" t="str">
        <f ca="1">IFERROR(__xludf.DUMMYFUNCTION("""COMPUTED_VALUE"""),"2023-09-061S")</f>
        <v>2023-09-061S</v>
      </c>
      <c r="K65" s="46" t="str">
        <f ca="1">IFERROR(__xludf.DUMMYFUNCTION("""COMPUTED_VALUE"""),"ATTY. NESTOR IFURUNG JR")</f>
        <v>ATTY. NESTOR IFURUNG JR</v>
      </c>
      <c r="L65" s="46" t="str">
        <f ca="1">IFERROR(__xludf.DUMMYFUNCTION("""COMPUTED_VALUE"""),"OSEC")</f>
        <v>OSEC</v>
      </c>
      <c r="M65" s="46" t="str">
        <f ca="1">IFERROR(__xludf.DUMMYFUNCTION("""COMPUTED_VALUE"""),"SERVICEABLE")</f>
        <v>SERVICEABLE</v>
      </c>
      <c r="N65" s="46"/>
    </row>
    <row r="66" spans="1:14" ht="13.8">
      <c r="A66" s="46" t="str">
        <f ca="1">IFERROR(__xludf.DUMMYFUNCTION("""COMPUTED_VALUE"""),"DARCO")</f>
        <v>DARCO</v>
      </c>
      <c r="B66" s="46" t="str">
        <f ca="1">IFERROR(__xludf.DUMMYFUNCTION("""COMPUTED_VALUE"""),"CENTRAL OFFICE")</f>
        <v>CENTRAL OFFICE</v>
      </c>
      <c r="C66" s="47" t="str">
        <f ca="1">IFERROR(__xludf.DUMMYFUNCTION("""COMPUTED_VALUE"""),"Laptop – (ACER EXTENSA EX215-55G i7)")</f>
        <v>Laptop – (ACER EXTENSA EX215-55G i7)</v>
      </c>
      <c r="D66" s="47"/>
      <c r="E66" s="46"/>
      <c r="F66" s="46" t="str">
        <f ca="1">IFERROR(__xludf.DUMMYFUNCTION("""COMPUTED_VALUE"""),"2023-05-03-10202SP203-01")</f>
        <v>2023-05-03-10202SP203-01</v>
      </c>
      <c r="G66" s="46"/>
      <c r="H66" s="46" t="str">
        <f ca="1">IFERROR(__xludf.DUMMYFUNCTION("""COMPUTED_VALUE"""),"FRANCINE KYLE CASIO")</f>
        <v>FRANCINE KYLE CASIO</v>
      </c>
      <c r="I66" s="46" t="str">
        <f ca="1">IFERROR(__xludf.DUMMYFUNCTION("""COMPUTED_VALUE"""),"PARPO I")</f>
        <v>PARPO I</v>
      </c>
      <c r="J66" s="46" t="str">
        <f ca="1">IFERROR(__xludf.DUMMYFUNCTION("""COMPUTED_VALUE"""),"2023-09-065S")</f>
        <v>2023-09-065S</v>
      </c>
      <c r="K66" s="46" t="str">
        <f ca="1">IFERROR(__xludf.DUMMYFUNCTION("""COMPUTED_VALUE"""),"FRANCINE KYLE CASIO")</f>
        <v>FRANCINE KYLE CASIO</v>
      </c>
      <c r="L66" s="46" t="str">
        <f ca="1">IFERROR(__xludf.DUMMYFUNCTION("""COMPUTED_VALUE"""),"OSEC")</f>
        <v>OSEC</v>
      </c>
      <c r="M66" s="46" t="str">
        <f ca="1">IFERROR(__xludf.DUMMYFUNCTION("""COMPUTED_VALUE"""),"SERVICEABLE")</f>
        <v>SERVICEABLE</v>
      </c>
      <c r="N66" s="46"/>
    </row>
    <row r="67" spans="1:14" ht="13.8">
      <c r="A67" s="46" t="str">
        <f ca="1">IFERROR(__xludf.DUMMYFUNCTION("""COMPUTED_VALUE"""),"DARCO")</f>
        <v>DARCO</v>
      </c>
      <c r="B67" s="46" t="str">
        <f ca="1">IFERROR(__xludf.DUMMYFUNCTION("""COMPUTED_VALUE"""),"CENTRAL OFFICE")</f>
        <v>CENTRAL OFFICE</v>
      </c>
      <c r="C67" s="47" t="str">
        <f ca="1">IFERROR(__xludf.DUMMYFUNCTION("""COMPUTED_VALUE"""),"Laptop – (ACER EXTENSA EX215-55G i7)")</f>
        <v>Laptop – (ACER EXTENSA EX215-55G i7)</v>
      </c>
      <c r="D67" s="47"/>
      <c r="E67" s="46"/>
      <c r="F67" s="46" t="str">
        <f ca="1">IFERROR(__xludf.DUMMYFUNCTION("""COMPUTED_VALUE"""),"2023-05-03-10202SP204-01")</f>
        <v>2023-05-03-10202SP204-01</v>
      </c>
      <c r="G67" s="46"/>
      <c r="H67" s="46" t="str">
        <f ca="1">IFERROR(__xludf.DUMMYFUNCTION("""COMPUTED_VALUE"""),"USEC FMAO")</f>
        <v>USEC FMAO</v>
      </c>
      <c r="I67" s="46" t="str">
        <f ca="1">IFERROR(__xludf.DUMMYFUNCTION("""COMPUTED_VALUE"""),"USEC")</f>
        <v>USEC</v>
      </c>
      <c r="J67" s="46" t="str">
        <f ca="1">IFERROR(__xludf.DUMMYFUNCTION("""COMPUTED_VALUE"""),"2023-09-063S")</f>
        <v>2023-09-063S</v>
      </c>
      <c r="K67" s="46" t="str">
        <f ca="1">IFERROR(__xludf.DUMMYFUNCTION("""COMPUTED_VALUE"""),"USEC FMAO")</f>
        <v>USEC FMAO</v>
      </c>
      <c r="L67" s="46" t="str">
        <f ca="1">IFERROR(__xludf.DUMMYFUNCTION("""COMPUTED_VALUE"""),"FMAO")</f>
        <v>FMAO</v>
      </c>
      <c r="M67" s="46" t="str">
        <f ca="1">IFERROR(__xludf.DUMMYFUNCTION("""COMPUTED_VALUE"""),"SERVICEABLE")</f>
        <v>SERVICEABLE</v>
      </c>
      <c r="N67" s="46"/>
    </row>
    <row r="68" spans="1:14" ht="13.8">
      <c r="A68" s="46" t="str">
        <f ca="1">IFERROR(__xludf.DUMMYFUNCTION("""COMPUTED_VALUE"""),"DARCO")</f>
        <v>DARCO</v>
      </c>
      <c r="B68" s="46" t="str">
        <f ca="1">IFERROR(__xludf.DUMMYFUNCTION("""COMPUTED_VALUE"""),"CENTRAL OFFICE")</f>
        <v>CENTRAL OFFICE</v>
      </c>
      <c r="C68" s="47" t="str">
        <f ca="1">IFERROR(__xludf.DUMMYFUNCTION("""COMPUTED_VALUE"""),"Laptop – (ACER EXTENSA EX215-55G i7)")</f>
        <v>Laptop – (ACER EXTENSA EX215-55G i7)</v>
      </c>
      <c r="D68" s="47"/>
      <c r="E68" s="46"/>
      <c r="F68" s="46" t="str">
        <f ca="1">IFERROR(__xludf.DUMMYFUNCTION("""COMPUTED_VALUE"""),"2023-05-03-10202SP205-01")</f>
        <v>2023-05-03-10202SP205-01</v>
      </c>
      <c r="G68" s="46"/>
      <c r="H68" s="46" t="str">
        <f ca="1">IFERROR(__xludf.DUMMYFUNCTION("""COMPUTED_VALUE"""),"ROWENA NIÑA TADURAN")</f>
        <v>ROWENA NIÑA TADURAN</v>
      </c>
      <c r="I68" s="46" t="str">
        <f ca="1">IFERROR(__xludf.DUMMYFUNCTION("""COMPUTED_VALUE"""),"USEC")</f>
        <v>USEC</v>
      </c>
      <c r="J68" s="46" t="str">
        <f ca="1">IFERROR(__xludf.DUMMYFUNCTION("""COMPUTED_VALUE"""),"2023-09-064S")</f>
        <v>2023-09-064S</v>
      </c>
      <c r="K68" s="46" t="str">
        <f ca="1">IFERROR(__xludf.DUMMYFUNCTION("""COMPUTED_VALUE"""),"ROWENA NIÑA TADURAN")</f>
        <v>ROWENA NIÑA TADURAN</v>
      </c>
      <c r="L68" s="46" t="str">
        <f ca="1">IFERROR(__xludf.DUMMYFUNCTION("""COMPUTED_VALUE"""),"SSO")</f>
        <v>SSO</v>
      </c>
      <c r="M68" s="46" t="str">
        <f ca="1">IFERROR(__xludf.DUMMYFUNCTION("""COMPUTED_VALUE"""),"SERVICEABLE")</f>
        <v>SERVICEABLE</v>
      </c>
      <c r="N68" s="46"/>
    </row>
    <row r="69" spans="1:14" ht="13.8">
      <c r="A69" s="46" t="str">
        <f ca="1">IFERROR(__xludf.DUMMYFUNCTION("""COMPUTED_VALUE"""),"DARCO")</f>
        <v>DARCO</v>
      </c>
      <c r="B69" s="46" t="str">
        <f ca="1">IFERROR(__xludf.DUMMYFUNCTION("""COMPUTED_VALUE"""),"CENTRAL OFFICE")</f>
        <v>CENTRAL OFFICE</v>
      </c>
      <c r="C69" s="47" t="str">
        <f ca="1">IFERROR(__xludf.DUMMYFUNCTION("""COMPUTED_VALUE"""),"Laptop – (ACER EXTENSA EX215-55G i7)")</f>
        <v>Laptop – (ACER EXTENSA EX215-55G i7)</v>
      </c>
      <c r="D69" s="47"/>
      <c r="E69" s="46"/>
      <c r="F69" s="46" t="str">
        <f ca="1">IFERROR(__xludf.DUMMYFUNCTION("""COMPUTED_VALUE"""),"2023-05-03-10202SP265-01")</f>
        <v>2023-05-03-10202SP265-01</v>
      </c>
      <c r="G69" s="46"/>
      <c r="H69" s="46" t="str">
        <f ca="1">IFERROR(__xludf.DUMMYFUNCTION("""COMPUTED_VALUE"""),"ATTY. MARJORIE AYSON")</f>
        <v>ATTY. MARJORIE AYSON</v>
      </c>
      <c r="I69" s="46" t="str">
        <f ca="1">IFERROR(__xludf.DUMMYFUNCTION("""COMPUTED_VALUE"""),"ASEC")</f>
        <v>ASEC</v>
      </c>
      <c r="J69" s="46" t="str">
        <f ca="1">IFERROR(__xludf.DUMMYFUNCTION("""COMPUTED_VALUE"""),"2023-08-053S")</f>
        <v>2023-08-053S</v>
      </c>
      <c r="K69" s="46" t="str">
        <f ca="1">IFERROR(__xludf.DUMMYFUNCTION("""COMPUTED_VALUE"""),"ATTY. MARJORIE AYSON")</f>
        <v>ATTY. MARJORIE AYSON</v>
      </c>
      <c r="L69" s="46" t="str">
        <f ca="1">IFERROR(__xludf.DUMMYFUNCTION("""COMPUTED_VALUE"""),"AFOO")</f>
        <v>AFOO</v>
      </c>
      <c r="M69" s="46" t="str">
        <f ca="1">IFERROR(__xludf.DUMMYFUNCTION("""COMPUTED_VALUE"""),"SERVICEABLE")</f>
        <v>SERVICEABLE</v>
      </c>
      <c r="N69" s="46"/>
    </row>
    <row r="70" spans="1:14" ht="13.8">
      <c r="A70" s="46" t="str">
        <f ca="1">IFERROR(__xludf.DUMMYFUNCTION("""COMPUTED_VALUE"""),"DARCO")</f>
        <v>DARCO</v>
      </c>
      <c r="B70" s="46" t="str">
        <f ca="1">IFERROR(__xludf.DUMMYFUNCTION("""COMPUTED_VALUE"""),"CENTRAL OFFICE")</f>
        <v>CENTRAL OFFICE</v>
      </c>
      <c r="C70" s="47" t="str">
        <f ca="1">IFERROR(__xludf.DUMMYFUNCTION("""COMPUTED_VALUE"""),"Laptop – (ACER EXTENSA EX215-55G i7)")</f>
        <v>Laptop – (ACER EXTENSA EX215-55G i7)</v>
      </c>
      <c r="D70" s="47"/>
      <c r="E70" s="46"/>
      <c r="F70" s="46" t="str">
        <f ca="1">IFERROR(__xludf.DUMMYFUNCTION("""COMPUTED_VALUE"""),"2023-05-03-10202SP266-01")</f>
        <v>2023-05-03-10202SP266-01</v>
      </c>
      <c r="G70" s="46"/>
      <c r="H70" s="46" t="str">
        <f ca="1">IFERROR(__xludf.DUMMYFUNCTION("""COMPUTED_VALUE"""),"ATTY. MARJORIE AYSON")</f>
        <v>ATTY. MARJORIE AYSON</v>
      </c>
      <c r="I70" s="46" t="str">
        <f ca="1">IFERROR(__xludf.DUMMYFUNCTION("""COMPUTED_VALUE"""),"ASEC")</f>
        <v>ASEC</v>
      </c>
      <c r="J70" s="46" t="str">
        <f ca="1">IFERROR(__xludf.DUMMYFUNCTION("""COMPUTED_VALUE"""),"2023-08-053S")</f>
        <v>2023-08-053S</v>
      </c>
      <c r="K70" s="46" t="str">
        <f ca="1">IFERROR(__xludf.DUMMYFUNCTION("""COMPUTED_VALUE"""),"ATTY. MARJORIE AYSON")</f>
        <v>ATTY. MARJORIE AYSON</v>
      </c>
      <c r="L70" s="46" t="str">
        <f ca="1">IFERROR(__xludf.DUMMYFUNCTION("""COMPUTED_VALUE"""),"AFOO")</f>
        <v>AFOO</v>
      </c>
      <c r="M70" s="46" t="str">
        <f ca="1">IFERROR(__xludf.DUMMYFUNCTION("""COMPUTED_VALUE"""),"SERVICEABLE")</f>
        <v>SERVICEABLE</v>
      </c>
      <c r="N70" s="46"/>
    </row>
    <row r="71" spans="1:14" ht="13.8">
      <c r="A71" s="46" t="str">
        <f ca="1">IFERROR(__xludf.DUMMYFUNCTION("""COMPUTED_VALUE"""),"DARCO")</f>
        <v>DARCO</v>
      </c>
      <c r="B71" s="46" t="str">
        <f ca="1">IFERROR(__xludf.DUMMYFUNCTION("""COMPUTED_VALUE"""),"CENTRAL OFFICE")</f>
        <v>CENTRAL OFFICE</v>
      </c>
      <c r="C71" s="47" t="str">
        <f ca="1">IFERROR(__xludf.DUMMYFUNCTION("""COMPUTED_VALUE"""),"Laptop – (ACER EXTENSA EX215-55G i7)")</f>
        <v>Laptop – (ACER EXTENSA EX215-55G i7)</v>
      </c>
      <c r="D71" s="47"/>
      <c r="E71" s="46"/>
      <c r="F71" s="46" t="str">
        <f ca="1">IFERROR(__xludf.DUMMYFUNCTION("""COMPUTED_VALUE"""),"2023-05-03-10202SP267-01")</f>
        <v>2023-05-03-10202SP267-01</v>
      </c>
      <c r="G71" s="46"/>
      <c r="H71" s="46" t="str">
        <f ca="1">IFERROR(__xludf.DUMMYFUNCTION("""COMPUTED_VALUE"""),"ATTY. MARJORIE AYSON")</f>
        <v>ATTY. MARJORIE AYSON</v>
      </c>
      <c r="I71" s="46" t="str">
        <f ca="1">IFERROR(__xludf.DUMMYFUNCTION("""COMPUTED_VALUE"""),"ASEC")</f>
        <v>ASEC</v>
      </c>
      <c r="J71" s="46" t="str">
        <f ca="1">IFERROR(__xludf.DUMMYFUNCTION("""COMPUTED_VALUE"""),"2023-08-053S")</f>
        <v>2023-08-053S</v>
      </c>
      <c r="K71" s="46" t="str">
        <f ca="1">IFERROR(__xludf.DUMMYFUNCTION("""COMPUTED_VALUE"""),"ATTY. MARJORIE AYSON")</f>
        <v>ATTY. MARJORIE AYSON</v>
      </c>
      <c r="L71" s="46" t="str">
        <f ca="1">IFERROR(__xludf.DUMMYFUNCTION("""COMPUTED_VALUE"""),"AFOO")</f>
        <v>AFOO</v>
      </c>
      <c r="M71" s="46" t="str">
        <f ca="1">IFERROR(__xludf.DUMMYFUNCTION("""COMPUTED_VALUE"""),"SERVICEABLE")</f>
        <v>SERVICEABLE</v>
      </c>
      <c r="N71" s="46"/>
    </row>
    <row r="72" spans="1:14" ht="13.8">
      <c r="A72" s="46" t="str">
        <f ca="1">IFERROR(__xludf.DUMMYFUNCTION("""COMPUTED_VALUE"""),"DARCO")</f>
        <v>DARCO</v>
      </c>
      <c r="B72" s="46" t="str">
        <f ca="1">IFERROR(__xludf.DUMMYFUNCTION("""COMPUTED_VALUE"""),"CENTRAL OFFICE")</f>
        <v>CENTRAL OFFICE</v>
      </c>
      <c r="C72" s="47" t="str">
        <f ca="1">IFERROR(__xludf.DUMMYFUNCTION("""COMPUTED_VALUE"""),"Laptop – (ACER EXTENSA EX215-55G i7)")</f>
        <v>Laptop – (ACER EXTENSA EX215-55G i7)</v>
      </c>
      <c r="D72" s="47"/>
      <c r="E72" s="46"/>
      <c r="F72" s="46" t="str">
        <f ca="1">IFERROR(__xludf.DUMMYFUNCTION("""COMPUTED_VALUE"""),"2023-05-03-10202SP345-01")</f>
        <v>2023-05-03-10202SP345-01</v>
      </c>
      <c r="G72" s="46"/>
      <c r="H72" s="46" t="str">
        <f ca="1">IFERROR(__xludf.DUMMYFUNCTION("""COMPUTED_VALUE"""),"GLORIA JULIANO")</f>
        <v>GLORIA JULIANO</v>
      </c>
      <c r="I72" s="46" t="str">
        <f ca="1">IFERROR(__xludf.DUMMYFUNCTION("""COMPUTED_VALUE"""),"CHIEF")</f>
        <v>CHIEF</v>
      </c>
      <c r="J72" s="46" t="str">
        <f ca="1">IFERROR(__xludf.DUMMYFUNCTION("""COMPUTED_VALUE"""),"2023-08-060S")</f>
        <v>2023-08-060S</v>
      </c>
      <c r="K72" s="46" t="str">
        <f ca="1">IFERROR(__xludf.DUMMYFUNCTION("""COMPUTED_VALUE"""),"GLORIA JULIANO")</f>
        <v>GLORIA JULIANO</v>
      </c>
      <c r="L72" s="46" t="str">
        <f ca="1">IFERROR(__xludf.DUMMYFUNCTION("""COMPUTED_VALUE"""),"GSD")</f>
        <v>GSD</v>
      </c>
      <c r="M72" s="46" t="str">
        <f ca="1">IFERROR(__xludf.DUMMYFUNCTION("""COMPUTED_VALUE"""),"SERVICEABLE")</f>
        <v>SERVICEABLE</v>
      </c>
      <c r="N72" s="46"/>
    </row>
    <row r="73" spans="1:14" ht="13.8">
      <c r="A73" s="46" t="str">
        <f ca="1">IFERROR(__xludf.DUMMYFUNCTION("""COMPUTED_VALUE"""),"DARCO")</f>
        <v>DARCO</v>
      </c>
      <c r="B73" s="46" t="str">
        <f ca="1">IFERROR(__xludf.DUMMYFUNCTION("""COMPUTED_VALUE"""),"CENTRAL OFFICE")</f>
        <v>CENTRAL OFFICE</v>
      </c>
      <c r="C73" s="47" t="str">
        <f ca="1">IFERROR(__xludf.DUMMYFUNCTION("""COMPUTED_VALUE"""),"Laptop – (ACER EXTENSA EX215-55G i7)")</f>
        <v>Laptop – (ACER EXTENSA EX215-55G i7)</v>
      </c>
      <c r="D73" s="47"/>
      <c r="E73" s="46"/>
      <c r="F73" s="46" t="str">
        <f ca="1">IFERROR(__xludf.DUMMYFUNCTION("""COMPUTED_VALUE"""),"2023-05-03-10202SP346-01")</f>
        <v>2023-05-03-10202SP346-01</v>
      </c>
      <c r="G73" s="46"/>
      <c r="H73" s="46" t="str">
        <f ca="1">IFERROR(__xludf.DUMMYFUNCTION("""COMPUTED_VALUE"""),"KATHERINE CASILI")</f>
        <v>KATHERINE CASILI</v>
      </c>
      <c r="I73" s="46" t="str">
        <f ca="1">IFERROR(__xludf.DUMMYFUNCTION("""COMPUTED_VALUE"""),"EA")</f>
        <v>EA</v>
      </c>
      <c r="J73" s="46" t="str">
        <f ca="1">IFERROR(__xludf.DUMMYFUNCTION("""COMPUTED_VALUE"""),"2023-08-054S")</f>
        <v>2023-08-054S</v>
      </c>
      <c r="K73" s="46" t="str">
        <f ca="1">IFERROR(__xludf.DUMMYFUNCTION("""COMPUTED_VALUE"""),"KATHERINE CASILI")</f>
        <v>KATHERINE CASILI</v>
      </c>
      <c r="L73" s="46" t="str">
        <f ca="1">IFERROR(__xludf.DUMMYFUNCTION("""COMPUTED_VALUE"""),"UFOO")</f>
        <v>UFOO</v>
      </c>
      <c r="M73" s="46" t="str">
        <f ca="1">IFERROR(__xludf.DUMMYFUNCTION("""COMPUTED_VALUE"""),"SERVICEABLE")</f>
        <v>SERVICEABLE</v>
      </c>
      <c r="N73" s="46"/>
    </row>
    <row r="74" spans="1:14" ht="13.8">
      <c r="A74" s="46" t="str">
        <f ca="1">IFERROR(__xludf.DUMMYFUNCTION("""COMPUTED_VALUE"""),"DARCO")</f>
        <v>DARCO</v>
      </c>
      <c r="B74" s="46" t="str">
        <f ca="1">IFERROR(__xludf.DUMMYFUNCTION("""COMPUTED_VALUE"""),"CENTRAL OFFICE")</f>
        <v>CENTRAL OFFICE</v>
      </c>
      <c r="C74" s="47" t="str">
        <f ca="1">IFERROR(__xludf.DUMMYFUNCTION("""COMPUTED_VALUE"""),"Laptop – (ACER EXTENSA EX215-55G i7)")</f>
        <v>Laptop – (ACER EXTENSA EX215-55G i7)</v>
      </c>
      <c r="D74" s="47"/>
      <c r="E74" s="46"/>
      <c r="F74" s="46" t="str">
        <f ca="1">IFERROR(__xludf.DUMMYFUNCTION("""COMPUTED_VALUE"""),"2023-05-03-10202SP347-01")</f>
        <v>2023-05-03-10202SP347-01</v>
      </c>
      <c r="G74" s="46"/>
      <c r="H74" s="46" t="str">
        <f ca="1">IFERROR(__xludf.DUMMYFUNCTION("""COMPUTED_VALUE"""),"KATHERINE CASILI")</f>
        <v>KATHERINE CASILI</v>
      </c>
      <c r="I74" s="46" t="str">
        <f ca="1">IFERROR(__xludf.DUMMYFUNCTION("""COMPUTED_VALUE"""),"EA")</f>
        <v>EA</v>
      </c>
      <c r="J74" s="46" t="str">
        <f ca="1">IFERROR(__xludf.DUMMYFUNCTION("""COMPUTED_VALUE"""),"2023-08-054S")</f>
        <v>2023-08-054S</v>
      </c>
      <c r="K74" s="46" t="str">
        <f ca="1">IFERROR(__xludf.DUMMYFUNCTION("""COMPUTED_VALUE"""),"KATHERINE CASILI")</f>
        <v>KATHERINE CASILI</v>
      </c>
      <c r="L74" s="46" t="str">
        <f ca="1">IFERROR(__xludf.DUMMYFUNCTION("""COMPUTED_VALUE"""),"UFOO")</f>
        <v>UFOO</v>
      </c>
      <c r="M74" s="46" t="str">
        <f ca="1">IFERROR(__xludf.DUMMYFUNCTION("""COMPUTED_VALUE"""),"SERVICEABLE")</f>
        <v>SERVICEABLE</v>
      </c>
      <c r="N74" s="46"/>
    </row>
    <row r="75" spans="1:14" ht="13.8">
      <c r="A75" s="46" t="str">
        <f ca="1">IFERROR(__xludf.DUMMYFUNCTION("""COMPUTED_VALUE"""),"DARCO")</f>
        <v>DARCO</v>
      </c>
      <c r="B75" s="46" t="str">
        <f ca="1">IFERROR(__xludf.DUMMYFUNCTION("""COMPUTED_VALUE"""),"CENTRAL OFFICE")</f>
        <v>CENTRAL OFFICE</v>
      </c>
      <c r="C75" s="47" t="str">
        <f ca="1">IFERROR(__xludf.DUMMYFUNCTION("""COMPUTED_VALUE"""),"Laptop – (ACER EXTENSA EX215-55G i7)")</f>
        <v>Laptop – (ACER EXTENSA EX215-55G i7)</v>
      </c>
      <c r="D75" s="47"/>
      <c r="E75" s="46"/>
      <c r="F75" s="46" t="str">
        <f ca="1">IFERROR(__xludf.DUMMYFUNCTION("""COMPUTED_VALUE"""),"2023-05-03-10202SP348-01")</f>
        <v>2023-05-03-10202SP348-01</v>
      </c>
      <c r="G75" s="46"/>
      <c r="H75" s="46" t="str">
        <f ca="1">IFERROR(__xludf.DUMMYFUNCTION("""COMPUTED_VALUE"""),"JESRY PALMARES")</f>
        <v>JESRY PALMARES</v>
      </c>
      <c r="I75" s="46" t="str">
        <f ca="1">IFERROR(__xludf.DUMMYFUNCTION("""COMPUTED_VALUE"""),"USEC")</f>
        <v>USEC</v>
      </c>
      <c r="J75" s="46" t="str">
        <f ca="1">IFERROR(__xludf.DUMMYFUNCTION("""COMPUTED_VALUE"""),"2023-08-055S")</f>
        <v>2023-08-055S</v>
      </c>
      <c r="K75" s="46" t="str">
        <f ca="1">IFERROR(__xludf.DUMMYFUNCTION("""COMPUTED_VALUE"""),"JESRY PALMARES")</f>
        <v>JESRY PALMARES</v>
      </c>
      <c r="L75" s="46" t="str">
        <f ca="1">IFERROR(__xludf.DUMMYFUNCTION("""COMPUTED_VALUE"""),"FASPO")</f>
        <v>FASPO</v>
      </c>
      <c r="M75" s="46" t="str">
        <f ca="1">IFERROR(__xludf.DUMMYFUNCTION("""COMPUTED_VALUE"""),"SERVICEABLE")</f>
        <v>SERVICEABLE</v>
      </c>
      <c r="N75" s="46"/>
    </row>
    <row r="76" spans="1:14" ht="13.8">
      <c r="A76" s="46" t="str">
        <f ca="1">IFERROR(__xludf.DUMMYFUNCTION("""COMPUTED_VALUE"""),"DARCO")</f>
        <v>DARCO</v>
      </c>
      <c r="B76" s="46" t="str">
        <f ca="1">IFERROR(__xludf.DUMMYFUNCTION("""COMPUTED_VALUE"""),"CENTRAL OFFICE")</f>
        <v>CENTRAL OFFICE</v>
      </c>
      <c r="C76" s="47" t="str">
        <f ca="1">IFERROR(__xludf.DUMMYFUNCTION("""COMPUTED_VALUE"""),"Laptop – (ACER EXTENSA EX215-55G i7)")</f>
        <v>Laptop – (ACER EXTENSA EX215-55G i7)</v>
      </c>
      <c r="D76" s="47"/>
      <c r="E76" s="46"/>
      <c r="F76" s="46" t="str">
        <f ca="1">IFERROR(__xludf.DUMMYFUNCTION("""COMPUTED_VALUE"""),"2023-05-03-10202SP349-01")</f>
        <v>2023-05-03-10202SP349-01</v>
      </c>
      <c r="G76" s="46"/>
      <c r="H76" s="46" t="str">
        <f ca="1">IFERROR(__xludf.DUMMYFUNCTION("""COMPUTED_VALUE"""),"JESRY PALMARES")</f>
        <v>JESRY PALMARES</v>
      </c>
      <c r="I76" s="46" t="str">
        <f ca="1">IFERROR(__xludf.DUMMYFUNCTION("""COMPUTED_VALUE"""),"USEC")</f>
        <v>USEC</v>
      </c>
      <c r="J76" s="46" t="str">
        <f ca="1">IFERROR(__xludf.DUMMYFUNCTION("""COMPUTED_VALUE"""),"2023-08-055S")</f>
        <v>2023-08-055S</v>
      </c>
      <c r="K76" s="46" t="str">
        <f ca="1">IFERROR(__xludf.DUMMYFUNCTION("""COMPUTED_VALUE"""),"JESRY PALMARES")</f>
        <v>JESRY PALMARES</v>
      </c>
      <c r="L76" s="46" t="str">
        <f ca="1">IFERROR(__xludf.DUMMYFUNCTION("""COMPUTED_VALUE"""),"FASPO")</f>
        <v>FASPO</v>
      </c>
      <c r="M76" s="46" t="str">
        <f ca="1">IFERROR(__xludf.DUMMYFUNCTION("""COMPUTED_VALUE"""),"SERVICEABLE")</f>
        <v>SERVICEABLE</v>
      </c>
      <c r="N76" s="46"/>
    </row>
    <row r="77" spans="1:14" ht="13.8">
      <c r="A77" s="46" t="str">
        <f ca="1">IFERROR(__xludf.DUMMYFUNCTION("""COMPUTED_VALUE"""),"DARCO")</f>
        <v>DARCO</v>
      </c>
      <c r="B77" s="46" t="str">
        <f ca="1">IFERROR(__xludf.DUMMYFUNCTION("""COMPUTED_VALUE"""),"CENTRAL OFFICE")</f>
        <v>CENTRAL OFFICE</v>
      </c>
      <c r="C77" s="47" t="str">
        <f ca="1">IFERROR(__xludf.DUMMYFUNCTION("""COMPUTED_VALUE"""),"Laptop – (ACER EXTENSA EX215-55G i7)")</f>
        <v>Laptop – (ACER EXTENSA EX215-55G i7)</v>
      </c>
      <c r="D77" s="47"/>
      <c r="E77" s="46"/>
      <c r="F77" s="46" t="str">
        <f ca="1">IFERROR(__xludf.DUMMYFUNCTION("""COMPUTED_VALUE"""),"2023-05-03-10202SP350-01")</f>
        <v>2023-05-03-10202SP350-01</v>
      </c>
      <c r="G77" s="46"/>
      <c r="H77" s="46" t="str">
        <f ca="1">IFERROR(__xludf.DUMMYFUNCTION("""COMPUTED_VALUE"""),"ANACLETA MARIANO")</f>
        <v>ANACLETA MARIANO</v>
      </c>
      <c r="I77" s="46" t="str">
        <f ca="1">IFERROR(__xludf.DUMMYFUNCTION("""COMPUTED_VALUE"""),"DIRECTOR")</f>
        <v>DIRECTOR</v>
      </c>
      <c r="J77" s="46" t="str">
        <f ca="1">IFERROR(__xludf.DUMMYFUNCTION("""COMPUTED_VALUE"""),"2023-08-056S")</f>
        <v>2023-08-056S</v>
      </c>
      <c r="K77" s="46" t="str">
        <f ca="1">IFERROR(__xludf.DUMMYFUNCTION("""COMPUTED_VALUE"""),"ANACLETA MARIANO")</f>
        <v>ANACLETA MARIANO</v>
      </c>
      <c r="L77" s="46" t="str">
        <f ca="1">IFERROR(__xludf.DUMMYFUNCTION("""COMPUTED_VALUE"""),"FASPO")</f>
        <v>FASPO</v>
      </c>
      <c r="M77" s="46" t="str">
        <f ca="1">IFERROR(__xludf.DUMMYFUNCTION("""COMPUTED_VALUE"""),"SERVICEABLE")</f>
        <v>SERVICEABLE</v>
      </c>
      <c r="N77" s="46"/>
    </row>
    <row r="78" spans="1:14" ht="13.8">
      <c r="A78" s="46" t="str">
        <f ca="1">IFERROR(__xludf.DUMMYFUNCTION("""COMPUTED_VALUE"""),"DARCO")</f>
        <v>DARCO</v>
      </c>
      <c r="B78" s="46" t="str">
        <f ca="1">IFERROR(__xludf.DUMMYFUNCTION("""COMPUTED_VALUE"""),"CENTRAL OFFICE")</f>
        <v>CENTRAL OFFICE</v>
      </c>
      <c r="C78" s="47" t="str">
        <f ca="1">IFERROR(__xludf.DUMMYFUNCTION("""COMPUTED_VALUE"""),"Laptop – (ACER EXTENSA EX215-55G i7)")</f>
        <v>Laptop – (ACER EXTENSA EX215-55G i7)</v>
      </c>
      <c r="D78" s="47"/>
      <c r="E78" s="46"/>
      <c r="F78" s="46" t="str">
        <f ca="1">IFERROR(__xludf.DUMMYFUNCTION("""COMPUTED_VALUE"""),"2023-05-03-10202SP351-01")</f>
        <v>2023-05-03-10202SP351-01</v>
      </c>
      <c r="G78" s="46"/>
      <c r="H78" s="46" t="str">
        <f ca="1">IFERROR(__xludf.DUMMYFUNCTION("""COMPUTED_VALUE"""),"ANACLETA MARIANO")</f>
        <v>ANACLETA MARIANO</v>
      </c>
      <c r="I78" s="46" t="str">
        <f ca="1">IFERROR(__xludf.DUMMYFUNCTION("""COMPUTED_VALUE"""),"DIRECTOR")</f>
        <v>DIRECTOR</v>
      </c>
      <c r="J78" s="46" t="str">
        <f ca="1">IFERROR(__xludf.DUMMYFUNCTION("""COMPUTED_VALUE"""),"2023-08-056S")</f>
        <v>2023-08-056S</v>
      </c>
      <c r="K78" s="46" t="str">
        <f ca="1">IFERROR(__xludf.DUMMYFUNCTION("""COMPUTED_VALUE"""),"ANACLETA MARIANO")</f>
        <v>ANACLETA MARIANO</v>
      </c>
      <c r="L78" s="46" t="str">
        <f ca="1">IFERROR(__xludf.DUMMYFUNCTION("""COMPUTED_VALUE"""),"FASPO")</f>
        <v>FASPO</v>
      </c>
      <c r="M78" s="46" t="str">
        <f ca="1">IFERROR(__xludf.DUMMYFUNCTION("""COMPUTED_VALUE"""),"SERVICEABLE")</f>
        <v>SERVICEABLE</v>
      </c>
      <c r="N78" s="46"/>
    </row>
    <row r="79" spans="1:14" ht="13.8">
      <c r="A79" s="46" t="str">
        <f ca="1">IFERROR(__xludf.DUMMYFUNCTION("""COMPUTED_VALUE"""),"DARCO")</f>
        <v>DARCO</v>
      </c>
      <c r="B79" s="46" t="str">
        <f ca="1">IFERROR(__xludf.DUMMYFUNCTION("""COMPUTED_VALUE"""),"CENTRAL OFFICE")</f>
        <v>CENTRAL OFFICE</v>
      </c>
      <c r="C79" s="47" t="str">
        <f ca="1">IFERROR(__xludf.DUMMYFUNCTION("""COMPUTED_VALUE"""),"Laptop – (ACER EXTENSA EX215-55G i7)")</f>
        <v>Laptop – (ACER EXTENSA EX215-55G i7)</v>
      </c>
      <c r="D79" s="47"/>
      <c r="E79" s="46"/>
      <c r="F79" s="46" t="str">
        <f ca="1">IFERROR(__xludf.DUMMYFUNCTION("""COMPUTED_VALUE"""),"2023-05-03-10202SP352-01")</f>
        <v>2023-05-03-10202SP352-01</v>
      </c>
      <c r="G79" s="46"/>
      <c r="H79" s="46" t="str">
        <f ca="1">IFERROR(__xludf.DUMMYFUNCTION("""COMPUTED_VALUE"""),"JOSEF ANGELO MARTIRES")</f>
        <v>JOSEF ANGELO MARTIRES</v>
      </c>
      <c r="I79" s="46" t="str">
        <f ca="1">IFERROR(__xludf.DUMMYFUNCTION("""COMPUTED_VALUE"""),"ASEC")</f>
        <v>ASEC</v>
      </c>
      <c r="J79" s="46" t="str">
        <f ca="1">IFERROR(__xludf.DUMMYFUNCTION("""COMPUTED_VALUE"""),"2023-08-057S")</f>
        <v>2023-08-057S</v>
      </c>
      <c r="K79" s="46" t="str">
        <f ca="1">IFERROR(__xludf.DUMMYFUNCTION("""COMPUTED_VALUE"""),"JOSEF ANGELO MARTIRES")</f>
        <v>JOSEF ANGELO MARTIRES</v>
      </c>
      <c r="L79" s="46" t="str">
        <f ca="1">IFERROR(__xludf.DUMMYFUNCTION("""COMPUTED_VALUE"""),"FASPO")</f>
        <v>FASPO</v>
      </c>
      <c r="M79" s="46" t="str">
        <f ca="1">IFERROR(__xludf.DUMMYFUNCTION("""COMPUTED_VALUE"""),"SERVICEABLE")</f>
        <v>SERVICEABLE</v>
      </c>
      <c r="N79" s="46"/>
    </row>
    <row r="80" spans="1:14" ht="13.8">
      <c r="A80" s="46" t="str">
        <f ca="1">IFERROR(__xludf.DUMMYFUNCTION("""COMPUTED_VALUE"""),"DARCO")</f>
        <v>DARCO</v>
      </c>
      <c r="B80" s="46" t="str">
        <f ca="1">IFERROR(__xludf.DUMMYFUNCTION("""COMPUTED_VALUE"""),"CENTRAL OFFICE")</f>
        <v>CENTRAL OFFICE</v>
      </c>
      <c r="C80" s="47" t="str">
        <f ca="1">IFERROR(__xludf.DUMMYFUNCTION("""COMPUTED_VALUE"""),"Laptop – (ACER EXTENSA EX215-55G i7)")</f>
        <v>Laptop – (ACER EXTENSA EX215-55G i7)</v>
      </c>
      <c r="D80" s="47"/>
      <c r="E80" s="46"/>
      <c r="F80" s="46" t="str">
        <f ca="1">IFERROR(__xludf.DUMMYFUNCTION("""COMPUTED_VALUE"""),"2023-05-03-10202SP353-01")</f>
        <v>2023-05-03-10202SP353-01</v>
      </c>
      <c r="G80" s="46"/>
      <c r="H80" s="46" t="str">
        <f ca="1">IFERROR(__xludf.DUMMYFUNCTION("""COMPUTED_VALUE"""),"JOSEF ANGELO MARTIRES")</f>
        <v>JOSEF ANGELO MARTIRES</v>
      </c>
      <c r="I80" s="46" t="str">
        <f ca="1">IFERROR(__xludf.DUMMYFUNCTION("""COMPUTED_VALUE"""),"ASEC")</f>
        <v>ASEC</v>
      </c>
      <c r="J80" s="46" t="str">
        <f ca="1">IFERROR(__xludf.DUMMYFUNCTION("""COMPUTED_VALUE"""),"2023-08-057S")</f>
        <v>2023-08-057S</v>
      </c>
      <c r="K80" s="46" t="str">
        <f ca="1">IFERROR(__xludf.DUMMYFUNCTION("""COMPUTED_VALUE"""),"JOSEF ANGELO MARTIRES")</f>
        <v>JOSEF ANGELO MARTIRES</v>
      </c>
      <c r="L80" s="46" t="str">
        <f ca="1">IFERROR(__xludf.DUMMYFUNCTION("""COMPUTED_VALUE"""),"FASPO")</f>
        <v>FASPO</v>
      </c>
      <c r="M80" s="46" t="str">
        <f ca="1">IFERROR(__xludf.DUMMYFUNCTION("""COMPUTED_VALUE"""),"SERVICEABLE")</f>
        <v>SERVICEABLE</v>
      </c>
      <c r="N80" s="46"/>
    </row>
    <row r="81" spans="1:14" ht="13.8">
      <c r="A81" s="46" t="str">
        <f ca="1">IFERROR(__xludf.DUMMYFUNCTION("""COMPUTED_VALUE"""),"DARCO")</f>
        <v>DARCO</v>
      </c>
      <c r="B81" s="46" t="str">
        <f ca="1">IFERROR(__xludf.DUMMYFUNCTION("""COMPUTED_VALUE"""),"CENTRAL OFFICE")</f>
        <v>CENTRAL OFFICE</v>
      </c>
      <c r="C81" s="47" t="str">
        <f ca="1">IFERROR(__xludf.DUMMYFUNCTION("""COMPUTED_VALUE"""),"Laptop – (ACER EXTENSA EX215-55G i7)")</f>
        <v>Laptop – (ACER EXTENSA EX215-55G i7)</v>
      </c>
      <c r="D81" s="47"/>
      <c r="E81" s="46"/>
      <c r="F81" s="46" t="str">
        <f ca="1">IFERROR(__xludf.DUMMYFUNCTION("""COMPUTED_VALUE"""),"2023-05-03-10202SP354-01")</f>
        <v>2023-05-03-10202SP354-01</v>
      </c>
      <c r="G81" s="46"/>
      <c r="H81" s="46" t="str">
        <f ca="1">IFERROR(__xludf.DUMMYFUNCTION("""COMPUTED_VALUE"""),"RENE E. COLOCAR")</f>
        <v>RENE E. COLOCAR</v>
      </c>
      <c r="I81" s="46" t="str">
        <f ca="1">IFERROR(__xludf.DUMMYFUNCTION("""COMPUTED_VALUE"""),"ASEC")</f>
        <v>ASEC</v>
      </c>
      <c r="J81" s="46" t="str">
        <f ca="1">IFERROR(__xludf.DUMMYFUNCTION("""COMPUTED_VALUE"""),"2023-08-058S")</f>
        <v>2023-08-058S</v>
      </c>
      <c r="K81" s="46" t="str">
        <f ca="1">IFERROR(__xludf.DUMMYFUNCTION("""COMPUTED_VALUE"""),"RENE E. COLOCAR")</f>
        <v>RENE E. COLOCAR</v>
      </c>
      <c r="L81" s="46" t="str">
        <f ca="1">IFERROR(__xludf.DUMMYFUNCTION("""COMPUTED_VALUE"""),"FASPO")</f>
        <v>FASPO</v>
      </c>
      <c r="M81" s="46" t="str">
        <f ca="1">IFERROR(__xludf.DUMMYFUNCTION("""COMPUTED_VALUE"""),"SERVICEABLE")</f>
        <v>SERVICEABLE</v>
      </c>
      <c r="N81" s="46"/>
    </row>
    <row r="82" spans="1:14" ht="13.8">
      <c r="A82" s="46" t="str">
        <f ca="1">IFERROR(__xludf.DUMMYFUNCTION("""COMPUTED_VALUE"""),"DARCO")</f>
        <v>DARCO</v>
      </c>
      <c r="B82" s="46" t="str">
        <f ca="1">IFERROR(__xludf.DUMMYFUNCTION("""COMPUTED_VALUE"""),"CENTRAL OFFICE")</f>
        <v>CENTRAL OFFICE</v>
      </c>
      <c r="C82" s="47" t="str">
        <f ca="1">IFERROR(__xludf.DUMMYFUNCTION("""COMPUTED_VALUE"""),"Laptop – (ACER EXTENSA EX215-55G i7)")</f>
        <v>Laptop – (ACER EXTENSA EX215-55G i7)</v>
      </c>
      <c r="D82" s="47"/>
      <c r="E82" s="46"/>
      <c r="F82" s="46" t="str">
        <f ca="1">IFERROR(__xludf.DUMMYFUNCTION("""COMPUTED_VALUE"""),"2023-05-03-10202SP385-01")</f>
        <v>2023-05-03-10202SP385-01</v>
      </c>
      <c r="G82" s="46"/>
      <c r="H82" s="46" t="str">
        <f ca="1">IFERROR(__xludf.DUMMYFUNCTION("""COMPUTED_VALUE"""),"DENNIS RAMOS")</f>
        <v>DENNIS RAMOS</v>
      </c>
      <c r="I82" s="46" t="str">
        <f ca="1">IFERROR(__xludf.DUMMYFUNCTION("""COMPUTED_VALUE"""),"DIRECTOR")</f>
        <v>DIRECTOR</v>
      </c>
      <c r="J82" s="46" t="str">
        <f ca="1">IFERROR(__xludf.DUMMYFUNCTION("""COMPUTED_VALUE"""),"2023-08-059S")</f>
        <v>2023-08-059S</v>
      </c>
      <c r="K82" s="46" t="str">
        <f ca="1">IFERROR(__xludf.DUMMYFUNCTION("""COMPUTED_VALUE"""),"DENNIS RAMOS")</f>
        <v>DENNIS RAMOS</v>
      </c>
      <c r="L82" s="46" t="str">
        <f ca="1">IFERROR(__xludf.DUMMYFUNCTION("""COMPUTED_VALUE"""),"FMS OD")</f>
        <v>FMS OD</v>
      </c>
      <c r="M82" s="46" t="str">
        <f ca="1">IFERROR(__xludf.DUMMYFUNCTION("""COMPUTED_VALUE"""),"SERVICEABLE")</f>
        <v>SERVICEABLE</v>
      </c>
      <c r="N82" s="46"/>
    </row>
    <row r="83" spans="1:14" ht="13.8">
      <c r="A83" s="46" t="str">
        <f ca="1">IFERROR(__xludf.DUMMYFUNCTION("""COMPUTED_VALUE"""),"DARCO")</f>
        <v>DARCO</v>
      </c>
      <c r="B83" s="46" t="str">
        <f ca="1">IFERROR(__xludf.DUMMYFUNCTION("""COMPUTED_VALUE"""),"CENTRAL OFFICE")</f>
        <v>CENTRAL OFFICE</v>
      </c>
      <c r="C83" s="47" t="str">
        <f ca="1">IFERROR(__xludf.DUMMYFUNCTION("""COMPUTED_VALUE"""),"Laptop – (ACER EXTENSA EX215-55G i7)")</f>
        <v>Laptop – (ACER EXTENSA EX215-55G i7)</v>
      </c>
      <c r="D83" s="47"/>
      <c r="E83" s="46"/>
      <c r="F83" s="46" t="str">
        <f ca="1">IFERROR(__xludf.DUMMYFUNCTION("""COMPUTED_VALUE"""),"2023-05-03-10202SP386-01")</f>
        <v>2023-05-03-10202SP386-01</v>
      </c>
      <c r="G83" s="46"/>
      <c r="H83" s="46" t="str">
        <f ca="1">IFERROR(__xludf.DUMMYFUNCTION("""COMPUTED_VALUE"""),"AMIHILDA SANGCOPAN")</f>
        <v>AMIHILDA SANGCOPAN</v>
      </c>
      <c r="I83" s="46" t="str">
        <f ca="1">IFERROR(__xludf.DUMMYFUNCTION("""COMPUTED_VALUE"""),"OMA")</f>
        <v>OMA</v>
      </c>
      <c r="J83" s="46" t="str">
        <f ca="1">IFERROR(__xludf.DUMMYFUNCTION("""COMPUTED_VALUE"""),"2023-08-060S")</f>
        <v>2023-08-060S</v>
      </c>
      <c r="K83" s="46" t="str">
        <f ca="1">IFERROR(__xludf.DUMMYFUNCTION("""COMPUTED_VALUE"""),"AMIHILDA SANGCOPAN")</f>
        <v>AMIHILDA SANGCOPAN</v>
      </c>
      <c r="L83" s="46" t="str">
        <f ca="1">IFERROR(__xludf.DUMMYFUNCTION("""COMPUTED_VALUE"""),"USEC")</f>
        <v>USEC</v>
      </c>
      <c r="M83" s="46" t="str">
        <f ca="1">IFERROR(__xludf.DUMMYFUNCTION("""COMPUTED_VALUE"""),"SERVICEABLE")</f>
        <v>SERVICEABLE</v>
      </c>
      <c r="N83" s="46"/>
    </row>
    <row r="84" spans="1:14" ht="13.8">
      <c r="A84" s="46" t="str">
        <f ca="1">IFERROR(__xludf.DUMMYFUNCTION("""COMPUTED_VALUE"""),"DARCO")</f>
        <v>DARCO</v>
      </c>
      <c r="B84" s="46" t="str">
        <f ca="1">IFERROR(__xludf.DUMMYFUNCTION("""COMPUTED_VALUE"""),"CENTRAL OFFICE")</f>
        <v>CENTRAL OFFICE</v>
      </c>
      <c r="C84" s="47" t="str">
        <f ca="1">IFERROR(__xludf.DUMMYFUNCTION("""COMPUTED_VALUE"""),"Laptop – (ACER EXTENSA EX215-55G i7)")</f>
        <v>Laptop – (ACER EXTENSA EX215-55G i7)</v>
      </c>
      <c r="D84" s="47"/>
      <c r="E84" s="46"/>
      <c r="F84" s="46" t="str">
        <f ca="1">IFERROR(__xludf.DUMMYFUNCTION("""COMPUTED_VALUE"""),"2023-05-03-10202SP387-01")</f>
        <v>2023-05-03-10202SP387-01</v>
      </c>
      <c r="G84" s="46"/>
      <c r="H84" s="46" t="str">
        <f ca="1">IFERROR(__xludf.DUMMYFUNCTION("""COMPUTED_VALUE"""),"AMIHILDA SANGCOPAN")</f>
        <v>AMIHILDA SANGCOPAN</v>
      </c>
      <c r="I84" s="46" t="str">
        <f ca="1">IFERROR(__xludf.DUMMYFUNCTION("""COMPUTED_VALUE"""),"OMA")</f>
        <v>OMA</v>
      </c>
      <c r="J84" s="46" t="str">
        <f ca="1">IFERROR(__xludf.DUMMYFUNCTION("""COMPUTED_VALUE"""),"2023-08-060S")</f>
        <v>2023-08-060S</v>
      </c>
      <c r="K84" s="46" t="str">
        <f ca="1">IFERROR(__xludf.DUMMYFUNCTION("""COMPUTED_VALUE"""),"AMIHILDA SANGCOPAN")</f>
        <v>AMIHILDA SANGCOPAN</v>
      </c>
      <c r="L84" s="46" t="str">
        <f ca="1">IFERROR(__xludf.DUMMYFUNCTION("""COMPUTED_VALUE"""),"USEC")</f>
        <v>USEC</v>
      </c>
      <c r="M84" s="46" t="str">
        <f ca="1">IFERROR(__xludf.DUMMYFUNCTION("""COMPUTED_VALUE"""),"SERVICEABLE")</f>
        <v>SERVICEABLE</v>
      </c>
      <c r="N84" s="46"/>
    </row>
    <row r="85" spans="1:14" ht="13.8">
      <c r="A85" s="46" t="str">
        <f ca="1">IFERROR(__xludf.DUMMYFUNCTION("""COMPUTED_VALUE"""),"DARCO")</f>
        <v>DARCO</v>
      </c>
      <c r="B85" s="46" t="str">
        <f ca="1">IFERROR(__xludf.DUMMYFUNCTION("""COMPUTED_VALUE"""),"CENTRAL OFFICE")</f>
        <v>CENTRAL OFFICE</v>
      </c>
      <c r="C85" s="47" t="str">
        <f ca="1">IFERROR(__xludf.DUMMYFUNCTION("""COMPUTED_VALUE"""),"Laptop – (ACER EXTENSA EX215-55G i7)")</f>
        <v>Laptop – (ACER EXTENSA EX215-55G i7)</v>
      </c>
      <c r="D85" s="47"/>
      <c r="E85" s="46"/>
      <c r="F85" s="46" t="str">
        <f ca="1">IFERROR(__xludf.DUMMYFUNCTION("""COMPUTED_VALUE"""),"2023-05-03-10202SP388-01")</f>
        <v>2023-05-03-10202SP388-01</v>
      </c>
      <c r="G85" s="46"/>
      <c r="H85" s="46" t="str">
        <f ca="1">IFERROR(__xludf.DUMMYFUNCTION("""COMPUTED_VALUE"""),"AMIHILDA SANGCOPAN")</f>
        <v>AMIHILDA SANGCOPAN</v>
      </c>
      <c r="I85" s="46" t="str">
        <f ca="1">IFERROR(__xludf.DUMMYFUNCTION("""COMPUTED_VALUE"""),"OMA")</f>
        <v>OMA</v>
      </c>
      <c r="J85" s="46" t="str">
        <f ca="1">IFERROR(__xludf.DUMMYFUNCTION("""COMPUTED_VALUE"""),"2023-08-060S")</f>
        <v>2023-08-060S</v>
      </c>
      <c r="K85" s="46" t="str">
        <f ca="1">IFERROR(__xludf.DUMMYFUNCTION("""COMPUTED_VALUE"""),"AMIHILDA SANGCOPAN")</f>
        <v>AMIHILDA SANGCOPAN</v>
      </c>
      <c r="L85" s="46" t="str">
        <f ca="1">IFERROR(__xludf.DUMMYFUNCTION("""COMPUTED_VALUE"""),"USEC")</f>
        <v>USEC</v>
      </c>
      <c r="M85" s="46" t="str">
        <f ca="1">IFERROR(__xludf.DUMMYFUNCTION("""COMPUTED_VALUE"""),"SERVICEABLE")</f>
        <v>SERVICEABLE</v>
      </c>
      <c r="N85" s="46"/>
    </row>
    <row r="86" spans="1:14" ht="13.8">
      <c r="A86" s="46" t="str">
        <f ca="1">IFERROR(__xludf.DUMMYFUNCTION("""COMPUTED_VALUE"""),"DARCO")</f>
        <v>DARCO</v>
      </c>
      <c r="B86" s="46" t="str">
        <f ca="1">IFERROR(__xludf.DUMMYFUNCTION("""COMPUTED_VALUE"""),"CENTRAL OFFICE")</f>
        <v>CENTRAL OFFICE</v>
      </c>
      <c r="C86" s="47" t="str">
        <f ca="1">IFERROR(__xludf.DUMMYFUNCTION("""COMPUTED_VALUE"""),"Laptop – (ACER EXTENSA EX215-55G i7)")</f>
        <v>Laptop – (ACER EXTENSA EX215-55G i7)</v>
      </c>
      <c r="D86" s="47"/>
      <c r="E86" s="46"/>
      <c r="F86" s="46" t="str">
        <f ca="1">IFERROR(__xludf.DUMMYFUNCTION("""COMPUTED_VALUE"""),"2023-05-03-10202SP389-01")</f>
        <v>2023-05-03-10202SP389-01</v>
      </c>
      <c r="G86" s="46"/>
      <c r="H86" s="46" t="str">
        <f ca="1">IFERROR(__xludf.DUMMYFUNCTION("""COMPUTED_VALUE"""),"AMIHILDA SANGCOPAN")</f>
        <v>AMIHILDA SANGCOPAN</v>
      </c>
      <c r="I86" s="46" t="str">
        <f ca="1">IFERROR(__xludf.DUMMYFUNCTION("""COMPUTED_VALUE"""),"OMA")</f>
        <v>OMA</v>
      </c>
      <c r="J86" s="46" t="str">
        <f ca="1">IFERROR(__xludf.DUMMYFUNCTION("""COMPUTED_VALUE"""),"2023-08-060S")</f>
        <v>2023-08-060S</v>
      </c>
      <c r="K86" s="46" t="str">
        <f ca="1">IFERROR(__xludf.DUMMYFUNCTION("""COMPUTED_VALUE"""),"AMIHILDA SANGCOPAN")</f>
        <v>AMIHILDA SANGCOPAN</v>
      </c>
      <c r="L86" s="46" t="str">
        <f ca="1">IFERROR(__xludf.DUMMYFUNCTION("""COMPUTED_VALUE"""),"USEC")</f>
        <v>USEC</v>
      </c>
      <c r="M86" s="46" t="str">
        <f ca="1">IFERROR(__xludf.DUMMYFUNCTION("""COMPUTED_VALUE"""),"SERVICEABLE")</f>
        <v>SERVICEABLE</v>
      </c>
      <c r="N86" s="46"/>
    </row>
    <row r="87" spans="1:14" ht="13.8">
      <c r="A87" s="46" t="str">
        <f ca="1">IFERROR(__xludf.DUMMYFUNCTION("""COMPUTED_VALUE"""),"DARCO")</f>
        <v>DARCO</v>
      </c>
      <c r="B87" s="46" t="str">
        <f ca="1">IFERROR(__xludf.DUMMYFUNCTION("""COMPUTED_VALUE"""),"CENTRAL OFFICE")</f>
        <v>CENTRAL OFFICE</v>
      </c>
      <c r="C87" s="47" t="str">
        <f ca="1">IFERROR(__xludf.DUMMYFUNCTION("""COMPUTED_VALUE"""),"Laptop – (ACER EXTENSA EX215-55G i7)")</f>
        <v>Laptop – (ACER EXTENSA EX215-55G i7)</v>
      </c>
      <c r="D87" s="47"/>
      <c r="E87" s="46"/>
      <c r="F87" s="46" t="str">
        <f ca="1">IFERROR(__xludf.DUMMYFUNCTION("""COMPUTED_VALUE"""),"2023-05-03-10202SP390-01")</f>
        <v>2023-05-03-10202SP390-01</v>
      </c>
      <c r="G87" s="46"/>
      <c r="H87" s="46" t="str">
        <f ca="1">IFERROR(__xludf.DUMMYFUNCTION("""COMPUTED_VALUE"""),"AMIHILDA SANGCOPAN")</f>
        <v>AMIHILDA SANGCOPAN</v>
      </c>
      <c r="I87" s="46" t="str">
        <f ca="1">IFERROR(__xludf.DUMMYFUNCTION("""COMPUTED_VALUE"""),"OMA")</f>
        <v>OMA</v>
      </c>
      <c r="J87" s="46" t="str">
        <f ca="1">IFERROR(__xludf.DUMMYFUNCTION("""COMPUTED_VALUE"""),"2023-08-060S")</f>
        <v>2023-08-060S</v>
      </c>
      <c r="K87" s="46" t="str">
        <f ca="1">IFERROR(__xludf.DUMMYFUNCTION("""COMPUTED_VALUE"""),"AMIHILDA SANGCOPAN")</f>
        <v>AMIHILDA SANGCOPAN</v>
      </c>
      <c r="L87" s="46" t="str">
        <f ca="1">IFERROR(__xludf.DUMMYFUNCTION("""COMPUTED_VALUE"""),"USEC")</f>
        <v>USEC</v>
      </c>
      <c r="M87" s="46" t="str">
        <f ca="1">IFERROR(__xludf.DUMMYFUNCTION("""COMPUTED_VALUE"""),"SERVICEABLE")</f>
        <v>SERVICEABLE</v>
      </c>
      <c r="N87" s="46"/>
    </row>
    <row r="88" spans="1:14" ht="13.8">
      <c r="A88" s="46" t="str">
        <f ca="1">IFERROR(__xludf.DUMMYFUNCTION("""COMPUTED_VALUE"""),"DARCO")</f>
        <v>DARCO</v>
      </c>
      <c r="B88" s="46" t="str">
        <f ca="1">IFERROR(__xludf.DUMMYFUNCTION("""COMPUTED_VALUE"""),"CENTRAL OFFICE")</f>
        <v>CENTRAL OFFICE</v>
      </c>
      <c r="C88" s="47" t="str">
        <f ca="1">IFERROR(__xludf.DUMMYFUNCTION("""COMPUTED_VALUE"""),"Laptop – (ACER EXTENSA EX215-55G i7)")</f>
        <v>Laptop – (ACER EXTENSA EX215-55G i7)</v>
      </c>
      <c r="D88" s="47"/>
      <c r="E88" s="46"/>
      <c r="F88" s="46" t="str">
        <f ca="1">IFERROR(__xludf.DUMMYFUNCTION("""COMPUTED_VALUE"""),"2023-05-03-10202SP391-01")</f>
        <v>2023-05-03-10202SP391-01</v>
      </c>
      <c r="G88" s="46"/>
      <c r="H88" s="46" t="str">
        <f ca="1">IFERROR(__xludf.DUMMYFUNCTION("""COMPUTED_VALUE"""),"MARY JOYCE RICAMORA")</f>
        <v>MARY JOYCE RICAMORA</v>
      </c>
      <c r="I88" s="46" t="str">
        <f ca="1">IFERROR(__xludf.DUMMYFUNCTION("""COMPUTED_VALUE"""),"PARC")</f>
        <v>PARC</v>
      </c>
      <c r="J88" s="46" t="str">
        <f ca="1">IFERROR(__xludf.DUMMYFUNCTION("""COMPUTED_VALUE"""),"2023-09-066S")</f>
        <v>2023-09-066S</v>
      </c>
      <c r="K88" s="46" t="str">
        <f ca="1">IFERROR(__xludf.DUMMYFUNCTION("""COMPUTED_VALUE"""),"MARY JOYCE RICAMORA")</f>
        <v>MARY JOYCE RICAMORA</v>
      </c>
      <c r="L88" s="46" t="str">
        <f ca="1">IFERROR(__xludf.DUMMYFUNCTION("""COMPUTED_VALUE"""),"DARPO")</f>
        <v>DARPO</v>
      </c>
      <c r="M88" s="46" t="str">
        <f ca="1">IFERROR(__xludf.DUMMYFUNCTION("""COMPUTED_VALUE"""),"SERVICEABLE")</f>
        <v>SERVICEABLE</v>
      </c>
      <c r="N88" s="46"/>
    </row>
    <row r="89" spans="1:14" ht="13.8">
      <c r="A89" s="46" t="str">
        <f ca="1">IFERROR(__xludf.DUMMYFUNCTION("""COMPUTED_VALUE"""),"DARCO")</f>
        <v>DARCO</v>
      </c>
      <c r="B89" s="46" t="str">
        <f ca="1">IFERROR(__xludf.DUMMYFUNCTION("""COMPUTED_VALUE"""),"CENTRAL OFFICE")</f>
        <v>CENTRAL OFFICE</v>
      </c>
      <c r="C89" s="47" t="str">
        <f ca="1">IFERROR(__xludf.DUMMYFUNCTION("""COMPUTED_VALUE"""),"Laptop – (ACER EXTENSA EX215-55G i7)")</f>
        <v>Laptop – (ACER EXTENSA EX215-55G i7)</v>
      </c>
      <c r="D89" s="47"/>
      <c r="E89" s="46"/>
      <c r="F89" s="46" t="str">
        <f ca="1">IFERROR(__xludf.DUMMYFUNCTION("""COMPUTED_VALUE"""),"2023-05-03-10202SP392-01")</f>
        <v>2023-05-03-10202SP392-01</v>
      </c>
      <c r="G89" s="46"/>
      <c r="H89" s="46" t="str">
        <f ca="1">IFERROR(__xludf.DUMMYFUNCTION("""COMPUTED_VALUE"""),"ATTY. MARJORIE AYSON")</f>
        <v>ATTY. MARJORIE AYSON</v>
      </c>
      <c r="I89" s="46" t="str">
        <f ca="1">IFERROR(__xludf.DUMMYFUNCTION("""COMPUTED_VALUE"""),"AFOO")</f>
        <v>AFOO</v>
      </c>
      <c r="J89" s="46" t="str">
        <f ca="1">IFERROR(__xludf.DUMMYFUNCTION("""COMPUTED_VALUE"""),"2023-09-067S")</f>
        <v>2023-09-067S</v>
      </c>
      <c r="K89" s="46" t="str">
        <f ca="1">IFERROR(__xludf.DUMMYFUNCTION("""COMPUTED_VALUE"""),"ATTY. MARJORIE AYSON")</f>
        <v>ATTY. MARJORIE AYSON</v>
      </c>
      <c r="L89" s="46" t="str">
        <f ca="1">IFERROR(__xludf.DUMMYFUNCTION("""COMPUTED_VALUE"""),"ASEC")</f>
        <v>ASEC</v>
      </c>
      <c r="M89" s="46" t="str">
        <f ca="1">IFERROR(__xludf.DUMMYFUNCTION("""COMPUTED_VALUE"""),"SERVICEABLE")</f>
        <v>SERVICEABLE</v>
      </c>
      <c r="N89" s="46"/>
    </row>
    <row r="90" spans="1:14" ht="13.8">
      <c r="A90" s="46" t="str">
        <f ca="1">IFERROR(__xludf.DUMMYFUNCTION("""COMPUTED_VALUE"""),"DARCO")</f>
        <v>DARCO</v>
      </c>
      <c r="B90" s="46" t="str">
        <f ca="1">IFERROR(__xludf.DUMMYFUNCTION("""COMPUTED_VALUE"""),"CENTRAL OFFICE")</f>
        <v>CENTRAL OFFICE</v>
      </c>
      <c r="C90" s="47" t="str">
        <f ca="1">IFERROR(__xludf.DUMMYFUNCTION("""COMPUTED_VALUE"""),"Laptop – (ACER EXTENSA EX215-55G i7)")</f>
        <v>Laptop – (ACER EXTENSA EX215-55G i7)</v>
      </c>
      <c r="D90" s="47"/>
      <c r="E90" s="46"/>
      <c r="F90" s="46" t="str">
        <f ca="1">IFERROR(__xludf.DUMMYFUNCTION("""COMPUTED_VALUE"""),"2023-05-03-10202SP393-01")</f>
        <v>2023-05-03-10202SP393-01</v>
      </c>
      <c r="G90" s="46"/>
      <c r="H90" s="46" t="str">
        <f ca="1">IFERROR(__xludf.DUMMYFUNCTION("""COMPUTED_VALUE"""),"ELIZABETH VILLAPANDO")</f>
        <v>ELIZABETH VILLAPANDO</v>
      </c>
      <c r="I90" s="46" t="str">
        <f ca="1">IFERROR(__xludf.DUMMYFUNCTION("""COMPUTED_VALUE"""),"BLTI")</f>
        <v>BLTI</v>
      </c>
      <c r="J90" s="46" t="str">
        <f ca="1">IFERROR(__xludf.DUMMYFUNCTION("""COMPUTED_VALUE"""),"2023-10-069S")</f>
        <v>2023-10-069S</v>
      </c>
      <c r="K90" s="46" t="str">
        <f ca="1">IFERROR(__xludf.DUMMYFUNCTION("""COMPUTED_VALUE"""),"ELIZABETH VILLAPANDO")</f>
        <v>ELIZABETH VILLAPANDO</v>
      </c>
      <c r="L90" s="46" t="str">
        <f ca="1">IFERROR(__xludf.DUMMYFUNCTION("""COMPUTED_VALUE"""),"ADIR")</f>
        <v>ADIR</v>
      </c>
      <c r="M90" s="46" t="str">
        <f ca="1">IFERROR(__xludf.DUMMYFUNCTION("""COMPUTED_VALUE"""),"SERVICEABLE")</f>
        <v>SERVICEABLE</v>
      </c>
      <c r="N90" s="46"/>
    </row>
    <row r="91" spans="1:14" ht="13.8">
      <c r="A91" s="46" t="str">
        <f ca="1">IFERROR(__xludf.DUMMYFUNCTION("""COMPUTED_VALUE"""),"DARCO")</f>
        <v>DARCO</v>
      </c>
      <c r="B91" s="46" t="str">
        <f ca="1">IFERROR(__xludf.DUMMYFUNCTION("""COMPUTED_VALUE"""),"CENTRAL OFFICE")</f>
        <v>CENTRAL OFFICE</v>
      </c>
      <c r="C91" s="47" t="str">
        <f ca="1">IFERROR(__xludf.DUMMYFUNCTION("""COMPUTED_VALUE"""),"Laptop – (ACER EXTENSA EX215-55G i7)")</f>
        <v>Laptop – (ACER EXTENSA EX215-55G i7)</v>
      </c>
      <c r="D91" s="47"/>
      <c r="E91" s="46"/>
      <c r="F91" s="46" t="str">
        <f ca="1">IFERROR(__xludf.DUMMYFUNCTION("""COMPUTED_VALUE"""),"2023-05-03-10202SP394-01")</f>
        <v>2023-05-03-10202SP394-01</v>
      </c>
      <c r="G91" s="46"/>
      <c r="H91" s="46" t="str">
        <f ca="1">IFERROR(__xludf.DUMMYFUNCTION("""COMPUTED_VALUE"""),"JAMIL P. AMATONDING JR.")</f>
        <v>JAMIL P. AMATONDING JR.</v>
      </c>
      <c r="I91" s="46" t="str">
        <f ca="1">IFERROR(__xludf.DUMMYFUNCTION("""COMPUTED_VALUE"""),"BLAD")</f>
        <v>BLAD</v>
      </c>
      <c r="J91" s="46" t="str">
        <f ca="1">IFERROR(__xludf.DUMMYFUNCTION("""COMPUTED_VALUE"""),"2023-10-071S")</f>
        <v>2023-10-071S</v>
      </c>
      <c r="K91" s="46" t="str">
        <f ca="1">IFERROR(__xludf.DUMMYFUNCTION("""COMPUTED_VALUE"""),"JAMIL P. AMATONDING JR.")</f>
        <v>JAMIL P. AMATONDING JR.</v>
      </c>
      <c r="L91" s="46" t="str">
        <f ca="1">IFERROR(__xludf.DUMMYFUNCTION("""COMPUTED_VALUE"""),"DIRECTOR")</f>
        <v>DIRECTOR</v>
      </c>
      <c r="M91" s="46" t="str">
        <f ca="1">IFERROR(__xludf.DUMMYFUNCTION("""COMPUTED_VALUE"""),"SERVICEABLE")</f>
        <v>SERVICEABLE</v>
      </c>
      <c r="N91" s="46"/>
    </row>
    <row r="92" spans="1:14" ht="13.8">
      <c r="A92" s="46" t="str">
        <f ca="1">IFERROR(__xludf.DUMMYFUNCTION("""COMPUTED_VALUE"""),"DARCO")</f>
        <v>DARCO</v>
      </c>
      <c r="B92" s="46" t="str">
        <f ca="1">IFERROR(__xludf.DUMMYFUNCTION("""COMPUTED_VALUE"""),"CENTRAL OFFICE")</f>
        <v>CENTRAL OFFICE</v>
      </c>
      <c r="C92" s="47" t="str">
        <f ca="1">IFERROR(__xludf.DUMMYFUNCTION("""COMPUTED_VALUE"""),"Laptop – (ACER EXTENSA EX215-55G i7)")</f>
        <v>Laptop – (ACER EXTENSA EX215-55G i7)</v>
      </c>
      <c r="D92" s="47"/>
      <c r="E92" s="46"/>
      <c r="F92" s="46" t="str">
        <f ca="1">IFERROR(__xludf.DUMMYFUNCTION("""COMPUTED_VALUE"""),"2023-05-03-10202SP395-01")</f>
        <v>2023-05-03-10202SP395-01</v>
      </c>
      <c r="G92" s="46"/>
      <c r="H92" s="46" t="str">
        <f ca="1">IFERROR(__xludf.DUMMYFUNCTION("""COMPUTED_VALUE"""),"JAMIL P. AMATONDING JR.")</f>
        <v>JAMIL P. AMATONDING JR.</v>
      </c>
      <c r="I92" s="46" t="str">
        <f ca="1">IFERROR(__xludf.DUMMYFUNCTION("""COMPUTED_VALUE"""),"BLAD")</f>
        <v>BLAD</v>
      </c>
      <c r="J92" s="46" t="str">
        <f ca="1">IFERROR(__xludf.DUMMYFUNCTION("""COMPUTED_VALUE"""),"2023-10-071S")</f>
        <v>2023-10-071S</v>
      </c>
      <c r="K92" s="46" t="str">
        <f ca="1">IFERROR(__xludf.DUMMYFUNCTION("""COMPUTED_VALUE"""),"JAMIL P. AMATONDING JR.")</f>
        <v>JAMIL P. AMATONDING JR.</v>
      </c>
      <c r="L92" s="46" t="str">
        <f ca="1">IFERROR(__xludf.DUMMYFUNCTION("""COMPUTED_VALUE"""),"DIRECTOR")</f>
        <v>DIRECTOR</v>
      </c>
      <c r="M92" s="46" t="str">
        <f ca="1">IFERROR(__xludf.DUMMYFUNCTION("""COMPUTED_VALUE"""),"SERVICEABLE")</f>
        <v>SERVICEABLE</v>
      </c>
      <c r="N92" s="46"/>
    </row>
    <row r="93" spans="1:14" ht="13.8">
      <c r="A93" s="46" t="str">
        <f ca="1">IFERROR(__xludf.DUMMYFUNCTION("""COMPUTED_VALUE"""),"DARCO")</f>
        <v>DARCO</v>
      </c>
      <c r="B93" s="46" t="str">
        <f ca="1">IFERROR(__xludf.DUMMYFUNCTION("""COMPUTED_VALUE"""),"CENTRAL OFFICE")</f>
        <v>CENTRAL OFFICE</v>
      </c>
      <c r="C93" s="47" t="str">
        <f ca="1">IFERROR(__xludf.DUMMYFUNCTION("""COMPUTED_VALUE"""),"Laptop – (ACER EXTENSA EX215-55G i7)")</f>
        <v>Laptop – (ACER EXTENSA EX215-55G i7)</v>
      </c>
      <c r="D93" s="47"/>
      <c r="E93" s="46"/>
      <c r="F93" s="46" t="str">
        <f ca="1">IFERROR(__xludf.DUMMYFUNCTION("""COMPUTED_VALUE"""),"2023-05-03-10202SP396-01")</f>
        <v>2023-05-03-10202SP396-01</v>
      </c>
      <c r="G93" s="46"/>
      <c r="H93" s="46" t="str">
        <f ca="1">IFERROR(__xludf.DUMMYFUNCTION("""COMPUTED_VALUE"""),"KAZEL C. CELESTE")</f>
        <v>KAZEL C. CELESTE</v>
      </c>
      <c r="I93" s="46" t="str">
        <f ca="1">IFERROR(__xludf.DUMMYFUNCTION("""COMPUTED_VALUE"""),"UFOO")</f>
        <v>UFOO</v>
      </c>
      <c r="J93" s="46" t="str">
        <f ca="1">IFERROR(__xludf.DUMMYFUNCTION("""COMPUTED_VALUE"""),"2023-10-070S")</f>
        <v>2023-10-070S</v>
      </c>
      <c r="K93" s="46" t="str">
        <f ca="1">IFERROR(__xludf.DUMMYFUNCTION("""COMPUTED_VALUE"""),"KAZEL C. CELESTE")</f>
        <v>KAZEL C. CELESTE</v>
      </c>
      <c r="L93" s="46" t="str">
        <f ca="1">IFERROR(__xludf.DUMMYFUNCTION("""COMPUTED_VALUE"""),"USEC")</f>
        <v>USEC</v>
      </c>
      <c r="M93" s="46" t="str">
        <f ca="1">IFERROR(__xludf.DUMMYFUNCTION("""COMPUTED_VALUE"""),"SERVICEABLE")</f>
        <v>SERVICEABLE</v>
      </c>
      <c r="N93" s="46"/>
    </row>
    <row r="94" spans="1:14" ht="13.8">
      <c r="A94" s="46" t="str">
        <f ca="1">IFERROR(__xludf.DUMMYFUNCTION("""COMPUTED_VALUE"""),"DARCO")</f>
        <v>DARCO</v>
      </c>
      <c r="B94" s="46" t="str">
        <f ca="1">IFERROR(__xludf.DUMMYFUNCTION("""COMPUTED_VALUE"""),"CENTRAL OFFICE")</f>
        <v>CENTRAL OFFICE</v>
      </c>
      <c r="C94" s="47" t="str">
        <f ca="1">IFERROR(__xludf.DUMMYFUNCTION("""COMPUTED_VALUE"""),"Laptop – (ACER EXTENSA EX215-55G i7)")</f>
        <v>Laptop – (ACER EXTENSA EX215-55G i7)</v>
      </c>
      <c r="D94" s="47"/>
      <c r="E94" s="46"/>
      <c r="F94" s="46" t="str">
        <f ca="1">IFERROR(__xludf.DUMMYFUNCTION("""COMPUTED_VALUE"""),"2023-05-03-10202SP397-01")</f>
        <v>2023-05-03-10202SP397-01</v>
      </c>
      <c r="G94" s="46"/>
      <c r="H94" s="46" t="str">
        <f ca="1">IFERROR(__xludf.DUMMYFUNCTION("""COMPUTED_VALUE"""),"FE LEZZIE A. FALCON")</f>
        <v>FE LEZZIE A. FALCON</v>
      </c>
      <c r="I94" s="46" t="str">
        <f ca="1">IFERROR(__xludf.DUMMYFUNCTION("""COMPUTED_VALUE"""),"BLTI DCD")</f>
        <v>BLTI DCD</v>
      </c>
      <c r="J94" s="46" t="str">
        <f ca="1">IFERROR(__xludf.DUMMYFUNCTION("""COMPUTED_VALUE"""),"2023-09-067S")</f>
        <v>2023-09-067S</v>
      </c>
      <c r="K94" s="46" t="str">
        <f ca="1">IFERROR(__xludf.DUMMYFUNCTION("""COMPUTED_VALUE"""),"FE LEZZIE A. FALCON")</f>
        <v>FE LEZZIE A. FALCON</v>
      </c>
      <c r="L94" s="46" t="str">
        <f ca="1">IFERROR(__xludf.DUMMYFUNCTION("""COMPUTED_VALUE"""),"CARPO")</f>
        <v>CARPO</v>
      </c>
      <c r="M94" s="46" t="str">
        <f ca="1">IFERROR(__xludf.DUMMYFUNCTION("""COMPUTED_VALUE"""),"SERVICEABLE")</f>
        <v>SERVICEABLE</v>
      </c>
      <c r="N94" s="46"/>
    </row>
    <row r="95" spans="1:14" ht="13.8">
      <c r="A95" s="46" t="str">
        <f ca="1">IFERROR(__xludf.DUMMYFUNCTION("""COMPUTED_VALUE"""),"DARCO")</f>
        <v>DARCO</v>
      </c>
      <c r="B95" s="46" t="str">
        <f ca="1">IFERROR(__xludf.DUMMYFUNCTION("""COMPUTED_VALUE"""),"CENTRAL OFFICE")</f>
        <v>CENTRAL OFFICE</v>
      </c>
      <c r="C95" s="47" t="str">
        <f ca="1">IFERROR(__xludf.DUMMYFUNCTION("""COMPUTED_VALUE"""),"Laptop – (ACER EXTENSA EX215-55G i7)")</f>
        <v>Laptop – (ACER EXTENSA EX215-55G i7)</v>
      </c>
      <c r="D95" s="47"/>
      <c r="E95" s="46"/>
      <c r="F95" s="46" t="str">
        <f ca="1">IFERROR(__xludf.DUMMYFUNCTION("""COMPUTED_VALUE"""),"2023-05-03-10202SP398-01")</f>
        <v>2023-05-03-10202SP398-01</v>
      </c>
      <c r="G95" s="46"/>
      <c r="H95" s="46" t="str">
        <f ca="1">IFERROR(__xludf.DUMMYFUNCTION("""COMPUTED_VALUE"""),"ARTEMIO DUMAOANG")</f>
        <v>ARTEMIO DUMAOANG</v>
      </c>
      <c r="I95" s="46" t="str">
        <f ca="1">IFERROR(__xludf.DUMMYFUNCTION("""COMPUTED_VALUE"""),"MISS")</f>
        <v>MISS</v>
      </c>
      <c r="J95" s="46" t="str">
        <f ca="1">IFERROR(__xludf.DUMMYFUNCTION("""COMPUTED_VALUE"""),"2023-09-067S")</f>
        <v>2023-09-067S</v>
      </c>
      <c r="K95" s="46" t="str">
        <f ca="1">IFERROR(__xludf.DUMMYFUNCTION("""COMPUTED_VALUE"""),"ARTEMIO DUMAOANG")</f>
        <v>ARTEMIO DUMAOANG</v>
      </c>
      <c r="L95" s="46" t="str">
        <f ca="1">IFERROR(__xludf.DUMMYFUNCTION("""COMPUTED_VALUE"""),"DIRECTOR")</f>
        <v>DIRECTOR</v>
      </c>
      <c r="M95" s="46" t="str">
        <f ca="1">IFERROR(__xludf.DUMMYFUNCTION("""COMPUTED_VALUE"""),"SERVICEABLE")</f>
        <v>SERVICEABLE</v>
      </c>
      <c r="N95" s="46"/>
    </row>
    <row r="96" spans="1:14" ht="13.8">
      <c r="A96" s="46" t="str">
        <f ca="1">IFERROR(__xludf.DUMMYFUNCTION("""COMPUTED_VALUE"""),"DARCO")</f>
        <v>DARCO</v>
      </c>
      <c r="B96" s="46" t="str">
        <f ca="1">IFERROR(__xludf.DUMMYFUNCTION("""COMPUTED_VALUE"""),"CENTRAL OFFICE")</f>
        <v>CENTRAL OFFICE</v>
      </c>
      <c r="C96" s="47" t="str">
        <f ca="1">IFERROR(__xludf.DUMMYFUNCTION("""COMPUTED_VALUE"""),"Laptop – (ACER EXTENSA EX215-55G i7)")</f>
        <v>Laptop – (ACER EXTENSA EX215-55G i7)</v>
      </c>
      <c r="D96" s="47"/>
      <c r="E96" s="46"/>
      <c r="F96" s="46" t="str">
        <f ca="1">IFERROR(__xludf.DUMMYFUNCTION("""COMPUTED_VALUE"""),"2023-05-03-10202SP399-01")</f>
        <v>2023-05-03-10202SP399-01</v>
      </c>
      <c r="G96" s="46"/>
      <c r="H96" s="46" t="str">
        <f ca="1">IFERROR(__xludf.DUMMYFUNCTION("""COMPUTED_VALUE"""),"NEIL LUMAUAN")</f>
        <v>NEIL LUMAUAN</v>
      </c>
      <c r="I96" s="46" t="str">
        <f ca="1">IFERROR(__xludf.DUMMYFUNCTION("""COMPUTED_VALUE"""),"BLTI")</f>
        <v>BLTI</v>
      </c>
      <c r="J96" s="46" t="str">
        <f ca="1">IFERROR(__xludf.DUMMYFUNCTION("""COMPUTED_VALUE"""),"2023-09-067S")</f>
        <v>2023-09-067S</v>
      </c>
      <c r="K96" s="46" t="str">
        <f ca="1">IFERROR(__xludf.DUMMYFUNCTION("""COMPUTED_VALUE"""),"NEIL LUMAUAN")</f>
        <v>NEIL LUMAUAN</v>
      </c>
      <c r="L96" s="46" t="str">
        <f ca="1">IFERROR(__xludf.DUMMYFUNCTION("""COMPUTED_VALUE"""),"PARPO")</f>
        <v>PARPO</v>
      </c>
      <c r="M96" s="46" t="str">
        <f ca="1">IFERROR(__xludf.DUMMYFUNCTION("""COMPUTED_VALUE"""),"SERVICEABLE")</f>
        <v>SERVICEABLE</v>
      </c>
      <c r="N96" s="46"/>
    </row>
    <row r="97" spans="1:14" ht="13.8">
      <c r="A97" s="46" t="str">
        <f ca="1">IFERROR(__xludf.DUMMYFUNCTION("""COMPUTED_VALUE"""),"DARCO")</f>
        <v>DARCO</v>
      </c>
      <c r="B97" s="46" t="str">
        <f ca="1">IFERROR(__xludf.DUMMYFUNCTION("""COMPUTED_VALUE"""),"CENTRAL OFFICE")</f>
        <v>CENTRAL OFFICE</v>
      </c>
      <c r="C97" s="47" t="str">
        <f ca="1">IFERROR(__xludf.DUMMYFUNCTION("""COMPUTED_VALUE"""),"Laptop – (ACER EXTENSA EX215-55G i7)")</f>
        <v>Laptop – (ACER EXTENSA EX215-55G i7)</v>
      </c>
      <c r="D97" s="47"/>
      <c r="E97" s="46"/>
      <c r="F97" s="46" t="str">
        <f ca="1">IFERROR(__xludf.DUMMYFUNCTION("""COMPUTED_VALUE"""),"2023-05-03-10202SP400-01")</f>
        <v>2023-05-03-10202SP400-01</v>
      </c>
      <c r="G97" s="46"/>
      <c r="H97" s="46" t="str">
        <f ca="1">IFERROR(__xludf.DUMMYFUNCTION("""COMPUTED_VALUE"""),"JUAN MARIA LORENZO CASTRICIONES")</f>
        <v>JUAN MARIA LORENZO CASTRICIONES</v>
      </c>
      <c r="I97" s="46" t="str">
        <f ca="1">IFERROR(__xludf.DUMMYFUNCTION("""COMPUTED_VALUE"""),"CRS")</f>
        <v>CRS</v>
      </c>
      <c r="J97" s="46" t="str">
        <f ca="1">IFERROR(__xludf.DUMMYFUNCTION("""COMPUTED_VALUE"""),"2023-09-068S")</f>
        <v>2023-09-068S</v>
      </c>
      <c r="K97" s="46" t="str">
        <f ca="1">IFERROR(__xludf.DUMMYFUNCTION("""COMPUTED_VALUE"""),"JUAN MARIA LORENZO CASTRICIONES")</f>
        <v>JUAN MARIA LORENZO CASTRICIONES</v>
      </c>
      <c r="L97" s="46" t="str">
        <f ca="1">IFERROR(__xludf.DUMMYFUNCTION("""COMPUTED_VALUE"""),"DIRECTOR")</f>
        <v>DIRECTOR</v>
      </c>
      <c r="M97" s="46" t="str">
        <f ca="1">IFERROR(__xludf.DUMMYFUNCTION("""COMPUTED_VALUE"""),"SERVICEABLE")</f>
        <v>SERVICEABLE</v>
      </c>
      <c r="N97" s="46"/>
    </row>
    <row r="98" spans="1:14" ht="13.8">
      <c r="A98" s="46" t="str">
        <f ca="1">IFERROR(__xludf.DUMMYFUNCTION("""COMPUTED_VALUE"""),"DARCO")</f>
        <v>DARCO</v>
      </c>
      <c r="B98" s="46" t="str">
        <f ca="1">IFERROR(__xludf.DUMMYFUNCTION("""COMPUTED_VALUE"""),"CENTRAL OFFICE")</f>
        <v>CENTRAL OFFICE</v>
      </c>
      <c r="C98" s="47" t="str">
        <f ca="1">IFERROR(__xludf.DUMMYFUNCTION("""COMPUTED_VALUE"""),"Desktop Computer – (Lenovo M70T)")</f>
        <v>Desktop Computer – (Lenovo M70T)</v>
      </c>
      <c r="D98" s="47"/>
      <c r="E98" s="46"/>
      <c r="F98" s="46" t="str">
        <f ca="1">IFERROR(__xludf.DUMMYFUNCTION("""COMPUTED_VALUE"""),"2023-05-03-10201SP493-01")</f>
        <v>2023-05-03-10201SP493-01</v>
      </c>
      <c r="G98" s="46"/>
      <c r="H98" s="46" t="str">
        <f ca="1">IFERROR(__xludf.DUMMYFUNCTION("""COMPUTED_VALUE"""),"DENNIS G. RAMOS")</f>
        <v>DENNIS G. RAMOS</v>
      </c>
      <c r="I98" s="46" t="str">
        <f ca="1">IFERROR(__xludf.DUMMYFUNCTION("""COMPUTED_VALUE"""),"DIRECTOR")</f>
        <v>DIRECTOR</v>
      </c>
      <c r="J98" s="46" t="str">
        <f ca="1">IFERROR(__xludf.DUMMYFUNCTION("""COMPUTED_VALUE"""),"2023-09-060S")</f>
        <v>2023-09-060S</v>
      </c>
      <c r="K98" s="46"/>
      <c r="L98" s="46" t="str">
        <f ca="1">IFERROR(__xludf.DUMMYFUNCTION("""COMPUTED_VALUE"""),"FMS OD")</f>
        <v>FMS OD</v>
      </c>
      <c r="M98" s="46" t="str">
        <f ca="1">IFERROR(__xludf.DUMMYFUNCTION("""COMPUTED_VALUE"""),"SERVICEABLE")</f>
        <v>SERVICEABLE</v>
      </c>
      <c r="N98" s="46"/>
    </row>
    <row r="99" spans="1:14" ht="13.8">
      <c r="A99" s="46" t="str">
        <f ca="1">IFERROR(__xludf.DUMMYFUNCTION("""COMPUTED_VALUE"""),"DARCO")</f>
        <v>DARCO</v>
      </c>
      <c r="B99" s="46" t="str">
        <f ca="1">IFERROR(__xludf.DUMMYFUNCTION("""COMPUTED_VALUE"""),"CENTRAL OFFICE")</f>
        <v>CENTRAL OFFICE</v>
      </c>
      <c r="C99" s="47" t="str">
        <f ca="1">IFERROR(__xludf.DUMMYFUNCTION("""COMPUTED_VALUE"""),"Desktop Computer – (Lenovo M70T)")</f>
        <v>Desktop Computer – (Lenovo M70T)</v>
      </c>
      <c r="D99" s="47"/>
      <c r="E99" s="46"/>
      <c r="F99" s="46" t="str">
        <f ca="1">IFERROR(__xludf.DUMMYFUNCTION("""COMPUTED_VALUE"""),"2023-05-03-10201SP494-01")</f>
        <v>2023-05-03-10201SP494-01</v>
      </c>
      <c r="G99" s="46"/>
      <c r="H99" s="46" t="str">
        <f ca="1">IFERROR(__xludf.DUMMYFUNCTION("""COMPUTED_VALUE"""),"AMIHILDA SANGCOPAN")</f>
        <v>AMIHILDA SANGCOPAN</v>
      </c>
      <c r="I99" s="46" t="str">
        <f ca="1">IFERROR(__xludf.DUMMYFUNCTION("""COMPUTED_VALUE"""),"USEC")</f>
        <v>USEC</v>
      </c>
      <c r="J99" s="46" t="str">
        <f ca="1">IFERROR(__xludf.DUMMYFUNCTION("""COMPUTED_VALUE"""),"2023-09-061S")</f>
        <v>2023-09-061S</v>
      </c>
      <c r="K99" s="46"/>
      <c r="L99" s="46" t="str">
        <f ca="1">IFERROR(__xludf.DUMMYFUNCTION("""COMPUTED_VALUE"""),"OMA")</f>
        <v>OMA</v>
      </c>
      <c r="M99" s="46" t="str">
        <f ca="1">IFERROR(__xludf.DUMMYFUNCTION("""COMPUTED_VALUE"""),"SERVICEABLE")</f>
        <v>SERVICEABLE</v>
      </c>
      <c r="N99" s="46"/>
    </row>
    <row r="100" spans="1:14" ht="13.8">
      <c r="A100" s="46" t="str">
        <f ca="1">IFERROR(__xludf.DUMMYFUNCTION("""COMPUTED_VALUE"""),"DARCO")</f>
        <v>DARCO</v>
      </c>
      <c r="B100" s="46" t="str">
        <f ca="1">IFERROR(__xludf.DUMMYFUNCTION("""COMPUTED_VALUE"""),"CENTRAL OFFICE")</f>
        <v>CENTRAL OFFICE</v>
      </c>
      <c r="C100" s="47" t="str">
        <f ca="1">IFERROR(__xludf.DUMMYFUNCTION("""COMPUTED_VALUE"""),"Desktop Computer – (Lenovo M70T)")</f>
        <v>Desktop Computer – (Lenovo M70T)</v>
      </c>
      <c r="D100" s="47"/>
      <c r="E100" s="46"/>
      <c r="F100" s="46" t="str">
        <f ca="1">IFERROR(__xludf.DUMMYFUNCTION("""COMPUTED_VALUE"""),"2023-05-03-10201SP495-01")</f>
        <v>2023-05-03-10201SP495-01</v>
      </c>
      <c r="G100" s="46"/>
      <c r="H100" s="46" t="str">
        <f ca="1">IFERROR(__xludf.DUMMYFUNCTION("""COMPUTED_VALUE"""),"ATTY.NESTOR IFURUNG")</f>
        <v>ATTY.NESTOR IFURUNG</v>
      </c>
      <c r="I100" s="46" t="str">
        <f ca="1">IFERROR(__xludf.DUMMYFUNCTION("""COMPUTED_VALUE"""),"HEA")</f>
        <v>HEA</v>
      </c>
      <c r="J100" s="46" t="str">
        <f ca="1">IFERROR(__xludf.DUMMYFUNCTION("""COMPUTED_VALUE"""),"2023-09-062S")</f>
        <v>2023-09-062S</v>
      </c>
      <c r="K100" s="46"/>
      <c r="L100" s="46" t="str">
        <f ca="1">IFERROR(__xludf.DUMMYFUNCTION("""COMPUTED_VALUE"""),"OSEC")</f>
        <v>OSEC</v>
      </c>
      <c r="M100" s="46" t="str">
        <f ca="1">IFERROR(__xludf.DUMMYFUNCTION("""COMPUTED_VALUE"""),"SERVICEABLE")</f>
        <v>SERVICEABLE</v>
      </c>
      <c r="N100" s="46"/>
    </row>
    <row r="101" spans="1:14" ht="13.8">
      <c r="A101" s="46" t="str">
        <f ca="1">IFERROR(__xludf.DUMMYFUNCTION("""COMPUTED_VALUE"""),"DARCO")</f>
        <v>DARCO</v>
      </c>
      <c r="B101" s="46" t="str">
        <f ca="1">IFERROR(__xludf.DUMMYFUNCTION("""COMPUTED_VALUE"""),"CENTRAL OFFICE")</f>
        <v>CENTRAL OFFICE</v>
      </c>
      <c r="C101" s="47" t="str">
        <f ca="1">IFERROR(__xludf.DUMMYFUNCTION("""COMPUTED_VALUE"""),"Desktop Computer – (Lenovo M70T)")</f>
        <v>Desktop Computer – (Lenovo M70T)</v>
      </c>
      <c r="D101" s="47"/>
      <c r="E101" s="46"/>
      <c r="F101" s="46" t="str">
        <f ca="1">IFERROR(__xludf.DUMMYFUNCTION("""COMPUTED_VALUE"""),"2023-05-03-10201SP496-01")</f>
        <v>2023-05-03-10201SP496-01</v>
      </c>
      <c r="G101" s="46"/>
      <c r="H101" s="46" t="str">
        <f ca="1">IFERROR(__xludf.DUMMYFUNCTION("""COMPUTED_VALUE"""),"GLORIA M. JULIANO")</f>
        <v>GLORIA M. JULIANO</v>
      </c>
      <c r="I101" s="46" t="str">
        <f ca="1">IFERROR(__xludf.DUMMYFUNCTION("""COMPUTED_VALUE"""),"CHIEF")</f>
        <v>CHIEF</v>
      </c>
      <c r="J101" s="46" t="str">
        <f ca="1">IFERROR(__xludf.DUMMYFUNCTION("""COMPUTED_VALUE"""),"2023-09-061SA")</f>
        <v>2023-09-061SA</v>
      </c>
      <c r="K101" s="46"/>
      <c r="L101" s="46" t="str">
        <f ca="1">IFERROR(__xludf.DUMMYFUNCTION("""COMPUTED_VALUE"""),"GSD")</f>
        <v>GSD</v>
      </c>
      <c r="M101" s="46" t="str">
        <f ca="1">IFERROR(__xludf.DUMMYFUNCTION("""COMPUTED_VALUE"""),"SERVICEABLE")</f>
        <v>SERVICEABLE</v>
      </c>
      <c r="N101" s="46"/>
    </row>
    <row r="102" spans="1:14" ht="13.8">
      <c r="A102" s="46" t="str">
        <f ca="1">IFERROR(__xludf.DUMMYFUNCTION("""COMPUTED_VALUE"""),"DARCO")</f>
        <v>DARCO</v>
      </c>
      <c r="B102" s="46" t="str">
        <f ca="1">IFERROR(__xludf.DUMMYFUNCTION("""COMPUTED_VALUE"""),"CENTRAL OFFICE")</f>
        <v>CENTRAL OFFICE</v>
      </c>
      <c r="C102" s="47" t="str">
        <f ca="1">IFERROR(__xludf.DUMMYFUNCTION("""COMPUTED_VALUE"""),"Desktop Computer – (Lenovo M70T)")</f>
        <v>Desktop Computer – (Lenovo M70T)</v>
      </c>
      <c r="D102" s="47"/>
      <c r="E102" s="46"/>
      <c r="F102" s="46" t="str">
        <f ca="1">IFERROR(__xludf.DUMMYFUNCTION("""COMPUTED_VALUE"""),"2023-05-03-10201SP497-01")</f>
        <v>2023-05-03-10201SP497-01</v>
      </c>
      <c r="G102" s="46"/>
      <c r="H102" s="46" t="str">
        <f ca="1">IFERROR(__xludf.DUMMYFUNCTION("""COMPUTED_VALUE"""),"GLORIA M. JULIANO")</f>
        <v>GLORIA M. JULIANO</v>
      </c>
      <c r="I102" s="46" t="str">
        <f ca="1">IFERROR(__xludf.DUMMYFUNCTION("""COMPUTED_VALUE"""),"CHIEF")</f>
        <v>CHIEF</v>
      </c>
      <c r="J102" s="46" t="str">
        <f ca="1">IFERROR(__xludf.DUMMYFUNCTION("""COMPUTED_VALUE"""),"2023-09-061SA")</f>
        <v>2023-09-061SA</v>
      </c>
      <c r="K102" s="46"/>
      <c r="L102" s="46" t="str">
        <f ca="1">IFERROR(__xludf.DUMMYFUNCTION("""COMPUTED_VALUE"""),"GSD")</f>
        <v>GSD</v>
      </c>
      <c r="M102" s="46" t="str">
        <f ca="1">IFERROR(__xludf.DUMMYFUNCTION("""COMPUTED_VALUE"""),"SERVICEABLE")</f>
        <v>SERVICEABLE</v>
      </c>
      <c r="N102" s="46"/>
    </row>
    <row r="103" spans="1:14" ht="13.8">
      <c r="A103" s="46" t="str">
        <f ca="1">IFERROR(__xludf.DUMMYFUNCTION("""COMPUTED_VALUE"""),"DARCO")</f>
        <v>DARCO</v>
      </c>
      <c r="B103" s="46" t="str">
        <f ca="1">IFERROR(__xludf.DUMMYFUNCTION("""COMPUTED_VALUE"""),"CENTRAL OFFICE")</f>
        <v>CENTRAL OFFICE</v>
      </c>
      <c r="C103" s="47" t="str">
        <f ca="1">IFERROR(__xludf.DUMMYFUNCTION("""COMPUTED_VALUE"""),"Desktop Computer – (Lenovo M70T)")</f>
        <v>Desktop Computer – (Lenovo M70T)</v>
      </c>
      <c r="D103" s="47"/>
      <c r="E103" s="46"/>
      <c r="F103" s="46" t="str">
        <f ca="1">IFERROR(__xludf.DUMMYFUNCTION("""COMPUTED_VALUE"""),"2023-05-03-10201SP498-01")</f>
        <v>2023-05-03-10201SP498-01</v>
      </c>
      <c r="G103" s="46"/>
      <c r="H103" s="46" t="str">
        <f ca="1">IFERROR(__xludf.DUMMYFUNCTION("""COMPUTED_VALUE"""),"UBALDO SADIARIN")</f>
        <v>UBALDO SADIARIN</v>
      </c>
      <c r="I103" s="46" t="str">
        <f ca="1">IFERROR(__xludf.DUMMYFUNCTION("""COMPUTED_VALUE"""),"ASEC")</f>
        <v>ASEC</v>
      </c>
      <c r="J103" s="46" t="str">
        <f ca="1">IFERROR(__xludf.DUMMYFUNCTION("""COMPUTED_VALUE"""),"2023-09-062SA")</f>
        <v>2023-09-062SA</v>
      </c>
      <c r="K103" s="46"/>
      <c r="L103" s="46" t="str">
        <f ca="1">IFERROR(__xludf.DUMMYFUNCTION("""COMPUTED_VALUE"""),"ASSO")</f>
        <v>ASSO</v>
      </c>
      <c r="M103" s="46" t="str">
        <f ca="1">IFERROR(__xludf.DUMMYFUNCTION("""COMPUTED_VALUE"""),"SERVICEABLE")</f>
        <v>SERVICEABLE</v>
      </c>
      <c r="N103" s="46"/>
    </row>
    <row r="104" spans="1:14" ht="13.8">
      <c r="A104" s="46" t="str">
        <f ca="1">IFERROR(__xludf.DUMMYFUNCTION("""COMPUTED_VALUE"""),"DARCO")</f>
        <v>DARCO</v>
      </c>
      <c r="B104" s="46" t="str">
        <f ca="1">IFERROR(__xludf.DUMMYFUNCTION("""COMPUTED_VALUE"""),"CENTRAL OFFICE")</f>
        <v>CENTRAL OFFICE</v>
      </c>
      <c r="C104" s="47" t="str">
        <f ca="1">IFERROR(__xludf.DUMMYFUNCTION("""COMPUTED_VALUE"""),"Desktop Computer – (Lenovo M70T)")</f>
        <v>Desktop Computer – (Lenovo M70T)</v>
      </c>
      <c r="D104" s="47"/>
      <c r="E104" s="46"/>
      <c r="F104" s="46" t="str">
        <f ca="1">IFERROR(__xludf.DUMMYFUNCTION("""COMPUTED_VALUE"""),"2023-05-03-10201SP499-01")</f>
        <v>2023-05-03-10201SP499-01</v>
      </c>
      <c r="G104" s="46"/>
      <c r="H104" s="46" t="str">
        <f ca="1">IFERROR(__xludf.DUMMYFUNCTION("""COMPUTED_VALUE"""),"VINCENT RAMOS")</f>
        <v>VINCENT RAMOS</v>
      </c>
      <c r="I104" s="46" t="str">
        <f ca="1">IFERROR(__xludf.DUMMYFUNCTION("""COMPUTED_VALUE"""),"EA")</f>
        <v>EA</v>
      </c>
      <c r="J104" s="46" t="str">
        <f ca="1">IFERROR(__xludf.DUMMYFUNCTION("""COMPUTED_VALUE"""),"2023-09-062SB")</f>
        <v>2023-09-062SB</v>
      </c>
      <c r="K104" s="46"/>
      <c r="L104" s="46" t="str">
        <f ca="1">IFERROR(__xludf.DUMMYFUNCTION("""COMPUTED_VALUE"""),"ASSO")</f>
        <v>ASSO</v>
      </c>
      <c r="M104" s="46" t="str">
        <f ca="1">IFERROR(__xludf.DUMMYFUNCTION("""COMPUTED_VALUE"""),"SERVICEABLE")</f>
        <v>SERVICEABLE</v>
      </c>
      <c r="N104" s="46"/>
    </row>
    <row r="105" spans="1:14" ht="13.8">
      <c r="A105" s="46" t="str">
        <f ca="1">IFERROR(__xludf.DUMMYFUNCTION("""COMPUTED_VALUE"""),"DARCO")</f>
        <v>DARCO</v>
      </c>
      <c r="B105" s="46" t="str">
        <f ca="1">IFERROR(__xludf.DUMMYFUNCTION("""COMPUTED_VALUE"""),"CENTRAL OFFICE")</f>
        <v>CENTRAL OFFICE</v>
      </c>
      <c r="C105" s="47" t="str">
        <f ca="1">IFERROR(__xludf.DUMMYFUNCTION("""COMPUTED_VALUE"""),"Desktop Computer – (Lenovo M70T)")</f>
        <v>Desktop Computer – (Lenovo M70T)</v>
      </c>
      <c r="D105" s="47"/>
      <c r="E105" s="46"/>
      <c r="F105" s="46" t="str">
        <f ca="1">IFERROR(__xludf.DUMMYFUNCTION("""COMPUTED_VALUE"""),"2023-05-03-10201SP500-01")</f>
        <v>2023-05-03-10201SP500-01</v>
      </c>
      <c r="G105" s="46"/>
      <c r="H105" s="46" t="str">
        <f ca="1">IFERROR(__xludf.DUMMYFUNCTION("""COMPUTED_VALUE"""),"NEIL LUMAUAN")</f>
        <v>NEIL LUMAUAN</v>
      </c>
      <c r="I105" s="46" t="str">
        <f ca="1">IFERROR(__xludf.DUMMYFUNCTION("""COMPUTED_VALUE"""),"PARPO")</f>
        <v>PARPO</v>
      </c>
      <c r="J105" s="46" t="str">
        <f ca="1">IFERROR(__xludf.DUMMYFUNCTION("""COMPUTED_VALUE"""),"2023-10-070S")</f>
        <v>2023-10-070S</v>
      </c>
      <c r="K105" s="46"/>
      <c r="L105" s="46" t="str">
        <f ca="1">IFERROR(__xludf.DUMMYFUNCTION("""COMPUTED_VALUE"""),"BLTI")</f>
        <v>BLTI</v>
      </c>
      <c r="M105" s="46" t="str">
        <f ca="1">IFERROR(__xludf.DUMMYFUNCTION("""COMPUTED_VALUE"""),"SERVICEABLE")</f>
        <v>SERVICEABLE</v>
      </c>
      <c r="N105" s="46"/>
    </row>
    <row r="106" spans="1:14" ht="13.8">
      <c r="A106" s="46" t="str">
        <f ca="1">IFERROR(__xludf.DUMMYFUNCTION("""COMPUTED_VALUE"""),"DARCO")</f>
        <v>DARCO</v>
      </c>
      <c r="B106" s="46" t="str">
        <f ca="1">IFERROR(__xludf.DUMMYFUNCTION("""COMPUTED_VALUE"""),"CENTRAL OFFICE")</f>
        <v>CENTRAL OFFICE</v>
      </c>
      <c r="C106" s="47" t="str">
        <f ca="1">IFERROR(__xludf.DUMMYFUNCTION("""COMPUTED_VALUE"""),"Desktop Computer – (Lenovo M70T)")</f>
        <v>Desktop Computer – (Lenovo M70T)</v>
      </c>
      <c r="D106" s="47"/>
      <c r="E106" s="46"/>
      <c r="F106" s="46" t="str">
        <f ca="1">IFERROR(__xludf.DUMMYFUNCTION("""COMPUTED_VALUE"""),"2023-05-03-10201SP501-01")</f>
        <v>2023-05-03-10201SP501-01</v>
      </c>
      <c r="G106" s="46"/>
      <c r="H106" s="46" t="str">
        <f ca="1">IFERROR(__xludf.DUMMYFUNCTION("""COMPUTED_VALUE"""),"FE LEZZIE FALCON")</f>
        <v>FE LEZZIE FALCON</v>
      </c>
      <c r="I106" s="46" t="str">
        <f ca="1">IFERROR(__xludf.DUMMYFUNCTION("""COMPUTED_VALUE"""),"CARPO")</f>
        <v>CARPO</v>
      </c>
      <c r="J106" s="46" t="str">
        <f ca="1">IFERROR(__xludf.DUMMYFUNCTION("""COMPUTED_VALUE"""),"2023-10-71S")</f>
        <v>2023-10-71S</v>
      </c>
      <c r="K106" s="46"/>
      <c r="L106" s="46" t="str">
        <f ca="1">IFERROR(__xludf.DUMMYFUNCTION("""COMPUTED_VALUE"""),"BLTI")</f>
        <v>BLTI</v>
      </c>
      <c r="M106" s="46" t="str">
        <f ca="1">IFERROR(__xludf.DUMMYFUNCTION("""COMPUTED_VALUE"""),"SERVICEABLE")</f>
        <v>SERVICEABLE</v>
      </c>
      <c r="N106" s="46"/>
    </row>
    <row r="107" spans="1:14" ht="13.8">
      <c r="A107" s="46" t="str">
        <f ca="1">IFERROR(__xludf.DUMMYFUNCTION("""COMPUTED_VALUE"""),"DARCO")</f>
        <v>DARCO</v>
      </c>
      <c r="B107" s="46" t="str">
        <f ca="1">IFERROR(__xludf.DUMMYFUNCTION("""COMPUTED_VALUE"""),"CENTRAL OFFICE")</f>
        <v>CENTRAL OFFICE</v>
      </c>
      <c r="C107" s="47" t="str">
        <f ca="1">IFERROR(__xludf.DUMMYFUNCTION("""COMPUTED_VALUE"""),"Desktop Computer – (HP Pro SFF 280G9)")</f>
        <v>Desktop Computer – (HP Pro SFF 280G9)</v>
      </c>
      <c r="D107" s="47"/>
      <c r="E107" s="46"/>
      <c r="F107" s="46" t="str">
        <f ca="1">IFERROR(__xludf.DUMMYFUNCTION("""COMPUTED_VALUE"""),"2023-05-03-10201SP05-01")</f>
        <v>2023-05-03-10201SP05-01</v>
      </c>
      <c r="G107" s="46"/>
      <c r="H107" s="46" t="str">
        <f ca="1">IFERROR(__xludf.DUMMYFUNCTION("""COMPUTED_VALUE"""),"ATTY. MARJORIE P. AYSON")</f>
        <v>ATTY. MARJORIE P. AYSON</v>
      </c>
      <c r="I107" s="46" t="str">
        <f ca="1">IFERROR(__xludf.DUMMYFUNCTION("""COMPUTED_VALUE"""),"ASEC")</f>
        <v>ASEC</v>
      </c>
      <c r="J107" s="46" t="str">
        <f ca="1">IFERROR(__xludf.DUMMYFUNCTION("""COMPUTED_VALUE"""),"2023-08-012DS")</f>
        <v>2023-08-012DS</v>
      </c>
      <c r="K107" s="46"/>
      <c r="L107" s="46" t="str">
        <f ca="1">IFERROR(__xludf.DUMMYFUNCTION("""COMPUTED_VALUE"""),"AFOO")</f>
        <v>AFOO</v>
      </c>
      <c r="M107" s="46" t="str">
        <f ca="1">IFERROR(__xludf.DUMMYFUNCTION("""COMPUTED_VALUE"""),"SERVICEABLE")</f>
        <v>SERVICEABLE</v>
      </c>
      <c r="N107" s="46"/>
    </row>
    <row r="108" spans="1:14" ht="13.8">
      <c r="A108" s="46" t="str">
        <f ca="1">IFERROR(__xludf.DUMMYFUNCTION("""COMPUTED_VALUE"""),"DARCO")</f>
        <v>DARCO</v>
      </c>
      <c r="B108" s="46" t="str">
        <f ca="1">IFERROR(__xludf.DUMMYFUNCTION("""COMPUTED_VALUE"""),"CENTRAL OFFICE")</f>
        <v>CENTRAL OFFICE</v>
      </c>
      <c r="C108" s="47" t="str">
        <f ca="1">IFERROR(__xludf.DUMMYFUNCTION("""COMPUTED_VALUE"""),"Desktop Computer – (HP Pro SFF 280G9)")</f>
        <v>Desktop Computer – (HP Pro SFF 280G9)</v>
      </c>
      <c r="D108" s="47"/>
      <c r="E108" s="46"/>
      <c r="F108" s="46" t="str">
        <f ca="1">IFERROR(__xludf.DUMMYFUNCTION("""COMPUTED_VALUE"""),"2023-05-03-10201SP06-01")</f>
        <v>2023-05-03-10201SP06-01</v>
      </c>
      <c r="G108" s="46"/>
      <c r="H108" s="46" t="str">
        <f ca="1">IFERROR(__xludf.DUMMYFUNCTION("""COMPUTED_VALUE"""),"ATTY. MARJORIE P. AYSON")</f>
        <v>ATTY. MARJORIE P. AYSON</v>
      </c>
      <c r="I108" s="46" t="str">
        <f ca="1">IFERROR(__xludf.DUMMYFUNCTION("""COMPUTED_VALUE"""),"ASEC")</f>
        <v>ASEC</v>
      </c>
      <c r="J108" s="46" t="str">
        <f ca="1">IFERROR(__xludf.DUMMYFUNCTION("""COMPUTED_VALUE"""),"2023-08-012DS")</f>
        <v>2023-08-012DS</v>
      </c>
      <c r="K108" s="46"/>
      <c r="L108" s="46" t="str">
        <f ca="1">IFERROR(__xludf.DUMMYFUNCTION("""COMPUTED_VALUE"""),"AFOO")</f>
        <v>AFOO</v>
      </c>
      <c r="M108" s="46" t="str">
        <f ca="1">IFERROR(__xludf.DUMMYFUNCTION("""COMPUTED_VALUE"""),"SERVICEABLE")</f>
        <v>SERVICEABLE</v>
      </c>
      <c r="N108" s="46"/>
    </row>
    <row r="109" spans="1:14" ht="13.8">
      <c r="A109" s="46" t="str">
        <f ca="1">IFERROR(__xludf.DUMMYFUNCTION("""COMPUTED_VALUE"""),"DARCO")</f>
        <v>DARCO</v>
      </c>
      <c r="B109" s="46" t="str">
        <f ca="1">IFERROR(__xludf.DUMMYFUNCTION("""COMPUTED_VALUE"""),"CENTRAL OFFICE")</f>
        <v>CENTRAL OFFICE</v>
      </c>
      <c r="C109" s="47" t="str">
        <f ca="1">IFERROR(__xludf.DUMMYFUNCTION("""COMPUTED_VALUE"""),"Desktop Computer – (HP Pro SFF 280G9)")</f>
        <v>Desktop Computer – (HP Pro SFF 280G9)</v>
      </c>
      <c r="D109" s="47"/>
      <c r="E109" s="46"/>
      <c r="F109" s="46" t="str">
        <f ca="1">IFERROR(__xludf.DUMMYFUNCTION("""COMPUTED_VALUE"""),"2023-05-03-10201SP07-01")</f>
        <v>2023-05-03-10201SP07-01</v>
      </c>
      <c r="G109" s="46"/>
      <c r="H109" s="46" t="str">
        <f ca="1">IFERROR(__xludf.DUMMYFUNCTION("""COMPUTED_VALUE"""),"ATTY. MARJORIE P. AYSON")</f>
        <v>ATTY. MARJORIE P. AYSON</v>
      </c>
      <c r="I109" s="46" t="str">
        <f ca="1">IFERROR(__xludf.DUMMYFUNCTION("""COMPUTED_VALUE"""),"ASEC")</f>
        <v>ASEC</v>
      </c>
      <c r="J109" s="46" t="str">
        <f ca="1">IFERROR(__xludf.DUMMYFUNCTION("""COMPUTED_VALUE"""),"2023-08-012DS")</f>
        <v>2023-08-012DS</v>
      </c>
      <c r="K109" s="46"/>
      <c r="L109" s="46" t="str">
        <f ca="1">IFERROR(__xludf.DUMMYFUNCTION("""COMPUTED_VALUE"""),"AFOO")</f>
        <v>AFOO</v>
      </c>
      <c r="M109" s="46" t="str">
        <f ca="1">IFERROR(__xludf.DUMMYFUNCTION("""COMPUTED_VALUE"""),"SERVICEABLE")</f>
        <v>SERVICEABLE</v>
      </c>
      <c r="N109" s="46"/>
    </row>
    <row r="110" spans="1:14" ht="13.8">
      <c r="A110" s="46" t="str">
        <f ca="1">IFERROR(__xludf.DUMMYFUNCTION("""COMPUTED_VALUE"""),"DARCO")</f>
        <v>DARCO</v>
      </c>
      <c r="B110" s="46" t="str">
        <f ca="1">IFERROR(__xludf.DUMMYFUNCTION("""COMPUTED_VALUE"""),"CENTRAL OFFICE")</f>
        <v>CENTRAL OFFICE</v>
      </c>
      <c r="C110" s="47" t="str">
        <f ca="1">IFERROR(__xludf.DUMMYFUNCTION("""COMPUTED_VALUE"""),"Desktop Computer – (HP Pro SFF 280G9)")</f>
        <v>Desktop Computer – (HP Pro SFF 280G9)</v>
      </c>
      <c r="D110" s="47"/>
      <c r="E110" s="46"/>
      <c r="F110" s="46" t="str">
        <f ca="1">IFERROR(__xludf.DUMMYFUNCTION("""COMPUTED_VALUE"""),"2023-05-03-10201SP08-01")</f>
        <v>2023-05-03-10201SP08-01</v>
      </c>
      <c r="G110" s="46"/>
      <c r="H110" s="46" t="str">
        <f ca="1">IFERROR(__xludf.DUMMYFUNCTION("""COMPUTED_VALUE"""),"ATTY. MARJORIE P. AYSON")</f>
        <v>ATTY. MARJORIE P. AYSON</v>
      </c>
      <c r="I110" s="46" t="str">
        <f ca="1">IFERROR(__xludf.DUMMYFUNCTION("""COMPUTED_VALUE"""),"ASEC")</f>
        <v>ASEC</v>
      </c>
      <c r="J110" s="46" t="str">
        <f ca="1">IFERROR(__xludf.DUMMYFUNCTION("""COMPUTED_VALUE"""),"2023-08-012DS")</f>
        <v>2023-08-012DS</v>
      </c>
      <c r="K110" s="46"/>
      <c r="L110" s="46" t="str">
        <f ca="1">IFERROR(__xludf.DUMMYFUNCTION("""COMPUTED_VALUE"""),"AFOO")</f>
        <v>AFOO</v>
      </c>
      <c r="M110" s="46" t="str">
        <f ca="1">IFERROR(__xludf.DUMMYFUNCTION("""COMPUTED_VALUE"""),"SERVICEABLE")</f>
        <v>SERVICEABLE</v>
      </c>
      <c r="N110" s="46"/>
    </row>
    <row r="111" spans="1:14" ht="13.8">
      <c r="A111" s="46" t="str">
        <f ca="1">IFERROR(__xludf.DUMMYFUNCTION("""COMPUTED_VALUE"""),"DARCO")</f>
        <v>DARCO</v>
      </c>
      <c r="B111" s="46" t="str">
        <f ca="1">IFERROR(__xludf.DUMMYFUNCTION("""COMPUTED_VALUE"""),"CENTRAL OFFICE")</f>
        <v>CENTRAL OFFICE</v>
      </c>
      <c r="C111" s="47" t="str">
        <f ca="1">IFERROR(__xludf.DUMMYFUNCTION("""COMPUTED_VALUE"""),"Desktop Computer – (HP Pro SFF 280G9)")</f>
        <v>Desktop Computer – (HP Pro SFF 280G9)</v>
      </c>
      <c r="D111" s="47"/>
      <c r="E111" s="46"/>
      <c r="F111" s="46" t="str">
        <f ca="1">IFERROR(__xludf.DUMMYFUNCTION("""COMPUTED_VALUE"""),"2023-05-03-10201SP09-01")</f>
        <v>2023-05-03-10201SP09-01</v>
      </c>
      <c r="G111" s="46"/>
      <c r="H111" s="46" t="str">
        <f ca="1">IFERROR(__xludf.DUMMYFUNCTION("""COMPUTED_VALUE"""),"JENER URFINDO C. BACUYAG")</f>
        <v>JENER URFINDO C. BACUYAG</v>
      </c>
      <c r="I111" s="46" t="str">
        <f ca="1">IFERROR(__xludf.DUMMYFUNCTION("""COMPUTED_VALUE"""),"ADMIN OFFICER III")</f>
        <v>ADMIN OFFICER III</v>
      </c>
      <c r="J111" s="46" t="str">
        <f ca="1">IFERROR(__xludf.DUMMYFUNCTION("""COMPUTED_VALUE"""),"2023-07-001DS")</f>
        <v>2023-07-001DS</v>
      </c>
      <c r="K111" s="46"/>
      <c r="L111" s="46" t="str">
        <f ca="1">IFERROR(__xludf.DUMMYFUNCTION("""COMPUTED_VALUE"""),"MISS ITSD")</f>
        <v>MISS ITSD</v>
      </c>
      <c r="M111" s="46" t="str">
        <f ca="1">IFERROR(__xludf.DUMMYFUNCTION("""COMPUTED_VALUE"""),"SERVICEABLE")</f>
        <v>SERVICEABLE</v>
      </c>
      <c r="N111" s="46"/>
    </row>
    <row r="112" spans="1:14" ht="13.8">
      <c r="A112" s="46" t="str">
        <f ca="1">IFERROR(__xludf.DUMMYFUNCTION("""COMPUTED_VALUE"""),"DARCO")</f>
        <v>DARCO</v>
      </c>
      <c r="B112" s="46" t="str">
        <f ca="1">IFERROR(__xludf.DUMMYFUNCTION("""COMPUTED_VALUE"""),"CENTRAL OFFICE")</f>
        <v>CENTRAL OFFICE</v>
      </c>
      <c r="C112" s="47" t="str">
        <f ca="1">IFERROR(__xludf.DUMMYFUNCTION("""COMPUTED_VALUE"""),"Desktop Computer – (HP Pro SFF 280G9)")</f>
        <v>Desktop Computer – (HP Pro SFF 280G9)</v>
      </c>
      <c r="D112" s="47"/>
      <c r="E112" s="46"/>
      <c r="F112" s="46" t="str">
        <f ca="1">IFERROR(__xludf.DUMMYFUNCTION("""COMPUTED_VALUE"""),"2023-05-03-10201SP10-01")</f>
        <v>2023-05-03-10201SP10-01</v>
      </c>
      <c r="G112" s="46"/>
      <c r="H112" s="46" t="str">
        <f ca="1">IFERROR(__xludf.DUMMYFUNCTION("""COMPUTED_VALUE"""),"SHIELA T. DAVID")</f>
        <v>SHIELA T. DAVID</v>
      </c>
      <c r="I112" s="46" t="str">
        <f ca="1">IFERROR(__xludf.DUMMYFUNCTION("""COMPUTED_VALUE"""),"ADMIN AID II")</f>
        <v>ADMIN AID II</v>
      </c>
      <c r="J112" s="46" t="str">
        <f ca="1">IFERROR(__xludf.DUMMYFUNCTION("""COMPUTED_VALUE"""),"2023-08-013DS")</f>
        <v>2023-08-013DS</v>
      </c>
      <c r="K112" s="46"/>
      <c r="L112" s="46" t="str">
        <f ca="1">IFERROR(__xludf.DUMMYFUNCTION("""COMPUTED_VALUE"""),"BALA - OD")</f>
        <v>BALA - OD</v>
      </c>
      <c r="M112" s="46" t="str">
        <f ca="1">IFERROR(__xludf.DUMMYFUNCTION("""COMPUTED_VALUE"""),"SERVICEABLE")</f>
        <v>SERVICEABLE</v>
      </c>
      <c r="N112" s="46"/>
    </row>
    <row r="113" spans="1:14" ht="13.8">
      <c r="A113" s="46" t="str">
        <f ca="1">IFERROR(__xludf.DUMMYFUNCTION("""COMPUTED_VALUE"""),"DARCO")</f>
        <v>DARCO</v>
      </c>
      <c r="B113" s="46" t="str">
        <f ca="1">IFERROR(__xludf.DUMMYFUNCTION("""COMPUTED_VALUE"""),"CENTRAL OFFICE")</f>
        <v>CENTRAL OFFICE</v>
      </c>
      <c r="C113" s="47" t="str">
        <f ca="1">IFERROR(__xludf.DUMMYFUNCTION("""COMPUTED_VALUE"""),"Desktop Computer – (HP Pro SFF 280G9)")</f>
        <v>Desktop Computer – (HP Pro SFF 280G9)</v>
      </c>
      <c r="D113" s="47"/>
      <c r="E113" s="46"/>
      <c r="F113" s="46" t="str">
        <f ca="1">IFERROR(__xludf.DUMMYFUNCTION("""COMPUTED_VALUE"""),"2023-05-03-10201SP11-01")</f>
        <v>2023-05-03-10201SP11-01</v>
      </c>
      <c r="G113" s="46"/>
      <c r="H113" s="46" t="str">
        <f ca="1">IFERROR(__xludf.DUMMYFUNCTION("""COMPUTED_VALUE"""),"ATTY. MARIA CHRISTINE EVANGELISTA")</f>
        <v>ATTY. MARIA CHRISTINE EVANGELISTA</v>
      </c>
      <c r="I113" s="46" t="str">
        <f ca="1">IFERROR(__xludf.DUMMYFUNCTION("""COMPUTED_VALUE"""),"ATTORNEY IV")</f>
        <v>ATTORNEY IV</v>
      </c>
      <c r="J113" s="46" t="str">
        <f ca="1">IFERROR(__xludf.DUMMYFUNCTION("""COMPUTED_VALUE"""),"2023-08-013ADS")</f>
        <v>2023-08-013ADS</v>
      </c>
      <c r="K113" s="46"/>
      <c r="L113" s="46" t="str">
        <f ca="1">IFERROR(__xludf.DUMMYFUNCTION("""COMPUTED_VALUE"""),"BALA")</f>
        <v>BALA</v>
      </c>
      <c r="M113" s="46" t="str">
        <f ca="1">IFERROR(__xludf.DUMMYFUNCTION("""COMPUTED_VALUE"""),"SERVICEABLE")</f>
        <v>SERVICEABLE</v>
      </c>
      <c r="N113" s="46"/>
    </row>
    <row r="114" spans="1:14" ht="13.8">
      <c r="A114" s="46" t="str">
        <f ca="1">IFERROR(__xludf.DUMMYFUNCTION("""COMPUTED_VALUE"""),"DARCO")</f>
        <v>DARCO</v>
      </c>
      <c r="B114" s="46" t="str">
        <f ca="1">IFERROR(__xludf.DUMMYFUNCTION("""COMPUTED_VALUE"""),"CENTRAL OFFICE")</f>
        <v>CENTRAL OFFICE</v>
      </c>
      <c r="C114" s="47" t="str">
        <f ca="1">IFERROR(__xludf.DUMMYFUNCTION("""COMPUTED_VALUE"""),"Desktop Computer – (HP Pro SFF 280G9)")</f>
        <v>Desktop Computer – (HP Pro SFF 280G9)</v>
      </c>
      <c r="D114" s="47"/>
      <c r="E114" s="46"/>
      <c r="F114" s="46" t="str">
        <f ca="1">IFERROR(__xludf.DUMMYFUNCTION("""COMPUTED_VALUE"""),"2023-05-03-10201SP12-01")</f>
        <v>2023-05-03-10201SP12-01</v>
      </c>
      <c r="G114" s="46"/>
      <c r="H114" s="46" t="str">
        <f ca="1">IFERROR(__xludf.DUMMYFUNCTION("""COMPUTED_VALUE"""),"ATTY. MARIA CHRISTINE EVANGELISTA")</f>
        <v>ATTY. MARIA CHRISTINE EVANGELISTA</v>
      </c>
      <c r="I114" s="46" t="str">
        <f ca="1">IFERROR(__xludf.DUMMYFUNCTION("""COMPUTED_VALUE"""),"ATTORNEY IV")</f>
        <v>ATTORNEY IV</v>
      </c>
      <c r="J114" s="46" t="str">
        <f ca="1">IFERROR(__xludf.DUMMYFUNCTION("""COMPUTED_VALUE"""),"2023-08-013ADS")</f>
        <v>2023-08-013ADS</v>
      </c>
      <c r="K114" s="46"/>
      <c r="L114" s="46" t="str">
        <f ca="1">IFERROR(__xludf.DUMMYFUNCTION("""COMPUTED_VALUE"""),"BALA")</f>
        <v>BALA</v>
      </c>
      <c r="M114" s="46" t="str">
        <f ca="1">IFERROR(__xludf.DUMMYFUNCTION("""COMPUTED_VALUE"""),"SERVICEABLE")</f>
        <v>SERVICEABLE</v>
      </c>
      <c r="N114" s="46"/>
    </row>
    <row r="115" spans="1:14" ht="13.8">
      <c r="A115" s="46" t="str">
        <f ca="1">IFERROR(__xludf.DUMMYFUNCTION("""COMPUTED_VALUE"""),"DARCO")</f>
        <v>DARCO</v>
      </c>
      <c r="B115" s="46" t="str">
        <f ca="1">IFERROR(__xludf.DUMMYFUNCTION("""COMPUTED_VALUE"""),"CENTRAL OFFICE")</f>
        <v>CENTRAL OFFICE</v>
      </c>
      <c r="C115" s="47" t="str">
        <f ca="1">IFERROR(__xludf.DUMMYFUNCTION("""COMPUTED_VALUE"""),"Desktop Computer – (HP Pro SFF 280G9)")</f>
        <v>Desktop Computer – (HP Pro SFF 280G9)</v>
      </c>
      <c r="D115" s="47"/>
      <c r="E115" s="46"/>
      <c r="F115" s="46" t="str">
        <f ca="1">IFERROR(__xludf.DUMMYFUNCTION("""COMPUTED_VALUE"""),"2023-05-03-10201SP13-01")</f>
        <v>2023-05-03-10201SP13-01</v>
      </c>
      <c r="G115" s="46"/>
      <c r="H115" s="46" t="str">
        <f ca="1">IFERROR(__xludf.DUMMYFUNCTION("""COMPUTED_VALUE"""),"DENNIS G. RAMOS")</f>
        <v>DENNIS G. RAMOS</v>
      </c>
      <c r="I115" s="46" t="str">
        <f ca="1">IFERROR(__xludf.DUMMYFUNCTION("""COMPUTED_VALUE"""),"DIRECTOR")</f>
        <v>DIRECTOR</v>
      </c>
      <c r="J115" s="46" t="str">
        <f ca="1">IFERROR(__xludf.DUMMYFUNCTION("""COMPUTED_VALUE"""),"2023-08-014DS")</f>
        <v>2023-08-014DS</v>
      </c>
      <c r="K115" s="46"/>
      <c r="L115" s="46" t="str">
        <f ca="1">IFERROR(__xludf.DUMMYFUNCTION("""COMPUTED_VALUE"""),"FMS")</f>
        <v>FMS</v>
      </c>
      <c r="M115" s="46" t="str">
        <f ca="1">IFERROR(__xludf.DUMMYFUNCTION("""COMPUTED_VALUE"""),"SERVICEABLE")</f>
        <v>SERVICEABLE</v>
      </c>
      <c r="N115" s="46"/>
    </row>
    <row r="116" spans="1:14" ht="13.8">
      <c r="A116" s="46" t="str">
        <f ca="1">IFERROR(__xludf.DUMMYFUNCTION("""COMPUTED_VALUE"""),"DARCO")</f>
        <v>DARCO</v>
      </c>
      <c r="B116" s="46" t="str">
        <f ca="1">IFERROR(__xludf.DUMMYFUNCTION("""COMPUTED_VALUE"""),"CENTRAL OFFICE")</f>
        <v>CENTRAL OFFICE</v>
      </c>
      <c r="C116" s="47" t="str">
        <f ca="1">IFERROR(__xludf.DUMMYFUNCTION("""COMPUTED_VALUE"""),"Desktop Computer – (HP Pro SFF 280G9)")</f>
        <v>Desktop Computer – (HP Pro SFF 280G9)</v>
      </c>
      <c r="D116" s="47"/>
      <c r="E116" s="46"/>
      <c r="F116" s="46" t="str">
        <f ca="1">IFERROR(__xludf.DUMMYFUNCTION("""COMPUTED_VALUE"""),"2023-05-03-10201SP14-01")</f>
        <v>2023-05-03-10201SP14-01</v>
      </c>
      <c r="G116" s="46"/>
      <c r="H116" s="46" t="str">
        <f ca="1">IFERROR(__xludf.DUMMYFUNCTION("""COMPUTED_VALUE"""),"DENNIS G. RAMOS")</f>
        <v>DENNIS G. RAMOS</v>
      </c>
      <c r="I116" s="46" t="str">
        <f ca="1">IFERROR(__xludf.DUMMYFUNCTION("""COMPUTED_VALUE"""),"DIRECTOR")</f>
        <v>DIRECTOR</v>
      </c>
      <c r="J116" s="46" t="str">
        <f ca="1">IFERROR(__xludf.DUMMYFUNCTION("""COMPUTED_VALUE"""),"2023-08-014DS")</f>
        <v>2023-08-014DS</v>
      </c>
      <c r="K116" s="46"/>
      <c r="L116" s="46" t="str">
        <f ca="1">IFERROR(__xludf.DUMMYFUNCTION("""COMPUTED_VALUE"""),"FMS")</f>
        <v>FMS</v>
      </c>
      <c r="M116" s="46" t="str">
        <f ca="1">IFERROR(__xludf.DUMMYFUNCTION("""COMPUTED_VALUE"""),"SERVICEABLE")</f>
        <v>SERVICEABLE</v>
      </c>
      <c r="N116" s="46"/>
    </row>
    <row r="117" spans="1:14" ht="13.8">
      <c r="A117" s="46" t="str">
        <f ca="1">IFERROR(__xludf.DUMMYFUNCTION("""COMPUTED_VALUE"""),"DARCO")</f>
        <v>DARCO</v>
      </c>
      <c r="B117" s="46" t="str">
        <f ca="1">IFERROR(__xludf.DUMMYFUNCTION("""COMPUTED_VALUE"""),"CENTRAL OFFICE")</f>
        <v>CENTRAL OFFICE</v>
      </c>
      <c r="C117" s="47" t="str">
        <f ca="1">IFERROR(__xludf.DUMMYFUNCTION("""COMPUTED_VALUE"""),"Desktop Computer – (HP Pro SFF 280G9)")</f>
        <v>Desktop Computer – (HP Pro SFF 280G9)</v>
      </c>
      <c r="D117" s="47"/>
      <c r="E117" s="46"/>
      <c r="F117" s="46" t="str">
        <f ca="1">IFERROR(__xludf.DUMMYFUNCTION("""COMPUTED_VALUE"""),"2023-05-03-10201SP15-01")</f>
        <v>2023-05-03-10201SP15-01</v>
      </c>
      <c r="G117" s="46"/>
      <c r="H117" s="46" t="str">
        <f ca="1">IFERROR(__xludf.DUMMYFUNCTION("""COMPUTED_VALUE"""),"DENNIS G. RAMOS")</f>
        <v>DENNIS G. RAMOS</v>
      </c>
      <c r="I117" s="46" t="str">
        <f ca="1">IFERROR(__xludf.DUMMYFUNCTION("""COMPUTED_VALUE"""),"DIRECTOR")</f>
        <v>DIRECTOR</v>
      </c>
      <c r="J117" s="46" t="str">
        <f ca="1">IFERROR(__xludf.DUMMYFUNCTION("""COMPUTED_VALUE"""),"2023-08-014DS")</f>
        <v>2023-08-014DS</v>
      </c>
      <c r="K117" s="46"/>
      <c r="L117" s="46" t="str">
        <f ca="1">IFERROR(__xludf.DUMMYFUNCTION("""COMPUTED_VALUE"""),"FMS")</f>
        <v>FMS</v>
      </c>
      <c r="M117" s="46" t="str">
        <f ca="1">IFERROR(__xludf.DUMMYFUNCTION("""COMPUTED_VALUE"""),"SERVICEABLE")</f>
        <v>SERVICEABLE</v>
      </c>
      <c r="N117" s="46"/>
    </row>
    <row r="118" spans="1:14" ht="13.8">
      <c r="A118" s="46" t="str">
        <f ca="1">IFERROR(__xludf.DUMMYFUNCTION("""COMPUTED_VALUE"""),"DARCO")</f>
        <v>DARCO</v>
      </c>
      <c r="B118" s="46" t="str">
        <f ca="1">IFERROR(__xludf.DUMMYFUNCTION("""COMPUTED_VALUE"""),"CENTRAL OFFICE")</f>
        <v>CENTRAL OFFICE</v>
      </c>
      <c r="C118" s="47" t="str">
        <f ca="1">IFERROR(__xludf.DUMMYFUNCTION("""COMPUTED_VALUE"""),"Desktop Computer – (HP Pro SFF 280G9)")</f>
        <v>Desktop Computer – (HP Pro SFF 280G9)</v>
      </c>
      <c r="D118" s="47"/>
      <c r="E118" s="46"/>
      <c r="F118" s="46" t="str">
        <f ca="1">IFERROR(__xludf.DUMMYFUNCTION("""COMPUTED_VALUE"""),"2023-05-03-10201SP16-01")</f>
        <v>2023-05-03-10201SP16-01</v>
      </c>
      <c r="G118" s="46"/>
      <c r="H118" s="46" t="str">
        <f ca="1">IFERROR(__xludf.DUMMYFUNCTION("""COMPUTED_VALUE"""),"DENNIS G. RAMOS")</f>
        <v>DENNIS G. RAMOS</v>
      </c>
      <c r="I118" s="46" t="str">
        <f ca="1">IFERROR(__xludf.DUMMYFUNCTION("""COMPUTED_VALUE"""),"DIRECTOR")</f>
        <v>DIRECTOR</v>
      </c>
      <c r="J118" s="46" t="str">
        <f ca="1">IFERROR(__xludf.DUMMYFUNCTION("""COMPUTED_VALUE"""),"2023-08-014DS")</f>
        <v>2023-08-014DS</v>
      </c>
      <c r="K118" s="46"/>
      <c r="L118" s="46" t="str">
        <f ca="1">IFERROR(__xludf.DUMMYFUNCTION("""COMPUTED_VALUE"""),"FMS")</f>
        <v>FMS</v>
      </c>
      <c r="M118" s="46" t="str">
        <f ca="1">IFERROR(__xludf.DUMMYFUNCTION("""COMPUTED_VALUE"""),"SERVICEABLE")</f>
        <v>SERVICEABLE</v>
      </c>
      <c r="N118" s="46"/>
    </row>
    <row r="119" spans="1:14" ht="13.8">
      <c r="A119" s="46" t="str">
        <f ca="1">IFERROR(__xludf.DUMMYFUNCTION("""COMPUTED_VALUE"""),"DARCO")</f>
        <v>DARCO</v>
      </c>
      <c r="B119" s="46" t="str">
        <f ca="1">IFERROR(__xludf.DUMMYFUNCTION("""COMPUTED_VALUE"""),"CENTRAL OFFICE")</f>
        <v>CENTRAL OFFICE</v>
      </c>
      <c r="C119" s="47" t="str">
        <f ca="1">IFERROR(__xludf.DUMMYFUNCTION("""COMPUTED_VALUE"""),"Desktop Computer – (HP Pro SFF 280G9)")</f>
        <v>Desktop Computer – (HP Pro SFF 280G9)</v>
      </c>
      <c r="D119" s="47"/>
      <c r="E119" s="46"/>
      <c r="F119" s="46" t="str">
        <f ca="1">IFERROR(__xludf.DUMMYFUNCTION("""COMPUTED_VALUE"""),"2023-05-03-10201SP17-01")</f>
        <v>2023-05-03-10201SP17-01</v>
      </c>
      <c r="G119" s="46"/>
      <c r="H119" s="46" t="str">
        <f ca="1">IFERROR(__xludf.DUMMYFUNCTION("""COMPUTED_VALUE"""),"DENNIS G. RAMOS")</f>
        <v>DENNIS G. RAMOS</v>
      </c>
      <c r="I119" s="46" t="str">
        <f ca="1">IFERROR(__xludf.DUMMYFUNCTION("""COMPUTED_VALUE"""),"DIRECTOR")</f>
        <v>DIRECTOR</v>
      </c>
      <c r="J119" s="46" t="str">
        <f ca="1">IFERROR(__xludf.DUMMYFUNCTION("""COMPUTED_VALUE"""),"2023-08-014DS")</f>
        <v>2023-08-014DS</v>
      </c>
      <c r="K119" s="46"/>
      <c r="L119" s="46" t="str">
        <f ca="1">IFERROR(__xludf.DUMMYFUNCTION("""COMPUTED_VALUE"""),"FMS")</f>
        <v>FMS</v>
      </c>
      <c r="M119" s="46" t="str">
        <f ca="1">IFERROR(__xludf.DUMMYFUNCTION("""COMPUTED_VALUE"""),"SERVICEABLE")</f>
        <v>SERVICEABLE</v>
      </c>
      <c r="N119" s="46"/>
    </row>
    <row r="120" spans="1:14" ht="13.8">
      <c r="A120" s="46" t="str">
        <f ca="1">IFERROR(__xludf.DUMMYFUNCTION("""COMPUTED_VALUE"""),"DARCO")</f>
        <v>DARCO</v>
      </c>
      <c r="B120" s="46" t="str">
        <f ca="1">IFERROR(__xludf.DUMMYFUNCTION("""COMPUTED_VALUE"""),"CENTRAL OFFICE")</f>
        <v>CENTRAL OFFICE</v>
      </c>
      <c r="C120" s="47" t="str">
        <f ca="1">IFERROR(__xludf.DUMMYFUNCTION("""COMPUTED_VALUE"""),"Desktop Computer – (HP Pro SFF 280G9)")</f>
        <v>Desktop Computer – (HP Pro SFF 280G9)</v>
      </c>
      <c r="D120" s="47"/>
      <c r="E120" s="46"/>
      <c r="F120" s="46" t="str">
        <f ca="1">IFERROR(__xludf.DUMMYFUNCTION("""COMPUTED_VALUE"""),"2023-05-03-10201SP18-01")</f>
        <v>2023-05-03-10201SP18-01</v>
      </c>
      <c r="G120" s="46"/>
      <c r="H120" s="46" t="str">
        <f ca="1">IFERROR(__xludf.DUMMYFUNCTION("""COMPUTED_VALUE"""),"DENNIS G. RAMOS")</f>
        <v>DENNIS G. RAMOS</v>
      </c>
      <c r="I120" s="46" t="str">
        <f ca="1">IFERROR(__xludf.DUMMYFUNCTION("""COMPUTED_VALUE"""),"DIRECTOR")</f>
        <v>DIRECTOR</v>
      </c>
      <c r="J120" s="46" t="str">
        <f ca="1">IFERROR(__xludf.DUMMYFUNCTION("""COMPUTED_VALUE"""),"2023-08-014DS")</f>
        <v>2023-08-014DS</v>
      </c>
      <c r="K120" s="46"/>
      <c r="L120" s="46" t="str">
        <f ca="1">IFERROR(__xludf.DUMMYFUNCTION("""COMPUTED_VALUE"""),"FMS")</f>
        <v>FMS</v>
      </c>
      <c r="M120" s="46" t="str">
        <f ca="1">IFERROR(__xludf.DUMMYFUNCTION("""COMPUTED_VALUE"""),"SERVICEABLE")</f>
        <v>SERVICEABLE</v>
      </c>
      <c r="N120" s="46"/>
    </row>
    <row r="121" spans="1:14" ht="13.8">
      <c r="A121" s="46" t="str">
        <f ca="1">IFERROR(__xludf.DUMMYFUNCTION("""COMPUTED_VALUE"""),"DARCO")</f>
        <v>DARCO</v>
      </c>
      <c r="B121" s="46" t="str">
        <f ca="1">IFERROR(__xludf.DUMMYFUNCTION("""COMPUTED_VALUE"""),"CENTRAL OFFICE")</f>
        <v>CENTRAL OFFICE</v>
      </c>
      <c r="C121" s="47" t="str">
        <f ca="1">IFERROR(__xludf.DUMMYFUNCTION("""COMPUTED_VALUE"""),"Desktop Computer – (HP Pro SFF 280G9)")</f>
        <v>Desktop Computer – (HP Pro SFF 280G9)</v>
      </c>
      <c r="D121" s="47"/>
      <c r="E121" s="46"/>
      <c r="F121" s="46" t="str">
        <f ca="1">IFERROR(__xludf.DUMMYFUNCTION("""COMPUTED_VALUE"""),"2023-05-03-10201SP19-01")</f>
        <v>2023-05-03-10201SP19-01</v>
      </c>
      <c r="G121" s="46"/>
      <c r="H121" s="46" t="str">
        <f ca="1">IFERROR(__xludf.DUMMYFUNCTION("""COMPUTED_VALUE"""),"MARISSA ARLENE BACCAY")</f>
        <v>MARISSA ARLENE BACCAY</v>
      </c>
      <c r="I121" s="46" t="str">
        <f ca="1">IFERROR(__xludf.DUMMYFUNCTION("""COMPUTED_VALUE"""),"OIC CHIEF")</f>
        <v>OIC CHIEF</v>
      </c>
      <c r="J121" s="46" t="str">
        <f ca="1">IFERROR(__xludf.DUMMYFUNCTION("""COMPUTED_VALUE"""),"2023-10-066DS")</f>
        <v>2023-10-066DS</v>
      </c>
      <c r="K121" s="46"/>
      <c r="L121" s="46" t="str">
        <f ca="1">IFERROR(__xludf.DUMMYFUNCTION("""COMPUTED_VALUE"""),"PERSONNEL DIV")</f>
        <v>PERSONNEL DIV</v>
      </c>
      <c r="M121" s="46" t="str">
        <f ca="1">IFERROR(__xludf.DUMMYFUNCTION("""COMPUTED_VALUE"""),"SERVICEABLE")</f>
        <v>SERVICEABLE</v>
      </c>
      <c r="N121" s="46"/>
    </row>
    <row r="122" spans="1:14" ht="13.8">
      <c r="A122" s="46" t="str">
        <f ca="1">IFERROR(__xludf.DUMMYFUNCTION("""COMPUTED_VALUE"""),"DARCO")</f>
        <v>DARCO</v>
      </c>
      <c r="B122" s="46" t="str">
        <f ca="1">IFERROR(__xludf.DUMMYFUNCTION("""COMPUTED_VALUE"""),"CENTRAL OFFICE")</f>
        <v>CENTRAL OFFICE</v>
      </c>
      <c r="C122" s="47" t="str">
        <f ca="1">IFERROR(__xludf.DUMMYFUNCTION("""COMPUTED_VALUE"""),"Desktop Computer – (HP Pro SFF 280G9)")</f>
        <v>Desktop Computer – (HP Pro SFF 280G9)</v>
      </c>
      <c r="D122" s="47"/>
      <c r="E122" s="46"/>
      <c r="F122" s="46" t="str">
        <f ca="1">IFERROR(__xludf.DUMMYFUNCTION("""COMPUTED_VALUE"""),"2023-05-03-10201SP20-01")</f>
        <v>2023-05-03-10201SP20-01</v>
      </c>
      <c r="G122" s="46"/>
      <c r="H122" s="46" t="str">
        <f ca="1">IFERROR(__xludf.DUMMYFUNCTION("""COMPUTED_VALUE"""),"MARISSA ARLENE BACCAY")</f>
        <v>MARISSA ARLENE BACCAY</v>
      </c>
      <c r="I122" s="46" t="str">
        <f ca="1">IFERROR(__xludf.DUMMYFUNCTION("""COMPUTED_VALUE"""),"OIC CHIEF")</f>
        <v>OIC CHIEF</v>
      </c>
      <c r="J122" s="46" t="str">
        <f ca="1">IFERROR(__xludf.DUMMYFUNCTION("""COMPUTED_VALUE"""),"2023-10-066DS")</f>
        <v>2023-10-066DS</v>
      </c>
      <c r="K122" s="46"/>
      <c r="L122" s="46" t="str">
        <f ca="1">IFERROR(__xludf.DUMMYFUNCTION("""COMPUTED_VALUE"""),"PERSONNEL DIV")</f>
        <v>PERSONNEL DIV</v>
      </c>
      <c r="M122" s="46" t="str">
        <f ca="1">IFERROR(__xludf.DUMMYFUNCTION("""COMPUTED_VALUE"""),"SERVICEABLE")</f>
        <v>SERVICEABLE</v>
      </c>
      <c r="N122" s="46"/>
    </row>
    <row r="123" spans="1:14" ht="13.8">
      <c r="A123" s="46" t="str">
        <f ca="1">IFERROR(__xludf.DUMMYFUNCTION("""COMPUTED_VALUE"""),"DARCO")</f>
        <v>DARCO</v>
      </c>
      <c r="B123" s="46" t="str">
        <f ca="1">IFERROR(__xludf.DUMMYFUNCTION("""COMPUTED_VALUE"""),"CENTRAL OFFICE")</f>
        <v>CENTRAL OFFICE</v>
      </c>
      <c r="C123" s="47" t="str">
        <f ca="1">IFERROR(__xludf.DUMMYFUNCTION("""COMPUTED_VALUE"""),"Desktop Computer – (HP Pro SFF 280G9)")</f>
        <v>Desktop Computer – (HP Pro SFF 280G9)</v>
      </c>
      <c r="D123" s="47"/>
      <c r="E123" s="46"/>
      <c r="F123" s="46" t="str">
        <f ca="1">IFERROR(__xludf.DUMMYFUNCTION("""COMPUTED_VALUE"""),"2023-05-03-10201SP21-01")</f>
        <v>2023-05-03-10201SP21-01</v>
      </c>
      <c r="G123" s="46"/>
      <c r="H123" s="46" t="str">
        <f ca="1">IFERROR(__xludf.DUMMYFUNCTION("""COMPUTED_VALUE"""),"JOSEF ANGELO S. MARTIRES")</f>
        <v>JOSEF ANGELO S. MARTIRES</v>
      </c>
      <c r="I123" s="46" t="str">
        <f ca="1">IFERROR(__xludf.DUMMYFUNCTION("""COMPUTED_VALUE"""),"ASEC")</f>
        <v>ASEC</v>
      </c>
      <c r="J123" s="46"/>
      <c r="K123" s="46"/>
      <c r="L123" s="46" t="str">
        <f ca="1">IFERROR(__xludf.DUMMYFUNCTION("""COMPUTED_VALUE"""),"AFASPO")</f>
        <v>AFASPO</v>
      </c>
      <c r="M123" s="46" t="str">
        <f ca="1">IFERROR(__xludf.DUMMYFUNCTION("""COMPUTED_VALUE"""),"SERVICEABLE")</f>
        <v>SERVICEABLE</v>
      </c>
      <c r="N123" s="46"/>
    </row>
    <row r="124" spans="1:14" ht="13.8">
      <c r="A124" s="46" t="str">
        <f ca="1">IFERROR(__xludf.DUMMYFUNCTION("""COMPUTED_VALUE"""),"DARCO")</f>
        <v>DARCO</v>
      </c>
      <c r="B124" s="46" t="str">
        <f ca="1">IFERROR(__xludf.DUMMYFUNCTION("""COMPUTED_VALUE"""),"CENTRAL OFFICE")</f>
        <v>CENTRAL OFFICE</v>
      </c>
      <c r="C124" s="47" t="str">
        <f ca="1">IFERROR(__xludf.DUMMYFUNCTION("""COMPUTED_VALUE"""),"Desktop Computer – (HP Pro SFF 280G9)")</f>
        <v>Desktop Computer – (HP Pro SFF 280G9)</v>
      </c>
      <c r="D124" s="47"/>
      <c r="E124" s="46"/>
      <c r="F124" s="46" t="str">
        <f ca="1">IFERROR(__xludf.DUMMYFUNCTION("""COMPUTED_VALUE"""),"2023-05-03-10201SP22-01")</f>
        <v>2023-05-03-10201SP22-01</v>
      </c>
      <c r="G124" s="46"/>
      <c r="H124" s="46" t="str">
        <f ca="1">IFERROR(__xludf.DUMMYFUNCTION("""COMPUTED_VALUE"""),"ATTY. NAPOLEON U. GALIT")</f>
        <v>ATTY. NAPOLEON U. GALIT</v>
      </c>
      <c r="I124" s="46" t="str">
        <f ca="1">IFERROR(__xludf.DUMMYFUNCTION("""COMPUTED_VALUE"""),"USEC")</f>
        <v>USEC</v>
      </c>
      <c r="J124" s="46" t="str">
        <f ca="1">IFERROR(__xludf.DUMMYFUNCTION("""COMPUTED_VALUE"""),"2023-08-016DS")</f>
        <v>2023-08-016DS</v>
      </c>
      <c r="K124" s="46"/>
      <c r="L124" s="46" t="str">
        <f ca="1">IFERROR(__xludf.DUMMYFUNCTION("""COMPUTED_VALUE"""),"LAO")</f>
        <v>LAO</v>
      </c>
      <c r="M124" s="46" t="str">
        <f ca="1">IFERROR(__xludf.DUMMYFUNCTION("""COMPUTED_VALUE"""),"SERVICEABLE")</f>
        <v>SERVICEABLE</v>
      </c>
      <c r="N124" s="46"/>
    </row>
    <row r="125" spans="1:14" ht="13.8">
      <c r="A125" s="46" t="str">
        <f ca="1">IFERROR(__xludf.DUMMYFUNCTION("""COMPUTED_VALUE"""),"DARCO")</f>
        <v>DARCO</v>
      </c>
      <c r="B125" s="46" t="str">
        <f ca="1">IFERROR(__xludf.DUMMYFUNCTION("""COMPUTED_VALUE"""),"CENTRAL OFFICE")</f>
        <v>CENTRAL OFFICE</v>
      </c>
      <c r="C125" s="47" t="str">
        <f ca="1">IFERROR(__xludf.DUMMYFUNCTION("""COMPUTED_VALUE"""),"Desktop Computer – (HP Pro SFF 280G9)")</f>
        <v>Desktop Computer – (HP Pro SFF 280G9)</v>
      </c>
      <c r="D125" s="47"/>
      <c r="E125" s="46"/>
      <c r="F125" s="46" t="str">
        <f ca="1">IFERROR(__xludf.DUMMYFUNCTION("""COMPUTED_VALUE"""),"2023-05-03-10201SP23-01")</f>
        <v>2023-05-03-10201SP23-01</v>
      </c>
      <c r="G125" s="46"/>
      <c r="H125" s="46" t="str">
        <f ca="1">IFERROR(__xludf.DUMMYFUNCTION("""COMPUTED_VALUE"""),"ATTY. NAPOLEON U. GALIT")</f>
        <v>ATTY. NAPOLEON U. GALIT</v>
      </c>
      <c r="I125" s="46" t="str">
        <f ca="1">IFERROR(__xludf.DUMMYFUNCTION("""COMPUTED_VALUE"""),"USEC")</f>
        <v>USEC</v>
      </c>
      <c r="J125" s="46" t="str">
        <f ca="1">IFERROR(__xludf.DUMMYFUNCTION("""COMPUTED_VALUE"""),"2023-08-016DS")</f>
        <v>2023-08-016DS</v>
      </c>
      <c r="K125" s="46"/>
      <c r="L125" s="46" t="str">
        <f ca="1">IFERROR(__xludf.DUMMYFUNCTION("""COMPUTED_VALUE"""),"LAO")</f>
        <v>LAO</v>
      </c>
      <c r="M125" s="46" t="str">
        <f ca="1">IFERROR(__xludf.DUMMYFUNCTION("""COMPUTED_VALUE"""),"SERVICEABLE")</f>
        <v>SERVICEABLE</v>
      </c>
      <c r="N125" s="46"/>
    </row>
    <row r="126" spans="1:14" ht="13.8">
      <c r="A126" s="46" t="str">
        <f ca="1">IFERROR(__xludf.DUMMYFUNCTION("""COMPUTED_VALUE"""),"DARCO")</f>
        <v>DARCO</v>
      </c>
      <c r="B126" s="46" t="str">
        <f ca="1">IFERROR(__xludf.DUMMYFUNCTION("""COMPUTED_VALUE"""),"CENTRAL OFFICE")</f>
        <v>CENTRAL OFFICE</v>
      </c>
      <c r="C126" s="47" t="str">
        <f ca="1">IFERROR(__xludf.DUMMYFUNCTION("""COMPUTED_VALUE"""),"Desktop Computer – (HP Pro SFF 280G9)")</f>
        <v>Desktop Computer – (HP Pro SFF 280G9)</v>
      </c>
      <c r="D126" s="47"/>
      <c r="E126" s="46"/>
      <c r="F126" s="46" t="str">
        <f ca="1">IFERROR(__xludf.DUMMYFUNCTION("""COMPUTED_VALUE"""),"2023-05-03-10201SP24-01")</f>
        <v>2023-05-03-10201SP24-01</v>
      </c>
      <c r="G126" s="46"/>
      <c r="H126" s="46" t="str">
        <f ca="1">IFERROR(__xludf.DUMMYFUNCTION("""COMPUTED_VALUE"""),"ATTY. NAPOLEON U. GALIT")</f>
        <v>ATTY. NAPOLEON U. GALIT</v>
      </c>
      <c r="I126" s="46" t="str">
        <f ca="1">IFERROR(__xludf.DUMMYFUNCTION("""COMPUTED_VALUE"""),"USEC")</f>
        <v>USEC</v>
      </c>
      <c r="J126" s="46" t="str">
        <f ca="1">IFERROR(__xludf.DUMMYFUNCTION("""COMPUTED_VALUE"""),"2023-08-016DS")</f>
        <v>2023-08-016DS</v>
      </c>
      <c r="K126" s="46"/>
      <c r="L126" s="46" t="str">
        <f ca="1">IFERROR(__xludf.DUMMYFUNCTION("""COMPUTED_VALUE"""),"LAO")</f>
        <v>LAO</v>
      </c>
      <c r="M126" s="46" t="str">
        <f ca="1">IFERROR(__xludf.DUMMYFUNCTION("""COMPUTED_VALUE"""),"SERVICEABLE")</f>
        <v>SERVICEABLE</v>
      </c>
      <c r="N126" s="46"/>
    </row>
    <row r="127" spans="1:14" ht="13.8">
      <c r="A127" s="46" t="str">
        <f ca="1">IFERROR(__xludf.DUMMYFUNCTION("""COMPUTED_VALUE"""),"DARCO")</f>
        <v>DARCO</v>
      </c>
      <c r="B127" s="46" t="str">
        <f ca="1">IFERROR(__xludf.DUMMYFUNCTION("""COMPUTED_VALUE"""),"CENTRAL OFFICE")</f>
        <v>CENTRAL OFFICE</v>
      </c>
      <c r="C127" s="47" t="str">
        <f ca="1">IFERROR(__xludf.DUMMYFUNCTION("""COMPUTED_VALUE"""),"Desktop Computer – (HP Pro SFF 280G9)")</f>
        <v>Desktop Computer – (HP Pro SFF 280G9)</v>
      </c>
      <c r="D127" s="47"/>
      <c r="E127" s="46"/>
      <c r="F127" s="46" t="str">
        <f ca="1">IFERROR(__xludf.DUMMYFUNCTION("""COMPUTED_VALUE"""),"2023-05-03-10201SP25-01")</f>
        <v>2023-05-03-10201SP25-01</v>
      </c>
      <c r="G127" s="46"/>
      <c r="H127" s="46" t="str">
        <f ca="1">IFERROR(__xludf.DUMMYFUNCTION("""COMPUTED_VALUE"""),"ATTY. KAZEL C. CELESTE")</f>
        <v>ATTY. KAZEL C. CELESTE</v>
      </c>
      <c r="I127" s="46" t="str">
        <f ca="1">IFERROR(__xludf.DUMMYFUNCTION("""COMPUTED_VALUE"""),"USEC")</f>
        <v>USEC</v>
      </c>
      <c r="J127" s="46" t="str">
        <f ca="1">IFERROR(__xludf.DUMMYFUNCTION("""COMPUTED_VALUE"""),"2023-08-017DS")</f>
        <v>2023-08-017DS</v>
      </c>
      <c r="K127" s="46"/>
      <c r="L127" s="46" t="str">
        <f ca="1">IFERROR(__xludf.DUMMYFUNCTION("""COMPUTED_VALUE"""),"UFOO")</f>
        <v>UFOO</v>
      </c>
      <c r="M127" s="46" t="str">
        <f ca="1">IFERROR(__xludf.DUMMYFUNCTION("""COMPUTED_VALUE"""),"SERVICEABLE")</f>
        <v>SERVICEABLE</v>
      </c>
      <c r="N127" s="46"/>
    </row>
    <row r="128" spans="1:14" ht="13.8">
      <c r="A128" s="46" t="str">
        <f ca="1">IFERROR(__xludf.DUMMYFUNCTION("""COMPUTED_VALUE"""),"DARCO")</f>
        <v>DARCO</v>
      </c>
      <c r="B128" s="46" t="str">
        <f ca="1">IFERROR(__xludf.DUMMYFUNCTION("""COMPUTED_VALUE"""),"CENTRAL OFFICE")</f>
        <v>CENTRAL OFFICE</v>
      </c>
      <c r="C128" s="47" t="str">
        <f ca="1">IFERROR(__xludf.DUMMYFUNCTION("""COMPUTED_VALUE"""),"Desktop Computer – (HP Pro SFF 280G9)")</f>
        <v>Desktop Computer – (HP Pro SFF 280G9)</v>
      </c>
      <c r="D128" s="47"/>
      <c r="E128" s="46"/>
      <c r="F128" s="46" t="str">
        <f ca="1">IFERROR(__xludf.DUMMYFUNCTION("""COMPUTED_VALUE"""),"2023-05-03-10201SP26-01")</f>
        <v>2023-05-03-10201SP26-01</v>
      </c>
      <c r="G128" s="46"/>
      <c r="H128" s="46" t="str">
        <f ca="1">IFERROR(__xludf.DUMMYFUNCTION("""COMPUTED_VALUE"""),"ATTY. KAZEL C. CELESTE")</f>
        <v>ATTY. KAZEL C. CELESTE</v>
      </c>
      <c r="I128" s="46" t="str">
        <f ca="1">IFERROR(__xludf.DUMMYFUNCTION("""COMPUTED_VALUE"""),"USEC")</f>
        <v>USEC</v>
      </c>
      <c r="J128" s="46" t="str">
        <f ca="1">IFERROR(__xludf.DUMMYFUNCTION("""COMPUTED_VALUE"""),"2023-08-017DS")</f>
        <v>2023-08-017DS</v>
      </c>
      <c r="K128" s="46"/>
      <c r="L128" s="46" t="str">
        <f ca="1">IFERROR(__xludf.DUMMYFUNCTION("""COMPUTED_VALUE"""),"UFOO")</f>
        <v>UFOO</v>
      </c>
      <c r="M128" s="46" t="str">
        <f ca="1">IFERROR(__xludf.DUMMYFUNCTION("""COMPUTED_VALUE"""),"SERVICEABLE")</f>
        <v>SERVICEABLE</v>
      </c>
      <c r="N128" s="46"/>
    </row>
    <row r="129" spans="1:14" ht="13.8">
      <c r="A129" s="46" t="str">
        <f ca="1">IFERROR(__xludf.DUMMYFUNCTION("""COMPUTED_VALUE"""),"DARCO")</f>
        <v>DARCO</v>
      </c>
      <c r="B129" s="46" t="str">
        <f ca="1">IFERROR(__xludf.DUMMYFUNCTION("""COMPUTED_VALUE"""),"CENTRAL OFFICE")</f>
        <v>CENTRAL OFFICE</v>
      </c>
      <c r="C129" s="47" t="str">
        <f ca="1">IFERROR(__xludf.DUMMYFUNCTION("""COMPUTED_VALUE"""),"Desktop Computer – (HP Pro SFF 280G9)")</f>
        <v>Desktop Computer – (HP Pro SFF 280G9)</v>
      </c>
      <c r="D129" s="47"/>
      <c r="E129" s="46"/>
      <c r="F129" s="46" t="str">
        <f ca="1">IFERROR(__xludf.DUMMYFUNCTION("""COMPUTED_VALUE"""),"2023-05-03-10201SP27-01")</f>
        <v>2023-05-03-10201SP27-01</v>
      </c>
      <c r="G129" s="46"/>
      <c r="H129" s="46" t="str">
        <f ca="1">IFERROR(__xludf.DUMMYFUNCTION("""COMPUTED_VALUE"""),"ATTY. KAZEL C. CELESTE")</f>
        <v>ATTY. KAZEL C. CELESTE</v>
      </c>
      <c r="I129" s="46" t="str">
        <f ca="1">IFERROR(__xludf.DUMMYFUNCTION("""COMPUTED_VALUE"""),"USEC")</f>
        <v>USEC</v>
      </c>
      <c r="J129" s="46" t="str">
        <f ca="1">IFERROR(__xludf.DUMMYFUNCTION("""COMPUTED_VALUE"""),"2023-08-017DS")</f>
        <v>2023-08-017DS</v>
      </c>
      <c r="K129" s="46"/>
      <c r="L129" s="46" t="str">
        <f ca="1">IFERROR(__xludf.DUMMYFUNCTION("""COMPUTED_VALUE"""),"UFOO")</f>
        <v>UFOO</v>
      </c>
      <c r="M129" s="46" t="str">
        <f ca="1">IFERROR(__xludf.DUMMYFUNCTION("""COMPUTED_VALUE"""),"SERVICEABLE")</f>
        <v>SERVICEABLE</v>
      </c>
      <c r="N129" s="46"/>
    </row>
    <row r="130" spans="1:14" ht="13.8">
      <c r="A130" s="46" t="str">
        <f ca="1">IFERROR(__xludf.DUMMYFUNCTION("""COMPUTED_VALUE"""),"DARCO")</f>
        <v>DARCO</v>
      </c>
      <c r="B130" s="46" t="str">
        <f ca="1">IFERROR(__xludf.DUMMYFUNCTION("""COMPUTED_VALUE"""),"CENTRAL OFFICE")</f>
        <v>CENTRAL OFFICE</v>
      </c>
      <c r="C130" s="47" t="str">
        <f ca="1">IFERROR(__xludf.DUMMYFUNCTION("""COMPUTED_VALUE"""),"Desktop Computer – (HP Pro SFF 280G9)")</f>
        <v>Desktop Computer – (HP Pro SFF 280G9)</v>
      </c>
      <c r="D130" s="47"/>
      <c r="E130" s="46"/>
      <c r="F130" s="46" t="str">
        <f ca="1">IFERROR(__xludf.DUMMYFUNCTION("""COMPUTED_VALUE"""),"2023-05-03-10201SP28-01")</f>
        <v>2023-05-03-10201SP28-01</v>
      </c>
      <c r="G130" s="46"/>
      <c r="H130" s="46" t="str">
        <f ca="1">IFERROR(__xludf.DUMMYFUNCTION("""COMPUTED_VALUE"""),"USEC FMAO")</f>
        <v>USEC FMAO</v>
      </c>
      <c r="I130" s="46" t="str">
        <f ca="1">IFERROR(__xludf.DUMMYFUNCTION("""COMPUTED_VALUE"""),"USEC")</f>
        <v>USEC</v>
      </c>
      <c r="J130" s="46" t="str">
        <f ca="1">IFERROR(__xludf.DUMMYFUNCTION("""COMPUTED_VALUE"""),"2023-08-018DS")</f>
        <v>2023-08-018DS</v>
      </c>
      <c r="K130" s="46"/>
      <c r="L130" s="46" t="str">
        <f ca="1">IFERROR(__xludf.DUMMYFUNCTION("""COMPUTED_VALUE"""),"FMAO")</f>
        <v>FMAO</v>
      </c>
      <c r="M130" s="46" t="str">
        <f ca="1">IFERROR(__xludf.DUMMYFUNCTION("""COMPUTED_VALUE"""),"SERVICEABLE")</f>
        <v>SERVICEABLE</v>
      </c>
      <c r="N130" s="46"/>
    </row>
    <row r="131" spans="1:14" ht="13.8">
      <c r="A131" s="46" t="str">
        <f ca="1">IFERROR(__xludf.DUMMYFUNCTION("""COMPUTED_VALUE"""),"DARCO")</f>
        <v>DARCO</v>
      </c>
      <c r="B131" s="46" t="str">
        <f ca="1">IFERROR(__xludf.DUMMYFUNCTION("""COMPUTED_VALUE"""),"CENTRAL OFFICE")</f>
        <v>CENTRAL OFFICE</v>
      </c>
      <c r="C131" s="47" t="str">
        <f ca="1">IFERROR(__xludf.DUMMYFUNCTION("""COMPUTED_VALUE"""),"Desktop Computer – (HP Pro SFF 280G9)")</f>
        <v>Desktop Computer – (HP Pro SFF 280G9)</v>
      </c>
      <c r="D131" s="47"/>
      <c r="E131" s="46"/>
      <c r="F131" s="46" t="str">
        <f ca="1">IFERROR(__xludf.DUMMYFUNCTION("""COMPUTED_VALUE"""),"2023-05-03-10201SP29-01")</f>
        <v>2023-05-03-10201SP29-01</v>
      </c>
      <c r="G131" s="46"/>
      <c r="H131" s="46" t="str">
        <f ca="1">IFERROR(__xludf.DUMMYFUNCTION("""COMPUTED_VALUE"""),"USEC FMAO")</f>
        <v>USEC FMAO</v>
      </c>
      <c r="I131" s="46" t="str">
        <f ca="1">IFERROR(__xludf.DUMMYFUNCTION("""COMPUTED_VALUE"""),"USEC")</f>
        <v>USEC</v>
      </c>
      <c r="J131" s="46" t="str">
        <f ca="1">IFERROR(__xludf.DUMMYFUNCTION("""COMPUTED_VALUE"""),"2023-08-018DS")</f>
        <v>2023-08-018DS</v>
      </c>
      <c r="K131" s="46"/>
      <c r="L131" s="46" t="str">
        <f ca="1">IFERROR(__xludf.DUMMYFUNCTION("""COMPUTED_VALUE"""),"FMAO")</f>
        <v>FMAO</v>
      </c>
      <c r="M131" s="46" t="str">
        <f ca="1">IFERROR(__xludf.DUMMYFUNCTION("""COMPUTED_VALUE"""),"SERVICEABLE")</f>
        <v>SERVICEABLE</v>
      </c>
      <c r="N131" s="46"/>
    </row>
    <row r="132" spans="1:14" ht="13.8">
      <c r="A132" s="46" t="str">
        <f ca="1">IFERROR(__xludf.DUMMYFUNCTION("""COMPUTED_VALUE"""),"DARCO")</f>
        <v>DARCO</v>
      </c>
      <c r="B132" s="46" t="str">
        <f ca="1">IFERROR(__xludf.DUMMYFUNCTION("""COMPUTED_VALUE"""),"CENTRAL OFFICE")</f>
        <v>CENTRAL OFFICE</v>
      </c>
      <c r="C132" s="47" t="str">
        <f ca="1">IFERROR(__xludf.DUMMYFUNCTION("""COMPUTED_VALUE"""),"Desktop Computer – (HP Pro SFF 280G9)")</f>
        <v>Desktop Computer – (HP Pro SFF 280G9)</v>
      </c>
      <c r="D132" s="47"/>
      <c r="E132" s="46"/>
      <c r="F132" s="46" t="str">
        <f ca="1">IFERROR(__xludf.DUMMYFUNCTION("""COMPUTED_VALUE"""),"2023-05-03-10201SP30-01")</f>
        <v>2023-05-03-10201SP30-01</v>
      </c>
      <c r="G132" s="46"/>
      <c r="H132" s="46" t="str">
        <f ca="1">IFERROR(__xludf.DUMMYFUNCTION("""COMPUTED_VALUE"""),"USEC FMAO")</f>
        <v>USEC FMAO</v>
      </c>
      <c r="I132" s="46" t="str">
        <f ca="1">IFERROR(__xludf.DUMMYFUNCTION("""COMPUTED_VALUE"""),"USEC")</f>
        <v>USEC</v>
      </c>
      <c r="J132" s="46" t="str">
        <f ca="1">IFERROR(__xludf.DUMMYFUNCTION("""COMPUTED_VALUE"""),"2023-08-018DS")</f>
        <v>2023-08-018DS</v>
      </c>
      <c r="K132" s="46"/>
      <c r="L132" s="46" t="str">
        <f ca="1">IFERROR(__xludf.DUMMYFUNCTION("""COMPUTED_VALUE"""),"FMAO")</f>
        <v>FMAO</v>
      </c>
      <c r="M132" s="46" t="str">
        <f ca="1">IFERROR(__xludf.DUMMYFUNCTION("""COMPUTED_VALUE"""),"SERVICEABLE")</f>
        <v>SERVICEABLE</v>
      </c>
      <c r="N132" s="46"/>
    </row>
    <row r="133" spans="1:14" ht="13.8">
      <c r="A133" s="46" t="str">
        <f ca="1">IFERROR(__xludf.DUMMYFUNCTION("""COMPUTED_VALUE"""),"DARCO")</f>
        <v>DARCO</v>
      </c>
      <c r="B133" s="46" t="str">
        <f ca="1">IFERROR(__xludf.DUMMYFUNCTION("""COMPUTED_VALUE"""),"CENTRAL OFFICE")</f>
        <v>CENTRAL OFFICE</v>
      </c>
      <c r="C133" s="47" t="str">
        <f ca="1">IFERROR(__xludf.DUMMYFUNCTION("""COMPUTED_VALUE"""),"Desktop Computer – (HP Pro SFF 280G9)")</f>
        <v>Desktop Computer – (HP Pro SFF 280G9)</v>
      </c>
      <c r="D133" s="47"/>
      <c r="E133" s="46"/>
      <c r="F133" s="46" t="str">
        <f ca="1">IFERROR(__xludf.DUMMYFUNCTION("""COMPUTED_VALUE"""),"2023-05-03-10201SP31-01")</f>
        <v>2023-05-03-10201SP31-01</v>
      </c>
      <c r="G133" s="46"/>
      <c r="H133" s="46" t="str">
        <f ca="1">IFERROR(__xludf.DUMMYFUNCTION("""COMPUTED_VALUE"""),"ROWENA NIÑA TADURAN")</f>
        <v>ROWENA NIÑA TADURAN</v>
      </c>
      <c r="I133" s="46" t="str">
        <f ca="1">IFERROR(__xludf.DUMMYFUNCTION("""COMPUTED_VALUE"""),"USEC")</f>
        <v>USEC</v>
      </c>
      <c r="J133" s="46" t="str">
        <f ca="1">IFERROR(__xludf.DUMMYFUNCTION("""COMPUTED_VALUE"""),"2023-08-019DS")</f>
        <v>2023-08-019DS</v>
      </c>
      <c r="K133" s="46"/>
      <c r="L133" s="46" t="str">
        <f ca="1">IFERROR(__xludf.DUMMYFUNCTION("""COMPUTED_VALUE"""),"USSO")</f>
        <v>USSO</v>
      </c>
      <c r="M133" s="46" t="str">
        <f ca="1">IFERROR(__xludf.DUMMYFUNCTION("""COMPUTED_VALUE"""),"SERVICEABLE")</f>
        <v>SERVICEABLE</v>
      </c>
      <c r="N133" s="46"/>
    </row>
    <row r="134" spans="1:14" ht="13.8">
      <c r="A134" s="46" t="str">
        <f ca="1">IFERROR(__xludf.DUMMYFUNCTION("""COMPUTED_VALUE"""),"DARCO")</f>
        <v>DARCO</v>
      </c>
      <c r="B134" s="46" t="str">
        <f ca="1">IFERROR(__xludf.DUMMYFUNCTION("""COMPUTED_VALUE"""),"CENTRAL OFFICE")</f>
        <v>CENTRAL OFFICE</v>
      </c>
      <c r="C134" s="47" t="str">
        <f ca="1">IFERROR(__xludf.DUMMYFUNCTION("""COMPUTED_VALUE"""),"Desktop Computer – (HP Pro SFF 280G9)")</f>
        <v>Desktop Computer – (HP Pro SFF 280G9)</v>
      </c>
      <c r="D134" s="47"/>
      <c r="E134" s="46"/>
      <c r="F134" s="46" t="str">
        <f ca="1">IFERROR(__xludf.DUMMYFUNCTION("""COMPUTED_VALUE"""),"2023-05-03-10201SP32-01")</f>
        <v>2023-05-03-10201SP32-01</v>
      </c>
      <c r="G134" s="46"/>
      <c r="H134" s="46" t="str">
        <f ca="1">IFERROR(__xludf.DUMMYFUNCTION("""COMPUTED_VALUE"""),"ROWENA NIÑA TADURAN")</f>
        <v>ROWENA NIÑA TADURAN</v>
      </c>
      <c r="I134" s="46" t="str">
        <f ca="1">IFERROR(__xludf.DUMMYFUNCTION("""COMPUTED_VALUE"""),"USEC")</f>
        <v>USEC</v>
      </c>
      <c r="J134" s="46" t="str">
        <f ca="1">IFERROR(__xludf.DUMMYFUNCTION("""COMPUTED_VALUE"""),"2023-08-019DS")</f>
        <v>2023-08-019DS</v>
      </c>
      <c r="K134" s="46"/>
      <c r="L134" s="46" t="str">
        <f ca="1">IFERROR(__xludf.DUMMYFUNCTION("""COMPUTED_VALUE"""),"USSO")</f>
        <v>USSO</v>
      </c>
      <c r="M134" s="46" t="str">
        <f ca="1">IFERROR(__xludf.DUMMYFUNCTION("""COMPUTED_VALUE"""),"SERVICEABLE")</f>
        <v>SERVICEABLE</v>
      </c>
      <c r="N134" s="46"/>
    </row>
    <row r="135" spans="1:14" ht="13.8">
      <c r="A135" s="46" t="str">
        <f ca="1">IFERROR(__xludf.DUMMYFUNCTION("""COMPUTED_VALUE"""),"DARCO")</f>
        <v>DARCO</v>
      </c>
      <c r="B135" s="46" t="str">
        <f ca="1">IFERROR(__xludf.DUMMYFUNCTION("""COMPUTED_VALUE"""),"CENTRAL OFFICE")</f>
        <v>CENTRAL OFFICE</v>
      </c>
      <c r="C135" s="47" t="str">
        <f ca="1">IFERROR(__xludf.DUMMYFUNCTION("""COMPUTED_VALUE"""),"Desktop Computer – (HP Pro SFF 280G9)")</f>
        <v>Desktop Computer – (HP Pro SFF 280G9)</v>
      </c>
      <c r="D135" s="47"/>
      <c r="E135" s="46"/>
      <c r="F135" s="46" t="str">
        <f ca="1">IFERROR(__xludf.DUMMYFUNCTION("""COMPUTED_VALUE"""),"2023-05-03-10201SP33-01")</f>
        <v>2023-05-03-10201SP33-01</v>
      </c>
      <c r="G135" s="46"/>
      <c r="H135" s="46" t="str">
        <f ca="1">IFERROR(__xludf.DUMMYFUNCTION("""COMPUTED_VALUE"""),"ROWENA NIÑA TADURAN")</f>
        <v>ROWENA NIÑA TADURAN</v>
      </c>
      <c r="I135" s="46" t="str">
        <f ca="1">IFERROR(__xludf.DUMMYFUNCTION("""COMPUTED_VALUE"""),"USEC")</f>
        <v>USEC</v>
      </c>
      <c r="J135" s="46" t="str">
        <f ca="1">IFERROR(__xludf.DUMMYFUNCTION("""COMPUTED_VALUE"""),"2023-08-019DS")</f>
        <v>2023-08-019DS</v>
      </c>
      <c r="K135" s="46"/>
      <c r="L135" s="46" t="str">
        <f ca="1">IFERROR(__xludf.DUMMYFUNCTION("""COMPUTED_VALUE"""),"USSO")</f>
        <v>USSO</v>
      </c>
      <c r="M135" s="46" t="str">
        <f ca="1">IFERROR(__xludf.DUMMYFUNCTION("""COMPUTED_VALUE"""),"SERVICEABLE")</f>
        <v>SERVICEABLE</v>
      </c>
      <c r="N135" s="46"/>
    </row>
    <row r="136" spans="1:14" ht="13.8">
      <c r="A136" s="46" t="str">
        <f ca="1">IFERROR(__xludf.DUMMYFUNCTION("""COMPUTED_VALUE"""),"DARCO")</f>
        <v>DARCO</v>
      </c>
      <c r="B136" s="46" t="str">
        <f ca="1">IFERROR(__xludf.DUMMYFUNCTION("""COMPUTED_VALUE"""),"CENTRAL OFFICE")</f>
        <v>CENTRAL OFFICE</v>
      </c>
      <c r="C136" s="47" t="str">
        <f ca="1">IFERROR(__xludf.DUMMYFUNCTION("""COMPUTED_VALUE"""),"Desktop Computer – (HP Pro SFF 280G9)")</f>
        <v>Desktop Computer – (HP Pro SFF 280G9)</v>
      </c>
      <c r="D136" s="47"/>
      <c r="E136" s="46"/>
      <c r="F136" s="46" t="str">
        <f ca="1">IFERROR(__xludf.DUMMYFUNCTION("""COMPUTED_VALUE"""),"2023-05-03-10201SP34-01")</f>
        <v>2023-05-03-10201SP34-01</v>
      </c>
      <c r="G136" s="46"/>
      <c r="H136" s="46" t="str">
        <f ca="1">IFERROR(__xludf.DUMMYFUNCTION("""COMPUTED_VALUE"""),"ANGEL DIESTA")</f>
        <v>ANGEL DIESTA</v>
      </c>
      <c r="I136" s="46" t="str">
        <f ca="1">IFERROR(__xludf.DUMMYFUNCTION("""COMPUTED_VALUE"""),"E.A. III")</f>
        <v>E.A. III</v>
      </c>
      <c r="J136" s="46" t="str">
        <f ca="1">IFERROR(__xludf.DUMMYFUNCTION("""COMPUTED_VALUE"""),"2023-08-020ADS")</f>
        <v>2023-08-020ADS</v>
      </c>
      <c r="K136" s="46"/>
      <c r="L136" s="46" t="str">
        <f ca="1">IFERROR(__xludf.DUMMYFUNCTION("""COMPUTED_VALUE"""),"SCEACOO")</f>
        <v>SCEACOO</v>
      </c>
      <c r="M136" s="46" t="str">
        <f ca="1">IFERROR(__xludf.DUMMYFUNCTION("""COMPUTED_VALUE"""),"SERVICEABLE")</f>
        <v>SERVICEABLE</v>
      </c>
      <c r="N136" s="46"/>
    </row>
    <row r="137" spans="1:14" ht="13.8">
      <c r="A137" s="46" t="str">
        <f ca="1">IFERROR(__xludf.DUMMYFUNCTION("""COMPUTED_VALUE"""),"DARCO")</f>
        <v>DARCO</v>
      </c>
      <c r="B137" s="46" t="str">
        <f ca="1">IFERROR(__xludf.DUMMYFUNCTION("""COMPUTED_VALUE"""),"CENTRAL OFFICE")</f>
        <v>CENTRAL OFFICE</v>
      </c>
      <c r="C137" s="47" t="str">
        <f ca="1">IFERROR(__xludf.DUMMYFUNCTION("""COMPUTED_VALUE"""),"Desktop Computer – (HP Pro SFF 280G9)")</f>
        <v>Desktop Computer – (HP Pro SFF 280G9)</v>
      </c>
      <c r="D137" s="47"/>
      <c r="E137" s="46"/>
      <c r="F137" s="46" t="str">
        <f ca="1">IFERROR(__xludf.DUMMYFUNCTION("""COMPUTED_VALUE"""),"2023-05-03-10201SP35-01")</f>
        <v>2023-05-03-10201SP35-01</v>
      </c>
      <c r="G137" s="46"/>
      <c r="H137" s="46" t="str">
        <f ca="1">IFERROR(__xludf.DUMMYFUNCTION("""COMPUTED_VALUE"""),"JOSEF ANGELO S. MARTIRES")</f>
        <v>JOSEF ANGELO S. MARTIRES</v>
      </c>
      <c r="I137" s="46" t="str">
        <f ca="1">IFERROR(__xludf.DUMMYFUNCTION("""COMPUTED_VALUE"""),"ASEC")</f>
        <v>ASEC</v>
      </c>
      <c r="J137" s="46" t="str">
        <f ca="1">IFERROR(__xludf.DUMMYFUNCTION("""COMPUTED_VALUE"""),"2023-08-020BDS")</f>
        <v>2023-08-020BDS</v>
      </c>
      <c r="K137" s="46"/>
      <c r="L137" s="46" t="str">
        <f ca="1">IFERROR(__xludf.DUMMYFUNCTION("""COMPUTED_VALUE"""),"FASPO")</f>
        <v>FASPO</v>
      </c>
      <c r="M137" s="46" t="str">
        <f ca="1">IFERROR(__xludf.DUMMYFUNCTION("""COMPUTED_VALUE"""),"SERVICEABLE")</f>
        <v>SERVICEABLE</v>
      </c>
      <c r="N137" s="46"/>
    </row>
    <row r="138" spans="1:14" ht="13.8">
      <c r="A138" s="46" t="str">
        <f ca="1">IFERROR(__xludf.DUMMYFUNCTION("""COMPUTED_VALUE"""),"DARCO")</f>
        <v>DARCO</v>
      </c>
      <c r="B138" s="46" t="str">
        <f ca="1">IFERROR(__xludf.DUMMYFUNCTION("""COMPUTED_VALUE"""),"CENTRAL OFFICE")</f>
        <v>CENTRAL OFFICE</v>
      </c>
      <c r="C138" s="47" t="str">
        <f ca="1">IFERROR(__xludf.DUMMYFUNCTION("""COMPUTED_VALUE"""),"Desktop Computer – (HP Pro SFF 280G9)")</f>
        <v>Desktop Computer – (HP Pro SFF 280G9)</v>
      </c>
      <c r="D138" s="47"/>
      <c r="E138" s="46"/>
      <c r="F138" s="46" t="str">
        <f ca="1">IFERROR(__xludf.DUMMYFUNCTION("""COMPUTED_VALUE"""),"2023-05-03-10201SP36-01")</f>
        <v>2023-05-03-10201SP36-01</v>
      </c>
      <c r="G138" s="46"/>
      <c r="H138" s="46" t="str">
        <f ca="1">IFERROR(__xludf.DUMMYFUNCTION("""COMPUTED_VALUE"""),"ARNOLD D. YAP")</f>
        <v>ARNOLD D. YAP</v>
      </c>
      <c r="I138" s="46" t="str">
        <f ca="1">IFERROR(__xludf.DUMMYFUNCTION("""COMPUTED_VALUE"""),"E.A. II")</f>
        <v>E.A. II</v>
      </c>
      <c r="J138" s="46" t="str">
        <f ca="1">IFERROR(__xludf.DUMMYFUNCTION("""COMPUTED_VALUE"""),"2023-08-020DS")</f>
        <v>2023-08-020DS</v>
      </c>
      <c r="K138" s="46"/>
      <c r="L138" s="46" t="str">
        <f ca="1">IFERROR(__xludf.DUMMYFUNCTION("""COMPUTED_VALUE"""),"SCEACOO")</f>
        <v>SCEACOO</v>
      </c>
      <c r="M138" s="46" t="str">
        <f ca="1">IFERROR(__xludf.DUMMYFUNCTION("""COMPUTED_VALUE"""),"SERVICEABLE")</f>
        <v>SERVICEABLE</v>
      </c>
      <c r="N138" s="46"/>
    </row>
    <row r="139" spans="1:14" ht="13.8">
      <c r="A139" s="46" t="str">
        <f ca="1">IFERROR(__xludf.DUMMYFUNCTION("""COMPUTED_VALUE"""),"DARCO")</f>
        <v>DARCO</v>
      </c>
      <c r="B139" s="46" t="str">
        <f ca="1">IFERROR(__xludf.DUMMYFUNCTION("""COMPUTED_VALUE"""),"CENTRAL OFFICE")</f>
        <v>CENTRAL OFFICE</v>
      </c>
      <c r="C139" s="47" t="str">
        <f ca="1">IFERROR(__xludf.DUMMYFUNCTION("""COMPUTED_VALUE"""),"Desktop Computer – (HP Pro SFF 280G9)")</f>
        <v>Desktop Computer – (HP Pro SFF 280G9)</v>
      </c>
      <c r="D139" s="47"/>
      <c r="E139" s="46"/>
      <c r="F139" s="46" t="str">
        <f ca="1">IFERROR(__xludf.DUMMYFUNCTION("""COMPUTED_VALUE"""),"2023-05-03-10201SP37-01")</f>
        <v>2023-05-03-10201SP37-01</v>
      </c>
      <c r="G139" s="46"/>
      <c r="H139" s="46" t="str">
        <f ca="1">IFERROR(__xludf.DUMMYFUNCTION("""COMPUTED_VALUE"""),"EMMANUEL M. FALLARIA")</f>
        <v>EMMANUEL M. FALLARIA</v>
      </c>
      <c r="I139" s="46" t="str">
        <f ca="1">IFERROR(__xludf.DUMMYFUNCTION("""COMPUTED_VALUE"""),"DIRECTOR IV")</f>
        <v>DIRECTOR IV</v>
      </c>
      <c r="J139" s="46" t="str">
        <f ca="1">IFERROR(__xludf.DUMMYFUNCTION("""COMPUTED_VALUE"""),"2023-08-021ADS")</f>
        <v>2023-08-021ADS</v>
      </c>
      <c r="K139" s="46"/>
      <c r="L139" s="46" t="str">
        <f ca="1">IFERROR(__xludf.DUMMYFUNCTION("""COMPUTED_VALUE"""),"PS")</f>
        <v>PS</v>
      </c>
      <c r="M139" s="46" t="str">
        <f ca="1">IFERROR(__xludf.DUMMYFUNCTION("""COMPUTED_VALUE"""),"SERVICEABLE")</f>
        <v>SERVICEABLE</v>
      </c>
      <c r="N139" s="46"/>
    </row>
    <row r="140" spans="1:14" ht="13.8">
      <c r="A140" s="46" t="str">
        <f ca="1">IFERROR(__xludf.DUMMYFUNCTION("""COMPUTED_VALUE"""),"DARCO")</f>
        <v>DARCO</v>
      </c>
      <c r="B140" s="46" t="str">
        <f ca="1">IFERROR(__xludf.DUMMYFUNCTION("""COMPUTED_VALUE"""),"CENTRAL OFFICE")</f>
        <v>CENTRAL OFFICE</v>
      </c>
      <c r="C140" s="47" t="str">
        <f ca="1">IFERROR(__xludf.DUMMYFUNCTION("""COMPUTED_VALUE"""),"Desktop Computer – (HP Pro SFF 280G9)")</f>
        <v>Desktop Computer – (HP Pro SFF 280G9)</v>
      </c>
      <c r="D140" s="47"/>
      <c r="E140" s="46"/>
      <c r="F140" s="46" t="str">
        <f ca="1">IFERROR(__xludf.DUMMYFUNCTION("""COMPUTED_VALUE"""),"2023-05-03-10201SP38-01")</f>
        <v>2023-05-03-10201SP38-01</v>
      </c>
      <c r="G140" s="46"/>
      <c r="H140" s="46" t="str">
        <f ca="1">IFERROR(__xludf.DUMMYFUNCTION("""COMPUTED_VALUE"""),"MA. LUISA E. SANTOS")</f>
        <v>MA. LUISA E. SANTOS</v>
      </c>
      <c r="I140" s="46" t="str">
        <f ca="1">IFERROR(__xludf.DUMMYFUNCTION("""COMPUTED_VALUE"""),"PLANNING OFFICER V")</f>
        <v>PLANNING OFFICER V</v>
      </c>
      <c r="J140" s="46" t="str">
        <f ca="1">IFERROR(__xludf.DUMMYFUNCTION("""COMPUTED_VALUE"""),"2023-08-021DS")</f>
        <v>2023-08-021DS</v>
      </c>
      <c r="K140" s="46"/>
      <c r="L140" s="46" t="str">
        <f ca="1">IFERROR(__xludf.DUMMYFUNCTION("""COMPUTED_VALUE"""),"PS")</f>
        <v>PS</v>
      </c>
      <c r="M140" s="46" t="str">
        <f ca="1">IFERROR(__xludf.DUMMYFUNCTION("""COMPUTED_VALUE"""),"SERVICEABLE")</f>
        <v>SERVICEABLE</v>
      </c>
      <c r="N140" s="46"/>
    </row>
    <row r="141" spans="1:14" ht="13.8">
      <c r="A141" s="46" t="str">
        <f ca="1">IFERROR(__xludf.DUMMYFUNCTION("""COMPUTED_VALUE"""),"DARCO")</f>
        <v>DARCO</v>
      </c>
      <c r="B141" s="46" t="str">
        <f ca="1">IFERROR(__xludf.DUMMYFUNCTION("""COMPUTED_VALUE"""),"CENTRAL OFFICE")</f>
        <v>CENTRAL OFFICE</v>
      </c>
      <c r="C141" s="47" t="str">
        <f ca="1">IFERROR(__xludf.DUMMYFUNCTION("""COMPUTED_VALUE"""),"Desktop Computer – (HP Pro SFF 280G9)")</f>
        <v>Desktop Computer – (HP Pro SFF 280G9)</v>
      </c>
      <c r="D141" s="47"/>
      <c r="E141" s="46"/>
      <c r="F141" s="46" t="str">
        <f ca="1">IFERROR(__xludf.DUMMYFUNCTION("""COMPUTED_VALUE"""),"2023-05-03-10201SP39-01")</f>
        <v>2023-05-03-10201SP39-01</v>
      </c>
      <c r="G141" s="46"/>
      <c r="H141" s="46" t="str">
        <f ca="1">IFERROR(__xludf.DUMMYFUNCTION("""COMPUTED_VALUE"""),"BENILDA ALVAREZ")</f>
        <v>BENILDA ALVAREZ</v>
      </c>
      <c r="I141" s="46" t="str">
        <f ca="1">IFERROR(__xludf.DUMMYFUNCTION("""COMPUTED_VALUE"""),"CARPO")</f>
        <v>CARPO</v>
      </c>
      <c r="J141" s="46" t="str">
        <f ca="1">IFERROR(__xludf.DUMMYFUNCTION("""COMPUTED_VALUE"""),"2023-08-022DS")</f>
        <v>2023-08-022DS</v>
      </c>
      <c r="K141" s="46"/>
      <c r="L141" s="46" t="str">
        <f ca="1">IFERROR(__xludf.DUMMYFUNCTION("""COMPUTED_VALUE"""),"BLTI")</f>
        <v>BLTI</v>
      </c>
      <c r="M141" s="46" t="str">
        <f ca="1">IFERROR(__xludf.DUMMYFUNCTION("""COMPUTED_VALUE"""),"SERVICEABLE")</f>
        <v>SERVICEABLE</v>
      </c>
      <c r="N141" s="46"/>
    </row>
    <row r="142" spans="1:14" ht="13.8">
      <c r="A142" s="46" t="str">
        <f ca="1">IFERROR(__xludf.DUMMYFUNCTION("""COMPUTED_VALUE"""),"DARCO")</f>
        <v>DARCO</v>
      </c>
      <c r="B142" s="46" t="str">
        <f ca="1">IFERROR(__xludf.DUMMYFUNCTION("""COMPUTED_VALUE"""),"CENTRAL OFFICE")</f>
        <v>CENTRAL OFFICE</v>
      </c>
      <c r="C142" s="47" t="str">
        <f ca="1">IFERROR(__xludf.DUMMYFUNCTION("""COMPUTED_VALUE"""),"Desktop Computer – (HP Pro SFF 280G9)")</f>
        <v>Desktop Computer – (HP Pro SFF 280G9)</v>
      </c>
      <c r="D142" s="47"/>
      <c r="E142" s="46"/>
      <c r="F142" s="46" t="str">
        <f ca="1">IFERROR(__xludf.DUMMYFUNCTION("""COMPUTED_VALUE"""),"2023-05-03-10201SP40-01")</f>
        <v>2023-05-03-10201SP40-01</v>
      </c>
      <c r="G142" s="46"/>
      <c r="H142" s="46" t="str">
        <f ca="1">IFERROR(__xludf.DUMMYFUNCTION("""COMPUTED_VALUE"""),"BENILDA ALVAREZ")</f>
        <v>BENILDA ALVAREZ</v>
      </c>
      <c r="I142" s="46" t="str">
        <f ca="1">IFERROR(__xludf.DUMMYFUNCTION("""COMPUTED_VALUE"""),"CARPO")</f>
        <v>CARPO</v>
      </c>
      <c r="J142" s="46" t="str">
        <f ca="1">IFERROR(__xludf.DUMMYFUNCTION("""COMPUTED_VALUE"""),"2023-08-022DS")</f>
        <v>2023-08-022DS</v>
      </c>
      <c r="K142" s="46"/>
      <c r="L142" s="46" t="str">
        <f ca="1">IFERROR(__xludf.DUMMYFUNCTION("""COMPUTED_VALUE"""),"BLTI")</f>
        <v>BLTI</v>
      </c>
      <c r="M142" s="46" t="str">
        <f ca="1">IFERROR(__xludf.DUMMYFUNCTION("""COMPUTED_VALUE"""),"SERVICEABLE")</f>
        <v>SERVICEABLE</v>
      </c>
      <c r="N142" s="46"/>
    </row>
    <row r="143" spans="1:14" ht="13.8">
      <c r="A143" s="46" t="str">
        <f ca="1">IFERROR(__xludf.DUMMYFUNCTION("""COMPUTED_VALUE"""),"DARCO")</f>
        <v>DARCO</v>
      </c>
      <c r="B143" s="46" t="str">
        <f ca="1">IFERROR(__xludf.DUMMYFUNCTION("""COMPUTED_VALUE"""),"CENTRAL OFFICE")</f>
        <v>CENTRAL OFFICE</v>
      </c>
      <c r="C143" s="47" t="str">
        <f ca="1">IFERROR(__xludf.DUMMYFUNCTION("""COMPUTED_VALUE"""),"Desktop Computer – (HP Pro SFF 280G9)")</f>
        <v>Desktop Computer – (HP Pro SFF 280G9)</v>
      </c>
      <c r="D143" s="47"/>
      <c r="E143" s="46"/>
      <c r="F143" s="46" t="str">
        <f ca="1">IFERROR(__xludf.DUMMYFUNCTION("""COMPUTED_VALUE"""),"2023-05-03-10201SP41-01")</f>
        <v>2023-05-03-10201SP41-01</v>
      </c>
      <c r="G143" s="46"/>
      <c r="H143" s="46" t="str">
        <f ca="1">IFERROR(__xludf.DUMMYFUNCTION("""COMPUTED_VALUE"""),"ATTY. MARIA CHRISTINE EVANGELISTA")</f>
        <v>ATTY. MARIA CHRISTINE EVANGELISTA</v>
      </c>
      <c r="I143" s="46" t="str">
        <f ca="1">IFERROR(__xludf.DUMMYFUNCTION("""COMPUTED_VALUE"""),"ATTORNEY IV")</f>
        <v>ATTORNEY IV</v>
      </c>
      <c r="J143" s="46" t="str">
        <f ca="1">IFERROR(__xludf.DUMMYFUNCTION("""COMPUTED_VALUE"""),"2023-08-023DS")</f>
        <v>2023-08-023DS</v>
      </c>
      <c r="K143" s="46"/>
      <c r="L143" s="46" t="str">
        <f ca="1">IFERROR(__xludf.DUMMYFUNCTION("""COMPUTED_VALUE"""),"BALA")</f>
        <v>BALA</v>
      </c>
      <c r="M143" s="46" t="str">
        <f ca="1">IFERROR(__xludf.DUMMYFUNCTION("""COMPUTED_VALUE"""),"SERVICEABLE")</f>
        <v>SERVICEABLE</v>
      </c>
      <c r="N143" s="46"/>
    </row>
    <row r="144" spans="1:14" ht="13.8">
      <c r="A144" s="46" t="str">
        <f ca="1">IFERROR(__xludf.DUMMYFUNCTION("""COMPUTED_VALUE"""),"DARCO")</f>
        <v>DARCO</v>
      </c>
      <c r="B144" s="46" t="str">
        <f ca="1">IFERROR(__xludf.DUMMYFUNCTION("""COMPUTED_VALUE"""),"CENTRAL OFFICE")</f>
        <v>CENTRAL OFFICE</v>
      </c>
      <c r="C144" s="47" t="str">
        <f ca="1">IFERROR(__xludf.DUMMYFUNCTION("""COMPUTED_VALUE"""),"Desktop Computer – (HP Pro SFF 280G9)")</f>
        <v>Desktop Computer – (HP Pro SFF 280G9)</v>
      </c>
      <c r="D144" s="47"/>
      <c r="E144" s="46"/>
      <c r="F144" s="46" t="str">
        <f ca="1">IFERROR(__xludf.DUMMYFUNCTION("""COMPUTED_VALUE"""),"2023-05-03-10201SP42-01")</f>
        <v>2023-05-03-10201SP42-01</v>
      </c>
      <c r="G144" s="46"/>
      <c r="H144" s="46" t="str">
        <f ca="1">IFERROR(__xludf.DUMMYFUNCTION("""COMPUTED_VALUE"""),"ATTY. MARIA CHRISTINE EVANGELISTA")</f>
        <v>ATTY. MARIA CHRISTINE EVANGELISTA</v>
      </c>
      <c r="I144" s="46" t="str">
        <f ca="1">IFERROR(__xludf.DUMMYFUNCTION("""COMPUTED_VALUE"""),"ATTORNEY IV")</f>
        <v>ATTORNEY IV</v>
      </c>
      <c r="J144" s="46" t="str">
        <f ca="1">IFERROR(__xludf.DUMMYFUNCTION("""COMPUTED_VALUE"""),"2023-08-023DS")</f>
        <v>2023-08-023DS</v>
      </c>
      <c r="K144" s="46"/>
      <c r="L144" s="46" t="str">
        <f ca="1">IFERROR(__xludf.DUMMYFUNCTION("""COMPUTED_VALUE"""),"BALA")</f>
        <v>BALA</v>
      </c>
      <c r="M144" s="46" t="str">
        <f ca="1">IFERROR(__xludf.DUMMYFUNCTION("""COMPUTED_VALUE"""),"SERVICEABLE")</f>
        <v>SERVICEABLE</v>
      </c>
      <c r="N144" s="46"/>
    </row>
    <row r="145" spans="1:14" ht="13.8">
      <c r="A145" s="46" t="str">
        <f ca="1">IFERROR(__xludf.DUMMYFUNCTION("""COMPUTED_VALUE"""),"DARCO")</f>
        <v>DARCO</v>
      </c>
      <c r="B145" s="46" t="str">
        <f ca="1">IFERROR(__xludf.DUMMYFUNCTION("""COMPUTED_VALUE"""),"CENTRAL OFFICE")</f>
        <v>CENTRAL OFFICE</v>
      </c>
      <c r="C145" s="47" t="str">
        <f ca="1">IFERROR(__xludf.DUMMYFUNCTION("""COMPUTED_VALUE"""),"Desktop Computer – (HP Pro SFF 280G9)")</f>
        <v>Desktop Computer – (HP Pro SFF 280G9)</v>
      </c>
      <c r="D145" s="47"/>
      <c r="E145" s="46"/>
      <c r="F145" s="46" t="str">
        <f ca="1">IFERROR(__xludf.DUMMYFUNCTION("""COMPUTED_VALUE"""),"2023-05-03-10201SP43-01")</f>
        <v>2023-05-03-10201SP43-01</v>
      </c>
      <c r="G145" s="46"/>
      <c r="H145" s="46" t="str">
        <f ca="1">IFERROR(__xludf.DUMMYFUNCTION("""COMPUTED_VALUE"""),"ROSARIO R. REGALADO")</f>
        <v>ROSARIO R. REGALADO</v>
      </c>
      <c r="I145" s="46" t="str">
        <f ca="1">IFERROR(__xludf.DUMMYFUNCTION("""COMPUTED_VALUE"""),"PDO IV")</f>
        <v>PDO IV</v>
      </c>
      <c r="J145" s="46" t="str">
        <f ca="1">IFERROR(__xludf.DUMMYFUNCTION("""COMPUTED_VALUE"""),"2023-08-024ADS")</f>
        <v>2023-08-024ADS</v>
      </c>
      <c r="K145" s="46"/>
      <c r="L145" s="46" t="str">
        <f ca="1">IFERROR(__xludf.DUMMYFUNCTION("""COMPUTED_VALUE"""),"PMS")</f>
        <v>PMS</v>
      </c>
      <c r="M145" s="46" t="str">
        <f ca="1">IFERROR(__xludf.DUMMYFUNCTION("""COMPUTED_VALUE"""),"SERVICEABLE")</f>
        <v>SERVICEABLE</v>
      </c>
      <c r="N145" s="46"/>
    </row>
    <row r="146" spans="1:14" ht="13.8">
      <c r="A146" s="46" t="str">
        <f ca="1">IFERROR(__xludf.DUMMYFUNCTION("""COMPUTED_VALUE"""),"DARCO")</f>
        <v>DARCO</v>
      </c>
      <c r="B146" s="46" t="str">
        <f ca="1">IFERROR(__xludf.DUMMYFUNCTION("""COMPUTED_VALUE"""),"CENTRAL OFFICE")</f>
        <v>CENTRAL OFFICE</v>
      </c>
      <c r="C146" s="47" t="str">
        <f ca="1">IFERROR(__xludf.DUMMYFUNCTION("""COMPUTED_VALUE"""),"Desktop Computer – (HP Pro SFF 280G9)")</f>
        <v>Desktop Computer – (HP Pro SFF 280G9)</v>
      </c>
      <c r="D146" s="47"/>
      <c r="E146" s="46"/>
      <c r="F146" s="46" t="str">
        <f ca="1">IFERROR(__xludf.DUMMYFUNCTION("""COMPUTED_VALUE"""),"2023-05-03-10201SP44-01")</f>
        <v>2023-05-03-10201SP44-01</v>
      </c>
      <c r="G146" s="46"/>
      <c r="H146" s="46" t="str">
        <f ca="1">IFERROR(__xludf.DUMMYFUNCTION("""COMPUTED_VALUE"""),"ROSARIO R. REGALADO")</f>
        <v>ROSARIO R. REGALADO</v>
      </c>
      <c r="I146" s="46" t="str">
        <f ca="1">IFERROR(__xludf.DUMMYFUNCTION("""COMPUTED_VALUE"""),"PDO IV")</f>
        <v>PDO IV</v>
      </c>
      <c r="J146" s="46" t="str">
        <f ca="1">IFERROR(__xludf.DUMMYFUNCTION("""COMPUTED_VALUE"""),"2023-08-024ADS")</f>
        <v>2023-08-024ADS</v>
      </c>
      <c r="K146" s="46"/>
      <c r="L146" s="46" t="str">
        <f ca="1">IFERROR(__xludf.DUMMYFUNCTION("""COMPUTED_VALUE"""),"PMS")</f>
        <v>PMS</v>
      </c>
      <c r="M146" s="46" t="str">
        <f ca="1">IFERROR(__xludf.DUMMYFUNCTION("""COMPUTED_VALUE"""),"SERVICEABLE")</f>
        <v>SERVICEABLE</v>
      </c>
      <c r="N146" s="46"/>
    </row>
    <row r="147" spans="1:14" ht="13.8">
      <c r="A147" s="46" t="str">
        <f ca="1">IFERROR(__xludf.DUMMYFUNCTION("""COMPUTED_VALUE"""),"DARCO")</f>
        <v>DARCO</v>
      </c>
      <c r="B147" s="46" t="str">
        <f ca="1">IFERROR(__xludf.DUMMYFUNCTION("""COMPUTED_VALUE"""),"CENTRAL OFFICE")</f>
        <v>CENTRAL OFFICE</v>
      </c>
      <c r="C147" s="47" t="str">
        <f ca="1">IFERROR(__xludf.DUMMYFUNCTION("""COMPUTED_VALUE"""),"Desktop Computer – (HP Pro SFF 280G9)")</f>
        <v>Desktop Computer – (HP Pro SFF 280G9)</v>
      </c>
      <c r="D147" s="47"/>
      <c r="E147" s="46"/>
      <c r="F147" s="46" t="str">
        <f ca="1">IFERROR(__xludf.DUMMYFUNCTION("""COMPUTED_VALUE"""),"2023-05-03-10201SP70-01")</f>
        <v>2023-05-03-10201SP70-01</v>
      </c>
      <c r="G147" s="46"/>
      <c r="H147" s="46" t="str">
        <f ca="1">IFERROR(__xludf.DUMMYFUNCTION("""COMPUTED_VALUE"""),"JENER URFINDO C. BACUYAG")</f>
        <v>JENER URFINDO C. BACUYAG</v>
      </c>
      <c r="I147" s="46" t="str">
        <f ca="1">IFERROR(__xludf.DUMMYFUNCTION("""COMPUTED_VALUE"""),"OIC - ITO III")</f>
        <v>OIC - ITO III</v>
      </c>
      <c r="J147" s="46" t="str">
        <f ca="1">IFERROR(__xludf.DUMMYFUNCTION("""COMPUTED_VALUE"""),"2023-07-002DS")</f>
        <v>2023-07-002DS</v>
      </c>
      <c r="K147" s="46"/>
      <c r="L147" s="46" t="str">
        <f ca="1">IFERROR(__xludf.DUMMYFUNCTION("""COMPUTED_VALUE"""),"MISS ITSD")</f>
        <v>MISS ITSD</v>
      </c>
      <c r="M147" s="46" t="str">
        <f ca="1">IFERROR(__xludf.DUMMYFUNCTION("""COMPUTED_VALUE"""),"SERVICEABLE")</f>
        <v>SERVICEABLE</v>
      </c>
      <c r="N147" s="46"/>
    </row>
    <row r="148" spans="1:14" ht="13.8">
      <c r="A148" s="46" t="str">
        <f ca="1">IFERROR(__xludf.DUMMYFUNCTION("""COMPUTED_VALUE"""),"DARCO")</f>
        <v>DARCO</v>
      </c>
      <c r="B148" s="46" t="str">
        <f ca="1">IFERROR(__xludf.DUMMYFUNCTION("""COMPUTED_VALUE"""),"CENTRAL OFFICE")</f>
        <v>CENTRAL OFFICE</v>
      </c>
      <c r="C148" s="47" t="str">
        <f ca="1">IFERROR(__xludf.DUMMYFUNCTION("""COMPUTED_VALUE"""),"Desktop Computer – (HP Pro SFF 280G9)")</f>
        <v>Desktop Computer – (HP Pro SFF 280G9)</v>
      </c>
      <c r="D148" s="47"/>
      <c r="E148" s="46"/>
      <c r="F148" s="46" t="str">
        <f ca="1">IFERROR(__xludf.DUMMYFUNCTION("""COMPUTED_VALUE"""),"2023-05-03-10201SP78-01")</f>
        <v>2023-05-03-10201SP78-01</v>
      </c>
      <c r="G148" s="46"/>
      <c r="H148" s="46" t="str">
        <f ca="1">IFERROR(__xludf.DUMMYFUNCTION("""COMPUTED_VALUE"""),"FE LEZZIE A. FALCON")</f>
        <v>FE LEZZIE A. FALCON</v>
      </c>
      <c r="I148" s="46" t="str">
        <f ca="1">IFERROR(__xludf.DUMMYFUNCTION("""COMPUTED_VALUE"""),"CARPO")</f>
        <v>CARPO</v>
      </c>
      <c r="J148" s="46" t="str">
        <f ca="1">IFERROR(__xludf.DUMMYFUNCTION("""COMPUTED_VALUE"""),"2023-09-055DS")</f>
        <v>2023-09-055DS</v>
      </c>
      <c r="K148" s="46"/>
      <c r="L148" s="46" t="str">
        <f ca="1">IFERROR(__xludf.DUMMYFUNCTION("""COMPUTED_VALUE"""),"BLTI")</f>
        <v>BLTI</v>
      </c>
      <c r="M148" s="46" t="str">
        <f ca="1">IFERROR(__xludf.DUMMYFUNCTION("""COMPUTED_VALUE"""),"SERVICEABLE")</f>
        <v>SERVICEABLE</v>
      </c>
      <c r="N148" s="46"/>
    </row>
    <row r="149" spans="1:14" ht="13.8">
      <c r="A149" s="46" t="str">
        <f ca="1">IFERROR(__xludf.DUMMYFUNCTION("""COMPUTED_VALUE"""),"DARCO")</f>
        <v>DARCO</v>
      </c>
      <c r="B149" s="46" t="str">
        <f ca="1">IFERROR(__xludf.DUMMYFUNCTION("""COMPUTED_VALUE"""),"CENTRAL OFFICE")</f>
        <v>CENTRAL OFFICE</v>
      </c>
      <c r="C149" s="47" t="str">
        <f ca="1">IFERROR(__xludf.DUMMYFUNCTION("""COMPUTED_VALUE"""),"Desktop Computer – (HP Pro SFF 280G9)")</f>
        <v>Desktop Computer – (HP Pro SFF 280G9)</v>
      </c>
      <c r="D149" s="47"/>
      <c r="E149" s="46"/>
      <c r="F149" s="46" t="str">
        <f ca="1">IFERROR(__xludf.DUMMYFUNCTION("""COMPUTED_VALUE"""),"2023-05-03-10201SP79-01")</f>
        <v>2023-05-03-10201SP79-01</v>
      </c>
      <c r="G149" s="46"/>
      <c r="H149" s="46" t="str">
        <f ca="1">IFERROR(__xludf.DUMMYFUNCTION("""COMPUTED_VALUE"""),"FE LEZZIE A. FALCON")</f>
        <v>FE LEZZIE A. FALCON</v>
      </c>
      <c r="I149" s="46" t="str">
        <f ca="1">IFERROR(__xludf.DUMMYFUNCTION("""COMPUTED_VALUE"""),"CARPO")</f>
        <v>CARPO</v>
      </c>
      <c r="J149" s="46" t="str">
        <f ca="1">IFERROR(__xludf.DUMMYFUNCTION("""COMPUTED_VALUE"""),"2023-09-056DS")</f>
        <v>2023-09-056DS</v>
      </c>
      <c r="K149" s="46"/>
      <c r="L149" s="46" t="str">
        <f ca="1">IFERROR(__xludf.DUMMYFUNCTION("""COMPUTED_VALUE"""),"BLTI")</f>
        <v>BLTI</v>
      </c>
      <c r="M149" s="46" t="str">
        <f ca="1">IFERROR(__xludf.DUMMYFUNCTION("""COMPUTED_VALUE"""),"SERVICEABLE")</f>
        <v>SERVICEABLE</v>
      </c>
      <c r="N149" s="46"/>
    </row>
    <row r="150" spans="1:14" ht="13.8">
      <c r="A150" s="46" t="str">
        <f ca="1">IFERROR(__xludf.DUMMYFUNCTION("""COMPUTED_VALUE"""),"DARCO")</f>
        <v>DARCO</v>
      </c>
      <c r="B150" s="46" t="str">
        <f ca="1">IFERROR(__xludf.DUMMYFUNCTION("""COMPUTED_VALUE"""),"CENTRAL OFFICE")</f>
        <v>CENTRAL OFFICE</v>
      </c>
      <c r="C150" s="47" t="str">
        <f ca="1">IFERROR(__xludf.DUMMYFUNCTION("""COMPUTED_VALUE"""),"Desktop Computer – (HP Pro SFF 280G9)")</f>
        <v>Desktop Computer – (HP Pro SFF 280G9)</v>
      </c>
      <c r="D150" s="47"/>
      <c r="E150" s="46"/>
      <c r="F150" s="46" t="str">
        <f ca="1">IFERROR(__xludf.DUMMYFUNCTION("""COMPUTED_VALUE"""),"2023-05-03-10201SP80-01")</f>
        <v>2023-05-03-10201SP80-01</v>
      </c>
      <c r="G150" s="46"/>
      <c r="H150" s="46" t="str">
        <f ca="1">IFERROR(__xludf.DUMMYFUNCTION("""COMPUTED_VALUE"""),"JESRY T. PALMARES")</f>
        <v>JESRY T. PALMARES</v>
      </c>
      <c r="I150" s="46" t="str">
        <f ca="1">IFERROR(__xludf.DUMMYFUNCTION("""COMPUTED_VALUE"""),"USEC")</f>
        <v>USEC</v>
      </c>
      <c r="J150" s="46" t="str">
        <f ca="1">IFERROR(__xludf.DUMMYFUNCTION("""COMPUTED_VALUE"""),"2023-08-045DS")</f>
        <v>2023-08-045DS</v>
      </c>
      <c r="K150" s="46"/>
      <c r="L150" s="46" t="str">
        <f ca="1">IFERROR(__xludf.DUMMYFUNCTION("""COMPUTED_VALUE"""),"UFASPO")</f>
        <v>UFASPO</v>
      </c>
      <c r="M150" s="46" t="str">
        <f ca="1">IFERROR(__xludf.DUMMYFUNCTION("""COMPUTED_VALUE"""),"SERVICEABLE")</f>
        <v>SERVICEABLE</v>
      </c>
      <c r="N150" s="46"/>
    </row>
    <row r="151" spans="1:14" ht="13.8">
      <c r="A151" s="46" t="str">
        <f ca="1">IFERROR(__xludf.DUMMYFUNCTION("""COMPUTED_VALUE"""),"DARCO")</f>
        <v>DARCO</v>
      </c>
      <c r="B151" s="46" t="str">
        <f ca="1">IFERROR(__xludf.DUMMYFUNCTION("""COMPUTED_VALUE"""),"CENTRAL OFFICE")</f>
        <v>CENTRAL OFFICE</v>
      </c>
      <c r="C151" s="47" t="str">
        <f ca="1">IFERROR(__xludf.DUMMYFUNCTION("""COMPUTED_VALUE"""),"Desktop Computer – (HP Pro SFF 280G9)")</f>
        <v>Desktop Computer – (HP Pro SFF 280G9)</v>
      </c>
      <c r="D151" s="47"/>
      <c r="E151" s="46"/>
      <c r="F151" s="46" t="str">
        <f ca="1">IFERROR(__xludf.DUMMYFUNCTION("""COMPUTED_VALUE"""),"2023-05-03-10201SP81-01")</f>
        <v>2023-05-03-10201SP81-01</v>
      </c>
      <c r="G151" s="46"/>
      <c r="H151" s="46" t="str">
        <f ca="1">IFERROR(__xludf.DUMMYFUNCTION("""COMPUTED_VALUE"""),"FE LEZZIE A. FALCON")</f>
        <v>FE LEZZIE A. FALCON</v>
      </c>
      <c r="I151" s="46" t="str">
        <f ca="1">IFERROR(__xludf.DUMMYFUNCTION("""COMPUTED_VALUE"""),"CARPO")</f>
        <v>CARPO</v>
      </c>
      <c r="J151" s="46" t="str">
        <f ca="1">IFERROR(__xludf.DUMMYFUNCTION("""COMPUTED_VALUE"""),"2023-09-057DS")</f>
        <v>2023-09-057DS</v>
      </c>
      <c r="K151" s="46"/>
      <c r="L151" s="46" t="str">
        <f ca="1">IFERROR(__xludf.DUMMYFUNCTION("""COMPUTED_VALUE"""),"BLTI")</f>
        <v>BLTI</v>
      </c>
      <c r="M151" s="46" t="str">
        <f ca="1">IFERROR(__xludf.DUMMYFUNCTION("""COMPUTED_VALUE"""),"SERVICEABLE")</f>
        <v>SERVICEABLE</v>
      </c>
      <c r="N151" s="46"/>
    </row>
    <row r="152" spans="1:14" ht="13.8">
      <c r="A152" s="46" t="str">
        <f ca="1">IFERROR(__xludf.DUMMYFUNCTION("""COMPUTED_VALUE"""),"DARCO")</f>
        <v>DARCO</v>
      </c>
      <c r="B152" s="46" t="str">
        <f ca="1">IFERROR(__xludf.DUMMYFUNCTION("""COMPUTED_VALUE"""),"CENTRAL OFFICE")</f>
        <v>CENTRAL OFFICE</v>
      </c>
      <c r="C152" s="47" t="str">
        <f ca="1">IFERROR(__xludf.DUMMYFUNCTION("""COMPUTED_VALUE"""),"Desktop Computer – (HP Pro SFF 280G9)")</f>
        <v>Desktop Computer – (HP Pro SFF 280G9)</v>
      </c>
      <c r="D152" s="47"/>
      <c r="E152" s="46"/>
      <c r="F152" s="46" t="str">
        <f ca="1">IFERROR(__xludf.DUMMYFUNCTION("""COMPUTED_VALUE"""),"2023-05-03-10201SP82-01")</f>
        <v>2023-05-03-10201SP82-01</v>
      </c>
      <c r="G152" s="46"/>
      <c r="H152" s="46" t="str">
        <f ca="1">IFERROR(__xludf.DUMMYFUNCTION("""COMPUTED_VALUE"""),"ROSANA RAVANCHO")</f>
        <v>ROSANA RAVANCHO</v>
      </c>
      <c r="I152" s="46" t="str">
        <f ca="1">IFERROR(__xludf.DUMMYFUNCTION("""COMPUTED_VALUE"""),"BUDGET OFFICER")</f>
        <v>BUDGET OFFICER</v>
      </c>
      <c r="J152" s="46" t="str">
        <f ca="1">IFERROR(__xludf.DUMMYFUNCTION("""COMPUTED_VALUE"""),"2023-09-058DS")</f>
        <v>2023-09-058DS</v>
      </c>
      <c r="K152" s="46"/>
      <c r="L152" s="46" t="str">
        <f ca="1">IFERROR(__xludf.DUMMYFUNCTION("""COMPUTED_VALUE"""),"FAPSO")</f>
        <v>FAPSO</v>
      </c>
      <c r="M152" s="46" t="str">
        <f ca="1">IFERROR(__xludf.DUMMYFUNCTION("""COMPUTED_VALUE"""),"SERVICEABLE")</f>
        <v>SERVICEABLE</v>
      </c>
      <c r="N152" s="46"/>
    </row>
    <row r="153" spans="1:14" ht="13.8">
      <c r="A153" s="46" t="str">
        <f ca="1">IFERROR(__xludf.DUMMYFUNCTION("""COMPUTED_VALUE"""),"DARCO")</f>
        <v>DARCO</v>
      </c>
      <c r="B153" s="46" t="str">
        <f ca="1">IFERROR(__xludf.DUMMYFUNCTION("""COMPUTED_VALUE"""),"CENTRAL OFFICE")</f>
        <v>CENTRAL OFFICE</v>
      </c>
      <c r="C153" s="47" t="str">
        <f ca="1">IFERROR(__xludf.DUMMYFUNCTION("""COMPUTED_VALUE"""),"Desktop Computer – (HP Pro SFF 280G9)")</f>
        <v>Desktop Computer – (HP Pro SFF 280G9)</v>
      </c>
      <c r="D153" s="47"/>
      <c r="E153" s="46"/>
      <c r="F153" s="46" t="str">
        <f ca="1">IFERROR(__xludf.DUMMYFUNCTION("""COMPUTED_VALUE"""),"2023-05-03-10201SP92-01")</f>
        <v>2023-05-03-10201SP92-01</v>
      </c>
      <c r="G153" s="46"/>
      <c r="H153" s="46" t="str">
        <f ca="1">IFERROR(__xludf.DUMMYFUNCTION("""COMPUTED_VALUE"""),"ROSANA RAVANCHO")</f>
        <v>ROSANA RAVANCHO</v>
      </c>
      <c r="I153" s="46" t="str">
        <f ca="1">IFERROR(__xludf.DUMMYFUNCTION("""COMPUTED_VALUE"""),"BUDGET OFFICER")</f>
        <v>BUDGET OFFICER</v>
      </c>
      <c r="J153" s="46" t="str">
        <f ca="1">IFERROR(__xludf.DUMMYFUNCTION("""COMPUTED_VALUE"""),"2023-09-059DS")</f>
        <v>2023-09-059DS</v>
      </c>
      <c r="K153" s="46"/>
      <c r="L153" s="46" t="str">
        <f ca="1">IFERROR(__xludf.DUMMYFUNCTION("""COMPUTED_VALUE"""),"FAPSO")</f>
        <v>FAPSO</v>
      </c>
      <c r="M153" s="46" t="str">
        <f ca="1">IFERROR(__xludf.DUMMYFUNCTION("""COMPUTED_VALUE"""),"SERVICEABLE")</f>
        <v>SERVICEABLE</v>
      </c>
      <c r="N153" s="46"/>
    </row>
    <row r="154" spans="1:14" ht="13.8">
      <c r="A154" s="46" t="str">
        <f ca="1">IFERROR(__xludf.DUMMYFUNCTION("""COMPUTED_VALUE"""),"DARCO")</f>
        <v>DARCO</v>
      </c>
      <c r="B154" s="46" t="str">
        <f ca="1">IFERROR(__xludf.DUMMYFUNCTION("""COMPUTED_VALUE"""),"CENTRAL OFFICE")</f>
        <v>CENTRAL OFFICE</v>
      </c>
      <c r="C154" s="47" t="str">
        <f ca="1">IFERROR(__xludf.DUMMYFUNCTION("""COMPUTED_VALUE"""),"Desktop Computer – (HP Pro SFF 280G9)")</f>
        <v>Desktop Computer – (HP Pro SFF 280G9)</v>
      </c>
      <c r="D154" s="47"/>
      <c r="E154" s="46"/>
      <c r="F154" s="46" t="str">
        <f ca="1">IFERROR(__xludf.DUMMYFUNCTION("""COMPUTED_VALUE"""),"2023-05-03-10201SP110-01")</f>
        <v>2023-05-03-10201SP110-01</v>
      </c>
      <c r="G154" s="46"/>
      <c r="H154" s="46" t="str">
        <f ca="1">IFERROR(__xludf.DUMMYFUNCTION("""COMPUTED_VALUE"""),"LILIBETH G. LEE")</f>
        <v>LILIBETH G. LEE</v>
      </c>
      <c r="I154" s="46" t="str">
        <f ca="1">IFERROR(__xludf.DUMMYFUNCTION("""COMPUTED_VALUE"""),"DIRECTOR IV")</f>
        <v>DIRECTOR IV</v>
      </c>
      <c r="J154" s="46" t="str">
        <f ca="1">IFERROR(__xludf.DUMMYFUNCTION("""COMPUTED_VALUE"""),"2023-09-065ADS")</f>
        <v>2023-09-065ADS</v>
      </c>
      <c r="K154" s="46"/>
      <c r="L154" s="46" t="str">
        <f ca="1">IFERROR(__xludf.DUMMYFUNCTION("""COMPUTED_VALUE"""),"BLTI")</f>
        <v>BLTI</v>
      </c>
      <c r="M154" s="46" t="str">
        <f ca="1">IFERROR(__xludf.DUMMYFUNCTION("""COMPUTED_VALUE"""),"SERVICEABLE")</f>
        <v>SERVICEABLE</v>
      </c>
      <c r="N154" s="46"/>
    </row>
    <row r="155" spans="1:14" ht="13.8">
      <c r="A155" s="46" t="str">
        <f ca="1">IFERROR(__xludf.DUMMYFUNCTION("""COMPUTED_VALUE"""),"DARCO")</f>
        <v>DARCO</v>
      </c>
      <c r="B155" s="46" t="str">
        <f ca="1">IFERROR(__xludf.DUMMYFUNCTION("""COMPUTED_VALUE"""),"CENTRAL OFFICE")</f>
        <v>CENTRAL OFFICE</v>
      </c>
      <c r="C155" s="47" t="str">
        <f ca="1">IFERROR(__xludf.DUMMYFUNCTION("""COMPUTED_VALUE"""),"Desktop Computer – (HP Pro SFF 280G9)")</f>
        <v>Desktop Computer – (HP Pro SFF 280G9)</v>
      </c>
      <c r="D155" s="47"/>
      <c r="E155" s="46"/>
      <c r="F155" s="46" t="str">
        <f ca="1">IFERROR(__xludf.DUMMYFUNCTION("""COMPUTED_VALUE"""),"2023-05-03-10201SP111-01")</f>
        <v>2023-05-03-10201SP111-01</v>
      </c>
      <c r="G155" s="46"/>
      <c r="H155" s="46" t="str">
        <f ca="1">IFERROR(__xludf.DUMMYFUNCTION("""COMPUTED_VALUE"""),"ANACLETA B. MARIANO")</f>
        <v>ANACLETA B. MARIANO</v>
      </c>
      <c r="I155" s="46" t="str">
        <f ca="1">IFERROR(__xludf.DUMMYFUNCTION("""COMPUTED_VALUE"""),"PARPO I")</f>
        <v>PARPO I</v>
      </c>
      <c r="J155" s="46" t="str">
        <f ca="1">IFERROR(__xludf.DUMMYFUNCTION("""COMPUTED_VALUE"""),"2023-08-46DS")</f>
        <v>2023-08-46DS</v>
      </c>
      <c r="K155" s="46"/>
      <c r="L155" s="46" t="str">
        <f ca="1">IFERROR(__xludf.DUMMYFUNCTION("""COMPUTED_VALUE"""),"UFASPO")</f>
        <v>UFASPO</v>
      </c>
      <c r="M155" s="46" t="str">
        <f ca="1">IFERROR(__xludf.DUMMYFUNCTION("""COMPUTED_VALUE"""),"SERVICEABLE")</f>
        <v>SERVICEABLE</v>
      </c>
      <c r="N155" s="46"/>
    </row>
    <row r="156" spans="1:14" ht="13.8">
      <c r="A156" s="46" t="str">
        <f ca="1">IFERROR(__xludf.DUMMYFUNCTION("""COMPUTED_VALUE"""),"DARCO")</f>
        <v>DARCO</v>
      </c>
      <c r="B156" s="46" t="str">
        <f ca="1">IFERROR(__xludf.DUMMYFUNCTION("""COMPUTED_VALUE"""),"CENTRAL OFFICE")</f>
        <v>CENTRAL OFFICE</v>
      </c>
      <c r="C156" s="47" t="str">
        <f ca="1">IFERROR(__xludf.DUMMYFUNCTION("""COMPUTED_VALUE"""),"Desktop Computer – (HP Pro SFF 280G9)")</f>
        <v>Desktop Computer – (HP Pro SFF 280G9)</v>
      </c>
      <c r="D156" s="47"/>
      <c r="E156" s="46"/>
      <c r="F156" s="46" t="str">
        <f ca="1">IFERROR(__xludf.DUMMYFUNCTION("""COMPUTED_VALUE"""),"2023-05-03-10201SP112-01")</f>
        <v>2023-05-03-10201SP112-01</v>
      </c>
      <c r="G156" s="46"/>
      <c r="H156" s="46" t="str">
        <f ca="1">IFERROR(__xludf.DUMMYFUNCTION("""COMPUTED_VALUE"""),"JOSIE J. ARAVELO")</f>
        <v>JOSIE J. ARAVELO</v>
      </c>
      <c r="I156" s="46" t="str">
        <f ca="1">IFERROR(__xludf.DUMMYFUNCTION("""COMPUTED_VALUE"""),"E.A. IV")</f>
        <v>E.A. IV</v>
      </c>
      <c r="J156" s="46" t="str">
        <f ca="1">IFERROR(__xludf.DUMMYFUNCTION("""COMPUTED_VALUE"""),"2023-08-047DS")</f>
        <v>2023-08-047DS</v>
      </c>
      <c r="K156" s="46"/>
      <c r="L156" s="46" t="str">
        <f ca="1">IFERROR(__xludf.DUMMYFUNCTION("""COMPUTED_VALUE"""),"UFASPO")</f>
        <v>UFASPO</v>
      </c>
      <c r="M156" s="46" t="str">
        <f ca="1">IFERROR(__xludf.DUMMYFUNCTION("""COMPUTED_VALUE"""),"SERVICEABLE")</f>
        <v>SERVICEABLE</v>
      </c>
      <c r="N156" s="46"/>
    </row>
    <row r="157" spans="1:14" ht="13.8">
      <c r="A157" s="46" t="str">
        <f ca="1">IFERROR(__xludf.DUMMYFUNCTION("""COMPUTED_VALUE"""),"DARCO")</f>
        <v>DARCO</v>
      </c>
      <c r="B157" s="46" t="str">
        <f ca="1">IFERROR(__xludf.DUMMYFUNCTION("""COMPUTED_VALUE"""),"CENTRAL OFFICE")</f>
        <v>CENTRAL OFFICE</v>
      </c>
      <c r="C157" s="47" t="str">
        <f ca="1">IFERROR(__xludf.DUMMYFUNCTION("""COMPUTED_VALUE"""),"Desktop Computer – (HP Pro SFF 280G9)")</f>
        <v>Desktop Computer – (HP Pro SFF 280G9)</v>
      </c>
      <c r="D157" s="47"/>
      <c r="E157" s="46"/>
      <c r="F157" s="46" t="str">
        <f ca="1">IFERROR(__xludf.DUMMYFUNCTION("""COMPUTED_VALUE"""),"2023-05-03-10201SP113-01")</f>
        <v>2023-05-03-10201SP113-01</v>
      </c>
      <c r="G157" s="46"/>
      <c r="H157" s="46" t="str">
        <f ca="1">IFERROR(__xludf.DUMMYFUNCTION("""COMPUTED_VALUE"""),"KARINA YSABELLE ALCID")</f>
        <v>KARINA YSABELLE ALCID</v>
      </c>
      <c r="I157" s="46" t="str">
        <f ca="1">IFERROR(__xludf.DUMMYFUNCTION("""COMPUTED_VALUE"""),"E.A. II")</f>
        <v>E.A. II</v>
      </c>
      <c r="J157" s="46" t="str">
        <f ca="1">IFERROR(__xludf.DUMMYFUNCTION("""COMPUTED_VALUE"""),"2023-08-048DS")</f>
        <v>2023-08-048DS</v>
      </c>
      <c r="K157" s="46"/>
      <c r="L157" s="46" t="str">
        <f ca="1">IFERROR(__xludf.DUMMYFUNCTION("""COMPUTED_VALUE"""),"UFASPO")</f>
        <v>UFASPO</v>
      </c>
      <c r="M157" s="46" t="str">
        <f ca="1">IFERROR(__xludf.DUMMYFUNCTION("""COMPUTED_VALUE"""),"SERVICEABLE")</f>
        <v>SERVICEABLE</v>
      </c>
      <c r="N157" s="46"/>
    </row>
    <row r="158" spans="1:14" ht="13.8">
      <c r="A158" s="46" t="str">
        <f ca="1">IFERROR(__xludf.DUMMYFUNCTION("""COMPUTED_VALUE"""),"DARCO")</f>
        <v>DARCO</v>
      </c>
      <c r="B158" s="46" t="str">
        <f ca="1">IFERROR(__xludf.DUMMYFUNCTION("""COMPUTED_VALUE"""),"CENTRAL OFFICE")</f>
        <v>CENTRAL OFFICE</v>
      </c>
      <c r="C158" s="47" t="str">
        <f ca="1">IFERROR(__xludf.DUMMYFUNCTION("""COMPUTED_VALUE"""),"Desktop Computer – (HP Pro SFF 280G9)")</f>
        <v>Desktop Computer – (HP Pro SFF 280G9)</v>
      </c>
      <c r="D158" s="47"/>
      <c r="E158" s="46"/>
      <c r="F158" s="46" t="str">
        <f ca="1">IFERROR(__xludf.DUMMYFUNCTION("""COMPUTED_VALUE"""),"2023-05-03-10201SP128-01")</f>
        <v>2023-05-03-10201SP128-01</v>
      </c>
      <c r="G158" s="46"/>
      <c r="H158" s="46" t="str">
        <f ca="1">IFERROR(__xludf.DUMMYFUNCTION("""COMPUTED_VALUE"""),"JENER UIRFINDO C. BACUYAG")</f>
        <v>JENER UIRFINDO C. BACUYAG</v>
      </c>
      <c r="I158" s="46" t="str">
        <f ca="1">IFERROR(__xludf.DUMMYFUNCTION("""COMPUTED_VALUE"""),"OIC - ITO III")</f>
        <v>OIC - ITO III</v>
      </c>
      <c r="J158" s="46" t="str">
        <f ca="1">IFERROR(__xludf.DUMMYFUNCTION("""COMPUTED_VALUE"""),"2023-07-003DS")</f>
        <v>2023-07-003DS</v>
      </c>
      <c r="K158" s="46"/>
      <c r="L158" s="46" t="str">
        <f ca="1">IFERROR(__xludf.DUMMYFUNCTION("""COMPUTED_VALUE"""),"MISS ITSD")</f>
        <v>MISS ITSD</v>
      </c>
      <c r="M158" s="46" t="str">
        <f ca="1">IFERROR(__xludf.DUMMYFUNCTION("""COMPUTED_VALUE"""),"SERVICEABLE")</f>
        <v>SERVICEABLE</v>
      </c>
      <c r="N158" s="46"/>
    </row>
    <row r="159" spans="1:14" ht="13.8">
      <c r="A159" s="46" t="str">
        <f ca="1">IFERROR(__xludf.DUMMYFUNCTION("""COMPUTED_VALUE"""),"DARCO")</f>
        <v>DARCO</v>
      </c>
      <c r="B159" s="46" t="str">
        <f ca="1">IFERROR(__xludf.DUMMYFUNCTION("""COMPUTED_VALUE"""),"CENTRAL OFFICE")</f>
        <v>CENTRAL OFFICE</v>
      </c>
      <c r="C159" s="47" t="str">
        <f ca="1">IFERROR(__xludf.DUMMYFUNCTION("""COMPUTED_VALUE"""),"Desktop Computer – (HP Pro SFF 280G9)")</f>
        <v>Desktop Computer – (HP Pro SFF 280G9)</v>
      </c>
      <c r="D159" s="47"/>
      <c r="E159" s="46"/>
      <c r="F159" s="46" t="str">
        <f ca="1">IFERROR(__xludf.DUMMYFUNCTION("""COMPUTED_VALUE"""),"2023-05-03-10201SP212-01")</f>
        <v>2023-05-03-10201SP212-01</v>
      </c>
      <c r="G159" s="46"/>
      <c r="H159" s="46" t="str">
        <f ca="1">IFERROR(__xludf.DUMMYFUNCTION("""COMPUTED_VALUE"""),"JENER URFINDO C. BACUYAG")</f>
        <v>JENER URFINDO C. BACUYAG</v>
      </c>
      <c r="I159" s="46" t="str">
        <f ca="1">IFERROR(__xludf.DUMMYFUNCTION("""COMPUTED_VALUE"""),"OIC - ITO III")</f>
        <v>OIC - ITO III</v>
      </c>
      <c r="J159" s="46" t="str">
        <f ca="1">IFERROR(__xludf.DUMMYFUNCTION("""COMPUTED_VALUE"""),"2023-07-004DS")</f>
        <v>2023-07-004DS</v>
      </c>
      <c r="K159" s="46"/>
      <c r="L159" s="46" t="str">
        <f ca="1">IFERROR(__xludf.DUMMYFUNCTION("""COMPUTED_VALUE"""),"MISS ITSD")</f>
        <v>MISS ITSD</v>
      </c>
      <c r="M159" s="46" t="str">
        <f ca="1">IFERROR(__xludf.DUMMYFUNCTION("""COMPUTED_VALUE"""),"SERVICEABLE")</f>
        <v>SERVICEABLE</v>
      </c>
      <c r="N159" s="46"/>
    </row>
    <row r="160" spans="1:14" ht="13.8">
      <c r="A160" s="46" t="str">
        <f ca="1">IFERROR(__xludf.DUMMYFUNCTION("""COMPUTED_VALUE"""),"DARCO")</f>
        <v>DARCO</v>
      </c>
      <c r="B160" s="46" t="str">
        <f ca="1">IFERROR(__xludf.DUMMYFUNCTION("""COMPUTED_VALUE"""),"CENTRAL OFFICE")</f>
        <v>CENTRAL OFFICE</v>
      </c>
      <c r="C160" s="47" t="str">
        <f ca="1">IFERROR(__xludf.DUMMYFUNCTION("""COMPUTED_VALUE"""),"Desktop Computer – (HP Pro SFF 280G9)")</f>
        <v>Desktop Computer – (HP Pro SFF 280G9)</v>
      </c>
      <c r="D160" s="47"/>
      <c r="E160" s="46"/>
      <c r="F160" s="46" t="str">
        <f ca="1">IFERROR(__xludf.DUMMYFUNCTION("""COMPUTED_VALUE"""),"2023-05-03-10201SP222-01")</f>
        <v>2023-05-03-10201SP222-01</v>
      </c>
      <c r="G160" s="46"/>
      <c r="H160" s="46" t="str">
        <f ca="1">IFERROR(__xludf.DUMMYFUNCTION("""COMPUTED_VALUE"""),"JENER URFINDO C. BACUYAG")</f>
        <v>JENER URFINDO C. BACUYAG</v>
      </c>
      <c r="I160" s="46" t="str">
        <f ca="1">IFERROR(__xludf.DUMMYFUNCTION("""COMPUTED_VALUE"""),"OIC - ITO III")</f>
        <v>OIC - ITO III</v>
      </c>
      <c r="J160" s="46" t="str">
        <f ca="1">IFERROR(__xludf.DUMMYFUNCTION("""COMPUTED_VALUE"""),"2023-07-005DS")</f>
        <v>2023-07-005DS</v>
      </c>
      <c r="K160" s="46"/>
      <c r="L160" s="46" t="str">
        <f ca="1">IFERROR(__xludf.DUMMYFUNCTION("""COMPUTED_VALUE"""),"MISS ITSD")</f>
        <v>MISS ITSD</v>
      </c>
      <c r="M160" s="46" t="str">
        <f ca="1">IFERROR(__xludf.DUMMYFUNCTION("""COMPUTED_VALUE"""),"SERVICEABLE")</f>
        <v>SERVICEABLE</v>
      </c>
      <c r="N160" s="46"/>
    </row>
    <row r="161" spans="1:14" ht="13.8">
      <c r="A161" s="46" t="str">
        <f ca="1">IFERROR(__xludf.DUMMYFUNCTION("""COMPUTED_VALUE"""),"DARCO")</f>
        <v>DARCO</v>
      </c>
      <c r="B161" s="46" t="str">
        <f ca="1">IFERROR(__xludf.DUMMYFUNCTION("""COMPUTED_VALUE"""),"CENTRAL OFFICE")</f>
        <v>CENTRAL OFFICE</v>
      </c>
      <c r="C161" s="47" t="str">
        <f ca="1">IFERROR(__xludf.DUMMYFUNCTION("""COMPUTED_VALUE"""),"Desktop Computer – (HP Pro SFF 280G9)")</f>
        <v>Desktop Computer – (HP Pro SFF 280G9)</v>
      </c>
      <c r="D161" s="47"/>
      <c r="E161" s="46"/>
      <c r="F161" s="46" t="str">
        <f ca="1">IFERROR(__xludf.DUMMYFUNCTION("""COMPUTED_VALUE"""),"2023-05-03-10201SP238-01")</f>
        <v>2023-05-03-10201SP238-01</v>
      </c>
      <c r="G161" s="46"/>
      <c r="H161" s="46" t="str">
        <f ca="1">IFERROR(__xludf.DUMMYFUNCTION("""COMPUTED_VALUE"""),"LILIBETH G. LEE")</f>
        <v>LILIBETH G. LEE</v>
      </c>
      <c r="I161" s="46" t="str">
        <f ca="1">IFERROR(__xludf.DUMMYFUNCTION("""COMPUTED_VALUE"""),"DIRECTOR")</f>
        <v>DIRECTOR</v>
      </c>
      <c r="J161" s="46" t="str">
        <f ca="1">IFERROR(__xludf.DUMMYFUNCTION("""COMPUTED_VALUE"""),"2023-07-006DS")</f>
        <v>2023-07-006DS</v>
      </c>
      <c r="K161" s="46"/>
      <c r="L161" s="46" t="str">
        <f ca="1">IFERROR(__xludf.DUMMYFUNCTION("""COMPUTED_VALUE"""),"BLTI")</f>
        <v>BLTI</v>
      </c>
      <c r="M161" s="46" t="str">
        <f ca="1">IFERROR(__xludf.DUMMYFUNCTION("""COMPUTED_VALUE"""),"SERVICEABLE")</f>
        <v>SERVICEABLE</v>
      </c>
      <c r="N161" s="46"/>
    </row>
    <row r="162" spans="1:14" ht="13.8">
      <c r="A162" s="46" t="str">
        <f ca="1">IFERROR(__xludf.DUMMYFUNCTION("""COMPUTED_VALUE"""),"DARCO")</f>
        <v>DARCO</v>
      </c>
      <c r="B162" s="46" t="str">
        <f ca="1">IFERROR(__xludf.DUMMYFUNCTION("""COMPUTED_VALUE"""),"CENTRAL OFFICE")</f>
        <v>CENTRAL OFFICE</v>
      </c>
      <c r="C162" s="47" t="str">
        <f ca="1">IFERROR(__xludf.DUMMYFUNCTION("""COMPUTED_VALUE"""),"Desktop Computer – (HP Pro SFF 280G9)")</f>
        <v>Desktop Computer – (HP Pro SFF 280G9)</v>
      </c>
      <c r="D162" s="47"/>
      <c r="E162" s="46"/>
      <c r="F162" s="46" t="str">
        <f ca="1">IFERROR(__xludf.DUMMYFUNCTION("""COMPUTED_VALUE"""),"2023-05-03-10201SP240-01")</f>
        <v>2023-05-03-10201SP240-01</v>
      </c>
      <c r="G162" s="46"/>
      <c r="H162" s="46" t="str">
        <f ca="1">IFERROR(__xludf.DUMMYFUNCTION("""COMPUTED_VALUE"""),"LILIBETH G. LEE")</f>
        <v>LILIBETH G. LEE</v>
      </c>
      <c r="I162" s="46" t="str">
        <f ca="1">IFERROR(__xludf.DUMMYFUNCTION("""COMPUTED_VALUE"""),"DIRECTOR")</f>
        <v>DIRECTOR</v>
      </c>
      <c r="J162" s="46" t="str">
        <f ca="1">IFERROR(__xludf.DUMMYFUNCTION("""COMPUTED_VALUE"""),"2023-07-007DS")</f>
        <v>2023-07-007DS</v>
      </c>
      <c r="K162" s="46"/>
      <c r="L162" s="46" t="str">
        <f ca="1">IFERROR(__xludf.DUMMYFUNCTION("""COMPUTED_VALUE"""),"BLTI")</f>
        <v>BLTI</v>
      </c>
      <c r="M162" s="46" t="str">
        <f ca="1">IFERROR(__xludf.DUMMYFUNCTION("""COMPUTED_VALUE"""),"SERVICEABLE")</f>
        <v>SERVICEABLE</v>
      </c>
      <c r="N162" s="46"/>
    </row>
    <row r="163" spans="1:14" ht="13.8">
      <c r="A163" s="46" t="str">
        <f ca="1">IFERROR(__xludf.DUMMYFUNCTION("""COMPUTED_VALUE"""),"DARCO")</f>
        <v>DARCO</v>
      </c>
      <c r="B163" s="46" t="str">
        <f ca="1">IFERROR(__xludf.DUMMYFUNCTION("""COMPUTED_VALUE"""),"CENTRAL OFFICE")</f>
        <v>CENTRAL OFFICE</v>
      </c>
      <c r="C163" s="47" t="str">
        <f ca="1">IFERROR(__xludf.DUMMYFUNCTION("""COMPUTED_VALUE"""),"Desktop Computer – (HP Pro SFF 280G9)")</f>
        <v>Desktop Computer – (HP Pro SFF 280G9)</v>
      </c>
      <c r="D163" s="47"/>
      <c r="E163" s="46"/>
      <c r="F163" s="46" t="str">
        <f ca="1">IFERROR(__xludf.DUMMYFUNCTION("""COMPUTED_VALUE"""),"2023-05-03-10201SP245-01")</f>
        <v>2023-05-03-10201SP245-01</v>
      </c>
      <c r="G163" s="46"/>
      <c r="H163" s="46" t="str">
        <f ca="1">IFERROR(__xludf.DUMMYFUNCTION("""COMPUTED_VALUE"""),"LILIBETH G. LEE")</f>
        <v>LILIBETH G. LEE</v>
      </c>
      <c r="I163" s="46" t="str">
        <f ca="1">IFERROR(__xludf.DUMMYFUNCTION("""COMPUTED_VALUE"""),"DIRECTOR")</f>
        <v>DIRECTOR</v>
      </c>
      <c r="J163" s="46" t="str">
        <f ca="1">IFERROR(__xludf.DUMMYFUNCTION("""COMPUTED_VALUE"""),"2023-07-008DS")</f>
        <v>2023-07-008DS</v>
      </c>
      <c r="K163" s="46"/>
      <c r="L163" s="46" t="str">
        <f ca="1">IFERROR(__xludf.DUMMYFUNCTION("""COMPUTED_VALUE"""),"BLTI")</f>
        <v>BLTI</v>
      </c>
      <c r="M163" s="46" t="str">
        <f ca="1">IFERROR(__xludf.DUMMYFUNCTION("""COMPUTED_VALUE"""),"SERVICEABLE")</f>
        <v>SERVICEABLE</v>
      </c>
      <c r="N163" s="46"/>
    </row>
    <row r="164" spans="1:14" ht="13.8">
      <c r="A164" s="46" t="str">
        <f ca="1">IFERROR(__xludf.DUMMYFUNCTION("""COMPUTED_VALUE"""),"DARCO")</f>
        <v>DARCO</v>
      </c>
      <c r="B164" s="46" t="str">
        <f ca="1">IFERROR(__xludf.DUMMYFUNCTION("""COMPUTED_VALUE"""),"CENTRAL OFFICE")</f>
        <v>CENTRAL OFFICE</v>
      </c>
      <c r="C164" s="47" t="str">
        <f ca="1">IFERROR(__xludf.DUMMYFUNCTION("""COMPUTED_VALUE"""),"Desktop Computer – (HP Pro SFF 280G9)")</f>
        <v>Desktop Computer – (HP Pro SFF 280G9)</v>
      </c>
      <c r="D164" s="47"/>
      <c r="E164" s="46"/>
      <c r="F164" s="46" t="str">
        <f ca="1">IFERROR(__xludf.DUMMYFUNCTION("""COMPUTED_VALUE"""),"2023-05-03-10201SP249-01")</f>
        <v>2023-05-03-10201SP249-01</v>
      </c>
      <c r="G164" s="46"/>
      <c r="H164" s="46" t="str">
        <f ca="1">IFERROR(__xludf.DUMMYFUNCTION("""COMPUTED_VALUE"""),"LILIBETH G. LEE")</f>
        <v>LILIBETH G. LEE</v>
      </c>
      <c r="I164" s="46" t="str">
        <f ca="1">IFERROR(__xludf.DUMMYFUNCTION("""COMPUTED_VALUE"""),"DIRECTOR")</f>
        <v>DIRECTOR</v>
      </c>
      <c r="J164" s="46" t="str">
        <f ca="1">IFERROR(__xludf.DUMMYFUNCTION("""COMPUTED_VALUE"""),"2023-07-009DS")</f>
        <v>2023-07-009DS</v>
      </c>
      <c r="K164" s="46"/>
      <c r="L164" s="46" t="str">
        <f ca="1">IFERROR(__xludf.DUMMYFUNCTION("""COMPUTED_VALUE"""),"BLTI")</f>
        <v>BLTI</v>
      </c>
      <c r="M164" s="46" t="str">
        <f ca="1">IFERROR(__xludf.DUMMYFUNCTION("""COMPUTED_VALUE"""),"SERVICEABLE")</f>
        <v>SERVICEABLE</v>
      </c>
      <c r="N164" s="46"/>
    </row>
    <row r="165" spans="1:14" ht="13.8">
      <c r="A165" s="46" t="str">
        <f ca="1">IFERROR(__xludf.DUMMYFUNCTION("""COMPUTED_VALUE"""),"DARCO")</f>
        <v>DARCO</v>
      </c>
      <c r="B165" s="46" t="str">
        <f ca="1">IFERROR(__xludf.DUMMYFUNCTION("""COMPUTED_VALUE"""),"CENTRAL OFFICE")</f>
        <v>CENTRAL OFFICE</v>
      </c>
      <c r="C165" s="47" t="str">
        <f ca="1">IFERROR(__xludf.DUMMYFUNCTION("""COMPUTED_VALUE"""),"Desktop Computer – (HP Pro SFF 280G9)")</f>
        <v>Desktop Computer – (HP Pro SFF 280G9)</v>
      </c>
      <c r="D165" s="47"/>
      <c r="E165" s="46"/>
      <c r="F165" s="46" t="str">
        <f ca="1">IFERROR(__xludf.DUMMYFUNCTION("""COMPUTED_VALUE"""),"2023-05-03-10201SP346-01")</f>
        <v>2023-05-03-10201SP346-01</v>
      </c>
      <c r="G165" s="46"/>
      <c r="H165" s="46" t="str">
        <f ca="1">IFERROR(__xludf.DUMMYFUNCTION("""COMPUTED_VALUE"""),"JOSEF ANGELO S. MARTIRES")</f>
        <v>JOSEF ANGELO S. MARTIRES</v>
      </c>
      <c r="I165" s="46" t="str">
        <f ca="1">IFERROR(__xludf.DUMMYFUNCTION("""COMPUTED_VALUE"""),"ASEC")</f>
        <v>ASEC</v>
      </c>
      <c r="J165" s="46" t="str">
        <f ca="1">IFERROR(__xludf.DUMMYFUNCTION("""COMPUTED_VALUE"""),"2023-08-049DS")</f>
        <v>2023-08-049DS</v>
      </c>
      <c r="K165" s="46"/>
      <c r="L165" s="46" t="str">
        <f ca="1">IFERROR(__xludf.DUMMYFUNCTION("""COMPUTED_VALUE"""),"ASEC ODA")</f>
        <v>ASEC ODA</v>
      </c>
      <c r="M165" s="46" t="str">
        <f ca="1">IFERROR(__xludf.DUMMYFUNCTION("""COMPUTED_VALUE"""),"SERVICEABLE")</f>
        <v>SERVICEABLE</v>
      </c>
      <c r="N165" s="46"/>
    </row>
    <row r="166" spans="1:14" ht="13.8">
      <c r="A166" s="46" t="str">
        <f ca="1">IFERROR(__xludf.DUMMYFUNCTION("""COMPUTED_VALUE"""),"DARCO")</f>
        <v>DARCO</v>
      </c>
      <c r="B166" s="46" t="str">
        <f ca="1">IFERROR(__xludf.DUMMYFUNCTION("""COMPUTED_VALUE"""),"CENTRAL OFFICE")</f>
        <v>CENTRAL OFFICE</v>
      </c>
      <c r="C166" s="47" t="str">
        <f ca="1">IFERROR(__xludf.DUMMYFUNCTION("""COMPUTED_VALUE"""),"Desktop Computer – (HP Pro SFF 280G9)")</f>
        <v>Desktop Computer – (HP Pro SFF 280G9)</v>
      </c>
      <c r="D166" s="47"/>
      <c r="E166" s="46"/>
      <c r="F166" s="46" t="str">
        <f ca="1">IFERROR(__xludf.DUMMYFUNCTION("""COMPUTED_VALUE"""),"2023-05-03-10201SP347-01")</f>
        <v>2023-05-03-10201SP347-01</v>
      </c>
      <c r="G166" s="46"/>
      <c r="H166" s="46" t="str">
        <f ca="1">IFERROR(__xludf.DUMMYFUNCTION("""COMPUTED_VALUE"""),"MARIELLE ANDRAIA BACCAY")</f>
        <v>MARIELLE ANDRAIA BACCAY</v>
      </c>
      <c r="I166" s="46" t="str">
        <f ca="1">IFERROR(__xludf.DUMMYFUNCTION("""COMPUTED_VALUE"""),"E.A III")</f>
        <v>E.A III</v>
      </c>
      <c r="J166" s="46" t="str">
        <f ca="1">IFERROR(__xludf.DUMMYFUNCTION("""COMPUTED_VALUE"""),"2023-08-050DS")</f>
        <v>2023-08-050DS</v>
      </c>
      <c r="K166" s="46"/>
      <c r="L166" s="46" t="str">
        <f ca="1">IFERROR(__xludf.DUMMYFUNCTION("""COMPUTED_VALUE"""),"ASEC ODA")</f>
        <v>ASEC ODA</v>
      </c>
      <c r="M166" s="46" t="str">
        <f ca="1">IFERROR(__xludf.DUMMYFUNCTION("""COMPUTED_VALUE"""),"SERVICEABLE")</f>
        <v>SERVICEABLE</v>
      </c>
      <c r="N166" s="46"/>
    </row>
    <row r="167" spans="1:14" ht="13.8">
      <c r="A167" s="46" t="str">
        <f ca="1">IFERROR(__xludf.DUMMYFUNCTION("""COMPUTED_VALUE"""),"DARCO")</f>
        <v>DARCO</v>
      </c>
      <c r="B167" s="46" t="str">
        <f ca="1">IFERROR(__xludf.DUMMYFUNCTION("""COMPUTED_VALUE"""),"CENTRAL OFFICE")</f>
        <v>CENTRAL OFFICE</v>
      </c>
      <c r="C167" s="47" t="str">
        <f ca="1">IFERROR(__xludf.DUMMYFUNCTION("""COMPUTED_VALUE"""),"Desktop Computer – (HP Pro SFF 280G9)")</f>
        <v>Desktop Computer – (HP Pro SFF 280G9)</v>
      </c>
      <c r="D167" s="47"/>
      <c r="E167" s="46"/>
      <c r="F167" s="46" t="str">
        <f ca="1">IFERROR(__xludf.DUMMYFUNCTION("""COMPUTED_VALUE"""),"2023-05-03-10201SP348-01")</f>
        <v>2023-05-03-10201SP348-01</v>
      </c>
      <c r="G167" s="46"/>
      <c r="H167" s="46" t="str">
        <f ca="1">IFERROR(__xludf.DUMMYFUNCTION("""COMPUTED_VALUE"""),"JOHN WESLY LACSAMANA")</f>
        <v>JOHN WESLY LACSAMANA</v>
      </c>
      <c r="I167" s="46" t="str">
        <f ca="1">IFERROR(__xludf.DUMMYFUNCTION("""COMPUTED_VALUE"""),"E.A II")</f>
        <v>E.A II</v>
      </c>
      <c r="J167" s="46" t="str">
        <f ca="1">IFERROR(__xludf.DUMMYFUNCTION("""COMPUTED_VALUE"""),"2023-08-051DS")</f>
        <v>2023-08-051DS</v>
      </c>
      <c r="K167" s="46"/>
      <c r="L167" s="46" t="str">
        <f ca="1">IFERROR(__xludf.DUMMYFUNCTION("""COMPUTED_VALUE"""),"ASEC ODA")</f>
        <v>ASEC ODA</v>
      </c>
      <c r="M167" s="46" t="str">
        <f ca="1">IFERROR(__xludf.DUMMYFUNCTION("""COMPUTED_VALUE"""),"SERVICEABLE")</f>
        <v>SERVICEABLE</v>
      </c>
      <c r="N167" s="46"/>
    </row>
    <row r="168" spans="1:14" ht="13.8">
      <c r="A168" s="46" t="str">
        <f ca="1">IFERROR(__xludf.DUMMYFUNCTION("""COMPUTED_VALUE"""),"DARCO")</f>
        <v>DARCO</v>
      </c>
      <c r="B168" s="46" t="str">
        <f ca="1">IFERROR(__xludf.DUMMYFUNCTION("""COMPUTED_VALUE"""),"CENTRAL OFFICE")</f>
        <v>CENTRAL OFFICE</v>
      </c>
      <c r="C168" s="47" t="str">
        <f ca="1">IFERROR(__xludf.DUMMYFUNCTION("""COMPUTED_VALUE"""),"Desktop Computer – (HP Pro SFF 280G9)")</f>
        <v>Desktop Computer – (HP Pro SFF 280G9)</v>
      </c>
      <c r="D168" s="47"/>
      <c r="E168" s="46"/>
      <c r="F168" s="46" t="str">
        <f ca="1">IFERROR(__xludf.DUMMYFUNCTION("""COMPUTED_VALUE"""),"2023-05-03-10201SP349-01")</f>
        <v>2023-05-03-10201SP349-01</v>
      </c>
      <c r="G168" s="46"/>
      <c r="H168" s="46" t="str">
        <f ca="1">IFERROR(__xludf.DUMMYFUNCTION("""COMPUTED_VALUE"""),"RENE E. COLOCAR")</f>
        <v>RENE E. COLOCAR</v>
      </c>
      <c r="I168" s="46" t="str">
        <f ca="1">IFERROR(__xludf.DUMMYFUNCTION("""COMPUTED_VALUE"""),"ASEC")</f>
        <v>ASEC</v>
      </c>
      <c r="J168" s="46" t="str">
        <f ca="1">IFERROR(__xludf.DUMMYFUNCTION("""COMPUTED_VALUE"""),"2023-08-052DS")</f>
        <v>2023-08-052DS</v>
      </c>
      <c r="K168" s="46"/>
      <c r="L168" s="46" t="str">
        <f ca="1">IFERROR(__xludf.DUMMYFUNCTION("""COMPUTED_VALUE"""),"ASEC SP")</f>
        <v>ASEC SP</v>
      </c>
      <c r="M168" s="46" t="str">
        <f ca="1">IFERROR(__xludf.DUMMYFUNCTION("""COMPUTED_VALUE"""),"SERVICEABLE")</f>
        <v>SERVICEABLE</v>
      </c>
      <c r="N168" s="46"/>
    </row>
    <row r="169" spans="1:14" ht="13.8">
      <c r="A169" s="46" t="str">
        <f ca="1">IFERROR(__xludf.DUMMYFUNCTION("""COMPUTED_VALUE"""),"DARCO")</f>
        <v>DARCO</v>
      </c>
      <c r="B169" s="46" t="str">
        <f ca="1">IFERROR(__xludf.DUMMYFUNCTION("""COMPUTED_VALUE"""),"CENTRAL OFFICE")</f>
        <v>CENTRAL OFFICE</v>
      </c>
      <c r="C169" s="47" t="str">
        <f ca="1">IFERROR(__xludf.DUMMYFUNCTION("""COMPUTED_VALUE"""),"Desktop Computer – (HP Pro SFF 280G9)")</f>
        <v>Desktop Computer – (HP Pro SFF 280G9)</v>
      </c>
      <c r="D169" s="47"/>
      <c r="E169" s="46"/>
      <c r="F169" s="46" t="str">
        <f ca="1">IFERROR(__xludf.DUMMYFUNCTION("""COMPUTED_VALUE"""),"2023-05-03-10201SP350-01")</f>
        <v>2023-05-03-10201SP350-01</v>
      </c>
      <c r="G169" s="46"/>
      <c r="H169" s="46" t="str">
        <f ca="1">IFERROR(__xludf.DUMMYFUNCTION("""COMPUTED_VALUE"""),"KAREN AMPELOQUIO")</f>
        <v>KAREN AMPELOQUIO</v>
      </c>
      <c r="I169" s="46" t="str">
        <f ca="1">IFERROR(__xludf.DUMMYFUNCTION("""COMPUTED_VALUE"""),"E.A II")</f>
        <v>E.A II</v>
      </c>
      <c r="J169" s="46" t="str">
        <f ca="1">IFERROR(__xludf.DUMMYFUNCTION("""COMPUTED_VALUE"""),"2023-08-053DS")</f>
        <v>2023-08-053DS</v>
      </c>
      <c r="K169" s="46"/>
      <c r="L169" s="46" t="str">
        <f ca="1">IFERROR(__xludf.DUMMYFUNCTION("""COMPUTED_VALUE"""),"ASEC SP")</f>
        <v>ASEC SP</v>
      </c>
      <c r="M169" s="46" t="str">
        <f ca="1">IFERROR(__xludf.DUMMYFUNCTION("""COMPUTED_VALUE"""),"SERVICEABLE")</f>
        <v>SERVICEABLE</v>
      </c>
      <c r="N169" s="46"/>
    </row>
    <row r="170" spans="1:14" ht="13.8">
      <c r="A170" s="46" t="str">
        <f ca="1">IFERROR(__xludf.DUMMYFUNCTION("""COMPUTED_VALUE"""),"DARCO")</f>
        <v>DARCO</v>
      </c>
      <c r="B170" s="46" t="str">
        <f ca="1">IFERROR(__xludf.DUMMYFUNCTION("""COMPUTED_VALUE"""),"CENTRAL OFFICE")</f>
        <v>CENTRAL OFFICE</v>
      </c>
      <c r="C170" s="47" t="str">
        <f ca="1">IFERROR(__xludf.DUMMYFUNCTION("""COMPUTED_VALUE"""),"Desktop Computer – (HP Pro SFF 280G9)")</f>
        <v>Desktop Computer – (HP Pro SFF 280G9)</v>
      </c>
      <c r="D170" s="47"/>
      <c r="E170" s="46"/>
      <c r="F170" s="46" t="str">
        <f ca="1">IFERROR(__xludf.DUMMYFUNCTION("""COMPUTED_VALUE"""),"2023-05-03-10201SP374-01")</f>
        <v>2023-05-03-10201SP374-01</v>
      </c>
      <c r="G170" s="46"/>
      <c r="H170" s="46" t="str">
        <f ca="1">IFERROR(__xludf.DUMMYFUNCTION("""COMPUTED_VALUE"""),"EFREN GOLONG")</f>
        <v>EFREN GOLONG</v>
      </c>
      <c r="I170" s="46" t="str">
        <f ca="1">IFERROR(__xludf.DUMMYFUNCTION("""COMPUTED_VALUE"""),"PRIVATE SECRETARY")</f>
        <v>PRIVATE SECRETARY</v>
      </c>
      <c r="J170" s="46" t="str">
        <f ca="1">IFERROR(__xludf.DUMMYFUNCTION("""COMPUTED_VALUE"""),"2023-08-054DS")</f>
        <v>2023-08-054DS</v>
      </c>
      <c r="K170" s="46"/>
      <c r="L170" s="46" t="str">
        <f ca="1">IFERROR(__xludf.DUMMYFUNCTION("""COMPUTED_VALUE"""),"ASEC SP")</f>
        <v>ASEC SP</v>
      </c>
      <c r="M170" s="46" t="str">
        <f ca="1">IFERROR(__xludf.DUMMYFUNCTION("""COMPUTED_VALUE"""),"SERVICEABLE")</f>
        <v>SERVICEABLE</v>
      </c>
      <c r="N170" s="46"/>
    </row>
    <row r="171" spans="1:14" ht="13.8">
      <c r="A171" s="46" t="str">
        <f ca="1">IFERROR(__xludf.DUMMYFUNCTION("""COMPUTED_VALUE"""),"DARCO")</f>
        <v>DARCO</v>
      </c>
      <c r="B171" s="46" t="str">
        <f ca="1">IFERROR(__xludf.DUMMYFUNCTION("""COMPUTED_VALUE"""),"CENTRAL OFFICE")</f>
        <v>CENTRAL OFFICE</v>
      </c>
      <c r="C171" s="47" t="str">
        <f ca="1">IFERROR(__xludf.DUMMYFUNCTION("""COMPUTED_VALUE"""),"Desktop Computer – (HP Pro SFF 280G9)")</f>
        <v>Desktop Computer – (HP Pro SFF 280G9)</v>
      </c>
      <c r="D171" s="47"/>
      <c r="E171" s="46"/>
      <c r="F171" s="46" t="str">
        <f ca="1">IFERROR(__xludf.DUMMYFUNCTION("""COMPUTED_VALUE"""),"2023-05-03-10201SP378-01")</f>
        <v>2023-05-03-10201SP378-01</v>
      </c>
      <c r="G171" s="46"/>
      <c r="H171" s="46" t="str">
        <f ca="1">IFERROR(__xludf.DUMMYFUNCTION("""COMPUTED_VALUE"""),"LILIBETH G. LEE")</f>
        <v>LILIBETH G. LEE</v>
      </c>
      <c r="I171" s="46" t="str">
        <f ca="1">IFERROR(__xludf.DUMMYFUNCTION("""COMPUTED_VALUE"""),"DIRECTOR")</f>
        <v>DIRECTOR</v>
      </c>
      <c r="J171" s="46" t="str">
        <f ca="1">IFERROR(__xludf.DUMMYFUNCTION("""COMPUTED_VALUE"""),"2023-07-010DS")</f>
        <v>2023-07-010DS</v>
      </c>
      <c r="K171" s="46"/>
      <c r="L171" s="46" t="str">
        <f ca="1">IFERROR(__xludf.DUMMYFUNCTION("""COMPUTED_VALUE"""),"BLTI")</f>
        <v>BLTI</v>
      </c>
      <c r="M171" s="46" t="str">
        <f ca="1">IFERROR(__xludf.DUMMYFUNCTION("""COMPUTED_VALUE"""),"SERVICEABLE")</f>
        <v>SERVICEABLE</v>
      </c>
      <c r="N171" s="46"/>
    </row>
    <row r="172" spans="1:14" ht="13.8">
      <c r="A172" s="46" t="str">
        <f ca="1">IFERROR(__xludf.DUMMYFUNCTION("""COMPUTED_VALUE"""),"DARCO")</f>
        <v>DARCO</v>
      </c>
      <c r="B172" s="46" t="str">
        <f ca="1">IFERROR(__xludf.DUMMYFUNCTION("""COMPUTED_VALUE"""),"CENTRAL OFFICE")</f>
        <v>CENTRAL OFFICE</v>
      </c>
      <c r="C172" s="47" t="str">
        <f ca="1">IFERROR(__xludf.DUMMYFUNCTION("""COMPUTED_VALUE"""),"Desktop Computer – (HP Pro SFF 280G9)")</f>
        <v>Desktop Computer – (HP Pro SFF 280G9)</v>
      </c>
      <c r="D172" s="47"/>
      <c r="E172" s="46"/>
      <c r="F172" s="46" t="str">
        <f ca="1">IFERROR(__xludf.DUMMYFUNCTION("""COMPUTED_VALUE"""),"2023-05-03-10201SP396-01")</f>
        <v>2023-05-03-10201SP396-01</v>
      </c>
      <c r="G172" s="46"/>
      <c r="H172" s="46" t="str">
        <f ca="1">IFERROR(__xludf.DUMMYFUNCTION("""COMPUTED_VALUE"""),"MA. CRISTINA C. DAGDAG")</f>
        <v>MA. CRISTINA C. DAGDAG</v>
      </c>
      <c r="I172" s="46" t="str">
        <f ca="1">IFERROR(__xludf.DUMMYFUNCTION("""COMPUTED_VALUE"""),"CHIEF ADMINISTRATIVE OFFICER")</f>
        <v>CHIEF ADMINISTRATIVE OFFICER</v>
      </c>
      <c r="J172" s="46" t="str">
        <f ca="1">IFERROR(__xludf.DUMMYFUNCTION("""COMPUTED_VALUE"""),"2023-08-043DS")</f>
        <v>2023-08-043DS</v>
      </c>
      <c r="K172" s="46"/>
      <c r="L172" s="46" t="str">
        <f ca="1">IFERROR(__xludf.DUMMYFUNCTION("""COMPUTED_VALUE"""),"SPLIT")</f>
        <v>SPLIT</v>
      </c>
      <c r="M172" s="46" t="str">
        <f ca="1">IFERROR(__xludf.DUMMYFUNCTION("""COMPUTED_VALUE"""),"SERVICEABLE")</f>
        <v>SERVICEABLE</v>
      </c>
      <c r="N172" s="46"/>
    </row>
    <row r="173" spans="1:14" ht="13.8">
      <c r="A173" s="46" t="str">
        <f ca="1">IFERROR(__xludf.DUMMYFUNCTION("""COMPUTED_VALUE"""),"DARCO")</f>
        <v>DARCO</v>
      </c>
      <c r="B173" s="46" t="str">
        <f ca="1">IFERROR(__xludf.DUMMYFUNCTION("""COMPUTED_VALUE"""),"CENTRAL OFFICE")</f>
        <v>CENTRAL OFFICE</v>
      </c>
      <c r="C173" s="47" t="str">
        <f ca="1">IFERROR(__xludf.DUMMYFUNCTION("""COMPUTED_VALUE"""),"Desktop Computer – (HP Pro SFF 280G9)")</f>
        <v>Desktop Computer – (HP Pro SFF 280G9)</v>
      </c>
      <c r="D173" s="47"/>
      <c r="E173" s="46"/>
      <c r="F173" s="46" t="str">
        <f ca="1">IFERROR(__xludf.DUMMYFUNCTION("""COMPUTED_VALUE"""),"2023-05-03-10201SP397-01")</f>
        <v>2023-05-03-10201SP397-01</v>
      </c>
      <c r="G173" s="46"/>
      <c r="H173" s="46" t="str">
        <f ca="1">IFERROR(__xludf.DUMMYFUNCTION("""COMPUTED_VALUE"""),"MA. CRISTINA C. DAGDAG")</f>
        <v>MA. CRISTINA C. DAGDAG</v>
      </c>
      <c r="I173" s="46" t="str">
        <f ca="1">IFERROR(__xludf.DUMMYFUNCTION("""COMPUTED_VALUE"""),"CHIEF ADMINISTRATIVE OFFICER")</f>
        <v>CHIEF ADMINISTRATIVE OFFICER</v>
      </c>
      <c r="J173" s="46" t="str">
        <f ca="1">IFERROR(__xludf.DUMMYFUNCTION("""COMPUTED_VALUE"""),"2023-08-043DS")</f>
        <v>2023-08-043DS</v>
      </c>
      <c r="K173" s="46"/>
      <c r="L173" s="46" t="str">
        <f ca="1">IFERROR(__xludf.DUMMYFUNCTION("""COMPUTED_VALUE"""),"SPLIT")</f>
        <v>SPLIT</v>
      </c>
      <c r="M173" s="46" t="str">
        <f ca="1">IFERROR(__xludf.DUMMYFUNCTION("""COMPUTED_VALUE"""),"SERVICEABLE")</f>
        <v>SERVICEABLE</v>
      </c>
      <c r="N173" s="46"/>
    </row>
    <row r="174" spans="1:14" ht="13.8">
      <c r="A174" s="46" t="str">
        <f ca="1">IFERROR(__xludf.DUMMYFUNCTION("""COMPUTED_VALUE"""),"DARCO")</f>
        <v>DARCO</v>
      </c>
      <c r="B174" s="46" t="str">
        <f ca="1">IFERROR(__xludf.DUMMYFUNCTION("""COMPUTED_VALUE"""),"CENTRAL OFFICE")</f>
        <v>CENTRAL OFFICE</v>
      </c>
      <c r="C174" s="47" t="str">
        <f ca="1">IFERROR(__xludf.DUMMYFUNCTION("""COMPUTED_VALUE"""),"Desktop Computer – (HP Pro SFF 280G9)")</f>
        <v>Desktop Computer – (HP Pro SFF 280G9)</v>
      </c>
      <c r="D174" s="47"/>
      <c r="E174" s="46"/>
      <c r="F174" s="46" t="str">
        <f ca="1">IFERROR(__xludf.DUMMYFUNCTION("""COMPUTED_VALUE"""),"2023-05-03-10201SP398-01")</f>
        <v>2023-05-03-10201SP398-01</v>
      </c>
      <c r="G174" s="46"/>
      <c r="H174" s="46" t="str">
        <f ca="1">IFERROR(__xludf.DUMMYFUNCTION("""COMPUTED_VALUE"""),"MA. CRISTINA C. DAGDAG")</f>
        <v>MA. CRISTINA C. DAGDAG</v>
      </c>
      <c r="I174" s="46" t="str">
        <f ca="1">IFERROR(__xludf.DUMMYFUNCTION("""COMPUTED_VALUE"""),"CHIEF ADMINISTRATIVE OFFICER")</f>
        <v>CHIEF ADMINISTRATIVE OFFICER</v>
      </c>
      <c r="J174" s="46" t="str">
        <f ca="1">IFERROR(__xludf.DUMMYFUNCTION("""COMPUTED_VALUE"""),"2023-08-043DS")</f>
        <v>2023-08-043DS</v>
      </c>
      <c r="K174" s="46"/>
      <c r="L174" s="46" t="str">
        <f ca="1">IFERROR(__xludf.DUMMYFUNCTION("""COMPUTED_VALUE"""),"SPLIT")</f>
        <v>SPLIT</v>
      </c>
      <c r="M174" s="46" t="str">
        <f ca="1">IFERROR(__xludf.DUMMYFUNCTION("""COMPUTED_VALUE"""),"SERVICEABLE")</f>
        <v>SERVICEABLE</v>
      </c>
      <c r="N174" s="46"/>
    </row>
    <row r="175" spans="1:14" ht="13.8">
      <c r="A175" s="46" t="str">
        <f ca="1">IFERROR(__xludf.DUMMYFUNCTION("""COMPUTED_VALUE"""),"DARCO")</f>
        <v>DARCO</v>
      </c>
      <c r="B175" s="46" t="str">
        <f ca="1">IFERROR(__xludf.DUMMYFUNCTION("""COMPUTED_VALUE"""),"CENTRAL OFFICE")</f>
        <v>CENTRAL OFFICE</v>
      </c>
      <c r="C175" s="47" t="str">
        <f ca="1">IFERROR(__xludf.DUMMYFUNCTION("""COMPUTED_VALUE"""),"Desktop Computer – (HP Pro SFF 280G9)")</f>
        <v>Desktop Computer – (HP Pro SFF 280G9)</v>
      </c>
      <c r="D175" s="47"/>
      <c r="E175" s="46"/>
      <c r="F175" s="46" t="str">
        <f ca="1">IFERROR(__xludf.DUMMYFUNCTION("""COMPUTED_VALUE"""),"2023-05-03-10201SP399-01")</f>
        <v>2023-05-03-10201SP399-01</v>
      </c>
      <c r="G175" s="46"/>
      <c r="H175" s="46" t="str">
        <f ca="1">IFERROR(__xludf.DUMMYFUNCTION("""COMPUTED_VALUE"""),"MA. CRISTINA C. DAGDAG")</f>
        <v>MA. CRISTINA C. DAGDAG</v>
      </c>
      <c r="I175" s="46" t="str">
        <f ca="1">IFERROR(__xludf.DUMMYFUNCTION("""COMPUTED_VALUE"""),"CHIEF ADMINISTRATIVE OFFICER")</f>
        <v>CHIEF ADMINISTRATIVE OFFICER</v>
      </c>
      <c r="J175" s="46" t="str">
        <f ca="1">IFERROR(__xludf.DUMMYFUNCTION("""COMPUTED_VALUE"""),"2023-08-043DS")</f>
        <v>2023-08-043DS</v>
      </c>
      <c r="K175" s="46"/>
      <c r="L175" s="46" t="str">
        <f ca="1">IFERROR(__xludf.DUMMYFUNCTION("""COMPUTED_VALUE"""),"SPLIT")</f>
        <v>SPLIT</v>
      </c>
      <c r="M175" s="46" t="str">
        <f ca="1">IFERROR(__xludf.DUMMYFUNCTION("""COMPUTED_VALUE"""),"SERVICEABLE")</f>
        <v>SERVICEABLE</v>
      </c>
      <c r="N175" s="46"/>
    </row>
    <row r="176" spans="1:14" ht="13.8">
      <c r="A176" s="46" t="str">
        <f ca="1">IFERROR(__xludf.DUMMYFUNCTION("""COMPUTED_VALUE"""),"DARCO")</f>
        <v>DARCO</v>
      </c>
      <c r="B176" s="46" t="str">
        <f ca="1">IFERROR(__xludf.DUMMYFUNCTION("""COMPUTED_VALUE"""),"CENTRAL OFFICE")</f>
        <v>CENTRAL OFFICE</v>
      </c>
      <c r="C176" s="47" t="str">
        <f ca="1">IFERROR(__xludf.DUMMYFUNCTION("""COMPUTED_VALUE"""),"Desktop Computer – (HP Pro SFF 280G9)")</f>
        <v>Desktop Computer – (HP Pro SFF 280G9)</v>
      </c>
      <c r="D176" s="47"/>
      <c r="E176" s="46"/>
      <c r="F176" s="46" t="str">
        <f ca="1">IFERROR(__xludf.DUMMYFUNCTION("""COMPUTED_VALUE"""),"2023-05-03-10201SP400-01")</f>
        <v>2023-05-03-10201SP400-01</v>
      </c>
      <c r="G176" s="46"/>
      <c r="H176" s="46" t="str">
        <f ca="1">IFERROR(__xludf.DUMMYFUNCTION("""COMPUTED_VALUE"""),"MA. CRISTINA C. DAGDAG")</f>
        <v>MA. CRISTINA C. DAGDAG</v>
      </c>
      <c r="I176" s="46" t="str">
        <f ca="1">IFERROR(__xludf.DUMMYFUNCTION("""COMPUTED_VALUE"""),"CHIEF ADMINISTRATIVE OFFICER")</f>
        <v>CHIEF ADMINISTRATIVE OFFICER</v>
      </c>
      <c r="J176" s="46" t="str">
        <f ca="1">IFERROR(__xludf.DUMMYFUNCTION("""COMPUTED_VALUE"""),"2023-08-043DS")</f>
        <v>2023-08-043DS</v>
      </c>
      <c r="K176" s="46"/>
      <c r="L176" s="46" t="str">
        <f ca="1">IFERROR(__xludf.DUMMYFUNCTION("""COMPUTED_VALUE"""),"SPLIT")</f>
        <v>SPLIT</v>
      </c>
      <c r="M176" s="46" t="str">
        <f ca="1">IFERROR(__xludf.DUMMYFUNCTION("""COMPUTED_VALUE"""),"SERVICEABLE")</f>
        <v>SERVICEABLE</v>
      </c>
      <c r="N176" s="46"/>
    </row>
    <row r="177" spans="1:14" ht="13.8">
      <c r="A177" s="46" t="str">
        <f ca="1">IFERROR(__xludf.DUMMYFUNCTION("""COMPUTED_VALUE"""),"DARCO")</f>
        <v>DARCO</v>
      </c>
      <c r="B177" s="46" t="str">
        <f ca="1">IFERROR(__xludf.DUMMYFUNCTION("""COMPUTED_VALUE"""),"CENTRAL OFFICE")</f>
        <v>CENTRAL OFFICE</v>
      </c>
      <c r="C177" s="47" t="str">
        <f ca="1">IFERROR(__xludf.DUMMYFUNCTION("""COMPUTED_VALUE"""),"Desktop Computer – (HP Pro SFF 280G9)")</f>
        <v>Desktop Computer – (HP Pro SFF 280G9)</v>
      </c>
      <c r="D177" s="47"/>
      <c r="E177" s="46"/>
      <c r="F177" s="46" t="str">
        <f ca="1">IFERROR(__xludf.DUMMYFUNCTION("""COMPUTED_VALUE"""),"2023-05-03-10201SP401-01")</f>
        <v>2023-05-03-10201SP401-01</v>
      </c>
      <c r="G177" s="46"/>
      <c r="H177" s="46" t="str">
        <f ca="1">IFERROR(__xludf.DUMMYFUNCTION("""COMPUTED_VALUE"""),"MA. CRISTINA C. DAGDAG")</f>
        <v>MA. CRISTINA C. DAGDAG</v>
      </c>
      <c r="I177" s="46" t="str">
        <f ca="1">IFERROR(__xludf.DUMMYFUNCTION("""COMPUTED_VALUE"""),"CHIEF ADMINISTRATIVE OFFICER")</f>
        <v>CHIEF ADMINISTRATIVE OFFICER</v>
      </c>
      <c r="J177" s="46" t="str">
        <f ca="1">IFERROR(__xludf.DUMMYFUNCTION("""COMPUTED_VALUE"""),"2023-08-043DS")</f>
        <v>2023-08-043DS</v>
      </c>
      <c r="K177" s="46"/>
      <c r="L177" s="46" t="str">
        <f ca="1">IFERROR(__xludf.DUMMYFUNCTION("""COMPUTED_VALUE"""),"SPLIT")</f>
        <v>SPLIT</v>
      </c>
      <c r="M177" s="46" t="str">
        <f ca="1">IFERROR(__xludf.DUMMYFUNCTION("""COMPUTED_VALUE"""),"SERVICEABLE")</f>
        <v>SERVICEABLE</v>
      </c>
      <c r="N177" s="46"/>
    </row>
    <row r="178" spans="1:14" ht="13.8">
      <c r="A178" s="46" t="str">
        <f ca="1">IFERROR(__xludf.DUMMYFUNCTION("""COMPUTED_VALUE"""),"DARCO")</f>
        <v>DARCO</v>
      </c>
      <c r="B178" s="46" t="str">
        <f ca="1">IFERROR(__xludf.DUMMYFUNCTION("""COMPUTED_VALUE"""),"CENTRAL OFFICE")</f>
        <v>CENTRAL OFFICE</v>
      </c>
      <c r="C178" s="47" t="str">
        <f ca="1">IFERROR(__xludf.DUMMYFUNCTION("""COMPUTED_VALUE"""),"Desktop Computer – (HP Pro SFF 280G9)")</f>
        <v>Desktop Computer – (HP Pro SFF 280G9)</v>
      </c>
      <c r="D178" s="47"/>
      <c r="E178" s="46"/>
      <c r="F178" s="46" t="str">
        <f ca="1">IFERROR(__xludf.DUMMYFUNCTION("""COMPUTED_VALUE"""),"2023-05-03-10201SP402-01")</f>
        <v>2023-05-03-10201SP402-01</v>
      </c>
      <c r="G178" s="46"/>
      <c r="H178" s="46" t="str">
        <f ca="1">IFERROR(__xludf.DUMMYFUNCTION("""COMPUTED_VALUE"""),"MA. CRISTINA C. DAGDAG")</f>
        <v>MA. CRISTINA C. DAGDAG</v>
      </c>
      <c r="I178" s="46" t="str">
        <f ca="1">IFERROR(__xludf.DUMMYFUNCTION("""COMPUTED_VALUE"""),"CHIEF ADMINISTRATIVE OFFICER")</f>
        <v>CHIEF ADMINISTRATIVE OFFICER</v>
      </c>
      <c r="J178" s="46" t="str">
        <f ca="1">IFERROR(__xludf.DUMMYFUNCTION("""COMPUTED_VALUE"""),"2023-08-043DS")</f>
        <v>2023-08-043DS</v>
      </c>
      <c r="K178" s="46"/>
      <c r="L178" s="46" t="str">
        <f ca="1">IFERROR(__xludf.DUMMYFUNCTION("""COMPUTED_VALUE"""),"SPLIT")</f>
        <v>SPLIT</v>
      </c>
      <c r="M178" s="46" t="str">
        <f ca="1">IFERROR(__xludf.DUMMYFUNCTION("""COMPUTED_VALUE"""),"SERVICEABLE")</f>
        <v>SERVICEABLE</v>
      </c>
      <c r="N178" s="46"/>
    </row>
    <row r="179" spans="1:14" ht="13.8">
      <c r="A179" s="46" t="str">
        <f ca="1">IFERROR(__xludf.DUMMYFUNCTION("""COMPUTED_VALUE"""),"DARCO")</f>
        <v>DARCO</v>
      </c>
      <c r="B179" s="46" t="str">
        <f ca="1">IFERROR(__xludf.DUMMYFUNCTION("""COMPUTED_VALUE"""),"CENTRAL OFFICE")</f>
        <v>CENTRAL OFFICE</v>
      </c>
      <c r="C179" s="47" t="str">
        <f ca="1">IFERROR(__xludf.DUMMYFUNCTION("""COMPUTED_VALUE"""),"Desktop Computer – (HP Pro SFF 280G9)")</f>
        <v>Desktop Computer – (HP Pro SFF 280G9)</v>
      </c>
      <c r="D179" s="47"/>
      <c r="E179" s="46"/>
      <c r="F179" s="46" t="str">
        <f ca="1">IFERROR(__xludf.DUMMYFUNCTION("""COMPUTED_VALUE"""),"2023-05-03-10201SP403-01")</f>
        <v>2023-05-03-10201SP403-01</v>
      </c>
      <c r="G179" s="46"/>
      <c r="H179" s="46" t="str">
        <f ca="1">IFERROR(__xludf.DUMMYFUNCTION("""COMPUTED_VALUE"""),"MA. CRISTINA C. DAGDAG")</f>
        <v>MA. CRISTINA C. DAGDAG</v>
      </c>
      <c r="I179" s="46" t="str">
        <f ca="1">IFERROR(__xludf.DUMMYFUNCTION("""COMPUTED_VALUE"""),"CHIEF ADMINISTRATIVE OFFICER")</f>
        <v>CHIEF ADMINISTRATIVE OFFICER</v>
      </c>
      <c r="J179" s="46" t="str">
        <f ca="1">IFERROR(__xludf.DUMMYFUNCTION("""COMPUTED_VALUE"""),"2023-08-043DS")</f>
        <v>2023-08-043DS</v>
      </c>
      <c r="K179" s="46"/>
      <c r="L179" s="46" t="str">
        <f ca="1">IFERROR(__xludf.DUMMYFUNCTION("""COMPUTED_VALUE"""),"SPLIT")</f>
        <v>SPLIT</v>
      </c>
      <c r="M179" s="46" t="str">
        <f ca="1">IFERROR(__xludf.DUMMYFUNCTION("""COMPUTED_VALUE"""),"SERVICEABLE")</f>
        <v>SERVICEABLE</v>
      </c>
      <c r="N179" s="46"/>
    </row>
    <row r="180" spans="1:14" ht="13.8">
      <c r="A180" s="46" t="str">
        <f ca="1">IFERROR(__xludf.DUMMYFUNCTION("""COMPUTED_VALUE"""),"DARCO")</f>
        <v>DARCO</v>
      </c>
      <c r="B180" s="46" t="str">
        <f ca="1">IFERROR(__xludf.DUMMYFUNCTION("""COMPUTED_VALUE"""),"CENTRAL OFFICE")</f>
        <v>CENTRAL OFFICE</v>
      </c>
      <c r="C180" s="47" t="str">
        <f ca="1">IFERROR(__xludf.DUMMYFUNCTION("""COMPUTED_VALUE"""),"Desktop Computer – (HP Pro SFF 280G9)")</f>
        <v>Desktop Computer – (HP Pro SFF 280G9)</v>
      </c>
      <c r="D180" s="47"/>
      <c r="E180" s="46"/>
      <c r="F180" s="46" t="str">
        <f ca="1">IFERROR(__xludf.DUMMYFUNCTION("""COMPUTED_VALUE"""),"2023-05-03-10201SP404-01")</f>
        <v>2023-05-03-10201SP404-01</v>
      </c>
      <c r="G180" s="46"/>
      <c r="H180" s="46" t="str">
        <f ca="1">IFERROR(__xludf.DUMMYFUNCTION("""COMPUTED_VALUE"""),"MA. CRISTINA C. DAGDAG")</f>
        <v>MA. CRISTINA C. DAGDAG</v>
      </c>
      <c r="I180" s="46" t="str">
        <f ca="1">IFERROR(__xludf.DUMMYFUNCTION("""COMPUTED_VALUE"""),"CHIEF ADMINISTRATIVE OFFICER")</f>
        <v>CHIEF ADMINISTRATIVE OFFICER</v>
      </c>
      <c r="J180" s="46" t="str">
        <f ca="1">IFERROR(__xludf.DUMMYFUNCTION("""COMPUTED_VALUE"""),"2023-08-043DS")</f>
        <v>2023-08-043DS</v>
      </c>
      <c r="K180" s="46"/>
      <c r="L180" s="46" t="str">
        <f ca="1">IFERROR(__xludf.DUMMYFUNCTION("""COMPUTED_VALUE"""),"SPLIT")</f>
        <v>SPLIT</v>
      </c>
      <c r="M180" s="46" t="str">
        <f ca="1">IFERROR(__xludf.DUMMYFUNCTION("""COMPUTED_VALUE"""),"SERVICEABLE")</f>
        <v>SERVICEABLE</v>
      </c>
      <c r="N180" s="46"/>
    </row>
    <row r="181" spans="1:14" ht="13.8">
      <c r="A181" s="46" t="str">
        <f ca="1">IFERROR(__xludf.DUMMYFUNCTION("""COMPUTED_VALUE"""),"DARCO")</f>
        <v>DARCO</v>
      </c>
      <c r="B181" s="46" t="str">
        <f ca="1">IFERROR(__xludf.DUMMYFUNCTION("""COMPUTED_VALUE"""),"CENTRAL OFFICE")</f>
        <v>CENTRAL OFFICE</v>
      </c>
      <c r="C181" s="47" t="str">
        <f ca="1">IFERROR(__xludf.DUMMYFUNCTION("""COMPUTED_VALUE"""),"Desktop Computer – (HP Pro SFF 280G9)")</f>
        <v>Desktop Computer – (HP Pro SFF 280G9)</v>
      </c>
      <c r="D181" s="47"/>
      <c r="E181" s="46"/>
      <c r="F181" s="46" t="str">
        <f ca="1">IFERROR(__xludf.DUMMYFUNCTION("""COMPUTED_VALUE"""),"2023-05-03-10201SP405-01")</f>
        <v>2023-05-03-10201SP405-01</v>
      </c>
      <c r="G181" s="46"/>
      <c r="H181" s="46" t="str">
        <f ca="1">IFERROR(__xludf.DUMMYFUNCTION("""COMPUTED_VALUE"""),"MA. CRISTINA C. DAGDAG")</f>
        <v>MA. CRISTINA C. DAGDAG</v>
      </c>
      <c r="I181" s="46" t="str">
        <f ca="1">IFERROR(__xludf.DUMMYFUNCTION("""COMPUTED_VALUE"""),"CHIEF ADMINISTRATIVE OFFICER")</f>
        <v>CHIEF ADMINISTRATIVE OFFICER</v>
      </c>
      <c r="J181" s="46" t="str">
        <f ca="1">IFERROR(__xludf.DUMMYFUNCTION("""COMPUTED_VALUE"""),"2023-08-043DS")</f>
        <v>2023-08-043DS</v>
      </c>
      <c r="K181" s="46"/>
      <c r="L181" s="46" t="str">
        <f ca="1">IFERROR(__xludf.DUMMYFUNCTION("""COMPUTED_VALUE"""),"SPLIT")</f>
        <v>SPLIT</v>
      </c>
      <c r="M181" s="46" t="str">
        <f ca="1">IFERROR(__xludf.DUMMYFUNCTION("""COMPUTED_VALUE"""),"SERVICEABLE")</f>
        <v>SERVICEABLE</v>
      </c>
      <c r="N181" s="46"/>
    </row>
    <row r="182" spans="1:14" ht="13.8">
      <c r="A182" s="46" t="str">
        <f ca="1">IFERROR(__xludf.DUMMYFUNCTION("""COMPUTED_VALUE"""),"DARCO")</f>
        <v>DARCO</v>
      </c>
      <c r="B182" s="46" t="str">
        <f ca="1">IFERROR(__xludf.DUMMYFUNCTION("""COMPUTED_VALUE"""),"CENTRAL OFFICE")</f>
        <v>CENTRAL OFFICE</v>
      </c>
      <c r="C182" s="47" t="str">
        <f ca="1">IFERROR(__xludf.DUMMYFUNCTION("""COMPUTED_VALUE"""),"Desktop Computer – (HP Pro SFF 280G9)")</f>
        <v>Desktop Computer – (HP Pro SFF 280G9)</v>
      </c>
      <c r="D182" s="47"/>
      <c r="E182" s="46"/>
      <c r="F182" s="46" t="str">
        <f ca="1">IFERROR(__xludf.DUMMYFUNCTION("""COMPUTED_VALUE"""),"2023-05-03-10201SP406-01")</f>
        <v>2023-05-03-10201SP406-01</v>
      </c>
      <c r="G182" s="46"/>
      <c r="H182" s="46" t="str">
        <f ca="1">IFERROR(__xludf.DUMMYFUNCTION("""COMPUTED_VALUE"""),"MA. CRISTINA C. DAGDAG")</f>
        <v>MA. CRISTINA C. DAGDAG</v>
      </c>
      <c r="I182" s="46" t="str">
        <f ca="1">IFERROR(__xludf.DUMMYFUNCTION("""COMPUTED_VALUE"""),"CHIEF ADMINISTRATIVE OFFICER")</f>
        <v>CHIEF ADMINISTRATIVE OFFICER</v>
      </c>
      <c r="J182" s="46" t="str">
        <f ca="1">IFERROR(__xludf.DUMMYFUNCTION("""COMPUTED_VALUE"""),"2023-08-043DS")</f>
        <v>2023-08-043DS</v>
      </c>
      <c r="K182" s="46"/>
      <c r="L182" s="46" t="str">
        <f ca="1">IFERROR(__xludf.DUMMYFUNCTION("""COMPUTED_VALUE"""),"SPLIT")</f>
        <v>SPLIT</v>
      </c>
      <c r="M182" s="46" t="str">
        <f ca="1">IFERROR(__xludf.DUMMYFUNCTION("""COMPUTED_VALUE"""),"SERVICEABLE")</f>
        <v>SERVICEABLE</v>
      </c>
      <c r="N182" s="46"/>
    </row>
    <row r="183" spans="1:14" ht="13.8">
      <c r="A183" s="46" t="str">
        <f ca="1">IFERROR(__xludf.DUMMYFUNCTION("""COMPUTED_VALUE"""),"DARCO")</f>
        <v>DARCO</v>
      </c>
      <c r="B183" s="46" t="str">
        <f ca="1">IFERROR(__xludf.DUMMYFUNCTION("""COMPUTED_VALUE"""),"CENTRAL OFFICE")</f>
        <v>CENTRAL OFFICE</v>
      </c>
      <c r="C183" s="47" t="str">
        <f ca="1">IFERROR(__xludf.DUMMYFUNCTION("""COMPUTED_VALUE"""),"Desktop Computer – (HP Pro SFF 280G9)")</f>
        <v>Desktop Computer – (HP Pro SFF 280G9)</v>
      </c>
      <c r="D183" s="47"/>
      <c r="E183" s="46"/>
      <c r="F183" s="46" t="str">
        <f ca="1">IFERROR(__xludf.DUMMYFUNCTION("""COMPUTED_VALUE"""),"2023-05-03-10201SP407-01")</f>
        <v>2023-05-03-10201SP407-01</v>
      </c>
      <c r="G183" s="46"/>
      <c r="H183" s="46" t="str">
        <f ca="1">IFERROR(__xludf.DUMMYFUNCTION("""COMPUTED_VALUE"""),"MA. CRISTINA C. DAGDAG")</f>
        <v>MA. CRISTINA C. DAGDAG</v>
      </c>
      <c r="I183" s="46" t="str">
        <f ca="1">IFERROR(__xludf.DUMMYFUNCTION("""COMPUTED_VALUE"""),"CHIEF ADMINISTRATIVE OFFICER")</f>
        <v>CHIEF ADMINISTRATIVE OFFICER</v>
      </c>
      <c r="J183" s="46" t="str">
        <f ca="1">IFERROR(__xludf.DUMMYFUNCTION("""COMPUTED_VALUE"""),"2023-08-043DS")</f>
        <v>2023-08-043DS</v>
      </c>
      <c r="K183" s="46"/>
      <c r="L183" s="46" t="str">
        <f ca="1">IFERROR(__xludf.DUMMYFUNCTION("""COMPUTED_VALUE"""),"SPLIT")</f>
        <v>SPLIT</v>
      </c>
      <c r="M183" s="46" t="str">
        <f ca="1">IFERROR(__xludf.DUMMYFUNCTION("""COMPUTED_VALUE"""),"SERVICEABLE")</f>
        <v>SERVICEABLE</v>
      </c>
      <c r="N183" s="46"/>
    </row>
    <row r="184" spans="1:14" ht="13.8">
      <c r="A184" s="46" t="str">
        <f ca="1">IFERROR(__xludf.DUMMYFUNCTION("""COMPUTED_VALUE"""),"DARCO")</f>
        <v>DARCO</v>
      </c>
      <c r="B184" s="46" t="str">
        <f ca="1">IFERROR(__xludf.DUMMYFUNCTION("""COMPUTED_VALUE"""),"CENTRAL OFFICE")</f>
        <v>CENTRAL OFFICE</v>
      </c>
      <c r="C184" s="47" t="str">
        <f ca="1">IFERROR(__xludf.DUMMYFUNCTION("""COMPUTED_VALUE"""),"Desktop Computer – (HP Pro SFF 280G9)")</f>
        <v>Desktop Computer – (HP Pro SFF 280G9)</v>
      </c>
      <c r="D184" s="47"/>
      <c r="E184" s="46"/>
      <c r="F184" s="46" t="str">
        <f ca="1">IFERROR(__xludf.DUMMYFUNCTION("""COMPUTED_VALUE"""),"2023-05-03-10201SP408-01")</f>
        <v>2023-05-03-10201SP408-01</v>
      </c>
      <c r="G184" s="46"/>
      <c r="H184" s="46" t="str">
        <f ca="1">IFERROR(__xludf.DUMMYFUNCTION("""COMPUTED_VALUE"""),"MA. CRISTINA C. DAGDAG")</f>
        <v>MA. CRISTINA C. DAGDAG</v>
      </c>
      <c r="I184" s="46" t="str">
        <f ca="1">IFERROR(__xludf.DUMMYFUNCTION("""COMPUTED_VALUE"""),"CHIEF ADMINISTRATIVE OFFICER")</f>
        <v>CHIEF ADMINISTRATIVE OFFICER</v>
      </c>
      <c r="J184" s="46" t="str">
        <f ca="1">IFERROR(__xludf.DUMMYFUNCTION("""COMPUTED_VALUE"""),"2023-08-043DS")</f>
        <v>2023-08-043DS</v>
      </c>
      <c r="K184" s="46"/>
      <c r="L184" s="46" t="str">
        <f ca="1">IFERROR(__xludf.DUMMYFUNCTION("""COMPUTED_VALUE"""),"SPLIT")</f>
        <v>SPLIT</v>
      </c>
      <c r="M184" s="46" t="str">
        <f ca="1">IFERROR(__xludf.DUMMYFUNCTION("""COMPUTED_VALUE"""),"SERVICEABLE")</f>
        <v>SERVICEABLE</v>
      </c>
      <c r="N184" s="46"/>
    </row>
    <row r="185" spans="1:14" ht="13.8">
      <c r="A185" s="46" t="str">
        <f ca="1">IFERROR(__xludf.DUMMYFUNCTION("""COMPUTED_VALUE"""),"DARCO")</f>
        <v>DARCO</v>
      </c>
      <c r="B185" s="46" t="str">
        <f ca="1">IFERROR(__xludf.DUMMYFUNCTION("""COMPUTED_VALUE"""),"CENTRAL OFFICE")</f>
        <v>CENTRAL OFFICE</v>
      </c>
      <c r="C185" s="47" t="str">
        <f ca="1">IFERROR(__xludf.DUMMYFUNCTION("""COMPUTED_VALUE"""),"Desktop Computer – (HP Pro SFF 280G9)")</f>
        <v>Desktop Computer – (HP Pro SFF 280G9)</v>
      </c>
      <c r="D185" s="47"/>
      <c r="E185" s="46"/>
      <c r="F185" s="46" t="str">
        <f ca="1">IFERROR(__xludf.DUMMYFUNCTION("""COMPUTED_VALUE"""),"2023-05-03-10201SP409-01")</f>
        <v>2023-05-03-10201SP409-01</v>
      </c>
      <c r="G185" s="46"/>
      <c r="H185" s="46" t="str">
        <f ca="1">IFERROR(__xludf.DUMMYFUNCTION("""COMPUTED_VALUE"""),"MA. CRISTINA C. DAGDAG")</f>
        <v>MA. CRISTINA C. DAGDAG</v>
      </c>
      <c r="I185" s="46" t="str">
        <f ca="1">IFERROR(__xludf.DUMMYFUNCTION("""COMPUTED_VALUE"""),"CHIEF ADMINISTRATIVE OFFICER")</f>
        <v>CHIEF ADMINISTRATIVE OFFICER</v>
      </c>
      <c r="J185" s="46" t="str">
        <f ca="1">IFERROR(__xludf.DUMMYFUNCTION("""COMPUTED_VALUE"""),"2023-08-043DS")</f>
        <v>2023-08-043DS</v>
      </c>
      <c r="K185" s="46"/>
      <c r="L185" s="46" t="str">
        <f ca="1">IFERROR(__xludf.DUMMYFUNCTION("""COMPUTED_VALUE"""),"SPLIT")</f>
        <v>SPLIT</v>
      </c>
      <c r="M185" s="46" t="str">
        <f ca="1">IFERROR(__xludf.DUMMYFUNCTION("""COMPUTED_VALUE"""),"SERVICEABLE")</f>
        <v>SERVICEABLE</v>
      </c>
      <c r="N185" s="46"/>
    </row>
    <row r="186" spans="1:14" ht="13.8">
      <c r="A186" s="46" t="str">
        <f ca="1">IFERROR(__xludf.DUMMYFUNCTION("""COMPUTED_VALUE"""),"DARCO")</f>
        <v>DARCO</v>
      </c>
      <c r="B186" s="46" t="str">
        <f ca="1">IFERROR(__xludf.DUMMYFUNCTION("""COMPUTED_VALUE"""),"CENTRAL OFFICE")</f>
        <v>CENTRAL OFFICE</v>
      </c>
      <c r="C186" s="47" t="str">
        <f ca="1">IFERROR(__xludf.DUMMYFUNCTION("""COMPUTED_VALUE"""),"Desktop Computer – (HP Pro SFF 280G9)")</f>
        <v>Desktop Computer – (HP Pro SFF 280G9)</v>
      </c>
      <c r="D186" s="47"/>
      <c r="E186" s="46"/>
      <c r="F186" s="46" t="str">
        <f ca="1">IFERROR(__xludf.DUMMYFUNCTION("""COMPUTED_VALUE"""),"2023-05-03-10201SP410-01")</f>
        <v>2023-05-03-10201SP410-01</v>
      </c>
      <c r="G186" s="46"/>
      <c r="H186" s="46" t="str">
        <f ca="1">IFERROR(__xludf.DUMMYFUNCTION("""COMPUTED_VALUE"""),"MA. CRISTINA C. DAGDAG")</f>
        <v>MA. CRISTINA C. DAGDAG</v>
      </c>
      <c r="I186" s="46" t="str">
        <f ca="1">IFERROR(__xludf.DUMMYFUNCTION("""COMPUTED_VALUE"""),"CHIEF ADMINISTRATIVE OFFICER")</f>
        <v>CHIEF ADMINISTRATIVE OFFICER</v>
      </c>
      <c r="J186" s="46" t="str">
        <f ca="1">IFERROR(__xludf.DUMMYFUNCTION("""COMPUTED_VALUE"""),"2023-08-043DS")</f>
        <v>2023-08-043DS</v>
      </c>
      <c r="K186" s="46"/>
      <c r="L186" s="46" t="str">
        <f ca="1">IFERROR(__xludf.DUMMYFUNCTION("""COMPUTED_VALUE"""),"SPLIT")</f>
        <v>SPLIT</v>
      </c>
      <c r="M186" s="46" t="str">
        <f ca="1">IFERROR(__xludf.DUMMYFUNCTION("""COMPUTED_VALUE"""),"SERVICEABLE")</f>
        <v>SERVICEABLE</v>
      </c>
      <c r="N186" s="46"/>
    </row>
    <row r="187" spans="1:14" ht="13.8">
      <c r="A187" s="46" t="str">
        <f ca="1">IFERROR(__xludf.DUMMYFUNCTION("""COMPUTED_VALUE"""),"DARCO")</f>
        <v>DARCO</v>
      </c>
      <c r="B187" s="46" t="str">
        <f ca="1">IFERROR(__xludf.DUMMYFUNCTION("""COMPUTED_VALUE"""),"CENTRAL OFFICE")</f>
        <v>CENTRAL OFFICE</v>
      </c>
      <c r="C187" s="47" t="str">
        <f ca="1">IFERROR(__xludf.DUMMYFUNCTION("""COMPUTED_VALUE"""),"Desktop Computer – (HP Pro SFF 280G9)")</f>
        <v>Desktop Computer – (HP Pro SFF 280G9)</v>
      </c>
      <c r="D187" s="47"/>
      <c r="E187" s="46"/>
      <c r="F187" s="46" t="str">
        <f ca="1">IFERROR(__xludf.DUMMYFUNCTION("""COMPUTED_VALUE"""),"2023-05-03-10201SP411-01")</f>
        <v>2023-05-03-10201SP411-01</v>
      </c>
      <c r="G187" s="46"/>
      <c r="H187" s="46" t="str">
        <f ca="1">IFERROR(__xludf.DUMMYFUNCTION("""COMPUTED_VALUE"""),"ELIZABETH VILLAPANDO")</f>
        <v>ELIZABETH VILLAPANDO</v>
      </c>
      <c r="I187" s="46" t="str">
        <f ca="1">IFERROR(__xludf.DUMMYFUNCTION("""COMPUTED_VALUE"""),"ASSISTANT DIRECTOR")</f>
        <v>ASSISTANT DIRECTOR</v>
      </c>
      <c r="J187" s="46" t="str">
        <f ca="1">IFERROR(__xludf.DUMMYFUNCTION("""COMPUTED_VALUE"""),"2023-09-061DS")</f>
        <v>2023-09-061DS</v>
      </c>
      <c r="K187" s="46"/>
      <c r="L187" s="46" t="str">
        <f ca="1">IFERROR(__xludf.DUMMYFUNCTION("""COMPUTED_VALUE"""),"BLTI")</f>
        <v>BLTI</v>
      </c>
      <c r="M187" s="46" t="str">
        <f ca="1">IFERROR(__xludf.DUMMYFUNCTION("""COMPUTED_VALUE"""),"SERVICEABLE")</f>
        <v>SERVICEABLE</v>
      </c>
      <c r="N187" s="46"/>
    </row>
    <row r="188" spans="1:14" ht="13.8">
      <c r="A188" s="46" t="str">
        <f ca="1">IFERROR(__xludf.DUMMYFUNCTION("""COMPUTED_VALUE"""),"DARCO")</f>
        <v>DARCO</v>
      </c>
      <c r="B188" s="46" t="str">
        <f ca="1">IFERROR(__xludf.DUMMYFUNCTION("""COMPUTED_VALUE"""),"CENTRAL OFFICE")</f>
        <v>CENTRAL OFFICE</v>
      </c>
      <c r="C188" s="47" t="str">
        <f ca="1">IFERROR(__xludf.DUMMYFUNCTION("""COMPUTED_VALUE"""),"Desktop Computer – (HP Pro SFF 280G9)")</f>
        <v>Desktop Computer – (HP Pro SFF 280G9)</v>
      </c>
      <c r="D188" s="47"/>
      <c r="E188" s="46"/>
      <c r="F188" s="46" t="str">
        <f ca="1">IFERROR(__xludf.DUMMYFUNCTION("""COMPUTED_VALUE"""),"2023-05-03-10201SP415-01")</f>
        <v>2023-05-03-10201SP415-01</v>
      </c>
      <c r="G188" s="46"/>
      <c r="H188" s="46" t="str">
        <f ca="1">IFERROR(__xludf.DUMMYFUNCTION("""COMPUTED_VALUE"""),"ELIZABETH VILLAPANDO")</f>
        <v>ELIZABETH VILLAPANDO</v>
      </c>
      <c r="I188" s="46" t="str">
        <f ca="1">IFERROR(__xludf.DUMMYFUNCTION("""COMPUTED_VALUE"""),"ASSISTANT DIRECTOR")</f>
        <v>ASSISTANT DIRECTOR</v>
      </c>
      <c r="J188" s="46" t="str">
        <f ca="1">IFERROR(__xludf.DUMMYFUNCTION("""COMPUTED_VALUE"""),"2023-09-061DS")</f>
        <v>2023-09-061DS</v>
      </c>
      <c r="K188" s="46"/>
      <c r="L188" s="46" t="str">
        <f ca="1">IFERROR(__xludf.DUMMYFUNCTION("""COMPUTED_VALUE"""),"BLTI")</f>
        <v>BLTI</v>
      </c>
      <c r="M188" s="46" t="str">
        <f ca="1">IFERROR(__xludf.DUMMYFUNCTION("""COMPUTED_VALUE"""),"SERVICEABLE")</f>
        <v>SERVICEABLE</v>
      </c>
      <c r="N188" s="46"/>
    </row>
    <row r="189" spans="1:14" ht="13.8">
      <c r="A189" s="46" t="str">
        <f ca="1">IFERROR(__xludf.DUMMYFUNCTION("""COMPUTED_VALUE"""),"DARCO")</f>
        <v>DARCO</v>
      </c>
      <c r="B189" s="46" t="str">
        <f ca="1">IFERROR(__xludf.DUMMYFUNCTION("""COMPUTED_VALUE"""),"CENTRAL OFFICE")</f>
        <v>CENTRAL OFFICE</v>
      </c>
      <c r="C189" s="47" t="str">
        <f ca="1">IFERROR(__xludf.DUMMYFUNCTION("""COMPUTED_VALUE"""),"Desktop Computer – (HP Pro SFF 280G9)")</f>
        <v>Desktop Computer – (HP Pro SFF 280G9)</v>
      </c>
      <c r="D189" s="47"/>
      <c r="E189" s="46"/>
      <c r="F189" s="46" t="str">
        <f ca="1">IFERROR(__xludf.DUMMYFUNCTION("""COMPUTED_VALUE"""),"2023-05-03-10201SP416-01")</f>
        <v>2023-05-03-10201SP416-01</v>
      </c>
      <c r="G189" s="46"/>
      <c r="H189" s="46" t="str">
        <f ca="1">IFERROR(__xludf.DUMMYFUNCTION("""COMPUTED_VALUE"""),"ASEC FMAO")</f>
        <v>ASEC FMAO</v>
      </c>
      <c r="I189" s="46" t="str">
        <f ca="1">IFERROR(__xludf.DUMMYFUNCTION("""COMPUTED_VALUE"""),"ASEC")</f>
        <v>ASEC</v>
      </c>
      <c r="J189" s="46"/>
      <c r="K189" s="46"/>
      <c r="L189" s="46" t="str">
        <f ca="1">IFERROR(__xludf.DUMMYFUNCTION("""COMPUTED_VALUE"""),"FMAO")</f>
        <v>FMAO</v>
      </c>
      <c r="M189" s="46" t="str">
        <f ca="1">IFERROR(__xludf.DUMMYFUNCTION("""COMPUTED_VALUE"""),"SERVICEABLE")</f>
        <v>SERVICEABLE</v>
      </c>
      <c r="N189" s="46"/>
    </row>
    <row r="190" spans="1:14" ht="13.8">
      <c r="A190" s="46" t="str">
        <f ca="1">IFERROR(__xludf.DUMMYFUNCTION("""COMPUTED_VALUE"""),"DARCO")</f>
        <v>DARCO</v>
      </c>
      <c r="B190" s="46" t="str">
        <f ca="1">IFERROR(__xludf.DUMMYFUNCTION("""COMPUTED_VALUE"""),"CENTRAL OFFICE")</f>
        <v>CENTRAL OFFICE</v>
      </c>
      <c r="C190" s="47" t="str">
        <f ca="1">IFERROR(__xludf.DUMMYFUNCTION("""COMPUTED_VALUE"""),"Desktop Computer – (HP Pro SFF 280G9)")</f>
        <v>Desktop Computer – (HP Pro SFF 280G9)</v>
      </c>
      <c r="D190" s="47"/>
      <c r="E190" s="46"/>
      <c r="F190" s="46" t="str">
        <f ca="1">IFERROR(__xludf.DUMMYFUNCTION("""COMPUTED_VALUE"""),"2023-05-03-10201SP417-01")</f>
        <v>2023-05-03-10201SP417-01</v>
      </c>
      <c r="G190" s="46"/>
      <c r="H190" s="46" t="str">
        <f ca="1">IFERROR(__xludf.DUMMYFUNCTION("""COMPUTED_VALUE"""),"ASEC FMAO")</f>
        <v>ASEC FMAO</v>
      </c>
      <c r="I190" s="46" t="str">
        <f ca="1">IFERROR(__xludf.DUMMYFUNCTION("""COMPUTED_VALUE"""),"ASEC")</f>
        <v>ASEC</v>
      </c>
      <c r="J190" s="46"/>
      <c r="K190" s="46"/>
      <c r="L190" s="46" t="str">
        <f ca="1">IFERROR(__xludf.DUMMYFUNCTION("""COMPUTED_VALUE"""),"FMAO")</f>
        <v>FMAO</v>
      </c>
      <c r="M190" s="46" t="str">
        <f ca="1">IFERROR(__xludf.DUMMYFUNCTION("""COMPUTED_VALUE"""),"SERVICEABLE")</f>
        <v>SERVICEABLE</v>
      </c>
      <c r="N190" s="46"/>
    </row>
    <row r="191" spans="1:14" ht="13.8">
      <c r="A191" s="46" t="str">
        <f ca="1">IFERROR(__xludf.DUMMYFUNCTION("""COMPUTED_VALUE"""),"DARCO")</f>
        <v>DARCO</v>
      </c>
      <c r="B191" s="46" t="str">
        <f ca="1">IFERROR(__xludf.DUMMYFUNCTION("""COMPUTED_VALUE"""),"CENTRAL OFFICE")</f>
        <v>CENTRAL OFFICE</v>
      </c>
      <c r="C191" s="47" t="str">
        <f ca="1">IFERROR(__xludf.DUMMYFUNCTION("""COMPUTED_VALUE"""),"Desktop Computer – (HP Pro SFF 280G9)")</f>
        <v>Desktop Computer – (HP Pro SFF 280G9)</v>
      </c>
      <c r="D191" s="47"/>
      <c r="E191" s="46"/>
      <c r="F191" s="46" t="str">
        <f ca="1">IFERROR(__xludf.DUMMYFUNCTION("""COMPUTED_VALUE"""),"2023-05-03-10201SP418-01")</f>
        <v>2023-05-03-10201SP418-01</v>
      </c>
      <c r="G191" s="46"/>
      <c r="H191" s="46" t="str">
        <f ca="1">IFERROR(__xludf.DUMMYFUNCTION("""COMPUTED_VALUE"""),"KATHERINE R. CASILI")</f>
        <v>KATHERINE R. CASILI</v>
      </c>
      <c r="I191" s="46" t="str">
        <f ca="1">IFERROR(__xludf.DUMMYFUNCTION("""COMPUTED_VALUE"""),"EA II - USEC")</f>
        <v>EA II - USEC</v>
      </c>
      <c r="J191" s="46" t="str">
        <f ca="1">IFERROR(__xludf.DUMMYFUNCTION("""COMPUTED_VALUE"""),"2023-09-064DS")</f>
        <v>2023-09-064DS</v>
      </c>
      <c r="K191" s="46"/>
      <c r="L191" s="46" t="str">
        <f ca="1">IFERROR(__xludf.DUMMYFUNCTION("""COMPUTED_VALUE"""),"FOO")</f>
        <v>FOO</v>
      </c>
      <c r="M191" s="46" t="str">
        <f ca="1">IFERROR(__xludf.DUMMYFUNCTION("""COMPUTED_VALUE"""),"SERVICEABLE")</f>
        <v>SERVICEABLE</v>
      </c>
      <c r="N191" s="46"/>
    </row>
    <row r="192" spans="1:14" ht="13.8">
      <c r="A192" s="46" t="str">
        <f ca="1">IFERROR(__xludf.DUMMYFUNCTION("""COMPUTED_VALUE"""),"DARCO")</f>
        <v>DARCO</v>
      </c>
      <c r="B192" s="46" t="str">
        <f ca="1">IFERROR(__xludf.DUMMYFUNCTION("""COMPUTED_VALUE"""),"CENTRAL OFFICE")</f>
        <v>CENTRAL OFFICE</v>
      </c>
      <c r="C192" s="47" t="str">
        <f ca="1">IFERROR(__xludf.DUMMYFUNCTION("""COMPUTED_VALUE"""),"Desktop Computer – (HP Pro SFF 280G9)")</f>
        <v>Desktop Computer – (HP Pro SFF 280G9)</v>
      </c>
      <c r="D192" s="47"/>
      <c r="E192" s="46"/>
      <c r="F192" s="46" t="str">
        <f ca="1">IFERROR(__xludf.DUMMYFUNCTION("""COMPUTED_VALUE"""),"2023-05-03-10201SP419-01")</f>
        <v>2023-05-03-10201SP419-01</v>
      </c>
      <c r="G192" s="46"/>
      <c r="H192" s="46" t="str">
        <f ca="1">IFERROR(__xludf.DUMMYFUNCTION("""COMPUTED_VALUE"""),"KATHERINE R. CASILI")</f>
        <v>KATHERINE R. CASILI</v>
      </c>
      <c r="I192" s="46" t="str">
        <f ca="1">IFERROR(__xludf.DUMMYFUNCTION("""COMPUTED_VALUE"""),"EA II - USEC")</f>
        <v>EA II - USEC</v>
      </c>
      <c r="J192" s="46" t="str">
        <f ca="1">IFERROR(__xludf.DUMMYFUNCTION("""COMPUTED_VALUE"""),"2023-09-064DS")</f>
        <v>2023-09-064DS</v>
      </c>
      <c r="K192" s="46"/>
      <c r="L192" s="46" t="str">
        <f ca="1">IFERROR(__xludf.DUMMYFUNCTION("""COMPUTED_VALUE"""),"FOO")</f>
        <v>FOO</v>
      </c>
      <c r="M192" s="46" t="str">
        <f ca="1">IFERROR(__xludf.DUMMYFUNCTION("""COMPUTED_VALUE"""),"SERVICEABLE")</f>
        <v>SERVICEABLE</v>
      </c>
      <c r="N192" s="46"/>
    </row>
    <row r="193" spans="1:14" ht="13.8">
      <c r="A193" s="46" t="str">
        <f ca="1">IFERROR(__xludf.DUMMYFUNCTION("""COMPUTED_VALUE"""),"DARCO")</f>
        <v>DARCO</v>
      </c>
      <c r="B193" s="46" t="str">
        <f ca="1">IFERROR(__xludf.DUMMYFUNCTION("""COMPUTED_VALUE"""),"CENTRAL OFFICE")</f>
        <v>CENTRAL OFFICE</v>
      </c>
      <c r="C193" s="47" t="str">
        <f ca="1">IFERROR(__xludf.DUMMYFUNCTION("""COMPUTED_VALUE"""),"Desktop Computer – (HP Pro SFF 280G9)")</f>
        <v>Desktop Computer – (HP Pro SFF 280G9)</v>
      </c>
      <c r="D193" s="47"/>
      <c r="E193" s="46"/>
      <c r="F193" s="46" t="str">
        <f ca="1">IFERROR(__xludf.DUMMYFUNCTION("""COMPUTED_VALUE"""),"2023-05-03-10201SP420-01")</f>
        <v>2023-05-03-10201SP420-01</v>
      </c>
      <c r="G193" s="46"/>
      <c r="H193" s="46" t="str">
        <f ca="1">IFERROR(__xludf.DUMMYFUNCTION("""COMPUTED_VALUE"""),"LILIBETH G. LEE")</f>
        <v>LILIBETH G. LEE</v>
      </c>
      <c r="I193" s="46" t="str">
        <f ca="1">IFERROR(__xludf.DUMMYFUNCTION("""COMPUTED_VALUE"""),"DIRECTOR IV")</f>
        <v>DIRECTOR IV</v>
      </c>
      <c r="J193" s="46" t="str">
        <f ca="1">IFERROR(__xludf.DUMMYFUNCTION("""COMPUTED_VALUE"""),"2023-09-065DS")</f>
        <v>2023-09-065DS</v>
      </c>
      <c r="K193" s="46"/>
      <c r="L193" s="46" t="str">
        <f ca="1">IFERROR(__xludf.DUMMYFUNCTION("""COMPUTED_VALUE"""),"BLTI")</f>
        <v>BLTI</v>
      </c>
      <c r="M193" s="46" t="str">
        <f ca="1">IFERROR(__xludf.DUMMYFUNCTION("""COMPUTED_VALUE"""),"SERVICEABLE")</f>
        <v>SERVICEABLE</v>
      </c>
      <c r="N193" s="46"/>
    </row>
    <row r="194" spans="1:14" ht="13.8">
      <c r="A194" s="46" t="str">
        <f ca="1">IFERROR(__xludf.DUMMYFUNCTION("""COMPUTED_VALUE"""),"DARCO")</f>
        <v>DARCO</v>
      </c>
      <c r="B194" s="46" t="str">
        <f ca="1">IFERROR(__xludf.DUMMYFUNCTION("""COMPUTED_VALUE"""),"CENTRAL OFFICE")</f>
        <v>CENTRAL OFFICE</v>
      </c>
      <c r="C194" s="47" t="str">
        <f ca="1">IFERROR(__xludf.DUMMYFUNCTION("""COMPUTED_VALUE"""),"Desktop Computer – (HP Pro SFF 280G9)")</f>
        <v>Desktop Computer – (HP Pro SFF 280G9)</v>
      </c>
      <c r="D194" s="47"/>
      <c r="E194" s="46"/>
      <c r="F194" s="46" t="str">
        <f ca="1">IFERROR(__xludf.DUMMYFUNCTION("""COMPUTED_VALUE"""),"2023-05-03-10201SP483-01")</f>
        <v>2023-05-03-10201SP483-01</v>
      </c>
      <c r="G194" s="46"/>
      <c r="H194" s="46" t="str">
        <f ca="1">IFERROR(__xludf.DUMMYFUNCTION("""COMPUTED_VALUE"""),"ARTEMIO DUMAONG")</f>
        <v>ARTEMIO DUMAONG</v>
      </c>
      <c r="I194" s="46" t="str">
        <f ca="1">IFERROR(__xludf.DUMMYFUNCTION("""COMPUTED_VALUE"""),"DIRECTOR")</f>
        <v>DIRECTOR</v>
      </c>
      <c r="J194" s="46" t="str">
        <f ca="1">IFERROR(__xludf.DUMMYFUNCTION("""COMPUTED_VALUE"""),"2023-09-066DS")</f>
        <v>2023-09-066DS</v>
      </c>
      <c r="K194" s="46"/>
      <c r="L194" s="46" t="str">
        <f ca="1">IFERROR(__xludf.DUMMYFUNCTION("""COMPUTED_VALUE"""),"MISS")</f>
        <v>MISS</v>
      </c>
      <c r="M194" s="46" t="str">
        <f ca="1">IFERROR(__xludf.DUMMYFUNCTION("""COMPUTED_VALUE"""),"SERVICEABLE")</f>
        <v>SERVICEABLE</v>
      </c>
      <c r="N194" s="46"/>
    </row>
    <row r="195" spans="1:14" ht="13.8">
      <c r="A195" s="46" t="str">
        <f ca="1">IFERROR(__xludf.DUMMYFUNCTION("""COMPUTED_VALUE"""),"DARCO")</f>
        <v>DARCO</v>
      </c>
      <c r="B195" s="46" t="str">
        <f ca="1">IFERROR(__xludf.DUMMYFUNCTION("""COMPUTED_VALUE"""),"CENTRAL OFFICE")</f>
        <v>CENTRAL OFFICE</v>
      </c>
      <c r="C195" s="47" t="str">
        <f ca="1">IFERROR(__xludf.DUMMYFUNCTION("""COMPUTED_VALUE"""),"Desktop Computer – (HP Pro SFF 280G9)")</f>
        <v>Desktop Computer – (HP Pro SFF 280G9)</v>
      </c>
      <c r="D195" s="47"/>
      <c r="E195" s="46"/>
      <c r="F195" s="46" t="str">
        <f ca="1">IFERROR(__xludf.DUMMYFUNCTION("""COMPUTED_VALUE"""),"2023-05-03-10201SP484-01")</f>
        <v>2023-05-03-10201SP484-01</v>
      </c>
      <c r="G195" s="46"/>
      <c r="H195" s="46" t="str">
        <f ca="1">IFERROR(__xludf.DUMMYFUNCTION("""COMPUTED_VALUE"""),"ARTEMIO DUMAONG")</f>
        <v>ARTEMIO DUMAONG</v>
      </c>
      <c r="I195" s="46" t="str">
        <f ca="1">IFERROR(__xludf.DUMMYFUNCTION("""COMPUTED_VALUE"""),"DIRECTOR")</f>
        <v>DIRECTOR</v>
      </c>
      <c r="J195" s="46" t="str">
        <f ca="1">IFERROR(__xludf.DUMMYFUNCTION("""COMPUTED_VALUE"""),"2023-09-066DS")</f>
        <v>2023-09-066DS</v>
      </c>
      <c r="K195" s="46"/>
      <c r="L195" s="46" t="str">
        <f ca="1">IFERROR(__xludf.DUMMYFUNCTION("""COMPUTED_VALUE"""),"MISS")</f>
        <v>MISS</v>
      </c>
      <c r="M195" s="46" t="str">
        <f ca="1">IFERROR(__xludf.DUMMYFUNCTION("""COMPUTED_VALUE"""),"SERVICEABLE")</f>
        <v>SERVICEABLE</v>
      </c>
      <c r="N195" s="46"/>
    </row>
    <row r="196" spans="1:14" ht="13.8">
      <c r="A196" s="46" t="str">
        <f ca="1">IFERROR(__xludf.DUMMYFUNCTION("""COMPUTED_VALUE"""),"DARCO")</f>
        <v>DARCO</v>
      </c>
      <c r="B196" s="46" t="str">
        <f ca="1">IFERROR(__xludf.DUMMYFUNCTION("""COMPUTED_VALUE"""),"CENTRAL OFFICE")</f>
        <v>CENTRAL OFFICE</v>
      </c>
      <c r="C196" s="47" t="str">
        <f ca="1">IFERROR(__xludf.DUMMYFUNCTION("""COMPUTED_VALUE"""),"Motorcycle – (Honda XRL 150)")</f>
        <v>Motorcycle – (Honda XRL 150)</v>
      </c>
      <c r="D196" s="47" t="str">
        <f ca="1">IFERROR(__xludf.DUMMYFUNCTION("""COMPUTED_VALUE"""),"₱ 124,900.00")</f>
        <v>₱ 124,900.00</v>
      </c>
      <c r="E196" s="46"/>
      <c r="F196" s="46" t="str">
        <f ca="1">IFERROR(__xludf.DUMMYFUNCTION("""COMPUTED_VALUE"""),"2023-06-01-10201SP01-01-01")</f>
        <v>2023-06-01-10201SP01-01-01</v>
      </c>
      <c r="G196" s="46"/>
      <c r="H196" s="46" t="str">
        <f ca="1">IFERROR(__xludf.DUMMYFUNCTION("""COMPUTED_VALUE"""),"JOEY G SUMATRA")</f>
        <v>JOEY G SUMATRA</v>
      </c>
      <c r="I196" s="46" t="str">
        <f ca="1">IFERROR(__xludf.DUMMYFUNCTION("""COMPUTED_VALUE"""),"DIRECTOR")</f>
        <v>DIRECTOR</v>
      </c>
      <c r="J196" s="46" t="str">
        <f ca="1">IFERROR(__xludf.DUMMYFUNCTION("""COMPUTED_VALUE"""),"2023-01-001S")</f>
        <v>2023-01-001S</v>
      </c>
      <c r="K196" s="46" t="str">
        <f ca="1">IFERROR(__xludf.DUMMYFUNCTION("""COMPUTED_VALUE"""),"JOEY G SUMATRA")</f>
        <v>JOEY G SUMATRA</v>
      </c>
      <c r="L196" s="46" t="str">
        <f ca="1">IFERROR(__xludf.DUMMYFUNCTION("""COMPUTED_VALUE"""),"SPLIT")</f>
        <v>SPLIT</v>
      </c>
      <c r="M196" s="46" t="str">
        <f ca="1">IFERROR(__xludf.DUMMYFUNCTION("""COMPUTED_VALUE"""),"SERVICEABLE")</f>
        <v>SERVICEABLE</v>
      </c>
      <c r="N196" s="46"/>
    </row>
    <row r="197" spans="1:14" ht="13.8">
      <c r="A197" s="46" t="str">
        <f ca="1">IFERROR(__xludf.DUMMYFUNCTION("""COMPUTED_VALUE"""),"DARCO")</f>
        <v>DARCO</v>
      </c>
      <c r="B197" s="46" t="str">
        <f ca="1">IFERROR(__xludf.DUMMYFUNCTION("""COMPUTED_VALUE"""),"CENTRAL OFFICE")</f>
        <v>CENTRAL OFFICE</v>
      </c>
      <c r="C197" s="47" t="str">
        <f ca="1">IFERROR(__xludf.DUMMYFUNCTION("""COMPUTED_VALUE"""),"Motorcycle – (Honda XRL 150)")</f>
        <v>Motorcycle – (Honda XRL 150)</v>
      </c>
      <c r="D197" s="47" t="str">
        <f ca="1">IFERROR(__xludf.DUMMYFUNCTION("""COMPUTED_VALUE"""),"₱ 124,900.00")</f>
        <v>₱ 124,900.00</v>
      </c>
      <c r="E197" s="46"/>
      <c r="F197" s="46" t="str">
        <f ca="1">IFERROR(__xludf.DUMMYFUNCTION("""COMPUTED_VALUE"""),"2023-06-01-10201SP01-02-01")</f>
        <v>2023-06-01-10201SP01-02-01</v>
      </c>
      <c r="G197" s="46"/>
      <c r="H197" s="46" t="str">
        <f ca="1">IFERROR(__xludf.DUMMYFUNCTION("""COMPUTED_VALUE"""),"JOEY G SUMATRA")</f>
        <v>JOEY G SUMATRA</v>
      </c>
      <c r="I197" s="46" t="str">
        <f ca="1">IFERROR(__xludf.DUMMYFUNCTION("""COMPUTED_VALUE"""),"DIRECTOR")</f>
        <v>DIRECTOR</v>
      </c>
      <c r="J197" s="46" t="str">
        <f ca="1">IFERROR(__xludf.DUMMYFUNCTION("""COMPUTED_VALUE"""),"2023-01-001S")</f>
        <v>2023-01-001S</v>
      </c>
      <c r="K197" s="46" t="str">
        <f ca="1">IFERROR(__xludf.DUMMYFUNCTION("""COMPUTED_VALUE"""),"JOEY G SUMATRA")</f>
        <v>JOEY G SUMATRA</v>
      </c>
      <c r="L197" s="46" t="str">
        <f ca="1">IFERROR(__xludf.DUMMYFUNCTION("""COMPUTED_VALUE"""),"SPLIT")</f>
        <v>SPLIT</v>
      </c>
      <c r="M197" s="46" t="str">
        <f ca="1">IFERROR(__xludf.DUMMYFUNCTION("""COMPUTED_VALUE"""),"SERVICEABLE")</f>
        <v>SERVICEABLE</v>
      </c>
      <c r="N197" s="46"/>
    </row>
    <row r="198" spans="1:14" ht="13.8">
      <c r="A198" s="46" t="str">
        <f ca="1">IFERROR(__xludf.DUMMYFUNCTION("""COMPUTED_VALUE"""),"DARCO")</f>
        <v>DARCO</v>
      </c>
      <c r="B198" s="46" t="str">
        <f ca="1">IFERROR(__xludf.DUMMYFUNCTION("""COMPUTED_VALUE"""),"CENTRAL OFFICE")</f>
        <v>CENTRAL OFFICE</v>
      </c>
      <c r="C198" s="47" t="str">
        <f ca="1">IFERROR(__xludf.DUMMYFUNCTION("""COMPUTED_VALUE"""),"HANDHELD GPS – MODEL P6")</f>
        <v>HANDHELD GPS – MODEL P6</v>
      </c>
      <c r="D198" s="47" t="str">
        <f ca="1">IFERROR(__xludf.DUMMYFUNCTION("""COMPUTED_VALUE"""),"₱ 79,000.00")</f>
        <v>₱ 79,000.00</v>
      </c>
      <c r="E198" s="46"/>
      <c r="F198" s="46" t="str">
        <f ca="1">IFERROR(__xludf.DUMMYFUNCTION("""COMPUTED_VALUE"""),"2023-05-14-10201SP43-01")</f>
        <v>2023-05-14-10201SP43-01</v>
      </c>
      <c r="G198" s="46" t="str">
        <f ca="1">IFERROR(__xludf.DUMMYFUNCTION("""COMPUTED_VALUE"""),"no plate available")</f>
        <v>no plate available</v>
      </c>
      <c r="H198" s="46" t="str">
        <f ca="1">IFERROR(__xludf.DUMMYFUNCTION("""COMPUTED_VALUE"""),"DOMINGO ROQUE JR")</f>
        <v>DOMINGO ROQUE JR</v>
      </c>
      <c r="I198" s="46" t="str">
        <f ca="1">IFERROR(__xludf.DUMMYFUNCTION("""COMPUTED_VALUE"""),"ENGR II")</f>
        <v>ENGR II</v>
      </c>
      <c r="J198" s="46" t="str">
        <f ca="1">IFERROR(__xludf.DUMMYFUNCTION("""COMPUTED_VALUE"""),"2023-03-007S")</f>
        <v>2023-03-007S</v>
      </c>
      <c r="K198" s="46" t="str">
        <f ca="1">IFERROR(__xludf.DUMMYFUNCTION("""COMPUTED_VALUE"""),"DOMINGO ROQUE JR")</f>
        <v>DOMINGO ROQUE JR</v>
      </c>
      <c r="L198" s="46" t="str">
        <f ca="1">IFERROR(__xludf.DUMMYFUNCTION("""COMPUTED_VALUE"""),"BLTI")</f>
        <v>BLTI</v>
      </c>
      <c r="M198" s="46" t="str">
        <f ca="1">IFERROR(__xludf.DUMMYFUNCTION("""COMPUTED_VALUE"""),"SERVICEABLE")</f>
        <v>SERVICEABLE</v>
      </c>
      <c r="N198" s="46"/>
    </row>
    <row r="199" spans="1:14" ht="13.8">
      <c r="A199" s="46" t="str">
        <f ca="1">IFERROR(__xludf.DUMMYFUNCTION("""COMPUTED_VALUE"""),"DARCO")</f>
        <v>DARCO</v>
      </c>
      <c r="B199" s="46" t="str">
        <f ca="1">IFERROR(__xludf.DUMMYFUNCTION("""COMPUTED_VALUE"""),"CENTRAL OFFICE")</f>
        <v>CENTRAL OFFICE</v>
      </c>
      <c r="C199" s="47" t="str">
        <f ca="1">IFERROR(__xludf.DUMMYFUNCTION("""COMPUTED_VALUE"""),"HANDHELD GPS – MODEL P6")</f>
        <v>HANDHELD GPS – MODEL P6</v>
      </c>
      <c r="D199" s="47" t="str">
        <f ca="1">IFERROR(__xludf.DUMMYFUNCTION("""COMPUTED_VALUE"""),"₱ 79,000.00")</f>
        <v>₱ 79,000.00</v>
      </c>
      <c r="E199" s="46"/>
      <c r="F199" s="46" t="str">
        <f ca="1">IFERROR(__xludf.DUMMYFUNCTION("""COMPUTED_VALUE"""),"2023-05-14-10201SP44-01")</f>
        <v>2023-05-14-10201SP44-01</v>
      </c>
      <c r="G199" s="46" t="str">
        <f ca="1">IFERROR(__xludf.DUMMYFUNCTION("""COMPUTED_VALUE"""),"no plate available")</f>
        <v>no plate available</v>
      </c>
      <c r="H199" s="46" t="str">
        <f ca="1">IFERROR(__xludf.DUMMYFUNCTION("""COMPUTED_VALUE"""),"ALVIN YORK RODRIGUEZ")</f>
        <v>ALVIN YORK RODRIGUEZ</v>
      </c>
      <c r="I199" s="46" t="str">
        <f ca="1">IFERROR(__xludf.DUMMYFUNCTION("""COMPUTED_VALUE"""),"ENGR II")</f>
        <v>ENGR II</v>
      </c>
      <c r="J199" s="46" t="str">
        <f ca="1">IFERROR(__xludf.DUMMYFUNCTION("""COMPUTED_VALUE"""),"2023-03-008S")</f>
        <v>2023-03-008S</v>
      </c>
      <c r="K199" s="46" t="str">
        <f ca="1">IFERROR(__xludf.DUMMYFUNCTION("""COMPUTED_VALUE"""),"ALVIN YORK RODRIGUEZ")</f>
        <v>ALVIN YORK RODRIGUEZ</v>
      </c>
      <c r="L199" s="46" t="str">
        <f ca="1">IFERROR(__xludf.DUMMYFUNCTION("""COMPUTED_VALUE"""),"BLTI")</f>
        <v>BLTI</v>
      </c>
      <c r="M199" s="46" t="str">
        <f ca="1">IFERROR(__xludf.DUMMYFUNCTION("""COMPUTED_VALUE"""),"SERVICEABLE")</f>
        <v>SERVICEABLE</v>
      </c>
      <c r="N199" s="46"/>
    </row>
    <row r="200" spans="1:14" ht="14.4">
      <c r="A200" s="46" t="str">
        <f ca="1">IFERROR(__xludf.DUMMYFUNCTION("""COMPUTED_VALUE"""),"DARCO")</f>
        <v>DARCO</v>
      </c>
      <c r="B200" s="46" t="str">
        <f ca="1">IFERROR(__xludf.DUMMYFUNCTION("""COMPUTED_VALUE"""),"CENTRAL OFFICE")</f>
        <v>CENTRAL OFFICE</v>
      </c>
      <c r="C200" s="47" t="str">
        <f ca="1">IFERROR(__xludf.DUMMYFUNCTION("""COMPUTED_VALUE"""),"HANDHELD GPS – MODEL P6")</f>
        <v>HANDHELD GPS – MODEL P6</v>
      </c>
      <c r="D200" s="47" t="str">
        <f ca="1">IFERROR(__xludf.DUMMYFUNCTION("""COMPUTED_VALUE"""),"₱ 79,000.00")</f>
        <v>₱ 79,000.00</v>
      </c>
      <c r="E200" s="46"/>
      <c r="F200" s="46" t="str">
        <f ca="1">IFERROR(__xludf.DUMMYFUNCTION("""COMPUTED_VALUE"""),"2023-05-14-10201SP45-01")</f>
        <v>2023-05-14-10201SP45-01</v>
      </c>
      <c r="G200" s="139" t="str">
        <f ca="1">IFERROR(__xludf.DUMMYFUNCTION("""COMPUTED_VALUE"""),"no plate available")</f>
        <v>no plate available</v>
      </c>
      <c r="H200" s="46" t="str">
        <f ca="1">IFERROR(__xludf.DUMMYFUNCTION("""COMPUTED_VALUE"""),"WALTER GEALAN")</f>
        <v>WALTER GEALAN</v>
      </c>
      <c r="I200" s="46" t="str">
        <f ca="1">IFERROR(__xludf.DUMMYFUNCTION("""COMPUTED_VALUE"""),"ENGR II")</f>
        <v>ENGR II</v>
      </c>
      <c r="J200" s="46" t="str">
        <f ca="1">IFERROR(__xludf.DUMMYFUNCTION("""COMPUTED_VALUE"""),"2023-03-009S")</f>
        <v>2023-03-009S</v>
      </c>
      <c r="K200" s="46" t="str">
        <f ca="1">IFERROR(__xludf.DUMMYFUNCTION("""COMPUTED_VALUE"""),"WALTER GEALAN")</f>
        <v>WALTER GEALAN</v>
      </c>
      <c r="L200" s="46" t="str">
        <f ca="1">IFERROR(__xludf.DUMMYFUNCTION("""COMPUTED_VALUE"""),"BLTI")</f>
        <v>BLTI</v>
      </c>
      <c r="M200" s="46" t="str">
        <f ca="1">IFERROR(__xludf.DUMMYFUNCTION("""COMPUTED_VALUE"""),"SERVICEABLE")</f>
        <v>SERVICEABLE</v>
      </c>
      <c r="N200" s="46"/>
    </row>
    <row r="201" spans="1:14" ht="14.4">
      <c r="A201" s="139" t="str">
        <f ca="1">IFERROR(__xludf.DUMMYFUNCTION("""COMPUTED_VALUE"""),"DARCO")</f>
        <v>DARCO</v>
      </c>
      <c r="B201" s="139" t="str">
        <f ca="1">IFERROR(__xludf.DUMMYFUNCTION("""COMPUTED_VALUE"""),"CENTRAL OFFICE")</f>
        <v>CENTRAL OFFICE</v>
      </c>
      <c r="C201" s="139" t="str">
        <f ca="1">IFERROR(__xludf.DUMMYFUNCTION("""COMPUTED_VALUE"""),"HANDHELD GPS – MODEL P6")</f>
        <v>HANDHELD GPS – MODEL P6</v>
      </c>
      <c r="D201" s="142" t="str">
        <f ca="1">IFERROR(__xludf.DUMMYFUNCTION("""COMPUTED_VALUE"""),"₱ 79,000.00")</f>
        <v>₱ 79,000.00</v>
      </c>
      <c r="E201" s="139"/>
      <c r="F201" s="139" t="str">
        <f ca="1">IFERROR(__xludf.DUMMYFUNCTION("""COMPUTED_VALUE"""),"2023-05-14-10201SP46-01")</f>
        <v>2023-05-14-10201SP46-01</v>
      </c>
      <c r="G201" s="139" t="str">
        <f ca="1">IFERROR(__xludf.DUMMYFUNCTION("""COMPUTED_VALUE"""),"no plate available")</f>
        <v>no plate available</v>
      </c>
      <c r="H201" s="139" t="str">
        <f ca="1">IFERROR(__xludf.DUMMYFUNCTION("""COMPUTED_VALUE"""),"JACQUELINE D. DACASIN")</f>
        <v>JACQUELINE D. DACASIN</v>
      </c>
      <c r="I201" s="139" t="str">
        <f ca="1">IFERROR(__xludf.DUMMYFUNCTION("""COMPUTED_VALUE"""),"ENGR III")</f>
        <v>ENGR III</v>
      </c>
      <c r="J201" s="139" t="str">
        <f ca="1">IFERROR(__xludf.DUMMYFUNCTION("""COMPUTED_VALUE"""),"2023-03-010S")</f>
        <v>2023-03-010S</v>
      </c>
      <c r="K201" s="139" t="str">
        <f ca="1">IFERROR(__xludf.DUMMYFUNCTION("""COMPUTED_VALUE"""),"JACQUELINE D. DACASIN")</f>
        <v>JACQUELINE D. DACASIN</v>
      </c>
      <c r="L201" s="139" t="str">
        <f ca="1">IFERROR(__xludf.DUMMYFUNCTION("""COMPUTED_VALUE"""),"BLTI")</f>
        <v>BLTI</v>
      </c>
      <c r="M201" s="139" t="str">
        <f ca="1">IFERROR(__xludf.DUMMYFUNCTION("""COMPUTED_VALUE"""),"SERVICEABLE")</f>
        <v>SERVICEABLE</v>
      </c>
      <c r="N201" s="146"/>
    </row>
    <row r="202" spans="1:14" ht="14.4">
      <c r="A202" s="139" t="str">
        <f ca="1">IFERROR(__xludf.DUMMYFUNCTION("""COMPUTED_VALUE"""),"DARCO")</f>
        <v>DARCO</v>
      </c>
      <c r="B202" s="139" t="str">
        <f ca="1">IFERROR(__xludf.DUMMYFUNCTION("""COMPUTED_VALUE"""),"CENTRAL OFFICE")</f>
        <v>CENTRAL OFFICE</v>
      </c>
      <c r="C202" s="139" t="str">
        <f ca="1">IFERROR(__xludf.DUMMYFUNCTION("""COMPUTED_VALUE"""),"HANDHELD GPS – MODEL P6")</f>
        <v>HANDHELD GPS – MODEL P6</v>
      </c>
      <c r="D202" s="142" t="str">
        <f ca="1">IFERROR(__xludf.DUMMYFUNCTION("""COMPUTED_VALUE"""),"₱ 79,000.00")</f>
        <v>₱ 79,000.00</v>
      </c>
      <c r="E202" s="139"/>
      <c r="F202" s="139" t="str">
        <f ca="1">IFERROR(__xludf.DUMMYFUNCTION("""COMPUTED_VALUE"""),"2023-05-14-10201SP47-01")</f>
        <v>2023-05-14-10201SP47-01</v>
      </c>
      <c r="G202" s="139" t="str">
        <f ca="1">IFERROR(__xludf.DUMMYFUNCTION("""COMPUTED_VALUE"""),"no plate available")</f>
        <v>no plate available</v>
      </c>
      <c r="H202" s="139" t="str">
        <f ca="1">IFERROR(__xludf.DUMMYFUNCTION("""COMPUTED_VALUE"""),"ENGR NEL P LUMAUAN")</f>
        <v>ENGR NEL P LUMAUAN</v>
      </c>
      <c r="I202" s="139" t="str">
        <f ca="1">IFERROR(__xludf.DUMMYFUNCTION("""COMPUTED_VALUE"""),"OIC DIRECTOR III")</f>
        <v>OIC DIRECTOR III</v>
      </c>
      <c r="J202" s="139" t="str">
        <f ca="1">IFERROR(__xludf.DUMMYFUNCTION("""COMPUTED_VALUE"""),"N/A")</f>
        <v>N/A</v>
      </c>
      <c r="K202" s="139" t="str">
        <f ca="1">IFERROR(__xludf.DUMMYFUNCTION("""COMPUTED_VALUE"""),"ENGR NEL P LUMAUAN")</f>
        <v>ENGR NEL P LUMAUAN</v>
      </c>
      <c r="L202" s="139" t="str">
        <f ca="1">IFERROR(__xludf.DUMMYFUNCTION("""COMPUTED_VALUE"""),"BLTI")</f>
        <v>BLTI</v>
      </c>
      <c r="M202" s="139" t="str">
        <f ca="1">IFERROR(__xludf.DUMMYFUNCTION("""COMPUTED_VALUE"""),"SERVICEABLE")</f>
        <v>SERVICEABLE</v>
      </c>
      <c r="N202" s="146"/>
    </row>
    <row r="203" spans="1:14" ht="14.4">
      <c r="A203" s="139" t="str">
        <f ca="1">IFERROR(__xludf.DUMMYFUNCTION("""COMPUTED_VALUE"""),"DARCO")</f>
        <v>DARCO</v>
      </c>
      <c r="B203" s="139" t="str">
        <f ca="1">IFERROR(__xludf.DUMMYFUNCTION("""COMPUTED_VALUE"""),"CENTRAL OFFICE")</f>
        <v>CENTRAL OFFICE</v>
      </c>
      <c r="C203" s="139" t="str">
        <f ca="1">IFERROR(__xludf.DUMMYFUNCTION("""COMPUTED_VALUE"""),"HANDHELD GPS – MODEL P6")</f>
        <v>HANDHELD GPS – MODEL P6</v>
      </c>
      <c r="D203" s="142" t="str">
        <f ca="1">IFERROR(__xludf.DUMMYFUNCTION("""COMPUTED_VALUE"""),"₱ 79,000.00")</f>
        <v>₱ 79,000.00</v>
      </c>
      <c r="E203" s="139"/>
      <c r="F203" s="139" t="str">
        <f ca="1">IFERROR(__xludf.DUMMYFUNCTION("""COMPUTED_VALUE"""),"2023-05-14-10201SP93-01")</f>
        <v>2023-05-14-10201SP93-01</v>
      </c>
      <c r="G203" s="139" t="str">
        <f ca="1">IFERROR(__xludf.DUMMYFUNCTION("""COMPUTED_VALUE"""),"no plate available")</f>
        <v>no plate available</v>
      </c>
      <c r="H203" s="139" t="str">
        <f ca="1">IFERROR(__xludf.DUMMYFUNCTION("""COMPUTED_VALUE"""),"ENGR NEL P LUMAUAN")</f>
        <v>ENGR NEL P LUMAUAN</v>
      </c>
      <c r="I203" s="139" t="str">
        <f ca="1">IFERROR(__xludf.DUMMYFUNCTION("""COMPUTED_VALUE"""),"OIC DIRECTOR III")</f>
        <v>OIC DIRECTOR III</v>
      </c>
      <c r="J203" s="139" t="str">
        <f ca="1">IFERROR(__xludf.DUMMYFUNCTION("""COMPUTED_VALUE"""),"N/A")</f>
        <v>N/A</v>
      </c>
      <c r="K203" s="139" t="str">
        <f ca="1">IFERROR(__xludf.DUMMYFUNCTION("""COMPUTED_VALUE"""),"ENGR NEL P LUMAUAN")</f>
        <v>ENGR NEL P LUMAUAN</v>
      </c>
      <c r="L203" s="139" t="str">
        <f ca="1">IFERROR(__xludf.DUMMYFUNCTION("""COMPUTED_VALUE"""),"BLTI")</f>
        <v>BLTI</v>
      </c>
      <c r="M203" s="139" t="str">
        <f ca="1">IFERROR(__xludf.DUMMYFUNCTION("""COMPUTED_VALUE"""),"SERVICEABLE")</f>
        <v>SERVICEABLE</v>
      </c>
      <c r="N203" s="146"/>
    </row>
    <row r="204" spans="1:14" ht="14.4">
      <c r="A204" s="139" t="str">
        <f ca="1">IFERROR(__xludf.DUMMYFUNCTION("""COMPUTED_VALUE"""),"DARCO")</f>
        <v>DARCO</v>
      </c>
      <c r="B204" s="139" t="str">
        <f ca="1">IFERROR(__xludf.DUMMYFUNCTION("""COMPUTED_VALUE"""),"CENTRAL OFFICE")</f>
        <v>CENTRAL OFFICE</v>
      </c>
      <c r="C204" s="139" t="str">
        <f ca="1">IFERROR(__xludf.DUMMYFUNCTION("""COMPUTED_VALUE"""),"HANDHELD GPS – MODEL P6")</f>
        <v>HANDHELD GPS – MODEL P6</v>
      </c>
      <c r="D204" s="142" t="str">
        <f ca="1">IFERROR(__xludf.DUMMYFUNCTION("""COMPUTED_VALUE"""),"₱ 79,000.00")</f>
        <v>₱ 79,000.00</v>
      </c>
      <c r="E204" s="139"/>
      <c r="F204" s="139" t="str">
        <f ca="1">IFERROR(__xludf.DUMMYFUNCTION("""COMPUTED_VALUE"""),"2023-05-14-10201SP94-01")</f>
        <v>2023-05-14-10201SP94-01</v>
      </c>
      <c r="G204" s="139" t="str">
        <f ca="1">IFERROR(__xludf.DUMMYFUNCTION("""COMPUTED_VALUE"""),"no plate available")</f>
        <v>no plate available</v>
      </c>
      <c r="H204" s="139" t="str">
        <f ca="1">IFERROR(__xludf.DUMMYFUNCTION("""COMPUTED_VALUE"""),"ENGR NEL P LUMAUAN")</f>
        <v>ENGR NEL P LUMAUAN</v>
      </c>
      <c r="I204" s="139" t="str">
        <f ca="1">IFERROR(__xludf.DUMMYFUNCTION("""COMPUTED_VALUE"""),"OIC DIRECTOR III")</f>
        <v>OIC DIRECTOR III</v>
      </c>
      <c r="J204" s="139" t="str">
        <f ca="1">IFERROR(__xludf.DUMMYFUNCTION("""COMPUTED_VALUE"""),"N/A")</f>
        <v>N/A</v>
      </c>
      <c r="K204" s="139" t="str">
        <f ca="1">IFERROR(__xludf.DUMMYFUNCTION("""COMPUTED_VALUE"""),"ENGR NEL P LUMAUAN")</f>
        <v>ENGR NEL P LUMAUAN</v>
      </c>
      <c r="L204" s="139" t="str">
        <f ca="1">IFERROR(__xludf.DUMMYFUNCTION("""COMPUTED_VALUE"""),"BLTI")</f>
        <v>BLTI</v>
      </c>
      <c r="M204" s="139" t="str">
        <f ca="1">IFERROR(__xludf.DUMMYFUNCTION("""COMPUTED_VALUE"""),"SERVICEABLE")</f>
        <v>SERVICEABLE</v>
      </c>
      <c r="N204" s="146"/>
    </row>
    <row r="205" spans="1:14" ht="14.4">
      <c r="A205" s="139" t="str">
        <f ca="1">IFERROR(__xludf.DUMMYFUNCTION("""COMPUTED_VALUE"""),"DARCO")</f>
        <v>DARCO</v>
      </c>
      <c r="B205" s="139" t="str">
        <f ca="1">IFERROR(__xludf.DUMMYFUNCTION("""COMPUTED_VALUE"""),"CENTRAL OFFICE")</f>
        <v>CENTRAL OFFICE</v>
      </c>
      <c r="C205" s="139" t="str">
        <f ca="1">IFERROR(__xludf.DUMMYFUNCTION("""COMPUTED_VALUE"""),"HANDHELD GPS – MODEL P6")</f>
        <v>HANDHELD GPS – MODEL P6</v>
      </c>
      <c r="D205" s="142" t="str">
        <f ca="1">IFERROR(__xludf.DUMMYFUNCTION("""COMPUTED_VALUE"""),"₱ 79,000.00")</f>
        <v>₱ 79,000.00</v>
      </c>
      <c r="E205" s="139"/>
      <c r="F205" s="139" t="str">
        <f ca="1">IFERROR(__xludf.DUMMYFUNCTION("""COMPUTED_VALUE"""),"2023-05-14-10201SP95-01")</f>
        <v>2023-05-14-10201SP95-01</v>
      </c>
      <c r="G205" s="139" t="str">
        <f ca="1">IFERROR(__xludf.DUMMYFUNCTION("""COMPUTED_VALUE"""),"no plate available")</f>
        <v>no plate available</v>
      </c>
      <c r="H205" s="139" t="str">
        <f ca="1">IFERROR(__xludf.DUMMYFUNCTION("""COMPUTED_VALUE"""),"ENGR NEL P LUMAUAN")</f>
        <v>ENGR NEL P LUMAUAN</v>
      </c>
      <c r="I205" s="139" t="str">
        <f ca="1">IFERROR(__xludf.DUMMYFUNCTION("""COMPUTED_VALUE"""),"OIC DIRECTOR III")</f>
        <v>OIC DIRECTOR III</v>
      </c>
      <c r="J205" s="139" t="str">
        <f ca="1">IFERROR(__xludf.DUMMYFUNCTION("""COMPUTED_VALUE"""),"N/A")</f>
        <v>N/A</v>
      </c>
      <c r="K205" s="139" t="str">
        <f ca="1">IFERROR(__xludf.DUMMYFUNCTION("""COMPUTED_VALUE"""),"ENGR NEL P LUMAUAN")</f>
        <v>ENGR NEL P LUMAUAN</v>
      </c>
      <c r="L205" s="139" t="str">
        <f ca="1">IFERROR(__xludf.DUMMYFUNCTION("""COMPUTED_VALUE"""),"BLTI")</f>
        <v>BLTI</v>
      </c>
      <c r="M205" s="139" t="str">
        <f ca="1">IFERROR(__xludf.DUMMYFUNCTION("""COMPUTED_VALUE"""),"SERVICEABLE")</f>
        <v>SERVICEABLE</v>
      </c>
      <c r="N205" s="146"/>
    </row>
    <row r="206" spans="1:14" ht="14.4">
      <c r="A206" s="139" t="str">
        <f ca="1">IFERROR(__xludf.DUMMYFUNCTION("""COMPUTED_VALUE"""),"DARCO")</f>
        <v>DARCO</v>
      </c>
      <c r="B206" s="139" t="str">
        <f ca="1">IFERROR(__xludf.DUMMYFUNCTION("""COMPUTED_VALUE"""),"CENTRAL OFFICE")</f>
        <v>CENTRAL OFFICE</v>
      </c>
      <c r="C206" s="139" t="str">
        <f ca="1">IFERROR(__xludf.DUMMYFUNCTION("""COMPUTED_VALUE"""),"HANDHELD GPS – MODEL P6")</f>
        <v>HANDHELD GPS – MODEL P6</v>
      </c>
      <c r="D206" s="142" t="str">
        <f ca="1">IFERROR(__xludf.DUMMYFUNCTION("""COMPUTED_VALUE"""),"₱ 79,000.00")</f>
        <v>₱ 79,000.00</v>
      </c>
      <c r="E206" s="139"/>
      <c r="F206" s="139" t="str">
        <f ca="1">IFERROR(__xludf.DUMMYFUNCTION("""COMPUTED_VALUE"""),"2023-05-14-10201SP96-01")</f>
        <v>2023-05-14-10201SP96-01</v>
      </c>
      <c r="G206" s="139" t="str">
        <f ca="1">IFERROR(__xludf.DUMMYFUNCTION("""COMPUTED_VALUE"""),"no plate available")</f>
        <v>no plate available</v>
      </c>
      <c r="H206" s="139" t="str">
        <f ca="1">IFERROR(__xludf.DUMMYFUNCTION("""COMPUTED_VALUE"""),"ENGR NEL P LUMAUAN")</f>
        <v>ENGR NEL P LUMAUAN</v>
      </c>
      <c r="I206" s="139" t="str">
        <f ca="1">IFERROR(__xludf.DUMMYFUNCTION("""COMPUTED_VALUE"""),"OIC DIRECTOR III")</f>
        <v>OIC DIRECTOR III</v>
      </c>
      <c r="J206" s="139" t="str">
        <f ca="1">IFERROR(__xludf.DUMMYFUNCTION("""COMPUTED_VALUE"""),"N/A")</f>
        <v>N/A</v>
      </c>
      <c r="K206" s="139" t="str">
        <f ca="1">IFERROR(__xludf.DUMMYFUNCTION("""COMPUTED_VALUE"""),"ENGR NEL P LUMAUAN")</f>
        <v>ENGR NEL P LUMAUAN</v>
      </c>
      <c r="L206" s="139" t="str">
        <f ca="1">IFERROR(__xludf.DUMMYFUNCTION("""COMPUTED_VALUE"""),"BLTI")</f>
        <v>BLTI</v>
      </c>
      <c r="M206" s="139" t="str">
        <f ca="1">IFERROR(__xludf.DUMMYFUNCTION("""COMPUTED_VALUE"""),"SERVICEABLE")</f>
        <v>SERVICEABLE</v>
      </c>
      <c r="N206" s="146"/>
    </row>
    <row r="207" spans="1:14" ht="14.4">
      <c r="A207" s="139" t="str">
        <f ca="1">IFERROR(__xludf.DUMMYFUNCTION("""COMPUTED_VALUE"""),"DARCO")</f>
        <v>DARCO</v>
      </c>
      <c r="B207" s="139" t="str">
        <f ca="1">IFERROR(__xludf.DUMMYFUNCTION("""COMPUTED_VALUE"""),"CENTRAL OFFICE")</f>
        <v>CENTRAL OFFICE</v>
      </c>
      <c r="C207" s="139" t="str">
        <f ca="1">IFERROR(__xludf.DUMMYFUNCTION("""COMPUTED_VALUE"""),"HANDHELD GPS – MODEL P6")</f>
        <v>HANDHELD GPS – MODEL P6</v>
      </c>
      <c r="D207" s="142" t="str">
        <f ca="1">IFERROR(__xludf.DUMMYFUNCTION("""COMPUTED_VALUE"""),"₱ 79,000.00")</f>
        <v>₱ 79,000.00</v>
      </c>
      <c r="E207" s="139"/>
      <c r="F207" s="139" t="str">
        <f ca="1">IFERROR(__xludf.DUMMYFUNCTION("""COMPUTED_VALUE"""),"2023-05-14-10201SP97-01")</f>
        <v>2023-05-14-10201SP97-01</v>
      </c>
      <c r="G207" s="139" t="str">
        <f ca="1">IFERROR(__xludf.DUMMYFUNCTION("""COMPUTED_VALUE"""),"no plate available")</f>
        <v>no plate available</v>
      </c>
      <c r="H207" s="139" t="str">
        <f ca="1">IFERROR(__xludf.DUMMYFUNCTION("""COMPUTED_VALUE"""),"ENGR NEL P LUMAUAN")</f>
        <v>ENGR NEL P LUMAUAN</v>
      </c>
      <c r="I207" s="139" t="str">
        <f ca="1">IFERROR(__xludf.DUMMYFUNCTION("""COMPUTED_VALUE"""),"OIC DIRECTOR III")</f>
        <v>OIC DIRECTOR III</v>
      </c>
      <c r="J207" s="139" t="str">
        <f ca="1">IFERROR(__xludf.DUMMYFUNCTION("""COMPUTED_VALUE"""),"N/A")</f>
        <v>N/A</v>
      </c>
      <c r="K207" s="139" t="str">
        <f ca="1">IFERROR(__xludf.DUMMYFUNCTION("""COMPUTED_VALUE"""),"ENGR NEL P LUMAUAN")</f>
        <v>ENGR NEL P LUMAUAN</v>
      </c>
      <c r="L207" s="139" t="str">
        <f ca="1">IFERROR(__xludf.DUMMYFUNCTION("""COMPUTED_VALUE"""),"BLTI")</f>
        <v>BLTI</v>
      </c>
      <c r="M207" s="139" t="str">
        <f ca="1">IFERROR(__xludf.DUMMYFUNCTION("""COMPUTED_VALUE"""),"SERVICEABLE")</f>
        <v>SERVICEABLE</v>
      </c>
      <c r="N207" s="146"/>
    </row>
    <row r="208" spans="1:14" ht="14.4">
      <c r="A208" s="139" t="str">
        <f ca="1">IFERROR(__xludf.DUMMYFUNCTION("""COMPUTED_VALUE"""),"DARCO")</f>
        <v>DARCO</v>
      </c>
      <c r="B208" s="139" t="str">
        <f ca="1">IFERROR(__xludf.DUMMYFUNCTION("""COMPUTED_VALUE"""),"CENTRAL OFFICE")</f>
        <v>CENTRAL OFFICE</v>
      </c>
      <c r="C208" s="139" t="str">
        <f ca="1">IFERROR(__xludf.DUMMYFUNCTION("""COMPUTED_VALUE"""),"HANDHELD GPS – MODEL P6")</f>
        <v>HANDHELD GPS – MODEL P6</v>
      </c>
      <c r="D208" s="142" t="str">
        <f ca="1">IFERROR(__xludf.DUMMYFUNCTION("""COMPUTED_VALUE"""),"₱ 79,000.00")</f>
        <v>₱ 79,000.00</v>
      </c>
      <c r="E208" s="139"/>
      <c r="F208" s="139" t="str">
        <f ca="1">IFERROR(__xludf.DUMMYFUNCTION("""COMPUTED_VALUE"""),"2023-05-14-10201SP98-01")</f>
        <v>2023-05-14-10201SP98-01</v>
      </c>
      <c r="G208" s="139" t="str">
        <f ca="1">IFERROR(__xludf.DUMMYFUNCTION("""COMPUTED_VALUE"""),"no plate available")</f>
        <v>no plate available</v>
      </c>
      <c r="H208" s="139" t="str">
        <f ca="1">IFERROR(__xludf.DUMMYFUNCTION("""COMPUTED_VALUE"""),"ENGR NEL P LUMAUAN")</f>
        <v>ENGR NEL P LUMAUAN</v>
      </c>
      <c r="I208" s="139" t="str">
        <f ca="1">IFERROR(__xludf.DUMMYFUNCTION("""COMPUTED_VALUE"""),"OIC DIRECTOR III")</f>
        <v>OIC DIRECTOR III</v>
      </c>
      <c r="J208" s="139" t="str">
        <f ca="1">IFERROR(__xludf.DUMMYFUNCTION("""COMPUTED_VALUE"""),"N/A")</f>
        <v>N/A</v>
      </c>
      <c r="K208" s="139" t="str">
        <f ca="1">IFERROR(__xludf.DUMMYFUNCTION("""COMPUTED_VALUE"""),"ENGR NEL P LUMAUAN")</f>
        <v>ENGR NEL P LUMAUAN</v>
      </c>
      <c r="L208" s="139" t="str">
        <f ca="1">IFERROR(__xludf.DUMMYFUNCTION("""COMPUTED_VALUE"""),"BLTI")</f>
        <v>BLTI</v>
      </c>
      <c r="M208" s="139" t="str">
        <f ca="1">IFERROR(__xludf.DUMMYFUNCTION("""COMPUTED_VALUE"""),"SERVICEABLE")</f>
        <v>SERVICEABLE</v>
      </c>
      <c r="N208" s="146"/>
    </row>
    <row r="209" spans="1:14" ht="14.4">
      <c r="A209" s="139" t="str">
        <f ca="1">IFERROR(__xludf.DUMMYFUNCTION("""COMPUTED_VALUE"""),"DARCO")</f>
        <v>DARCO</v>
      </c>
      <c r="B209" s="139" t="str">
        <f ca="1">IFERROR(__xludf.DUMMYFUNCTION("""COMPUTED_VALUE"""),"CENTRAL OFFICE")</f>
        <v>CENTRAL OFFICE</v>
      </c>
      <c r="C209" s="139" t="str">
        <f ca="1">IFERROR(__xludf.DUMMYFUNCTION("""COMPUTED_VALUE"""),"HANDHELD GPS – MODEL P6")</f>
        <v>HANDHELD GPS – MODEL P6</v>
      </c>
      <c r="D209" s="142" t="str">
        <f ca="1">IFERROR(__xludf.DUMMYFUNCTION("""COMPUTED_VALUE"""),"₱ 79,000.00")</f>
        <v>₱ 79,000.00</v>
      </c>
      <c r="E209" s="139"/>
      <c r="F209" s="139" t="str">
        <f ca="1">IFERROR(__xludf.DUMMYFUNCTION("""COMPUTED_VALUE"""),"2023-05-14-10201SP99-01")</f>
        <v>2023-05-14-10201SP99-01</v>
      </c>
      <c r="G209" s="139" t="str">
        <f ca="1">IFERROR(__xludf.DUMMYFUNCTION("""COMPUTED_VALUE"""),"no plate available")</f>
        <v>no plate available</v>
      </c>
      <c r="H209" s="139" t="str">
        <f ca="1">IFERROR(__xludf.DUMMYFUNCTION("""COMPUTED_VALUE"""),"ENGR NEL P LUMAUAN")</f>
        <v>ENGR NEL P LUMAUAN</v>
      </c>
      <c r="I209" s="139" t="str">
        <f ca="1">IFERROR(__xludf.DUMMYFUNCTION("""COMPUTED_VALUE"""),"OIC DIRECTOR III")</f>
        <v>OIC DIRECTOR III</v>
      </c>
      <c r="J209" s="139" t="str">
        <f ca="1">IFERROR(__xludf.DUMMYFUNCTION("""COMPUTED_VALUE"""),"N/A")</f>
        <v>N/A</v>
      </c>
      <c r="K209" s="139" t="str">
        <f ca="1">IFERROR(__xludf.DUMMYFUNCTION("""COMPUTED_VALUE"""),"ENGR NEL P LUMAUAN")</f>
        <v>ENGR NEL P LUMAUAN</v>
      </c>
      <c r="L209" s="139" t="str">
        <f ca="1">IFERROR(__xludf.DUMMYFUNCTION("""COMPUTED_VALUE"""),"BLTI")</f>
        <v>BLTI</v>
      </c>
      <c r="M209" s="139" t="str">
        <f ca="1">IFERROR(__xludf.DUMMYFUNCTION("""COMPUTED_VALUE"""),"SERVICEABLE")</f>
        <v>SERVICEABLE</v>
      </c>
      <c r="N209" s="146"/>
    </row>
    <row r="210" spans="1:14" ht="14.4">
      <c r="A210" s="139" t="str">
        <f ca="1">IFERROR(__xludf.DUMMYFUNCTION("""COMPUTED_VALUE"""),"DARCO")</f>
        <v>DARCO</v>
      </c>
      <c r="B210" s="139" t="str">
        <f ca="1">IFERROR(__xludf.DUMMYFUNCTION("""COMPUTED_VALUE"""),"CENTRAL OFFICE")</f>
        <v>CENTRAL OFFICE</v>
      </c>
      <c r="C210" s="139" t="str">
        <f ca="1">IFERROR(__xludf.DUMMYFUNCTION("""COMPUTED_VALUE"""),"HANDHELD GPS – MODEL P6")</f>
        <v>HANDHELD GPS – MODEL P6</v>
      </c>
      <c r="D210" s="142" t="str">
        <f ca="1">IFERROR(__xludf.DUMMYFUNCTION("""COMPUTED_VALUE"""),"₱ 79,000.00")</f>
        <v>₱ 79,000.00</v>
      </c>
      <c r="E210" s="139"/>
      <c r="F210" s="139" t="str">
        <f ca="1">IFERROR(__xludf.DUMMYFUNCTION("""COMPUTED_VALUE"""),"2023-05-14-10201SP100-01")</f>
        <v>2023-05-14-10201SP100-01</v>
      </c>
      <c r="G210" s="139" t="str">
        <f ca="1">IFERROR(__xludf.DUMMYFUNCTION("""COMPUTED_VALUE"""),"no plate available")</f>
        <v>no plate available</v>
      </c>
      <c r="H210" s="139" t="str">
        <f ca="1">IFERROR(__xludf.DUMMYFUNCTION("""COMPUTED_VALUE"""),"ENGR NEL P LUMAUAN")</f>
        <v>ENGR NEL P LUMAUAN</v>
      </c>
      <c r="I210" s="139" t="str">
        <f ca="1">IFERROR(__xludf.DUMMYFUNCTION("""COMPUTED_VALUE"""),"OIC DIRECTOR III")</f>
        <v>OIC DIRECTOR III</v>
      </c>
      <c r="J210" s="139" t="str">
        <f ca="1">IFERROR(__xludf.DUMMYFUNCTION("""COMPUTED_VALUE"""),"N/A")</f>
        <v>N/A</v>
      </c>
      <c r="K210" s="139" t="str">
        <f ca="1">IFERROR(__xludf.DUMMYFUNCTION("""COMPUTED_VALUE"""),"ENGR NEL P LUMAUAN")</f>
        <v>ENGR NEL P LUMAUAN</v>
      </c>
      <c r="L210" s="139" t="str">
        <f ca="1">IFERROR(__xludf.DUMMYFUNCTION("""COMPUTED_VALUE"""),"BLTI")</f>
        <v>BLTI</v>
      </c>
      <c r="M210" s="139" t="str">
        <f ca="1">IFERROR(__xludf.DUMMYFUNCTION("""COMPUTED_VALUE"""),"SERVICEABLE")</f>
        <v>SERVICEABLE</v>
      </c>
      <c r="N210" s="146"/>
    </row>
    <row r="211" spans="1:14" ht="14.4">
      <c r="A211" s="139" t="str">
        <f ca="1">IFERROR(__xludf.DUMMYFUNCTION("""COMPUTED_VALUE"""),"DARCO")</f>
        <v>DARCO</v>
      </c>
      <c r="B211" s="139" t="str">
        <f ca="1">IFERROR(__xludf.DUMMYFUNCTION("""COMPUTED_VALUE"""),"CENTRAL OFFICE")</f>
        <v>CENTRAL OFFICE</v>
      </c>
      <c r="C211" s="139" t="str">
        <f ca="1">IFERROR(__xludf.DUMMYFUNCTION("""COMPUTED_VALUE"""),"HANDHELD GPS – MODEL P6")</f>
        <v>HANDHELD GPS – MODEL P6</v>
      </c>
      <c r="D211" s="142" t="str">
        <f ca="1">IFERROR(__xludf.DUMMYFUNCTION("""COMPUTED_VALUE"""),"₱ 79,000.00")</f>
        <v>₱ 79,000.00</v>
      </c>
      <c r="E211" s="139"/>
      <c r="F211" s="139" t="str">
        <f ca="1">IFERROR(__xludf.DUMMYFUNCTION("""COMPUTED_VALUE"""),"2023-05-14-10201SP101-01")</f>
        <v>2023-05-14-10201SP101-01</v>
      </c>
      <c r="G211" s="139" t="str">
        <f ca="1">IFERROR(__xludf.DUMMYFUNCTION("""COMPUTED_VALUE"""),"no plate available")</f>
        <v>no plate available</v>
      </c>
      <c r="H211" s="139" t="str">
        <f ca="1">IFERROR(__xludf.DUMMYFUNCTION("""COMPUTED_VALUE"""),"ENGR NEL P LUMAUAN")</f>
        <v>ENGR NEL P LUMAUAN</v>
      </c>
      <c r="I211" s="139" t="str">
        <f ca="1">IFERROR(__xludf.DUMMYFUNCTION("""COMPUTED_VALUE"""),"OIC DIRECTOR III")</f>
        <v>OIC DIRECTOR III</v>
      </c>
      <c r="J211" s="139" t="str">
        <f ca="1">IFERROR(__xludf.DUMMYFUNCTION("""COMPUTED_VALUE"""),"N/A")</f>
        <v>N/A</v>
      </c>
      <c r="K211" s="139" t="str">
        <f ca="1">IFERROR(__xludf.DUMMYFUNCTION("""COMPUTED_VALUE"""),"ENGR NEL P LUMAUAN")</f>
        <v>ENGR NEL P LUMAUAN</v>
      </c>
      <c r="L211" s="139" t="str">
        <f ca="1">IFERROR(__xludf.DUMMYFUNCTION("""COMPUTED_VALUE"""),"BLTI")</f>
        <v>BLTI</v>
      </c>
      <c r="M211" s="139" t="str">
        <f ca="1">IFERROR(__xludf.DUMMYFUNCTION("""COMPUTED_VALUE"""),"SERVICEABLE")</f>
        <v>SERVICEABLE</v>
      </c>
      <c r="N211" s="146"/>
    </row>
    <row r="212" spans="1:14" ht="14.4">
      <c r="A212" s="139" t="str">
        <f ca="1">IFERROR(__xludf.DUMMYFUNCTION("""COMPUTED_VALUE"""),"DARCO")</f>
        <v>DARCO</v>
      </c>
      <c r="B212" s="139" t="str">
        <f ca="1">IFERROR(__xludf.DUMMYFUNCTION("""COMPUTED_VALUE"""),"CENTRAL OFFICE")</f>
        <v>CENTRAL OFFICE</v>
      </c>
      <c r="C212" s="139" t="str">
        <f ca="1">IFERROR(__xludf.DUMMYFUNCTION("""COMPUTED_VALUE"""),"HANDHELD GPS – MODEL P6")</f>
        <v>HANDHELD GPS – MODEL P6</v>
      </c>
      <c r="D212" s="142" t="str">
        <f ca="1">IFERROR(__xludf.DUMMYFUNCTION("""COMPUTED_VALUE"""),"₱ 79,000.00")</f>
        <v>₱ 79,000.00</v>
      </c>
      <c r="E212" s="139"/>
      <c r="F212" s="139" t="str">
        <f ca="1">IFERROR(__xludf.DUMMYFUNCTION("""COMPUTED_VALUE"""),"2023-05-14-10201SP102-01")</f>
        <v>2023-05-14-10201SP102-01</v>
      </c>
      <c r="G212" s="139" t="str">
        <f ca="1">IFERROR(__xludf.DUMMYFUNCTION("""COMPUTED_VALUE"""),"no plate available")</f>
        <v>no plate available</v>
      </c>
      <c r="H212" s="139" t="str">
        <f ca="1">IFERROR(__xludf.DUMMYFUNCTION("""COMPUTED_VALUE"""),"ENGR NEL P LUMAUAN")</f>
        <v>ENGR NEL P LUMAUAN</v>
      </c>
      <c r="I212" s="139" t="str">
        <f ca="1">IFERROR(__xludf.DUMMYFUNCTION("""COMPUTED_VALUE"""),"OIC DIRECTOR III")</f>
        <v>OIC DIRECTOR III</v>
      </c>
      <c r="J212" s="139" t="str">
        <f ca="1">IFERROR(__xludf.DUMMYFUNCTION("""COMPUTED_VALUE"""),"N/A")</f>
        <v>N/A</v>
      </c>
      <c r="K212" s="139" t="str">
        <f ca="1">IFERROR(__xludf.DUMMYFUNCTION("""COMPUTED_VALUE"""),"ENGR NEL P LUMAUAN")</f>
        <v>ENGR NEL P LUMAUAN</v>
      </c>
      <c r="L212" s="139" t="str">
        <f ca="1">IFERROR(__xludf.DUMMYFUNCTION("""COMPUTED_VALUE"""),"BLTI")</f>
        <v>BLTI</v>
      </c>
      <c r="M212" s="139" t="str">
        <f ca="1">IFERROR(__xludf.DUMMYFUNCTION("""COMPUTED_VALUE"""),"SERVICEABLE")</f>
        <v>SERVICEABLE</v>
      </c>
      <c r="N212" s="146"/>
    </row>
    <row r="213" spans="1:14" ht="14.4">
      <c r="A213" s="139" t="str">
        <f ca="1">IFERROR(__xludf.DUMMYFUNCTION("""COMPUTED_VALUE"""),"DARCO")</f>
        <v>DARCO</v>
      </c>
      <c r="B213" s="139" t="str">
        <f ca="1">IFERROR(__xludf.DUMMYFUNCTION("""COMPUTED_VALUE"""),"CENTRAL OFFICE")</f>
        <v>CENTRAL OFFICE</v>
      </c>
      <c r="C213" s="139" t="str">
        <f ca="1">IFERROR(__xludf.DUMMYFUNCTION("""COMPUTED_VALUE"""),"HANDHELD GPS – MODEL P6")</f>
        <v>HANDHELD GPS – MODEL P6</v>
      </c>
      <c r="D213" s="142" t="str">
        <f ca="1">IFERROR(__xludf.DUMMYFUNCTION("""COMPUTED_VALUE"""),"₱ 79,000.00")</f>
        <v>₱ 79,000.00</v>
      </c>
      <c r="E213" s="139"/>
      <c r="F213" s="139" t="str">
        <f ca="1">IFERROR(__xludf.DUMMYFUNCTION("""COMPUTED_VALUE"""),"2023-05-14-10201SP103-01")</f>
        <v>2023-05-14-10201SP103-01</v>
      </c>
      <c r="G213" s="139" t="str">
        <f ca="1">IFERROR(__xludf.DUMMYFUNCTION("""COMPUTED_VALUE"""),"no plate available")</f>
        <v>no plate available</v>
      </c>
      <c r="H213" s="139" t="str">
        <f ca="1">IFERROR(__xludf.DUMMYFUNCTION("""COMPUTED_VALUE"""),"ENGR NEL P LUMAUAN")</f>
        <v>ENGR NEL P LUMAUAN</v>
      </c>
      <c r="I213" s="139" t="str">
        <f ca="1">IFERROR(__xludf.DUMMYFUNCTION("""COMPUTED_VALUE"""),"OIC DIRECTOR III")</f>
        <v>OIC DIRECTOR III</v>
      </c>
      <c r="J213" s="139" t="str">
        <f ca="1">IFERROR(__xludf.DUMMYFUNCTION("""COMPUTED_VALUE"""),"N/A")</f>
        <v>N/A</v>
      </c>
      <c r="K213" s="139" t="str">
        <f ca="1">IFERROR(__xludf.DUMMYFUNCTION("""COMPUTED_VALUE"""),"ENGR NEL P LUMAUAN")</f>
        <v>ENGR NEL P LUMAUAN</v>
      </c>
      <c r="L213" s="139" t="str">
        <f ca="1">IFERROR(__xludf.DUMMYFUNCTION("""COMPUTED_VALUE"""),"BLTI")</f>
        <v>BLTI</v>
      </c>
      <c r="M213" s="139" t="str">
        <f ca="1">IFERROR(__xludf.DUMMYFUNCTION("""COMPUTED_VALUE"""),"SERVICEABLE")</f>
        <v>SERVICEABLE</v>
      </c>
      <c r="N213" s="146"/>
    </row>
    <row r="214" spans="1:14" ht="14.4">
      <c r="A214" s="139" t="str">
        <f ca="1">IFERROR(__xludf.DUMMYFUNCTION("""COMPUTED_VALUE"""),"DARCO")</f>
        <v>DARCO</v>
      </c>
      <c r="B214" s="139" t="str">
        <f ca="1">IFERROR(__xludf.DUMMYFUNCTION("""COMPUTED_VALUE"""),"CENTRAL OFFICE")</f>
        <v>CENTRAL OFFICE</v>
      </c>
      <c r="C214" s="139" t="str">
        <f ca="1">IFERROR(__xludf.DUMMYFUNCTION("""COMPUTED_VALUE"""),"Photocopier Machine – Kyocera")</f>
        <v>Photocopier Machine – Kyocera</v>
      </c>
      <c r="D214" s="142"/>
      <c r="E214" s="139"/>
      <c r="F214" s="139" t="str">
        <f ca="1">IFERROR(__xludf.DUMMYFUNCTION("""COMPUTED_VALUE"""),"2022-05-02-10202SP01-01")</f>
        <v>2022-05-02-10202SP01-01</v>
      </c>
      <c r="G214" s="139"/>
      <c r="H214" s="139" t="str">
        <f ca="1">IFERROR(__xludf.DUMMYFUNCTION("""COMPUTED_VALUE"""),"CRISTY DAGDAG")</f>
        <v>CRISTY DAGDAG</v>
      </c>
      <c r="I214" s="139" t="str">
        <f ca="1">IFERROR(__xludf.DUMMYFUNCTION("""COMPUTED_VALUE"""),"CAO")</f>
        <v>CAO</v>
      </c>
      <c r="J214" s="139" t="str">
        <f ca="1">IFERROR(__xludf.DUMMYFUNCTION("""COMPUTED_VALUE"""),"2022-10-001SC")</f>
        <v>2022-10-001SC</v>
      </c>
      <c r="K214" s="139"/>
      <c r="L214" s="139" t="str">
        <f ca="1">IFERROR(__xludf.DUMMYFUNCTION("""COMPUTED_VALUE"""),"CPMO")</f>
        <v>CPMO</v>
      </c>
      <c r="M214" s="139" t="str">
        <f ca="1">IFERROR(__xludf.DUMMYFUNCTION("""COMPUTED_VALUE"""),"SERVICEABLE")</f>
        <v>SERVICEABLE</v>
      </c>
      <c r="N214" s="146"/>
    </row>
    <row r="215" spans="1:14" ht="14.4">
      <c r="A215" s="139" t="str">
        <f ca="1">IFERROR(__xludf.DUMMYFUNCTION("""COMPUTED_VALUE"""),"DARCO")</f>
        <v>DARCO</v>
      </c>
      <c r="B215" s="139" t="str">
        <f ca="1">IFERROR(__xludf.DUMMYFUNCTION("""COMPUTED_VALUE"""),"CENTRAL OFFICE")</f>
        <v>CENTRAL OFFICE</v>
      </c>
      <c r="C215" s="139" t="str">
        <f ca="1">IFERROR(__xludf.DUMMYFUNCTION("""COMPUTED_VALUE"""),"Photocopier Machine – Kyocera")</f>
        <v>Photocopier Machine – Kyocera</v>
      </c>
      <c r="D215" s="142"/>
      <c r="E215" s="139"/>
      <c r="F215" s="139" t="str">
        <f ca="1">IFERROR(__xludf.DUMMYFUNCTION("""COMPUTED_VALUE"""),"2022-05-02-10202SP02-01")</f>
        <v>2022-05-02-10202SP02-01</v>
      </c>
      <c r="G215" s="139"/>
      <c r="H215" s="139" t="str">
        <f ca="1">IFERROR(__xludf.DUMMYFUNCTION("""COMPUTED_VALUE"""),"MARJORIE AYSON")</f>
        <v>MARJORIE AYSON</v>
      </c>
      <c r="I215" s="139" t="str">
        <f ca="1">IFERROR(__xludf.DUMMYFUNCTION("""COMPUTED_VALUE"""),"ASEC")</f>
        <v>ASEC</v>
      </c>
      <c r="J215" s="139" t="str">
        <f ca="1">IFERROR(__xludf.DUMMYFUNCTION("""COMPUTED_VALUE"""),"2022-10-001SB")</f>
        <v>2022-10-001SB</v>
      </c>
      <c r="K215" s="139"/>
      <c r="L215" s="139" t="str">
        <f ca="1">IFERROR(__xludf.DUMMYFUNCTION("""COMPUTED_VALUE"""),"AFOO")</f>
        <v>AFOO</v>
      </c>
      <c r="M215" s="139" t="str">
        <f ca="1">IFERROR(__xludf.DUMMYFUNCTION("""COMPUTED_VALUE"""),"SERVICEABLE")</f>
        <v>SERVICEABLE</v>
      </c>
      <c r="N215" s="146"/>
    </row>
    <row r="216" spans="1:14" ht="14.4">
      <c r="A216" s="139" t="str">
        <f ca="1">IFERROR(__xludf.DUMMYFUNCTION("""COMPUTED_VALUE"""),"DARCO")</f>
        <v>DARCO</v>
      </c>
      <c r="B216" s="139" t="str">
        <f ca="1">IFERROR(__xludf.DUMMYFUNCTION("""COMPUTED_VALUE"""),"CENTRAL OFFICE")</f>
        <v>CENTRAL OFFICE</v>
      </c>
      <c r="C216" s="139" t="str">
        <f ca="1">IFERROR(__xludf.DUMMYFUNCTION("""COMPUTED_VALUE"""),"Photocopier Machine – Kyocera")</f>
        <v>Photocopier Machine – Kyocera</v>
      </c>
      <c r="D216" s="142"/>
      <c r="E216" s="139"/>
      <c r="F216" s="139" t="str">
        <f ca="1">IFERROR(__xludf.DUMMYFUNCTION("""COMPUTED_VALUE"""),"2022-05-02-10202SP03-01")</f>
        <v>2022-05-02-10202SP03-01</v>
      </c>
      <c r="G216" s="139"/>
      <c r="H216" s="139" t="str">
        <f ca="1">IFERROR(__xludf.DUMMYFUNCTION("""COMPUTED_VALUE"""),"CRISTY DAGDAG")</f>
        <v>CRISTY DAGDAG</v>
      </c>
      <c r="I216" s="139" t="str">
        <f ca="1">IFERROR(__xludf.DUMMYFUNCTION("""COMPUTED_VALUE"""),"CAO")</f>
        <v>CAO</v>
      </c>
      <c r="J216" s="139" t="str">
        <f ca="1">IFERROR(__xludf.DUMMYFUNCTION("""COMPUTED_VALUE"""),"2022-10-001SC")</f>
        <v>2022-10-001SC</v>
      </c>
      <c r="K216" s="139"/>
      <c r="L216" s="139" t="str">
        <f ca="1">IFERROR(__xludf.DUMMYFUNCTION("""COMPUTED_VALUE"""),"CPMO")</f>
        <v>CPMO</v>
      </c>
      <c r="M216" s="139" t="str">
        <f ca="1">IFERROR(__xludf.DUMMYFUNCTION("""COMPUTED_VALUE"""),"SERVICEABLE")</f>
        <v>SERVICEABLE</v>
      </c>
      <c r="N216" s="146"/>
    </row>
    <row r="217" spans="1:14" ht="14.4">
      <c r="A217" s="139" t="str">
        <f ca="1">IFERROR(__xludf.DUMMYFUNCTION("""COMPUTED_VALUE"""),"DARCO")</f>
        <v>DARCO</v>
      </c>
      <c r="B217" s="139" t="str">
        <f ca="1">IFERROR(__xludf.DUMMYFUNCTION("""COMPUTED_VALUE"""),"CENTRAL OFFICE")</f>
        <v>CENTRAL OFFICE</v>
      </c>
      <c r="C217" s="139" t="str">
        <f ca="1">IFERROR(__xludf.DUMMYFUNCTION("""COMPUTED_VALUE"""),"Photocopier Machine – Kyocera")</f>
        <v>Photocopier Machine – Kyocera</v>
      </c>
      <c r="D217" s="142"/>
      <c r="E217" s="139"/>
      <c r="F217" s="139" t="str">
        <f ca="1">IFERROR(__xludf.DUMMYFUNCTION("""COMPUTED_VALUE"""),"2022-05-02-10202SP04-01")</f>
        <v>2022-05-02-10202SP04-01</v>
      </c>
      <c r="G217" s="139"/>
      <c r="H217" s="139" t="str">
        <f ca="1">IFERROR(__xludf.DUMMYFUNCTION("""COMPUTED_VALUE"""),"ESTER KATIGBAK")</f>
        <v>ESTER KATIGBAK</v>
      </c>
      <c r="I217" s="139" t="str">
        <f ca="1">IFERROR(__xludf.DUMMYFUNCTION("""COMPUTED_VALUE"""),"CASHIER III")</f>
        <v>CASHIER III</v>
      </c>
      <c r="J217" s="139" t="str">
        <f ca="1">IFERROR(__xludf.DUMMYFUNCTION("""COMPUTED_VALUE"""),"2024-01-001")</f>
        <v>2024-01-001</v>
      </c>
      <c r="K217" s="139"/>
      <c r="L217" s="139" t="str">
        <f ca="1">IFERROR(__xludf.DUMMYFUNCTION("""COMPUTED_VALUE"""),"FASPO CASHIER")</f>
        <v>FASPO CASHIER</v>
      </c>
      <c r="M217" s="139" t="str">
        <f ca="1">IFERROR(__xludf.DUMMYFUNCTION("""COMPUTED_VALUE"""),"SERVICEABLE")</f>
        <v>SERVICEABLE</v>
      </c>
      <c r="N217" s="146"/>
    </row>
    <row r="218" spans="1:14" ht="14.4">
      <c r="A218" s="139" t="str">
        <f ca="1">IFERROR(__xludf.DUMMYFUNCTION("""COMPUTED_VALUE"""),"DARCO")</f>
        <v>DARCO</v>
      </c>
      <c r="B218" s="139" t="str">
        <f ca="1">IFERROR(__xludf.DUMMYFUNCTION("""COMPUTED_VALUE"""),"CENTRAL OFFICE")</f>
        <v>CENTRAL OFFICE</v>
      </c>
      <c r="C218" s="139" t="str">
        <f ca="1">IFERROR(__xludf.DUMMYFUNCTION("""COMPUTED_VALUE"""),"PLOTTER (3IN1)")</f>
        <v>PLOTTER (3IN1)</v>
      </c>
      <c r="D218" s="142"/>
      <c r="E218" s="139"/>
      <c r="F218" s="139" t="str">
        <f ca="1">IFERROR(__xludf.DUMMYFUNCTION("""COMPUTED_VALUE"""),"2024-05-14-10201SP01-01")</f>
        <v>2024-05-14-10201SP01-01</v>
      </c>
      <c r="G218" s="139"/>
      <c r="H218" s="139" t="str">
        <f ca="1">IFERROR(__xludf.DUMMYFUNCTION("""COMPUTED_VALUE"""),"NEIL LUMAUAN")</f>
        <v>NEIL LUMAUAN</v>
      </c>
      <c r="I218" s="139" t="str">
        <f ca="1">IFERROR(__xludf.DUMMYFUNCTION("""COMPUTED_VALUE"""),"PARPO")</f>
        <v>PARPO</v>
      </c>
      <c r="J218" s="139"/>
      <c r="K218" s="139" t="str">
        <f ca="1">IFERROR(__xludf.DUMMYFUNCTION("""COMPUTED_VALUE"""),"NEIL LUMAUAN")</f>
        <v>NEIL LUMAUAN</v>
      </c>
      <c r="L218" s="139" t="str">
        <f ca="1">IFERROR(__xludf.DUMMYFUNCTION("""COMPUTED_VALUE"""),"BLTI")</f>
        <v>BLTI</v>
      </c>
      <c r="M218" s="139" t="str">
        <f ca="1">IFERROR(__xludf.DUMMYFUNCTION("""COMPUTED_VALUE"""),"SERVICEABLE")</f>
        <v>SERVICEABLE</v>
      </c>
      <c r="N218" s="146"/>
    </row>
    <row r="219" spans="1:14" ht="14.4">
      <c r="A219" s="139" t="str">
        <f ca="1">IFERROR(__xludf.DUMMYFUNCTION("""COMPUTED_VALUE"""),"DARCO")</f>
        <v>DARCO</v>
      </c>
      <c r="B219" s="139" t="str">
        <f ca="1">IFERROR(__xludf.DUMMYFUNCTION("""COMPUTED_VALUE"""),"CENTRAL OFFICE")</f>
        <v>CENTRAL OFFICE</v>
      </c>
      <c r="C219" s="139" t="str">
        <f ca="1">IFERROR(__xludf.DUMMYFUNCTION("""COMPUTED_VALUE"""),"A3 PRINTER (BROTHER)")</f>
        <v>A3 PRINTER (BROTHER)</v>
      </c>
      <c r="D219" s="142" t="str">
        <f ca="1">IFERROR(__xludf.DUMMYFUNCTION("""COMPUTED_VALUE"""),"$33,508.00")</f>
        <v>$33,508.00</v>
      </c>
      <c r="E219" s="139"/>
      <c r="F219" s="139" t="str">
        <f ca="1">IFERROR(__xludf.DUMMYFUNCTION("""COMPUTED_VALUE"""),"HV-SPLIT-102-24-05-05")</f>
        <v>HV-SPLIT-102-24-05-05</v>
      </c>
      <c r="G219" s="139"/>
      <c r="H219" s="139" t="str">
        <f ca="1">IFERROR(__xludf.DUMMYFUNCTION("""COMPUTED_VALUE"""),"OMA")</f>
        <v>OMA</v>
      </c>
      <c r="I219" s="139" t="str">
        <f ca="1">IFERROR(__xludf.DUMMYFUNCTION("""COMPUTED_VALUE"""),"EA II")</f>
        <v>EA II</v>
      </c>
      <c r="J219" s="139" t="str">
        <f ca="1">IFERROR(__xludf.DUMMYFUNCTION("""COMPUTED_VALUE"""),"006-2024S")</f>
        <v>006-2024S</v>
      </c>
      <c r="K219" s="139" t="str">
        <f ca="1">IFERROR(__xludf.DUMMYFUNCTION("""COMPUTED_VALUE"""),"ROSELYN SEGOVIA")</f>
        <v>ROSELYN SEGOVIA</v>
      </c>
      <c r="L219" s="139" t="str">
        <f ca="1">IFERROR(__xludf.DUMMYFUNCTION("""COMPUTED_VALUE"""),"OMA")</f>
        <v>OMA</v>
      </c>
      <c r="M219" s="139" t="str">
        <f ca="1">IFERROR(__xludf.DUMMYFUNCTION("""COMPUTED_VALUE"""),"SERVICEABLE")</f>
        <v>SERVICEABLE</v>
      </c>
      <c r="N219" s="146"/>
    </row>
    <row r="220" spans="1:14" ht="14.4">
      <c r="A220" s="139" t="str">
        <f ca="1">IFERROR(__xludf.DUMMYFUNCTION("""COMPUTED_VALUE"""),"DARCO")</f>
        <v>DARCO</v>
      </c>
      <c r="B220" s="139" t="str">
        <f ca="1">IFERROR(__xludf.DUMMYFUNCTION("""COMPUTED_VALUE"""),"CENTRAL OFFICE")</f>
        <v>CENTRAL OFFICE</v>
      </c>
      <c r="C220" s="139" t="str">
        <f ca="1">IFERROR(__xludf.DUMMYFUNCTION("""COMPUTED_VALUE"""),"A3 PRINTER (BROTHER)")</f>
        <v>A3 PRINTER (BROTHER)</v>
      </c>
      <c r="D220" s="142" t="str">
        <f ca="1">IFERROR(__xludf.DUMMYFUNCTION("""COMPUTED_VALUE"""),"$33,508.00")</f>
        <v>$33,508.00</v>
      </c>
      <c r="E220" s="139"/>
      <c r="F220" s="139" t="str">
        <f ca="1">IFERROR(__xludf.DUMMYFUNCTION("""COMPUTED_VALUE"""),"HV-SPLIT-102-24-05-57")</f>
        <v>HV-SPLIT-102-24-05-57</v>
      </c>
      <c r="G220" s="139"/>
      <c r="H220" s="139" t="str">
        <f ca="1">IFERROR(__xludf.DUMMYFUNCTION("""COMPUTED_VALUE"""),"ADMIN SERVICE")</f>
        <v>ADMIN SERVICE</v>
      </c>
      <c r="I220" s="139"/>
      <c r="J220" s="139"/>
      <c r="K220" s="139"/>
      <c r="L220" s="139" t="str">
        <f ca="1">IFERROR(__xludf.DUMMYFUNCTION("""COMPUTED_VALUE"""),"ADMIN SERVICE")</f>
        <v>ADMIN SERVICE</v>
      </c>
      <c r="M220" s="139" t="str">
        <f ca="1">IFERROR(__xludf.DUMMYFUNCTION("""COMPUTED_VALUE"""),"SERVICEABLE")</f>
        <v>SERVICEABLE</v>
      </c>
      <c r="N220" s="146"/>
    </row>
    <row r="221" spans="1:14" ht="14.4">
      <c r="A221" s="139" t="str">
        <f ca="1">IFERROR(__xludf.DUMMYFUNCTION("""COMPUTED_VALUE"""),"DARCO")</f>
        <v>DARCO</v>
      </c>
      <c r="B221" s="139" t="str">
        <f ca="1">IFERROR(__xludf.DUMMYFUNCTION("""COMPUTED_VALUE"""),"CENTRAL OFFICE")</f>
        <v>CENTRAL OFFICE</v>
      </c>
      <c r="C221" s="139" t="str">
        <f ca="1">IFERROR(__xludf.DUMMYFUNCTION("""COMPUTED_VALUE"""),"A3 PRINTER (BROTHER)")</f>
        <v>A3 PRINTER (BROTHER)</v>
      </c>
      <c r="D221" s="142" t="str">
        <f ca="1">IFERROR(__xludf.DUMMYFUNCTION("""COMPUTED_VALUE"""),"$33,508.00")</f>
        <v>$33,508.00</v>
      </c>
      <c r="E221" s="139"/>
      <c r="F221" s="139" t="str">
        <f ca="1">IFERROR(__xludf.DUMMYFUNCTION("""COMPUTED_VALUE"""),"HV-SPLIT-102-24-05-67")</f>
        <v>HV-SPLIT-102-24-05-67</v>
      </c>
      <c r="G221" s="139"/>
      <c r="H221" s="139" t="str">
        <f ca="1">IFERROR(__xludf.DUMMYFUNCTION("""COMPUTED_VALUE"""),"ULAO")</f>
        <v>ULAO</v>
      </c>
      <c r="I221" s="139"/>
      <c r="J221" s="139"/>
      <c r="K221" s="139"/>
      <c r="L221" s="139" t="str">
        <f ca="1">IFERROR(__xludf.DUMMYFUNCTION("""COMPUTED_VALUE"""),"ULAO")</f>
        <v>ULAO</v>
      </c>
      <c r="M221" s="139" t="str">
        <f ca="1">IFERROR(__xludf.DUMMYFUNCTION("""COMPUTED_VALUE"""),"SERVICEABLE")</f>
        <v>SERVICEABLE</v>
      </c>
      <c r="N221" s="146"/>
    </row>
    <row r="222" spans="1:14" ht="14.4">
      <c r="A222" s="139" t="str">
        <f ca="1">IFERROR(__xludf.DUMMYFUNCTION("""COMPUTED_VALUE"""),"DARCO")</f>
        <v>DARCO</v>
      </c>
      <c r="B222" s="139" t="str">
        <f ca="1">IFERROR(__xludf.DUMMYFUNCTION("""COMPUTED_VALUE"""),"CENTRAL OFFICE")</f>
        <v>CENTRAL OFFICE</v>
      </c>
      <c r="C222" s="139" t="str">
        <f ca="1">IFERROR(__xludf.DUMMYFUNCTION("""COMPUTED_VALUE"""),"A3 PRINTER (BROTHER)")</f>
        <v>A3 PRINTER (BROTHER)</v>
      </c>
      <c r="D222" s="142" t="str">
        <f ca="1">IFERROR(__xludf.DUMMYFUNCTION("""COMPUTED_VALUE"""),"$33,508.00")</f>
        <v>$33,508.00</v>
      </c>
      <c r="E222" s="139"/>
      <c r="F222" s="139" t="str">
        <f ca="1">IFERROR(__xludf.DUMMYFUNCTION("""COMPUTED_VALUE"""),"HV-SPLIT-102-24-05-69")</f>
        <v>HV-SPLIT-102-24-05-69</v>
      </c>
      <c r="G222" s="139"/>
      <c r="H222" s="139" t="str">
        <f ca="1">IFERROR(__xludf.DUMMYFUNCTION("""COMPUTED_VALUE"""),"AFASPO")</f>
        <v>AFASPO</v>
      </c>
      <c r="I222" s="139" t="str">
        <f ca="1">IFERROR(__xludf.DUMMYFUNCTION("""COMPUTED_VALUE"""),"ASEC")</f>
        <v>ASEC</v>
      </c>
      <c r="J222" s="139"/>
      <c r="K222" s="139"/>
      <c r="L222" s="139" t="str">
        <f ca="1">IFERROR(__xludf.DUMMYFUNCTION("""COMPUTED_VALUE"""),"AFASPO")</f>
        <v>AFASPO</v>
      </c>
      <c r="M222" s="139" t="str">
        <f ca="1">IFERROR(__xludf.DUMMYFUNCTION("""COMPUTED_VALUE"""),"SERVICEABLE")</f>
        <v>SERVICEABLE</v>
      </c>
      <c r="N222" s="146"/>
    </row>
    <row r="223" spans="1:14" ht="14.4">
      <c r="A223" s="139" t="str">
        <f ca="1">IFERROR(__xludf.DUMMYFUNCTION("""COMPUTED_VALUE"""),"DARCO")</f>
        <v>DARCO</v>
      </c>
      <c r="B223" s="139" t="str">
        <f ca="1">IFERROR(__xludf.DUMMYFUNCTION("""COMPUTED_VALUE"""),"CENTRAL OFFICE")</f>
        <v>CENTRAL OFFICE</v>
      </c>
      <c r="C223" s="139" t="str">
        <f ca="1">IFERROR(__xludf.DUMMYFUNCTION("""COMPUTED_VALUE"""),"A3 PRINTER (BROTHER)")</f>
        <v>A3 PRINTER (BROTHER)</v>
      </c>
      <c r="D223" s="142" t="str">
        <f ca="1">IFERROR(__xludf.DUMMYFUNCTION("""COMPUTED_VALUE"""),"$33,508.00")</f>
        <v>$33,508.00</v>
      </c>
      <c r="E223" s="139"/>
      <c r="F223" s="139" t="str">
        <f ca="1">IFERROR(__xludf.DUMMYFUNCTION("""COMPUTED_VALUE"""),"HV-SPLIT-102-24-05-80")</f>
        <v>HV-SPLIT-102-24-05-80</v>
      </c>
      <c r="G223" s="139"/>
      <c r="H223" s="139" t="str">
        <f ca="1">IFERROR(__xludf.DUMMYFUNCTION("""COMPUTED_VALUE"""),"BLAD")</f>
        <v>BLAD</v>
      </c>
      <c r="I223" s="139"/>
      <c r="J223" s="139"/>
      <c r="K223" s="139"/>
      <c r="L223" s="139" t="str">
        <f ca="1">IFERROR(__xludf.DUMMYFUNCTION("""COMPUTED_VALUE"""),"BLAD")</f>
        <v>BLAD</v>
      </c>
      <c r="M223" s="139" t="str">
        <f ca="1">IFERROR(__xludf.DUMMYFUNCTION("""COMPUTED_VALUE"""),"SERVICEABLE")</f>
        <v>SERVICEABLE</v>
      </c>
      <c r="N223" s="146"/>
    </row>
    <row r="224" spans="1:14" ht="14.4">
      <c r="A224" s="139" t="str">
        <f ca="1">IFERROR(__xludf.DUMMYFUNCTION("""COMPUTED_VALUE"""),"DARCO")</f>
        <v>DARCO</v>
      </c>
      <c r="B224" s="139" t="str">
        <f ca="1">IFERROR(__xludf.DUMMYFUNCTION("""COMPUTED_VALUE"""),"CENTRAL OFFICE")</f>
        <v>CENTRAL OFFICE</v>
      </c>
      <c r="C224" s="139" t="str">
        <f ca="1">IFERROR(__xludf.DUMMYFUNCTION("""COMPUTED_VALUE"""),"A3 PRINTER (BROTHER)")</f>
        <v>A3 PRINTER (BROTHER)</v>
      </c>
      <c r="D224" s="142" t="str">
        <f ca="1">IFERROR(__xludf.DUMMYFUNCTION("""COMPUTED_VALUE"""),"$33,508.00")</f>
        <v>$33,508.00</v>
      </c>
      <c r="E224" s="139"/>
      <c r="F224" s="139" t="str">
        <f ca="1">IFERROR(__xludf.DUMMYFUNCTION("""COMPUTED_VALUE"""),"HV-SPLIT-102-24-05-83")</f>
        <v>HV-SPLIT-102-24-05-83</v>
      </c>
      <c r="G224" s="139"/>
      <c r="H224" s="139" t="str">
        <f ca="1">IFERROR(__xludf.DUMMYFUNCTION("""COMPUTED_VALUE"""),"UFOO")</f>
        <v>UFOO</v>
      </c>
      <c r="I224" s="139"/>
      <c r="J224" s="139"/>
      <c r="K224" s="139"/>
      <c r="L224" s="139" t="str">
        <f ca="1">IFERROR(__xludf.DUMMYFUNCTION("""COMPUTED_VALUE"""),"UFOO")</f>
        <v>UFOO</v>
      </c>
      <c r="M224" s="139" t="str">
        <f ca="1">IFERROR(__xludf.DUMMYFUNCTION("""COMPUTED_VALUE"""),"SERVICEABLE")</f>
        <v>SERVICEABLE</v>
      </c>
      <c r="N224" s="146"/>
    </row>
    <row r="225" spans="1:14" ht="14.4">
      <c r="A225" s="139" t="str">
        <f ca="1">IFERROR(__xludf.DUMMYFUNCTION("""COMPUTED_VALUE"""),"DARCO")</f>
        <v>DARCO</v>
      </c>
      <c r="B225" s="139" t="str">
        <f ca="1">IFERROR(__xludf.DUMMYFUNCTION("""COMPUTED_VALUE"""),"CENTRAL OFFICE")</f>
        <v>CENTRAL OFFICE</v>
      </c>
      <c r="C225" s="139" t="str">
        <f ca="1">IFERROR(__xludf.DUMMYFUNCTION("""COMPUTED_VALUE"""),"A3 PRINTER (BROTHER)")</f>
        <v>A3 PRINTER (BROTHER)</v>
      </c>
      <c r="D225" s="142" t="str">
        <f ca="1">IFERROR(__xludf.DUMMYFUNCTION("""COMPUTED_VALUE"""),"$33,508.00")</f>
        <v>$33,508.00</v>
      </c>
      <c r="E225" s="139"/>
      <c r="F225" s="139" t="str">
        <f ca="1">IFERROR(__xludf.DUMMYFUNCTION("""COMPUTED_VALUE"""),"HV-SPLIT-102-24-05-60")</f>
        <v>HV-SPLIT-102-24-05-60</v>
      </c>
      <c r="G225" s="139"/>
      <c r="H225" s="139" t="str">
        <f ca="1">IFERROR(__xludf.DUMMYFUNCTION("""COMPUTED_VALUE"""),"BALA")</f>
        <v>BALA</v>
      </c>
      <c r="I225" s="139"/>
      <c r="J225" s="139"/>
      <c r="K225" s="139"/>
      <c r="L225" s="139" t="str">
        <f ca="1">IFERROR(__xludf.DUMMYFUNCTION("""COMPUTED_VALUE"""),"BALA")</f>
        <v>BALA</v>
      </c>
      <c r="M225" s="139" t="str">
        <f ca="1">IFERROR(__xludf.DUMMYFUNCTION("""COMPUTED_VALUE"""),"SERVICEABLE")</f>
        <v>SERVICEABLE</v>
      </c>
      <c r="N225" s="146"/>
    </row>
    <row r="226" spans="1:14" ht="14.4">
      <c r="A226" s="139" t="str">
        <f ca="1">IFERROR(__xludf.DUMMYFUNCTION("""COMPUTED_VALUE"""),"DARCO")</f>
        <v>DARCO</v>
      </c>
      <c r="B226" s="139" t="str">
        <f ca="1">IFERROR(__xludf.DUMMYFUNCTION("""COMPUTED_VALUE"""),"CENTRAL OFFICE")</f>
        <v>CENTRAL OFFICE</v>
      </c>
      <c r="C226" s="139" t="str">
        <f ca="1">IFERROR(__xludf.DUMMYFUNCTION("""COMPUTED_VALUE"""),"A3 PRINTER (BROTHER)")</f>
        <v>A3 PRINTER (BROTHER)</v>
      </c>
      <c r="D226" s="142" t="str">
        <f ca="1">IFERROR(__xludf.DUMMYFUNCTION("""COMPUTED_VALUE"""),"$33,508.00")</f>
        <v>$33,508.00</v>
      </c>
      <c r="E226" s="139"/>
      <c r="F226" s="139" t="str">
        <f ca="1">IFERROR(__xludf.DUMMYFUNCTION("""COMPUTED_VALUE"""),"HV-SPLIT-102-24-05-68")</f>
        <v>HV-SPLIT-102-24-05-68</v>
      </c>
      <c r="G226" s="139"/>
      <c r="H226" s="139" t="str">
        <f ca="1">IFERROR(__xludf.DUMMYFUNCTION("""COMPUTED_VALUE"""),"BALA")</f>
        <v>BALA</v>
      </c>
      <c r="I226" s="139"/>
      <c r="J226" s="139"/>
      <c r="K226" s="139"/>
      <c r="L226" s="139" t="str">
        <f ca="1">IFERROR(__xludf.DUMMYFUNCTION("""COMPUTED_VALUE"""),"BALA")</f>
        <v>BALA</v>
      </c>
      <c r="M226" s="139" t="str">
        <f ca="1">IFERROR(__xludf.DUMMYFUNCTION("""COMPUTED_VALUE"""),"SERVICEABLE")</f>
        <v>SERVICEABLE</v>
      </c>
      <c r="N226" s="146"/>
    </row>
    <row r="227" spans="1:14" ht="14.4">
      <c r="A227" s="139" t="str">
        <f ca="1">IFERROR(__xludf.DUMMYFUNCTION("""COMPUTED_VALUE"""),"DARCO")</f>
        <v>DARCO</v>
      </c>
      <c r="B227" s="139" t="str">
        <f ca="1">IFERROR(__xludf.DUMMYFUNCTION("""COMPUTED_VALUE"""),"CENTRAL OFFICE")</f>
        <v>CENTRAL OFFICE</v>
      </c>
      <c r="C227" s="139" t="str">
        <f ca="1">IFERROR(__xludf.DUMMYFUNCTION("""COMPUTED_VALUE"""),"A3 PRINTER (BROTHER)")</f>
        <v>A3 PRINTER (BROTHER)</v>
      </c>
      <c r="D227" s="142" t="str">
        <f ca="1">IFERROR(__xludf.DUMMYFUNCTION("""COMPUTED_VALUE"""),"$33,508.00")</f>
        <v>$33,508.00</v>
      </c>
      <c r="E227" s="139"/>
      <c r="F227" s="139" t="str">
        <f ca="1">IFERROR(__xludf.DUMMYFUNCTION("""COMPUTED_VALUE"""),"HV-SPLIT-102-24-05-02")</f>
        <v>HV-SPLIT-102-24-05-02</v>
      </c>
      <c r="G227" s="139"/>
      <c r="H227" s="139" t="str">
        <f ca="1">IFERROR(__xludf.DUMMYFUNCTION("""COMPUTED_VALUE"""),"CPMO SPLIT")</f>
        <v>CPMO SPLIT</v>
      </c>
      <c r="I227" s="139"/>
      <c r="J227" s="139"/>
      <c r="K227" s="139"/>
      <c r="L227" s="139" t="str">
        <f ca="1">IFERROR(__xludf.DUMMYFUNCTION("""COMPUTED_VALUE"""),"CPMO SPLIT")</f>
        <v>CPMO SPLIT</v>
      </c>
      <c r="M227" s="139" t="str">
        <f ca="1">IFERROR(__xludf.DUMMYFUNCTION("""COMPUTED_VALUE"""),"SERVICEABLE")</f>
        <v>SERVICEABLE</v>
      </c>
      <c r="N227" s="146"/>
    </row>
    <row r="228" spans="1:14" ht="14.4">
      <c r="A228" s="139" t="str">
        <f ca="1">IFERROR(__xludf.DUMMYFUNCTION("""COMPUTED_VALUE"""),"DARCO")</f>
        <v>DARCO</v>
      </c>
      <c r="B228" s="139" t="str">
        <f ca="1">IFERROR(__xludf.DUMMYFUNCTION("""COMPUTED_VALUE"""),"CENTRAL OFFICE")</f>
        <v>CENTRAL OFFICE</v>
      </c>
      <c r="C228" s="139" t="str">
        <f ca="1">IFERROR(__xludf.DUMMYFUNCTION("""COMPUTED_VALUE"""),"A3 PRINTER (BROTHER)")</f>
        <v>A3 PRINTER (BROTHER)</v>
      </c>
      <c r="D228" s="142" t="str">
        <f ca="1">IFERROR(__xludf.DUMMYFUNCTION("""COMPUTED_VALUE"""),"$33,508.00")</f>
        <v>$33,508.00</v>
      </c>
      <c r="E228" s="139"/>
      <c r="F228" s="139" t="str">
        <f ca="1">IFERROR(__xludf.DUMMYFUNCTION("""COMPUTED_VALUE"""),"HV-SPLIT-102-24-05-54")</f>
        <v>HV-SPLIT-102-24-05-54</v>
      </c>
      <c r="G228" s="139"/>
      <c r="H228" s="139" t="str">
        <f ca="1">IFERROR(__xludf.DUMMYFUNCTION("""COMPUTED_VALUE"""),"CPMO SPLIT")</f>
        <v>CPMO SPLIT</v>
      </c>
      <c r="I228" s="139"/>
      <c r="J228" s="139"/>
      <c r="K228" s="139"/>
      <c r="L228" s="139" t="str">
        <f ca="1">IFERROR(__xludf.DUMMYFUNCTION("""COMPUTED_VALUE"""),"CPMO SPLIT")</f>
        <v>CPMO SPLIT</v>
      </c>
      <c r="M228" s="139" t="str">
        <f ca="1">IFERROR(__xludf.DUMMYFUNCTION("""COMPUTED_VALUE"""),"SERVICEABLE")</f>
        <v>SERVICEABLE</v>
      </c>
      <c r="N228" s="146"/>
    </row>
    <row r="229" spans="1:14" ht="14.4">
      <c r="A229" s="139" t="str">
        <f ca="1">IFERROR(__xludf.DUMMYFUNCTION("""COMPUTED_VALUE"""),"DARCO")</f>
        <v>DARCO</v>
      </c>
      <c r="B229" s="139" t="str">
        <f ca="1">IFERROR(__xludf.DUMMYFUNCTION("""COMPUTED_VALUE"""),"CENTRAL OFFICE")</f>
        <v>CENTRAL OFFICE</v>
      </c>
      <c r="C229" s="139" t="str">
        <f ca="1">IFERROR(__xludf.DUMMYFUNCTION("""COMPUTED_VALUE"""),"A3 PRINTER (BROTHER)")</f>
        <v>A3 PRINTER (BROTHER)</v>
      </c>
      <c r="D229" s="142" t="str">
        <f ca="1">IFERROR(__xludf.DUMMYFUNCTION("""COMPUTED_VALUE"""),"$33,508.00")</f>
        <v>$33,508.00</v>
      </c>
      <c r="E229" s="139"/>
      <c r="F229" s="139" t="str">
        <f ca="1">IFERROR(__xludf.DUMMYFUNCTION("""COMPUTED_VALUE"""),"HV-SPLIT-102-24-05-04")</f>
        <v>HV-SPLIT-102-24-05-04</v>
      </c>
      <c r="G229" s="139"/>
      <c r="H229" s="139" t="str">
        <f ca="1">IFERROR(__xludf.DUMMYFUNCTION("""COMPUTED_VALUE"""),"CPMO FINANCE")</f>
        <v>CPMO FINANCE</v>
      </c>
      <c r="I229" s="139"/>
      <c r="J229" s="139"/>
      <c r="K229" s="139"/>
      <c r="L229" s="139" t="str">
        <f ca="1">IFERROR(__xludf.DUMMYFUNCTION("""COMPUTED_VALUE"""),"CPMO FINANCE")</f>
        <v>CPMO FINANCE</v>
      </c>
      <c r="M229" s="139" t="str">
        <f ca="1">IFERROR(__xludf.DUMMYFUNCTION("""COMPUTED_VALUE"""),"SERVICEABLE")</f>
        <v>SERVICEABLE</v>
      </c>
      <c r="N229" s="146"/>
    </row>
    <row r="230" spans="1:14" ht="14.4">
      <c r="A230" s="139" t="str">
        <f ca="1">IFERROR(__xludf.DUMMYFUNCTION("""COMPUTED_VALUE"""),"DARCO")</f>
        <v>DARCO</v>
      </c>
      <c r="B230" s="139" t="str">
        <f ca="1">IFERROR(__xludf.DUMMYFUNCTION("""COMPUTED_VALUE"""),"CENTRAL OFFICE")</f>
        <v>CENTRAL OFFICE</v>
      </c>
      <c r="C230" s="139" t="str">
        <f ca="1">IFERROR(__xludf.DUMMYFUNCTION("""COMPUTED_VALUE"""),"A3 PRINTER (BROTHER)")</f>
        <v>A3 PRINTER (BROTHER)</v>
      </c>
      <c r="D230" s="142" t="str">
        <f ca="1">IFERROR(__xludf.DUMMYFUNCTION("""COMPUTED_VALUE"""),"$33,508.00")</f>
        <v>$33,508.00</v>
      </c>
      <c r="E230" s="139"/>
      <c r="F230" s="139" t="str">
        <f ca="1">IFERROR(__xludf.DUMMYFUNCTION("""COMPUTED_VALUE"""),"HV-SPLIT-102-24-05-01")</f>
        <v>HV-SPLIT-102-24-05-01</v>
      </c>
      <c r="G230" s="139"/>
      <c r="H230" s="139" t="str">
        <f ca="1">IFERROR(__xludf.DUMMYFUNCTION("""COMPUTED_VALUE"""),"AFOO")</f>
        <v>AFOO</v>
      </c>
      <c r="I230" s="139"/>
      <c r="J230" s="139"/>
      <c r="K230" s="139"/>
      <c r="L230" s="139" t="str">
        <f ca="1">IFERROR(__xludf.DUMMYFUNCTION("""COMPUTED_VALUE"""),"AFOO")</f>
        <v>AFOO</v>
      </c>
      <c r="M230" s="139" t="str">
        <f ca="1">IFERROR(__xludf.DUMMYFUNCTION("""COMPUTED_VALUE"""),"SERVICEABLE")</f>
        <v>SERVICEABLE</v>
      </c>
      <c r="N230" s="146"/>
    </row>
    <row r="231" spans="1:14" ht="14.4">
      <c r="A231" s="139" t="str">
        <f ca="1">IFERROR(__xludf.DUMMYFUNCTION("""COMPUTED_VALUE"""),"DARCO")</f>
        <v>DARCO</v>
      </c>
      <c r="B231" s="139" t="str">
        <f ca="1">IFERROR(__xludf.DUMMYFUNCTION("""COMPUTED_VALUE"""),"CENTRAL OFFICE")</f>
        <v>CENTRAL OFFICE</v>
      </c>
      <c r="C231" s="139" t="str">
        <f ca="1">IFERROR(__xludf.DUMMYFUNCTION("""COMPUTED_VALUE"""),"A3 PRINTER (BROTHER)")</f>
        <v>A3 PRINTER (BROTHER)</v>
      </c>
      <c r="D231" s="142" t="str">
        <f ca="1">IFERROR(__xludf.DUMMYFUNCTION("""COMPUTED_VALUE"""),"$33,508.00")</f>
        <v>$33,508.00</v>
      </c>
      <c r="E231" s="139"/>
      <c r="F231" s="139" t="str">
        <f ca="1">IFERROR(__xludf.DUMMYFUNCTION("""COMPUTED_VALUE"""),"HV-SPLIT-102-24-05-03")</f>
        <v>HV-SPLIT-102-24-05-03</v>
      </c>
      <c r="G231" s="139"/>
      <c r="H231" s="139"/>
      <c r="I231" s="139"/>
      <c r="J231" s="139"/>
      <c r="K231" s="139"/>
      <c r="L231" s="139" t="str">
        <f ca="1">IFERROR(__xludf.DUMMYFUNCTION("""COMPUTED_VALUE"""),"BLTI")</f>
        <v>BLTI</v>
      </c>
      <c r="M231" s="139" t="str">
        <f ca="1">IFERROR(__xludf.DUMMYFUNCTION("""COMPUTED_VALUE"""),"SERVICEABLE")</f>
        <v>SERVICEABLE</v>
      </c>
      <c r="N231" s="146"/>
    </row>
    <row r="232" spans="1:14" ht="14.4">
      <c r="A232" s="139" t="str">
        <f ca="1">IFERROR(__xludf.DUMMYFUNCTION("""COMPUTED_VALUE"""),"DARCO")</f>
        <v>DARCO</v>
      </c>
      <c r="B232" s="139" t="str">
        <f ca="1">IFERROR(__xludf.DUMMYFUNCTION("""COMPUTED_VALUE"""),"CENTRAL OFFICE")</f>
        <v>CENTRAL OFFICE</v>
      </c>
      <c r="C232" s="139" t="str">
        <f ca="1">IFERROR(__xludf.DUMMYFUNCTION("""COMPUTED_VALUE"""),"ACER TRAVELMATE")</f>
        <v>ACER TRAVELMATE</v>
      </c>
      <c r="D232" s="142" t="str">
        <f ca="1">IFERROR(__xludf.DUMMYFUNCTION("""COMPUTED_VALUE"""),"₱ 46,580.00")</f>
        <v>₱ 46,580.00</v>
      </c>
      <c r="E232" s="139"/>
      <c r="F232" s="139" t="str">
        <f ca="1">IFERROR(__xludf.DUMMYFUNCTION("""COMPUTED_VALUE"""),"2024-05-03-10202SP-081")</f>
        <v>2024-05-03-10202SP-081</v>
      </c>
      <c r="G232" s="139"/>
      <c r="H232" s="139"/>
      <c r="I232" s="139"/>
      <c r="J232" s="139" t="str">
        <f ca="1">IFERROR(__xludf.DUMMYFUNCTION("""COMPUTED_VALUE"""),"SP001-2024")</f>
        <v>SP001-2024</v>
      </c>
      <c r="K232" s="139"/>
      <c r="L232" s="139" t="str">
        <f ca="1">IFERROR(__xludf.DUMMYFUNCTION("""COMPUTED_VALUE"""),"OSEC")</f>
        <v>OSEC</v>
      </c>
      <c r="M232" s="139" t="str">
        <f ca="1">IFERROR(__xludf.DUMMYFUNCTION("""COMPUTED_VALUE"""),"SERVICEABLE")</f>
        <v>SERVICEABLE</v>
      </c>
      <c r="N232" s="146"/>
    </row>
    <row r="233" spans="1:14" ht="14.4">
      <c r="A233" s="139" t="str">
        <f ca="1">IFERROR(__xludf.DUMMYFUNCTION("""COMPUTED_VALUE"""),"DARCO")</f>
        <v>DARCO</v>
      </c>
      <c r="B233" s="139" t="str">
        <f ca="1">IFERROR(__xludf.DUMMYFUNCTION("""COMPUTED_VALUE"""),"CENTRAL OFFICE")</f>
        <v>CENTRAL OFFICE</v>
      </c>
      <c r="C233" s="139" t="str">
        <f ca="1">IFERROR(__xludf.DUMMYFUNCTION("""COMPUTED_VALUE"""),"ACER TRAVELMATE")</f>
        <v>ACER TRAVELMATE</v>
      </c>
      <c r="D233" s="142" t="str">
        <f ca="1">IFERROR(__xludf.DUMMYFUNCTION("""COMPUTED_VALUE"""),"₱ 46,580.00")</f>
        <v>₱ 46,580.00</v>
      </c>
      <c r="E233" s="139"/>
      <c r="F233" s="139" t="str">
        <f ca="1">IFERROR(__xludf.DUMMYFUNCTION("""COMPUTED_VALUE"""),"2024-05-03-10202SP-082")</f>
        <v>2024-05-03-10202SP-082</v>
      </c>
      <c r="G233" s="139"/>
      <c r="H233" s="139"/>
      <c r="I233" s="139"/>
      <c r="J233" s="139" t="str">
        <f ca="1">IFERROR(__xludf.DUMMYFUNCTION("""COMPUTED_VALUE"""),"SP001-2024")</f>
        <v>SP001-2024</v>
      </c>
      <c r="K233" s="139"/>
      <c r="L233" s="139" t="str">
        <f ca="1">IFERROR(__xludf.DUMMYFUNCTION("""COMPUTED_VALUE"""),"OSEC")</f>
        <v>OSEC</v>
      </c>
      <c r="M233" s="139" t="str">
        <f ca="1">IFERROR(__xludf.DUMMYFUNCTION("""COMPUTED_VALUE"""),"SERVICEABLE")</f>
        <v>SERVICEABLE</v>
      </c>
      <c r="N233" s="146"/>
    </row>
    <row r="234" spans="1:14" ht="14.4">
      <c r="A234" s="139" t="str">
        <f ca="1">IFERROR(__xludf.DUMMYFUNCTION("""COMPUTED_VALUE"""),"DARCO")</f>
        <v>DARCO</v>
      </c>
      <c r="B234" s="139" t="str">
        <f ca="1">IFERROR(__xludf.DUMMYFUNCTION("""COMPUTED_VALUE"""),"CENTRAL OFFICE")</f>
        <v>CENTRAL OFFICE</v>
      </c>
      <c r="C234" s="139" t="str">
        <f ca="1">IFERROR(__xludf.DUMMYFUNCTION("""COMPUTED_VALUE"""),"ACER TRAVELMATE")</f>
        <v>ACER TRAVELMATE</v>
      </c>
      <c r="D234" s="142" t="str">
        <f ca="1">IFERROR(__xludf.DUMMYFUNCTION("""COMPUTED_VALUE"""),"₱ 46,580.00")</f>
        <v>₱ 46,580.00</v>
      </c>
      <c r="E234" s="139"/>
      <c r="F234" s="139" t="str">
        <f ca="1">IFERROR(__xludf.DUMMYFUNCTION("""COMPUTED_VALUE"""),"2024-05-03-10202SP-083")</f>
        <v>2024-05-03-10202SP-083</v>
      </c>
      <c r="G234" s="139"/>
      <c r="H234" s="139"/>
      <c r="I234" s="139"/>
      <c r="J234" s="139" t="str">
        <f ca="1">IFERROR(__xludf.DUMMYFUNCTION("""COMPUTED_VALUE"""),"SP001-2024")</f>
        <v>SP001-2024</v>
      </c>
      <c r="K234" s="139"/>
      <c r="L234" s="139" t="str">
        <f ca="1">IFERROR(__xludf.DUMMYFUNCTION("""COMPUTED_VALUE"""),"OSEC")</f>
        <v>OSEC</v>
      </c>
      <c r="M234" s="139" t="str">
        <f ca="1">IFERROR(__xludf.DUMMYFUNCTION("""COMPUTED_VALUE"""),"SERVICEABLE")</f>
        <v>SERVICEABLE</v>
      </c>
      <c r="N234" s="146"/>
    </row>
    <row r="235" spans="1:14" ht="14.4">
      <c r="A235" s="139" t="str">
        <f ca="1">IFERROR(__xludf.DUMMYFUNCTION("""COMPUTED_VALUE"""),"DARCO")</f>
        <v>DARCO</v>
      </c>
      <c r="B235" s="139" t="str">
        <f ca="1">IFERROR(__xludf.DUMMYFUNCTION("""COMPUTED_VALUE"""),"CENTRAL OFFICE")</f>
        <v>CENTRAL OFFICE</v>
      </c>
      <c r="C235" s="139" t="str">
        <f ca="1">IFERROR(__xludf.DUMMYFUNCTION("""COMPUTED_VALUE"""),"ACER TRAVELMATE")</f>
        <v>ACER TRAVELMATE</v>
      </c>
      <c r="D235" s="142" t="str">
        <f ca="1">IFERROR(__xludf.DUMMYFUNCTION("""COMPUTED_VALUE"""),"₱ 46,580.00")</f>
        <v>₱ 46,580.00</v>
      </c>
      <c r="E235" s="139"/>
      <c r="F235" s="139" t="str">
        <f ca="1">IFERROR(__xludf.DUMMYFUNCTION("""COMPUTED_VALUE"""),"2024-05-03-10202SP-084")</f>
        <v>2024-05-03-10202SP-084</v>
      </c>
      <c r="G235" s="139"/>
      <c r="H235" s="139"/>
      <c r="I235" s="139"/>
      <c r="J235" s="139" t="str">
        <f ca="1">IFERROR(__xludf.DUMMYFUNCTION("""COMPUTED_VALUE"""),"SP001-2024")</f>
        <v>SP001-2024</v>
      </c>
      <c r="K235" s="139"/>
      <c r="L235" s="139" t="str">
        <f ca="1">IFERROR(__xludf.DUMMYFUNCTION("""COMPUTED_VALUE"""),"OSEC")</f>
        <v>OSEC</v>
      </c>
      <c r="M235" s="139" t="str">
        <f ca="1">IFERROR(__xludf.DUMMYFUNCTION("""COMPUTED_VALUE"""),"SERVICEABLE")</f>
        <v>SERVICEABLE</v>
      </c>
      <c r="N235" s="146"/>
    </row>
    <row r="236" spans="1:14" ht="14.4">
      <c r="A236" s="139" t="str">
        <f ca="1">IFERROR(__xludf.DUMMYFUNCTION("""COMPUTED_VALUE"""),"DARCO")</f>
        <v>DARCO</v>
      </c>
      <c r="B236" s="139" t="str">
        <f ca="1">IFERROR(__xludf.DUMMYFUNCTION("""COMPUTED_VALUE"""),"CENTRAL OFFICE")</f>
        <v>CENTRAL OFFICE</v>
      </c>
      <c r="C236" s="139" t="str">
        <f ca="1">IFERROR(__xludf.DUMMYFUNCTION("""COMPUTED_VALUE"""),"ACER TRAVELMATE")</f>
        <v>ACER TRAVELMATE</v>
      </c>
      <c r="D236" s="142" t="str">
        <f ca="1">IFERROR(__xludf.DUMMYFUNCTION("""COMPUTED_VALUE"""),"₱ 46,580.00")</f>
        <v>₱ 46,580.00</v>
      </c>
      <c r="E236" s="139"/>
      <c r="F236" s="139" t="str">
        <f ca="1">IFERROR(__xludf.DUMMYFUNCTION("""COMPUTED_VALUE"""),"2024-05-03-10202SP-085")</f>
        <v>2024-05-03-10202SP-085</v>
      </c>
      <c r="G236" s="139"/>
      <c r="H236" s="139"/>
      <c r="I236" s="139"/>
      <c r="J236" s="139" t="str">
        <f ca="1">IFERROR(__xludf.DUMMYFUNCTION("""COMPUTED_VALUE"""),"SP001-2024")</f>
        <v>SP001-2024</v>
      </c>
      <c r="K236" s="139"/>
      <c r="L236" s="139" t="str">
        <f ca="1">IFERROR(__xludf.DUMMYFUNCTION("""COMPUTED_VALUE"""),"OSEC")</f>
        <v>OSEC</v>
      </c>
      <c r="M236" s="139" t="str">
        <f ca="1">IFERROR(__xludf.DUMMYFUNCTION("""COMPUTED_VALUE"""),"SERVICEABLE")</f>
        <v>SERVICEABLE</v>
      </c>
      <c r="N236" s="146"/>
    </row>
    <row r="237" spans="1:14" ht="14.4">
      <c r="A237" s="139" t="str">
        <f ca="1">IFERROR(__xludf.DUMMYFUNCTION("""COMPUTED_VALUE"""),"DARCO")</f>
        <v>DARCO</v>
      </c>
      <c r="B237" s="139" t="str">
        <f ca="1">IFERROR(__xludf.DUMMYFUNCTION("""COMPUTED_VALUE"""),"CENTRAL OFFICE")</f>
        <v>CENTRAL OFFICE</v>
      </c>
      <c r="C237" s="139" t="str">
        <f ca="1">IFERROR(__xludf.DUMMYFUNCTION("""COMPUTED_VALUE"""),"ACER TRAVELMATE")</f>
        <v>ACER TRAVELMATE</v>
      </c>
      <c r="D237" s="142" t="str">
        <f ca="1">IFERROR(__xludf.DUMMYFUNCTION("""COMPUTED_VALUE"""),"₱ 46,580.00")</f>
        <v>₱ 46,580.00</v>
      </c>
      <c r="E237" s="139"/>
      <c r="F237" s="139" t="str">
        <f ca="1">IFERROR(__xludf.DUMMYFUNCTION("""COMPUTED_VALUE"""),"2024-05-03-10202SP-086")</f>
        <v>2024-05-03-10202SP-086</v>
      </c>
      <c r="G237" s="139"/>
      <c r="H237" s="139"/>
      <c r="I237" s="139"/>
      <c r="J237" s="139" t="str">
        <f ca="1">IFERROR(__xludf.DUMMYFUNCTION("""COMPUTED_VALUE"""),"SP002-2024")</f>
        <v>SP002-2024</v>
      </c>
      <c r="K237" s="139"/>
      <c r="L237" s="139" t="str">
        <f ca="1">IFERROR(__xludf.DUMMYFUNCTION("""COMPUTED_VALUE"""),"USEC FASPO")</f>
        <v>USEC FASPO</v>
      </c>
      <c r="M237" s="139" t="str">
        <f ca="1">IFERROR(__xludf.DUMMYFUNCTION("""COMPUTED_VALUE"""),"SERVICEABLE")</f>
        <v>SERVICEABLE</v>
      </c>
      <c r="N237" s="146"/>
    </row>
    <row r="238" spans="1:14" ht="14.4">
      <c r="A238" s="139" t="str">
        <f ca="1">IFERROR(__xludf.DUMMYFUNCTION("""COMPUTED_VALUE"""),"DARCO")</f>
        <v>DARCO</v>
      </c>
      <c r="B238" s="139" t="str">
        <f ca="1">IFERROR(__xludf.DUMMYFUNCTION("""COMPUTED_VALUE"""),"CENTRAL OFFICE")</f>
        <v>CENTRAL OFFICE</v>
      </c>
      <c r="C238" s="139" t="str">
        <f ca="1">IFERROR(__xludf.DUMMYFUNCTION("""COMPUTED_VALUE"""),"ACER TRAVELMATE")</f>
        <v>ACER TRAVELMATE</v>
      </c>
      <c r="D238" s="142" t="str">
        <f ca="1">IFERROR(__xludf.DUMMYFUNCTION("""COMPUTED_VALUE"""),"₱ 46,580.00")</f>
        <v>₱ 46,580.00</v>
      </c>
      <c r="E238" s="139"/>
      <c r="F238" s="139" t="str">
        <f ca="1">IFERROR(__xludf.DUMMYFUNCTION("""COMPUTED_VALUE"""),"2024-05-03-10202SP-087")</f>
        <v>2024-05-03-10202SP-087</v>
      </c>
      <c r="G238" s="139"/>
      <c r="H238" s="139"/>
      <c r="I238" s="139"/>
      <c r="J238" s="139" t="str">
        <f ca="1">IFERROR(__xludf.DUMMYFUNCTION("""COMPUTED_VALUE"""),"SP002-2024")</f>
        <v>SP002-2024</v>
      </c>
      <c r="K238" s="139"/>
      <c r="L238" s="139" t="str">
        <f ca="1">IFERROR(__xludf.DUMMYFUNCTION("""COMPUTED_VALUE"""),"USEC FASPO")</f>
        <v>USEC FASPO</v>
      </c>
      <c r="M238" s="139" t="str">
        <f ca="1">IFERROR(__xludf.DUMMYFUNCTION("""COMPUTED_VALUE"""),"SERVICEABLE")</f>
        <v>SERVICEABLE</v>
      </c>
      <c r="N238" s="146"/>
    </row>
    <row r="239" spans="1:14" ht="14.4">
      <c r="A239" s="139" t="str">
        <f ca="1">IFERROR(__xludf.DUMMYFUNCTION("""COMPUTED_VALUE"""),"DARCO")</f>
        <v>DARCO</v>
      </c>
      <c r="B239" s="139" t="str">
        <f ca="1">IFERROR(__xludf.DUMMYFUNCTION("""COMPUTED_VALUE"""),"CENTRAL OFFICE")</f>
        <v>CENTRAL OFFICE</v>
      </c>
      <c r="C239" s="139" t="str">
        <f ca="1">IFERROR(__xludf.DUMMYFUNCTION("""COMPUTED_VALUE"""),"ACER TRAVELMATE")</f>
        <v>ACER TRAVELMATE</v>
      </c>
      <c r="D239" s="142" t="str">
        <f ca="1">IFERROR(__xludf.DUMMYFUNCTION("""COMPUTED_VALUE"""),"₱ 46,580.00")</f>
        <v>₱ 46,580.00</v>
      </c>
      <c r="E239" s="139"/>
      <c r="F239" s="139" t="str">
        <f ca="1">IFERROR(__xludf.DUMMYFUNCTION("""COMPUTED_VALUE"""),"2024-05-03-10202SP-088")</f>
        <v>2024-05-03-10202SP-088</v>
      </c>
      <c r="G239" s="139"/>
      <c r="H239" s="139"/>
      <c r="I239" s="139"/>
      <c r="J239" s="139" t="str">
        <f ca="1">IFERROR(__xludf.DUMMYFUNCTION("""COMPUTED_VALUE"""),"SP002-2024")</f>
        <v>SP002-2024</v>
      </c>
      <c r="K239" s="139"/>
      <c r="L239" s="139" t="str">
        <f ca="1">IFERROR(__xludf.DUMMYFUNCTION("""COMPUTED_VALUE"""),"USEC FASPO")</f>
        <v>USEC FASPO</v>
      </c>
      <c r="M239" s="139" t="str">
        <f ca="1">IFERROR(__xludf.DUMMYFUNCTION("""COMPUTED_VALUE"""),"SERVICEABLE")</f>
        <v>SERVICEABLE</v>
      </c>
      <c r="N239" s="146"/>
    </row>
    <row r="240" spans="1:14" ht="14.4">
      <c r="A240" s="139" t="str">
        <f ca="1">IFERROR(__xludf.DUMMYFUNCTION("""COMPUTED_VALUE"""),"DARCO")</f>
        <v>DARCO</v>
      </c>
      <c r="B240" s="139" t="str">
        <f ca="1">IFERROR(__xludf.DUMMYFUNCTION("""COMPUTED_VALUE"""),"CENTRAL OFFICE")</f>
        <v>CENTRAL OFFICE</v>
      </c>
      <c r="C240" s="139" t="str">
        <f ca="1">IFERROR(__xludf.DUMMYFUNCTION("""COMPUTED_VALUE"""),"ACER TRAVELMATE")</f>
        <v>ACER TRAVELMATE</v>
      </c>
      <c r="D240" s="142" t="str">
        <f ca="1">IFERROR(__xludf.DUMMYFUNCTION("""COMPUTED_VALUE"""),"₱ 46,580.00")</f>
        <v>₱ 46,580.00</v>
      </c>
      <c r="E240" s="139"/>
      <c r="F240" s="139" t="str">
        <f ca="1">IFERROR(__xludf.DUMMYFUNCTION("""COMPUTED_VALUE"""),"2024-05-03-10202SP-089")</f>
        <v>2024-05-03-10202SP-089</v>
      </c>
      <c r="G240" s="139"/>
      <c r="H240" s="139"/>
      <c r="I240" s="139"/>
      <c r="J240" s="139" t="str">
        <f ca="1">IFERROR(__xludf.DUMMYFUNCTION("""COMPUTED_VALUE"""),"SP002-2024")</f>
        <v>SP002-2024</v>
      </c>
      <c r="K240" s="139"/>
      <c r="L240" s="139" t="str">
        <f ca="1">IFERROR(__xludf.DUMMYFUNCTION("""COMPUTED_VALUE"""),"USEC FASPO")</f>
        <v>USEC FASPO</v>
      </c>
      <c r="M240" s="139" t="str">
        <f ca="1">IFERROR(__xludf.DUMMYFUNCTION("""COMPUTED_VALUE"""),"SERVICEABLE")</f>
        <v>SERVICEABLE</v>
      </c>
      <c r="N240" s="146"/>
    </row>
    <row r="241" spans="1:14" ht="14.4">
      <c r="A241" s="139" t="str">
        <f ca="1">IFERROR(__xludf.DUMMYFUNCTION("""COMPUTED_VALUE"""),"DARCO")</f>
        <v>DARCO</v>
      </c>
      <c r="B241" s="139" t="str">
        <f ca="1">IFERROR(__xludf.DUMMYFUNCTION("""COMPUTED_VALUE"""),"CENTRAL OFFICE")</f>
        <v>CENTRAL OFFICE</v>
      </c>
      <c r="C241" s="139" t="str">
        <f ca="1">IFERROR(__xludf.DUMMYFUNCTION("""COMPUTED_VALUE"""),"ACER TRAVELMATE")</f>
        <v>ACER TRAVELMATE</v>
      </c>
      <c r="D241" s="142" t="str">
        <f ca="1">IFERROR(__xludf.DUMMYFUNCTION("""COMPUTED_VALUE"""),"₱ 46,580.00")</f>
        <v>₱ 46,580.00</v>
      </c>
      <c r="E241" s="139"/>
      <c r="F241" s="139" t="str">
        <f ca="1">IFERROR(__xludf.DUMMYFUNCTION("""COMPUTED_VALUE"""),"2024-05-03-10202SP-090")</f>
        <v>2024-05-03-10202SP-090</v>
      </c>
      <c r="G241" s="139"/>
      <c r="H241" s="139"/>
      <c r="I241" s="139"/>
      <c r="J241" s="139" t="str">
        <f ca="1">IFERROR(__xludf.DUMMYFUNCTION("""COMPUTED_VALUE"""),"SP002-2024")</f>
        <v>SP002-2024</v>
      </c>
      <c r="K241" s="139"/>
      <c r="L241" s="139" t="str">
        <f ca="1">IFERROR(__xludf.DUMMYFUNCTION("""COMPUTED_VALUE"""),"USEC FASPO")</f>
        <v>USEC FASPO</v>
      </c>
      <c r="M241" s="139" t="str">
        <f ca="1">IFERROR(__xludf.DUMMYFUNCTION("""COMPUTED_VALUE"""),"SERVICEABLE")</f>
        <v>SERVICEABLE</v>
      </c>
      <c r="N241" s="146"/>
    </row>
    <row r="242" spans="1:14" ht="14.4">
      <c r="A242" s="139" t="str">
        <f ca="1">IFERROR(__xludf.DUMMYFUNCTION("""COMPUTED_VALUE"""),"DARCO")</f>
        <v>DARCO</v>
      </c>
      <c r="B242" s="139" t="str">
        <f ca="1">IFERROR(__xludf.DUMMYFUNCTION("""COMPUTED_VALUE"""),"CENTRAL OFFICE")</f>
        <v>CENTRAL OFFICE</v>
      </c>
      <c r="C242" s="139" t="str">
        <f ca="1">IFERROR(__xludf.DUMMYFUNCTION("""COMPUTED_VALUE"""),"ACER TRAVELMATE")</f>
        <v>ACER TRAVELMATE</v>
      </c>
      <c r="D242" s="142" t="str">
        <f ca="1">IFERROR(__xludf.DUMMYFUNCTION("""COMPUTED_VALUE"""),"₱ 46,580.00")</f>
        <v>₱ 46,580.00</v>
      </c>
      <c r="E242" s="139"/>
      <c r="F242" s="139" t="str">
        <f ca="1">IFERROR(__xludf.DUMMYFUNCTION("""COMPUTED_VALUE"""),"2024-05-03-10202SP-091")</f>
        <v>2024-05-03-10202SP-091</v>
      </c>
      <c r="G242" s="139"/>
      <c r="H242" s="139"/>
      <c r="I242" s="139"/>
      <c r="J242" s="139" t="str">
        <f ca="1">IFERROR(__xludf.DUMMYFUNCTION("""COMPUTED_VALUE"""),"SP002-2024")</f>
        <v>SP002-2024</v>
      </c>
      <c r="K242" s="139"/>
      <c r="L242" s="139" t="str">
        <f ca="1">IFERROR(__xludf.DUMMYFUNCTION("""COMPUTED_VALUE"""),"USEC FASPO")</f>
        <v>USEC FASPO</v>
      </c>
      <c r="M242" s="139" t="str">
        <f ca="1">IFERROR(__xludf.DUMMYFUNCTION("""COMPUTED_VALUE"""),"SERVICEABLE")</f>
        <v>SERVICEABLE</v>
      </c>
      <c r="N242" s="146"/>
    </row>
    <row r="243" spans="1:14" ht="14.4">
      <c r="A243" s="139" t="str">
        <f ca="1">IFERROR(__xludf.DUMMYFUNCTION("""COMPUTED_VALUE"""),"DARCO")</f>
        <v>DARCO</v>
      </c>
      <c r="B243" s="139" t="str">
        <f ca="1">IFERROR(__xludf.DUMMYFUNCTION("""COMPUTED_VALUE"""),"CENTRAL OFFICE")</f>
        <v>CENTRAL OFFICE</v>
      </c>
      <c r="C243" s="139" t="str">
        <f ca="1">IFERROR(__xludf.DUMMYFUNCTION("""COMPUTED_VALUE"""),"ACER TRAVELMATE")</f>
        <v>ACER TRAVELMATE</v>
      </c>
      <c r="D243" s="142" t="str">
        <f ca="1">IFERROR(__xludf.DUMMYFUNCTION("""COMPUTED_VALUE"""),"₱ 46,580.00")</f>
        <v>₱ 46,580.00</v>
      </c>
      <c r="E243" s="139"/>
      <c r="F243" s="139" t="str">
        <f ca="1">IFERROR(__xludf.DUMMYFUNCTION("""COMPUTED_VALUE"""),"2024-05-03-10202SP-092")</f>
        <v>2024-05-03-10202SP-092</v>
      </c>
      <c r="G243" s="139"/>
      <c r="H243" s="139"/>
      <c r="I243" s="139"/>
      <c r="J243" s="139" t="str">
        <f ca="1">IFERROR(__xludf.DUMMYFUNCTION("""COMPUTED_VALUE"""),"SP002-2024")</f>
        <v>SP002-2024</v>
      </c>
      <c r="K243" s="139"/>
      <c r="L243" s="139" t="str">
        <f ca="1">IFERROR(__xludf.DUMMYFUNCTION("""COMPUTED_VALUE"""),"USEC FASPO")</f>
        <v>USEC FASPO</v>
      </c>
      <c r="M243" s="139" t="str">
        <f ca="1">IFERROR(__xludf.DUMMYFUNCTION("""COMPUTED_VALUE"""),"SERVICEABLE")</f>
        <v>SERVICEABLE</v>
      </c>
      <c r="N243" s="146"/>
    </row>
    <row r="244" spans="1:14" ht="14.4">
      <c r="A244" s="139" t="str">
        <f ca="1">IFERROR(__xludf.DUMMYFUNCTION("""COMPUTED_VALUE"""),"DARCO")</f>
        <v>DARCO</v>
      </c>
      <c r="B244" s="139" t="str">
        <f ca="1">IFERROR(__xludf.DUMMYFUNCTION("""COMPUTED_VALUE"""),"CENTRAL OFFICE")</f>
        <v>CENTRAL OFFICE</v>
      </c>
      <c r="C244" s="139" t="str">
        <f ca="1">IFERROR(__xludf.DUMMYFUNCTION("""COMPUTED_VALUE"""),"ACER TRAVELMATE")</f>
        <v>ACER TRAVELMATE</v>
      </c>
      <c r="D244" s="142" t="str">
        <f ca="1">IFERROR(__xludf.DUMMYFUNCTION("""COMPUTED_VALUE"""),"₱ 46,580.00")</f>
        <v>₱ 46,580.00</v>
      </c>
      <c r="E244" s="139"/>
      <c r="F244" s="139" t="str">
        <f ca="1">IFERROR(__xludf.DUMMYFUNCTION("""COMPUTED_VALUE"""),"2024-05-03-10202SP-093")</f>
        <v>2024-05-03-10202SP-093</v>
      </c>
      <c r="G244" s="139"/>
      <c r="H244" s="139"/>
      <c r="I244" s="139"/>
      <c r="J244" s="139" t="str">
        <f ca="1">IFERROR(__xludf.DUMMYFUNCTION("""COMPUTED_VALUE"""),"SP002-2024")</f>
        <v>SP002-2024</v>
      </c>
      <c r="K244" s="139"/>
      <c r="L244" s="139" t="str">
        <f ca="1">IFERROR(__xludf.DUMMYFUNCTION("""COMPUTED_VALUE"""),"USEC FASPO")</f>
        <v>USEC FASPO</v>
      </c>
      <c r="M244" s="139" t="str">
        <f ca="1">IFERROR(__xludf.DUMMYFUNCTION("""COMPUTED_VALUE"""),"SERVICEABLE")</f>
        <v>SERVICEABLE</v>
      </c>
      <c r="N244" s="146"/>
    </row>
    <row r="245" spans="1:14" ht="14.4">
      <c r="A245" s="139" t="str">
        <f ca="1">IFERROR(__xludf.DUMMYFUNCTION("""COMPUTED_VALUE"""),"DARCO")</f>
        <v>DARCO</v>
      </c>
      <c r="B245" s="139" t="str">
        <f ca="1">IFERROR(__xludf.DUMMYFUNCTION("""COMPUTED_VALUE"""),"CENTRAL OFFICE")</f>
        <v>CENTRAL OFFICE</v>
      </c>
      <c r="C245" s="139" t="str">
        <f ca="1">IFERROR(__xludf.DUMMYFUNCTION("""COMPUTED_VALUE"""),"ACER TRAVELMATE")</f>
        <v>ACER TRAVELMATE</v>
      </c>
      <c r="D245" s="142" t="str">
        <f ca="1">IFERROR(__xludf.DUMMYFUNCTION("""COMPUTED_VALUE"""),"₱ 46,580.00")</f>
        <v>₱ 46,580.00</v>
      </c>
      <c r="E245" s="139"/>
      <c r="F245" s="139" t="str">
        <f ca="1">IFERROR(__xludf.DUMMYFUNCTION("""COMPUTED_VALUE"""),"2024-05-03-10202SP-094")</f>
        <v>2024-05-03-10202SP-094</v>
      </c>
      <c r="G245" s="139"/>
      <c r="H245" s="139"/>
      <c r="I245" s="139"/>
      <c r="J245" s="139" t="str">
        <f ca="1">IFERROR(__xludf.DUMMYFUNCTION("""COMPUTED_VALUE"""),"SP002-2024")</f>
        <v>SP002-2024</v>
      </c>
      <c r="K245" s="139"/>
      <c r="L245" s="139" t="str">
        <f ca="1">IFERROR(__xludf.DUMMYFUNCTION("""COMPUTED_VALUE"""),"USEC FASPO")</f>
        <v>USEC FASPO</v>
      </c>
      <c r="M245" s="139" t="str">
        <f ca="1">IFERROR(__xludf.DUMMYFUNCTION("""COMPUTED_VALUE"""),"SERVICEABLE")</f>
        <v>SERVICEABLE</v>
      </c>
      <c r="N245" s="146"/>
    </row>
    <row r="246" spans="1:14" ht="14.4">
      <c r="A246" s="139" t="str">
        <f ca="1">IFERROR(__xludf.DUMMYFUNCTION("""COMPUTED_VALUE"""),"DARCO")</f>
        <v>DARCO</v>
      </c>
      <c r="B246" s="139" t="str">
        <f ca="1">IFERROR(__xludf.DUMMYFUNCTION("""COMPUTED_VALUE"""),"CENTRAL OFFICE")</f>
        <v>CENTRAL OFFICE</v>
      </c>
      <c r="C246" s="139" t="str">
        <f ca="1">IFERROR(__xludf.DUMMYFUNCTION("""COMPUTED_VALUE"""),"ACER TRAVELMATE")</f>
        <v>ACER TRAVELMATE</v>
      </c>
      <c r="D246" s="142" t="str">
        <f ca="1">IFERROR(__xludf.DUMMYFUNCTION("""COMPUTED_VALUE"""),"₱ 46,580.00")</f>
        <v>₱ 46,580.00</v>
      </c>
      <c r="E246" s="139"/>
      <c r="F246" s="139" t="str">
        <f ca="1">IFERROR(__xludf.DUMMYFUNCTION("""COMPUTED_VALUE"""),"2024-05-03-10202SP-095")</f>
        <v>2024-05-03-10202SP-095</v>
      </c>
      <c r="G246" s="139"/>
      <c r="H246" s="139"/>
      <c r="I246" s="139"/>
      <c r="J246" s="139" t="str">
        <f ca="1">IFERROR(__xludf.DUMMYFUNCTION("""COMPUTED_VALUE"""),"SP002-2024")</f>
        <v>SP002-2024</v>
      </c>
      <c r="K246" s="139"/>
      <c r="L246" s="139" t="str">
        <f ca="1">IFERROR(__xludf.DUMMYFUNCTION("""COMPUTED_VALUE"""),"USEC FASPO")</f>
        <v>USEC FASPO</v>
      </c>
      <c r="M246" s="139" t="str">
        <f ca="1">IFERROR(__xludf.DUMMYFUNCTION("""COMPUTED_VALUE"""),"SERVICEABLE")</f>
        <v>SERVICEABLE</v>
      </c>
      <c r="N246" s="146"/>
    </row>
    <row r="247" spans="1:14" ht="14.4">
      <c r="A247" s="139" t="str">
        <f ca="1">IFERROR(__xludf.DUMMYFUNCTION("""COMPUTED_VALUE"""),"DARCO")</f>
        <v>DARCO</v>
      </c>
      <c r="B247" s="139" t="str">
        <f ca="1">IFERROR(__xludf.DUMMYFUNCTION("""COMPUTED_VALUE"""),"CENTRAL OFFICE")</f>
        <v>CENTRAL OFFICE</v>
      </c>
      <c r="C247" s="139" t="str">
        <f ca="1">IFERROR(__xludf.DUMMYFUNCTION("""COMPUTED_VALUE"""),"ACER TRAVELMATE")</f>
        <v>ACER TRAVELMATE</v>
      </c>
      <c r="D247" s="142" t="str">
        <f ca="1">IFERROR(__xludf.DUMMYFUNCTION("""COMPUTED_VALUE"""),"₱ 46,580.00")</f>
        <v>₱ 46,580.00</v>
      </c>
      <c r="E247" s="139"/>
      <c r="F247" s="139" t="str">
        <f ca="1">IFERROR(__xludf.DUMMYFUNCTION("""COMPUTED_VALUE"""),"2024-05-03-10202SP-096")</f>
        <v>2024-05-03-10202SP-096</v>
      </c>
      <c r="G247" s="139"/>
      <c r="H247" s="139" t="str">
        <f ca="1">IFERROR(__xludf.DUMMYFUNCTION("""COMPUTED_VALUE"""),"ATTY KAZEL CELESTE")</f>
        <v>ATTY KAZEL CELESTE</v>
      </c>
      <c r="I247" s="139" t="str">
        <f ca="1">IFERROR(__xludf.DUMMYFUNCTION("""COMPUTED_VALUE"""),"USEC")</f>
        <v>USEC</v>
      </c>
      <c r="J247" s="139" t="str">
        <f ca="1">IFERROR(__xludf.DUMMYFUNCTION("""COMPUTED_VALUE"""),"SP003-2024")</f>
        <v>SP003-2024</v>
      </c>
      <c r="K247" s="139"/>
      <c r="L247" s="139" t="str">
        <f ca="1">IFERROR(__xludf.DUMMYFUNCTION("""COMPUTED_VALUE"""),"USEC FOO")</f>
        <v>USEC FOO</v>
      </c>
      <c r="M247" s="139" t="str">
        <f ca="1">IFERROR(__xludf.DUMMYFUNCTION("""COMPUTED_VALUE"""),"SERVICEABLE")</f>
        <v>SERVICEABLE</v>
      </c>
      <c r="N247" s="146"/>
    </row>
    <row r="248" spans="1:14" ht="14.4">
      <c r="A248" s="139" t="str">
        <f ca="1">IFERROR(__xludf.DUMMYFUNCTION("""COMPUTED_VALUE"""),"DARCO")</f>
        <v>DARCO</v>
      </c>
      <c r="B248" s="139" t="str">
        <f ca="1">IFERROR(__xludf.DUMMYFUNCTION("""COMPUTED_VALUE"""),"CENTRAL OFFICE")</f>
        <v>CENTRAL OFFICE</v>
      </c>
      <c r="C248" s="139" t="str">
        <f ca="1">IFERROR(__xludf.DUMMYFUNCTION("""COMPUTED_VALUE"""),"ACER TRAVELMATE")</f>
        <v>ACER TRAVELMATE</v>
      </c>
      <c r="D248" s="142" t="str">
        <f ca="1">IFERROR(__xludf.DUMMYFUNCTION("""COMPUTED_VALUE"""),"₱ 46,580.00")</f>
        <v>₱ 46,580.00</v>
      </c>
      <c r="E248" s="139"/>
      <c r="F248" s="139" t="str">
        <f ca="1">IFERROR(__xludf.DUMMYFUNCTION("""COMPUTED_VALUE"""),"2024-05-03-10202SP-097")</f>
        <v>2024-05-03-10202SP-097</v>
      </c>
      <c r="G248" s="139"/>
      <c r="H248" s="139" t="str">
        <f ca="1">IFERROR(__xludf.DUMMYFUNCTION("""COMPUTED_VALUE"""),"ATTY KAZEL CELESTE")</f>
        <v>ATTY KAZEL CELESTE</v>
      </c>
      <c r="I248" s="139" t="str">
        <f ca="1">IFERROR(__xludf.DUMMYFUNCTION("""COMPUTED_VALUE"""),"USEC")</f>
        <v>USEC</v>
      </c>
      <c r="J248" s="139" t="str">
        <f ca="1">IFERROR(__xludf.DUMMYFUNCTION("""COMPUTED_VALUE"""),"SP003-2024")</f>
        <v>SP003-2024</v>
      </c>
      <c r="K248" s="139"/>
      <c r="L248" s="139" t="str">
        <f ca="1">IFERROR(__xludf.DUMMYFUNCTION("""COMPUTED_VALUE"""),"USEC FOO")</f>
        <v>USEC FOO</v>
      </c>
      <c r="M248" s="139" t="str">
        <f ca="1">IFERROR(__xludf.DUMMYFUNCTION("""COMPUTED_VALUE"""),"SERVICEABLE")</f>
        <v>SERVICEABLE</v>
      </c>
      <c r="N248" s="146"/>
    </row>
    <row r="249" spans="1:14" ht="14.4">
      <c r="A249" s="139" t="str">
        <f ca="1">IFERROR(__xludf.DUMMYFUNCTION("""COMPUTED_VALUE"""),"DARCO")</f>
        <v>DARCO</v>
      </c>
      <c r="B249" s="139" t="str">
        <f ca="1">IFERROR(__xludf.DUMMYFUNCTION("""COMPUTED_VALUE"""),"CENTRAL OFFICE")</f>
        <v>CENTRAL OFFICE</v>
      </c>
      <c r="C249" s="139" t="str">
        <f ca="1">IFERROR(__xludf.DUMMYFUNCTION("""COMPUTED_VALUE"""),"ACER TRAVELMATE")</f>
        <v>ACER TRAVELMATE</v>
      </c>
      <c r="D249" s="142" t="str">
        <f ca="1">IFERROR(__xludf.DUMMYFUNCTION("""COMPUTED_VALUE"""),"₱ 46,580.00")</f>
        <v>₱ 46,580.00</v>
      </c>
      <c r="E249" s="139"/>
      <c r="F249" s="139" t="str">
        <f ca="1">IFERROR(__xludf.DUMMYFUNCTION("""COMPUTED_VALUE"""),"2024-05-03-10202SP-098")</f>
        <v>2024-05-03-10202SP-098</v>
      </c>
      <c r="G249" s="139"/>
      <c r="H249" s="139" t="str">
        <f ca="1">IFERROR(__xludf.DUMMYFUNCTION("""COMPUTED_VALUE"""),"ATTY KAZEL CELESTE")</f>
        <v>ATTY KAZEL CELESTE</v>
      </c>
      <c r="I249" s="139" t="str">
        <f ca="1">IFERROR(__xludf.DUMMYFUNCTION("""COMPUTED_VALUE"""),"USEC")</f>
        <v>USEC</v>
      </c>
      <c r="J249" s="139" t="str">
        <f ca="1">IFERROR(__xludf.DUMMYFUNCTION("""COMPUTED_VALUE"""),"SP003-2024")</f>
        <v>SP003-2024</v>
      </c>
      <c r="K249" s="139"/>
      <c r="L249" s="139" t="str">
        <f ca="1">IFERROR(__xludf.DUMMYFUNCTION("""COMPUTED_VALUE"""),"USEC FOO")</f>
        <v>USEC FOO</v>
      </c>
      <c r="M249" s="139" t="str">
        <f ca="1">IFERROR(__xludf.DUMMYFUNCTION("""COMPUTED_VALUE"""),"SERVICEABLE")</f>
        <v>SERVICEABLE</v>
      </c>
      <c r="N249" s="146"/>
    </row>
    <row r="250" spans="1:14" ht="14.4">
      <c r="A250" s="139" t="str">
        <f ca="1">IFERROR(__xludf.DUMMYFUNCTION("""COMPUTED_VALUE"""),"DARCO")</f>
        <v>DARCO</v>
      </c>
      <c r="B250" s="139" t="str">
        <f ca="1">IFERROR(__xludf.DUMMYFUNCTION("""COMPUTED_VALUE"""),"CENTRAL OFFICE")</f>
        <v>CENTRAL OFFICE</v>
      </c>
      <c r="C250" s="139" t="str">
        <f ca="1">IFERROR(__xludf.DUMMYFUNCTION("""COMPUTED_VALUE"""),"ACER TRAVELMATE")</f>
        <v>ACER TRAVELMATE</v>
      </c>
      <c r="D250" s="142" t="str">
        <f ca="1">IFERROR(__xludf.DUMMYFUNCTION("""COMPUTED_VALUE"""),"₱ 46,580.00")</f>
        <v>₱ 46,580.00</v>
      </c>
      <c r="E250" s="139"/>
      <c r="F250" s="139" t="str">
        <f ca="1">IFERROR(__xludf.DUMMYFUNCTION("""COMPUTED_VALUE"""),"2024-05-03-10202SP-099")</f>
        <v>2024-05-03-10202SP-099</v>
      </c>
      <c r="G250" s="139"/>
      <c r="H250" s="139" t="str">
        <f ca="1">IFERROR(__xludf.DUMMYFUNCTION("""COMPUTED_VALUE"""),"ATTY KAZEL CELESTE")</f>
        <v>ATTY KAZEL CELESTE</v>
      </c>
      <c r="I250" s="139" t="str">
        <f ca="1">IFERROR(__xludf.DUMMYFUNCTION("""COMPUTED_VALUE"""),"USEC")</f>
        <v>USEC</v>
      </c>
      <c r="J250" s="139" t="str">
        <f ca="1">IFERROR(__xludf.DUMMYFUNCTION("""COMPUTED_VALUE"""),"SP003-2024")</f>
        <v>SP003-2024</v>
      </c>
      <c r="K250" s="139"/>
      <c r="L250" s="139" t="str">
        <f ca="1">IFERROR(__xludf.DUMMYFUNCTION("""COMPUTED_VALUE"""),"USEC FOO")</f>
        <v>USEC FOO</v>
      </c>
      <c r="M250" s="139" t="str">
        <f ca="1">IFERROR(__xludf.DUMMYFUNCTION("""COMPUTED_VALUE"""),"SERVICEABLE")</f>
        <v>SERVICEABLE</v>
      </c>
      <c r="N250" s="146"/>
    </row>
    <row r="251" spans="1:14" ht="14.4">
      <c r="A251" s="139" t="str">
        <f ca="1">IFERROR(__xludf.DUMMYFUNCTION("""COMPUTED_VALUE"""),"DARCO")</f>
        <v>DARCO</v>
      </c>
      <c r="B251" s="139" t="str">
        <f ca="1">IFERROR(__xludf.DUMMYFUNCTION("""COMPUTED_VALUE"""),"CENTRAL OFFICE")</f>
        <v>CENTRAL OFFICE</v>
      </c>
      <c r="C251" s="139" t="str">
        <f ca="1">IFERROR(__xludf.DUMMYFUNCTION("""COMPUTED_VALUE"""),"ACER TRAVELMATE")</f>
        <v>ACER TRAVELMATE</v>
      </c>
      <c r="D251" s="142" t="str">
        <f ca="1">IFERROR(__xludf.DUMMYFUNCTION("""COMPUTED_VALUE"""),"₱ 46,580.00")</f>
        <v>₱ 46,580.00</v>
      </c>
      <c r="E251" s="139"/>
      <c r="F251" s="139" t="str">
        <f ca="1">IFERROR(__xludf.DUMMYFUNCTION("""COMPUTED_VALUE"""),"2024-05-03-10202SP-100")</f>
        <v>2024-05-03-10202SP-100</v>
      </c>
      <c r="G251" s="139"/>
      <c r="H251" s="139" t="str">
        <f ca="1">IFERROR(__xludf.DUMMYFUNCTION("""COMPUTED_VALUE"""),"ATTY KAZEL CELESTE")</f>
        <v>ATTY KAZEL CELESTE</v>
      </c>
      <c r="I251" s="139" t="str">
        <f ca="1">IFERROR(__xludf.DUMMYFUNCTION("""COMPUTED_VALUE"""),"USEC")</f>
        <v>USEC</v>
      </c>
      <c r="J251" s="139" t="str">
        <f ca="1">IFERROR(__xludf.DUMMYFUNCTION("""COMPUTED_VALUE"""),"SP003-2024")</f>
        <v>SP003-2024</v>
      </c>
      <c r="K251" s="139"/>
      <c r="L251" s="139" t="str">
        <f ca="1">IFERROR(__xludf.DUMMYFUNCTION("""COMPUTED_VALUE"""),"USEC FOO")</f>
        <v>USEC FOO</v>
      </c>
      <c r="M251" s="139" t="str">
        <f ca="1">IFERROR(__xludf.DUMMYFUNCTION("""COMPUTED_VALUE"""),"SERVICEABLE")</f>
        <v>SERVICEABLE</v>
      </c>
      <c r="N251" s="146"/>
    </row>
    <row r="252" spans="1:14" ht="14.4">
      <c r="A252" s="139" t="str">
        <f ca="1">IFERROR(__xludf.DUMMYFUNCTION("""COMPUTED_VALUE"""),"DARCO")</f>
        <v>DARCO</v>
      </c>
      <c r="B252" s="139" t="str">
        <f ca="1">IFERROR(__xludf.DUMMYFUNCTION("""COMPUTED_VALUE"""),"CENTRAL OFFICE")</f>
        <v>CENTRAL OFFICE</v>
      </c>
      <c r="C252" s="139" t="str">
        <f ca="1">IFERROR(__xludf.DUMMYFUNCTION("""COMPUTED_VALUE"""),"ACER TRAVELMATE")</f>
        <v>ACER TRAVELMATE</v>
      </c>
      <c r="D252" s="142" t="str">
        <f ca="1">IFERROR(__xludf.DUMMYFUNCTION("""COMPUTED_VALUE"""),"₱ 46,580.00")</f>
        <v>₱ 46,580.00</v>
      </c>
      <c r="E252" s="139"/>
      <c r="F252" s="139" t="str">
        <f ca="1">IFERROR(__xludf.DUMMYFUNCTION("""COMPUTED_VALUE"""),"2024-05-03-10202SP-101")</f>
        <v>2024-05-03-10202SP-101</v>
      </c>
      <c r="G252" s="139"/>
      <c r="H252" s="139" t="str">
        <f ca="1">IFERROR(__xludf.DUMMYFUNCTION("""COMPUTED_VALUE"""),"ATTY KAZEL CELESTE")</f>
        <v>ATTY KAZEL CELESTE</v>
      </c>
      <c r="I252" s="139" t="str">
        <f ca="1">IFERROR(__xludf.DUMMYFUNCTION("""COMPUTED_VALUE"""),"USEC")</f>
        <v>USEC</v>
      </c>
      <c r="J252" s="139" t="str">
        <f ca="1">IFERROR(__xludf.DUMMYFUNCTION("""COMPUTED_VALUE"""),"SP003-2024")</f>
        <v>SP003-2024</v>
      </c>
      <c r="K252" s="139"/>
      <c r="L252" s="139" t="str">
        <f ca="1">IFERROR(__xludf.DUMMYFUNCTION("""COMPUTED_VALUE"""),"USEC FOO")</f>
        <v>USEC FOO</v>
      </c>
      <c r="M252" s="139" t="str">
        <f ca="1">IFERROR(__xludf.DUMMYFUNCTION("""COMPUTED_VALUE"""),"SERVICEABLE")</f>
        <v>SERVICEABLE</v>
      </c>
      <c r="N252" s="146"/>
    </row>
    <row r="253" spans="1:14" ht="14.4">
      <c r="A253" s="139" t="str">
        <f ca="1">IFERROR(__xludf.DUMMYFUNCTION("""COMPUTED_VALUE"""),"DARCO")</f>
        <v>DARCO</v>
      </c>
      <c r="B253" s="139" t="str">
        <f ca="1">IFERROR(__xludf.DUMMYFUNCTION("""COMPUTED_VALUE"""),"CENTRAL OFFICE")</f>
        <v>CENTRAL OFFICE</v>
      </c>
      <c r="C253" s="139" t="str">
        <f ca="1">IFERROR(__xludf.DUMMYFUNCTION("""COMPUTED_VALUE"""),"ACER TRAVELMATE")</f>
        <v>ACER TRAVELMATE</v>
      </c>
      <c r="D253" s="142" t="str">
        <f ca="1">IFERROR(__xludf.DUMMYFUNCTION("""COMPUTED_VALUE"""),"₱ 46,580.00")</f>
        <v>₱ 46,580.00</v>
      </c>
      <c r="E253" s="139"/>
      <c r="F253" s="139" t="str">
        <f ca="1">IFERROR(__xludf.DUMMYFUNCTION("""COMPUTED_VALUE"""),"2024-05-03-10202SP-102")</f>
        <v>2024-05-03-10202SP-102</v>
      </c>
      <c r="G253" s="139"/>
      <c r="H253" s="139" t="str">
        <f ca="1">IFERROR(__xludf.DUMMYFUNCTION("""COMPUTED_VALUE"""),"ATTY KAZEL CELESTE")</f>
        <v>ATTY KAZEL CELESTE</v>
      </c>
      <c r="I253" s="139" t="str">
        <f ca="1">IFERROR(__xludf.DUMMYFUNCTION("""COMPUTED_VALUE"""),"USEC")</f>
        <v>USEC</v>
      </c>
      <c r="J253" s="139" t="str">
        <f ca="1">IFERROR(__xludf.DUMMYFUNCTION("""COMPUTED_VALUE"""),"SP003-2024")</f>
        <v>SP003-2024</v>
      </c>
      <c r="K253" s="139"/>
      <c r="L253" s="139" t="str">
        <f ca="1">IFERROR(__xludf.DUMMYFUNCTION("""COMPUTED_VALUE"""),"USEC FOO")</f>
        <v>USEC FOO</v>
      </c>
      <c r="M253" s="139" t="str">
        <f ca="1">IFERROR(__xludf.DUMMYFUNCTION("""COMPUTED_VALUE"""),"SERVICEABLE")</f>
        <v>SERVICEABLE</v>
      </c>
      <c r="N253" s="146"/>
    </row>
    <row r="254" spans="1:14" ht="14.4">
      <c r="A254" s="139" t="str">
        <f ca="1">IFERROR(__xludf.DUMMYFUNCTION("""COMPUTED_VALUE"""),"DARCO")</f>
        <v>DARCO</v>
      </c>
      <c r="B254" s="139" t="str">
        <f ca="1">IFERROR(__xludf.DUMMYFUNCTION("""COMPUTED_VALUE"""),"CENTRAL OFFICE")</f>
        <v>CENTRAL OFFICE</v>
      </c>
      <c r="C254" s="139" t="str">
        <f ca="1">IFERROR(__xludf.DUMMYFUNCTION("""COMPUTED_VALUE"""),"ACER TRAVELMATE")</f>
        <v>ACER TRAVELMATE</v>
      </c>
      <c r="D254" s="142" t="str">
        <f ca="1">IFERROR(__xludf.DUMMYFUNCTION("""COMPUTED_VALUE"""),"₱ 46,580.00")</f>
        <v>₱ 46,580.00</v>
      </c>
      <c r="E254" s="139"/>
      <c r="F254" s="139" t="str">
        <f ca="1">IFERROR(__xludf.DUMMYFUNCTION("""COMPUTED_VALUE"""),"2024-05-03-10202SP-103")</f>
        <v>2024-05-03-10202SP-103</v>
      </c>
      <c r="G254" s="139"/>
      <c r="H254" s="139" t="str">
        <f ca="1">IFERROR(__xludf.DUMMYFUNCTION("""COMPUTED_VALUE"""),"LANI C DE LEON")</f>
        <v>LANI C DE LEON</v>
      </c>
      <c r="I254" s="139" t="str">
        <f ca="1">IFERROR(__xludf.DUMMYFUNCTION("""COMPUTED_VALUE"""),"USEC")</f>
        <v>USEC</v>
      </c>
      <c r="J254" s="139" t="str">
        <f ca="1">IFERROR(__xludf.DUMMYFUNCTION("""COMPUTED_VALUE"""),"SP004-2024")</f>
        <v>SP004-2024</v>
      </c>
      <c r="K254" s="139"/>
      <c r="L254" s="139" t="str">
        <f ca="1">IFERROR(__xludf.DUMMYFUNCTION("""COMPUTED_VALUE"""),"USEC FMAO")</f>
        <v>USEC FMAO</v>
      </c>
      <c r="M254" s="139" t="str">
        <f ca="1">IFERROR(__xludf.DUMMYFUNCTION("""COMPUTED_VALUE"""),"SERVICEABLE")</f>
        <v>SERVICEABLE</v>
      </c>
      <c r="N254" s="146"/>
    </row>
    <row r="255" spans="1:14" ht="14.4">
      <c r="A255" s="139" t="str">
        <f ca="1">IFERROR(__xludf.DUMMYFUNCTION("""COMPUTED_VALUE"""),"DARCO")</f>
        <v>DARCO</v>
      </c>
      <c r="B255" s="139" t="str">
        <f ca="1">IFERROR(__xludf.DUMMYFUNCTION("""COMPUTED_VALUE"""),"CENTRAL OFFICE")</f>
        <v>CENTRAL OFFICE</v>
      </c>
      <c r="C255" s="139" t="str">
        <f ca="1">IFERROR(__xludf.DUMMYFUNCTION("""COMPUTED_VALUE"""),"ACER TRAVELMATE")</f>
        <v>ACER TRAVELMATE</v>
      </c>
      <c r="D255" s="142" t="str">
        <f ca="1">IFERROR(__xludf.DUMMYFUNCTION("""COMPUTED_VALUE"""),"₱ 46,580.00")</f>
        <v>₱ 46,580.00</v>
      </c>
      <c r="E255" s="139"/>
      <c r="F255" s="139" t="str">
        <f ca="1">IFERROR(__xludf.DUMMYFUNCTION("""COMPUTED_VALUE"""),"2024-05-03-10202SP-104")</f>
        <v>2024-05-03-10202SP-104</v>
      </c>
      <c r="G255" s="139"/>
      <c r="H255" s="139" t="str">
        <f ca="1">IFERROR(__xludf.DUMMYFUNCTION("""COMPUTED_VALUE"""),"LANI C DE LEON")</f>
        <v>LANI C DE LEON</v>
      </c>
      <c r="I255" s="139" t="str">
        <f ca="1">IFERROR(__xludf.DUMMYFUNCTION("""COMPUTED_VALUE"""),"USEC")</f>
        <v>USEC</v>
      </c>
      <c r="J255" s="139" t="str">
        <f ca="1">IFERROR(__xludf.DUMMYFUNCTION("""COMPUTED_VALUE"""),"SP004-2024")</f>
        <v>SP004-2024</v>
      </c>
      <c r="K255" s="139"/>
      <c r="L255" s="139" t="str">
        <f ca="1">IFERROR(__xludf.DUMMYFUNCTION("""COMPUTED_VALUE"""),"USEC FMAO")</f>
        <v>USEC FMAO</v>
      </c>
      <c r="M255" s="139" t="str">
        <f ca="1">IFERROR(__xludf.DUMMYFUNCTION("""COMPUTED_VALUE"""),"SERVICEABLE")</f>
        <v>SERVICEABLE</v>
      </c>
      <c r="N255" s="146"/>
    </row>
    <row r="256" spans="1:14" ht="14.4">
      <c r="A256" s="139" t="str">
        <f ca="1">IFERROR(__xludf.DUMMYFUNCTION("""COMPUTED_VALUE"""),"DARCO")</f>
        <v>DARCO</v>
      </c>
      <c r="B256" s="139" t="str">
        <f ca="1">IFERROR(__xludf.DUMMYFUNCTION("""COMPUTED_VALUE"""),"CENTRAL OFFICE")</f>
        <v>CENTRAL OFFICE</v>
      </c>
      <c r="C256" s="139" t="str">
        <f ca="1">IFERROR(__xludf.DUMMYFUNCTION("""COMPUTED_VALUE"""),"ACER TRAVELMATE")</f>
        <v>ACER TRAVELMATE</v>
      </c>
      <c r="D256" s="142" t="str">
        <f ca="1">IFERROR(__xludf.DUMMYFUNCTION("""COMPUTED_VALUE"""),"₱ 46,580.00")</f>
        <v>₱ 46,580.00</v>
      </c>
      <c r="E256" s="139"/>
      <c r="F256" s="139" t="str">
        <f ca="1">IFERROR(__xludf.DUMMYFUNCTION("""COMPUTED_VALUE"""),"2024-05-03-10202SP-105")</f>
        <v>2024-05-03-10202SP-105</v>
      </c>
      <c r="G256" s="139"/>
      <c r="H256" s="139" t="str">
        <f ca="1">IFERROR(__xludf.DUMMYFUNCTION("""COMPUTED_VALUE"""),"LANI C DE LEON")</f>
        <v>LANI C DE LEON</v>
      </c>
      <c r="I256" s="139" t="str">
        <f ca="1">IFERROR(__xludf.DUMMYFUNCTION("""COMPUTED_VALUE"""),"USEC")</f>
        <v>USEC</v>
      </c>
      <c r="J256" s="139" t="str">
        <f ca="1">IFERROR(__xludf.DUMMYFUNCTION("""COMPUTED_VALUE"""),"SP004-2024")</f>
        <v>SP004-2024</v>
      </c>
      <c r="K256" s="139"/>
      <c r="L256" s="139" t="str">
        <f ca="1">IFERROR(__xludf.DUMMYFUNCTION("""COMPUTED_VALUE"""),"USEC FMAO")</f>
        <v>USEC FMAO</v>
      </c>
      <c r="M256" s="139" t="str">
        <f ca="1">IFERROR(__xludf.DUMMYFUNCTION("""COMPUTED_VALUE"""),"SERVICEABLE")</f>
        <v>SERVICEABLE</v>
      </c>
      <c r="N256" s="146"/>
    </row>
    <row r="257" spans="1:14" ht="14.4">
      <c r="A257" s="139" t="str">
        <f ca="1">IFERROR(__xludf.DUMMYFUNCTION("""COMPUTED_VALUE"""),"DARCO")</f>
        <v>DARCO</v>
      </c>
      <c r="B257" s="139" t="str">
        <f ca="1">IFERROR(__xludf.DUMMYFUNCTION("""COMPUTED_VALUE"""),"CENTRAL OFFICE")</f>
        <v>CENTRAL OFFICE</v>
      </c>
      <c r="C257" s="139" t="str">
        <f ca="1">IFERROR(__xludf.DUMMYFUNCTION("""COMPUTED_VALUE"""),"ACER TRAVELMATE")</f>
        <v>ACER TRAVELMATE</v>
      </c>
      <c r="D257" s="142" t="str">
        <f ca="1">IFERROR(__xludf.DUMMYFUNCTION("""COMPUTED_VALUE"""),"₱ 46,580.00")</f>
        <v>₱ 46,580.00</v>
      </c>
      <c r="E257" s="139"/>
      <c r="F257" s="139" t="str">
        <f ca="1">IFERROR(__xludf.DUMMYFUNCTION("""COMPUTED_VALUE"""),"2024-05-03-10202SP-106")</f>
        <v>2024-05-03-10202SP-106</v>
      </c>
      <c r="G257" s="139"/>
      <c r="H257" s="139" t="str">
        <f ca="1">IFERROR(__xludf.DUMMYFUNCTION("""COMPUTED_VALUE"""),"AMIHILDA SANGCOPAN")</f>
        <v>AMIHILDA SANGCOPAN</v>
      </c>
      <c r="I257" s="139" t="str">
        <f ca="1">IFERROR(__xludf.DUMMYFUNCTION("""COMPUTED_VALUE"""),"USEC")</f>
        <v>USEC</v>
      </c>
      <c r="J257" s="139" t="str">
        <f ca="1">IFERROR(__xludf.DUMMYFUNCTION("""COMPUTED_VALUE"""),"SP005-2024")</f>
        <v>SP005-2024</v>
      </c>
      <c r="K257" s="139"/>
      <c r="L257" s="139" t="str">
        <f ca="1">IFERROR(__xludf.DUMMYFUNCTION("""COMPUTED_VALUE"""),"USEC OMA")</f>
        <v>USEC OMA</v>
      </c>
      <c r="M257" s="139" t="str">
        <f ca="1">IFERROR(__xludf.DUMMYFUNCTION("""COMPUTED_VALUE"""),"SERVICEABLE")</f>
        <v>SERVICEABLE</v>
      </c>
      <c r="N257" s="146"/>
    </row>
    <row r="258" spans="1:14" ht="14.4">
      <c r="A258" s="139" t="str">
        <f ca="1">IFERROR(__xludf.DUMMYFUNCTION("""COMPUTED_VALUE"""),"DARCO")</f>
        <v>DARCO</v>
      </c>
      <c r="B258" s="139" t="str">
        <f ca="1">IFERROR(__xludf.DUMMYFUNCTION("""COMPUTED_VALUE"""),"CENTRAL OFFICE")</f>
        <v>CENTRAL OFFICE</v>
      </c>
      <c r="C258" s="139" t="str">
        <f ca="1">IFERROR(__xludf.DUMMYFUNCTION("""COMPUTED_VALUE"""),"ACER TRAVELMATE")</f>
        <v>ACER TRAVELMATE</v>
      </c>
      <c r="D258" s="142" t="str">
        <f ca="1">IFERROR(__xludf.DUMMYFUNCTION("""COMPUTED_VALUE"""),"₱ 46,580.00")</f>
        <v>₱ 46,580.00</v>
      </c>
      <c r="E258" s="139"/>
      <c r="F258" s="139" t="str">
        <f ca="1">IFERROR(__xludf.DUMMYFUNCTION("""COMPUTED_VALUE"""),"2024-05-03-10202SP-107")</f>
        <v>2024-05-03-10202SP-107</v>
      </c>
      <c r="G258" s="139"/>
      <c r="H258" s="139" t="str">
        <f ca="1">IFERROR(__xludf.DUMMYFUNCTION("""COMPUTED_VALUE"""),"AMIHILDA SANGCOPAN")</f>
        <v>AMIHILDA SANGCOPAN</v>
      </c>
      <c r="I258" s="139" t="str">
        <f ca="1">IFERROR(__xludf.DUMMYFUNCTION("""COMPUTED_VALUE"""),"USEC")</f>
        <v>USEC</v>
      </c>
      <c r="J258" s="139" t="str">
        <f ca="1">IFERROR(__xludf.DUMMYFUNCTION("""COMPUTED_VALUE"""),"SP005-2024")</f>
        <v>SP005-2024</v>
      </c>
      <c r="K258" s="139"/>
      <c r="L258" s="139" t="str">
        <f ca="1">IFERROR(__xludf.DUMMYFUNCTION("""COMPUTED_VALUE"""),"USEC OMA")</f>
        <v>USEC OMA</v>
      </c>
      <c r="M258" s="139" t="str">
        <f ca="1">IFERROR(__xludf.DUMMYFUNCTION("""COMPUTED_VALUE"""),"SERVICEABLE")</f>
        <v>SERVICEABLE</v>
      </c>
      <c r="N258" s="146"/>
    </row>
    <row r="259" spans="1:14" ht="14.4">
      <c r="A259" s="139" t="str">
        <f ca="1">IFERROR(__xludf.DUMMYFUNCTION("""COMPUTED_VALUE"""),"DARCO")</f>
        <v>DARCO</v>
      </c>
      <c r="B259" s="139" t="str">
        <f ca="1">IFERROR(__xludf.DUMMYFUNCTION("""COMPUTED_VALUE"""),"CENTRAL OFFICE")</f>
        <v>CENTRAL OFFICE</v>
      </c>
      <c r="C259" s="139" t="str">
        <f ca="1">IFERROR(__xludf.DUMMYFUNCTION("""COMPUTED_VALUE"""),"ACER TRAVELMATE")</f>
        <v>ACER TRAVELMATE</v>
      </c>
      <c r="D259" s="142" t="str">
        <f ca="1">IFERROR(__xludf.DUMMYFUNCTION("""COMPUTED_VALUE"""),"₱ 46,580.00")</f>
        <v>₱ 46,580.00</v>
      </c>
      <c r="E259" s="139"/>
      <c r="F259" s="139" t="str">
        <f ca="1">IFERROR(__xludf.DUMMYFUNCTION("""COMPUTED_VALUE"""),"2024-05-03-10202SP-108")</f>
        <v>2024-05-03-10202SP-108</v>
      </c>
      <c r="G259" s="139"/>
      <c r="H259" s="139" t="str">
        <f ca="1">IFERROR(__xludf.DUMMYFUNCTION("""COMPUTED_VALUE"""),"AMIHILDA SANGCOPAN")</f>
        <v>AMIHILDA SANGCOPAN</v>
      </c>
      <c r="I259" s="139" t="str">
        <f ca="1">IFERROR(__xludf.DUMMYFUNCTION("""COMPUTED_VALUE"""),"USEC")</f>
        <v>USEC</v>
      </c>
      <c r="J259" s="139" t="str">
        <f ca="1">IFERROR(__xludf.DUMMYFUNCTION("""COMPUTED_VALUE"""),"SP005-2024")</f>
        <v>SP005-2024</v>
      </c>
      <c r="K259" s="139"/>
      <c r="L259" s="139" t="str">
        <f ca="1">IFERROR(__xludf.DUMMYFUNCTION("""COMPUTED_VALUE"""),"USEC OMA")</f>
        <v>USEC OMA</v>
      </c>
      <c r="M259" s="139" t="str">
        <f ca="1">IFERROR(__xludf.DUMMYFUNCTION("""COMPUTED_VALUE"""),"SERVICEABLE")</f>
        <v>SERVICEABLE</v>
      </c>
      <c r="N259" s="146"/>
    </row>
    <row r="260" spans="1:14" ht="14.4">
      <c r="A260" s="139" t="str">
        <f ca="1">IFERROR(__xludf.DUMMYFUNCTION("""COMPUTED_VALUE"""),"DARCO")</f>
        <v>DARCO</v>
      </c>
      <c r="B260" s="139" t="str">
        <f ca="1">IFERROR(__xludf.DUMMYFUNCTION("""COMPUTED_VALUE"""),"CENTRAL OFFICE")</f>
        <v>CENTRAL OFFICE</v>
      </c>
      <c r="C260" s="139" t="str">
        <f ca="1">IFERROR(__xludf.DUMMYFUNCTION("""COMPUTED_VALUE"""),"ACER TRAVELMATE")</f>
        <v>ACER TRAVELMATE</v>
      </c>
      <c r="D260" s="142" t="str">
        <f ca="1">IFERROR(__xludf.DUMMYFUNCTION("""COMPUTED_VALUE"""),"₱ 46,580.00")</f>
        <v>₱ 46,580.00</v>
      </c>
      <c r="E260" s="139"/>
      <c r="F260" s="139" t="str">
        <f ca="1">IFERROR(__xludf.DUMMYFUNCTION("""COMPUTED_VALUE"""),"2024-05-03-10202SP-109")</f>
        <v>2024-05-03-10202SP-109</v>
      </c>
      <c r="G260" s="139"/>
      <c r="H260" s="139"/>
      <c r="I260" s="139"/>
      <c r="J260" s="139" t="str">
        <f ca="1">IFERROR(__xludf.DUMMYFUNCTION("""COMPUTED_VALUE"""),"SP006-2024")</f>
        <v>SP006-2024</v>
      </c>
      <c r="K260" s="139"/>
      <c r="L260" s="139" t="str">
        <f ca="1">IFERROR(__xludf.DUMMYFUNCTION("""COMPUTED_VALUE"""),"USSO")</f>
        <v>USSO</v>
      </c>
      <c r="M260" s="139" t="str">
        <f ca="1">IFERROR(__xludf.DUMMYFUNCTION("""COMPUTED_VALUE"""),"SERVICEABLE")</f>
        <v>SERVICEABLE</v>
      </c>
      <c r="N260" s="146"/>
    </row>
    <row r="261" spans="1:14" ht="14.4">
      <c r="A261" s="139" t="str">
        <f ca="1">IFERROR(__xludf.DUMMYFUNCTION("""COMPUTED_VALUE"""),"DARCO")</f>
        <v>DARCO</v>
      </c>
      <c r="B261" s="139" t="str">
        <f ca="1">IFERROR(__xludf.DUMMYFUNCTION("""COMPUTED_VALUE"""),"CENTRAL OFFICE")</f>
        <v>CENTRAL OFFICE</v>
      </c>
      <c r="C261" s="139" t="str">
        <f ca="1">IFERROR(__xludf.DUMMYFUNCTION("""COMPUTED_VALUE"""),"ACER TRAVELMATE")</f>
        <v>ACER TRAVELMATE</v>
      </c>
      <c r="D261" s="142" t="str">
        <f ca="1">IFERROR(__xludf.DUMMYFUNCTION("""COMPUTED_VALUE"""),"₱ 46,580.00")</f>
        <v>₱ 46,580.00</v>
      </c>
      <c r="E261" s="139"/>
      <c r="F261" s="139" t="str">
        <f ca="1">IFERROR(__xludf.DUMMYFUNCTION("""COMPUTED_VALUE"""),"2024-05-03-10202SP-110")</f>
        <v>2024-05-03-10202SP-110</v>
      </c>
      <c r="G261" s="139"/>
      <c r="H261" s="139"/>
      <c r="I261" s="139"/>
      <c r="J261" s="139" t="str">
        <f ca="1">IFERROR(__xludf.DUMMYFUNCTION("""COMPUTED_VALUE"""),"SP006-2024")</f>
        <v>SP006-2024</v>
      </c>
      <c r="K261" s="139"/>
      <c r="L261" s="139" t="str">
        <f ca="1">IFERROR(__xludf.DUMMYFUNCTION("""COMPUTED_VALUE"""),"USSO")</f>
        <v>USSO</v>
      </c>
      <c r="M261" s="139" t="str">
        <f ca="1">IFERROR(__xludf.DUMMYFUNCTION("""COMPUTED_VALUE"""),"SERVICEABLE")</f>
        <v>SERVICEABLE</v>
      </c>
      <c r="N261" s="146"/>
    </row>
    <row r="262" spans="1:14" ht="14.4">
      <c r="A262" s="139" t="str">
        <f ca="1">IFERROR(__xludf.DUMMYFUNCTION("""COMPUTED_VALUE"""),"DARCO")</f>
        <v>DARCO</v>
      </c>
      <c r="B262" s="139" t="str">
        <f ca="1">IFERROR(__xludf.DUMMYFUNCTION("""COMPUTED_VALUE"""),"CENTRAL OFFICE")</f>
        <v>CENTRAL OFFICE</v>
      </c>
      <c r="C262" s="139" t="str">
        <f ca="1">IFERROR(__xludf.DUMMYFUNCTION("""COMPUTED_VALUE"""),"ACER TRAVELMATE")</f>
        <v>ACER TRAVELMATE</v>
      </c>
      <c r="D262" s="142" t="str">
        <f ca="1">IFERROR(__xludf.DUMMYFUNCTION("""COMPUTED_VALUE"""),"₱ 46,580.00")</f>
        <v>₱ 46,580.00</v>
      </c>
      <c r="E262" s="139"/>
      <c r="F262" s="139" t="str">
        <f ca="1">IFERROR(__xludf.DUMMYFUNCTION("""COMPUTED_VALUE"""),"2024-05-03-10202SP-111")</f>
        <v>2024-05-03-10202SP-111</v>
      </c>
      <c r="G262" s="139"/>
      <c r="H262" s="139"/>
      <c r="I262" s="139"/>
      <c r="J262" s="139" t="str">
        <f ca="1">IFERROR(__xludf.DUMMYFUNCTION("""COMPUTED_VALUE"""),"SP006-2024")</f>
        <v>SP006-2024</v>
      </c>
      <c r="K262" s="139"/>
      <c r="L262" s="139" t="str">
        <f ca="1">IFERROR(__xludf.DUMMYFUNCTION("""COMPUTED_VALUE"""),"USSO")</f>
        <v>USSO</v>
      </c>
      <c r="M262" s="139" t="str">
        <f ca="1">IFERROR(__xludf.DUMMYFUNCTION("""COMPUTED_VALUE"""),"SERVICEABLE")</f>
        <v>SERVICEABLE</v>
      </c>
      <c r="N262" s="146"/>
    </row>
    <row r="263" spans="1:14" ht="14.4">
      <c r="A263" s="139" t="str">
        <f ca="1">IFERROR(__xludf.DUMMYFUNCTION("""COMPUTED_VALUE"""),"DARCO")</f>
        <v>DARCO</v>
      </c>
      <c r="B263" s="139" t="str">
        <f ca="1">IFERROR(__xludf.DUMMYFUNCTION("""COMPUTED_VALUE"""),"CENTRAL OFFICE")</f>
        <v>CENTRAL OFFICE</v>
      </c>
      <c r="C263" s="139" t="str">
        <f ca="1">IFERROR(__xludf.DUMMYFUNCTION("""COMPUTED_VALUE"""),"ACER TRAVELMATE")</f>
        <v>ACER TRAVELMATE</v>
      </c>
      <c r="D263" s="142" t="str">
        <f ca="1">IFERROR(__xludf.DUMMYFUNCTION("""COMPUTED_VALUE"""),"₱ 46,580.00")</f>
        <v>₱ 46,580.00</v>
      </c>
      <c r="E263" s="139"/>
      <c r="F263" s="139" t="str">
        <f ca="1">IFERROR(__xludf.DUMMYFUNCTION("""COMPUTED_VALUE"""),"2024-05-03-10202SP-112")</f>
        <v>2024-05-03-10202SP-112</v>
      </c>
      <c r="G263" s="139"/>
      <c r="H263" s="139"/>
      <c r="I263" s="139"/>
      <c r="J263" s="139" t="str">
        <f ca="1">IFERROR(__xludf.DUMMYFUNCTION("""COMPUTED_VALUE"""),"SP006-2024")</f>
        <v>SP006-2024</v>
      </c>
      <c r="K263" s="139"/>
      <c r="L263" s="139" t="str">
        <f ca="1">IFERROR(__xludf.DUMMYFUNCTION("""COMPUTED_VALUE"""),"USSO")</f>
        <v>USSO</v>
      </c>
      <c r="M263" s="139" t="str">
        <f ca="1">IFERROR(__xludf.DUMMYFUNCTION("""COMPUTED_VALUE"""),"SERVICEABLE")</f>
        <v>SERVICEABLE</v>
      </c>
      <c r="N263" s="146"/>
    </row>
    <row r="264" spans="1:14" ht="14.4">
      <c r="A264" s="139" t="str">
        <f ca="1">IFERROR(__xludf.DUMMYFUNCTION("""COMPUTED_VALUE"""),"DARCO")</f>
        <v>DARCO</v>
      </c>
      <c r="B264" s="139" t="str">
        <f ca="1">IFERROR(__xludf.DUMMYFUNCTION("""COMPUTED_VALUE"""),"CENTRAL OFFICE")</f>
        <v>CENTRAL OFFICE</v>
      </c>
      <c r="C264" s="139" t="str">
        <f ca="1">IFERROR(__xludf.DUMMYFUNCTION("""COMPUTED_VALUE"""),"ACER TRAVELMATE")</f>
        <v>ACER TRAVELMATE</v>
      </c>
      <c r="D264" s="142" t="str">
        <f ca="1">IFERROR(__xludf.DUMMYFUNCTION("""COMPUTED_VALUE"""),"₱ 46,580.00")</f>
        <v>₱ 46,580.00</v>
      </c>
      <c r="E264" s="139"/>
      <c r="F264" s="139" t="str">
        <f ca="1">IFERROR(__xludf.DUMMYFUNCTION("""COMPUTED_VALUE"""),"2024-05-03-10202SP-113")</f>
        <v>2024-05-03-10202SP-113</v>
      </c>
      <c r="G264" s="139"/>
      <c r="H264" s="139"/>
      <c r="I264" s="139"/>
      <c r="J264" s="139" t="str">
        <f ca="1">IFERROR(__xludf.DUMMYFUNCTION("""COMPUTED_VALUE"""),"SP006-2024")</f>
        <v>SP006-2024</v>
      </c>
      <c r="K264" s="139"/>
      <c r="L264" s="139" t="str">
        <f ca="1">IFERROR(__xludf.DUMMYFUNCTION("""COMPUTED_VALUE"""),"USSO")</f>
        <v>USSO</v>
      </c>
      <c r="M264" s="139" t="str">
        <f ca="1">IFERROR(__xludf.DUMMYFUNCTION("""COMPUTED_VALUE"""),"SERVICEABLE")</f>
        <v>SERVICEABLE</v>
      </c>
      <c r="N264" s="146"/>
    </row>
    <row r="265" spans="1:14" ht="14.4">
      <c r="A265" s="139" t="str">
        <f ca="1">IFERROR(__xludf.DUMMYFUNCTION("""COMPUTED_VALUE"""),"DARCO")</f>
        <v>DARCO</v>
      </c>
      <c r="B265" s="139" t="str">
        <f ca="1">IFERROR(__xludf.DUMMYFUNCTION("""COMPUTED_VALUE"""),"CENTRAL OFFICE")</f>
        <v>CENTRAL OFFICE</v>
      </c>
      <c r="C265" s="139" t="str">
        <f ca="1">IFERROR(__xludf.DUMMYFUNCTION("""COMPUTED_VALUE"""),"ACER TRAVELMATE")</f>
        <v>ACER TRAVELMATE</v>
      </c>
      <c r="D265" s="142" t="str">
        <f ca="1">IFERROR(__xludf.DUMMYFUNCTION("""COMPUTED_VALUE"""),"₱ 46,580.00")</f>
        <v>₱ 46,580.00</v>
      </c>
      <c r="E265" s="139"/>
      <c r="F265" s="139" t="str">
        <f ca="1">IFERROR(__xludf.DUMMYFUNCTION("""COMPUTED_VALUE"""),"2024-05-03-10202SP-114")</f>
        <v>2024-05-03-10202SP-114</v>
      </c>
      <c r="G265" s="139"/>
      <c r="H265" s="139"/>
      <c r="I265" s="139"/>
      <c r="J265" s="139" t="str">
        <f ca="1">IFERROR(__xludf.DUMMYFUNCTION("""COMPUTED_VALUE"""),"SP006-2024")</f>
        <v>SP006-2024</v>
      </c>
      <c r="K265" s="139"/>
      <c r="L265" s="139" t="str">
        <f ca="1">IFERROR(__xludf.DUMMYFUNCTION("""COMPUTED_VALUE"""),"USSO")</f>
        <v>USSO</v>
      </c>
      <c r="M265" s="139" t="str">
        <f ca="1">IFERROR(__xludf.DUMMYFUNCTION("""COMPUTED_VALUE"""),"SERVICEABLE")</f>
        <v>SERVICEABLE</v>
      </c>
      <c r="N265" s="146"/>
    </row>
    <row r="266" spans="1:14" ht="14.4">
      <c r="A266" s="139" t="str">
        <f ca="1">IFERROR(__xludf.DUMMYFUNCTION("""COMPUTED_VALUE"""),"DARCO")</f>
        <v>DARCO</v>
      </c>
      <c r="B266" s="139" t="str">
        <f ca="1">IFERROR(__xludf.DUMMYFUNCTION("""COMPUTED_VALUE"""),"CENTRAL OFFICE")</f>
        <v>CENTRAL OFFICE</v>
      </c>
      <c r="C266" s="139" t="str">
        <f ca="1">IFERROR(__xludf.DUMMYFUNCTION("""COMPUTED_VALUE"""),"ACER TRAVELMATE")</f>
        <v>ACER TRAVELMATE</v>
      </c>
      <c r="D266" s="142" t="str">
        <f ca="1">IFERROR(__xludf.DUMMYFUNCTION("""COMPUTED_VALUE"""),"₱ 46,580.00")</f>
        <v>₱ 46,580.00</v>
      </c>
      <c r="E266" s="139"/>
      <c r="F266" s="139" t="str">
        <f ca="1">IFERROR(__xludf.DUMMYFUNCTION("""COMPUTED_VALUE"""),"2024-05-03-10202SP-115")</f>
        <v>2024-05-03-10202SP-115</v>
      </c>
      <c r="G266" s="139"/>
      <c r="H266" s="139"/>
      <c r="I266" s="139"/>
      <c r="J266" s="139" t="str">
        <f ca="1">IFERROR(__xludf.DUMMYFUNCTION("""COMPUTED_VALUE"""),"SP006-2024")</f>
        <v>SP006-2024</v>
      </c>
      <c r="K266" s="139"/>
      <c r="L266" s="139" t="str">
        <f ca="1">IFERROR(__xludf.DUMMYFUNCTION("""COMPUTED_VALUE"""),"FMS / BUDGET")</f>
        <v>FMS / BUDGET</v>
      </c>
      <c r="M266" s="139" t="str">
        <f ca="1">IFERROR(__xludf.DUMMYFUNCTION("""COMPUTED_VALUE"""),"SERVICEABLE")</f>
        <v>SERVICEABLE</v>
      </c>
      <c r="N266" s="146"/>
    </row>
    <row r="267" spans="1:14" ht="14.4">
      <c r="A267" s="139" t="str">
        <f ca="1">IFERROR(__xludf.DUMMYFUNCTION("""COMPUTED_VALUE"""),"DARCO")</f>
        <v>DARCO</v>
      </c>
      <c r="B267" s="139" t="str">
        <f ca="1">IFERROR(__xludf.DUMMYFUNCTION("""COMPUTED_VALUE"""),"CENTRAL OFFICE")</f>
        <v>CENTRAL OFFICE</v>
      </c>
      <c r="C267" s="139" t="str">
        <f ca="1">IFERROR(__xludf.DUMMYFUNCTION("""COMPUTED_VALUE"""),"ACER TRAVELMATE")</f>
        <v>ACER TRAVELMATE</v>
      </c>
      <c r="D267" s="142" t="str">
        <f ca="1">IFERROR(__xludf.DUMMYFUNCTION("""COMPUTED_VALUE"""),"₱ 46,580.00")</f>
        <v>₱ 46,580.00</v>
      </c>
      <c r="E267" s="139"/>
      <c r="F267" s="139" t="str">
        <f ca="1">IFERROR(__xludf.DUMMYFUNCTION("""COMPUTED_VALUE"""),"2024-05-03-10202SP-116")</f>
        <v>2024-05-03-10202SP-116</v>
      </c>
      <c r="G267" s="139"/>
      <c r="H267" s="139"/>
      <c r="I267" s="139"/>
      <c r="J267" s="139" t="str">
        <f ca="1">IFERROR(__xludf.DUMMYFUNCTION("""COMPUTED_VALUE"""),"SP006-2024")</f>
        <v>SP006-2024</v>
      </c>
      <c r="K267" s="139"/>
      <c r="L267" s="139" t="str">
        <f ca="1">IFERROR(__xludf.DUMMYFUNCTION("""COMPUTED_VALUE"""),"USSO")</f>
        <v>USSO</v>
      </c>
      <c r="M267" s="139" t="str">
        <f ca="1">IFERROR(__xludf.DUMMYFUNCTION("""COMPUTED_VALUE"""),"SERVICEABLE")</f>
        <v>SERVICEABLE</v>
      </c>
      <c r="N267" s="146"/>
    </row>
    <row r="268" spans="1:14" ht="14.4">
      <c r="A268" s="139" t="str">
        <f ca="1">IFERROR(__xludf.DUMMYFUNCTION("""COMPUTED_VALUE"""),"DARCO")</f>
        <v>DARCO</v>
      </c>
      <c r="B268" s="139" t="str">
        <f ca="1">IFERROR(__xludf.DUMMYFUNCTION("""COMPUTED_VALUE"""),"CENTRAL OFFICE")</f>
        <v>CENTRAL OFFICE</v>
      </c>
      <c r="C268" s="139" t="str">
        <f ca="1">IFERROR(__xludf.DUMMYFUNCTION("""COMPUTED_VALUE"""),"ACER TRAVELMATE")</f>
        <v>ACER TRAVELMATE</v>
      </c>
      <c r="D268" s="142" t="str">
        <f ca="1">IFERROR(__xludf.DUMMYFUNCTION("""COMPUTED_VALUE"""),"₱ 46,580.00")</f>
        <v>₱ 46,580.00</v>
      </c>
      <c r="E268" s="139"/>
      <c r="F268" s="139" t="str">
        <f ca="1">IFERROR(__xludf.DUMMYFUNCTION("""COMPUTED_VALUE"""),"2024-05-03-10202SP-117")</f>
        <v>2024-05-03-10202SP-117</v>
      </c>
      <c r="G268" s="139"/>
      <c r="H268" s="139"/>
      <c r="I268" s="139"/>
      <c r="J268" s="139" t="str">
        <f ca="1">IFERROR(__xludf.DUMMYFUNCTION("""COMPUTED_VALUE"""),"SP006-2024")</f>
        <v>SP006-2024</v>
      </c>
      <c r="K268" s="139"/>
      <c r="L268" s="139" t="str">
        <f ca="1">IFERROR(__xludf.DUMMYFUNCTION("""COMPUTED_VALUE"""),"USSO")</f>
        <v>USSO</v>
      </c>
      <c r="M268" s="139" t="str">
        <f ca="1">IFERROR(__xludf.DUMMYFUNCTION("""COMPUTED_VALUE"""),"SERVICEABLE")</f>
        <v>SERVICEABLE</v>
      </c>
      <c r="N268" s="146"/>
    </row>
    <row r="269" spans="1:14" ht="14.4">
      <c r="A269" s="139" t="str">
        <f ca="1">IFERROR(__xludf.DUMMYFUNCTION("""COMPUTED_VALUE"""),"DARCO")</f>
        <v>DARCO</v>
      </c>
      <c r="B269" s="139" t="str">
        <f ca="1">IFERROR(__xludf.DUMMYFUNCTION("""COMPUTED_VALUE"""),"CENTRAL OFFICE")</f>
        <v>CENTRAL OFFICE</v>
      </c>
      <c r="C269" s="139" t="str">
        <f ca="1">IFERROR(__xludf.DUMMYFUNCTION("""COMPUTED_VALUE"""),"ACER TRAVELMATE")</f>
        <v>ACER TRAVELMATE</v>
      </c>
      <c r="D269" s="142" t="str">
        <f ca="1">IFERROR(__xludf.DUMMYFUNCTION("""COMPUTED_VALUE"""),"₱ 46,580.00")</f>
        <v>₱ 46,580.00</v>
      </c>
      <c r="E269" s="139"/>
      <c r="F269" s="139" t="str">
        <f ca="1">IFERROR(__xludf.DUMMYFUNCTION("""COMPUTED_VALUE"""),"2024-05-03-10202SP-118")</f>
        <v>2024-05-03-10202SP-118</v>
      </c>
      <c r="G269" s="139"/>
      <c r="H269" s="139"/>
      <c r="I269" s="139"/>
      <c r="J269" s="139" t="str">
        <f ca="1">IFERROR(__xludf.DUMMYFUNCTION("""COMPUTED_VALUE"""),"SP006-2024")</f>
        <v>SP006-2024</v>
      </c>
      <c r="K269" s="139"/>
      <c r="L269" s="139" t="str">
        <f ca="1">IFERROR(__xludf.DUMMYFUNCTION("""COMPUTED_VALUE"""),"USSO")</f>
        <v>USSO</v>
      </c>
      <c r="M269" s="139" t="str">
        <f ca="1">IFERROR(__xludf.DUMMYFUNCTION("""COMPUTED_VALUE"""),"SERVICEABLE")</f>
        <v>SERVICEABLE</v>
      </c>
      <c r="N269" s="146"/>
    </row>
    <row r="270" spans="1:14" ht="14.4">
      <c r="A270" s="139" t="str">
        <f ca="1">IFERROR(__xludf.DUMMYFUNCTION("""COMPUTED_VALUE"""),"DARCO")</f>
        <v>DARCO</v>
      </c>
      <c r="B270" s="139" t="str">
        <f ca="1">IFERROR(__xludf.DUMMYFUNCTION("""COMPUTED_VALUE"""),"CENTRAL OFFICE")</f>
        <v>CENTRAL OFFICE</v>
      </c>
      <c r="C270" s="139" t="str">
        <f ca="1">IFERROR(__xludf.DUMMYFUNCTION("""COMPUTED_VALUE"""),"ACER TRAVELMATE")</f>
        <v>ACER TRAVELMATE</v>
      </c>
      <c r="D270" s="142" t="str">
        <f ca="1">IFERROR(__xludf.DUMMYFUNCTION("""COMPUTED_VALUE"""),"₱ 46,580.00")</f>
        <v>₱ 46,580.00</v>
      </c>
      <c r="E270" s="139"/>
      <c r="F270" s="139" t="str">
        <f ca="1">IFERROR(__xludf.DUMMYFUNCTION("""COMPUTED_VALUE"""),"2024-05-03-10202SP-119")</f>
        <v>2024-05-03-10202SP-119</v>
      </c>
      <c r="G270" s="139"/>
      <c r="H270" s="139" t="str">
        <f ca="1">IFERROR(__xludf.DUMMYFUNCTION("""COMPUTED_VALUE"""),"RENE E COLOCAR")</f>
        <v>RENE E COLOCAR</v>
      </c>
      <c r="I270" s="139" t="str">
        <f ca="1">IFERROR(__xludf.DUMMYFUNCTION("""COMPUTED_VALUE"""),"ASEC")</f>
        <v>ASEC</v>
      </c>
      <c r="J270" s="139" t="str">
        <f ca="1">IFERROR(__xludf.DUMMYFUNCTION("""COMPUTED_VALUE"""),"SP007-2024")</f>
        <v>SP007-2024</v>
      </c>
      <c r="K270" s="139"/>
      <c r="L270" s="139" t="str">
        <f ca="1">IFERROR(__xludf.DUMMYFUNCTION("""COMPUTED_VALUE"""),"ASEC FASPO - SPECIAL PROJECT OFFICE")</f>
        <v>ASEC FASPO - SPECIAL PROJECT OFFICE</v>
      </c>
      <c r="M270" s="139" t="str">
        <f ca="1">IFERROR(__xludf.DUMMYFUNCTION("""COMPUTED_VALUE"""),"SERVICEABLE")</f>
        <v>SERVICEABLE</v>
      </c>
      <c r="N270" s="146"/>
    </row>
    <row r="271" spans="1:14" ht="14.4">
      <c r="A271" s="139" t="str">
        <f ca="1">IFERROR(__xludf.DUMMYFUNCTION("""COMPUTED_VALUE"""),"DARCO")</f>
        <v>DARCO</v>
      </c>
      <c r="B271" s="139" t="str">
        <f ca="1">IFERROR(__xludf.DUMMYFUNCTION("""COMPUTED_VALUE"""),"CENTRAL OFFICE")</f>
        <v>CENTRAL OFFICE</v>
      </c>
      <c r="C271" s="139" t="str">
        <f ca="1">IFERROR(__xludf.DUMMYFUNCTION("""COMPUTED_VALUE"""),"ACER TRAVELMATE")</f>
        <v>ACER TRAVELMATE</v>
      </c>
      <c r="D271" s="142" t="str">
        <f ca="1">IFERROR(__xludf.DUMMYFUNCTION("""COMPUTED_VALUE"""),"₱ 46,580.00")</f>
        <v>₱ 46,580.00</v>
      </c>
      <c r="E271" s="139"/>
      <c r="F271" s="139" t="str">
        <f ca="1">IFERROR(__xludf.DUMMYFUNCTION("""COMPUTED_VALUE"""),"2024-05-03-10202SP-120")</f>
        <v>2024-05-03-10202SP-120</v>
      </c>
      <c r="G271" s="139"/>
      <c r="H271" s="139" t="str">
        <f ca="1">IFERROR(__xludf.DUMMYFUNCTION("""COMPUTED_VALUE"""),"RENE E COLOCAR")</f>
        <v>RENE E COLOCAR</v>
      </c>
      <c r="I271" s="139" t="str">
        <f ca="1">IFERROR(__xludf.DUMMYFUNCTION("""COMPUTED_VALUE"""),"ASEC")</f>
        <v>ASEC</v>
      </c>
      <c r="J271" s="139" t="str">
        <f ca="1">IFERROR(__xludf.DUMMYFUNCTION("""COMPUTED_VALUE"""),"SP007-2024")</f>
        <v>SP007-2024</v>
      </c>
      <c r="K271" s="139"/>
      <c r="L271" s="139" t="str">
        <f ca="1">IFERROR(__xludf.DUMMYFUNCTION("""COMPUTED_VALUE"""),"ASEC FASPO - SPECIAL PROJECT OFFICE")</f>
        <v>ASEC FASPO - SPECIAL PROJECT OFFICE</v>
      </c>
      <c r="M271" s="139" t="str">
        <f ca="1">IFERROR(__xludf.DUMMYFUNCTION("""COMPUTED_VALUE"""),"SERVICEABLE")</f>
        <v>SERVICEABLE</v>
      </c>
      <c r="N271" s="146"/>
    </row>
    <row r="272" spans="1:14" ht="14.4">
      <c r="A272" s="139" t="str">
        <f ca="1">IFERROR(__xludf.DUMMYFUNCTION("""COMPUTED_VALUE"""),"DARCO")</f>
        <v>DARCO</v>
      </c>
      <c r="B272" s="139" t="str">
        <f ca="1">IFERROR(__xludf.DUMMYFUNCTION("""COMPUTED_VALUE"""),"CENTRAL OFFICE")</f>
        <v>CENTRAL OFFICE</v>
      </c>
      <c r="C272" s="139" t="str">
        <f ca="1">IFERROR(__xludf.DUMMYFUNCTION("""COMPUTED_VALUE"""),"ACER TRAVELMATE")</f>
        <v>ACER TRAVELMATE</v>
      </c>
      <c r="D272" s="142" t="str">
        <f ca="1">IFERROR(__xludf.DUMMYFUNCTION("""COMPUTED_VALUE"""),"₱ 46,580.00")</f>
        <v>₱ 46,580.00</v>
      </c>
      <c r="E272" s="139"/>
      <c r="F272" s="139" t="str">
        <f ca="1">IFERROR(__xludf.DUMMYFUNCTION("""COMPUTED_VALUE"""),"2024-05-03-10202SP-121")</f>
        <v>2024-05-03-10202SP-121</v>
      </c>
      <c r="G272" s="139"/>
      <c r="H272" s="139" t="str">
        <f ca="1">IFERROR(__xludf.DUMMYFUNCTION("""COMPUTED_VALUE"""),"RENE E COLOCAR")</f>
        <v>RENE E COLOCAR</v>
      </c>
      <c r="I272" s="139" t="str">
        <f ca="1">IFERROR(__xludf.DUMMYFUNCTION("""COMPUTED_VALUE"""),"ASEC")</f>
        <v>ASEC</v>
      </c>
      <c r="J272" s="139" t="str">
        <f ca="1">IFERROR(__xludf.DUMMYFUNCTION("""COMPUTED_VALUE"""),"SP007-2024")</f>
        <v>SP007-2024</v>
      </c>
      <c r="K272" s="139"/>
      <c r="L272" s="139" t="str">
        <f ca="1">IFERROR(__xludf.DUMMYFUNCTION("""COMPUTED_VALUE"""),"ASEC FASPO - SPECIAL PROJECT OFFICE")</f>
        <v>ASEC FASPO - SPECIAL PROJECT OFFICE</v>
      </c>
      <c r="M272" s="139" t="str">
        <f ca="1">IFERROR(__xludf.DUMMYFUNCTION("""COMPUTED_VALUE"""),"SERVICEABLE")</f>
        <v>SERVICEABLE</v>
      </c>
      <c r="N272" s="146"/>
    </row>
    <row r="273" spans="1:14" ht="14.4">
      <c r="A273" s="139" t="str">
        <f ca="1">IFERROR(__xludf.DUMMYFUNCTION("""COMPUTED_VALUE"""),"DARCO")</f>
        <v>DARCO</v>
      </c>
      <c r="B273" s="139" t="str">
        <f ca="1">IFERROR(__xludf.DUMMYFUNCTION("""COMPUTED_VALUE"""),"CENTRAL OFFICE")</f>
        <v>CENTRAL OFFICE</v>
      </c>
      <c r="C273" s="139" t="str">
        <f ca="1">IFERROR(__xludf.DUMMYFUNCTION("""COMPUTED_VALUE"""),"ACER TRAVELMATE")</f>
        <v>ACER TRAVELMATE</v>
      </c>
      <c r="D273" s="142" t="str">
        <f ca="1">IFERROR(__xludf.DUMMYFUNCTION("""COMPUTED_VALUE"""),"₱ 46,580.00")</f>
        <v>₱ 46,580.00</v>
      </c>
      <c r="E273" s="139"/>
      <c r="F273" s="139" t="str">
        <f ca="1">IFERROR(__xludf.DUMMYFUNCTION("""COMPUTED_VALUE"""),"2024-05-03-10202SP-122")</f>
        <v>2024-05-03-10202SP-122</v>
      </c>
      <c r="G273" s="139"/>
      <c r="H273" s="139" t="str">
        <f ca="1">IFERROR(__xludf.DUMMYFUNCTION("""COMPUTED_VALUE"""),"RENE E COLOCAR")</f>
        <v>RENE E COLOCAR</v>
      </c>
      <c r="I273" s="139" t="str">
        <f ca="1">IFERROR(__xludf.DUMMYFUNCTION("""COMPUTED_VALUE"""),"ASEC")</f>
        <v>ASEC</v>
      </c>
      <c r="J273" s="139" t="str">
        <f ca="1">IFERROR(__xludf.DUMMYFUNCTION("""COMPUTED_VALUE"""),"SP007-2024")</f>
        <v>SP007-2024</v>
      </c>
      <c r="K273" s="139"/>
      <c r="L273" s="139" t="str">
        <f ca="1">IFERROR(__xludf.DUMMYFUNCTION("""COMPUTED_VALUE"""),"ASEC FASPO - SPECIAL PROJECT OFFICE")</f>
        <v>ASEC FASPO - SPECIAL PROJECT OFFICE</v>
      </c>
      <c r="M273" s="139" t="str">
        <f ca="1">IFERROR(__xludf.DUMMYFUNCTION("""COMPUTED_VALUE"""),"SERVICEABLE")</f>
        <v>SERVICEABLE</v>
      </c>
      <c r="N273" s="146"/>
    </row>
    <row r="274" spans="1:14" ht="14.4">
      <c r="A274" s="139" t="str">
        <f ca="1">IFERROR(__xludf.DUMMYFUNCTION("""COMPUTED_VALUE"""),"DARCO")</f>
        <v>DARCO</v>
      </c>
      <c r="B274" s="139" t="str">
        <f ca="1">IFERROR(__xludf.DUMMYFUNCTION("""COMPUTED_VALUE"""),"CENTRAL OFFICE")</f>
        <v>CENTRAL OFFICE</v>
      </c>
      <c r="C274" s="139" t="str">
        <f ca="1">IFERROR(__xludf.DUMMYFUNCTION("""COMPUTED_VALUE"""),"ACER TRAVELMATE")</f>
        <v>ACER TRAVELMATE</v>
      </c>
      <c r="D274" s="142" t="str">
        <f ca="1">IFERROR(__xludf.DUMMYFUNCTION("""COMPUTED_VALUE"""),"₱ 46,580.00")</f>
        <v>₱ 46,580.00</v>
      </c>
      <c r="E274" s="139"/>
      <c r="F274" s="139" t="str">
        <f ca="1">IFERROR(__xludf.DUMMYFUNCTION("""COMPUTED_VALUE"""),"2024-05-03-10202SP-123")</f>
        <v>2024-05-03-10202SP-123</v>
      </c>
      <c r="G274" s="139"/>
      <c r="H274" s="139" t="str">
        <f ca="1">IFERROR(__xludf.DUMMYFUNCTION("""COMPUTED_VALUE"""),"RENE E COLOCAR")</f>
        <v>RENE E COLOCAR</v>
      </c>
      <c r="I274" s="139" t="str">
        <f ca="1">IFERROR(__xludf.DUMMYFUNCTION("""COMPUTED_VALUE"""),"ASEC")</f>
        <v>ASEC</v>
      </c>
      <c r="J274" s="139" t="str">
        <f ca="1">IFERROR(__xludf.DUMMYFUNCTION("""COMPUTED_VALUE"""),"SP007-2024")</f>
        <v>SP007-2024</v>
      </c>
      <c r="K274" s="139"/>
      <c r="L274" s="139" t="str">
        <f ca="1">IFERROR(__xludf.DUMMYFUNCTION("""COMPUTED_VALUE"""),"ASEC FASPO - SPECIAL PROJECT OFFICE")</f>
        <v>ASEC FASPO - SPECIAL PROJECT OFFICE</v>
      </c>
      <c r="M274" s="139" t="str">
        <f ca="1">IFERROR(__xludf.DUMMYFUNCTION("""COMPUTED_VALUE"""),"SERVICEABLE")</f>
        <v>SERVICEABLE</v>
      </c>
      <c r="N274" s="146"/>
    </row>
    <row r="275" spans="1:14" ht="14.4">
      <c r="A275" s="139" t="str">
        <f ca="1">IFERROR(__xludf.DUMMYFUNCTION("""COMPUTED_VALUE"""),"DARCO")</f>
        <v>DARCO</v>
      </c>
      <c r="B275" s="139" t="str">
        <f ca="1">IFERROR(__xludf.DUMMYFUNCTION("""COMPUTED_VALUE"""),"CENTRAL OFFICE")</f>
        <v>CENTRAL OFFICE</v>
      </c>
      <c r="C275" s="139" t="str">
        <f ca="1">IFERROR(__xludf.DUMMYFUNCTION("""COMPUTED_VALUE"""),"ACER TRAVELMATE")</f>
        <v>ACER TRAVELMATE</v>
      </c>
      <c r="D275" s="142" t="str">
        <f ca="1">IFERROR(__xludf.DUMMYFUNCTION("""COMPUTED_VALUE"""),"₱ 46,580.00")</f>
        <v>₱ 46,580.00</v>
      </c>
      <c r="E275" s="139"/>
      <c r="F275" s="139" t="str">
        <f ca="1">IFERROR(__xludf.DUMMYFUNCTION("""COMPUTED_VALUE"""),"2024-05-03-10202SP-124")</f>
        <v>2024-05-03-10202SP-124</v>
      </c>
      <c r="G275" s="139"/>
      <c r="H275" s="139" t="str">
        <f ca="1">IFERROR(__xludf.DUMMYFUNCTION("""COMPUTED_VALUE"""),"ATTY MARJORIE P AYSON")</f>
        <v>ATTY MARJORIE P AYSON</v>
      </c>
      <c r="I275" s="139" t="str">
        <f ca="1">IFERROR(__xludf.DUMMYFUNCTION("""COMPUTED_VALUE"""),"ASEC")</f>
        <v>ASEC</v>
      </c>
      <c r="J275" s="139" t="str">
        <f ca="1">IFERROR(__xludf.DUMMYFUNCTION("""COMPUTED_VALUE"""),"SP008-2024")</f>
        <v>SP008-2024</v>
      </c>
      <c r="K275" s="139"/>
      <c r="L275" s="139" t="str">
        <f ca="1">IFERROR(__xludf.DUMMYFUNCTION("""COMPUTED_VALUE"""),"ASEC FOO")</f>
        <v>ASEC FOO</v>
      </c>
      <c r="M275" s="139" t="str">
        <f ca="1">IFERROR(__xludf.DUMMYFUNCTION("""COMPUTED_VALUE"""),"SERVICEABLE")</f>
        <v>SERVICEABLE</v>
      </c>
      <c r="N275" s="146"/>
    </row>
    <row r="276" spans="1:14" ht="14.4">
      <c r="A276" s="139" t="str">
        <f ca="1">IFERROR(__xludf.DUMMYFUNCTION("""COMPUTED_VALUE"""),"DARCO")</f>
        <v>DARCO</v>
      </c>
      <c r="B276" s="139" t="str">
        <f ca="1">IFERROR(__xludf.DUMMYFUNCTION("""COMPUTED_VALUE"""),"CENTRAL OFFICE")</f>
        <v>CENTRAL OFFICE</v>
      </c>
      <c r="C276" s="139" t="str">
        <f ca="1">IFERROR(__xludf.DUMMYFUNCTION("""COMPUTED_VALUE"""),"ACER TRAVELMATE")</f>
        <v>ACER TRAVELMATE</v>
      </c>
      <c r="D276" s="142" t="str">
        <f ca="1">IFERROR(__xludf.DUMMYFUNCTION("""COMPUTED_VALUE"""),"₱ 46,580.00")</f>
        <v>₱ 46,580.00</v>
      </c>
      <c r="E276" s="139"/>
      <c r="F276" s="139" t="str">
        <f ca="1">IFERROR(__xludf.DUMMYFUNCTION("""COMPUTED_VALUE"""),"2024-05-03-10202SP-125")</f>
        <v>2024-05-03-10202SP-125</v>
      </c>
      <c r="G276" s="139"/>
      <c r="H276" s="139" t="str">
        <f ca="1">IFERROR(__xludf.DUMMYFUNCTION("""COMPUTED_VALUE"""),"ATTY MARJORIE P AYSON")</f>
        <v>ATTY MARJORIE P AYSON</v>
      </c>
      <c r="I276" s="139" t="str">
        <f ca="1">IFERROR(__xludf.DUMMYFUNCTION("""COMPUTED_VALUE"""),"ASEC")</f>
        <v>ASEC</v>
      </c>
      <c r="J276" s="139" t="str">
        <f ca="1">IFERROR(__xludf.DUMMYFUNCTION("""COMPUTED_VALUE"""),"SP008-2024")</f>
        <v>SP008-2024</v>
      </c>
      <c r="K276" s="139"/>
      <c r="L276" s="139" t="str">
        <f ca="1">IFERROR(__xludf.DUMMYFUNCTION("""COMPUTED_VALUE"""),"ASEC FOO")</f>
        <v>ASEC FOO</v>
      </c>
      <c r="M276" s="139" t="str">
        <f ca="1">IFERROR(__xludf.DUMMYFUNCTION("""COMPUTED_VALUE"""),"SERVICEABLE")</f>
        <v>SERVICEABLE</v>
      </c>
      <c r="N276" s="146"/>
    </row>
    <row r="277" spans="1:14" ht="14.4">
      <c r="A277" s="139" t="str">
        <f ca="1">IFERROR(__xludf.DUMMYFUNCTION("""COMPUTED_VALUE"""),"DARCO")</f>
        <v>DARCO</v>
      </c>
      <c r="B277" s="139" t="str">
        <f ca="1">IFERROR(__xludf.DUMMYFUNCTION("""COMPUTED_VALUE"""),"CENTRAL OFFICE")</f>
        <v>CENTRAL OFFICE</v>
      </c>
      <c r="C277" s="139" t="str">
        <f ca="1">IFERROR(__xludf.DUMMYFUNCTION("""COMPUTED_VALUE"""),"ACER TRAVELMATE")</f>
        <v>ACER TRAVELMATE</v>
      </c>
      <c r="D277" s="142" t="str">
        <f ca="1">IFERROR(__xludf.DUMMYFUNCTION("""COMPUTED_VALUE"""),"₱ 46,580.00")</f>
        <v>₱ 46,580.00</v>
      </c>
      <c r="E277" s="139"/>
      <c r="F277" s="139" t="str">
        <f ca="1">IFERROR(__xludf.DUMMYFUNCTION("""COMPUTED_VALUE"""),"2024-05-03-10202SP-126")</f>
        <v>2024-05-03-10202SP-126</v>
      </c>
      <c r="G277" s="139"/>
      <c r="H277" s="139" t="str">
        <f ca="1">IFERROR(__xludf.DUMMYFUNCTION("""COMPUTED_VALUE"""),"ATTY MARJORIE P AYSON")</f>
        <v>ATTY MARJORIE P AYSON</v>
      </c>
      <c r="I277" s="139" t="str">
        <f ca="1">IFERROR(__xludf.DUMMYFUNCTION("""COMPUTED_VALUE"""),"ASEC")</f>
        <v>ASEC</v>
      </c>
      <c r="J277" s="139" t="str">
        <f ca="1">IFERROR(__xludf.DUMMYFUNCTION("""COMPUTED_VALUE"""),"SP008-2024")</f>
        <v>SP008-2024</v>
      </c>
      <c r="K277" s="139"/>
      <c r="L277" s="139" t="str">
        <f ca="1">IFERROR(__xludf.DUMMYFUNCTION("""COMPUTED_VALUE"""),"ASEC FOO")</f>
        <v>ASEC FOO</v>
      </c>
      <c r="M277" s="139" t="str">
        <f ca="1">IFERROR(__xludf.DUMMYFUNCTION("""COMPUTED_VALUE"""),"SERVICEABLE")</f>
        <v>SERVICEABLE</v>
      </c>
      <c r="N277" s="146"/>
    </row>
    <row r="278" spans="1:14" ht="14.4">
      <c r="A278" s="139" t="str">
        <f ca="1">IFERROR(__xludf.DUMMYFUNCTION("""COMPUTED_VALUE"""),"DARCO")</f>
        <v>DARCO</v>
      </c>
      <c r="B278" s="139" t="str">
        <f ca="1">IFERROR(__xludf.DUMMYFUNCTION("""COMPUTED_VALUE"""),"CENTRAL OFFICE")</f>
        <v>CENTRAL OFFICE</v>
      </c>
      <c r="C278" s="139" t="str">
        <f ca="1">IFERROR(__xludf.DUMMYFUNCTION("""COMPUTED_VALUE"""),"ACER TRAVELMATE")</f>
        <v>ACER TRAVELMATE</v>
      </c>
      <c r="D278" s="142" t="str">
        <f ca="1">IFERROR(__xludf.DUMMYFUNCTION("""COMPUTED_VALUE"""),"₱ 46,580.00")</f>
        <v>₱ 46,580.00</v>
      </c>
      <c r="E278" s="139"/>
      <c r="F278" s="139" t="str">
        <f ca="1">IFERROR(__xludf.DUMMYFUNCTION("""COMPUTED_VALUE"""),"2024-05-03-10202SP-127")</f>
        <v>2024-05-03-10202SP-127</v>
      </c>
      <c r="G278" s="139"/>
      <c r="H278" s="139" t="str">
        <f ca="1">IFERROR(__xludf.DUMMYFUNCTION("""COMPUTED_VALUE"""),"ATTY MARJORIE P AYSON")</f>
        <v>ATTY MARJORIE P AYSON</v>
      </c>
      <c r="I278" s="139" t="str">
        <f ca="1">IFERROR(__xludf.DUMMYFUNCTION("""COMPUTED_VALUE"""),"ASEC")</f>
        <v>ASEC</v>
      </c>
      <c r="J278" s="139" t="str">
        <f ca="1">IFERROR(__xludf.DUMMYFUNCTION("""COMPUTED_VALUE"""),"SP008-2024")</f>
        <v>SP008-2024</v>
      </c>
      <c r="K278" s="139"/>
      <c r="L278" s="139" t="str">
        <f ca="1">IFERROR(__xludf.DUMMYFUNCTION("""COMPUTED_VALUE"""),"ASEC FOO")</f>
        <v>ASEC FOO</v>
      </c>
      <c r="M278" s="139" t="str">
        <f ca="1">IFERROR(__xludf.DUMMYFUNCTION("""COMPUTED_VALUE"""),"SERVICEABLE")</f>
        <v>SERVICEABLE</v>
      </c>
      <c r="N278" s="146"/>
    </row>
    <row r="279" spans="1:14" ht="14.4">
      <c r="A279" s="139" t="str">
        <f ca="1">IFERROR(__xludf.DUMMYFUNCTION("""COMPUTED_VALUE"""),"DARCO")</f>
        <v>DARCO</v>
      </c>
      <c r="B279" s="139" t="str">
        <f ca="1">IFERROR(__xludf.DUMMYFUNCTION("""COMPUTED_VALUE"""),"CENTRAL OFFICE")</f>
        <v>CENTRAL OFFICE</v>
      </c>
      <c r="C279" s="139" t="str">
        <f ca="1">IFERROR(__xludf.DUMMYFUNCTION("""COMPUTED_VALUE"""),"ACER TRAVELMATE")</f>
        <v>ACER TRAVELMATE</v>
      </c>
      <c r="D279" s="142" t="str">
        <f ca="1">IFERROR(__xludf.DUMMYFUNCTION("""COMPUTED_VALUE"""),"₱ 46,580.00")</f>
        <v>₱ 46,580.00</v>
      </c>
      <c r="E279" s="139"/>
      <c r="F279" s="139" t="str">
        <f ca="1">IFERROR(__xludf.DUMMYFUNCTION("""COMPUTED_VALUE"""),"2024-05-03-10202SP-128")</f>
        <v>2024-05-03-10202SP-128</v>
      </c>
      <c r="G279" s="139"/>
      <c r="H279" s="139" t="str">
        <f ca="1">IFERROR(__xludf.DUMMYFUNCTION("""COMPUTED_VALUE"""),"ATTY MARJORIE P AYSON")</f>
        <v>ATTY MARJORIE P AYSON</v>
      </c>
      <c r="I279" s="139" t="str">
        <f ca="1">IFERROR(__xludf.DUMMYFUNCTION("""COMPUTED_VALUE"""),"ASEC")</f>
        <v>ASEC</v>
      </c>
      <c r="J279" s="139" t="str">
        <f ca="1">IFERROR(__xludf.DUMMYFUNCTION("""COMPUTED_VALUE"""),"SP008-2024")</f>
        <v>SP008-2024</v>
      </c>
      <c r="K279" s="139"/>
      <c r="L279" s="139" t="str">
        <f ca="1">IFERROR(__xludf.DUMMYFUNCTION("""COMPUTED_VALUE"""),"ASEC FOO")</f>
        <v>ASEC FOO</v>
      </c>
      <c r="M279" s="139" t="str">
        <f ca="1">IFERROR(__xludf.DUMMYFUNCTION("""COMPUTED_VALUE"""),"SERVICEABLE")</f>
        <v>SERVICEABLE</v>
      </c>
      <c r="N279" s="146"/>
    </row>
    <row r="280" spans="1:14" ht="14.4">
      <c r="A280" s="139" t="str">
        <f ca="1">IFERROR(__xludf.DUMMYFUNCTION("""COMPUTED_VALUE"""),"DARCO")</f>
        <v>DARCO</v>
      </c>
      <c r="B280" s="139" t="str">
        <f ca="1">IFERROR(__xludf.DUMMYFUNCTION("""COMPUTED_VALUE"""),"CENTRAL OFFICE")</f>
        <v>CENTRAL OFFICE</v>
      </c>
      <c r="C280" s="139" t="str">
        <f ca="1">IFERROR(__xludf.DUMMYFUNCTION("""COMPUTED_VALUE"""),"ACER TRAVELMATE")</f>
        <v>ACER TRAVELMATE</v>
      </c>
      <c r="D280" s="142" t="str">
        <f ca="1">IFERROR(__xludf.DUMMYFUNCTION("""COMPUTED_VALUE"""),"₱ 46,580.00")</f>
        <v>₱ 46,580.00</v>
      </c>
      <c r="E280" s="139"/>
      <c r="F280" s="139" t="str">
        <f ca="1">IFERROR(__xludf.DUMMYFUNCTION("""COMPUTED_VALUE"""),"2024-05-03-10202SP-129")</f>
        <v>2024-05-03-10202SP-129</v>
      </c>
      <c r="G280" s="139"/>
      <c r="H280" s="139" t="str">
        <f ca="1">IFERROR(__xludf.DUMMYFUNCTION("""COMPUTED_VALUE"""),"ATTY MARJORIE P AYSON")</f>
        <v>ATTY MARJORIE P AYSON</v>
      </c>
      <c r="I280" s="139" t="str">
        <f ca="1">IFERROR(__xludf.DUMMYFUNCTION("""COMPUTED_VALUE"""),"ASEC")</f>
        <v>ASEC</v>
      </c>
      <c r="J280" s="139" t="str">
        <f ca="1">IFERROR(__xludf.DUMMYFUNCTION("""COMPUTED_VALUE"""),"SP008-2024")</f>
        <v>SP008-2024</v>
      </c>
      <c r="K280" s="139"/>
      <c r="L280" s="139" t="str">
        <f ca="1">IFERROR(__xludf.DUMMYFUNCTION("""COMPUTED_VALUE"""),"ASEC FOO")</f>
        <v>ASEC FOO</v>
      </c>
      <c r="M280" s="139" t="str">
        <f ca="1">IFERROR(__xludf.DUMMYFUNCTION("""COMPUTED_VALUE"""),"SERVICEABLE")</f>
        <v>SERVICEABLE</v>
      </c>
      <c r="N280" s="146"/>
    </row>
    <row r="281" spans="1:14" ht="14.4">
      <c r="A281" s="139" t="str">
        <f ca="1">IFERROR(__xludf.DUMMYFUNCTION("""COMPUTED_VALUE"""),"DARCO")</f>
        <v>DARCO</v>
      </c>
      <c r="B281" s="139" t="str">
        <f ca="1">IFERROR(__xludf.DUMMYFUNCTION("""COMPUTED_VALUE"""),"CENTRAL OFFICE")</f>
        <v>CENTRAL OFFICE</v>
      </c>
      <c r="C281" s="139" t="str">
        <f ca="1">IFERROR(__xludf.DUMMYFUNCTION("""COMPUTED_VALUE"""),"ACER TRAVELMATE")</f>
        <v>ACER TRAVELMATE</v>
      </c>
      <c r="D281" s="142" t="str">
        <f ca="1">IFERROR(__xludf.DUMMYFUNCTION("""COMPUTED_VALUE"""),"₱ 46,580.00")</f>
        <v>₱ 46,580.00</v>
      </c>
      <c r="E281" s="139"/>
      <c r="F281" s="139" t="str">
        <f ca="1">IFERROR(__xludf.DUMMYFUNCTION("""COMPUTED_VALUE"""),"2024-05-03-10202SP-130")</f>
        <v>2024-05-03-10202SP-130</v>
      </c>
      <c r="G281" s="139"/>
      <c r="H281" s="139" t="str">
        <f ca="1">IFERROR(__xludf.DUMMYFUNCTION("""COMPUTED_VALUE"""),"ATTY MARJORIE P AYSON")</f>
        <v>ATTY MARJORIE P AYSON</v>
      </c>
      <c r="I281" s="139" t="str">
        <f ca="1">IFERROR(__xludf.DUMMYFUNCTION("""COMPUTED_VALUE"""),"ASEC")</f>
        <v>ASEC</v>
      </c>
      <c r="J281" s="139" t="str">
        <f ca="1">IFERROR(__xludf.DUMMYFUNCTION("""COMPUTED_VALUE"""),"SP008-2024")</f>
        <v>SP008-2024</v>
      </c>
      <c r="K281" s="139"/>
      <c r="L281" s="139" t="str">
        <f ca="1">IFERROR(__xludf.DUMMYFUNCTION("""COMPUTED_VALUE"""),"ASEC FOO")</f>
        <v>ASEC FOO</v>
      </c>
      <c r="M281" s="139" t="str">
        <f ca="1">IFERROR(__xludf.DUMMYFUNCTION("""COMPUTED_VALUE"""),"SERVICEABLE")</f>
        <v>SERVICEABLE</v>
      </c>
      <c r="N281" s="146"/>
    </row>
    <row r="282" spans="1:14" ht="14.4">
      <c r="A282" s="139" t="str">
        <f ca="1">IFERROR(__xludf.DUMMYFUNCTION("""COMPUTED_VALUE"""),"DARCO")</f>
        <v>DARCO</v>
      </c>
      <c r="B282" s="139" t="str">
        <f ca="1">IFERROR(__xludf.DUMMYFUNCTION("""COMPUTED_VALUE"""),"CENTRAL OFFICE")</f>
        <v>CENTRAL OFFICE</v>
      </c>
      <c r="C282" s="139" t="str">
        <f ca="1">IFERROR(__xludf.DUMMYFUNCTION("""COMPUTED_VALUE"""),"ACER TRAVELMATE")</f>
        <v>ACER TRAVELMATE</v>
      </c>
      <c r="D282" s="142" t="str">
        <f ca="1">IFERROR(__xludf.DUMMYFUNCTION("""COMPUTED_VALUE"""),"₱ 46,580.00")</f>
        <v>₱ 46,580.00</v>
      </c>
      <c r="E282" s="139"/>
      <c r="F282" s="139" t="str">
        <f ca="1">IFERROR(__xludf.DUMMYFUNCTION("""COMPUTED_VALUE"""),"2024-05-03-10202SP-131")</f>
        <v>2024-05-03-10202SP-131</v>
      </c>
      <c r="G282" s="139"/>
      <c r="H282" s="139" t="str">
        <f ca="1">IFERROR(__xludf.DUMMYFUNCTION("""COMPUTED_VALUE"""),"ATTY MARJORIE P AYSON")</f>
        <v>ATTY MARJORIE P AYSON</v>
      </c>
      <c r="I282" s="139" t="str">
        <f ca="1">IFERROR(__xludf.DUMMYFUNCTION("""COMPUTED_VALUE"""),"ASEC")</f>
        <v>ASEC</v>
      </c>
      <c r="J282" s="139" t="str">
        <f ca="1">IFERROR(__xludf.DUMMYFUNCTION("""COMPUTED_VALUE"""),"SP008-2024")</f>
        <v>SP008-2024</v>
      </c>
      <c r="K282" s="139"/>
      <c r="L282" s="139" t="str">
        <f ca="1">IFERROR(__xludf.DUMMYFUNCTION("""COMPUTED_VALUE"""),"ASEC FOO")</f>
        <v>ASEC FOO</v>
      </c>
      <c r="M282" s="139" t="str">
        <f ca="1">IFERROR(__xludf.DUMMYFUNCTION("""COMPUTED_VALUE"""),"SERVICEABLE")</f>
        <v>SERVICEABLE</v>
      </c>
      <c r="N282" s="146"/>
    </row>
    <row r="283" spans="1:14" ht="14.4">
      <c r="A283" s="139" t="str">
        <f ca="1">IFERROR(__xludf.DUMMYFUNCTION("""COMPUTED_VALUE"""),"DARCO")</f>
        <v>DARCO</v>
      </c>
      <c r="B283" s="139" t="str">
        <f ca="1">IFERROR(__xludf.DUMMYFUNCTION("""COMPUTED_VALUE"""),"CENTRAL OFFICE")</f>
        <v>CENTRAL OFFICE</v>
      </c>
      <c r="C283" s="139" t="str">
        <f ca="1">IFERROR(__xludf.DUMMYFUNCTION("""COMPUTED_VALUE"""),"ACER TRAVELMATE")</f>
        <v>ACER TRAVELMATE</v>
      </c>
      <c r="D283" s="142" t="str">
        <f ca="1">IFERROR(__xludf.DUMMYFUNCTION("""COMPUTED_VALUE"""),"₱ 46,580.00")</f>
        <v>₱ 46,580.00</v>
      </c>
      <c r="E283" s="139"/>
      <c r="F283" s="139" t="str">
        <f ca="1">IFERROR(__xludf.DUMMYFUNCTION("""COMPUTED_VALUE"""),"2024-05-03-10202SP-132")</f>
        <v>2024-05-03-10202SP-132</v>
      </c>
      <c r="G283" s="139"/>
      <c r="H283" s="139" t="str">
        <f ca="1">IFERROR(__xludf.DUMMYFUNCTION("""COMPUTED_VALUE"""),"ATTY MARJORIE P AYSON")</f>
        <v>ATTY MARJORIE P AYSON</v>
      </c>
      <c r="I283" s="139" t="str">
        <f ca="1">IFERROR(__xludf.DUMMYFUNCTION("""COMPUTED_VALUE"""),"ASEC")</f>
        <v>ASEC</v>
      </c>
      <c r="J283" s="139" t="str">
        <f ca="1">IFERROR(__xludf.DUMMYFUNCTION("""COMPUTED_VALUE"""),"SP008-2024")</f>
        <v>SP008-2024</v>
      </c>
      <c r="K283" s="139"/>
      <c r="L283" s="139" t="str">
        <f ca="1">IFERROR(__xludf.DUMMYFUNCTION("""COMPUTED_VALUE"""),"ASEC FOO")</f>
        <v>ASEC FOO</v>
      </c>
      <c r="M283" s="139" t="str">
        <f ca="1">IFERROR(__xludf.DUMMYFUNCTION("""COMPUTED_VALUE"""),"SERVICEABLE")</f>
        <v>SERVICEABLE</v>
      </c>
      <c r="N283" s="146"/>
    </row>
    <row r="284" spans="1:14" ht="14.4">
      <c r="A284" s="139" t="str">
        <f ca="1">IFERROR(__xludf.DUMMYFUNCTION("""COMPUTED_VALUE"""),"DARCO")</f>
        <v>DARCO</v>
      </c>
      <c r="B284" s="139" t="str">
        <f ca="1">IFERROR(__xludf.DUMMYFUNCTION("""COMPUTED_VALUE"""),"CENTRAL OFFICE")</f>
        <v>CENTRAL OFFICE</v>
      </c>
      <c r="C284" s="139" t="str">
        <f ca="1">IFERROR(__xludf.DUMMYFUNCTION("""COMPUTED_VALUE"""),"ACER TRAVELMATE")</f>
        <v>ACER TRAVELMATE</v>
      </c>
      <c r="D284" s="142" t="str">
        <f ca="1">IFERROR(__xludf.DUMMYFUNCTION("""COMPUTED_VALUE"""),"₱ 46,580.00")</f>
        <v>₱ 46,580.00</v>
      </c>
      <c r="E284" s="139"/>
      <c r="F284" s="139" t="str">
        <f ca="1">IFERROR(__xludf.DUMMYFUNCTION("""COMPUTED_VALUE"""),"2024-05-03-10202SP-133")</f>
        <v>2024-05-03-10202SP-133</v>
      </c>
      <c r="G284" s="139"/>
      <c r="H284" s="139" t="str">
        <f ca="1">IFERROR(__xludf.DUMMYFUNCTION("""COMPUTED_VALUE"""),"ATTY MARJORIE P AYSON")</f>
        <v>ATTY MARJORIE P AYSON</v>
      </c>
      <c r="I284" s="139" t="str">
        <f ca="1">IFERROR(__xludf.DUMMYFUNCTION("""COMPUTED_VALUE"""),"ASEC")</f>
        <v>ASEC</v>
      </c>
      <c r="J284" s="139" t="str">
        <f ca="1">IFERROR(__xludf.DUMMYFUNCTION("""COMPUTED_VALUE"""),"SP008-2024")</f>
        <v>SP008-2024</v>
      </c>
      <c r="K284" s="139"/>
      <c r="L284" s="139" t="str">
        <f ca="1">IFERROR(__xludf.DUMMYFUNCTION("""COMPUTED_VALUE"""),"ASEC FOO")</f>
        <v>ASEC FOO</v>
      </c>
      <c r="M284" s="139" t="str">
        <f ca="1">IFERROR(__xludf.DUMMYFUNCTION("""COMPUTED_VALUE"""),"SERVICEABLE")</f>
        <v>SERVICEABLE</v>
      </c>
      <c r="N284" s="146"/>
    </row>
    <row r="285" spans="1:14" ht="14.4">
      <c r="A285" s="139" t="str">
        <f ca="1">IFERROR(__xludf.DUMMYFUNCTION("""COMPUTED_VALUE"""),"DARCO")</f>
        <v>DARCO</v>
      </c>
      <c r="B285" s="139" t="str">
        <f ca="1">IFERROR(__xludf.DUMMYFUNCTION("""COMPUTED_VALUE"""),"CENTRAL OFFICE")</f>
        <v>CENTRAL OFFICE</v>
      </c>
      <c r="C285" s="139" t="str">
        <f ca="1">IFERROR(__xludf.DUMMYFUNCTION("""COMPUTED_VALUE"""),"ACER TRAVELMATE")</f>
        <v>ACER TRAVELMATE</v>
      </c>
      <c r="D285" s="142" t="str">
        <f ca="1">IFERROR(__xludf.DUMMYFUNCTION("""COMPUTED_VALUE"""),"₱ 46,580.00")</f>
        <v>₱ 46,580.00</v>
      </c>
      <c r="E285" s="139"/>
      <c r="F285" s="139" t="str">
        <f ca="1">IFERROR(__xludf.DUMMYFUNCTION("""COMPUTED_VALUE"""),"2024-05-03-10202SP-134")</f>
        <v>2024-05-03-10202SP-134</v>
      </c>
      <c r="G285" s="139"/>
      <c r="H285" s="139" t="str">
        <f ca="1">IFERROR(__xludf.DUMMYFUNCTION("""COMPUTED_VALUE"""),"EUGENE FOLLANTE")</f>
        <v>EUGENE FOLLANTE</v>
      </c>
      <c r="I285" s="139" t="str">
        <f ca="1">IFERROR(__xludf.DUMMYFUNCTION("""COMPUTED_VALUE"""),"ASEC")</f>
        <v>ASEC</v>
      </c>
      <c r="J285" s="139" t="str">
        <f ca="1">IFERROR(__xludf.DUMMYFUNCTION("""COMPUTED_VALUE"""),"SP009-2024")</f>
        <v>SP009-2024</v>
      </c>
      <c r="K285" s="139"/>
      <c r="L285" s="139" t="str">
        <f ca="1">IFERROR(__xludf.DUMMYFUNCTION("""COMPUTED_VALUE"""),"ASEC LAO IN ALI-ALA")</f>
        <v>ASEC LAO IN ALI-ALA</v>
      </c>
      <c r="M285" s="139" t="str">
        <f ca="1">IFERROR(__xludf.DUMMYFUNCTION("""COMPUTED_VALUE"""),"SERVICEABLE")</f>
        <v>SERVICEABLE</v>
      </c>
      <c r="N285" s="146"/>
    </row>
    <row r="286" spans="1:14" ht="14.4">
      <c r="A286" s="139" t="str">
        <f ca="1">IFERROR(__xludf.DUMMYFUNCTION("""COMPUTED_VALUE"""),"DARCO")</f>
        <v>DARCO</v>
      </c>
      <c r="B286" s="139" t="str">
        <f ca="1">IFERROR(__xludf.DUMMYFUNCTION("""COMPUTED_VALUE"""),"CENTRAL OFFICE")</f>
        <v>CENTRAL OFFICE</v>
      </c>
      <c r="C286" s="139" t="str">
        <f ca="1">IFERROR(__xludf.DUMMYFUNCTION("""COMPUTED_VALUE"""),"ACER TRAVELMATE")</f>
        <v>ACER TRAVELMATE</v>
      </c>
      <c r="D286" s="142" t="str">
        <f ca="1">IFERROR(__xludf.DUMMYFUNCTION("""COMPUTED_VALUE"""),"₱ 46,580.00")</f>
        <v>₱ 46,580.00</v>
      </c>
      <c r="E286" s="139"/>
      <c r="F286" s="139" t="str">
        <f ca="1">IFERROR(__xludf.DUMMYFUNCTION("""COMPUTED_VALUE"""),"2024-05-03-10202SP-135")</f>
        <v>2024-05-03-10202SP-135</v>
      </c>
      <c r="G286" s="139"/>
      <c r="H286" s="139" t="str">
        <f ca="1">IFERROR(__xludf.DUMMYFUNCTION("""COMPUTED_VALUE"""),"EUGENE FOLLANTE")</f>
        <v>EUGENE FOLLANTE</v>
      </c>
      <c r="I286" s="139" t="str">
        <f ca="1">IFERROR(__xludf.DUMMYFUNCTION("""COMPUTED_VALUE"""),"ASEC")</f>
        <v>ASEC</v>
      </c>
      <c r="J286" s="139" t="str">
        <f ca="1">IFERROR(__xludf.DUMMYFUNCTION("""COMPUTED_VALUE"""),"SP009-2024")</f>
        <v>SP009-2024</v>
      </c>
      <c r="K286" s="139"/>
      <c r="L286" s="139" t="str">
        <f ca="1">IFERROR(__xludf.DUMMYFUNCTION("""COMPUTED_VALUE"""),"ASEC LAO IN ALI-ALA")</f>
        <v>ASEC LAO IN ALI-ALA</v>
      </c>
      <c r="M286" s="139" t="str">
        <f ca="1">IFERROR(__xludf.DUMMYFUNCTION("""COMPUTED_VALUE"""),"SERVICEABLE")</f>
        <v>SERVICEABLE</v>
      </c>
      <c r="N286" s="146"/>
    </row>
    <row r="287" spans="1:14" ht="14.4">
      <c r="A287" s="139" t="str">
        <f ca="1">IFERROR(__xludf.DUMMYFUNCTION("""COMPUTED_VALUE"""),"DARCO")</f>
        <v>DARCO</v>
      </c>
      <c r="B287" s="139" t="str">
        <f ca="1">IFERROR(__xludf.DUMMYFUNCTION("""COMPUTED_VALUE"""),"CENTRAL OFFICE")</f>
        <v>CENTRAL OFFICE</v>
      </c>
      <c r="C287" s="139" t="str">
        <f ca="1">IFERROR(__xludf.DUMMYFUNCTION("""COMPUTED_VALUE"""),"ACER TRAVELMATE")</f>
        <v>ACER TRAVELMATE</v>
      </c>
      <c r="D287" s="142" t="str">
        <f ca="1">IFERROR(__xludf.DUMMYFUNCTION("""COMPUTED_VALUE"""),"₱ 46,580.00")</f>
        <v>₱ 46,580.00</v>
      </c>
      <c r="E287" s="139"/>
      <c r="F287" s="139" t="str">
        <f ca="1">IFERROR(__xludf.DUMMYFUNCTION("""COMPUTED_VALUE"""),"2024-05-03-10202SP-136")</f>
        <v>2024-05-03-10202SP-136</v>
      </c>
      <c r="G287" s="139"/>
      <c r="H287" s="139" t="str">
        <f ca="1">IFERROR(__xludf.DUMMYFUNCTION("""COMPUTED_VALUE"""),"EUGENE FOLLANTE")</f>
        <v>EUGENE FOLLANTE</v>
      </c>
      <c r="I287" s="139" t="str">
        <f ca="1">IFERROR(__xludf.DUMMYFUNCTION("""COMPUTED_VALUE"""),"ASEC")</f>
        <v>ASEC</v>
      </c>
      <c r="J287" s="139" t="str">
        <f ca="1">IFERROR(__xludf.DUMMYFUNCTION("""COMPUTED_VALUE"""),"SP009-2024")</f>
        <v>SP009-2024</v>
      </c>
      <c r="K287" s="139"/>
      <c r="L287" s="139" t="str">
        <f ca="1">IFERROR(__xludf.DUMMYFUNCTION("""COMPUTED_VALUE"""),"ASEC LAO IN ALI-ALA")</f>
        <v>ASEC LAO IN ALI-ALA</v>
      </c>
      <c r="M287" s="139" t="str">
        <f ca="1">IFERROR(__xludf.DUMMYFUNCTION("""COMPUTED_VALUE"""),"SERVICEABLE")</f>
        <v>SERVICEABLE</v>
      </c>
      <c r="N287" s="146"/>
    </row>
    <row r="288" spans="1:14" ht="14.4">
      <c r="A288" s="139" t="str">
        <f ca="1">IFERROR(__xludf.DUMMYFUNCTION("""COMPUTED_VALUE"""),"DARCO")</f>
        <v>DARCO</v>
      </c>
      <c r="B288" s="139" t="str">
        <f ca="1">IFERROR(__xludf.DUMMYFUNCTION("""COMPUTED_VALUE"""),"CENTRAL OFFICE")</f>
        <v>CENTRAL OFFICE</v>
      </c>
      <c r="C288" s="139" t="str">
        <f ca="1">IFERROR(__xludf.DUMMYFUNCTION("""COMPUTED_VALUE"""),"ACER TRAVELMATE")</f>
        <v>ACER TRAVELMATE</v>
      </c>
      <c r="D288" s="142" t="str">
        <f ca="1">IFERROR(__xludf.DUMMYFUNCTION("""COMPUTED_VALUE"""),"₱ 46,580.00")</f>
        <v>₱ 46,580.00</v>
      </c>
      <c r="E288" s="139"/>
      <c r="F288" s="139" t="str">
        <f ca="1">IFERROR(__xludf.DUMMYFUNCTION("""COMPUTED_VALUE"""),"2024-05-03-10202SP-137")</f>
        <v>2024-05-03-10202SP-137</v>
      </c>
      <c r="G288" s="139"/>
      <c r="H288" s="139" t="str">
        <f ca="1">IFERROR(__xludf.DUMMYFUNCTION("""COMPUTED_VALUE"""),"EUGENE FOLLANTE")</f>
        <v>EUGENE FOLLANTE</v>
      </c>
      <c r="I288" s="139" t="str">
        <f ca="1">IFERROR(__xludf.DUMMYFUNCTION("""COMPUTED_VALUE"""),"ASEC")</f>
        <v>ASEC</v>
      </c>
      <c r="J288" s="139" t="str">
        <f ca="1">IFERROR(__xludf.DUMMYFUNCTION("""COMPUTED_VALUE"""),"SP009-2024")</f>
        <v>SP009-2024</v>
      </c>
      <c r="K288" s="139"/>
      <c r="L288" s="139" t="str">
        <f ca="1">IFERROR(__xludf.DUMMYFUNCTION("""COMPUTED_VALUE"""),"ASEC LAO IN ALI-ALA")</f>
        <v>ASEC LAO IN ALI-ALA</v>
      </c>
      <c r="M288" s="139" t="str">
        <f ca="1">IFERROR(__xludf.DUMMYFUNCTION("""COMPUTED_VALUE"""),"SERVICEABLE")</f>
        <v>SERVICEABLE</v>
      </c>
      <c r="N288" s="146"/>
    </row>
    <row r="289" spans="1:14" ht="14.4">
      <c r="A289" s="139" t="str">
        <f ca="1">IFERROR(__xludf.DUMMYFUNCTION("""COMPUTED_VALUE"""),"DARCO")</f>
        <v>DARCO</v>
      </c>
      <c r="B289" s="139" t="str">
        <f ca="1">IFERROR(__xludf.DUMMYFUNCTION("""COMPUTED_VALUE"""),"CENTRAL OFFICE")</f>
        <v>CENTRAL OFFICE</v>
      </c>
      <c r="C289" s="139" t="str">
        <f ca="1">IFERROR(__xludf.DUMMYFUNCTION("""COMPUTED_VALUE"""),"ACER TRAVELMATE")</f>
        <v>ACER TRAVELMATE</v>
      </c>
      <c r="D289" s="142" t="str">
        <f ca="1">IFERROR(__xludf.DUMMYFUNCTION("""COMPUTED_VALUE"""),"₱ 46,580.00")</f>
        <v>₱ 46,580.00</v>
      </c>
      <c r="E289" s="139"/>
      <c r="F289" s="139" t="str">
        <f ca="1">IFERROR(__xludf.DUMMYFUNCTION("""COMPUTED_VALUE"""),"2024-05-03-10202SP-138")</f>
        <v>2024-05-03-10202SP-138</v>
      </c>
      <c r="G289" s="139"/>
      <c r="H289" s="139" t="str">
        <f ca="1">IFERROR(__xludf.DUMMYFUNCTION("""COMPUTED_VALUE"""),"EUGENE FOLLANTE")</f>
        <v>EUGENE FOLLANTE</v>
      </c>
      <c r="I289" s="139" t="str">
        <f ca="1">IFERROR(__xludf.DUMMYFUNCTION("""COMPUTED_VALUE"""),"ASEC")</f>
        <v>ASEC</v>
      </c>
      <c r="J289" s="139" t="str">
        <f ca="1">IFERROR(__xludf.DUMMYFUNCTION("""COMPUTED_VALUE"""),"SP009-2024")</f>
        <v>SP009-2024</v>
      </c>
      <c r="K289" s="139"/>
      <c r="L289" s="139" t="str">
        <f ca="1">IFERROR(__xludf.DUMMYFUNCTION("""COMPUTED_VALUE"""),"ASEC LAO IN ALI-ALA")</f>
        <v>ASEC LAO IN ALI-ALA</v>
      </c>
      <c r="M289" s="139" t="str">
        <f ca="1">IFERROR(__xludf.DUMMYFUNCTION("""COMPUTED_VALUE"""),"SERVICEABLE")</f>
        <v>SERVICEABLE</v>
      </c>
      <c r="N289" s="146"/>
    </row>
    <row r="290" spans="1:14" ht="14.4">
      <c r="A290" s="139" t="str">
        <f ca="1">IFERROR(__xludf.DUMMYFUNCTION("""COMPUTED_VALUE"""),"DARCO")</f>
        <v>DARCO</v>
      </c>
      <c r="B290" s="139" t="str">
        <f ca="1">IFERROR(__xludf.DUMMYFUNCTION("""COMPUTED_VALUE"""),"CENTRAL OFFICE")</f>
        <v>CENTRAL OFFICE</v>
      </c>
      <c r="C290" s="139" t="str">
        <f ca="1">IFERROR(__xludf.DUMMYFUNCTION("""COMPUTED_VALUE"""),"ACER TRAVELMATE")</f>
        <v>ACER TRAVELMATE</v>
      </c>
      <c r="D290" s="142" t="str">
        <f ca="1">IFERROR(__xludf.DUMMYFUNCTION("""COMPUTED_VALUE"""),"₱ 46,580.00")</f>
        <v>₱ 46,580.00</v>
      </c>
      <c r="E290" s="139"/>
      <c r="F290" s="139" t="str">
        <f ca="1">IFERROR(__xludf.DUMMYFUNCTION("""COMPUTED_VALUE"""),"2024-05-03-10202SP-139")</f>
        <v>2024-05-03-10202SP-139</v>
      </c>
      <c r="G290" s="139"/>
      <c r="H290" s="139" t="str">
        <f ca="1">IFERROR(__xludf.DUMMYFUNCTION("""COMPUTED_VALUE"""),"EUGENE FOLLANTE")</f>
        <v>EUGENE FOLLANTE</v>
      </c>
      <c r="I290" s="139" t="str">
        <f ca="1">IFERROR(__xludf.DUMMYFUNCTION("""COMPUTED_VALUE"""),"ASEC")</f>
        <v>ASEC</v>
      </c>
      <c r="J290" s="139" t="str">
        <f ca="1">IFERROR(__xludf.DUMMYFUNCTION("""COMPUTED_VALUE"""),"SP009-2024")</f>
        <v>SP009-2024</v>
      </c>
      <c r="K290" s="139"/>
      <c r="L290" s="139" t="str">
        <f ca="1">IFERROR(__xludf.DUMMYFUNCTION("""COMPUTED_VALUE"""),"ASEC LAO IN ALI-ALA")</f>
        <v>ASEC LAO IN ALI-ALA</v>
      </c>
      <c r="M290" s="139" t="str">
        <f ca="1">IFERROR(__xludf.DUMMYFUNCTION("""COMPUTED_VALUE"""),"SERVICEABLE")</f>
        <v>SERVICEABLE</v>
      </c>
      <c r="N290" s="146"/>
    </row>
    <row r="291" spans="1:14" ht="14.4">
      <c r="A291" s="139" t="str">
        <f ca="1">IFERROR(__xludf.DUMMYFUNCTION("""COMPUTED_VALUE"""),"DARCO")</f>
        <v>DARCO</v>
      </c>
      <c r="B291" s="139" t="str">
        <f ca="1">IFERROR(__xludf.DUMMYFUNCTION("""COMPUTED_VALUE"""),"CENTRAL OFFICE")</f>
        <v>CENTRAL OFFICE</v>
      </c>
      <c r="C291" s="139" t="str">
        <f ca="1">IFERROR(__xludf.DUMMYFUNCTION("""COMPUTED_VALUE"""),"ACER TRAVELMATE")</f>
        <v>ACER TRAVELMATE</v>
      </c>
      <c r="D291" s="142" t="str">
        <f ca="1">IFERROR(__xludf.DUMMYFUNCTION("""COMPUTED_VALUE"""),"₱ 46,580.00")</f>
        <v>₱ 46,580.00</v>
      </c>
      <c r="E291" s="139"/>
      <c r="F291" s="139" t="str">
        <f ca="1">IFERROR(__xludf.DUMMYFUNCTION("""COMPUTED_VALUE"""),"2024-05-03-10202SP-140")</f>
        <v>2024-05-03-10202SP-140</v>
      </c>
      <c r="G291" s="139"/>
      <c r="H291" s="139" t="str">
        <f ca="1">IFERROR(__xludf.DUMMYFUNCTION("""COMPUTED_VALUE"""),"EUGENE FOLLANTE")</f>
        <v>EUGENE FOLLANTE</v>
      </c>
      <c r="I291" s="139" t="str">
        <f ca="1">IFERROR(__xludf.DUMMYFUNCTION("""COMPUTED_VALUE"""),"ASEC")</f>
        <v>ASEC</v>
      </c>
      <c r="J291" s="139" t="str">
        <f ca="1">IFERROR(__xludf.DUMMYFUNCTION("""COMPUTED_VALUE"""),"SP009-2024")</f>
        <v>SP009-2024</v>
      </c>
      <c r="K291" s="139"/>
      <c r="L291" s="139" t="str">
        <f ca="1">IFERROR(__xludf.DUMMYFUNCTION("""COMPUTED_VALUE"""),"ASEC LAO IN ALI-ALA")</f>
        <v>ASEC LAO IN ALI-ALA</v>
      </c>
      <c r="M291" s="139" t="str">
        <f ca="1">IFERROR(__xludf.DUMMYFUNCTION("""COMPUTED_VALUE"""),"SERVICEABLE")</f>
        <v>SERVICEABLE</v>
      </c>
      <c r="N291" s="146"/>
    </row>
    <row r="292" spans="1:14" ht="14.4">
      <c r="A292" s="139" t="str">
        <f ca="1">IFERROR(__xludf.DUMMYFUNCTION("""COMPUTED_VALUE"""),"DARCO")</f>
        <v>DARCO</v>
      </c>
      <c r="B292" s="139" t="str">
        <f ca="1">IFERROR(__xludf.DUMMYFUNCTION("""COMPUTED_VALUE"""),"CENTRAL OFFICE")</f>
        <v>CENTRAL OFFICE</v>
      </c>
      <c r="C292" s="139" t="str">
        <f ca="1">IFERROR(__xludf.DUMMYFUNCTION("""COMPUTED_VALUE"""),"ACER TRAVELMATE")</f>
        <v>ACER TRAVELMATE</v>
      </c>
      <c r="D292" s="142" t="str">
        <f ca="1">IFERROR(__xludf.DUMMYFUNCTION("""COMPUTED_VALUE"""),"₱ 46,580.00")</f>
        <v>₱ 46,580.00</v>
      </c>
      <c r="E292" s="139"/>
      <c r="F292" s="139" t="str">
        <f ca="1">IFERROR(__xludf.DUMMYFUNCTION("""COMPUTED_VALUE"""),"2024-05-03-10202SP-141")</f>
        <v>2024-05-03-10202SP-141</v>
      </c>
      <c r="G292" s="139"/>
      <c r="H292" s="139" t="str">
        <f ca="1">IFERROR(__xludf.DUMMYFUNCTION("""COMPUTED_VALUE"""),"EUGENE FOLLANTE")</f>
        <v>EUGENE FOLLANTE</v>
      </c>
      <c r="I292" s="139" t="str">
        <f ca="1">IFERROR(__xludf.DUMMYFUNCTION("""COMPUTED_VALUE"""),"ASEC")</f>
        <v>ASEC</v>
      </c>
      <c r="J292" s="139" t="str">
        <f ca="1">IFERROR(__xludf.DUMMYFUNCTION("""COMPUTED_VALUE"""),"SP009-2024")</f>
        <v>SP009-2024</v>
      </c>
      <c r="K292" s="139"/>
      <c r="L292" s="139" t="str">
        <f ca="1">IFERROR(__xludf.DUMMYFUNCTION("""COMPUTED_VALUE"""),"ASEC LAO IN ALI-ALA")</f>
        <v>ASEC LAO IN ALI-ALA</v>
      </c>
      <c r="M292" s="139" t="str">
        <f ca="1">IFERROR(__xludf.DUMMYFUNCTION("""COMPUTED_VALUE"""),"SERVICEABLE")</f>
        <v>SERVICEABLE</v>
      </c>
      <c r="N292" s="146"/>
    </row>
    <row r="293" spans="1:14" ht="14.4">
      <c r="A293" s="139" t="str">
        <f ca="1">IFERROR(__xludf.DUMMYFUNCTION("""COMPUTED_VALUE"""),"DARCO")</f>
        <v>DARCO</v>
      </c>
      <c r="B293" s="139" t="str">
        <f ca="1">IFERROR(__xludf.DUMMYFUNCTION("""COMPUTED_VALUE"""),"CENTRAL OFFICE")</f>
        <v>CENTRAL OFFICE</v>
      </c>
      <c r="C293" s="139" t="str">
        <f ca="1">IFERROR(__xludf.DUMMYFUNCTION("""COMPUTED_VALUE"""),"ACER TRAVELMATE")</f>
        <v>ACER TRAVELMATE</v>
      </c>
      <c r="D293" s="142" t="str">
        <f ca="1">IFERROR(__xludf.DUMMYFUNCTION("""COMPUTED_VALUE"""),"₱ 46,580.00")</f>
        <v>₱ 46,580.00</v>
      </c>
      <c r="E293" s="139"/>
      <c r="F293" s="139" t="str">
        <f ca="1">IFERROR(__xludf.DUMMYFUNCTION("""COMPUTED_VALUE"""),"2024-05-03-10202SP-142")</f>
        <v>2024-05-03-10202SP-142</v>
      </c>
      <c r="G293" s="139"/>
      <c r="H293" s="139" t="str">
        <f ca="1">IFERROR(__xludf.DUMMYFUNCTION("""COMPUTED_VALUE"""),"EUGENE FOLLANTE")</f>
        <v>EUGENE FOLLANTE</v>
      </c>
      <c r="I293" s="139" t="str">
        <f ca="1">IFERROR(__xludf.DUMMYFUNCTION("""COMPUTED_VALUE"""),"ASEC")</f>
        <v>ASEC</v>
      </c>
      <c r="J293" s="139" t="str">
        <f ca="1">IFERROR(__xludf.DUMMYFUNCTION("""COMPUTED_VALUE"""),"SP009-2024")</f>
        <v>SP009-2024</v>
      </c>
      <c r="K293" s="139"/>
      <c r="L293" s="139" t="str">
        <f ca="1">IFERROR(__xludf.DUMMYFUNCTION("""COMPUTED_VALUE"""),"ASEC LAO IN ALI-ALA")</f>
        <v>ASEC LAO IN ALI-ALA</v>
      </c>
      <c r="M293" s="139" t="str">
        <f ca="1">IFERROR(__xludf.DUMMYFUNCTION("""COMPUTED_VALUE"""),"SERVICEABLE")</f>
        <v>SERVICEABLE</v>
      </c>
      <c r="N293" s="146"/>
    </row>
    <row r="294" spans="1:14" ht="14.4">
      <c r="A294" s="139" t="str">
        <f ca="1">IFERROR(__xludf.DUMMYFUNCTION("""COMPUTED_VALUE"""),"DARCO")</f>
        <v>DARCO</v>
      </c>
      <c r="B294" s="139" t="str">
        <f ca="1">IFERROR(__xludf.DUMMYFUNCTION("""COMPUTED_VALUE"""),"CENTRAL OFFICE")</f>
        <v>CENTRAL OFFICE</v>
      </c>
      <c r="C294" s="139" t="str">
        <f ca="1">IFERROR(__xludf.DUMMYFUNCTION("""COMPUTED_VALUE"""),"ACER TRAVELMATE")</f>
        <v>ACER TRAVELMATE</v>
      </c>
      <c r="D294" s="142" t="str">
        <f ca="1">IFERROR(__xludf.DUMMYFUNCTION("""COMPUTED_VALUE"""),"₱ 46,580.00")</f>
        <v>₱ 46,580.00</v>
      </c>
      <c r="E294" s="139"/>
      <c r="F294" s="139" t="str">
        <f ca="1">IFERROR(__xludf.DUMMYFUNCTION("""COMPUTED_VALUE"""),"2024-05-03-10202SP-143")</f>
        <v>2024-05-03-10202SP-143</v>
      </c>
      <c r="G294" s="139"/>
      <c r="H294" s="139"/>
      <c r="I294" s="139"/>
      <c r="J294" s="139" t="str">
        <f ca="1">IFERROR(__xludf.DUMMYFUNCTION("""COMPUTED_VALUE"""),"SP009-2024")</f>
        <v>SP009-2024</v>
      </c>
      <c r="K294" s="139"/>
      <c r="L294" s="139" t="str">
        <f ca="1">IFERROR(__xludf.DUMMYFUNCTION("""COMPUTED_VALUE"""),"GAD")</f>
        <v>GAD</v>
      </c>
      <c r="M294" s="139" t="str">
        <f ca="1">IFERROR(__xludf.DUMMYFUNCTION("""COMPUTED_VALUE"""),"SERVICEABLE")</f>
        <v>SERVICEABLE</v>
      </c>
      <c r="N294" s="146"/>
    </row>
    <row r="295" spans="1:14" ht="14.4">
      <c r="A295" s="139" t="str">
        <f ca="1">IFERROR(__xludf.DUMMYFUNCTION("""COMPUTED_VALUE"""),"DARCO")</f>
        <v>DARCO</v>
      </c>
      <c r="B295" s="139" t="str">
        <f ca="1">IFERROR(__xludf.DUMMYFUNCTION("""COMPUTED_VALUE"""),"CENTRAL OFFICE")</f>
        <v>CENTRAL OFFICE</v>
      </c>
      <c r="C295" s="139" t="str">
        <f ca="1">IFERROR(__xludf.DUMMYFUNCTION("""COMPUTED_VALUE"""),"ACER TRAVELMATE")</f>
        <v>ACER TRAVELMATE</v>
      </c>
      <c r="D295" s="142" t="str">
        <f ca="1">IFERROR(__xludf.DUMMYFUNCTION("""COMPUTED_VALUE"""),"₱ 46,580.00")</f>
        <v>₱ 46,580.00</v>
      </c>
      <c r="E295" s="139"/>
      <c r="F295" s="139" t="str">
        <f ca="1">IFERROR(__xludf.DUMMYFUNCTION("""COMPUTED_VALUE"""),"2024-05-03-10202SP-144")</f>
        <v>2024-05-03-10202SP-144</v>
      </c>
      <c r="G295" s="139"/>
      <c r="H295" s="139"/>
      <c r="I295" s="139"/>
      <c r="J295" s="139" t="str">
        <f ca="1">IFERROR(__xludf.DUMMYFUNCTION("""COMPUTED_VALUE"""),"SP010-2024")</f>
        <v>SP010-2024</v>
      </c>
      <c r="K295" s="139"/>
      <c r="L295" s="139" t="str">
        <f ca="1">IFERROR(__xludf.DUMMYFUNCTION("""COMPUTED_VALUE"""),"GAD")</f>
        <v>GAD</v>
      </c>
      <c r="M295" s="139" t="str">
        <f ca="1">IFERROR(__xludf.DUMMYFUNCTION("""COMPUTED_VALUE"""),"SERVICEABLE")</f>
        <v>SERVICEABLE</v>
      </c>
      <c r="N295" s="146"/>
    </row>
    <row r="296" spans="1:14" ht="14.4">
      <c r="A296" s="139" t="str">
        <f ca="1">IFERROR(__xludf.DUMMYFUNCTION("""COMPUTED_VALUE"""),"DARCO")</f>
        <v>DARCO</v>
      </c>
      <c r="B296" s="139" t="str">
        <f ca="1">IFERROR(__xludf.DUMMYFUNCTION("""COMPUTED_VALUE"""),"CENTRAL OFFICE")</f>
        <v>CENTRAL OFFICE</v>
      </c>
      <c r="C296" s="139" t="str">
        <f ca="1">IFERROR(__xludf.DUMMYFUNCTION("""COMPUTED_VALUE"""),"ACER TRAVELMATE")</f>
        <v>ACER TRAVELMATE</v>
      </c>
      <c r="D296" s="142" t="str">
        <f ca="1">IFERROR(__xludf.DUMMYFUNCTION("""COMPUTED_VALUE"""),"₱ 46,580.00")</f>
        <v>₱ 46,580.00</v>
      </c>
      <c r="E296" s="139"/>
      <c r="F296" s="139" t="str">
        <f ca="1">IFERROR(__xludf.DUMMYFUNCTION("""COMPUTED_VALUE"""),"2024-05-03-10202SP-145")</f>
        <v>2024-05-03-10202SP-145</v>
      </c>
      <c r="G296" s="139"/>
      <c r="H296" s="139" t="str">
        <f ca="1">IFERROR(__xludf.DUMMYFUNCTION("""COMPUTED_VALUE"""),"ATTY VIRGILIO MENDEZ")</f>
        <v>ATTY VIRGILIO MENDEZ</v>
      </c>
      <c r="I296" s="139" t="str">
        <f ca="1">IFERROR(__xludf.DUMMYFUNCTION("""COMPUTED_VALUE"""),"ASEC")</f>
        <v>ASEC</v>
      </c>
      <c r="J296" s="139" t="str">
        <f ca="1">IFERROR(__xludf.DUMMYFUNCTION("""COMPUTED_VALUE"""),"SP010-2024")</f>
        <v>SP010-2024</v>
      </c>
      <c r="K296" s="139"/>
      <c r="L296" s="139" t="str">
        <f ca="1">IFERROR(__xludf.DUMMYFUNCTION("""COMPUTED_VALUE"""),"ASEC LAO DARAB")</f>
        <v>ASEC LAO DARAB</v>
      </c>
      <c r="M296" s="139" t="str">
        <f ca="1">IFERROR(__xludf.DUMMYFUNCTION("""COMPUTED_VALUE"""),"SERVICEABLE")</f>
        <v>SERVICEABLE</v>
      </c>
      <c r="N296" s="146"/>
    </row>
    <row r="297" spans="1:14" ht="14.4">
      <c r="A297" s="139" t="str">
        <f ca="1">IFERROR(__xludf.DUMMYFUNCTION("""COMPUTED_VALUE"""),"DARCO")</f>
        <v>DARCO</v>
      </c>
      <c r="B297" s="139" t="str">
        <f ca="1">IFERROR(__xludf.DUMMYFUNCTION("""COMPUTED_VALUE"""),"CENTRAL OFFICE")</f>
        <v>CENTRAL OFFICE</v>
      </c>
      <c r="C297" s="139" t="str">
        <f ca="1">IFERROR(__xludf.DUMMYFUNCTION("""COMPUTED_VALUE"""),"ACER TRAVELMATE")</f>
        <v>ACER TRAVELMATE</v>
      </c>
      <c r="D297" s="142" t="str">
        <f ca="1">IFERROR(__xludf.DUMMYFUNCTION("""COMPUTED_VALUE"""),"₱ 46,580.00")</f>
        <v>₱ 46,580.00</v>
      </c>
      <c r="E297" s="139"/>
      <c r="F297" s="139" t="str">
        <f ca="1">IFERROR(__xludf.DUMMYFUNCTION("""COMPUTED_VALUE"""),"2024-05-03-10202SP-146")</f>
        <v>2024-05-03-10202SP-146</v>
      </c>
      <c r="G297" s="139"/>
      <c r="H297" s="139" t="str">
        <f ca="1">IFERROR(__xludf.DUMMYFUNCTION("""COMPUTED_VALUE"""),"ATTY QUINTIN O MAGSICO JR")</f>
        <v>ATTY QUINTIN O MAGSICO JR</v>
      </c>
      <c r="I297" s="139" t="str">
        <f ca="1">IFERROR(__xludf.DUMMYFUNCTION("""COMPUTED_VALUE"""),"ASEC")</f>
        <v>ASEC</v>
      </c>
      <c r="J297" s="139" t="str">
        <f ca="1">IFERROR(__xludf.DUMMYFUNCTION("""COMPUTED_VALUE"""),"SP011-2024")</f>
        <v>SP011-2024</v>
      </c>
      <c r="K297" s="139"/>
      <c r="L297" s="139" t="str">
        <f ca="1">IFERROR(__xludf.DUMMYFUNCTION("""COMPUTED_VALUE"""),"ASEC FMAO-FMS/PROCUREMENT")</f>
        <v>ASEC FMAO-FMS/PROCUREMENT</v>
      </c>
      <c r="M297" s="139" t="str">
        <f ca="1">IFERROR(__xludf.DUMMYFUNCTION("""COMPUTED_VALUE"""),"SERVICEABLE")</f>
        <v>SERVICEABLE</v>
      </c>
      <c r="N297" s="146"/>
    </row>
    <row r="298" spans="1:14" ht="14.4">
      <c r="A298" s="139" t="str">
        <f ca="1">IFERROR(__xludf.DUMMYFUNCTION("""COMPUTED_VALUE"""),"DARCO")</f>
        <v>DARCO</v>
      </c>
      <c r="B298" s="139" t="str">
        <f ca="1">IFERROR(__xludf.DUMMYFUNCTION("""COMPUTED_VALUE"""),"CENTRAL OFFICE")</f>
        <v>CENTRAL OFFICE</v>
      </c>
      <c r="C298" s="139" t="str">
        <f ca="1">IFERROR(__xludf.DUMMYFUNCTION("""COMPUTED_VALUE"""),"ACER TRAVELMATE")</f>
        <v>ACER TRAVELMATE</v>
      </c>
      <c r="D298" s="142" t="str">
        <f ca="1">IFERROR(__xludf.DUMMYFUNCTION("""COMPUTED_VALUE"""),"₱ 46,580.00")</f>
        <v>₱ 46,580.00</v>
      </c>
      <c r="E298" s="139"/>
      <c r="F298" s="139" t="str">
        <f ca="1">IFERROR(__xludf.DUMMYFUNCTION("""COMPUTED_VALUE"""),"2024-05-03-10202SP-147")</f>
        <v>2024-05-03-10202SP-147</v>
      </c>
      <c r="G298" s="139"/>
      <c r="H298" s="139" t="str">
        <f ca="1">IFERROR(__xludf.DUMMYFUNCTION("""COMPUTED_VALUE"""),"ATTY QUINTIN O MAGSICO JR")</f>
        <v>ATTY QUINTIN O MAGSICO JR</v>
      </c>
      <c r="I298" s="139" t="str">
        <f ca="1">IFERROR(__xludf.DUMMYFUNCTION("""COMPUTED_VALUE"""),"ASEC")</f>
        <v>ASEC</v>
      </c>
      <c r="J298" s="139" t="str">
        <f ca="1">IFERROR(__xludf.DUMMYFUNCTION("""COMPUTED_VALUE"""),"SP011-2024")</f>
        <v>SP011-2024</v>
      </c>
      <c r="K298" s="139"/>
      <c r="L298" s="139" t="str">
        <f ca="1">IFERROR(__xludf.DUMMYFUNCTION("""COMPUTED_VALUE"""),"ASEC FMAO-FMS/PROCUREMENT")</f>
        <v>ASEC FMAO-FMS/PROCUREMENT</v>
      </c>
      <c r="M298" s="139" t="str">
        <f ca="1">IFERROR(__xludf.DUMMYFUNCTION("""COMPUTED_VALUE"""),"SERVICEABLE")</f>
        <v>SERVICEABLE</v>
      </c>
      <c r="N298" s="146"/>
    </row>
    <row r="299" spans="1:14" ht="14.4">
      <c r="A299" s="139" t="str">
        <f ca="1">IFERROR(__xludf.DUMMYFUNCTION("""COMPUTED_VALUE"""),"DARCO")</f>
        <v>DARCO</v>
      </c>
      <c r="B299" s="139" t="str">
        <f ca="1">IFERROR(__xludf.DUMMYFUNCTION("""COMPUTED_VALUE"""),"CENTRAL OFFICE")</f>
        <v>CENTRAL OFFICE</v>
      </c>
      <c r="C299" s="139" t="str">
        <f ca="1">IFERROR(__xludf.DUMMYFUNCTION("""COMPUTED_VALUE"""),"ACER TRAVELMATE")</f>
        <v>ACER TRAVELMATE</v>
      </c>
      <c r="D299" s="142" t="str">
        <f ca="1">IFERROR(__xludf.DUMMYFUNCTION("""COMPUTED_VALUE"""),"₱ 46,580.00")</f>
        <v>₱ 46,580.00</v>
      </c>
      <c r="E299" s="139"/>
      <c r="F299" s="139" t="str">
        <f ca="1">IFERROR(__xludf.DUMMYFUNCTION("""COMPUTED_VALUE"""),"2024-05-03-10202SP-148")</f>
        <v>2024-05-03-10202SP-148</v>
      </c>
      <c r="G299" s="139"/>
      <c r="H299" s="139" t="str">
        <f ca="1">IFERROR(__xludf.DUMMYFUNCTION("""COMPUTED_VALUE"""),"ATTY QUINTIN O MAGSICO JR")</f>
        <v>ATTY QUINTIN O MAGSICO JR</v>
      </c>
      <c r="I299" s="139" t="str">
        <f ca="1">IFERROR(__xludf.DUMMYFUNCTION("""COMPUTED_VALUE"""),"ASEC")</f>
        <v>ASEC</v>
      </c>
      <c r="J299" s="139" t="str">
        <f ca="1">IFERROR(__xludf.DUMMYFUNCTION("""COMPUTED_VALUE"""),"SP011-2024")</f>
        <v>SP011-2024</v>
      </c>
      <c r="K299" s="139"/>
      <c r="L299" s="139" t="str">
        <f ca="1">IFERROR(__xludf.DUMMYFUNCTION("""COMPUTED_VALUE"""),"ASEC FMAO-FMS/PROCUREMENT")</f>
        <v>ASEC FMAO-FMS/PROCUREMENT</v>
      </c>
      <c r="M299" s="139" t="str">
        <f ca="1">IFERROR(__xludf.DUMMYFUNCTION("""COMPUTED_VALUE"""),"SERVICEABLE")</f>
        <v>SERVICEABLE</v>
      </c>
      <c r="N299" s="146"/>
    </row>
    <row r="300" spans="1:14" ht="14.4">
      <c r="A300" s="139" t="str">
        <f ca="1">IFERROR(__xludf.DUMMYFUNCTION("""COMPUTED_VALUE"""),"DARCO")</f>
        <v>DARCO</v>
      </c>
      <c r="B300" s="139" t="str">
        <f ca="1">IFERROR(__xludf.DUMMYFUNCTION("""COMPUTED_VALUE"""),"CENTRAL OFFICE")</f>
        <v>CENTRAL OFFICE</v>
      </c>
      <c r="C300" s="139" t="str">
        <f ca="1">IFERROR(__xludf.DUMMYFUNCTION("""COMPUTED_VALUE"""),"ACER TRAVELMATE")</f>
        <v>ACER TRAVELMATE</v>
      </c>
      <c r="D300" s="142" t="str">
        <f ca="1">IFERROR(__xludf.DUMMYFUNCTION("""COMPUTED_VALUE"""),"₱ 46,580.00")</f>
        <v>₱ 46,580.00</v>
      </c>
      <c r="E300" s="139"/>
      <c r="F300" s="139" t="str">
        <f ca="1">IFERROR(__xludf.DUMMYFUNCTION("""COMPUTED_VALUE"""),"2024-05-03-10202SP-149")</f>
        <v>2024-05-03-10202SP-149</v>
      </c>
      <c r="G300" s="139"/>
      <c r="H300" s="139" t="str">
        <f ca="1">IFERROR(__xludf.DUMMYFUNCTION("""COMPUTED_VALUE"""),"ATTY QUINTIN O MAGSICO JR")</f>
        <v>ATTY QUINTIN O MAGSICO JR</v>
      </c>
      <c r="I300" s="139" t="str">
        <f ca="1">IFERROR(__xludf.DUMMYFUNCTION("""COMPUTED_VALUE"""),"ASEC")</f>
        <v>ASEC</v>
      </c>
      <c r="J300" s="139" t="str">
        <f ca="1">IFERROR(__xludf.DUMMYFUNCTION("""COMPUTED_VALUE"""),"SP011-2024")</f>
        <v>SP011-2024</v>
      </c>
      <c r="K300" s="139"/>
      <c r="L300" s="139" t="str">
        <f ca="1">IFERROR(__xludf.DUMMYFUNCTION("""COMPUTED_VALUE"""),"ASEC FMAO-FMS/PROCUREMENT")</f>
        <v>ASEC FMAO-FMS/PROCUREMENT</v>
      </c>
      <c r="M300" s="139" t="str">
        <f ca="1">IFERROR(__xludf.DUMMYFUNCTION("""COMPUTED_VALUE"""),"SERVICEABLE")</f>
        <v>SERVICEABLE</v>
      </c>
      <c r="N300" s="146"/>
    </row>
    <row r="301" spans="1:14" ht="14.4">
      <c r="A301" s="139" t="str">
        <f ca="1">IFERROR(__xludf.DUMMYFUNCTION("""COMPUTED_VALUE"""),"DARCO")</f>
        <v>DARCO</v>
      </c>
      <c r="B301" s="139" t="str">
        <f ca="1">IFERROR(__xludf.DUMMYFUNCTION("""COMPUTED_VALUE"""),"CENTRAL OFFICE")</f>
        <v>CENTRAL OFFICE</v>
      </c>
      <c r="C301" s="139" t="str">
        <f ca="1">IFERROR(__xludf.DUMMYFUNCTION("""COMPUTED_VALUE"""),"ACER TRAVELMATE")</f>
        <v>ACER TRAVELMATE</v>
      </c>
      <c r="D301" s="142" t="str">
        <f ca="1">IFERROR(__xludf.DUMMYFUNCTION("""COMPUTED_VALUE"""),"₱ 46,580.00")</f>
        <v>₱ 46,580.00</v>
      </c>
      <c r="E301" s="139"/>
      <c r="F301" s="139" t="str">
        <f ca="1">IFERROR(__xludf.DUMMYFUNCTION("""COMPUTED_VALUE"""),"2024-05-03-10202SP-150")</f>
        <v>2024-05-03-10202SP-150</v>
      </c>
      <c r="G301" s="139"/>
      <c r="H301" s="139" t="str">
        <f ca="1">IFERROR(__xludf.DUMMYFUNCTION("""COMPUTED_VALUE"""),"ATTY QUINTIN O MAGSICO JR")</f>
        <v>ATTY QUINTIN O MAGSICO JR</v>
      </c>
      <c r="I301" s="139" t="str">
        <f ca="1">IFERROR(__xludf.DUMMYFUNCTION("""COMPUTED_VALUE"""),"ASEC")</f>
        <v>ASEC</v>
      </c>
      <c r="J301" s="139" t="str">
        <f ca="1">IFERROR(__xludf.DUMMYFUNCTION("""COMPUTED_VALUE"""),"SP011-2024")</f>
        <v>SP011-2024</v>
      </c>
      <c r="K301" s="139"/>
      <c r="L301" s="139" t="str">
        <f ca="1">IFERROR(__xludf.DUMMYFUNCTION("""COMPUTED_VALUE"""),"ASEC FMAO-FMS/PROCUREMENT")</f>
        <v>ASEC FMAO-FMS/PROCUREMENT</v>
      </c>
      <c r="M301" s="139" t="str">
        <f ca="1">IFERROR(__xludf.DUMMYFUNCTION("""COMPUTED_VALUE"""),"SERVICEABLE")</f>
        <v>SERVICEABLE</v>
      </c>
      <c r="N301" s="146"/>
    </row>
    <row r="302" spans="1:14" ht="14.4">
      <c r="A302" s="139" t="str">
        <f ca="1">IFERROR(__xludf.DUMMYFUNCTION("""COMPUTED_VALUE"""),"DARCO")</f>
        <v>DARCO</v>
      </c>
      <c r="B302" s="139" t="str">
        <f ca="1">IFERROR(__xludf.DUMMYFUNCTION("""COMPUTED_VALUE"""),"CENTRAL OFFICE")</f>
        <v>CENTRAL OFFICE</v>
      </c>
      <c r="C302" s="139" t="str">
        <f ca="1">IFERROR(__xludf.DUMMYFUNCTION("""COMPUTED_VALUE"""),"ACER TRAVELMATE")</f>
        <v>ACER TRAVELMATE</v>
      </c>
      <c r="D302" s="142" t="str">
        <f ca="1">IFERROR(__xludf.DUMMYFUNCTION("""COMPUTED_VALUE"""),"₱ 46,580.00")</f>
        <v>₱ 46,580.00</v>
      </c>
      <c r="E302" s="139"/>
      <c r="F302" s="139" t="str">
        <f ca="1">IFERROR(__xludf.DUMMYFUNCTION("""COMPUTED_VALUE"""),"2024-05-03-10202SP-151")</f>
        <v>2024-05-03-10202SP-151</v>
      </c>
      <c r="G302" s="139"/>
      <c r="H302" s="139" t="str">
        <f ca="1">IFERROR(__xludf.DUMMYFUNCTION("""COMPUTED_VALUE"""),"ATTY QUINTIN O MAGSICO JR")</f>
        <v>ATTY QUINTIN O MAGSICO JR</v>
      </c>
      <c r="I302" s="139" t="str">
        <f ca="1">IFERROR(__xludf.DUMMYFUNCTION("""COMPUTED_VALUE"""),"ASEC")</f>
        <v>ASEC</v>
      </c>
      <c r="J302" s="139" t="str">
        <f ca="1">IFERROR(__xludf.DUMMYFUNCTION("""COMPUTED_VALUE"""),"SP011-2024")</f>
        <v>SP011-2024</v>
      </c>
      <c r="K302" s="139"/>
      <c r="L302" s="139" t="str">
        <f ca="1">IFERROR(__xludf.DUMMYFUNCTION("""COMPUTED_VALUE"""),"ASEC FMAO-FMS/PROCUREMENT")</f>
        <v>ASEC FMAO-FMS/PROCUREMENT</v>
      </c>
      <c r="M302" s="139" t="str">
        <f ca="1">IFERROR(__xludf.DUMMYFUNCTION("""COMPUTED_VALUE"""),"SERVICEABLE")</f>
        <v>SERVICEABLE</v>
      </c>
      <c r="N302" s="146"/>
    </row>
    <row r="303" spans="1:14" ht="14.4">
      <c r="A303" s="139" t="str">
        <f ca="1">IFERROR(__xludf.DUMMYFUNCTION("""COMPUTED_VALUE"""),"DARCO")</f>
        <v>DARCO</v>
      </c>
      <c r="B303" s="139" t="str">
        <f ca="1">IFERROR(__xludf.DUMMYFUNCTION("""COMPUTED_VALUE"""),"CENTRAL OFFICE")</f>
        <v>CENTRAL OFFICE</v>
      </c>
      <c r="C303" s="139" t="str">
        <f ca="1">IFERROR(__xludf.DUMMYFUNCTION("""COMPUTED_VALUE"""),"ACER TRAVELMATE")</f>
        <v>ACER TRAVELMATE</v>
      </c>
      <c r="D303" s="142" t="str">
        <f ca="1">IFERROR(__xludf.DUMMYFUNCTION("""COMPUTED_VALUE"""),"₱ 46,580.00")</f>
        <v>₱ 46,580.00</v>
      </c>
      <c r="E303" s="139"/>
      <c r="F303" s="139" t="str">
        <f ca="1">IFERROR(__xludf.DUMMYFUNCTION("""COMPUTED_VALUE"""),"2024-05-03-10202SP-152")</f>
        <v>2024-05-03-10202SP-152</v>
      </c>
      <c r="G303" s="139"/>
      <c r="H303" s="139" t="str">
        <f ca="1">IFERROR(__xludf.DUMMYFUNCTION("""COMPUTED_VALUE"""),"ATTY QUINTIN O MAGSICO JR")</f>
        <v>ATTY QUINTIN O MAGSICO JR</v>
      </c>
      <c r="I303" s="139" t="str">
        <f ca="1">IFERROR(__xludf.DUMMYFUNCTION("""COMPUTED_VALUE"""),"ASEC")</f>
        <v>ASEC</v>
      </c>
      <c r="J303" s="139" t="str">
        <f ca="1">IFERROR(__xludf.DUMMYFUNCTION("""COMPUTED_VALUE"""),"SP011-2024")</f>
        <v>SP011-2024</v>
      </c>
      <c r="K303" s="139"/>
      <c r="L303" s="139" t="str">
        <f ca="1">IFERROR(__xludf.DUMMYFUNCTION("""COMPUTED_VALUE"""),"ASEC FMAO-FMS/PROCUREMENT")</f>
        <v>ASEC FMAO-FMS/PROCUREMENT</v>
      </c>
      <c r="M303" s="139" t="str">
        <f ca="1">IFERROR(__xludf.DUMMYFUNCTION("""COMPUTED_VALUE"""),"SERVICEABLE")</f>
        <v>SERVICEABLE</v>
      </c>
      <c r="N303" s="146"/>
    </row>
    <row r="304" spans="1:14" ht="14.4">
      <c r="A304" s="139" t="str">
        <f ca="1">IFERROR(__xludf.DUMMYFUNCTION("""COMPUTED_VALUE"""),"DARCO")</f>
        <v>DARCO</v>
      </c>
      <c r="B304" s="139" t="str">
        <f ca="1">IFERROR(__xludf.DUMMYFUNCTION("""COMPUTED_VALUE"""),"CENTRAL OFFICE")</f>
        <v>CENTRAL OFFICE</v>
      </c>
      <c r="C304" s="139" t="str">
        <f ca="1">IFERROR(__xludf.DUMMYFUNCTION("""COMPUTED_VALUE"""),"ACER TRAVELMATE")</f>
        <v>ACER TRAVELMATE</v>
      </c>
      <c r="D304" s="142" t="str">
        <f ca="1">IFERROR(__xludf.DUMMYFUNCTION("""COMPUTED_VALUE"""),"₱ 46,580.00")</f>
        <v>₱ 46,580.00</v>
      </c>
      <c r="E304" s="139"/>
      <c r="F304" s="139" t="str">
        <f ca="1">IFERROR(__xludf.DUMMYFUNCTION("""COMPUTED_VALUE"""),"2024-05-03-10202SP-153")</f>
        <v>2024-05-03-10202SP-153</v>
      </c>
      <c r="G304" s="139"/>
      <c r="H304" s="139" t="str">
        <f ca="1">IFERROR(__xludf.DUMMYFUNCTION("""COMPUTED_VALUE"""),"ATTY QUINTIN O MAGSICO JR")</f>
        <v>ATTY QUINTIN O MAGSICO JR</v>
      </c>
      <c r="I304" s="139" t="str">
        <f ca="1">IFERROR(__xludf.DUMMYFUNCTION("""COMPUTED_VALUE"""),"ASEC")</f>
        <v>ASEC</v>
      </c>
      <c r="J304" s="139" t="str">
        <f ca="1">IFERROR(__xludf.DUMMYFUNCTION("""COMPUTED_VALUE"""),"SP011-2024")</f>
        <v>SP011-2024</v>
      </c>
      <c r="K304" s="139"/>
      <c r="L304" s="139" t="str">
        <f ca="1">IFERROR(__xludf.DUMMYFUNCTION("""COMPUTED_VALUE"""),"ASEC FMAO-FMS/PROCUREMENT")</f>
        <v>ASEC FMAO-FMS/PROCUREMENT</v>
      </c>
      <c r="M304" s="139" t="str">
        <f ca="1">IFERROR(__xludf.DUMMYFUNCTION("""COMPUTED_VALUE"""),"SERVICEABLE")</f>
        <v>SERVICEABLE</v>
      </c>
      <c r="N304" s="146"/>
    </row>
    <row r="305" spans="1:14" ht="14.4">
      <c r="A305" s="139" t="str">
        <f ca="1">IFERROR(__xludf.DUMMYFUNCTION("""COMPUTED_VALUE"""),"DARCO")</f>
        <v>DARCO</v>
      </c>
      <c r="B305" s="139" t="str">
        <f ca="1">IFERROR(__xludf.DUMMYFUNCTION("""COMPUTED_VALUE"""),"CENTRAL OFFICE")</f>
        <v>CENTRAL OFFICE</v>
      </c>
      <c r="C305" s="139" t="str">
        <f ca="1">IFERROR(__xludf.DUMMYFUNCTION("""COMPUTED_VALUE"""),"ACER TRAVELMATE")</f>
        <v>ACER TRAVELMATE</v>
      </c>
      <c r="D305" s="142" t="str">
        <f ca="1">IFERROR(__xludf.DUMMYFUNCTION("""COMPUTED_VALUE"""),"₱ 46,580.00")</f>
        <v>₱ 46,580.00</v>
      </c>
      <c r="E305" s="139"/>
      <c r="F305" s="139" t="str">
        <f ca="1">IFERROR(__xludf.DUMMYFUNCTION("""COMPUTED_VALUE"""),"2024-05-03-10202SP-154")</f>
        <v>2024-05-03-10202SP-154</v>
      </c>
      <c r="G305" s="139"/>
      <c r="H305" s="139" t="str">
        <f ca="1">IFERROR(__xludf.DUMMYFUNCTION("""COMPUTED_VALUE"""),"ATTY QUINTIN O MAGSICO JR")</f>
        <v>ATTY QUINTIN O MAGSICO JR</v>
      </c>
      <c r="I305" s="139" t="str">
        <f ca="1">IFERROR(__xludf.DUMMYFUNCTION("""COMPUTED_VALUE"""),"ASEC")</f>
        <v>ASEC</v>
      </c>
      <c r="J305" s="139" t="str">
        <f ca="1">IFERROR(__xludf.DUMMYFUNCTION("""COMPUTED_VALUE"""),"SP011-2024")</f>
        <v>SP011-2024</v>
      </c>
      <c r="K305" s="139"/>
      <c r="L305" s="139" t="str">
        <f ca="1">IFERROR(__xludf.DUMMYFUNCTION("""COMPUTED_VALUE"""),"ASEC FMAO-FMS/PROCUREMENT")</f>
        <v>ASEC FMAO-FMS/PROCUREMENT</v>
      </c>
      <c r="M305" s="139" t="str">
        <f ca="1">IFERROR(__xludf.DUMMYFUNCTION("""COMPUTED_VALUE"""),"SERVICEABLE")</f>
        <v>SERVICEABLE</v>
      </c>
      <c r="N305" s="146"/>
    </row>
    <row r="306" spans="1:14" ht="14.4">
      <c r="A306" s="139" t="str">
        <f ca="1">IFERROR(__xludf.DUMMYFUNCTION("""COMPUTED_VALUE"""),"DARCO")</f>
        <v>DARCO</v>
      </c>
      <c r="B306" s="139" t="str">
        <f ca="1">IFERROR(__xludf.DUMMYFUNCTION("""COMPUTED_VALUE"""),"CENTRAL OFFICE")</f>
        <v>CENTRAL OFFICE</v>
      </c>
      <c r="C306" s="139" t="str">
        <f ca="1">IFERROR(__xludf.DUMMYFUNCTION("""COMPUTED_VALUE"""),"ACER TRAVELMATE")</f>
        <v>ACER TRAVELMATE</v>
      </c>
      <c r="D306" s="142" t="str">
        <f ca="1">IFERROR(__xludf.DUMMYFUNCTION("""COMPUTED_VALUE"""),"₱ 46,580.00")</f>
        <v>₱ 46,580.00</v>
      </c>
      <c r="E306" s="139"/>
      <c r="F306" s="139" t="str">
        <f ca="1">IFERROR(__xludf.DUMMYFUNCTION("""COMPUTED_VALUE"""),"2024-05-03-10202SP-155")</f>
        <v>2024-05-03-10202SP-155</v>
      </c>
      <c r="G306" s="139"/>
      <c r="H306" s="139" t="str">
        <f ca="1">IFERROR(__xludf.DUMMYFUNCTION("""COMPUTED_VALUE"""),"ATTY QUINTIN O MAGSICO JR")</f>
        <v>ATTY QUINTIN O MAGSICO JR</v>
      </c>
      <c r="I306" s="139" t="str">
        <f ca="1">IFERROR(__xludf.DUMMYFUNCTION("""COMPUTED_VALUE"""),"ASEC")</f>
        <v>ASEC</v>
      </c>
      <c r="J306" s="139" t="str">
        <f ca="1">IFERROR(__xludf.DUMMYFUNCTION("""COMPUTED_VALUE"""),"SP011-2024")</f>
        <v>SP011-2024</v>
      </c>
      <c r="K306" s="139"/>
      <c r="L306" s="139" t="str">
        <f ca="1">IFERROR(__xludf.DUMMYFUNCTION("""COMPUTED_VALUE"""),"ASEC FMAO-FMS/PROCUREMENT")</f>
        <v>ASEC FMAO-FMS/PROCUREMENT</v>
      </c>
      <c r="M306" s="139" t="str">
        <f ca="1">IFERROR(__xludf.DUMMYFUNCTION("""COMPUTED_VALUE"""),"SERVICEABLE")</f>
        <v>SERVICEABLE</v>
      </c>
      <c r="N306" s="146"/>
    </row>
    <row r="307" spans="1:14" ht="14.4">
      <c r="A307" s="139" t="str">
        <f ca="1">IFERROR(__xludf.DUMMYFUNCTION("""COMPUTED_VALUE"""),"DARCO")</f>
        <v>DARCO</v>
      </c>
      <c r="B307" s="139" t="str">
        <f ca="1">IFERROR(__xludf.DUMMYFUNCTION("""COMPUTED_VALUE"""),"CENTRAL OFFICE")</f>
        <v>CENTRAL OFFICE</v>
      </c>
      <c r="C307" s="139" t="str">
        <f ca="1">IFERROR(__xludf.DUMMYFUNCTION("""COMPUTED_VALUE"""),"ACER TRAVELMATE")</f>
        <v>ACER TRAVELMATE</v>
      </c>
      <c r="D307" s="142" t="str">
        <f ca="1">IFERROR(__xludf.DUMMYFUNCTION("""COMPUTED_VALUE"""),"₱ 46,580.00")</f>
        <v>₱ 46,580.00</v>
      </c>
      <c r="E307" s="139"/>
      <c r="F307" s="139" t="str">
        <f ca="1">IFERROR(__xludf.DUMMYFUNCTION("""COMPUTED_VALUE"""),"2024-05-03-10202SP-156")</f>
        <v>2024-05-03-10202SP-156</v>
      </c>
      <c r="G307" s="139"/>
      <c r="H307" s="139"/>
      <c r="I307" s="139"/>
      <c r="J307" s="139" t="str">
        <f ca="1">IFERROR(__xludf.DUMMYFUNCTION("""COMPUTED_VALUE"""),"SP012-2024")</f>
        <v>SP012-2024</v>
      </c>
      <c r="K307" s="139"/>
      <c r="L307" s="139" t="str">
        <f ca="1">IFERROR(__xludf.DUMMYFUNCTION("""COMPUTED_VALUE"""),"ARCDS")</f>
        <v>ARCDS</v>
      </c>
      <c r="M307" s="139" t="str">
        <f ca="1">IFERROR(__xludf.DUMMYFUNCTION("""COMPUTED_VALUE"""),"SERVICEABLE")</f>
        <v>SERVICEABLE</v>
      </c>
      <c r="N307" s="146"/>
    </row>
    <row r="308" spans="1:14" ht="14.4">
      <c r="A308" s="139" t="str">
        <f ca="1">IFERROR(__xludf.DUMMYFUNCTION("""COMPUTED_VALUE"""),"DARCO")</f>
        <v>DARCO</v>
      </c>
      <c r="B308" s="139" t="str">
        <f ca="1">IFERROR(__xludf.DUMMYFUNCTION("""COMPUTED_VALUE"""),"CENTRAL OFFICE")</f>
        <v>CENTRAL OFFICE</v>
      </c>
      <c r="C308" s="139" t="str">
        <f ca="1">IFERROR(__xludf.DUMMYFUNCTION("""COMPUTED_VALUE"""),"ACER TRAVELMATE")</f>
        <v>ACER TRAVELMATE</v>
      </c>
      <c r="D308" s="142" t="str">
        <f ca="1">IFERROR(__xludf.DUMMYFUNCTION("""COMPUTED_VALUE"""),"₱ 46,580.00")</f>
        <v>₱ 46,580.00</v>
      </c>
      <c r="E308" s="139"/>
      <c r="F308" s="139" t="str">
        <f ca="1">IFERROR(__xludf.DUMMYFUNCTION("""COMPUTED_VALUE"""),"2024-05-03-10202SP-157")</f>
        <v>2024-05-03-10202SP-157</v>
      </c>
      <c r="G308" s="139"/>
      <c r="H308" s="139"/>
      <c r="I308" s="139"/>
      <c r="J308" s="139" t="str">
        <f ca="1">IFERROR(__xludf.DUMMYFUNCTION("""COMPUTED_VALUE"""),"SP012-2024")</f>
        <v>SP012-2024</v>
      </c>
      <c r="K308" s="139"/>
      <c r="L308" s="139" t="str">
        <f ca="1">IFERROR(__xludf.DUMMYFUNCTION("""COMPUTED_VALUE"""),"FMS / BUDGET")</f>
        <v>FMS / BUDGET</v>
      </c>
      <c r="M308" s="139" t="str">
        <f ca="1">IFERROR(__xludf.DUMMYFUNCTION("""COMPUTED_VALUE"""),"SERVICEABLE")</f>
        <v>SERVICEABLE</v>
      </c>
      <c r="N308" s="146"/>
    </row>
    <row r="309" spans="1:14" ht="14.4">
      <c r="A309" s="139" t="str">
        <f ca="1">IFERROR(__xludf.DUMMYFUNCTION("""COMPUTED_VALUE"""),"DARCO")</f>
        <v>DARCO</v>
      </c>
      <c r="B309" s="139" t="str">
        <f ca="1">IFERROR(__xludf.DUMMYFUNCTION("""COMPUTED_VALUE"""),"CENTRAL OFFICE")</f>
        <v>CENTRAL OFFICE</v>
      </c>
      <c r="C309" s="139" t="str">
        <f ca="1">IFERROR(__xludf.DUMMYFUNCTION("""COMPUTED_VALUE"""),"ACER TRAVELMATE")</f>
        <v>ACER TRAVELMATE</v>
      </c>
      <c r="D309" s="142" t="str">
        <f ca="1">IFERROR(__xludf.DUMMYFUNCTION("""COMPUTED_VALUE"""),"₱ 46,580.00")</f>
        <v>₱ 46,580.00</v>
      </c>
      <c r="E309" s="139"/>
      <c r="F309" s="139" t="str">
        <f ca="1">IFERROR(__xludf.DUMMYFUNCTION("""COMPUTED_VALUE"""),"2024-05-03-10202SP-158")</f>
        <v>2024-05-03-10202SP-158</v>
      </c>
      <c r="G309" s="139"/>
      <c r="H309" s="139" t="str">
        <f ca="1">IFERROR(__xludf.DUMMYFUNCTION("""COMPUTED_VALUE"""),"ATTY MCDONALD GALIT")</f>
        <v>ATTY MCDONALD GALIT</v>
      </c>
      <c r="I309" s="139" t="str">
        <f ca="1">IFERROR(__xludf.DUMMYFUNCTION("""COMPUTED_VALUE"""),"ASEC")</f>
        <v>ASEC</v>
      </c>
      <c r="J309" s="139" t="str">
        <f ca="1">IFERROR(__xludf.DUMMYFUNCTION("""COMPUTED_VALUE"""),"SP013-2024")</f>
        <v>SP013-2024</v>
      </c>
      <c r="K309" s="139"/>
      <c r="L309" s="139" t="str">
        <f ca="1">IFERROR(__xludf.DUMMYFUNCTION("""COMPUTED_VALUE"""),"ASEC DARAB")</f>
        <v>ASEC DARAB</v>
      </c>
      <c r="M309" s="139" t="str">
        <f ca="1">IFERROR(__xludf.DUMMYFUNCTION("""COMPUTED_VALUE"""),"SERVICEABLE")</f>
        <v>SERVICEABLE</v>
      </c>
      <c r="N309" s="146"/>
    </row>
    <row r="310" spans="1:14" ht="14.4">
      <c r="A310" s="139" t="str">
        <f ca="1">IFERROR(__xludf.DUMMYFUNCTION("""COMPUTED_VALUE"""),"DARCO")</f>
        <v>DARCO</v>
      </c>
      <c r="B310" s="139" t="str">
        <f ca="1">IFERROR(__xludf.DUMMYFUNCTION("""COMPUTED_VALUE"""),"CENTRAL OFFICE")</f>
        <v>CENTRAL OFFICE</v>
      </c>
      <c r="C310" s="139" t="str">
        <f ca="1">IFERROR(__xludf.DUMMYFUNCTION("""COMPUTED_VALUE"""),"ACER TRAVELMATE")</f>
        <v>ACER TRAVELMATE</v>
      </c>
      <c r="D310" s="142" t="str">
        <f ca="1">IFERROR(__xludf.DUMMYFUNCTION("""COMPUTED_VALUE"""),"₱ 46,580.00")</f>
        <v>₱ 46,580.00</v>
      </c>
      <c r="E310" s="139"/>
      <c r="F310" s="139" t="str">
        <f ca="1">IFERROR(__xludf.DUMMYFUNCTION("""COMPUTED_VALUE"""),"2024-05-03-10202SP-159")</f>
        <v>2024-05-03-10202SP-159</v>
      </c>
      <c r="G310" s="139"/>
      <c r="H310" s="139" t="str">
        <f ca="1">IFERROR(__xludf.DUMMYFUNCTION("""COMPUTED_VALUE"""),"ATTY MCDONALD GALIT")</f>
        <v>ATTY MCDONALD GALIT</v>
      </c>
      <c r="I310" s="139" t="str">
        <f ca="1">IFERROR(__xludf.DUMMYFUNCTION("""COMPUTED_VALUE"""),"ASEC")</f>
        <v>ASEC</v>
      </c>
      <c r="J310" s="139" t="str">
        <f ca="1">IFERROR(__xludf.DUMMYFUNCTION("""COMPUTED_VALUE"""),"SP013-2024")</f>
        <v>SP013-2024</v>
      </c>
      <c r="K310" s="139"/>
      <c r="L310" s="139" t="str">
        <f ca="1">IFERROR(__xludf.DUMMYFUNCTION("""COMPUTED_VALUE"""),"ASEC DARAB")</f>
        <v>ASEC DARAB</v>
      </c>
      <c r="M310" s="139" t="str">
        <f ca="1">IFERROR(__xludf.DUMMYFUNCTION("""COMPUTED_VALUE"""),"SERVICEABLE")</f>
        <v>SERVICEABLE</v>
      </c>
      <c r="N310" s="146"/>
    </row>
    <row r="311" spans="1:14" ht="14.4">
      <c r="A311" s="139" t="str">
        <f ca="1">IFERROR(__xludf.DUMMYFUNCTION("""COMPUTED_VALUE"""),"DARCO")</f>
        <v>DARCO</v>
      </c>
      <c r="B311" s="139" t="str">
        <f ca="1">IFERROR(__xludf.DUMMYFUNCTION("""COMPUTED_VALUE"""),"CENTRAL OFFICE")</f>
        <v>CENTRAL OFFICE</v>
      </c>
      <c r="C311" s="139" t="str">
        <f ca="1">IFERROR(__xludf.DUMMYFUNCTION("""COMPUTED_VALUE"""),"ACER TRAVELMATE")</f>
        <v>ACER TRAVELMATE</v>
      </c>
      <c r="D311" s="142" t="str">
        <f ca="1">IFERROR(__xludf.DUMMYFUNCTION("""COMPUTED_VALUE"""),"₱ 46,580.00")</f>
        <v>₱ 46,580.00</v>
      </c>
      <c r="E311" s="139"/>
      <c r="F311" s="139" t="str">
        <f ca="1">IFERROR(__xludf.DUMMYFUNCTION("""COMPUTED_VALUE"""),"2024-05-03-10202SP-160")</f>
        <v>2024-05-03-10202SP-160</v>
      </c>
      <c r="G311" s="139"/>
      <c r="H311" s="139" t="str">
        <f ca="1">IFERROR(__xludf.DUMMYFUNCTION("""COMPUTED_VALUE"""),"ATTY MCDONALD GALIT")</f>
        <v>ATTY MCDONALD GALIT</v>
      </c>
      <c r="I311" s="139" t="str">
        <f ca="1">IFERROR(__xludf.DUMMYFUNCTION("""COMPUTED_VALUE"""),"ASEC")</f>
        <v>ASEC</v>
      </c>
      <c r="J311" s="139" t="str">
        <f ca="1">IFERROR(__xludf.DUMMYFUNCTION("""COMPUTED_VALUE"""),"SP013-2024")</f>
        <v>SP013-2024</v>
      </c>
      <c r="K311" s="139"/>
      <c r="L311" s="139" t="str">
        <f ca="1">IFERROR(__xludf.DUMMYFUNCTION("""COMPUTED_VALUE"""),"ASEC DARAB")</f>
        <v>ASEC DARAB</v>
      </c>
      <c r="M311" s="139" t="str">
        <f ca="1">IFERROR(__xludf.DUMMYFUNCTION("""COMPUTED_VALUE"""),"SERVICEABLE")</f>
        <v>SERVICEABLE</v>
      </c>
      <c r="N311" s="146"/>
    </row>
    <row r="312" spans="1:14" ht="14.4">
      <c r="A312" s="139" t="str">
        <f ca="1">IFERROR(__xludf.DUMMYFUNCTION("""COMPUTED_VALUE"""),"DARCO")</f>
        <v>DARCO</v>
      </c>
      <c r="B312" s="139" t="str">
        <f ca="1">IFERROR(__xludf.DUMMYFUNCTION("""COMPUTED_VALUE"""),"CENTRAL OFFICE")</f>
        <v>CENTRAL OFFICE</v>
      </c>
      <c r="C312" s="139" t="str">
        <f ca="1">IFERROR(__xludf.DUMMYFUNCTION("""COMPUTED_VALUE"""),"ACER TRAVELMATE")</f>
        <v>ACER TRAVELMATE</v>
      </c>
      <c r="D312" s="142" t="str">
        <f ca="1">IFERROR(__xludf.DUMMYFUNCTION("""COMPUTED_VALUE"""),"₱ 46,580.00")</f>
        <v>₱ 46,580.00</v>
      </c>
      <c r="E312" s="139"/>
      <c r="F312" s="139" t="str">
        <f ca="1">IFERROR(__xludf.DUMMYFUNCTION("""COMPUTED_VALUE"""),"2024-05-03-10202SP-161")</f>
        <v>2024-05-03-10202SP-161</v>
      </c>
      <c r="G312" s="139"/>
      <c r="H312" s="139" t="str">
        <f ca="1">IFERROR(__xludf.DUMMYFUNCTION("""COMPUTED_VALUE"""),"ATTY MCDONALD GALIT")</f>
        <v>ATTY MCDONALD GALIT</v>
      </c>
      <c r="I312" s="139" t="str">
        <f ca="1">IFERROR(__xludf.DUMMYFUNCTION("""COMPUTED_VALUE"""),"ASEC")</f>
        <v>ASEC</v>
      </c>
      <c r="J312" s="139" t="str">
        <f ca="1">IFERROR(__xludf.DUMMYFUNCTION("""COMPUTED_VALUE"""),"SP013-2024")</f>
        <v>SP013-2024</v>
      </c>
      <c r="K312" s="139"/>
      <c r="L312" s="139" t="str">
        <f ca="1">IFERROR(__xludf.DUMMYFUNCTION("""COMPUTED_VALUE"""),"ASEC DARAB")</f>
        <v>ASEC DARAB</v>
      </c>
      <c r="M312" s="139" t="str">
        <f ca="1">IFERROR(__xludf.DUMMYFUNCTION("""COMPUTED_VALUE"""),"SERVICEABLE")</f>
        <v>SERVICEABLE</v>
      </c>
      <c r="N312" s="146"/>
    </row>
    <row r="313" spans="1:14" ht="14.4">
      <c r="A313" s="139" t="str">
        <f ca="1">IFERROR(__xludf.DUMMYFUNCTION("""COMPUTED_VALUE"""),"DARCO")</f>
        <v>DARCO</v>
      </c>
      <c r="B313" s="139" t="str">
        <f ca="1">IFERROR(__xludf.DUMMYFUNCTION("""COMPUTED_VALUE"""),"CENTRAL OFFICE")</f>
        <v>CENTRAL OFFICE</v>
      </c>
      <c r="C313" s="139" t="str">
        <f ca="1">IFERROR(__xludf.DUMMYFUNCTION("""COMPUTED_VALUE"""),"ACER TRAVELMATE")</f>
        <v>ACER TRAVELMATE</v>
      </c>
      <c r="D313" s="142" t="str">
        <f ca="1">IFERROR(__xludf.DUMMYFUNCTION("""COMPUTED_VALUE"""),"₱ 46,580.00")</f>
        <v>₱ 46,580.00</v>
      </c>
      <c r="E313" s="139"/>
      <c r="F313" s="139" t="str">
        <f ca="1">IFERROR(__xludf.DUMMYFUNCTION("""COMPUTED_VALUE"""),"2024-05-03-10202SP-162")</f>
        <v>2024-05-03-10202SP-162</v>
      </c>
      <c r="G313" s="139"/>
      <c r="H313" s="139" t="str">
        <f ca="1">IFERROR(__xludf.DUMMYFUNCTION("""COMPUTED_VALUE"""),"ATTY MCDONALD GALIT")</f>
        <v>ATTY MCDONALD GALIT</v>
      </c>
      <c r="I313" s="139" t="str">
        <f ca="1">IFERROR(__xludf.DUMMYFUNCTION("""COMPUTED_VALUE"""),"ASEC")</f>
        <v>ASEC</v>
      </c>
      <c r="J313" s="139" t="str">
        <f ca="1">IFERROR(__xludf.DUMMYFUNCTION("""COMPUTED_VALUE"""),"SP013-2024")</f>
        <v>SP013-2024</v>
      </c>
      <c r="K313" s="139"/>
      <c r="L313" s="139" t="str">
        <f ca="1">IFERROR(__xludf.DUMMYFUNCTION("""COMPUTED_VALUE"""),"ASEC DARAB")</f>
        <v>ASEC DARAB</v>
      </c>
      <c r="M313" s="139" t="str">
        <f ca="1">IFERROR(__xludf.DUMMYFUNCTION("""COMPUTED_VALUE"""),"SERVICEABLE")</f>
        <v>SERVICEABLE</v>
      </c>
      <c r="N313" s="146"/>
    </row>
    <row r="314" spans="1:14" ht="14.4">
      <c r="A314" s="139" t="str">
        <f ca="1">IFERROR(__xludf.DUMMYFUNCTION("""COMPUTED_VALUE"""),"DARCO")</f>
        <v>DARCO</v>
      </c>
      <c r="B314" s="139" t="str">
        <f ca="1">IFERROR(__xludf.DUMMYFUNCTION("""COMPUTED_VALUE"""),"CENTRAL OFFICE")</f>
        <v>CENTRAL OFFICE</v>
      </c>
      <c r="C314" s="139" t="str">
        <f ca="1">IFERROR(__xludf.DUMMYFUNCTION("""COMPUTED_VALUE"""),"ACER TRAVELMATE")</f>
        <v>ACER TRAVELMATE</v>
      </c>
      <c r="D314" s="142" t="str">
        <f ca="1">IFERROR(__xludf.DUMMYFUNCTION("""COMPUTED_VALUE"""),"₱ 46,580.00")</f>
        <v>₱ 46,580.00</v>
      </c>
      <c r="E314" s="139"/>
      <c r="F314" s="139" t="str">
        <f ca="1">IFERROR(__xludf.DUMMYFUNCTION("""COMPUTED_VALUE"""),"2024-05-03-10202SP-163")</f>
        <v>2024-05-03-10202SP-163</v>
      </c>
      <c r="G314" s="139"/>
      <c r="H314" s="139" t="str">
        <f ca="1">IFERROR(__xludf.DUMMYFUNCTION("""COMPUTED_VALUE"""),"ATTY MCDONALD GALIT")</f>
        <v>ATTY MCDONALD GALIT</v>
      </c>
      <c r="I314" s="139" t="str">
        <f ca="1">IFERROR(__xludf.DUMMYFUNCTION("""COMPUTED_VALUE"""),"ASEC")</f>
        <v>ASEC</v>
      </c>
      <c r="J314" s="139" t="str">
        <f ca="1">IFERROR(__xludf.DUMMYFUNCTION("""COMPUTED_VALUE"""),"SP013-2024")</f>
        <v>SP013-2024</v>
      </c>
      <c r="K314" s="139"/>
      <c r="L314" s="139" t="str">
        <f ca="1">IFERROR(__xludf.DUMMYFUNCTION("""COMPUTED_VALUE"""),"ASEC DARAB")</f>
        <v>ASEC DARAB</v>
      </c>
      <c r="M314" s="139" t="str">
        <f ca="1">IFERROR(__xludf.DUMMYFUNCTION("""COMPUTED_VALUE"""),"SERVICEABLE")</f>
        <v>SERVICEABLE</v>
      </c>
      <c r="N314" s="146"/>
    </row>
    <row r="315" spans="1:14" ht="14.4">
      <c r="A315" s="139" t="str">
        <f ca="1">IFERROR(__xludf.DUMMYFUNCTION("""COMPUTED_VALUE"""),"DARCO")</f>
        <v>DARCO</v>
      </c>
      <c r="B315" s="139" t="str">
        <f ca="1">IFERROR(__xludf.DUMMYFUNCTION("""COMPUTED_VALUE"""),"CENTRAL OFFICE")</f>
        <v>CENTRAL OFFICE</v>
      </c>
      <c r="C315" s="139" t="str">
        <f ca="1">IFERROR(__xludf.DUMMYFUNCTION("""COMPUTED_VALUE"""),"ACER TRAVELMATE")</f>
        <v>ACER TRAVELMATE</v>
      </c>
      <c r="D315" s="142" t="str">
        <f ca="1">IFERROR(__xludf.DUMMYFUNCTION("""COMPUTED_VALUE"""),"₱ 46,580.00")</f>
        <v>₱ 46,580.00</v>
      </c>
      <c r="E315" s="139"/>
      <c r="F315" s="139" t="str">
        <f ca="1">IFERROR(__xludf.DUMMYFUNCTION("""COMPUTED_VALUE"""),"2024-05-03-10202SP-164")</f>
        <v>2024-05-03-10202SP-164</v>
      </c>
      <c r="G315" s="139"/>
      <c r="H315" s="139" t="str">
        <f ca="1">IFERROR(__xludf.DUMMYFUNCTION("""COMPUTED_VALUE"""),"ATTY MCDONALD GALIT")</f>
        <v>ATTY MCDONALD GALIT</v>
      </c>
      <c r="I315" s="139" t="str">
        <f ca="1">IFERROR(__xludf.DUMMYFUNCTION("""COMPUTED_VALUE"""),"ASEC")</f>
        <v>ASEC</v>
      </c>
      <c r="J315" s="139" t="str">
        <f ca="1">IFERROR(__xludf.DUMMYFUNCTION("""COMPUTED_VALUE"""),"SP013-2024")</f>
        <v>SP013-2024</v>
      </c>
      <c r="K315" s="139"/>
      <c r="L315" s="139" t="str">
        <f ca="1">IFERROR(__xludf.DUMMYFUNCTION("""COMPUTED_VALUE"""),"ASEC DARAB")</f>
        <v>ASEC DARAB</v>
      </c>
      <c r="M315" s="139" t="str">
        <f ca="1">IFERROR(__xludf.DUMMYFUNCTION("""COMPUTED_VALUE"""),"SERVICEABLE")</f>
        <v>SERVICEABLE</v>
      </c>
      <c r="N315" s="146"/>
    </row>
    <row r="316" spans="1:14" ht="14.4">
      <c r="A316" s="139" t="str">
        <f ca="1">IFERROR(__xludf.DUMMYFUNCTION("""COMPUTED_VALUE"""),"DARCO")</f>
        <v>DARCO</v>
      </c>
      <c r="B316" s="139" t="str">
        <f ca="1">IFERROR(__xludf.DUMMYFUNCTION("""COMPUTED_VALUE"""),"CENTRAL OFFICE")</f>
        <v>CENTRAL OFFICE</v>
      </c>
      <c r="C316" s="139" t="str">
        <f ca="1">IFERROR(__xludf.DUMMYFUNCTION("""COMPUTED_VALUE"""),"ACER TRAVELMATE")</f>
        <v>ACER TRAVELMATE</v>
      </c>
      <c r="D316" s="142" t="str">
        <f ca="1">IFERROR(__xludf.DUMMYFUNCTION("""COMPUTED_VALUE"""),"₱ 46,580.00")</f>
        <v>₱ 46,580.00</v>
      </c>
      <c r="E316" s="139"/>
      <c r="F316" s="139" t="str">
        <f ca="1">IFERROR(__xludf.DUMMYFUNCTION("""COMPUTED_VALUE"""),"2024-05-03-10202SP-165")</f>
        <v>2024-05-03-10202SP-165</v>
      </c>
      <c r="G316" s="139"/>
      <c r="H316" s="139" t="str">
        <f ca="1">IFERROR(__xludf.DUMMYFUNCTION("""COMPUTED_VALUE"""),"ATTY COLETO")</f>
        <v>ATTY COLETO</v>
      </c>
      <c r="I316" s="139" t="str">
        <f ca="1">IFERROR(__xludf.DUMMYFUNCTION("""COMPUTED_VALUE"""),"ASEC")</f>
        <v>ASEC</v>
      </c>
      <c r="J316" s="139" t="str">
        <f ca="1">IFERROR(__xludf.DUMMYFUNCTION("""COMPUTED_VALUE"""),"SP014-2024")</f>
        <v>SP014-2024</v>
      </c>
      <c r="K316" s="139"/>
      <c r="L316" s="139" t="str">
        <f ca="1">IFERROR(__xludf.DUMMYFUNCTION("""COMPUTED_VALUE"""),"ASEC DARAB")</f>
        <v>ASEC DARAB</v>
      </c>
      <c r="M316" s="139" t="str">
        <f ca="1">IFERROR(__xludf.DUMMYFUNCTION("""COMPUTED_VALUE"""),"SERVICEABLE")</f>
        <v>SERVICEABLE</v>
      </c>
      <c r="N316" s="146"/>
    </row>
    <row r="317" spans="1:14" ht="14.4">
      <c r="A317" s="139" t="str">
        <f ca="1">IFERROR(__xludf.DUMMYFUNCTION("""COMPUTED_VALUE"""),"DARCO")</f>
        <v>DARCO</v>
      </c>
      <c r="B317" s="139" t="str">
        <f ca="1">IFERROR(__xludf.DUMMYFUNCTION("""COMPUTED_VALUE"""),"CENTRAL OFFICE")</f>
        <v>CENTRAL OFFICE</v>
      </c>
      <c r="C317" s="139" t="str">
        <f ca="1">IFERROR(__xludf.DUMMYFUNCTION("""COMPUTED_VALUE"""),"ACER TRAVELMATE")</f>
        <v>ACER TRAVELMATE</v>
      </c>
      <c r="D317" s="142" t="str">
        <f ca="1">IFERROR(__xludf.DUMMYFUNCTION("""COMPUTED_VALUE"""),"₱ 46,580.00")</f>
        <v>₱ 46,580.00</v>
      </c>
      <c r="E317" s="139"/>
      <c r="F317" s="139" t="str">
        <f ca="1">IFERROR(__xludf.DUMMYFUNCTION("""COMPUTED_VALUE"""),"2024-05-03-10202SP-166")</f>
        <v>2024-05-03-10202SP-166</v>
      </c>
      <c r="G317" s="139"/>
      <c r="H317" s="139" t="str">
        <f ca="1">IFERROR(__xludf.DUMMYFUNCTION("""COMPUTED_VALUE"""),"ATTY COLETO")</f>
        <v>ATTY COLETO</v>
      </c>
      <c r="I317" s="139" t="str">
        <f ca="1">IFERROR(__xludf.DUMMYFUNCTION("""COMPUTED_VALUE"""),"ASEC")</f>
        <v>ASEC</v>
      </c>
      <c r="J317" s="139" t="str">
        <f ca="1">IFERROR(__xludf.DUMMYFUNCTION("""COMPUTED_VALUE"""),"SP014-2024")</f>
        <v>SP014-2024</v>
      </c>
      <c r="K317" s="139"/>
      <c r="L317" s="139" t="str">
        <f ca="1">IFERROR(__xludf.DUMMYFUNCTION("""COMPUTED_VALUE"""),"ASEC DARAB")</f>
        <v>ASEC DARAB</v>
      </c>
      <c r="M317" s="139" t="str">
        <f ca="1">IFERROR(__xludf.DUMMYFUNCTION("""COMPUTED_VALUE"""),"SERVICEABLE")</f>
        <v>SERVICEABLE</v>
      </c>
      <c r="N317" s="146"/>
    </row>
    <row r="318" spans="1:14" ht="14.4">
      <c r="A318" s="139" t="str">
        <f ca="1">IFERROR(__xludf.DUMMYFUNCTION("""COMPUTED_VALUE"""),"DARCO")</f>
        <v>DARCO</v>
      </c>
      <c r="B318" s="139" t="str">
        <f ca="1">IFERROR(__xludf.DUMMYFUNCTION("""COMPUTED_VALUE"""),"CENTRAL OFFICE")</f>
        <v>CENTRAL OFFICE</v>
      </c>
      <c r="C318" s="139" t="str">
        <f ca="1">IFERROR(__xludf.DUMMYFUNCTION("""COMPUTED_VALUE"""),"ACER TRAVELMATE")</f>
        <v>ACER TRAVELMATE</v>
      </c>
      <c r="D318" s="142" t="str">
        <f ca="1">IFERROR(__xludf.DUMMYFUNCTION("""COMPUTED_VALUE"""),"₱ 46,580.00")</f>
        <v>₱ 46,580.00</v>
      </c>
      <c r="E318" s="139"/>
      <c r="F318" s="139" t="str">
        <f ca="1">IFERROR(__xludf.DUMMYFUNCTION("""COMPUTED_VALUE"""),"2024-05-03-10202SP-167")</f>
        <v>2024-05-03-10202SP-167</v>
      </c>
      <c r="G318" s="139"/>
      <c r="H318" s="139" t="str">
        <f ca="1">IFERROR(__xludf.DUMMYFUNCTION("""COMPUTED_VALUE"""),"ATTY. CUA")</f>
        <v>ATTY. CUA</v>
      </c>
      <c r="I318" s="139" t="str">
        <f ca="1">IFERROR(__xludf.DUMMYFUNCTION("""COMPUTED_VALUE"""),"ASEC")</f>
        <v>ASEC</v>
      </c>
      <c r="J318" s="139" t="str">
        <f ca="1">IFERROR(__xludf.DUMMYFUNCTION("""COMPUTED_VALUE"""),"SP015-2024")</f>
        <v>SP015-2024</v>
      </c>
      <c r="K318" s="139"/>
      <c r="L318" s="139" t="str">
        <f ca="1">IFERROR(__xludf.DUMMYFUNCTION("""COMPUTED_VALUE"""),"ASEC DARAB")</f>
        <v>ASEC DARAB</v>
      </c>
      <c r="M318" s="139" t="str">
        <f ca="1">IFERROR(__xludf.DUMMYFUNCTION("""COMPUTED_VALUE"""),"SERVICEABLE")</f>
        <v>SERVICEABLE</v>
      </c>
      <c r="N318" s="146"/>
    </row>
    <row r="319" spans="1:14" ht="14.4">
      <c r="A319" s="139" t="str">
        <f ca="1">IFERROR(__xludf.DUMMYFUNCTION("""COMPUTED_VALUE"""),"DARCO")</f>
        <v>DARCO</v>
      </c>
      <c r="B319" s="139" t="str">
        <f ca="1">IFERROR(__xludf.DUMMYFUNCTION("""COMPUTED_VALUE"""),"CENTRAL OFFICE")</f>
        <v>CENTRAL OFFICE</v>
      </c>
      <c r="C319" s="139" t="str">
        <f ca="1">IFERROR(__xludf.DUMMYFUNCTION("""COMPUTED_VALUE"""),"ACER TRAVELMATE")</f>
        <v>ACER TRAVELMATE</v>
      </c>
      <c r="D319" s="142" t="str">
        <f ca="1">IFERROR(__xludf.DUMMYFUNCTION("""COMPUTED_VALUE"""),"₱ 46,580.00")</f>
        <v>₱ 46,580.00</v>
      </c>
      <c r="E319" s="139"/>
      <c r="F319" s="139" t="str">
        <f ca="1">IFERROR(__xludf.DUMMYFUNCTION("""COMPUTED_VALUE"""),"2024-05-03-10202SP-168")</f>
        <v>2024-05-03-10202SP-168</v>
      </c>
      <c r="G319" s="139"/>
      <c r="H319" s="139" t="str">
        <f ca="1">IFERROR(__xludf.DUMMYFUNCTION("""COMPUTED_VALUE"""),"ATTY. CUA")</f>
        <v>ATTY. CUA</v>
      </c>
      <c r="I319" s="139" t="str">
        <f ca="1">IFERROR(__xludf.DUMMYFUNCTION("""COMPUTED_VALUE"""),"ASEC")</f>
        <v>ASEC</v>
      </c>
      <c r="J319" s="139" t="str">
        <f ca="1">IFERROR(__xludf.DUMMYFUNCTION("""COMPUTED_VALUE"""),"SP015-2024")</f>
        <v>SP015-2024</v>
      </c>
      <c r="K319" s="139"/>
      <c r="L319" s="139" t="str">
        <f ca="1">IFERROR(__xludf.DUMMYFUNCTION("""COMPUTED_VALUE"""),"ASEC DARAB")</f>
        <v>ASEC DARAB</v>
      </c>
      <c r="M319" s="139" t="str">
        <f ca="1">IFERROR(__xludf.DUMMYFUNCTION("""COMPUTED_VALUE"""),"SERVICEABLE")</f>
        <v>SERVICEABLE</v>
      </c>
      <c r="N319" s="146"/>
    </row>
    <row r="320" spans="1:14" ht="14.4">
      <c r="A320" s="139" t="str">
        <f ca="1">IFERROR(__xludf.DUMMYFUNCTION("""COMPUTED_VALUE"""),"DARCO")</f>
        <v>DARCO</v>
      </c>
      <c r="B320" s="139" t="str">
        <f ca="1">IFERROR(__xludf.DUMMYFUNCTION("""COMPUTED_VALUE"""),"CENTRAL OFFICE")</f>
        <v>CENTRAL OFFICE</v>
      </c>
      <c r="C320" s="139" t="str">
        <f ca="1">IFERROR(__xludf.DUMMYFUNCTION("""COMPUTED_VALUE"""),"ACER TRAVELMATE")</f>
        <v>ACER TRAVELMATE</v>
      </c>
      <c r="D320" s="142" t="str">
        <f ca="1">IFERROR(__xludf.DUMMYFUNCTION("""COMPUTED_VALUE"""),"₱ 46,580.00")</f>
        <v>₱ 46,580.00</v>
      </c>
      <c r="E320" s="139"/>
      <c r="F320" s="139" t="str">
        <f ca="1">IFERROR(__xludf.DUMMYFUNCTION("""COMPUTED_VALUE"""),"2024-05-03-10202SP-169")</f>
        <v>2024-05-03-10202SP-169</v>
      </c>
      <c r="G320" s="139"/>
      <c r="H320" s="139" t="str">
        <f ca="1">IFERROR(__xludf.DUMMYFUNCTION("""COMPUTED_VALUE"""),"ATTY. CUA")</f>
        <v>ATTY. CUA</v>
      </c>
      <c r="I320" s="139" t="str">
        <f ca="1">IFERROR(__xludf.DUMMYFUNCTION("""COMPUTED_VALUE"""),"ASEC")</f>
        <v>ASEC</v>
      </c>
      <c r="J320" s="139" t="str">
        <f ca="1">IFERROR(__xludf.DUMMYFUNCTION("""COMPUTED_VALUE"""),"SP015-2024")</f>
        <v>SP015-2024</v>
      </c>
      <c r="K320" s="139"/>
      <c r="L320" s="139" t="str">
        <f ca="1">IFERROR(__xludf.DUMMYFUNCTION("""COMPUTED_VALUE"""),"ASEC DARAB")</f>
        <v>ASEC DARAB</v>
      </c>
      <c r="M320" s="139" t="str">
        <f ca="1">IFERROR(__xludf.DUMMYFUNCTION("""COMPUTED_VALUE"""),"SERVICEABLE")</f>
        <v>SERVICEABLE</v>
      </c>
      <c r="N320" s="146"/>
    </row>
    <row r="321" spans="1:14" ht="14.4">
      <c r="A321" s="139" t="str">
        <f ca="1">IFERROR(__xludf.DUMMYFUNCTION("""COMPUTED_VALUE"""),"DARCO")</f>
        <v>DARCO</v>
      </c>
      <c r="B321" s="139" t="str">
        <f ca="1">IFERROR(__xludf.DUMMYFUNCTION("""COMPUTED_VALUE"""),"CENTRAL OFFICE")</f>
        <v>CENTRAL OFFICE</v>
      </c>
      <c r="C321" s="139" t="str">
        <f ca="1">IFERROR(__xludf.DUMMYFUNCTION("""COMPUTED_VALUE"""),"ACER TRAVELMATE")</f>
        <v>ACER TRAVELMATE</v>
      </c>
      <c r="D321" s="142" t="str">
        <f ca="1">IFERROR(__xludf.DUMMYFUNCTION("""COMPUTED_VALUE"""),"₱ 46,580.00")</f>
        <v>₱ 46,580.00</v>
      </c>
      <c r="E321" s="139"/>
      <c r="F321" s="139" t="str">
        <f ca="1">IFERROR(__xludf.DUMMYFUNCTION("""COMPUTED_VALUE"""),"2024-05-03-10202SP-170")</f>
        <v>2024-05-03-10202SP-170</v>
      </c>
      <c r="G321" s="139"/>
      <c r="H321" s="139" t="str">
        <f ca="1">IFERROR(__xludf.DUMMYFUNCTION("""COMPUTED_VALUE"""),"ATTY. CUA")</f>
        <v>ATTY. CUA</v>
      </c>
      <c r="I321" s="139" t="str">
        <f ca="1">IFERROR(__xludf.DUMMYFUNCTION("""COMPUTED_VALUE"""),"ASEC")</f>
        <v>ASEC</v>
      </c>
      <c r="J321" s="139" t="str">
        <f ca="1">IFERROR(__xludf.DUMMYFUNCTION("""COMPUTED_VALUE"""),"SP015-2024")</f>
        <v>SP015-2024</v>
      </c>
      <c r="K321" s="139"/>
      <c r="L321" s="139" t="str">
        <f ca="1">IFERROR(__xludf.DUMMYFUNCTION("""COMPUTED_VALUE"""),"ASEC DARAB")</f>
        <v>ASEC DARAB</v>
      </c>
      <c r="M321" s="139" t="str">
        <f ca="1">IFERROR(__xludf.DUMMYFUNCTION("""COMPUTED_VALUE"""),"SERVICEABLE")</f>
        <v>SERVICEABLE</v>
      </c>
      <c r="N321" s="146"/>
    </row>
    <row r="322" spans="1:14" ht="14.4">
      <c r="A322" s="139" t="str">
        <f ca="1">IFERROR(__xludf.DUMMYFUNCTION("""COMPUTED_VALUE"""),"DARCO")</f>
        <v>DARCO</v>
      </c>
      <c r="B322" s="139" t="str">
        <f ca="1">IFERROR(__xludf.DUMMYFUNCTION("""COMPUTED_VALUE"""),"CENTRAL OFFICE")</f>
        <v>CENTRAL OFFICE</v>
      </c>
      <c r="C322" s="139" t="str">
        <f ca="1">IFERROR(__xludf.DUMMYFUNCTION("""COMPUTED_VALUE"""),"ACER TRAVELMATE")</f>
        <v>ACER TRAVELMATE</v>
      </c>
      <c r="D322" s="142" t="str">
        <f ca="1">IFERROR(__xludf.DUMMYFUNCTION("""COMPUTED_VALUE"""),"₱ 46,580.00")</f>
        <v>₱ 46,580.00</v>
      </c>
      <c r="E322" s="139"/>
      <c r="F322" s="139" t="str">
        <f ca="1">IFERROR(__xludf.DUMMYFUNCTION("""COMPUTED_VALUE"""),"2024-05-03-10202SP-171")</f>
        <v>2024-05-03-10202SP-171</v>
      </c>
      <c r="G322" s="139"/>
      <c r="H322" s="139" t="str">
        <f ca="1">IFERROR(__xludf.DUMMYFUNCTION("""COMPUTED_VALUE"""),"ATTY. CUA")</f>
        <v>ATTY. CUA</v>
      </c>
      <c r="I322" s="139" t="str">
        <f ca="1">IFERROR(__xludf.DUMMYFUNCTION("""COMPUTED_VALUE"""),"ASEC")</f>
        <v>ASEC</v>
      </c>
      <c r="J322" s="139" t="str">
        <f ca="1">IFERROR(__xludf.DUMMYFUNCTION("""COMPUTED_VALUE"""),"SP015-2024")</f>
        <v>SP015-2024</v>
      </c>
      <c r="K322" s="139"/>
      <c r="L322" s="139" t="str">
        <f ca="1">IFERROR(__xludf.DUMMYFUNCTION("""COMPUTED_VALUE"""),"ASEC DARAB")</f>
        <v>ASEC DARAB</v>
      </c>
      <c r="M322" s="139" t="str">
        <f ca="1">IFERROR(__xludf.DUMMYFUNCTION("""COMPUTED_VALUE"""),"SERVICEABLE")</f>
        <v>SERVICEABLE</v>
      </c>
      <c r="N322" s="146"/>
    </row>
    <row r="323" spans="1:14" ht="14.4">
      <c r="A323" s="139" t="str">
        <f ca="1">IFERROR(__xludf.DUMMYFUNCTION("""COMPUTED_VALUE"""),"DARCO")</f>
        <v>DARCO</v>
      </c>
      <c r="B323" s="139" t="str">
        <f ca="1">IFERROR(__xludf.DUMMYFUNCTION("""COMPUTED_VALUE"""),"CENTRAL OFFICE")</f>
        <v>CENTRAL OFFICE</v>
      </c>
      <c r="C323" s="139" t="str">
        <f ca="1">IFERROR(__xludf.DUMMYFUNCTION("""COMPUTED_VALUE"""),"ACER TRAVELMATE")</f>
        <v>ACER TRAVELMATE</v>
      </c>
      <c r="D323" s="142" t="str">
        <f ca="1">IFERROR(__xludf.DUMMYFUNCTION("""COMPUTED_VALUE"""),"₱ 46,580.00")</f>
        <v>₱ 46,580.00</v>
      </c>
      <c r="E323" s="139"/>
      <c r="F323" s="139" t="str">
        <f ca="1">IFERROR(__xludf.DUMMYFUNCTION("""COMPUTED_VALUE"""),"2024-05-03-10202SP-172")</f>
        <v>2024-05-03-10202SP-172</v>
      </c>
      <c r="G323" s="139"/>
      <c r="H323" s="139"/>
      <c r="I323" s="139"/>
      <c r="J323" s="139" t="str">
        <f ca="1">IFERROR(__xludf.DUMMYFUNCTION("""COMPUTED_VALUE"""),"SP016-2024")</f>
        <v>SP016-2024</v>
      </c>
      <c r="K323" s="139"/>
      <c r="L323" s="139" t="str">
        <f ca="1">IFERROR(__xludf.DUMMYFUNCTION("""COMPUTED_VALUE"""),"PARC-SEC")</f>
        <v>PARC-SEC</v>
      </c>
      <c r="M323" s="139" t="str">
        <f ca="1">IFERROR(__xludf.DUMMYFUNCTION("""COMPUTED_VALUE"""),"SERVICEABLE")</f>
        <v>SERVICEABLE</v>
      </c>
      <c r="N323" s="146"/>
    </row>
    <row r="324" spans="1:14" ht="14.4">
      <c r="A324" s="139" t="str">
        <f ca="1">IFERROR(__xludf.DUMMYFUNCTION("""COMPUTED_VALUE"""),"DARCO")</f>
        <v>DARCO</v>
      </c>
      <c r="B324" s="139" t="str">
        <f ca="1">IFERROR(__xludf.DUMMYFUNCTION("""COMPUTED_VALUE"""),"CENTRAL OFFICE")</f>
        <v>CENTRAL OFFICE</v>
      </c>
      <c r="C324" s="139" t="str">
        <f ca="1">IFERROR(__xludf.DUMMYFUNCTION("""COMPUTED_VALUE"""),"ACER TRAVELMATE")</f>
        <v>ACER TRAVELMATE</v>
      </c>
      <c r="D324" s="142" t="str">
        <f ca="1">IFERROR(__xludf.DUMMYFUNCTION("""COMPUTED_VALUE"""),"₱ 46,580.00")</f>
        <v>₱ 46,580.00</v>
      </c>
      <c r="E324" s="139"/>
      <c r="F324" s="139" t="str">
        <f ca="1">IFERROR(__xludf.DUMMYFUNCTION("""COMPUTED_VALUE"""),"2024-05-03-10202SP-173")</f>
        <v>2024-05-03-10202SP-173</v>
      </c>
      <c r="G324" s="139"/>
      <c r="H324" s="139"/>
      <c r="I324" s="139"/>
      <c r="J324" s="139" t="str">
        <f ca="1">IFERROR(__xludf.DUMMYFUNCTION("""COMPUTED_VALUE"""),"SP016-2024")</f>
        <v>SP016-2024</v>
      </c>
      <c r="K324" s="139"/>
      <c r="L324" s="139" t="str">
        <f ca="1">IFERROR(__xludf.DUMMYFUNCTION("""COMPUTED_VALUE"""),"PARC-SEC")</f>
        <v>PARC-SEC</v>
      </c>
      <c r="M324" s="139" t="str">
        <f ca="1">IFERROR(__xludf.DUMMYFUNCTION("""COMPUTED_VALUE"""),"SERVICEABLE")</f>
        <v>SERVICEABLE</v>
      </c>
      <c r="N324" s="146"/>
    </row>
    <row r="325" spans="1:14" ht="14.4">
      <c r="A325" s="139" t="str">
        <f ca="1">IFERROR(__xludf.DUMMYFUNCTION("""COMPUTED_VALUE"""),"DARCO")</f>
        <v>DARCO</v>
      </c>
      <c r="B325" s="139" t="str">
        <f ca="1">IFERROR(__xludf.DUMMYFUNCTION("""COMPUTED_VALUE"""),"CENTRAL OFFICE")</f>
        <v>CENTRAL OFFICE</v>
      </c>
      <c r="C325" s="139" t="str">
        <f ca="1">IFERROR(__xludf.DUMMYFUNCTION("""COMPUTED_VALUE"""),"ACER TRAVELMATE")</f>
        <v>ACER TRAVELMATE</v>
      </c>
      <c r="D325" s="142" t="str">
        <f ca="1">IFERROR(__xludf.DUMMYFUNCTION("""COMPUTED_VALUE"""),"₱ 46,580.00")</f>
        <v>₱ 46,580.00</v>
      </c>
      <c r="E325" s="139"/>
      <c r="F325" s="139" t="str">
        <f ca="1">IFERROR(__xludf.DUMMYFUNCTION("""COMPUTED_VALUE"""),"2024-05-03-10202SP-174")</f>
        <v>2024-05-03-10202SP-174</v>
      </c>
      <c r="G325" s="139"/>
      <c r="H325" s="139"/>
      <c r="I325" s="139"/>
      <c r="J325" s="139" t="str">
        <f ca="1">IFERROR(__xludf.DUMMYFUNCTION("""COMPUTED_VALUE"""),"SP016-2024")</f>
        <v>SP016-2024</v>
      </c>
      <c r="K325" s="139"/>
      <c r="L325" s="139" t="str">
        <f ca="1">IFERROR(__xludf.DUMMYFUNCTION("""COMPUTED_VALUE"""),"PARC-SEC")</f>
        <v>PARC-SEC</v>
      </c>
      <c r="M325" s="139" t="str">
        <f ca="1">IFERROR(__xludf.DUMMYFUNCTION("""COMPUTED_VALUE"""),"SERVICEABLE")</f>
        <v>SERVICEABLE</v>
      </c>
      <c r="N325" s="146"/>
    </row>
    <row r="326" spans="1:14" ht="14.4">
      <c r="A326" s="139" t="str">
        <f ca="1">IFERROR(__xludf.DUMMYFUNCTION("""COMPUTED_VALUE"""),"DARCO")</f>
        <v>DARCO</v>
      </c>
      <c r="B326" s="139" t="str">
        <f ca="1">IFERROR(__xludf.DUMMYFUNCTION("""COMPUTED_VALUE"""),"CENTRAL OFFICE")</f>
        <v>CENTRAL OFFICE</v>
      </c>
      <c r="C326" s="139" t="str">
        <f ca="1">IFERROR(__xludf.DUMMYFUNCTION("""COMPUTED_VALUE"""),"ACER TRAVELMATE")</f>
        <v>ACER TRAVELMATE</v>
      </c>
      <c r="D326" s="142" t="str">
        <f ca="1">IFERROR(__xludf.DUMMYFUNCTION("""COMPUTED_VALUE"""),"₱ 46,580.00")</f>
        <v>₱ 46,580.00</v>
      </c>
      <c r="E326" s="139"/>
      <c r="F326" s="139" t="str">
        <f ca="1">IFERROR(__xludf.DUMMYFUNCTION("""COMPUTED_VALUE"""),"2024-05-03-10202SP-175")</f>
        <v>2024-05-03-10202SP-175</v>
      </c>
      <c r="G326" s="139"/>
      <c r="H326" s="139"/>
      <c r="I326" s="139"/>
      <c r="J326" s="139" t="str">
        <f ca="1">IFERROR(__xludf.DUMMYFUNCTION("""COMPUTED_VALUE"""),"SP016-2024")</f>
        <v>SP016-2024</v>
      </c>
      <c r="K326" s="139"/>
      <c r="L326" s="139" t="str">
        <f ca="1">IFERROR(__xludf.DUMMYFUNCTION("""COMPUTED_VALUE"""),"PARC-SEC")</f>
        <v>PARC-SEC</v>
      </c>
      <c r="M326" s="139" t="str">
        <f ca="1">IFERROR(__xludf.DUMMYFUNCTION("""COMPUTED_VALUE"""),"SERVICEABLE")</f>
        <v>SERVICEABLE</v>
      </c>
      <c r="N326" s="146"/>
    </row>
    <row r="327" spans="1:14" ht="14.4">
      <c r="A327" s="139" t="str">
        <f ca="1">IFERROR(__xludf.DUMMYFUNCTION("""COMPUTED_VALUE"""),"DARCO")</f>
        <v>DARCO</v>
      </c>
      <c r="B327" s="139" t="str">
        <f ca="1">IFERROR(__xludf.DUMMYFUNCTION("""COMPUTED_VALUE"""),"CENTRAL OFFICE")</f>
        <v>CENTRAL OFFICE</v>
      </c>
      <c r="C327" s="139" t="str">
        <f ca="1">IFERROR(__xludf.DUMMYFUNCTION("""COMPUTED_VALUE"""),"ACER TRAVELMATE")</f>
        <v>ACER TRAVELMATE</v>
      </c>
      <c r="D327" s="142" t="str">
        <f ca="1">IFERROR(__xludf.DUMMYFUNCTION("""COMPUTED_VALUE"""),"₱ 46,580.00")</f>
        <v>₱ 46,580.00</v>
      </c>
      <c r="E327" s="139"/>
      <c r="F327" s="139" t="str">
        <f ca="1">IFERROR(__xludf.DUMMYFUNCTION("""COMPUTED_VALUE"""),"2024-05-03-10202SP-176")</f>
        <v>2024-05-03-10202SP-176</v>
      </c>
      <c r="G327" s="139"/>
      <c r="H327" s="139"/>
      <c r="I327" s="139"/>
      <c r="J327" s="139" t="str">
        <f ca="1">IFERROR(__xludf.DUMMYFUNCTION("""COMPUTED_VALUE"""),"SP016-2024")</f>
        <v>SP016-2024</v>
      </c>
      <c r="K327" s="139"/>
      <c r="L327" s="139" t="str">
        <f ca="1">IFERROR(__xludf.DUMMYFUNCTION("""COMPUTED_VALUE"""),"PARC-SEC")</f>
        <v>PARC-SEC</v>
      </c>
      <c r="M327" s="139" t="str">
        <f ca="1">IFERROR(__xludf.DUMMYFUNCTION("""COMPUTED_VALUE"""),"SERVICEABLE")</f>
        <v>SERVICEABLE</v>
      </c>
      <c r="N327" s="146"/>
    </row>
    <row r="328" spans="1:14" ht="14.4">
      <c r="A328" s="139" t="str">
        <f ca="1">IFERROR(__xludf.DUMMYFUNCTION("""COMPUTED_VALUE"""),"DARCO")</f>
        <v>DARCO</v>
      </c>
      <c r="B328" s="139" t="str">
        <f ca="1">IFERROR(__xludf.DUMMYFUNCTION("""COMPUTED_VALUE"""),"CENTRAL OFFICE")</f>
        <v>CENTRAL OFFICE</v>
      </c>
      <c r="C328" s="139" t="str">
        <f ca="1">IFERROR(__xludf.DUMMYFUNCTION("""COMPUTED_VALUE"""),"ACER TRAVELMATE")</f>
        <v>ACER TRAVELMATE</v>
      </c>
      <c r="D328" s="142" t="str">
        <f ca="1">IFERROR(__xludf.DUMMYFUNCTION("""COMPUTED_VALUE"""),"₱ 46,580.00")</f>
        <v>₱ 46,580.00</v>
      </c>
      <c r="E328" s="139"/>
      <c r="F328" s="139" t="str">
        <f ca="1">IFERROR(__xludf.DUMMYFUNCTION("""COMPUTED_VALUE"""),"2024-05-03-10202SP-177")</f>
        <v>2024-05-03-10202SP-177</v>
      </c>
      <c r="G328" s="139"/>
      <c r="H328" s="139"/>
      <c r="I328" s="139"/>
      <c r="J328" s="139" t="str">
        <f ca="1">IFERROR(__xludf.DUMMYFUNCTION("""COMPUTED_VALUE"""),"SP016-2024")</f>
        <v>SP016-2024</v>
      </c>
      <c r="K328" s="139"/>
      <c r="L328" s="139" t="str">
        <f ca="1">IFERROR(__xludf.DUMMYFUNCTION("""COMPUTED_VALUE"""),"PARC-SEC")</f>
        <v>PARC-SEC</v>
      </c>
      <c r="M328" s="139" t="str">
        <f ca="1">IFERROR(__xludf.DUMMYFUNCTION("""COMPUTED_VALUE"""),"SERVICEABLE")</f>
        <v>SERVICEABLE</v>
      </c>
      <c r="N328" s="146"/>
    </row>
    <row r="329" spans="1:14" ht="14.4">
      <c r="A329" s="139" t="str">
        <f ca="1">IFERROR(__xludf.DUMMYFUNCTION("""COMPUTED_VALUE"""),"DARCO")</f>
        <v>DARCO</v>
      </c>
      <c r="B329" s="139" t="str">
        <f ca="1">IFERROR(__xludf.DUMMYFUNCTION("""COMPUTED_VALUE"""),"CENTRAL OFFICE")</f>
        <v>CENTRAL OFFICE</v>
      </c>
      <c r="C329" s="139" t="str">
        <f ca="1">IFERROR(__xludf.DUMMYFUNCTION("""COMPUTED_VALUE"""),"ACER TRAVELMATE")</f>
        <v>ACER TRAVELMATE</v>
      </c>
      <c r="D329" s="142" t="str">
        <f ca="1">IFERROR(__xludf.DUMMYFUNCTION("""COMPUTED_VALUE"""),"₱ 46,580.00")</f>
        <v>₱ 46,580.00</v>
      </c>
      <c r="E329" s="139"/>
      <c r="F329" s="139" t="str">
        <f ca="1">IFERROR(__xludf.DUMMYFUNCTION("""COMPUTED_VALUE"""),"2024-05-03-10202SP-178")</f>
        <v>2024-05-03-10202SP-178</v>
      </c>
      <c r="G329" s="139"/>
      <c r="H329" s="139"/>
      <c r="I329" s="139"/>
      <c r="J329" s="139" t="str">
        <f ca="1">IFERROR(__xludf.DUMMYFUNCTION("""COMPUTED_VALUE"""),"SP016-2024")</f>
        <v>SP016-2024</v>
      </c>
      <c r="K329" s="139"/>
      <c r="L329" s="139" t="str">
        <f ca="1">IFERROR(__xludf.DUMMYFUNCTION("""COMPUTED_VALUE"""),"PARC-SEC")</f>
        <v>PARC-SEC</v>
      </c>
      <c r="M329" s="139" t="str">
        <f ca="1">IFERROR(__xludf.DUMMYFUNCTION("""COMPUTED_VALUE"""),"SERVICEABLE")</f>
        <v>SERVICEABLE</v>
      </c>
      <c r="N329" s="146"/>
    </row>
    <row r="330" spans="1:14" ht="14.4">
      <c r="A330" s="139" t="str">
        <f ca="1">IFERROR(__xludf.DUMMYFUNCTION("""COMPUTED_VALUE"""),"DARCO")</f>
        <v>DARCO</v>
      </c>
      <c r="B330" s="139" t="str">
        <f ca="1">IFERROR(__xludf.DUMMYFUNCTION("""COMPUTED_VALUE"""),"CENTRAL OFFICE")</f>
        <v>CENTRAL OFFICE</v>
      </c>
      <c r="C330" s="139" t="str">
        <f ca="1">IFERROR(__xludf.DUMMYFUNCTION("""COMPUTED_VALUE"""),"ACER TRAVELMATE")</f>
        <v>ACER TRAVELMATE</v>
      </c>
      <c r="D330" s="142" t="str">
        <f ca="1">IFERROR(__xludf.DUMMYFUNCTION("""COMPUTED_VALUE"""),"₱ 46,580.00")</f>
        <v>₱ 46,580.00</v>
      </c>
      <c r="E330" s="139"/>
      <c r="F330" s="139" t="str">
        <f ca="1">IFERROR(__xludf.DUMMYFUNCTION("""COMPUTED_VALUE"""),"2024-05-03-10202SP-179")</f>
        <v>2024-05-03-10202SP-179</v>
      </c>
      <c r="G330" s="139"/>
      <c r="H330" s="139"/>
      <c r="I330" s="139"/>
      <c r="J330" s="139" t="str">
        <f ca="1">IFERROR(__xludf.DUMMYFUNCTION("""COMPUTED_VALUE"""),"SP016-2024")</f>
        <v>SP016-2024</v>
      </c>
      <c r="K330" s="139"/>
      <c r="L330" s="139" t="str">
        <f ca="1">IFERROR(__xludf.DUMMYFUNCTION("""COMPUTED_VALUE"""),"PARC-SEC")</f>
        <v>PARC-SEC</v>
      </c>
      <c r="M330" s="139" t="str">
        <f ca="1">IFERROR(__xludf.DUMMYFUNCTION("""COMPUTED_VALUE"""),"SERVICEABLE")</f>
        <v>SERVICEABLE</v>
      </c>
      <c r="N330" s="146"/>
    </row>
    <row r="331" spans="1:14" ht="14.4">
      <c r="A331" s="139" t="str">
        <f ca="1">IFERROR(__xludf.DUMMYFUNCTION("""COMPUTED_VALUE"""),"DARCO")</f>
        <v>DARCO</v>
      </c>
      <c r="B331" s="139" t="str">
        <f ca="1">IFERROR(__xludf.DUMMYFUNCTION("""COMPUTED_VALUE"""),"CENTRAL OFFICE")</f>
        <v>CENTRAL OFFICE</v>
      </c>
      <c r="C331" s="139" t="str">
        <f ca="1">IFERROR(__xludf.DUMMYFUNCTION("""COMPUTED_VALUE"""),"ACER TRAVELMATE")</f>
        <v>ACER TRAVELMATE</v>
      </c>
      <c r="D331" s="142" t="str">
        <f ca="1">IFERROR(__xludf.DUMMYFUNCTION("""COMPUTED_VALUE"""),"₱ 46,580.00")</f>
        <v>₱ 46,580.00</v>
      </c>
      <c r="E331" s="139"/>
      <c r="F331" s="139" t="str">
        <f ca="1">IFERROR(__xludf.DUMMYFUNCTION("""COMPUTED_VALUE"""),"2024-05-03-10202SP-180")</f>
        <v>2024-05-03-10202SP-180</v>
      </c>
      <c r="G331" s="139"/>
      <c r="H331" s="139"/>
      <c r="I331" s="139"/>
      <c r="J331" s="139" t="str">
        <f ca="1">IFERROR(__xludf.DUMMYFUNCTION("""COMPUTED_VALUE"""),"SP017-2024")</f>
        <v>SP017-2024</v>
      </c>
      <c r="K331" s="139"/>
      <c r="L331" s="139" t="str">
        <f ca="1">IFERROR(__xludf.DUMMYFUNCTION("""COMPUTED_VALUE"""),"BLTI")</f>
        <v>BLTI</v>
      </c>
      <c r="M331" s="139" t="str">
        <f ca="1">IFERROR(__xludf.DUMMYFUNCTION("""COMPUTED_VALUE"""),"SERVICEABLE")</f>
        <v>SERVICEABLE</v>
      </c>
      <c r="N331" s="146"/>
    </row>
    <row r="332" spans="1:14" ht="14.4">
      <c r="A332" s="139" t="str">
        <f ca="1">IFERROR(__xludf.DUMMYFUNCTION("""COMPUTED_VALUE"""),"DARCO")</f>
        <v>DARCO</v>
      </c>
      <c r="B332" s="139" t="str">
        <f ca="1">IFERROR(__xludf.DUMMYFUNCTION("""COMPUTED_VALUE"""),"CENTRAL OFFICE")</f>
        <v>CENTRAL OFFICE</v>
      </c>
      <c r="C332" s="139" t="str">
        <f ca="1">IFERROR(__xludf.DUMMYFUNCTION("""COMPUTED_VALUE"""),"ACER TRAVELMATE")</f>
        <v>ACER TRAVELMATE</v>
      </c>
      <c r="D332" s="142" t="str">
        <f ca="1">IFERROR(__xludf.DUMMYFUNCTION("""COMPUTED_VALUE"""),"₱ 46,580.00")</f>
        <v>₱ 46,580.00</v>
      </c>
      <c r="E332" s="139"/>
      <c r="F332" s="139" t="str">
        <f ca="1">IFERROR(__xludf.DUMMYFUNCTION("""COMPUTED_VALUE"""),"2024-05-03-10202SP-181")</f>
        <v>2024-05-03-10202SP-181</v>
      </c>
      <c r="G332" s="139"/>
      <c r="H332" s="139"/>
      <c r="I332" s="139"/>
      <c r="J332" s="139" t="str">
        <f ca="1">IFERROR(__xludf.DUMMYFUNCTION("""COMPUTED_VALUE"""),"SP017-2024")</f>
        <v>SP017-2024</v>
      </c>
      <c r="K332" s="139"/>
      <c r="L332" s="139" t="str">
        <f ca="1">IFERROR(__xludf.DUMMYFUNCTION("""COMPUTED_VALUE"""),"BLTI")</f>
        <v>BLTI</v>
      </c>
      <c r="M332" s="139" t="str">
        <f ca="1">IFERROR(__xludf.DUMMYFUNCTION("""COMPUTED_VALUE"""),"SERVICEABLE")</f>
        <v>SERVICEABLE</v>
      </c>
      <c r="N332" s="146"/>
    </row>
    <row r="333" spans="1:14" ht="14.4">
      <c r="A333" s="139" t="str">
        <f ca="1">IFERROR(__xludf.DUMMYFUNCTION("""COMPUTED_VALUE"""),"DARCO")</f>
        <v>DARCO</v>
      </c>
      <c r="B333" s="139" t="str">
        <f ca="1">IFERROR(__xludf.DUMMYFUNCTION("""COMPUTED_VALUE"""),"CENTRAL OFFICE")</f>
        <v>CENTRAL OFFICE</v>
      </c>
      <c r="C333" s="139" t="str">
        <f ca="1">IFERROR(__xludf.DUMMYFUNCTION("""COMPUTED_VALUE"""),"ACER TRAVELMATE")</f>
        <v>ACER TRAVELMATE</v>
      </c>
      <c r="D333" s="142" t="str">
        <f ca="1">IFERROR(__xludf.DUMMYFUNCTION("""COMPUTED_VALUE"""),"₱ 46,580.00")</f>
        <v>₱ 46,580.00</v>
      </c>
      <c r="E333" s="139"/>
      <c r="F333" s="139" t="str">
        <f ca="1">IFERROR(__xludf.DUMMYFUNCTION("""COMPUTED_VALUE"""),"2024-05-03-10202SP-182")</f>
        <v>2024-05-03-10202SP-182</v>
      </c>
      <c r="G333" s="139"/>
      <c r="H333" s="139"/>
      <c r="I333" s="139"/>
      <c r="J333" s="139" t="str">
        <f ca="1">IFERROR(__xludf.DUMMYFUNCTION("""COMPUTED_VALUE"""),"SP017-2024")</f>
        <v>SP017-2024</v>
      </c>
      <c r="K333" s="139"/>
      <c r="L333" s="139" t="str">
        <f ca="1">IFERROR(__xludf.DUMMYFUNCTION("""COMPUTED_VALUE"""),"BLTI")</f>
        <v>BLTI</v>
      </c>
      <c r="M333" s="139" t="str">
        <f ca="1">IFERROR(__xludf.DUMMYFUNCTION("""COMPUTED_VALUE"""),"SERVICEABLE")</f>
        <v>SERVICEABLE</v>
      </c>
      <c r="N333" s="146"/>
    </row>
    <row r="334" spans="1:14" ht="14.4">
      <c r="A334" s="139" t="str">
        <f ca="1">IFERROR(__xludf.DUMMYFUNCTION("""COMPUTED_VALUE"""),"DARCO")</f>
        <v>DARCO</v>
      </c>
      <c r="B334" s="139" t="str">
        <f ca="1">IFERROR(__xludf.DUMMYFUNCTION("""COMPUTED_VALUE"""),"CENTRAL OFFICE")</f>
        <v>CENTRAL OFFICE</v>
      </c>
      <c r="C334" s="139" t="str">
        <f ca="1">IFERROR(__xludf.DUMMYFUNCTION("""COMPUTED_VALUE"""),"ACER TRAVELMATE")</f>
        <v>ACER TRAVELMATE</v>
      </c>
      <c r="D334" s="142" t="str">
        <f ca="1">IFERROR(__xludf.DUMMYFUNCTION("""COMPUTED_VALUE"""),"₱ 46,580.00")</f>
        <v>₱ 46,580.00</v>
      </c>
      <c r="E334" s="139"/>
      <c r="F334" s="139" t="str">
        <f ca="1">IFERROR(__xludf.DUMMYFUNCTION("""COMPUTED_VALUE"""),"2024-05-03-10202SP-183")</f>
        <v>2024-05-03-10202SP-183</v>
      </c>
      <c r="G334" s="139"/>
      <c r="H334" s="139"/>
      <c r="I334" s="139"/>
      <c r="J334" s="139" t="str">
        <f ca="1">IFERROR(__xludf.DUMMYFUNCTION("""COMPUTED_VALUE"""),"SP017-2024")</f>
        <v>SP017-2024</v>
      </c>
      <c r="K334" s="139"/>
      <c r="L334" s="139" t="str">
        <f ca="1">IFERROR(__xludf.DUMMYFUNCTION("""COMPUTED_VALUE"""),"BLTI")</f>
        <v>BLTI</v>
      </c>
      <c r="M334" s="139" t="str">
        <f ca="1">IFERROR(__xludf.DUMMYFUNCTION("""COMPUTED_VALUE"""),"SERVICEABLE")</f>
        <v>SERVICEABLE</v>
      </c>
      <c r="N334" s="146"/>
    </row>
    <row r="335" spans="1:14" ht="14.4">
      <c r="A335" s="139" t="str">
        <f ca="1">IFERROR(__xludf.DUMMYFUNCTION("""COMPUTED_VALUE"""),"DARCO")</f>
        <v>DARCO</v>
      </c>
      <c r="B335" s="139" t="str">
        <f ca="1">IFERROR(__xludf.DUMMYFUNCTION("""COMPUTED_VALUE"""),"CENTRAL OFFICE")</f>
        <v>CENTRAL OFFICE</v>
      </c>
      <c r="C335" s="139" t="str">
        <f ca="1">IFERROR(__xludf.DUMMYFUNCTION("""COMPUTED_VALUE"""),"ACER TRAVELMATE")</f>
        <v>ACER TRAVELMATE</v>
      </c>
      <c r="D335" s="142" t="str">
        <f ca="1">IFERROR(__xludf.DUMMYFUNCTION("""COMPUTED_VALUE"""),"₱ 46,580.00")</f>
        <v>₱ 46,580.00</v>
      </c>
      <c r="E335" s="139"/>
      <c r="F335" s="139" t="str">
        <f ca="1">IFERROR(__xludf.DUMMYFUNCTION("""COMPUTED_VALUE"""),"2024-05-03-10202SP-184")</f>
        <v>2024-05-03-10202SP-184</v>
      </c>
      <c r="G335" s="139"/>
      <c r="H335" s="139"/>
      <c r="I335" s="139"/>
      <c r="J335" s="139" t="str">
        <f ca="1">IFERROR(__xludf.DUMMYFUNCTION("""COMPUTED_VALUE"""),"SP017-2024")</f>
        <v>SP017-2024</v>
      </c>
      <c r="K335" s="139"/>
      <c r="L335" s="139" t="str">
        <f ca="1">IFERROR(__xludf.DUMMYFUNCTION("""COMPUTED_VALUE"""),"BLTI")</f>
        <v>BLTI</v>
      </c>
      <c r="M335" s="139" t="str">
        <f ca="1">IFERROR(__xludf.DUMMYFUNCTION("""COMPUTED_VALUE"""),"SERVICEABLE")</f>
        <v>SERVICEABLE</v>
      </c>
      <c r="N335" s="146"/>
    </row>
    <row r="336" spans="1:14" ht="14.4">
      <c r="A336" s="139" t="str">
        <f ca="1">IFERROR(__xludf.DUMMYFUNCTION("""COMPUTED_VALUE"""),"DARCO")</f>
        <v>DARCO</v>
      </c>
      <c r="B336" s="139" t="str">
        <f ca="1">IFERROR(__xludf.DUMMYFUNCTION("""COMPUTED_VALUE"""),"CENTRAL OFFICE")</f>
        <v>CENTRAL OFFICE</v>
      </c>
      <c r="C336" s="139" t="str">
        <f ca="1">IFERROR(__xludf.DUMMYFUNCTION("""COMPUTED_VALUE"""),"ACER TRAVELMATE")</f>
        <v>ACER TRAVELMATE</v>
      </c>
      <c r="D336" s="142" t="str">
        <f ca="1">IFERROR(__xludf.DUMMYFUNCTION("""COMPUTED_VALUE"""),"₱ 46,580.00")</f>
        <v>₱ 46,580.00</v>
      </c>
      <c r="E336" s="139"/>
      <c r="F336" s="139" t="str">
        <f ca="1">IFERROR(__xludf.DUMMYFUNCTION("""COMPUTED_VALUE"""),"2024-05-03-10202SP-185")</f>
        <v>2024-05-03-10202SP-185</v>
      </c>
      <c r="G336" s="139"/>
      <c r="H336" s="139"/>
      <c r="I336" s="139"/>
      <c r="J336" s="139" t="str">
        <f ca="1">IFERROR(__xludf.DUMMYFUNCTION("""COMPUTED_VALUE"""),"SP017-2024")</f>
        <v>SP017-2024</v>
      </c>
      <c r="K336" s="139"/>
      <c r="L336" s="139" t="str">
        <f ca="1">IFERROR(__xludf.DUMMYFUNCTION("""COMPUTED_VALUE"""),"BLTI")</f>
        <v>BLTI</v>
      </c>
      <c r="M336" s="139" t="str">
        <f ca="1">IFERROR(__xludf.DUMMYFUNCTION("""COMPUTED_VALUE"""),"SERVICEABLE")</f>
        <v>SERVICEABLE</v>
      </c>
      <c r="N336" s="146"/>
    </row>
    <row r="337" spans="1:14" ht="14.4">
      <c r="A337" s="139" t="str">
        <f ca="1">IFERROR(__xludf.DUMMYFUNCTION("""COMPUTED_VALUE"""),"DARCO")</f>
        <v>DARCO</v>
      </c>
      <c r="B337" s="139" t="str">
        <f ca="1">IFERROR(__xludf.DUMMYFUNCTION("""COMPUTED_VALUE"""),"CENTRAL OFFICE")</f>
        <v>CENTRAL OFFICE</v>
      </c>
      <c r="C337" s="139" t="str">
        <f ca="1">IFERROR(__xludf.DUMMYFUNCTION("""COMPUTED_VALUE"""),"ACER TRAVELMATE")</f>
        <v>ACER TRAVELMATE</v>
      </c>
      <c r="D337" s="142" t="str">
        <f ca="1">IFERROR(__xludf.DUMMYFUNCTION("""COMPUTED_VALUE"""),"₱ 46,580.00")</f>
        <v>₱ 46,580.00</v>
      </c>
      <c r="E337" s="139"/>
      <c r="F337" s="139" t="str">
        <f ca="1">IFERROR(__xludf.DUMMYFUNCTION("""COMPUTED_VALUE"""),"2024-05-03-10202SP-186")</f>
        <v>2024-05-03-10202SP-186</v>
      </c>
      <c r="G337" s="139"/>
      <c r="H337" s="139"/>
      <c r="I337" s="139"/>
      <c r="J337" s="139" t="str">
        <f ca="1">IFERROR(__xludf.DUMMYFUNCTION("""COMPUTED_VALUE"""),"SP017-2024")</f>
        <v>SP017-2024</v>
      </c>
      <c r="K337" s="139"/>
      <c r="L337" s="139" t="str">
        <f ca="1">IFERROR(__xludf.DUMMYFUNCTION("""COMPUTED_VALUE"""),"BLTI")</f>
        <v>BLTI</v>
      </c>
      <c r="M337" s="139" t="str">
        <f ca="1">IFERROR(__xludf.DUMMYFUNCTION("""COMPUTED_VALUE"""),"SERVICEABLE")</f>
        <v>SERVICEABLE</v>
      </c>
      <c r="N337" s="146"/>
    </row>
    <row r="338" spans="1:14" ht="14.4">
      <c r="A338" s="139" t="str">
        <f ca="1">IFERROR(__xludf.DUMMYFUNCTION("""COMPUTED_VALUE"""),"DARCO")</f>
        <v>DARCO</v>
      </c>
      <c r="B338" s="139" t="str">
        <f ca="1">IFERROR(__xludf.DUMMYFUNCTION("""COMPUTED_VALUE"""),"CENTRAL OFFICE")</f>
        <v>CENTRAL OFFICE</v>
      </c>
      <c r="C338" s="139" t="str">
        <f ca="1">IFERROR(__xludf.DUMMYFUNCTION("""COMPUTED_VALUE"""),"ACER TRAVELMATE")</f>
        <v>ACER TRAVELMATE</v>
      </c>
      <c r="D338" s="142" t="str">
        <f ca="1">IFERROR(__xludf.DUMMYFUNCTION("""COMPUTED_VALUE"""),"₱ 46,580.00")</f>
        <v>₱ 46,580.00</v>
      </c>
      <c r="E338" s="139"/>
      <c r="F338" s="139" t="str">
        <f ca="1">IFERROR(__xludf.DUMMYFUNCTION("""COMPUTED_VALUE"""),"2024-05-03-10202SP-187")</f>
        <v>2024-05-03-10202SP-187</v>
      </c>
      <c r="G338" s="139"/>
      <c r="H338" s="139"/>
      <c r="I338" s="139"/>
      <c r="J338" s="139" t="str">
        <f ca="1">IFERROR(__xludf.DUMMYFUNCTION("""COMPUTED_VALUE"""),"SP017-2024")</f>
        <v>SP017-2024</v>
      </c>
      <c r="K338" s="139"/>
      <c r="L338" s="139" t="str">
        <f ca="1">IFERROR(__xludf.DUMMYFUNCTION("""COMPUTED_VALUE"""),"BLTI")</f>
        <v>BLTI</v>
      </c>
      <c r="M338" s="139" t="str">
        <f ca="1">IFERROR(__xludf.DUMMYFUNCTION("""COMPUTED_VALUE"""),"SERVICEABLE")</f>
        <v>SERVICEABLE</v>
      </c>
      <c r="N338" s="146"/>
    </row>
    <row r="339" spans="1:14" ht="14.4">
      <c r="A339" s="139" t="str">
        <f ca="1">IFERROR(__xludf.DUMMYFUNCTION("""COMPUTED_VALUE"""),"DARCO")</f>
        <v>DARCO</v>
      </c>
      <c r="B339" s="139" t="str">
        <f ca="1">IFERROR(__xludf.DUMMYFUNCTION("""COMPUTED_VALUE"""),"CENTRAL OFFICE")</f>
        <v>CENTRAL OFFICE</v>
      </c>
      <c r="C339" s="139" t="str">
        <f ca="1">IFERROR(__xludf.DUMMYFUNCTION("""COMPUTED_VALUE"""),"ACER TRAVELMATE")</f>
        <v>ACER TRAVELMATE</v>
      </c>
      <c r="D339" s="142" t="str">
        <f ca="1">IFERROR(__xludf.DUMMYFUNCTION("""COMPUTED_VALUE"""),"₱ 46,580.00")</f>
        <v>₱ 46,580.00</v>
      </c>
      <c r="E339" s="139"/>
      <c r="F339" s="139" t="str">
        <f ca="1">IFERROR(__xludf.DUMMYFUNCTION("""COMPUTED_VALUE"""),"2024-05-03-10202SP-188")</f>
        <v>2024-05-03-10202SP-188</v>
      </c>
      <c r="G339" s="139"/>
      <c r="H339" s="139"/>
      <c r="I339" s="139"/>
      <c r="J339" s="139" t="str">
        <f ca="1">IFERROR(__xludf.DUMMYFUNCTION("""COMPUTED_VALUE"""),"SP017-2024")</f>
        <v>SP017-2024</v>
      </c>
      <c r="K339" s="139"/>
      <c r="L339" s="139" t="str">
        <f ca="1">IFERROR(__xludf.DUMMYFUNCTION("""COMPUTED_VALUE"""),"BLTI")</f>
        <v>BLTI</v>
      </c>
      <c r="M339" s="139" t="str">
        <f ca="1">IFERROR(__xludf.DUMMYFUNCTION("""COMPUTED_VALUE"""),"SERVICEABLE")</f>
        <v>SERVICEABLE</v>
      </c>
      <c r="N339" s="146"/>
    </row>
    <row r="340" spans="1:14" ht="14.4">
      <c r="A340" s="139" t="str">
        <f ca="1">IFERROR(__xludf.DUMMYFUNCTION("""COMPUTED_VALUE"""),"DARCO")</f>
        <v>DARCO</v>
      </c>
      <c r="B340" s="139" t="str">
        <f ca="1">IFERROR(__xludf.DUMMYFUNCTION("""COMPUTED_VALUE"""),"CENTRAL OFFICE")</f>
        <v>CENTRAL OFFICE</v>
      </c>
      <c r="C340" s="139" t="str">
        <f ca="1">IFERROR(__xludf.DUMMYFUNCTION("""COMPUTED_VALUE"""),"ACER TRAVELMATE")</f>
        <v>ACER TRAVELMATE</v>
      </c>
      <c r="D340" s="142" t="str">
        <f ca="1">IFERROR(__xludf.DUMMYFUNCTION("""COMPUTED_VALUE"""),"₱ 46,580.00")</f>
        <v>₱ 46,580.00</v>
      </c>
      <c r="E340" s="139"/>
      <c r="F340" s="139" t="str">
        <f ca="1">IFERROR(__xludf.DUMMYFUNCTION("""COMPUTED_VALUE"""),"2024-05-03-10202SP-189")</f>
        <v>2024-05-03-10202SP-189</v>
      </c>
      <c r="G340" s="139"/>
      <c r="H340" s="139"/>
      <c r="I340" s="139"/>
      <c r="J340" s="139" t="str">
        <f ca="1">IFERROR(__xludf.DUMMYFUNCTION("""COMPUTED_VALUE"""),"SP017-2024")</f>
        <v>SP017-2024</v>
      </c>
      <c r="K340" s="139"/>
      <c r="L340" s="139" t="str">
        <f ca="1">IFERROR(__xludf.DUMMYFUNCTION("""COMPUTED_VALUE"""),"BLTI")</f>
        <v>BLTI</v>
      </c>
      <c r="M340" s="139" t="str">
        <f ca="1">IFERROR(__xludf.DUMMYFUNCTION("""COMPUTED_VALUE"""),"SERVICEABLE")</f>
        <v>SERVICEABLE</v>
      </c>
      <c r="N340" s="146"/>
    </row>
    <row r="341" spans="1:14" ht="14.4">
      <c r="A341" s="139" t="str">
        <f ca="1">IFERROR(__xludf.DUMMYFUNCTION("""COMPUTED_VALUE"""),"DARCO")</f>
        <v>DARCO</v>
      </c>
      <c r="B341" s="139" t="str">
        <f ca="1">IFERROR(__xludf.DUMMYFUNCTION("""COMPUTED_VALUE"""),"CENTRAL OFFICE")</f>
        <v>CENTRAL OFFICE</v>
      </c>
      <c r="C341" s="139" t="str">
        <f ca="1">IFERROR(__xludf.DUMMYFUNCTION("""COMPUTED_VALUE"""),"ACER TRAVELMATE")</f>
        <v>ACER TRAVELMATE</v>
      </c>
      <c r="D341" s="142" t="str">
        <f ca="1">IFERROR(__xludf.DUMMYFUNCTION("""COMPUTED_VALUE"""),"₱ 46,580.00")</f>
        <v>₱ 46,580.00</v>
      </c>
      <c r="E341" s="139"/>
      <c r="F341" s="139" t="str">
        <f ca="1">IFERROR(__xludf.DUMMYFUNCTION("""COMPUTED_VALUE"""),"2024-05-03-10202SP-190")</f>
        <v>2024-05-03-10202SP-190</v>
      </c>
      <c r="G341" s="139"/>
      <c r="H341" s="139"/>
      <c r="I341" s="139"/>
      <c r="J341" s="139" t="str">
        <f ca="1">IFERROR(__xludf.DUMMYFUNCTION("""COMPUTED_VALUE"""),"SP017-2024")</f>
        <v>SP017-2024</v>
      </c>
      <c r="K341" s="139"/>
      <c r="L341" s="139" t="str">
        <f ca="1">IFERROR(__xludf.DUMMYFUNCTION("""COMPUTED_VALUE"""),"BLTI")</f>
        <v>BLTI</v>
      </c>
      <c r="M341" s="139" t="str">
        <f ca="1">IFERROR(__xludf.DUMMYFUNCTION("""COMPUTED_VALUE"""),"SERVICEABLE")</f>
        <v>SERVICEABLE</v>
      </c>
      <c r="N341" s="146"/>
    </row>
    <row r="342" spans="1:14" ht="14.4">
      <c r="A342" s="139" t="str">
        <f ca="1">IFERROR(__xludf.DUMMYFUNCTION("""COMPUTED_VALUE"""),"DARCO")</f>
        <v>DARCO</v>
      </c>
      <c r="B342" s="139" t="str">
        <f ca="1">IFERROR(__xludf.DUMMYFUNCTION("""COMPUTED_VALUE"""),"CENTRAL OFFICE")</f>
        <v>CENTRAL OFFICE</v>
      </c>
      <c r="C342" s="139" t="str">
        <f ca="1">IFERROR(__xludf.DUMMYFUNCTION("""COMPUTED_VALUE"""),"ACER TRAVELMATE")</f>
        <v>ACER TRAVELMATE</v>
      </c>
      <c r="D342" s="142" t="str">
        <f ca="1">IFERROR(__xludf.DUMMYFUNCTION("""COMPUTED_VALUE"""),"₱ 46,580.00")</f>
        <v>₱ 46,580.00</v>
      </c>
      <c r="E342" s="139"/>
      <c r="F342" s="139" t="str">
        <f ca="1">IFERROR(__xludf.DUMMYFUNCTION("""COMPUTED_VALUE"""),"2024-05-03-10202SP-191")</f>
        <v>2024-05-03-10202SP-191</v>
      </c>
      <c r="G342" s="139"/>
      <c r="H342" s="139"/>
      <c r="I342" s="139"/>
      <c r="J342" s="139" t="str">
        <f ca="1">IFERROR(__xludf.DUMMYFUNCTION("""COMPUTED_VALUE"""),"SP017-2024")</f>
        <v>SP017-2024</v>
      </c>
      <c r="K342" s="139"/>
      <c r="L342" s="139" t="str">
        <f ca="1">IFERROR(__xludf.DUMMYFUNCTION("""COMPUTED_VALUE"""),"BLTI")</f>
        <v>BLTI</v>
      </c>
      <c r="M342" s="139" t="str">
        <f ca="1">IFERROR(__xludf.DUMMYFUNCTION("""COMPUTED_VALUE"""),"SERVICEABLE")</f>
        <v>SERVICEABLE</v>
      </c>
      <c r="N342" s="146"/>
    </row>
    <row r="343" spans="1:14" ht="14.4">
      <c r="A343" s="139" t="str">
        <f ca="1">IFERROR(__xludf.DUMMYFUNCTION("""COMPUTED_VALUE"""),"DARCO")</f>
        <v>DARCO</v>
      </c>
      <c r="B343" s="139" t="str">
        <f ca="1">IFERROR(__xludf.DUMMYFUNCTION("""COMPUTED_VALUE"""),"CENTRAL OFFICE")</f>
        <v>CENTRAL OFFICE</v>
      </c>
      <c r="C343" s="139" t="str">
        <f ca="1">IFERROR(__xludf.DUMMYFUNCTION("""COMPUTED_VALUE"""),"ACER TRAVELMATE")</f>
        <v>ACER TRAVELMATE</v>
      </c>
      <c r="D343" s="142" t="str">
        <f ca="1">IFERROR(__xludf.DUMMYFUNCTION("""COMPUTED_VALUE"""),"₱ 46,580.00")</f>
        <v>₱ 46,580.00</v>
      </c>
      <c r="E343" s="139"/>
      <c r="F343" s="139" t="str">
        <f ca="1">IFERROR(__xludf.DUMMYFUNCTION("""COMPUTED_VALUE"""),"2024-05-03-10202SP-192")</f>
        <v>2024-05-03-10202SP-192</v>
      </c>
      <c r="G343" s="139"/>
      <c r="H343" s="139"/>
      <c r="I343" s="139"/>
      <c r="J343" s="139" t="str">
        <f ca="1">IFERROR(__xludf.DUMMYFUNCTION("""COMPUTED_VALUE"""),"SP017-2024")</f>
        <v>SP017-2024</v>
      </c>
      <c r="K343" s="139"/>
      <c r="L343" s="139" t="str">
        <f ca="1">IFERROR(__xludf.DUMMYFUNCTION("""COMPUTED_VALUE"""),"BLTI")</f>
        <v>BLTI</v>
      </c>
      <c r="M343" s="139" t="str">
        <f ca="1">IFERROR(__xludf.DUMMYFUNCTION("""COMPUTED_VALUE"""),"SERVICEABLE")</f>
        <v>SERVICEABLE</v>
      </c>
      <c r="N343" s="146"/>
    </row>
    <row r="344" spans="1:14" ht="14.4">
      <c r="A344" s="139" t="str">
        <f ca="1">IFERROR(__xludf.DUMMYFUNCTION("""COMPUTED_VALUE"""),"DARCO")</f>
        <v>DARCO</v>
      </c>
      <c r="B344" s="139" t="str">
        <f ca="1">IFERROR(__xludf.DUMMYFUNCTION("""COMPUTED_VALUE"""),"CENTRAL OFFICE")</f>
        <v>CENTRAL OFFICE</v>
      </c>
      <c r="C344" s="139" t="str">
        <f ca="1">IFERROR(__xludf.DUMMYFUNCTION("""COMPUTED_VALUE"""),"ACER TRAVELMATE")</f>
        <v>ACER TRAVELMATE</v>
      </c>
      <c r="D344" s="142" t="str">
        <f ca="1">IFERROR(__xludf.DUMMYFUNCTION("""COMPUTED_VALUE"""),"₱ 46,580.00")</f>
        <v>₱ 46,580.00</v>
      </c>
      <c r="E344" s="139"/>
      <c r="F344" s="139" t="str">
        <f ca="1">IFERROR(__xludf.DUMMYFUNCTION("""COMPUTED_VALUE"""),"2024-05-03-10202SP-193")</f>
        <v>2024-05-03-10202SP-193</v>
      </c>
      <c r="G344" s="139"/>
      <c r="H344" s="139"/>
      <c r="I344" s="139"/>
      <c r="J344" s="139" t="str">
        <f ca="1">IFERROR(__xludf.DUMMYFUNCTION("""COMPUTED_VALUE"""),"SP017-2024")</f>
        <v>SP017-2024</v>
      </c>
      <c r="K344" s="139"/>
      <c r="L344" s="139" t="str">
        <f ca="1">IFERROR(__xludf.DUMMYFUNCTION("""COMPUTED_VALUE"""),"BLTI")</f>
        <v>BLTI</v>
      </c>
      <c r="M344" s="139" t="str">
        <f ca="1">IFERROR(__xludf.DUMMYFUNCTION("""COMPUTED_VALUE"""),"SERVICEABLE")</f>
        <v>SERVICEABLE</v>
      </c>
      <c r="N344" s="146"/>
    </row>
    <row r="345" spans="1:14" ht="14.4">
      <c r="A345" s="139" t="str">
        <f ca="1">IFERROR(__xludf.DUMMYFUNCTION("""COMPUTED_VALUE"""),"DARCO")</f>
        <v>DARCO</v>
      </c>
      <c r="B345" s="139" t="str">
        <f ca="1">IFERROR(__xludf.DUMMYFUNCTION("""COMPUTED_VALUE"""),"CENTRAL OFFICE")</f>
        <v>CENTRAL OFFICE</v>
      </c>
      <c r="C345" s="139" t="str">
        <f ca="1">IFERROR(__xludf.DUMMYFUNCTION("""COMPUTED_VALUE"""),"ACER TRAVELMATE")</f>
        <v>ACER TRAVELMATE</v>
      </c>
      <c r="D345" s="142" t="str">
        <f ca="1">IFERROR(__xludf.DUMMYFUNCTION("""COMPUTED_VALUE"""),"₱ 46,580.00")</f>
        <v>₱ 46,580.00</v>
      </c>
      <c r="E345" s="139"/>
      <c r="F345" s="139" t="str">
        <f ca="1">IFERROR(__xludf.DUMMYFUNCTION("""COMPUTED_VALUE"""),"2024-05-03-10202SP-194")</f>
        <v>2024-05-03-10202SP-194</v>
      </c>
      <c r="G345" s="139"/>
      <c r="H345" s="139"/>
      <c r="I345" s="139"/>
      <c r="J345" s="139" t="str">
        <f ca="1">IFERROR(__xludf.DUMMYFUNCTION("""COMPUTED_VALUE"""),"SP017-2024")</f>
        <v>SP017-2024</v>
      </c>
      <c r="K345" s="139"/>
      <c r="L345" s="139" t="str">
        <f ca="1">IFERROR(__xludf.DUMMYFUNCTION("""COMPUTED_VALUE"""),"BLTI")</f>
        <v>BLTI</v>
      </c>
      <c r="M345" s="139" t="str">
        <f ca="1">IFERROR(__xludf.DUMMYFUNCTION("""COMPUTED_VALUE"""),"SERVICEABLE")</f>
        <v>SERVICEABLE</v>
      </c>
      <c r="N345" s="146"/>
    </row>
    <row r="346" spans="1:14" ht="14.4">
      <c r="A346" s="139" t="str">
        <f ca="1">IFERROR(__xludf.DUMMYFUNCTION("""COMPUTED_VALUE"""),"DARCO")</f>
        <v>DARCO</v>
      </c>
      <c r="B346" s="139" t="str">
        <f ca="1">IFERROR(__xludf.DUMMYFUNCTION("""COMPUTED_VALUE"""),"CENTRAL OFFICE")</f>
        <v>CENTRAL OFFICE</v>
      </c>
      <c r="C346" s="139" t="str">
        <f ca="1">IFERROR(__xludf.DUMMYFUNCTION("""COMPUTED_VALUE"""),"ACER TRAVELMATE")</f>
        <v>ACER TRAVELMATE</v>
      </c>
      <c r="D346" s="142" t="str">
        <f ca="1">IFERROR(__xludf.DUMMYFUNCTION("""COMPUTED_VALUE"""),"₱ 46,580.00")</f>
        <v>₱ 46,580.00</v>
      </c>
      <c r="E346" s="139"/>
      <c r="F346" s="139" t="str">
        <f ca="1">IFERROR(__xludf.DUMMYFUNCTION("""COMPUTED_VALUE"""),"2024-05-03-10202SP-195")</f>
        <v>2024-05-03-10202SP-195</v>
      </c>
      <c r="G346" s="139"/>
      <c r="H346" s="139" t="str">
        <f ca="1">IFERROR(__xludf.DUMMYFUNCTION("""COMPUTED_VALUE"""),"DENNIS G RAMOS")</f>
        <v>DENNIS G RAMOS</v>
      </c>
      <c r="I346" s="139" t="str">
        <f ca="1">IFERROR(__xludf.DUMMYFUNCTION("""COMPUTED_VALUE"""),"DIRECTOR IV")</f>
        <v>DIRECTOR IV</v>
      </c>
      <c r="J346" s="139" t="str">
        <f ca="1">IFERROR(__xludf.DUMMYFUNCTION("""COMPUTED_VALUE"""),"SP018-2024")</f>
        <v>SP018-2024</v>
      </c>
      <c r="K346" s="139"/>
      <c r="L346" s="139" t="str">
        <f ca="1">IFERROR(__xludf.DUMMYFUNCTION("""COMPUTED_VALUE"""),"FMS")</f>
        <v>FMS</v>
      </c>
      <c r="M346" s="139" t="str">
        <f ca="1">IFERROR(__xludf.DUMMYFUNCTION("""COMPUTED_VALUE"""),"SERVICEABLE")</f>
        <v>SERVICEABLE</v>
      </c>
      <c r="N346" s="146"/>
    </row>
    <row r="347" spans="1:14" ht="14.4">
      <c r="A347" s="139" t="str">
        <f ca="1">IFERROR(__xludf.DUMMYFUNCTION("""COMPUTED_VALUE"""),"DARCO")</f>
        <v>DARCO</v>
      </c>
      <c r="B347" s="139" t="str">
        <f ca="1">IFERROR(__xludf.DUMMYFUNCTION("""COMPUTED_VALUE"""),"CENTRAL OFFICE")</f>
        <v>CENTRAL OFFICE</v>
      </c>
      <c r="C347" s="139" t="str">
        <f ca="1">IFERROR(__xludf.DUMMYFUNCTION("""COMPUTED_VALUE"""),"ACER TRAVELMATE")</f>
        <v>ACER TRAVELMATE</v>
      </c>
      <c r="D347" s="142" t="str">
        <f ca="1">IFERROR(__xludf.DUMMYFUNCTION("""COMPUTED_VALUE"""),"₱ 46,580.00")</f>
        <v>₱ 46,580.00</v>
      </c>
      <c r="E347" s="139"/>
      <c r="F347" s="139" t="str">
        <f ca="1">IFERROR(__xludf.DUMMYFUNCTION("""COMPUTED_VALUE"""),"2024-05-03-10202SP-196")</f>
        <v>2024-05-03-10202SP-196</v>
      </c>
      <c r="G347" s="139"/>
      <c r="H347" s="139" t="str">
        <f ca="1">IFERROR(__xludf.DUMMYFUNCTION("""COMPUTED_VALUE"""),"DENNIS G RAMOS")</f>
        <v>DENNIS G RAMOS</v>
      </c>
      <c r="I347" s="139" t="str">
        <f ca="1">IFERROR(__xludf.DUMMYFUNCTION("""COMPUTED_VALUE"""),"DIRECTOR IV")</f>
        <v>DIRECTOR IV</v>
      </c>
      <c r="J347" s="139" t="str">
        <f ca="1">IFERROR(__xludf.DUMMYFUNCTION("""COMPUTED_VALUE"""),"SP018-2024")</f>
        <v>SP018-2024</v>
      </c>
      <c r="K347" s="139"/>
      <c r="L347" s="139" t="str">
        <f ca="1">IFERROR(__xludf.DUMMYFUNCTION("""COMPUTED_VALUE"""),"FMS")</f>
        <v>FMS</v>
      </c>
      <c r="M347" s="139" t="str">
        <f ca="1">IFERROR(__xludf.DUMMYFUNCTION("""COMPUTED_VALUE"""),"SERVICEABLE")</f>
        <v>SERVICEABLE</v>
      </c>
      <c r="N347" s="146"/>
    </row>
    <row r="348" spans="1:14" ht="14.4">
      <c r="A348" s="139" t="str">
        <f ca="1">IFERROR(__xludf.DUMMYFUNCTION("""COMPUTED_VALUE"""),"DARCO")</f>
        <v>DARCO</v>
      </c>
      <c r="B348" s="139" t="str">
        <f ca="1">IFERROR(__xludf.DUMMYFUNCTION("""COMPUTED_VALUE"""),"CENTRAL OFFICE")</f>
        <v>CENTRAL OFFICE</v>
      </c>
      <c r="C348" s="139" t="str">
        <f ca="1">IFERROR(__xludf.DUMMYFUNCTION("""COMPUTED_VALUE"""),"ACER TRAVELMATE")</f>
        <v>ACER TRAVELMATE</v>
      </c>
      <c r="D348" s="142" t="str">
        <f ca="1">IFERROR(__xludf.DUMMYFUNCTION("""COMPUTED_VALUE"""),"₱ 46,580.00")</f>
        <v>₱ 46,580.00</v>
      </c>
      <c r="E348" s="139"/>
      <c r="F348" s="139" t="str">
        <f ca="1">IFERROR(__xludf.DUMMYFUNCTION("""COMPUTED_VALUE"""),"2024-05-03-10202SP-197")</f>
        <v>2024-05-03-10202SP-197</v>
      </c>
      <c r="G348" s="139"/>
      <c r="H348" s="139" t="str">
        <f ca="1">IFERROR(__xludf.DUMMYFUNCTION("""COMPUTED_VALUE"""),"DENNIS G RAMOS")</f>
        <v>DENNIS G RAMOS</v>
      </c>
      <c r="I348" s="139" t="str">
        <f ca="1">IFERROR(__xludf.DUMMYFUNCTION("""COMPUTED_VALUE"""),"DIRECTOR IV")</f>
        <v>DIRECTOR IV</v>
      </c>
      <c r="J348" s="139" t="str">
        <f ca="1">IFERROR(__xludf.DUMMYFUNCTION("""COMPUTED_VALUE"""),"SP018-2024")</f>
        <v>SP018-2024</v>
      </c>
      <c r="K348" s="139"/>
      <c r="L348" s="139" t="str">
        <f ca="1">IFERROR(__xludf.DUMMYFUNCTION("""COMPUTED_VALUE"""),"FMS")</f>
        <v>FMS</v>
      </c>
      <c r="M348" s="139" t="str">
        <f ca="1">IFERROR(__xludf.DUMMYFUNCTION("""COMPUTED_VALUE"""),"SERVICEABLE")</f>
        <v>SERVICEABLE</v>
      </c>
      <c r="N348" s="146"/>
    </row>
    <row r="349" spans="1:14" ht="14.4">
      <c r="A349" s="139" t="str">
        <f ca="1">IFERROR(__xludf.DUMMYFUNCTION("""COMPUTED_VALUE"""),"DARCO")</f>
        <v>DARCO</v>
      </c>
      <c r="B349" s="139" t="str">
        <f ca="1">IFERROR(__xludf.DUMMYFUNCTION("""COMPUTED_VALUE"""),"CENTRAL OFFICE")</f>
        <v>CENTRAL OFFICE</v>
      </c>
      <c r="C349" s="139" t="str">
        <f ca="1">IFERROR(__xludf.DUMMYFUNCTION("""COMPUTED_VALUE"""),"ACER TRAVELMATE")</f>
        <v>ACER TRAVELMATE</v>
      </c>
      <c r="D349" s="142" t="str">
        <f ca="1">IFERROR(__xludf.DUMMYFUNCTION("""COMPUTED_VALUE"""),"₱ 46,580.00")</f>
        <v>₱ 46,580.00</v>
      </c>
      <c r="E349" s="139"/>
      <c r="F349" s="139" t="str">
        <f ca="1">IFERROR(__xludf.DUMMYFUNCTION("""COMPUTED_VALUE"""),"2024-05-03-10202SP-198")</f>
        <v>2024-05-03-10202SP-198</v>
      </c>
      <c r="G349" s="139"/>
      <c r="H349" s="139" t="str">
        <f ca="1">IFERROR(__xludf.DUMMYFUNCTION("""COMPUTED_VALUE"""),"DENNIS G RAMOS")</f>
        <v>DENNIS G RAMOS</v>
      </c>
      <c r="I349" s="139" t="str">
        <f ca="1">IFERROR(__xludf.DUMMYFUNCTION("""COMPUTED_VALUE"""),"DIRECTOR IV")</f>
        <v>DIRECTOR IV</v>
      </c>
      <c r="J349" s="139" t="str">
        <f ca="1">IFERROR(__xludf.DUMMYFUNCTION("""COMPUTED_VALUE"""),"SP018-2024")</f>
        <v>SP018-2024</v>
      </c>
      <c r="K349" s="139"/>
      <c r="L349" s="139" t="str">
        <f ca="1">IFERROR(__xludf.DUMMYFUNCTION("""COMPUTED_VALUE"""),"FMS")</f>
        <v>FMS</v>
      </c>
      <c r="M349" s="139" t="str">
        <f ca="1">IFERROR(__xludf.DUMMYFUNCTION("""COMPUTED_VALUE"""),"SERVICEABLE")</f>
        <v>SERVICEABLE</v>
      </c>
      <c r="N349" s="146"/>
    </row>
    <row r="350" spans="1:14" ht="14.4">
      <c r="A350" s="139" t="str">
        <f ca="1">IFERROR(__xludf.DUMMYFUNCTION("""COMPUTED_VALUE"""),"DARCO")</f>
        <v>DARCO</v>
      </c>
      <c r="B350" s="139" t="str">
        <f ca="1">IFERROR(__xludf.DUMMYFUNCTION("""COMPUTED_VALUE"""),"CENTRAL OFFICE")</f>
        <v>CENTRAL OFFICE</v>
      </c>
      <c r="C350" s="139" t="str">
        <f ca="1">IFERROR(__xludf.DUMMYFUNCTION("""COMPUTED_VALUE"""),"ACER TRAVELMATE")</f>
        <v>ACER TRAVELMATE</v>
      </c>
      <c r="D350" s="142" t="str">
        <f ca="1">IFERROR(__xludf.DUMMYFUNCTION("""COMPUTED_VALUE"""),"₱ 46,580.00")</f>
        <v>₱ 46,580.00</v>
      </c>
      <c r="E350" s="139"/>
      <c r="F350" s="139" t="str">
        <f ca="1">IFERROR(__xludf.DUMMYFUNCTION("""COMPUTED_VALUE"""),"2024-05-03-10202SP-199")</f>
        <v>2024-05-03-10202SP-199</v>
      </c>
      <c r="G350" s="139"/>
      <c r="H350" s="139" t="str">
        <f ca="1">IFERROR(__xludf.DUMMYFUNCTION("""COMPUTED_VALUE"""),"DENNIS G RAMOS")</f>
        <v>DENNIS G RAMOS</v>
      </c>
      <c r="I350" s="139" t="str">
        <f ca="1">IFERROR(__xludf.DUMMYFUNCTION("""COMPUTED_VALUE"""),"DIRECTOR IV")</f>
        <v>DIRECTOR IV</v>
      </c>
      <c r="J350" s="139" t="str">
        <f ca="1">IFERROR(__xludf.DUMMYFUNCTION("""COMPUTED_VALUE"""),"SP018-2024")</f>
        <v>SP018-2024</v>
      </c>
      <c r="K350" s="139"/>
      <c r="L350" s="139" t="str">
        <f ca="1">IFERROR(__xludf.DUMMYFUNCTION("""COMPUTED_VALUE"""),"FMS")</f>
        <v>FMS</v>
      </c>
      <c r="M350" s="139" t="str">
        <f ca="1">IFERROR(__xludf.DUMMYFUNCTION("""COMPUTED_VALUE"""),"SERVICEABLE")</f>
        <v>SERVICEABLE</v>
      </c>
      <c r="N350" s="146"/>
    </row>
    <row r="351" spans="1:14" ht="14.4">
      <c r="A351" s="139" t="str">
        <f ca="1">IFERROR(__xludf.DUMMYFUNCTION("""COMPUTED_VALUE"""),"DARCO")</f>
        <v>DARCO</v>
      </c>
      <c r="B351" s="139" t="str">
        <f ca="1">IFERROR(__xludf.DUMMYFUNCTION("""COMPUTED_VALUE"""),"CENTRAL OFFICE")</f>
        <v>CENTRAL OFFICE</v>
      </c>
      <c r="C351" s="139" t="str">
        <f ca="1">IFERROR(__xludf.DUMMYFUNCTION("""COMPUTED_VALUE"""),"ACER TRAVELMATE")</f>
        <v>ACER TRAVELMATE</v>
      </c>
      <c r="D351" s="142" t="str">
        <f ca="1">IFERROR(__xludf.DUMMYFUNCTION("""COMPUTED_VALUE"""),"₱ 46,580.00")</f>
        <v>₱ 46,580.00</v>
      </c>
      <c r="E351" s="139"/>
      <c r="F351" s="139" t="str">
        <f ca="1">IFERROR(__xludf.DUMMYFUNCTION("""COMPUTED_VALUE"""),"2024-05-03-10202SP-200")</f>
        <v>2024-05-03-10202SP-200</v>
      </c>
      <c r="G351" s="139"/>
      <c r="H351" s="139" t="str">
        <f ca="1">IFERROR(__xludf.DUMMYFUNCTION("""COMPUTED_VALUE"""),"DENNIS G RAMOS")</f>
        <v>DENNIS G RAMOS</v>
      </c>
      <c r="I351" s="139" t="str">
        <f ca="1">IFERROR(__xludf.DUMMYFUNCTION("""COMPUTED_VALUE"""),"DIRECTOR IV")</f>
        <v>DIRECTOR IV</v>
      </c>
      <c r="J351" s="139" t="str">
        <f ca="1">IFERROR(__xludf.DUMMYFUNCTION("""COMPUTED_VALUE"""),"SP018-2024")</f>
        <v>SP018-2024</v>
      </c>
      <c r="K351" s="139"/>
      <c r="L351" s="139" t="str">
        <f ca="1">IFERROR(__xludf.DUMMYFUNCTION("""COMPUTED_VALUE"""),"FMS")</f>
        <v>FMS</v>
      </c>
      <c r="M351" s="139" t="str">
        <f ca="1">IFERROR(__xludf.DUMMYFUNCTION("""COMPUTED_VALUE"""),"SERVICEABLE")</f>
        <v>SERVICEABLE</v>
      </c>
      <c r="N351" s="146"/>
    </row>
    <row r="352" spans="1:14" ht="14.4">
      <c r="A352" s="139" t="str">
        <f ca="1">IFERROR(__xludf.DUMMYFUNCTION("""COMPUTED_VALUE"""),"DARCO")</f>
        <v>DARCO</v>
      </c>
      <c r="B352" s="139" t="str">
        <f ca="1">IFERROR(__xludf.DUMMYFUNCTION("""COMPUTED_VALUE"""),"CENTRAL OFFICE")</f>
        <v>CENTRAL OFFICE</v>
      </c>
      <c r="C352" s="139" t="str">
        <f ca="1">IFERROR(__xludf.DUMMYFUNCTION("""COMPUTED_VALUE"""),"ACER TRAVELMATE")</f>
        <v>ACER TRAVELMATE</v>
      </c>
      <c r="D352" s="142" t="str">
        <f ca="1">IFERROR(__xludf.DUMMYFUNCTION("""COMPUTED_VALUE"""),"₱ 46,580.00")</f>
        <v>₱ 46,580.00</v>
      </c>
      <c r="E352" s="139"/>
      <c r="F352" s="139" t="str">
        <f ca="1">IFERROR(__xludf.DUMMYFUNCTION("""COMPUTED_VALUE"""),"2024-05-03-10202SP-201")</f>
        <v>2024-05-03-10202SP-201</v>
      </c>
      <c r="G352" s="139"/>
      <c r="H352" s="139" t="str">
        <f ca="1">IFERROR(__xludf.DUMMYFUNCTION("""COMPUTED_VALUE"""),"DENNIS G RAMOS")</f>
        <v>DENNIS G RAMOS</v>
      </c>
      <c r="I352" s="139" t="str">
        <f ca="1">IFERROR(__xludf.DUMMYFUNCTION("""COMPUTED_VALUE"""),"DIRECTOR IV")</f>
        <v>DIRECTOR IV</v>
      </c>
      <c r="J352" s="139" t="str">
        <f ca="1">IFERROR(__xludf.DUMMYFUNCTION("""COMPUTED_VALUE"""),"SP018-2024")</f>
        <v>SP018-2024</v>
      </c>
      <c r="K352" s="139"/>
      <c r="L352" s="139" t="str">
        <f ca="1">IFERROR(__xludf.DUMMYFUNCTION("""COMPUTED_VALUE"""),"FMS")</f>
        <v>FMS</v>
      </c>
      <c r="M352" s="139" t="str">
        <f ca="1">IFERROR(__xludf.DUMMYFUNCTION("""COMPUTED_VALUE"""),"SERVICEABLE")</f>
        <v>SERVICEABLE</v>
      </c>
      <c r="N352" s="146"/>
    </row>
    <row r="353" spans="1:14" ht="14.4">
      <c r="A353" s="139" t="str">
        <f ca="1">IFERROR(__xludf.DUMMYFUNCTION("""COMPUTED_VALUE"""),"DARCO")</f>
        <v>DARCO</v>
      </c>
      <c r="B353" s="139" t="str">
        <f ca="1">IFERROR(__xludf.DUMMYFUNCTION("""COMPUTED_VALUE"""),"CENTRAL OFFICE")</f>
        <v>CENTRAL OFFICE</v>
      </c>
      <c r="C353" s="139" t="str">
        <f ca="1">IFERROR(__xludf.DUMMYFUNCTION("""COMPUTED_VALUE"""),"ACER TRAVELMATE")</f>
        <v>ACER TRAVELMATE</v>
      </c>
      <c r="D353" s="142" t="str">
        <f ca="1">IFERROR(__xludf.DUMMYFUNCTION("""COMPUTED_VALUE"""),"₱ 46,580.00")</f>
        <v>₱ 46,580.00</v>
      </c>
      <c r="E353" s="139"/>
      <c r="F353" s="139" t="str">
        <f ca="1">IFERROR(__xludf.DUMMYFUNCTION("""COMPUTED_VALUE"""),"2024-05-03-10202SP-203")</f>
        <v>2024-05-03-10202SP-203</v>
      </c>
      <c r="G353" s="139"/>
      <c r="H353" s="139" t="str">
        <f ca="1">IFERROR(__xludf.DUMMYFUNCTION("""COMPUTED_VALUE"""),"DENNIS G RAMOS")</f>
        <v>DENNIS G RAMOS</v>
      </c>
      <c r="I353" s="139" t="str">
        <f ca="1">IFERROR(__xludf.DUMMYFUNCTION("""COMPUTED_VALUE"""),"DIRECTOR IV")</f>
        <v>DIRECTOR IV</v>
      </c>
      <c r="J353" s="139" t="str">
        <f ca="1">IFERROR(__xludf.DUMMYFUNCTION("""COMPUTED_VALUE"""),"SP018-2024")</f>
        <v>SP018-2024</v>
      </c>
      <c r="K353" s="139"/>
      <c r="L353" s="139" t="str">
        <f ca="1">IFERROR(__xludf.DUMMYFUNCTION("""COMPUTED_VALUE"""),"FMS")</f>
        <v>FMS</v>
      </c>
      <c r="M353" s="139" t="str">
        <f ca="1">IFERROR(__xludf.DUMMYFUNCTION("""COMPUTED_VALUE"""),"SERVICEABLE")</f>
        <v>SERVICEABLE</v>
      </c>
      <c r="N353" s="146"/>
    </row>
    <row r="354" spans="1:14" ht="14.4">
      <c r="A354" s="139" t="str">
        <f ca="1">IFERROR(__xludf.DUMMYFUNCTION("""COMPUTED_VALUE"""),"DARCO")</f>
        <v>DARCO</v>
      </c>
      <c r="B354" s="139" t="str">
        <f ca="1">IFERROR(__xludf.DUMMYFUNCTION("""COMPUTED_VALUE"""),"CENTRAL OFFICE")</f>
        <v>CENTRAL OFFICE</v>
      </c>
      <c r="C354" s="139" t="str">
        <f ca="1">IFERROR(__xludf.DUMMYFUNCTION("""COMPUTED_VALUE"""),"ACER TRAVELMATE")</f>
        <v>ACER TRAVELMATE</v>
      </c>
      <c r="D354" s="142" t="str">
        <f ca="1">IFERROR(__xludf.DUMMYFUNCTION("""COMPUTED_VALUE"""),"₱ 46,580.00")</f>
        <v>₱ 46,580.00</v>
      </c>
      <c r="E354" s="139"/>
      <c r="F354" s="139" t="str">
        <f ca="1">IFERROR(__xludf.DUMMYFUNCTION("""COMPUTED_VALUE"""),"2024-05-03-10202SP-204")</f>
        <v>2024-05-03-10202SP-204</v>
      </c>
      <c r="G354" s="139"/>
      <c r="H354" s="139" t="str">
        <f ca="1">IFERROR(__xludf.DUMMYFUNCTION("""COMPUTED_VALUE"""),"DENNIS G RAMOS")</f>
        <v>DENNIS G RAMOS</v>
      </c>
      <c r="I354" s="139" t="str">
        <f ca="1">IFERROR(__xludf.DUMMYFUNCTION("""COMPUTED_VALUE"""),"DIRECTOR IV")</f>
        <v>DIRECTOR IV</v>
      </c>
      <c r="J354" s="139" t="str">
        <f ca="1">IFERROR(__xludf.DUMMYFUNCTION("""COMPUTED_VALUE"""),"SP018-2024")</f>
        <v>SP018-2024</v>
      </c>
      <c r="K354" s="139"/>
      <c r="L354" s="139" t="str">
        <f ca="1">IFERROR(__xludf.DUMMYFUNCTION("""COMPUTED_VALUE"""),"FMS")</f>
        <v>FMS</v>
      </c>
      <c r="M354" s="139" t="str">
        <f ca="1">IFERROR(__xludf.DUMMYFUNCTION("""COMPUTED_VALUE"""),"SERVICEABLE")</f>
        <v>SERVICEABLE</v>
      </c>
      <c r="N354" s="146"/>
    </row>
    <row r="355" spans="1:14" ht="14.4">
      <c r="A355" s="139" t="str">
        <f ca="1">IFERROR(__xludf.DUMMYFUNCTION("""COMPUTED_VALUE"""),"DARCO")</f>
        <v>DARCO</v>
      </c>
      <c r="B355" s="139" t="str">
        <f ca="1">IFERROR(__xludf.DUMMYFUNCTION("""COMPUTED_VALUE"""),"CENTRAL OFFICE")</f>
        <v>CENTRAL OFFICE</v>
      </c>
      <c r="C355" s="139" t="str">
        <f ca="1">IFERROR(__xludf.DUMMYFUNCTION("""COMPUTED_VALUE"""),"ACER TRAVELMATE")</f>
        <v>ACER TRAVELMATE</v>
      </c>
      <c r="D355" s="142" t="str">
        <f ca="1">IFERROR(__xludf.DUMMYFUNCTION("""COMPUTED_VALUE"""),"₱ 46,580.00")</f>
        <v>₱ 46,580.00</v>
      </c>
      <c r="E355" s="139"/>
      <c r="F355" s="139" t="str">
        <f ca="1">IFERROR(__xludf.DUMMYFUNCTION("""COMPUTED_VALUE"""),"2024-05-03-10202SP-205")</f>
        <v>2024-05-03-10202SP-205</v>
      </c>
      <c r="G355" s="139"/>
      <c r="H355" s="139" t="str">
        <f ca="1">IFERROR(__xludf.DUMMYFUNCTION("""COMPUTED_VALUE"""),"DENNIS G RAMOS")</f>
        <v>DENNIS G RAMOS</v>
      </c>
      <c r="I355" s="139" t="str">
        <f ca="1">IFERROR(__xludf.DUMMYFUNCTION("""COMPUTED_VALUE"""),"DIRECTOR IV")</f>
        <v>DIRECTOR IV</v>
      </c>
      <c r="J355" s="139" t="str">
        <f ca="1">IFERROR(__xludf.DUMMYFUNCTION("""COMPUTED_VALUE"""),"SP018-2024")</f>
        <v>SP018-2024</v>
      </c>
      <c r="K355" s="139"/>
      <c r="L355" s="139" t="str">
        <f ca="1">IFERROR(__xludf.DUMMYFUNCTION("""COMPUTED_VALUE"""),"FMS")</f>
        <v>FMS</v>
      </c>
      <c r="M355" s="139" t="str">
        <f ca="1">IFERROR(__xludf.DUMMYFUNCTION("""COMPUTED_VALUE"""),"SERVICEABLE")</f>
        <v>SERVICEABLE</v>
      </c>
      <c r="N355" s="146"/>
    </row>
    <row r="356" spans="1:14" ht="14.4">
      <c r="A356" s="139" t="str">
        <f ca="1">IFERROR(__xludf.DUMMYFUNCTION("""COMPUTED_VALUE"""),"DARCO")</f>
        <v>DARCO</v>
      </c>
      <c r="B356" s="139" t="str">
        <f ca="1">IFERROR(__xludf.DUMMYFUNCTION("""COMPUTED_VALUE"""),"CENTRAL OFFICE")</f>
        <v>CENTRAL OFFICE</v>
      </c>
      <c r="C356" s="139" t="str">
        <f ca="1">IFERROR(__xludf.DUMMYFUNCTION("""COMPUTED_VALUE"""),"ACER TRAVELMATE")</f>
        <v>ACER TRAVELMATE</v>
      </c>
      <c r="D356" s="142" t="str">
        <f ca="1">IFERROR(__xludf.DUMMYFUNCTION("""COMPUTED_VALUE"""),"₱ 46,580.00")</f>
        <v>₱ 46,580.00</v>
      </c>
      <c r="E356" s="139"/>
      <c r="F356" s="139" t="str">
        <f ca="1">IFERROR(__xludf.DUMMYFUNCTION("""COMPUTED_VALUE"""),"2024-05-03-10202SP-206")</f>
        <v>2024-05-03-10202SP-206</v>
      </c>
      <c r="G356" s="139"/>
      <c r="H356" s="139" t="str">
        <f ca="1">IFERROR(__xludf.DUMMYFUNCTION("""COMPUTED_VALUE"""),"DENNIS G RAMOS")</f>
        <v>DENNIS G RAMOS</v>
      </c>
      <c r="I356" s="139" t="str">
        <f ca="1">IFERROR(__xludf.DUMMYFUNCTION("""COMPUTED_VALUE"""),"DIRECTOR IV")</f>
        <v>DIRECTOR IV</v>
      </c>
      <c r="J356" s="139" t="str">
        <f ca="1">IFERROR(__xludf.DUMMYFUNCTION("""COMPUTED_VALUE"""),"SP018-2024")</f>
        <v>SP018-2024</v>
      </c>
      <c r="K356" s="139"/>
      <c r="L356" s="139" t="str">
        <f ca="1">IFERROR(__xludf.DUMMYFUNCTION("""COMPUTED_VALUE"""),"FMS")</f>
        <v>FMS</v>
      </c>
      <c r="M356" s="139" t="str">
        <f ca="1">IFERROR(__xludf.DUMMYFUNCTION("""COMPUTED_VALUE"""),"SERVICEABLE")</f>
        <v>SERVICEABLE</v>
      </c>
      <c r="N356" s="146"/>
    </row>
    <row r="357" spans="1:14" ht="14.4">
      <c r="A357" s="139" t="str">
        <f ca="1">IFERROR(__xludf.DUMMYFUNCTION("""COMPUTED_VALUE"""),"DARCO")</f>
        <v>DARCO</v>
      </c>
      <c r="B357" s="139" t="str">
        <f ca="1">IFERROR(__xludf.DUMMYFUNCTION("""COMPUTED_VALUE"""),"CENTRAL OFFICE")</f>
        <v>CENTRAL OFFICE</v>
      </c>
      <c r="C357" s="139" t="str">
        <f ca="1">IFERROR(__xludf.DUMMYFUNCTION("""COMPUTED_VALUE"""),"ACER TRAVELMATE")</f>
        <v>ACER TRAVELMATE</v>
      </c>
      <c r="D357" s="142" t="str">
        <f ca="1">IFERROR(__xludf.DUMMYFUNCTION("""COMPUTED_VALUE"""),"₱ 46,580.00")</f>
        <v>₱ 46,580.00</v>
      </c>
      <c r="E357" s="139"/>
      <c r="F357" s="139" t="str">
        <f ca="1">IFERROR(__xludf.DUMMYFUNCTION("""COMPUTED_VALUE"""),"2024-05-03-10202SP-207")</f>
        <v>2024-05-03-10202SP-207</v>
      </c>
      <c r="G357" s="139"/>
      <c r="H357" s="139" t="str">
        <f ca="1">IFERROR(__xludf.DUMMYFUNCTION("""COMPUTED_VALUE"""),"DENNIS G RAMOS")</f>
        <v>DENNIS G RAMOS</v>
      </c>
      <c r="I357" s="139" t="str">
        <f ca="1">IFERROR(__xludf.DUMMYFUNCTION("""COMPUTED_VALUE"""),"DIRECTOR IV")</f>
        <v>DIRECTOR IV</v>
      </c>
      <c r="J357" s="139" t="str">
        <f ca="1">IFERROR(__xludf.DUMMYFUNCTION("""COMPUTED_VALUE"""),"SP018-2024")</f>
        <v>SP018-2024</v>
      </c>
      <c r="K357" s="139"/>
      <c r="L357" s="139" t="str">
        <f ca="1">IFERROR(__xludf.DUMMYFUNCTION("""COMPUTED_VALUE"""),"FMS / BUDGET")</f>
        <v>FMS / BUDGET</v>
      </c>
      <c r="M357" s="139" t="str">
        <f ca="1">IFERROR(__xludf.DUMMYFUNCTION("""COMPUTED_VALUE"""),"SERVICEABLE")</f>
        <v>SERVICEABLE</v>
      </c>
      <c r="N357" s="146"/>
    </row>
    <row r="358" spans="1:14" ht="14.4">
      <c r="A358" s="139" t="str">
        <f ca="1">IFERROR(__xludf.DUMMYFUNCTION("""COMPUTED_VALUE"""),"DARCO")</f>
        <v>DARCO</v>
      </c>
      <c r="B358" s="139" t="str">
        <f ca="1">IFERROR(__xludf.DUMMYFUNCTION("""COMPUTED_VALUE"""),"CENTRAL OFFICE")</f>
        <v>CENTRAL OFFICE</v>
      </c>
      <c r="C358" s="139" t="str">
        <f ca="1">IFERROR(__xludf.DUMMYFUNCTION("""COMPUTED_VALUE"""),"ACER TRAVELMATE")</f>
        <v>ACER TRAVELMATE</v>
      </c>
      <c r="D358" s="142" t="str">
        <f ca="1">IFERROR(__xludf.DUMMYFUNCTION("""COMPUTED_VALUE"""),"₱ 46,580.00")</f>
        <v>₱ 46,580.00</v>
      </c>
      <c r="E358" s="139"/>
      <c r="F358" s="139" t="str">
        <f ca="1">IFERROR(__xludf.DUMMYFUNCTION("""COMPUTED_VALUE"""),"2024-05-03-10202SP-208")</f>
        <v>2024-05-03-10202SP-208</v>
      </c>
      <c r="G358" s="139"/>
      <c r="H358" s="139" t="str">
        <f ca="1">IFERROR(__xludf.DUMMYFUNCTION("""COMPUTED_VALUE"""),"DENNIS G RAMOS")</f>
        <v>DENNIS G RAMOS</v>
      </c>
      <c r="I358" s="139" t="str">
        <f ca="1">IFERROR(__xludf.DUMMYFUNCTION("""COMPUTED_VALUE"""),"DIRECTOR IV")</f>
        <v>DIRECTOR IV</v>
      </c>
      <c r="J358" s="139" t="str">
        <f ca="1">IFERROR(__xludf.DUMMYFUNCTION("""COMPUTED_VALUE"""),"SP018-2024")</f>
        <v>SP018-2024</v>
      </c>
      <c r="K358" s="139"/>
      <c r="L358" s="139" t="str">
        <f ca="1">IFERROR(__xludf.DUMMYFUNCTION("""COMPUTED_VALUE"""),"FMS")</f>
        <v>FMS</v>
      </c>
      <c r="M358" s="139" t="str">
        <f ca="1">IFERROR(__xludf.DUMMYFUNCTION("""COMPUTED_VALUE"""),"SERVICEABLE")</f>
        <v>SERVICEABLE</v>
      </c>
      <c r="N358" s="146"/>
    </row>
    <row r="359" spans="1:14" ht="14.4">
      <c r="A359" s="139" t="str">
        <f ca="1">IFERROR(__xludf.DUMMYFUNCTION("""COMPUTED_VALUE"""),"DARCO")</f>
        <v>DARCO</v>
      </c>
      <c r="B359" s="139" t="str">
        <f ca="1">IFERROR(__xludf.DUMMYFUNCTION("""COMPUTED_VALUE"""),"CENTRAL OFFICE")</f>
        <v>CENTRAL OFFICE</v>
      </c>
      <c r="C359" s="139" t="str">
        <f ca="1">IFERROR(__xludf.DUMMYFUNCTION("""COMPUTED_VALUE"""),"ACER TRAVELMATE")</f>
        <v>ACER TRAVELMATE</v>
      </c>
      <c r="D359" s="142" t="str">
        <f ca="1">IFERROR(__xludf.DUMMYFUNCTION("""COMPUTED_VALUE"""),"₱ 46,580.00")</f>
        <v>₱ 46,580.00</v>
      </c>
      <c r="E359" s="139"/>
      <c r="F359" s="139" t="str">
        <f ca="1">IFERROR(__xludf.DUMMYFUNCTION("""COMPUTED_VALUE"""),"2024-05-03-10202SP-209")</f>
        <v>2024-05-03-10202SP-209</v>
      </c>
      <c r="G359" s="139"/>
      <c r="H359" s="139" t="str">
        <f ca="1">IFERROR(__xludf.DUMMYFUNCTION("""COMPUTED_VALUE"""),"DENNIS G RAMOS")</f>
        <v>DENNIS G RAMOS</v>
      </c>
      <c r="I359" s="139" t="str">
        <f ca="1">IFERROR(__xludf.DUMMYFUNCTION("""COMPUTED_VALUE"""),"DIRECTOR IV")</f>
        <v>DIRECTOR IV</v>
      </c>
      <c r="J359" s="139" t="str">
        <f ca="1">IFERROR(__xludf.DUMMYFUNCTION("""COMPUTED_VALUE"""),"SP018-2024")</f>
        <v>SP018-2024</v>
      </c>
      <c r="K359" s="139"/>
      <c r="L359" s="139" t="str">
        <f ca="1">IFERROR(__xludf.DUMMYFUNCTION("""COMPUTED_VALUE"""),"FMS")</f>
        <v>FMS</v>
      </c>
      <c r="M359" s="139" t="str">
        <f ca="1">IFERROR(__xludf.DUMMYFUNCTION("""COMPUTED_VALUE"""),"SERVICEABLE")</f>
        <v>SERVICEABLE</v>
      </c>
      <c r="N359" s="146"/>
    </row>
    <row r="360" spans="1:14" ht="14.4">
      <c r="A360" s="139" t="str">
        <f ca="1">IFERROR(__xludf.DUMMYFUNCTION("""COMPUTED_VALUE"""),"DARCO")</f>
        <v>DARCO</v>
      </c>
      <c r="B360" s="139" t="str">
        <f ca="1">IFERROR(__xludf.DUMMYFUNCTION("""COMPUTED_VALUE"""),"CENTRAL OFFICE")</f>
        <v>CENTRAL OFFICE</v>
      </c>
      <c r="C360" s="139" t="str">
        <f ca="1">IFERROR(__xludf.DUMMYFUNCTION("""COMPUTED_VALUE"""),"ACER TRAVELMATE")</f>
        <v>ACER TRAVELMATE</v>
      </c>
      <c r="D360" s="142" t="str">
        <f ca="1">IFERROR(__xludf.DUMMYFUNCTION("""COMPUTED_VALUE"""),"₱ 46,580.00")</f>
        <v>₱ 46,580.00</v>
      </c>
      <c r="E360" s="139"/>
      <c r="F360" s="139" t="str">
        <f ca="1">IFERROR(__xludf.DUMMYFUNCTION("""COMPUTED_VALUE"""),"2024-05-03-10202SP-210")</f>
        <v>2024-05-03-10202SP-210</v>
      </c>
      <c r="G360" s="139"/>
      <c r="H360" s="139" t="str">
        <f ca="1">IFERROR(__xludf.DUMMYFUNCTION("""COMPUTED_VALUE"""),"DENNIS G RAMOS")</f>
        <v>DENNIS G RAMOS</v>
      </c>
      <c r="I360" s="139" t="str">
        <f ca="1">IFERROR(__xludf.DUMMYFUNCTION("""COMPUTED_VALUE"""),"DIRECTOR IV")</f>
        <v>DIRECTOR IV</v>
      </c>
      <c r="J360" s="139" t="str">
        <f ca="1">IFERROR(__xludf.DUMMYFUNCTION("""COMPUTED_VALUE"""),"SP018-2024")</f>
        <v>SP018-2024</v>
      </c>
      <c r="K360" s="139"/>
      <c r="L360" s="139" t="str">
        <f ca="1">IFERROR(__xludf.DUMMYFUNCTION("""COMPUTED_VALUE"""),"FMS")</f>
        <v>FMS</v>
      </c>
      <c r="M360" s="139" t="str">
        <f ca="1">IFERROR(__xludf.DUMMYFUNCTION("""COMPUTED_VALUE"""),"SERVICEABLE")</f>
        <v>SERVICEABLE</v>
      </c>
      <c r="N360" s="146"/>
    </row>
    <row r="361" spans="1:14" ht="14.4">
      <c r="A361" s="139" t="str">
        <f ca="1">IFERROR(__xludf.DUMMYFUNCTION("""COMPUTED_VALUE"""),"DARCO")</f>
        <v>DARCO</v>
      </c>
      <c r="B361" s="139" t="str">
        <f ca="1">IFERROR(__xludf.DUMMYFUNCTION("""COMPUTED_VALUE"""),"CENTRAL OFFICE")</f>
        <v>CENTRAL OFFICE</v>
      </c>
      <c r="C361" s="139" t="str">
        <f ca="1">IFERROR(__xludf.DUMMYFUNCTION("""COMPUTED_VALUE"""),"ACER TRAVELMATE")</f>
        <v>ACER TRAVELMATE</v>
      </c>
      <c r="D361" s="142" t="str">
        <f ca="1">IFERROR(__xludf.DUMMYFUNCTION("""COMPUTED_VALUE"""),"₱ 46,580.00")</f>
        <v>₱ 46,580.00</v>
      </c>
      <c r="E361" s="139"/>
      <c r="F361" s="139" t="str">
        <f ca="1">IFERROR(__xludf.DUMMYFUNCTION("""COMPUTED_VALUE"""),"2024-05-03-10202SP-211")</f>
        <v>2024-05-03-10202SP-211</v>
      </c>
      <c r="G361" s="139"/>
      <c r="H361" s="139" t="str">
        <f ca="1">IFERROR(__xludf.DUMMYFUNCTION("""COMPUTED_VALUE"""),"DENNIS G RAMOS")</f>
        <v>DENNIS G RAMOS</v>
      </c>
      <c r="I361" s="139" t="str">
        <f ca="1">IFERROR(__xludf.DUMMYFUNCTION("""COMPUTED_VALUE"""),"DIRECTOR IV")</f>
        <v>DIRECTOR IV</v>
      </c>
      <c r="J361" s="139" t="str">
        <f ca="1">IFERROR(__xludf.DUMMYFUNCTION("""COMPUTED_VALUE"""),"SP018-2024")</f>
        <v>SP018-2024</v>
      </c>
      <c r="K361" s="139"/>
      <c r="L361" s="139" t="str">
        <f ca="1">IFERROR(__xludf.DUMMYFUNCTION("""COMPUTED_VALUE"""),"FMS")</f>
        <v>FMS</v>
      </c>
      <c r="M361" s="139" t="str">
        <f ca="1">IFERROR(__xludf.DUMMYFUNCTION("""COMPUTED_VALUE"""),"SERVICEABLE")</f>
        <v>SERVICEABLE</v>
      </c>
      <c r="N361" s="146"/>
    </row>
    <row r="362" spans="1:14" ht="14.4">
      <c r="A362" s="139" t="str">
        <f ca="1">IFERROR(__xludf.DUMMYFUNCTION("""COMPUTED_VALUE"""),"DARCO")</f>
        <v>DARCO</v>
      </c>
      <c r="B362" s="139" t="str">
        <f ca="1">IFERROR(__xludf.DUMMYFUNCTION("""COMPUTED_VALUE"""),"CENTRAL OFFICE")</f>
        <v>CENTRAL OFFICE</v>
      </c>
      <c r="C362" s="139" t="str">
        <f ca="1">IFERROR(__xludf.DUMMYFUNCTION("""COMPUTED_VALUE"""),"ACER TRAVELMATE")</f>
        <v>ACER TRAVELMATE</v>
      </c>
      <c r="D362" s="142" t="str">
        <f ca="1">IFERROR(__xludf.DUMMYFUNCTION("""COMPUTED_VALUE"""),"₱ 46,580.00")</f>
        <v>₱ 46,580.00</v>
      </c>
      <c r="E362" s="139"/>
      <c r="F362" s="139" t="str">
        <f ca="1">IFERROR(__xludf.DUMMYFUNCTION("""COMPUTED_VALUE"""),"2024-05-03-10202SP-212")</f>
        <v>2024-05-03-10202SP-212</v>
      </c>
      <c r="G362" s="139"/>
      <c r="H362" s="139" t="str">
        <f ca="1">IFERROR(__xludf.DUMMYFUNCTION("""COMPUTED_VALUE"""),"DENNIS G RAMOS")</f>
        <v>DENNIS G RAMOS</v>
      </c>
      <c r="I362" s="139" t="str">
        <f ca="1">IFERROR(__xludf.DUMMYFUNCTION("""COMPUTED_VALUE"""),"DIRECTOR IV")</f>
        <v>DIRECTOR IV</v>
      </c>
      <c r="J362" s="139" t="str">
        <f ca="1">IFERROR(__xludf.DUMMYFUNCTION("""COMPUTED_VALUE"""),"SP018-2024")</f>
        <v>SP018-2024</v>
      </c>
      <c r="K362" s="139"/>
      <c r="L362" s="139" t="str">
        <f ca="1">IFERROR(__xludf.DUMMYFUNCTION("""COMPUTED_VALUE"""),"FMS")</f>
        <v>FMS</v>
      </c>
      <c r="M362" s="139" t="str">
        <f ca="1">IFERROR(__xludf.DUMMYFUNCTION("""COMPUTED_VALUE"""),"SERVICEABLE")</f>
        <v>SERVICEABLE</v>
      </c>
      <c r="N362" s="146"/>
    </row>
    <row r="363" spans="1:14" ht="14.4">
      <c r="A363" s="139" t="str">
        <f ca="1">IFERROR(__xludf.DUMMYFUNCTION("""COMPUTED_VALUE"""),"DARCO")</f>
        <v>DARCO</v>
      </c>
      <c r="B363" s="139" t="str">
        <f ca="1">IFERROR(__xludf.DUMMYFUNCTION("""COMPUTED_VALUE"""),"CENTRAL OFFICE")</f>
        <v>CENTRAL OFFICE</v>
      </c>
      <c r="C363" s="139" t="str">
        <f ca="1">IFERROR(__xludf.DUMMYFUNCTION("""COMPUTED_VALUE"""),"ACER TRAVELMATE")</f>
        <v>ACER TRAVELMATE</v>
      </c>
      <c r="D363" s="142" t="str">
        <f ca="1">IFERROR(__xludf.DUMMYFUNCTION("""COMPUTED_VALUE"""),"₱ 46,580.00")</f>
        <v>₱ 46,580.00</v>
      </c>
      <c r="E363" s="139"/>
      <c r="F363" s="139" t="str">
        <f ca="1">IFERROR(__xludf.DUMMYFUNCTION("""COMPUTED_VALUE"""),"2024-05-03-10202SP-213")</f>
        <v>2024-05-03-10202SP-213</v>
      </c>
      <c r="G363" s="139"/>
      <c r="H363" s="139" t="str">
        <f ca="1">IFERROR(__xludf.DUMMYFUNCTION("""COMPUTED_VALUE"""),"DENNIS G RAMOS")</f>
        <v>DENNIS G RAMOS</v>
      </c>
      <c r="I363" s="139" t="str">
        <f ca="1">IFERROR(__xludf.DUMMYFUNCTION("""COMPUTED_VALUE"""),"DIRECTOR IV")</f>
        <v>DIRECTOR IV</v>
      </c>
      <c r="J363" s="139" t="str">
        <f ca="1">IFERROR(__xludf.DUMMYFUNCTION("""COMPUTED_VALUE"""),"SP018-2024")</f>
        <v>SP018-2024</v>
      </c>
      <c r="K363" s="139"/>
      <c r="L363" s="139" t="str">
        <f ca="1">IFERROR(__xludf.DUMMYFUNCTION("""COMPUTED_VALUE"""),"FMS / BUDGET")</f>
        <v>FMS / BUDGET</v>
      </c>
      <c r="M363" s="139" t="str">
        <f ca="1">IFERROR(__xludf.DUMMYFUNCTION("""COMPUTED_VALUE"""),"SERVICEABLE")</f>
        <v>SERVICEABLE</v>
      </c>
      <c r="N363" s="146"/>
    </row>
    <row r="364" spans="1:14" ht="14.4">
      <c r="A364" s="139" t="str">
        <f ca="1">IFERROR(__xludf.DUMMYFUNCTION("""COMPUTED_VALUE"""),"DARCO")</f>
        <v>DARCO</v>
      </c>
      <c r="B364" s="139" t="str">
        <f ca="1">IFERROR(__xludf.DUMMYFUNCTION("""COMPUTED_VALUE"""),"CENTRAL OFFICE")</f>
        <v>CENTRAL OFFICE</v>
      </c>
      <c r="C364" s="139" t="str">
        <f ca="1">IFERROR(__xludf.DUMMYFUNCTION("""COMPUTED_VALUE"""),"ACER TRAVELMATE")</f>
        <v>ACER TRAVELMATE</v>
      </c>
      <c r="D364" s="142" t="str">
        <f ca="1">IFERROR(__xludf.DUMMYFUNCTION("""COMPUTED_VALUE"""),"₱ 46,580.00")</f>
        <v>₱ 46,580.00</v>
      </c>
      <c r="E364" s="139"/>
      <c r="F364" s="139" t="str">
        <f ca="1">IFERROR(__xludf.DUMMYFUNCTION("""COMPUTED_VALUE"""),"2024-05-03-10202SP-214")</f>
        <v>2024-05-03-10202SP-214</v>
      </c>
      <c r="G364" s="139"/>
      <c r="H364" s="139" t="str">
        <f ca="1">IFERROR(__xludf.DUMMYFUNCTION("""COMPUTED_VALUE"""),"DENNIS G RAMOS")</f>
        <v>DENNIS G RAMOS</v>
      </c>
      <c r="I364" s="139" t="str">
        <f ca="1">IFERROR(__xludf.DUMMYFUNCTION("""COMPUTED_VALUE"""),"DIRECTOR IV")</f>
        <v>DIRECTOR IV</v>
      </c>
      <c r="J364" s="139" t="str">
        <f ca="1">IFERROR(__xludf.DUMMYFUNCTION("""COMPUTED_VALUE"""),"SP018-2024")</f>
        <v>SP018-2024</v>
      </c>
      <c r="K364" s="139"/>
      <c r="L364" s="139" t="str">
        <f ca="1">IFERROR(__xludf.DUMMYFUNCTION("""COMPUTED_VALUE"""),"FASPO CASHIER")</f>
        <v>FASPO CASHIER</v>
      </c>
      <c r="M364" s="139" t="str">
        <f ca="1">IFERROR(__xludf.DUMMYFUNCTION("""COMPUTED_VALUE"""),"SERVICEABLE")</f>
        <v>SERVICEABLE</v>
      </c>
      <c r="N364" s="146"/>
    </row>
    <row r="365" spans="1:14" ht="14.4">
      <c r="A365" s="139" t="str">
        <f ca="1">IFERROR(__xludf.DUMMYFUNCTION("""COMPUTED_VALUE"""),"DARCO")</f>
        <v>DARCO</v>
      </c>
      <c r="B365" s="139" t="str">
        <f ca="1">IFERROR(__xludf.DUMMYFUNCTION("""COMPUTED_VALUE"""),"CENTRAL OFFICE")</f>
        <v>CENTRAL OFFICE</v>
      </c>
      <c r="C365" s="139" t="str">
        <f ca="1">IFERROR(__xludf.DUMMYFUNCTION("""COMPUTED_VALUE"""),"ACER TRAVELMATE")</f>
        <v>ACER TRAVELMATE</v>
      </c>
      <c r="D365" s="142" t="str">
        <f ca="1">IFERROR(__xludf.DUMMYFUNCTION("""COMPUTED_VALUE"""),"₱ 46,580.00")</f>
        <v>₱ 46,580.00</v>
      </c>
      <c r="E365" s="139"/>
      <c r="F365" s="139" t="str">
        <f ca="1">IFERROR(__xludf.DUMMYFUNCTION("""COMPUTED_VALUE"""),"2024-05-03-10202SP-215")</f>
        <v>2024-05-03-10202SP-215</v>
      </c>
      <c r="G365" s="139"/>
      <c r="H365" s="139" t="str">
        <f ca="1">IFERROR(__xludf.DUMMYFUNCTION("""COMPUTED_VALUE"""),"DENNIS G RAMOS")</f>
        <v>DENNIS G RAMOS</v>
      </c>
      <c r="I365" s="139" t="str">
        <f ca="1">IFERROR(__xludf.DUMMYFUNCTION("""COMPUTED_VALUE"""),"DIRECTOR IV")</f>
        <v>DIRECTOR IV</v>
      </c>
      <c r="J365" s="139" t="str">
        <f ca="1">IFERROR(__xludf.DUMMYFUNCTION("""COMPUTED_VALUE"""),"SP018-2024")</f>
        <v>SP018-2024</v>
      </c>
      <c r="K365" s="139"/>
      <c r="L365" s="139" t="str">
        <f ca="1">IFERROR(__xludf.DUMMYFUNCTION("""COMPUTED_VALUE"""),"FMS / BUDGET")</f>
        <v>FMS / BUDGET</v>
      </c>
      <c r="M365" s="139" t="str">
        <f ca="1">IFERROR(__xludf.DUMMYFUNCTION("""COMPUTED_VALUE"""),"SERVICEABLE")</f>
        <v>SERVICEABLE</v>
      </c>
      <c r="N365" s="146"/>
    </row>
    <row r="366" spans="1:14" ht="14.4">
      <c r="A366" s="139" t="str">
        <f ca="1">IFERROR(__xludf.DUMMYFUNCTION("""COMPUTED_VALUE"""),"DARCO")</f>
        <v>DARCO</v>
      </c>
      <c r="B366" s="139" t="str">
        <f ca="1">IFERROR(__xludf.DUMMYFUNCTION("""COMPUTED_VALUE"""),"CENTRAL OFFICE")</f>
        <v>CENTRAL OFFICE</v>
      </c>
      <c r="C366" s="139" t="str">
        <f ca="1">IFERROR(__xludf.DUMMYFUNCTION("""COMPUTED_VALUE"""),"ACER TRAVELMATE")</f>
        <v>ACER TRAVELMATE</v>
      </c>
      <c r="D366" s="142" t="str">
        <f ca="1">IFERROR(__xludf.DUMMYFUNCTION("""COMPUTED_VALUE"""),"₱ 46,580.00")</f>
        <v>₱ 46,580.00</v>
      </c>
      <c r="E366" s="139"/>
      <c r="F366" s="139" t="str">
        <f ca="1">IFERROR(__xludf.DUMMYFUNCTION("""COMPUTED_VALUE"""),"2024-05-03-10202SP-216")</f>
        <v>2024-05-03-10202SP-216</v>
      </c>
      <c r="G366" s="139"/>
      <c r="H366" s="139" t="str">
        <f ca="1">IFERROR(__xludf.DUMMYFUNCTION("""COMPUTED_VALUE"""),"DENNIS G RAMOS")</f>
        <v>DENNIS G RAMOS</v>
      </c>
      <c r="I366" s="139" t="str">
        <f ca="1">IFERROR(__xludf.DUMMYFUNCTION("""COMPUTED_VALUE"""),"DIRECTOR IV")</f>
        <v>DIRECTOR IV</v>
      </c>
      <c r="J366" s="139" t="str">
        <f ca="1">IFERROR(__xludf.DUMMYFUNCTION("""COMPUTED_VALUE"""),"SP018-2024")</f>
        <v>SP018-2024</v>
      </c>
      <c r="K366" s="139"/>
      <c r="L366" s="139" t="str">
        <f ca="1">IFERROR(__xludf.DUMMYFUNCTION("""COMPUTED_VALUE"""),"FMS")</f>
        <v>FMS</v>
      </c>
      <c r="M366" s="139" t="str">
        <f ca="1">IFERROR(__xludf.DUMMYFUNCTION("""COMPUTED_VALUE"""),"SERVICEABLE")</f>
        <v>SERVICEABLE</v>
      </c>
      <c r="N366" s="146"/>
    </row>
    <row r="367" spans="1:14" ht="14.4">
      <c r="A367" s="139" t="str">
        <f ca="1">IFERROR(__xludf.DUMMYFUNCTION("""COMPUTED_VALUE"""),"DARCO")</f>
        <v>DARCO</v>
      </c>
      <c r="B367" s="139" t="str">
        <f ca="1">IFERROR(__xludf.DUMMYFUNCTION("""COMPUTED_VALUE"""),"CENTRAL OFFICE")</f>
        <v>CENTRAL OFFICE</v>
      </c>
      <c r="C367" s="139" t="str">
        <f ca="1">IFERROR(__xludf.DUMMYFUNCTION("""COMPUTED_VALUE"""),"ACER TRAVELMATE")</f>
        <v>ACER TRAVELMATE</v>
      </c>
      <c r="D367" s="142" t="str">
        <f ca="1">IFERROR(__xludf.DUMMYFUNCTION("""COMPUTED_VALUE"""),"₱ 46,580.00")</f>
        <v>₱ 46,580.00</v>
      </c>
      <c r="E367" s="139"/>
      <c r="F367" s="139" t="str">
        <f ca="1">IFERROR(__xludf.DUMMYFUNCTION("""COMPUTED_VALUE"""),"2024-05-03-10202SP-217")</f>
        <v>2024-05-03-10202SP-217</v>
      </c>
      <c r="G367" s="139"/>
      <c r="H367" s="139" t="str">
        <f ca="1">IFERROR(__xludf.DUMMYFUNCTION("""COMPUTED_VALUE"""),"DENNIS G RAMOS")</f>
        <v>DENNIS G RAMOS</v>
      </c>
      <c r="I367" s="139" t="str">
        <f ca="1">IFERROR(__xludf.DUMMYFUNCTION("""COMPUTED_VALUE"""),"DIRECTOR IV")</f>
        <v>DIRECTOR IV</v>
      </c>
      <c r="J367" s="139" t="str">
        <f ca="1">IFERROR(__xludf.DUMMYFUNCTION("""COMPUTED_VALUE"""),"SP018-2024")</f>
        <v>SP018-2024</v>
      </c>
      <c r="K367" s="139"/>
      <c r="L367" s="139" t="str">
        <f ca="1">IFERROR(__xludf.DUMMYFUNCTION("""COMPUTED_VALUE"""),"FMS")</f>
        <v>FMS</v>
      </c>
      <c r="M367" s="139" t="str">
        <f ca="1">IFERROR(__xludf.DUMMYFUNCTION("""COMPUTED_VALUE"""),"SERVICEABLE")</f>
        <v>SERVICEABLE</v>
      </c>
      <c r="N367" s="146"/>
    </row>
    <row r="368" spans="1:14" ht="14.4">
      <c r="A368" s="139" t="str">
        <f ca="1">IFERROR(__xludf.DUMMYFUNCTION("""COMPUTED_VALUE"""),"DARCO")</f>
        <v>DARCO</v>
      </c>
      <c r="B368" s="139" t="str">
        <f ca="1">IFERROR(__xludf.DUMMYFUNCTION("""COMPUTED_VALUE"""),"CENTRAL OFFICE")</f>
        <v>CENTRAL OFFICE</v>
      </c>
      <c r="C368" s="139" t="str">
        <f ca="1">IFERROR(__xludf.DUMMYFUNCTION("""COMPUTED_VALUE"""),"ACER TRAVELMATE")</f>
        <v>ACER TRAVELMATE</v>
      </c>
      <c r="D368" s="142" t="str">
        <f ca="1">IFERROR(__xludf.DUMMYFUNCTION("""COMPUTED_VALUE"""),"₱ 46,580.00")</f>
        <v>₱ 46,580.00</v>
      </c>
      <c r="E368" s="139"/>
      <c r="F368" s="139" t="str">
        <f ca="1">IFERROR(__xludf.DUMMYFUNCTION("""COMPUTED_VALUE"""),"2024-05-03-10202SP-218")</f>
        <v>2024-05-03-10202SP-218</v>
      </c>
      <c r="G368" s="139"/>
      <c r="H368" s="139" t="str">
        <f ca="1">IFERROR(__xludf.DUMMYFUNCTION("""COMPUTED_VALUE"""),"DENNIS G RAMOS")</f>
        <v>DENNIS G RAMOS</v>
      </c>
      <c r="I368" s="139" t="str">
        <f ca="1">IFERROR(__xludf.DUMMYFUNCTION("""COMPUTED_VALUE"""),"DIRECTOR IV")</f>
        <v>DIRECTOR IV</v>
      </c>
      <c r="J368" s="139" t="str">
        <f ca="1">IFERROR(__xludf.DUMMYFUNCTION("""COMPUTED_VALUE"""),"SP018-2024")</f>
        <v>SP018-2024</v>
      </c>
      <c r="K368" s="139"/>
      <c r="L368" s="139" t="str">
        <f ca="1">IFERROR(__xludf.DUMMYFUNCTION("""COMPUTED_VALUE"""),"FMS")</f>
        <v>FMS</v>
      </c>
      <c r="M368" s="139" t="str">
        <f ca="1">IFERROR(__xludf.DUMMYFUNCTION("""COMPUTED_VALUE"""),"SERVICEABLE")</f>
        <v>SERVICEABLE</v>
      </c>
      <c r="N368" s="146"/>
    </row>
    <row r="369" spans="1:14" ht="14.4">
      <c r="A369" s="139" t="str">
        <f ca="1">IFERROR(__xludf.DUMMYFUNCTION("""COMPUTED_VALUE"""),"DARCO")</f>
        <v>DARCO</v>
      </c>
      <c r="B369" s="139" t="str">
        <f ca="1">IFERROR(__xludf.DUMMYFUNCTION("""COMPUTED_VALUE"""),"CENTRAL OFFICE")</f>
        <v>CENTRAL OFFICE</v>
      </c>
      <c r="C369" s="139" t="str">
        <f ca="1">IFERROR(__xludf.DUMMYFUNCTION("""COMPUTED_VALUE"""),"ACER TRAVELMATE")</f>
        <v>ACER TRAVELMATE</v>
      </c>
      <c r="D369" s="142" t="str">
        <f ca="1">IFERROR(__xludf.DUMMYFUNCTION("""COMPUTED_VALUE"""),"₱ 46,580.00")</f>
        <v>₱ 46,580.00</v>
      </c>
      <c r="E369" s="139"/>
      <c r="F369" s="139" t="str">
        <f ca="1">IFERROR(__xludf.DUMMYFUNCTION("""COMPUTED_VALUE"""),"2024-05-03-10202SP-219")</f>
        <v>2024-05-03-10202SP-219</v>
      </c>
      <c r="G369" s="139"/>
      <c r="H369" s="139" t="str">
        <f ca="1">IFERROR(__xludf.DUMMYFUNCTION("""COMPUTED_VALUE"""),"DENNIS G RAMOS")</f>
        <v>DENNIS G RAMOS</v>
      </c>
      <c r="I369" s="139" t="str">
        <f ca="1">IFERROR(__xludf.DUMMYFUNCTION("""COMPUTED_VALUE"""),"DIRECTOR IV")</f>
        <v>DIRECTOR IV</v>
      </c>
      <c r="J369" s="139" t="str">
        <f ca="1">IFERROR(__xludf.DUMMYFUNCTION("""COMPUTED_VALUE"""),"SP018-2024")</f>
        <v>SP018-2024</v>
      </c>
      <c r="K369" s="139"/>
      <c r="L369" s="139" t="str">
        <f ca="1">IFERROR(__xludf.DUMMYFUNCTION("""COMPUTED_VALUE"""),"FMS / BUDGET")</f>
        <v>FMS / BUDGET</v>
      </c>
      <c r="M369" s="139" t="str">
        <f ca="1">IFERROR(__xludf.DUMMYFUNCTION("""COMPUTED_VALUE"""),"SERVICEABLE")</f>
        <v>SERVICEABLE</v>
      </c>
      <c r="N369" s="146"/>
    </row>
    <row r="370" spans="1:14" ht="14.4">
      <c r="A370" s="139" t="str">
        <f ca="1">IFERROR(__xludf.DUMMYFUNCTION("""COMPUTED_VALUE"""),"DARCO")</f>
        <v>DARCO</v>
      </c>
      <c r="B370" s="139" t="str">
        <f ca="1">IFERROR(__xludf.DUMMYFUNCTION("""COMPUTED_VALUE"""),"CENTRAL OFFICE")</f>
        <v>CENTRAL OFFICE</v>
      </c>
      <c r="C370" s="139" t="str">
        <f ca="1">IFERROR(__xludf.DUMMYFUNCTION("""COMPUTED_VALUE"""),"ACER TRAVELMATE")</f>
        <v>ACER TRAVELMATE</v>
      </c>
      <c r="D370" s="142" t="str">
        <f ca="1">IFERROR(__xludf.DUMMYFUNCTION("""COMPUTED_VALUE"""),"₱ 46,580.00")</f>
        <v>₱ 46,580.00</v>
      </c>
      <c r="E370" s="139"/>
      <c r="F370" s="139" t="str">
        <f ca="1">IFERROR(__xludf.DUMMYFUNCTION("""COMPUTED_VALUE"""),"2024-05-03-10202SP-220")</f>
        <v>2024-05-03-10202SP-220</v>
      </c>
      <c r="G370" s="139"/>
      <c r="H370" s="139" t="str">
        <f ca="1">IFERROR(__xludf.DUMMYFUNCTION("""COMPUTED_VALUE"""),"DENNIS G RAMOS")</f>
        <v>DENNIS G RAMOS</v>
      </c>
      <c r="I370" s="139" t="str">
        <f ca="1">IFERROR(__xludf.DUMMYFUNCTION("""COMPUTED_VALUE"""),"DIRECTOR IV")</f>
        <v>DIRECTOR IV</v>
      </c>
      <c r="J370" s="139" t="str">
        <f ca="1">IFERROR(__xludf.DUMMYFUNCTION("""COMPUTED_VALUE"""),"SP018-2024")</f>
        <v>SP018-2024</v>
      </c>
      <c r="K370" s="139"/>
      <c r="L370" s="139" t="str">
        <f ca="1">IFERROR(__xludf.DUMMYFUNCTION("""COMPUTED_VALUE"""),"FMS")</f>
        <v>FMS</v>
      </c>
      <c r="M370" s="139" t="str">
        <f ca="1">IFERROR(__xludf.DUMMYFUNCTION("""COMPUTED_VALUE"""),"SERVICEABLE")</f>
        <v>SERVICEABLE</v>
      </c>
      <c r="N370" s="146"/>
    </row>
    <row r="371" spans="1:14" ht="14.4">
      <c r="A371" s="139" t="str">
        <f ca="1">IFERROR(__xludf.DUMMYFUNCTION("""COMPUTED_VALUE"""),"DARCO")</f>
        <v>DARCO</v>
      </c>
      <c r="B371" s="139" t="str">
        <f ca="1">IFERROR(__xludf.DUMMYFUNCTION("""COMPUTED_VALUE"""),"CENTRAL OFFICE")</f>
        <v>CENTRAL OFFICE</v>
      </c>
      <c r="C371" s="139" t="str">
        <f ca="1">IFERROR(__xludf.DUMMYFUNCTION("""COMPUTED_VALUE"""),"ACER TRAVELMATE")</f>
        <v>ACER TRAVELMATE</v>
      </c>
      <c r="D371" s="142" t="str">
        <f ca="1">IFERROR(__xludf.DUMMYFUNCTION("""COMPUTED_VALUE"""),"₱ 46,580.00")</f>
        <v>₱ 46,580.00</v>
      </c>
      <c r="E371" s="139"/>
      <c r="F371" s="139" t="str">
        <f ca="1">IFERROR(__xludf.DUMMYFUNCTION("""COMPUTED_VALUE"""),"2024-05-03-10202SP-221")</f>
        <v>2024-05-03-10202SP-221</v>
      </c>
      <c r="G371" s="139"/>
      <c r="H371" s="139" t="str">
        <f ca="1">IFERROR(__xludf.DUMMYFUNCTION("""COMPUTED_VALUE"""),"DENNIS G RAMOS")</f>
        <v>DENNIS G RAMOS</v>
      </c>
      <c r="I371" s="139" t="str">
        <f ca="1">IFERROR(__xludf.DUMMYFUNCTION("""COMPUTED_VALUE"""),"DIRECTOR IV")</f>
        <v>DIRECTOR IV</v>
      </c>
      <c r="J371" s="139" t="str">
        <f ca="1">IFERROR(__xludf.DUMMYFUNCTION("""COMPUTED_VALUE"""),"SP018-2024")</f>
        <v>SP018-2024</v>
      </c>
      <c r="K371" s="139"/>
      <c r="L371" s="139" t="str">
        <f ca="1">IFERROR(__xludf.DUMMYFUNCTION("""COMPUTED_VALUE"""),"FMS")</f>
        <v>FMS</v>
      </c>
      <c r="M371" s="139" t="str">
        <f ca="1">IFERROR(__xludf.DUMMYFUNCTION("""COMPUTED_VALUE"""),"SERVICEABLE")</f>
        <v>SERVICEABLE</v>
      </c>
      <c r="N371" s="146"/>
    </row>
    <row r="372" spans="1:14" ht="14.4">
      <c r="A372" s="139" t="str">
        <f ca="1">IFERROR(__xludf.DUMMYFUNCTION("""COMPUTED_VALUE"""),"DARCO")</f>
        <v>DARCO</v>
      </c>
      <c r="B372" s="139" t="str">
        <f ca="1">IFERROR(__xludf.DUMMYFUNCTION("""COMPUTED_VALUE"""),"CENTRAL OFFICE")</f>
        <v>CENTRAL OFFICE</v>
      </c>
      <c r="C372" s="139" t="str">
        <f ca="1">IFERROR(__xludf.DUMMYFUNCTION("""COMPUTED_VALUE"""),"ACER TRAVELMATE")</f>
        <v>ACER TRAVELMATE</v>
      </c>
      <c r="D372" s="142" t="str">
        <f ca="1">IFERROR(__xludf.DUMMYFUNCTION("""COMPUTED_VALUE"""),"₱ 46,580.00")</f>
        <v>₱ 46,580.00</v>
      </c>
      <c r="E372" s="139"/>
      <c r="F372" s="139" t="str">
        <f ca="1">IFERROR(__xludf.DUMMYFUNCTION("""COMPUTED_VALUE"""),"2024-05-03-10202SP-222")</f>
        <v>2024-05-03-10202SP-222</v>
      </c>
      <c r="G372" s="139"/>
      <c r="H372" s="139" t="str">
        <f ca="1">IFERROR(__xludf.DUMMYFUNCTION("""COMPUTED_VALUE"""),"DENNIS G RAMOS")</f>
        <v>DENNIS G RAMOS</v>
      </c>
      <c r="I372" s="139" t="str">
        <f ca="1">IFERROR(__xludf.DUMMYFUNCTION("""COMPUTED_VALUE"""),"DIRECTOR IV")</f>
        <v>DIRECTOR IV</v>
      </c>
      <c r="J372" s="139" t="str">
        <f ca="1">IFERROR(__xludf.DUMMYFUNCTION("""COMPUTED_VALUE"""),"SP018-2024")</f>
        <v>SP018-2024</v>
      </c>
      <c r="K372" s="139"/>
      <c r="L372" s="139" t="str">
        <f ca="1">IFERROR(__xludf.DUMMYFUNCTION("""COMPUTED_VALUE"""),"FMS / BUDGET")</f>
        <v>FMS / BUDGET</v>
      </c>
      <c r="M372" s="139" t="str">
        <f ca="1">IFERROR(__xludf.DUMMYFUNCTION("""COMPUTED_VALUE"""),"SERVICEABLE")</f>
        <v>SERVICEABLE</v>
      </c>
      <c r="N372" s="146"/>
    </row>
    <row r="373" spans="1:14" ht="14.4">
      <c r="A373" s="139" t="str">
        <f ca="1">IFERROR(__xludf.DUMMYFUNCTION("""COMPUTED_VALUE"""),"DARCO")</f>
        <v>DARCO</v>
      </c>
      <c r="B373" s="139" t="str">
        <f ca="1">IFERROR(__xludf.DUMMYFUNCTION("""COMPUTED_VALUE"""),"CENTRAL OFFICE")</f>
        <v>CENTRAL OFFICE</v>
      </c>
      <c r="C373" s="139" t="str">
        <f ca="1">IFERROR(__xludf.DUMMYFUNCTION("""COMPUTED_VALUE"""),"ACER TRAVELMATE")</f>
        <v>ACER TRAVELMATE</v>
      </c>
      <c r="D373" s="142" t="str">
        <f ca="1">IFERROR(__xludf.DUMMYFUNCTION("""COMPUTED_VALUE"""),"₱ 46,580.00")</f>
        <v>₱ 46,580.00</v>
      </c>
      <c r="E373" s="139"/>
      <c r="F373" s="139" t="str">
        <f ca="1">IFERROR(__xludf.DUMMYFUNCTION("""COMPUTED_VALUE"""),"2024-05-03-10202SP-223")</f>
        <v>2024-05-03-10202SP-223</v>
      </c>
      <c r="G373" s="139"/>
      <c r="H373" s="139" t="str">
        <f ca="1">IFERROR(__xludf.DUMMYFUNCTION("""COMPUTED_VALUE"""),"DENNIS G RAMOS")</f>
        <v>DENNIS G RAMOS</v>
      </c>
      <c r="I373" s="139" t="str">
        <f ca="1">IFERROR(__xludf.DUMMYFUNCTION("""COMPUTED_VALUE"""),"DIRECTOR IV")</f>
        <v>DIRECTOR IV</v>
      </c>
      <c r="J373" s="139" t="str">
        <f ca="1">IFERROR(__xludf.DUMMYFUNCTION("""COMPUTED_VALUE"""),"SP018-2024")</f>
        <v>SP018-2024</v>
      </c>
      <c r="K373" s="139"/>
      <c r="L373" s="139" t="str">
        <f ca="1">IFERROR(__xludf.DUMMYFUNCTION("""COMPUTED_VALUE"""),"FMS / BUDGET")</f>
        <v>FMS / BUDGET</v>
      </c>
      <c r="M373" s="139" t="str">
        <f ca="1">IFERROR(__xludf.DUMMYFUNCTION("""COMPUTED_VALUE"""),"SERVICEABLE")</f>
        <v>SERVICEABLE</v>
      </c>
      <c r="N373" s="146"/>
    </row>
    <row r="374" spans="1:14" ht="14.4">
      <c r="A374" s="139" t="str">
        <f ca="1">IFERROR(__xludf.DUMMYFUNCTION("""COMPUTED_VALUE"""),"DARCO")</f>
        <v>DARCO</v>
      </c>
      <c r="B374" s="139" t="str">
        <f ca="1">IFERROR(__xludf.DUMMYFUNCTION("""COMPUTED_VALUE"""),"CENTRAL OFFICE")</f>
        <v>CENTRAL OFFICE</v>
      </c>
      <c r="C374" s="139" t="str">
        <f ca="1">IFERROR(__xludf.DUMMYFUNCTION("""COMPUTED_VALUE"""),"ACER TRAVELMATE")</f>
        <v>ACER TRAVELMATE</v>
      </c>
      <c r="D374" s="142" t="str">
        <f ca="1">IFERROR(__xludf.DUMMYFUNCTION("""COMPUTED_VALUE"""),"₱ 46,580.00")</f>
        <v>₱ 46,580.00</v>
      </c>
      <c r="E374" s="139"/>
      <c r="F374" s="139" t="str">
        <f ca="1">IFERROR(__xludf.DUMMYFUNCTION("""COMPUTED_VALUE"""),"2024-05-03-10202SP-224")</f>
        <v>2024-05-03-10202SP-224</v>
      </c>
      <c r="G374" s="139"/>
      <c r="H374" s="139" t="str">
        <f ca="1">IFERROR(__xludf.DUMMYFUNCTION("""COMPUTED_VALUE"""),"DENNIS G RAMOS")</f>
        <v>DENNIS G RAMOS</v>
      </c>
      <c r="I374" s="139" t="str">
        <f ca="1">IFERROR(__xludf.DUMMYFUNCTION("""COMPUTED_VALUE"""),"DIRECTOR IV")</f>
        <v>DIRECTOR IV</v>
      </c>
      <c r="J374" s="139" t="str">
        <f ca="1">IFERROR(__xludf.DUMMYFUNCTION("""COMPUTED_VALUE"""),"SP018-2024")</f>
        <v>SP018-2024</v>
      </c>
      <c r="K374" s="139"/>
      <c r="L374" s="139" t="str">
        <f ca="1">IFERROR(__xludf.DUMMYFUNCTION("""COMPUTED_VALUE"""),"FMS")</f>
        <v>FMS</v>
      </c>
      <c r="M374" s="139" t="str">
        <f ca="1">IFERROR(__xludf.DUMMYFUNCTION("""COMPUTED_VALUE"""),"SERVICEABLE")</f>
        <v>SERVICEABLE</v>
      </c>
      <c r="N374" s="146"/>
    </row>
    <row r="375" spans="1:14" ht="14.4">
      <c r="A375" s="139" t="str">
        <f ca="1">IFERROR(__xludf.DUMMYFUNCTION("""COMPUTED_VALUE"""),"DARCO")</f>
        <v>DARCO</v>
      </c>
      <c r="B375" s="139" t="str">
        <f ca="1">IFERROR(__xludf.DUMMYFUNCTION("""COMPUTED_VALUE"""),"CENTRAL OFFICE")</f>
        <v>CENTRAL OFFICE</v>
      </c>
      <c r="C375" s="139" t="str">
        <f ca="1">IFERROR(__xludf.DUMMYFUNCTION("""COMPUTED_VALUE"""),"ACER TRAVELMATE")</f>
        <v>ACER TRAVELMATE</v>
      </c>
      <c r="D375" s="142" t="str">
        <f ca="1">IFERROR(__xludf.DUMMYFUNCTION("""COMPUTED_VALUE"""),"₱ 46,580.00")</f>
        <v>₱ 46,580.00</v>
      </c>
      <c r="E375" s="139"/>
      <c r="F375" s="139" t="str">
        <f ca="1">IFERROR(__xludf.DUMMYFUNCTION("""COMPUTED_VALUE"""),"2024-05-03-10202SP-225")</f>
        <v>2024-05-03-10202SP-225</v>
      </c>
      <c r="G375" s="139"/>
      <c r="H375" s="139" t="str">
        <f ca="1">IFERROR(__xludf.DUMMYFUNCTION("""COMPUTED_VALUE"""),"DENNIS G RAMOS")</f>
        <v>DENNIS G RAMOS</v>
      </c>
      <c r="I375" s="139" t="str">
        <f ca="1">IFERROR(__xludf.DUMMYFUNCTION("""COMPUTED_VALUE"""),"DIRECTOR IV")</f>
        <v>DIRECTOR IV</v>
      </c>
      <c r="J375" s="139" t="str">
        <f ca="1">IFERROR(__xludf.DUMMYFUNCTION("""COMPUTED_VALUE"""),"SP018-2024")</f>
        <v>SP018-2024</v>
      </c>
      <c r="K375" s="139"/>
      <c r="L375" s="139" t="str">
        <f ca="1">IFERROR(__xludf.DUMMYFUNCTION("""COMPUTED_VALUE"""),"FMS / BUDGET")</f>
        <v>FMS / BUDGET</v>
      </c>
      <c r="M375" s="139" t="str">
        <f ca="1">IFERROR(__xludf.DUMMYFUNCTION("""COMPUTED_VALUE"""),"SERVICEABLE")</f>
        <v>SERVICEABLE</v>
      </c>
      <c r="N375" s="146"/>
    </row>
    <row r="376" spans="1:14" ht="14.4">
      <c r="A376" s="139" t="str">
        <f ca="1">IFERROR(__xludf.DUMMYFUNCTION("""COMPUTED_VALUE"""),"DARCO")</f>
        <v>DARCO</v>
      </c>
      <c r="B376" s="139" t="str">
        <f ca="1">IFERROR(__xludf.DUMMYFUNCTION("""COMPUTED_VALUE"""),"CENTRAL OFFICE")</f>
        <v>CENTRAL OFFICE</v>
      </c>
      <c r="C376" s="139" t="str">
        <f ca="1">IFERROR(__xludf.DUMMYFUNCTION("""COMPUTED_VALUE"""),"ACER TRAVELMATE")</f>
        <v>ACER TRAVELMATE</v>
      </c>
      <c r="D376" s="142" t="str">
        <f ca="1">IFERROR(__xludf.DUMMYFUNCTION("""COMPUTED_VALUE"""),"₱ 46,580.00")</f>
        <v>₱ 46,580.00</v>
      </c>
      <c r="E376" s="139"/>
      <c r="F376" s="139" t="str">
        <f ca="1">IFERROR(__xludf.DUMMYFUNCTION("""COMPUTED_VALUE"""),"2024-05-03-10202SP-226")</f>
        <v>2024-05-03-10202SP-226</v>
      </c>
      <c r="G376" s="139"/>
      <c r="H376" s="139" t="str">
        <f ca="1">IFERROR(__xludf.DUMMYFUNCTION("""COMPUTED_VALUE"""),"DENNIS G RAMOS")</f>
        <v>DENNIS G RAMOS</v>
      </c>
      <c r="I376" s="139" t="str">
        <f ca="1">IFERROR(__xludf.DUMMYFUNCTION("""COMPUTED_VALUE"""),"DIRECTOR IV")</f>
        <v>DIRECTOR IV</v>
      </c>
      <c r="J376" s="139" t="str">
        <f ca="1">IFERROR(__xludf.DUMMYFUNCTION("""COMPUTED_VALUE"""),"SP018-2024")</f>
        <v>SP018-2024</v>
      </c>
      <c r="K376" s="139"/>
      <c r="L376" s="139" t="str">
        <f ca="1">IFERROR(__xludf.DUMMYFUNCTION("""COMPUTED_VALUE"""),"FMS")</f>
        <v>FMS</v>
      </c>
      <c r="M376" s="139" t="str">
        <f ca="1">IFERROR(__xludf.DUMMYFUNCTION("""COMPUTED_VALUE"""),"SERVICEABLE")</f>
        <v>SERVICEABLE</v>
      </c>
      <c r="N376" s="146"/>
    </row>
    <row r="377" spans="1:14" ht="14.4">
      <c r="A377" s="139" t="str">
        <f ca="1">IFERROR(__xludf.DUMMYFUNCTION("""COMPUTED_VALUE"""),"DARCO")</f>
        <v>DARCO</v>
      </c>
      <c r="B377" s="139" t="str">
        <f ca="1">IFERROR(__xludf.DUMMYFUNCTION("""COMPUTED_VALUE"""),"CENTRAL OFFICE")</f>
        <v>CENTRAL OFFICE</v>
      </c>
      <c r="C377" s="139" t="str">
        <f ca="1">IFERROR(__xludf.DUMMYFUNCTION("""COMPUTED_VALUE"""),"ACER TRAVELMATE")</f>
        <v>ACER TRAVELMATE</v>
      </c>
      <c r="D377" s="142" t="str">
        <f ca="1">IFERROR(__xludf.DUMMYFUNCTION("""COMPUTED_VALUE"""),"₱ 46,580.00")</f>
        <v>₱ 46,580.00</v>
      </c>
      <c r="E377" s="139"/>
      <c r="F377" s="139" t="str">
        <f ca="1">IFERROR(__xludf.DUMMYFUNCTION("""COMPUTED_VALUE"""),"2024-05-03-10202SP-227")</f>
        <v>2024-05-03-10202SP-227</v>
      </c>
      <c r="G377" s="139"/>
      <c r="H377" s="139" t="str">
        <f ca="1">IFERROR(__xludf.DUMMYFUNCTION("""COMPUTED_VALUE"""),"DENNIS G RAMOS")</f>
        <v>DENNIS G RAMOS</v>
      </c>
      <c r="I377" s="139" t="str">
        <f ca="1">IFERROR(__xludf.DUMMYFUNCTION("""COMPUTED_VALUE"""),"DIRECTOR IV")</f>
        <v>DIRECTOR IV</v>
      </c>
      <c r="J377" s="139" t="str">
        <f ca="1">IFERROR(__xludf.DUMMYFUNCTION("""COMPUTED_VALUE"""),"SP018-2024")</f>
        <v>SP018-2024</v>
      </c>
      <c r="K377" s="139"/>
      <c r="L377" s="139" t="str">
        <f ca="1">IFERROR(__xludf.DUMMYFUNCTION("""COMPUTED_VALUE"""),"FMS")</f>
        <v>FMS</v>
      </c>
      <c r="M377" s="139" t="str">
        <f ca="1">IFERROR(__xludf.DUMMYFUNCTION("""COMPUTED_VALUE"""),"SERVICEABLE")</f>
        <v>SERVICEABLE</v>
      </c>
      <c r="N377" s="146"/>
    </row>
    <row r="378" spans="1:14" ht="14.4">
      <c r="A378" s="139" t="str">
        <f ca="1">IFERROR(__xludf.DUMMYFUNCTION("""COMPUTED_VALUE"""),"DARCO")</f>
        <v>DARCO</v>
      </c>
      <c r="B378" s="139" t="str">
        <f ca="1">IFERROR(__xludf.DUMMYFUNCTION("""COMPUTED_VALUE"""),"CENTRAL OFFICE")</f>
        <v>CENTRAL OFFICE</v>
      </c>
      <c r="C378" s="139" t="str">
        <f ca="1">IFERROR(__xludf.DUMMYFUNCTION("""COMPUTED_VALUE"""),"ACER TRAVELMATE")</f>
        <v>ACER TRAVELMATE</v>
      </c>
      <c r="D378" s="142" t="str">
        <f ca="1">IFERROR(__xludf.DUMMYFUNCTION("""COMPUTED_VALUE"""),"₱ 46,580.00")</f>
        <v>₱ 46,580.00</v>
      </c>
      <c r="E378" s="139"/>
      <c r="F378" s="139" t="str">
        <f ca="1">IFERROR(__xludf.DUMMYFUNCTION("""COMPUTED_VALUE"""),"2024-05-03-10202SP-228")</f>
        <v>2024-05-03-10202SP-228</v>
      </c>
      <c r="G378" s="139"/>
      <c r="H378" s="139" t="str">
        <f ca="1">IFERROR(__xludf.DUMMYFUNCTION("""COMPUTED_VALUE"""),"DENNIS G RAMOS")</f>
        <v>DENNIS G RAMOS</v>
      </c>
      <c r="I378" s="139" t="str">
        <f ca="1">IFERROR(__xludf.DUMMYFUNCTION("""COMPUTED_VALUE"""),"DIRECTOR IV")</f>
        <v>DIRECTOR IV</v>
      </c>
      <c r="J378" s="139" t="str">
        <f ca="1">IFERROR(__xludf.DUMMYFUNCTION("""COMPUTED_VALUE"""),"SP018-2024")</f>
        <v>SP018-2024</v>
      </c>
      <c r="K378" s="139"/>
      <c r="L378" s="139" t="str">
        <f ca="1">IFERROR(__xludf.DUMMYFUNCTION("""COMPUTED_VALUE"""),"FMS / BUDGET")</f>
        <v>FMS / BUDGET</v>
      </c>
      <c r="M378" s="139" t="str">
        <f ca="1">IFERROR(__xludf.DUMMYFUNCTION("""COMPUTED_VALUE"""),"SERVICEABLE")</f>
        <v>SERVICEABLE</v>
      </c>
      <c r="N378" s="146"/>
    </row>
    <row r="379" spans="1:14" ht="14.4">
      <c r="A379" s="139" t="str">
        <f ca="1">IFERROR(__xludf.DUMMYFUNCTION("""COMPUTED_VALUE"""),"DARCO")</f>
        <v>DARCO</v>
      </c>
      <c r="B379" s="139" t="str">
        <f ca="1">IFERROR(__xludf.DUMMYFUNCTION("""COMPUTED_VALUE"""),"CENTRAL OFFICE")</f>
        <v>CENTRAL OFFICE</v>
      </c>
      <c r="C379" s="139" t="str">
        <f ca="1">IFERROR(__xludf.DUMMYFUNCTION("""COMPUTED_VALUE"""),"ACER TRAVELMATE")</f>
        <v>ACER TRAVELMATE</v>
      </c>
      <c r="D379" s="142" t="str">
        <f ca="1">IFERROR(__xludf.DUMMYFUNCTION("""COMPUTED_VALUE"""),"₱ 46,580.00")</f>
        <v>₱ 46,580.00</v>
      </c>
      <c r="E379" s="139"/>
      <c r="F379" s="139" t="str">
        <f ca="1">IFERROR(__xludf.DUMMYFUNCTION("""COMPUTED_VALUE"""),"2024-05-03-10202SP-229")</f>
        <v>2024-05-03-10202SP-229</v>
      </c>
      <c r="G379" s="139"/>
      <c r="H379" s="139" t="str">
        <f ca="1">IFERROR(__xludf.DUMMYFUNCTION("""COMPUTED_VALUE"""),"DENNIS G RAMOS")</f>
        <v>DENNIS G RAMOS</v>
      </c>
      <c r="I379" s="139" t="str">
        <f ca="1">IFERROR(__xludf.DUMMYFUNCTION("""COMPUTED_VALUE"""),"DIRECTOR IV")</f>
        <v>DIRECTOR IV</v>
      </c>
      <c r="J379" s="139" t="str">
        <f ca="1">IFERROR(__xludf.DUMMYFUNCTION("""COMPUTED_VALUE"""),"SP018-2024")</f>
        <v>SP018-2024</v>
      </c>
      <c r="K379" s="139"/>
      <c r="L379" s="139" t="str">
        <f ca="1">IFERROR(__xludf.DUMMYFUNCTION("""COMPUTED_VALUE"""),"FMS / BUDGET")</f>
        <v>FMS / BUDGET</v>
      </c>
      <c r="M379" s="139" t="str">
        <f ca="1">IFERROR(__xludf.DUMMYFUNCTION("""COMPUTED_VALUE"""),"SERVICEABLE")</f>
        <v>SERVICEABLE</v>
      </c>
      <c r="N379" s="146"/>
    </row>
    <row r="380" spans="1:14" ht="14.4">
      <c r="A380" s="139" t="str">
        <f ca="1">IFERROR(__xludf.DUMMYFUNCTION("""COMPUTED_VALUE"""),"DARCO")</f>
        <v>DARCO</v>
      </c>
      <c r="B380" s="139" t="str">
        <f ca="1">IFERROR(__xludf.DUMMYFUNCTION("""COMPUTED_VALUE"""),"CENTRAL OFFICE")</f>
        <v>CENTRAL OFFICE</v>
      </c>
      <c r="C380" s="139" t="str">
        <f ca="1">IFERROR(__xludf.DUMMYFUNCTION("""COMPUTED_VALUE"""),"ACER TRAVELMATE")</f>
        <v>ACER TRAVELMATE</v>
      </c>
      <c r="D380" s="142" t="str">
        <f ca="1">IFERROR(__xludf.DUMMYFUNCTION("""COMPUTED_VALUE"""),"₱ 46,580.00")</f>
        <v>₱ 46,580.00</v>
      </c>
      <c r="E380" s="139"/>
      <c r="F380" s="139" t="str">
        <f ca="1">IFERROR(__xludf.DUMMYFUNCTION("""COMPUTED_VALUE"""),"2024-05-03-10202SP-230")</f>
        <v>2024-05-03-10202SP-230</v>
      </c>
      <c r="G380" s="139"/>
      <c r="H380" s="139" t="str">
        <f ca="1">IFERROR(__xludf.DUMMYFUNCTION("""COMPUTED_VALUE"""),"DENNIS G RAMOS")</f>
        <v>DENNIS G RAMOS</v>
      </c>
      <c r="I380" s="139" t="str">
        <f ca="1">IFERROR(__xludf.DUMMYFUNCTION("""COMPUTED_VALUE"""),"DIRECTOR IV")</f>
        <v>DIRECTOR IV</v>
      </c>
      <c r="J380" s="139" t="str">
        <f ca="1">IFERROR(__xludf.DUMMYFUNCTION("""COMPUTED_VALUE"""),"SP018-2024")</f>
        <v>SP018-2024</v>
      </c>
      <c r="K380" s="139"/>
      <c r="L380" s="139" t="str">
        <f ca="1">IFERROR(__xludf.DUMMYFUNCTION("""COMPUTED_VALUE"""),"FMS / BUDGET")</f>
        <v>FMS / BUDGET</v>
      </c>
      <c r="M380" s="139" t="str">
        <f ca="1">IFERROR(__xludf.DUMMYFUNCTION("""COMPUTED_VALUE"""),"SERVICEABLE")</f>
        <v>SERVICEABLE</v>
      </c>
      <c r="N380" s="146"/>
    </row>
    <row r="381" spans="1:14" ht="14.4">
      <c r="A381" s="139" t="str">
        <f ca="1">IFERROR(__xludf.DUMMYFUNCTION("""COMPUTED_VALUE"""),"DARCO")</f>
        <v>DARCO</v>
      </c>
      <c r="B381" s="139" t="str">
        <f ca="1">IFERROR(__xludf.DUMMYFUNCTION("""COMPUTED_VALUE"""),"CENTRAL OFFICE")</f>
        <v>CENTRAL OFFICE</v>
      </c>
      <c r="C381" s="139" t="str">
        <f ca="1">IFERROR(__xludf.DUMMYFUNCTION("""COMPUTED_VALUE"""),"ACER TRAVELMATE")</f>
        <v>ACER TRAVELMATE</v>
      </c>
      <c r="D381" s="142" t="str">
        <f ca="1">IFERROR(__xludf.DUMMYFUNCTION("""COMPUTED_VALUE"""),"₱ 46,580.00")</f>
        <v>₱ 46,580.00</v>
      </c>
      <c r="E381" s="139"/>
      <c r="F381" s="139" t="str">
        <f ca="1">IFERROR(__xludf.DUMMYFUNCTION("""COMPUTED_VALUE"""),"2024-05-03-10202SP-231")</f>
        <v>2024-05-03-10202SP-231</v>
      </c>
      <c r="G381" s="139"/>
      <c r="H381" s="139" t="str">
        <f ca="1">IFERROR(__xludf.DUMMYFUNCTION("""COMPUTED_VALUE"""),"DENNIS G RAMOS")</f>
        <v>DENNIS G RAMOS</v>
      </c>
      <c r="I381" s="139" t="str">
        <f ca="1">IFERROR(__xludf.DUMMYFUNCTION("""COMPUTED_VALUE"""),"DIRECTOR IV")</f>
        <v>DIRECTOR IV</v>
      </c>
      <c r="J381" s="139" t="str">
        <f ca="1">IFERROR(__xludf.DUMMYFUNCTION("""COMPUTED_VALUE"""),"SP018-2024")</f>
        <v>SP018-2024</v>
      </c>
      <c r="K381" s="139"/>
      <c r="L381" s="139" t="str">
        <f ca="1">IFERROR(__xludf.DUMMYFUNCTION("""COMPUTED_VALUE"""),"FMS / BUDGET")</f>
        <v>FMS / BUDGET</v>
      </c>
      <c r="M381" s="139" t="str">
        <f ca="1">IFERROR(__xludf.DUMMYFUNCTION("""COMPUTED_VALUE"""),"SERVICEABLE")</f>
        <v>SERVICEABLE</v>
      </c>
      <c r="N381" s="146"/>
    </row>
    <row r="382" spans="1:14" ht="14.4">
      <c r="A382" s="139" t="str">
        <f ca="1">IFERROR(__xludf.DUMMYFUNCTION("""COMPUTED_VALUE"""),"DARCO")</f>
        <v>DARCO</v>
      </c>
      <c r="B382" s="139" t="str">
        <f ca="1">IFERROR(__xludf.DUMMYFUNCTION("""COMPUTED_VALUE"""),"CENTRAL OFFICE")</f>
        <v>CENTRAL OFFICE</v>
      </c>
      <c r="C382" s="139" t="str">
        <f ca="1">IFERROR(__xludf.DUMMYFUNCTION("""COMPUTED_VALUE"""),"ACER TRAVELMATE")</f>
        <v>ACER TRAVELMATE</v>
      </c>
      <c r="D382" s="142" t="str">
        <f ca="1">IFERROR(__xludf.DUMMYFUNCTION("""COMPUTED_VALUE"""),"₱ 46,580.00")</f>
        <v>₱ 46,580.00</v>
      </c>
      <c r="E382" s="139"/>
      <c r="F382" s="139" t="str">
        <f ca="1">IFERROR(__xludf.DUMMYFUNCTION("""COMPUTED_VALUE"""),"2024-05-03-10202SP-232")</f>
        <v>2024-05-03-10202SP-232</v>
      </c>
      <c r="G382" s="139"/>
      <c r="H382" s="139" t="str">
        <f ca="1">IFERROR(__xludf.DUMMYFUNCTION("""COMPUTED_VALUE"""),"DENNIS G RAMOS")</f>
        <v>DENNIS G RAMOS</v>
      </c>
      <c r="I382" s="139" t="str">
        <f ca="1">IFERROR(__xludf.DUMMYFUNCTION("""COMPUTED_VALUE"""),"DIRECTOR IV")</f>
        <v>DIRECTOR IV</v>
      </c>
      <c r="J382" s="139" t="str">
        <f ca="1">IFERROR(__xludf.DUMMYFUNCTION("""COMPUTED_VALUE"""),"SP018-2024")</f>
        <v>SP018-2024</v>
      </c>
      <c r="K382" s="139"/>
      <c r="L382" s="139" t="str">
        <f ca="1">IFERROR(__xludf.DUMMYFUNCTION("""COMPUTED_VALUE"""),"FMS")</f>
        <v>FMS</v>
      </c>
      <c r="M382" s="139" t="str">
        <f ca="1">IFERROR(__xludf.DUMMYFUNCTION("""COMPUTED_VALUE"""),"SERVICEABLE")</f>
        <v>SERVICEABLE</v>
      </c>
      <c r="N382" s="146"/>
    </row>
    <row r="383" spans="1:14" ht="14.4">
      <c r="A383" s="139" t="str">
        <f ca="1">IFERROR(__xludf.DUMMYFUNCTION("""COMPUTED_VALUE"""),"DARCO")</f>
        <v>DARCO</v>
      </c>
      <c r="B383" s="139" t="str">
        <f ca="1">IFERROR(__xludf.DUMMYFUNCTION("""COMPUTED_VALUE"""),"CENTRAL OFFICE")</f>
        <v>CENTRAL OFFICE</v>
      </c>
      <c r="C383" s="139" t="str">
        <f ca="1">IFERROR(__xludf.DUMMYFUNCTION("""COMPUTED_VALUE"""),"ACER TRAVELMATE")</f>
        <v>ACER TRAVELMATE</v>
      </c>
      <c r="D383" s="142" t="str">
        <f ca="1">IFERROR(__xludf.DUMMYFUNCTION("""COMPUTED_VALUE"""),"₱ 46,580.00")</f>
        <v>₱ 46,580.00</v>
      </c>
      <c r="E383" s="139"/>
      <c r="F383" s="139" t="str">
        <f ca="1">IFERROR(__xludf.DUMMYFUNCTION("""COMPUTED_VALUE"""),"2024-05-03-10202SP-233")</f>
        <v>2024-05-03-10202SP-233</v>
      </c>
      <c r="G383" s="139"/>
      <c r="H383" s="139" t="str">
        <f ca="1">IFERROR(__xludf.DUMMYFUNCTION("""COMPUTED_VALUE"""),"DENNIS G RAMOS")</f>
        <v>DENNIS G RAMOS</v>
      </c>
      <c r="I383" s="139" t="str">
        <f ca="1">IFERROR(__xludf.DUMMYFUNCTION("""COMPUTED_VALUE"""),"DIRECTOR IV")</f>
        <v>DIRECTOR IV</v>
      </c>
      <c r="J383" s="139" t="str">
        <f ca="1">IFERROR(__xludf.DUMMYFUNCTION("""COMPUTED_VALUE"""),"SP018-2024")</f>
        <v>SP018-2024</v>
      </c>
      <c r="K383" s="139"/>
      <c r="L383" s="139" t="str">
        <f ca="1">IFERROR(__xludf.DUMMYFUNCTION("""COMPUTED_VALUE"""),"FMS")</f>
        <v>FMS</v>
      </c>
      <c r="M383" s="139" t="str">
        <f ca="1">IFERROR(__xludf.DUMMYFUNCTION("""COMPUTED_VALUE"""),"SERVICEABLE")</f>
        <v>SERVICEABLE</v>
      </c>
      <c r="N383" s="146"/>
    </row>
    <row r="384" spans="1:14" ht="14.4">
      <c r="A384" s="139" t="str">
        <f ca="1">IFERROR(__xludf.DUMMYFUNCTION("""COMPUTED_VALUE"""),"DARCO")</f>
        <v>DARCO</v>
      </c>
      <c r="B384" s="139" t="str">
        <f ca="1">IFERROR(__xludf.DUMMYFUNCTION("""COMPUTED_VALUE"""),"CENTRAL OFFICE")</f>
        <v>CENTRAL OFFICE</v>
      </c>
      <c r="C384" s="139" t="str">
        <f ca="1">IFERROR(__xludf.DUMMYFUNCTION("""COMPUTED_VALUE"""),"ACER TRAVELMATE")</f>
        <v>ACER TRAVELMATE</v>
      </c>
      <c r="D384" s="142" t="str">
        <f ca="1">IFERROR(__xludf.DUMMYFUNCTION("""COMPUTED_VALUE"""),"₱ 46,580.00")</f>
        <v>₱ 46,580.00</v>
      </c>
      <c r="E384" s="139"/>
      <c r="F384" s="139" t="str">
        <f ca="1">IFERROR(__xludf.DUMMYFUNCTION("""COMPUTED_VALUE"""),"2024-05-03-10202SP-234")</f>
        <v>2024-05-03-10202SP-234</v>
      </c>
      <c r="G384" s="164"/>
      <c r="H384" s="139" t="str">
        <f ca="1">IFERROR(__xludf.DUMMYFUNCTION("""COMPUTED_VALUE"""),"DENNIS G RAMOS")</f>
        <v>DENNIS G RAMOS</v>
      </c>
      <c r="I384" s="139" t="str">
        <f ca="1">IFERROR(__xludf.DUMMYFUNCTION("""COMPUTED_VALUE"""),"DIRECTOR IV")</f>
        <v>DIRECTOR IV</v>
      </c>
      <c r="J384" s="139" t="str">
        <f ca="1">IFERROR(__xludf.DUMMYFUNCTION("""COMPUTED_VALUE"""),"SP018-2024")</f>
        <v>SP018-2024</v>
      </c>
      <c r="K384" s="139"/>
      <c r="L384" s="139" t="str">
        <f ca="1">IFERROR(__xludf.DUMMYFUNCTION("""COMPUTED_VALUE"""),"FMS")</f>
        <v>FMS</v>
      </c>
      <c r="M384" s="139" t="str">
        <f ca="1">IFERROR(__xludf.DUMMYFUNCTION("""COMPUTED_VALUE"""),"SERVICEABLE")</f>
        <v>SERVICEABLE</v>
      </c>
      <c r="N384" s="146"/>
    </row>
    <row r="385" spans="1:14" ht="13.2">
      <c r="A385" s="164" t="str">
        <f ca="1">IFERROR(__xludf.DUMMYFUNCTION("""COMPUTED_VALUE"""),"DARCO")</f>
        <v>DARCO</v>
      </c>
      <c r="B385" s="164" t="str">
        <f ca="1">IFERROR(__xludf.DUMMYFUNCTION("""COMPUTED_VALUE"""),"CENTRAL OFFICE")</f>
        <v>CENTRAL OFFICE</v>
      </c>
      <c r="C385" s="164" t="str">
        <f ca="1">IFERROR(__xludf.DUMMYFUNCTION("""COMPUTED_VALUE"""),"ACER TRAVELMATE")</f>
        <v>ACER TRAVELMATE</v>
      </c>
      <c r="D385" s="164" t="str">
        <f ca="1">IFERROR(__xludf.DUMMYFUNCTION("""COMPUTED_VALUE"""),"₱ 46,580.00")</f>
        <v>₱ 46,580.00</v>
      </c>
      <c r="E385" s="164"/>
      <c r="F385" s="164" t="str">
        <f ca="1">IFERROR(__xludf.DUMMYFUNCTION("""COMPUTED_VALUE"""),"2024-05-03-10202SP-235")</f>
        <v>2024-05-03-10202SP-235</v>
      </c>
      <c r="G385" s="164"/>
      <c r="H385" s="164" t="str">
        <f ca="1">IFERROR(__xludf.DUMMYFUNCTION("""COMPUTED_VALUE"""),"DENNIS G RAMOS")</f>
        <v>DENNIS G RAMOS</v>
      </c>
      <c r="I385" s="164" t="str">
        <f ca="1">IFERROR(__xludf.DUMMYFUNCTION("""COMPUTED_VALUE"""),"DIRECTOR IV")</f>
        <v>DIRECTOR IV</v>
      </c>
      <c r="J385" s="164" t="str">
        <f ca="1">IFERROR(__xludf.DUMMYFUNCTION("""COMPUTED_VALUE"""),"SP018-2024")</f>
        <v>SP018-2024</v>
      </c>
      <c r="K385" s="164"/>
      <c r="L385" s="164" t="str">
        <f ca="1">IFERROR(__xludf.DUMMYFUNCTION("""COMPUTED_VALUE"""),"FMS")</f>
        <v>FMS</v>
      </c>
      <c r="M385" s="164" t="str">
        <f ca="1">IFERROR(__xludf.DUMMYFUNCTION("""COMPUTED_VALUE"""),"SERVICEABLE")</f>
        <v>SERVICEABLE</v>
      </c>
      <c r="N385" s="164"/>
    </row>
    <row r="386" spans="1:14" ht="13.2">
      <c r="A386" s="164" t="str">
        <f ca="1">IFERROR(__xludf.DUMMYFUNCTION("""COMPUTED_VALUE"""),"DARCO")</f>
        <v>DARCO</v>
      </c>
      <c r="B386" s="164" t="str">
        <f ca="1">IFERROR(__xludf.DUMMYFUNCTION("""COMPUTED_VALUE"""),"CENTRAL OFFICE")</f>
        <v>CENTRAL OFFICE</v>
      </c>
      <c r="C386" s="164" t="str">
        <f ca="1">IFERROR(__xludf.DUMMYFUNCTION("""COMPUTED_VALUE"""),"ACER TRAVELMATE")</f>
        <v>ACER TRAVELMATE</v>
      </c>
      <c r="D386" s="164" t="str">
        <f ca="1">IFERROR(__xludf.DUMMYFUNCTION("""COMPUTED_VALUE"""),"₱ 46,580.00")</f>
        <v>₱ 46,580.00</v>
      </c>
      <c r="E386" s="164"/>
      <c r="F386" s="164" t="str">
        <f ca="1">IFERROR(__xludf.DUMMYFUNCTION("""COMPUTED_VALUE"""),"2024-05-03-10202SP-236")</f>
        <v>2024-05-03-10202SP-236</v>
      </c>
      <c r="G386" s="164"/>
      <c r="H386" s="164" t="str">
        <f ca="1">IFERROR(__xludf.DUMMYFUNCTION("""COMPUTED_VALUE"""),"DENNIS G RAMOS")</f>
        <v>DENNIS G RAMOS</v>
      </c>
      <c r="I386" s="164" t="str">
        <f ca="1">IFERROR(__xludf.DUMMYFUNCTION("""COMPUTED_VALUE"""),"DIRECTOR IV")</f>
        <v>DIRECTOR IV</v>
      </c>
      <c r="J386" s="164" t="str">
        <f ca="1">IFERROR(__xludf.DUMMYFUNCTION("""COMPUTED_VALUE"""),"SP018-2024")</f>
        <v>SP018-2024</v>
      </c>
      <c r="K386" s="164"/>
      <c r="L386" s="164" t="str">
        <f ca="1">IFERROR(__xludf.DUMMYFUNCTION("""COMPUTED_VALUE"""),"FMS")</f>
        <v>FMS</v>
      </c>
      <c r="M386" s="164" t="str">
        <f ca="1">IFERROR(__xludf.DUMMYFUNCTION("""COMPUTED_VALUE"""),"SERVICEABLE")</f>
        <v>SERVICEABLE</v>
      </c>
      <c r="N386" s="164"/>
    </row>
    <row r="387" spans="1:14" ht="13.2">
      <c r="A387" s="164" t="str">
        <f ca="1">IFERROR(__xludf.DUMMYFUNCTION("""COMPUTED_VALUE"""),"DARCO")</f>
        <v>DARCO</v>
      </c>
      <c r="B387" s="164" t="str">
        <f ca="1">IFERROR(__xludf.DUMMYFUNCTION("""COMPUTED_VALUE"""),"CENTRAL OFFICE")</f>
        <v>CENTRAL OFFICE</v>
      </c>
      <c r="C387" s="164" t="str">
        <f ca="1">IFERROR(__xludf.DUMMYFUNCTION("""COMPUTED_VALUE"""),"ACER TRAVELMATE")</f>
        <v>ACER TRAVELMATE</v>
      </c>
      <c r="D387" s="164" t="str">
        <f ca="1">IFERROR(__xludf.DUMMYFUNCTION("""COMPUTED_VALUE"""),"₱ 46,580.00")</f>
        <v>₱ 46,580.00</v>
      </c>
      <c r="E387" s="164"/>
      <c r="F387" s="164" t="str">
        <f ca="1">IFERROR(__xludf.DUMMYFUNCTION("""COMPUTED_VALUE"""),"2024-05-03-10202SP-237")</f>
        <v>2024-05-03-10202SP-237</v>
      </c>
      <c r="G387" s="164"/>
      <c r="H387" s="164" t="str">
        <f ca="1">IFERROR(__xludf.DUMMYFUNCTION("""COMPUTED_VALUE"""),"DENNIS G RAMOS")</f>
        <v>DENNIS G RAMOS</v>
      </c>
      <c r="I387" s="164" t="str">
        <f ca="1">IFERROR(__xludf.DUMMYFUNCTION("""COMPUTED_VALUE"""),"DIRECTOR IV")</f>
        <v>DIRECTOR IV</v>
      </c>
      <c r="J387" s="164" t="str">
        <f ca="1">IFERROR(__xludf.DUMMYFUNCTION("""COMPUTED_VALUE"""),"SP018-2024")</f>
        <v>SP018-2024</v>
      </c>
      <c r="K387" s="164"/>
      <c r="L387" s="164" t="str">
        <f ca="1">IFERROR(__xludf.DUMMYFUNCTION("""COMPUTED_VALUE"""),"FMS")</f>
        <v>FMS</v>
      </c>
      <c r="M387" s="164" t="str">
        <f ca="1">IFERROR(__xludf.DUMMYFUNCTION("""COMPUTED_VALUE"""),"SERVICEABLE")</f>
        <v>SERVICEABLE</v>
      </c>
      <c r="N387" s="164"/>
    </row>
    <row r="388" spans="1:14" ht="13.2">
      <c r="A388" s="164" t="str">
        <f ca="1">IFERROR(__xludf.DUMMYFUNCTION("""COMPUTED_VALUE"""),"DARCO")</f>
        <v>DARCO</v>
      </c>
      <c r="B388" s="164" t="str">
        <f ca="1">IFERROR(__xludf.DUMMYFUNCTION("""COMPUTED_VALUE"""),"CENTRAL OFFICE")</f>
        <v>CENTRAL OFFICE</v>
      </c>
      <c r="C388" s="164" t="str">
        <f ca="1">IFERROR(__xludf.DUMMYFUNCTION("""COMPUTED_VALUE"""),"ACER TRAVELMATE")</f>
        <v>ACER TRAVELMATE</v>
      </c>
      <c r="D388" s="164" t="str">
        <f ca="1">IFERROR(__xludf.DUMMYFUNCTION("""COMPUTED_VALUE"""),"₱ 46,580.00")</f>
        <v>₱ 46,580.00</v>
      </c>
      <c r="E388" s="164"/>
      <c r="F388" s="164" t="str">
        <f ca="1">IFERROR(__xludf.DUMMYFUNCTION("""COMPUTED_VALUE"""),"2024-05-03-10202SP-238")</f>
        <v>2024-05-03-10202SP-238</v>
      </c>
      <c r="G388" s="164"/>
      <c r="H388" s="164" t="str">
        <f ca="1">IFERROR(__xludf.DUMMYFUNCTION("""COMPUTED_VALUE"""),"DENNIS G RAMOS")</f>
        <v>DENNIS G RAMOS</v>
      </c>
      <c r="I388" s="164" t="str">
        <f ca="1">IFERROR(__xludf.DUMMYFUNCTION("""COMPUTED_VALUE"""),"DIRECTOR IV")</f>
        <v>DIRECTOR IV</v>
      </c>
      <c r="J388" s="164" t="str">
        <f ca="1">IFERROR(__xludf.DUMMYFUNCTION("""COMPUTED_VALUE"""),"SP018-2024")</f>
        <v>SP018-2024</v>
      </c>
      <c r="K388" s="164"/>
      <c r="L388" s="164" t="str">
        <f ca="1">IFERROR(__xludf.DUMMYFUNCTION("""COMPUTED_VALUE"""),"FMS")</f>
        <v>FMS</v>
      </c>
      <c r="M388" s="164" t="str">
        <f ca="1">IFERROR(__xludf.DUMMYFUNCTION("""COMPUTED_VALUE"""),"SERVICEABLE")</f>
        <v>SERVICEABLE</v>
      </c>
      <c r="N388" s="164"/>
    </row>
    <row r="389" spans="1:14" ht="13.2">
      <c r="A389" s="164" t="str">
        <f ca="1">IFERROR(__xludf.DUMMYFUNCTION("""COMPUTED_VALUE"""),"DARCO")</f>
        <v>DARCO</v>
      </c>
      <c r="B389" s="164" t="str">
        <f ca="1">IFERROR(__xludf.DUMMYFUNCTION("""COMPUTED_VALUE"""),"CENTRAL OFFICE")</f>
        <v>CENTRAL OFFICE</v>
      </c>
      <c r="C389" s="164" t="str">
        <f ca="1">IFERROR(__xludf.DUMMYFUNCTION("""COMPUTED_VALUE"""),"ACER TRAVELMATE")</f>
        <v>ACER TRAVELMATE</v>
      </c>
      <c r="D389" s="164" t="str">
        <f ca="1">IFERROR(__xludf.DUMMYFUNCTION("""COMPUTED_VALUE"""),"₱ 46,580.00")</f>
        <v>₱ 46,580.00</v>
      </c>
      <c r="E389" s="164"/>
      <c r="F389" s="164" t="str">
        <f ca="1">IFERROR(__xludf.DUMMYFUNCTION("""COMPUTED_VALUE"""),"2024-05-03-10202SP-239")</f>
        <v>2024-05-03-10202SP-239</v>
      </c>
      <c r="G389" s="164"/>
      <c r="H389" s="164" t="str">
        <f ca="1">IFERROR(__xludf.DUMMYFUNCTION("""COMPUTED_VALUE"""),"SHEEN CLAUDETTE PAL")</f>
        <v>SHEEN CLAUDETTE PAL</v>
      </c>
      <c r="I389" s="164"/>
      <c r="J389" s="164" t="str">
        <f ca="1">IFERROR(__xludf.DUMMYFUNCTION("""COMPUTED_VALUE"""),"SP019-2024")</f>
        <v>SP019-2024</v>
      </c>
      <c r="K389" s="164"/>
      <c r="L389" s="164" t="str">
        <f ca="1">IFERROR(__xludf.DUMMYFUNCTION("""COMPUTED_VALUE"""),"PIS")</f>
        <v>PIS</v>
      </c>
      <c r="M389" s="164" t="str">
        <f ca="1">IFERROR(__xludf.DUMMYFUNCTION("""COMPUTED_VALUE"""),"SERVICEABLE")</f>
        <v>SERVICEABLE</v>
      </c>
      <c r="N389" s="164"/>
    </row>
    <row r="390" spans="1:14" ht="13.2">
      <c r="A390" s="164" t="str">
        <f ca="1">IFERROR(__xludf.DUMMYFUNCTION("""COMPUTED_VALUE"""),"DARCO")</f>
        <v>DARCO</v>
      </c>
      <c r="B390" s="164" t="str">
        <f ca="1">IFERROR(__xludf.DUMMYFUNCTION("""COMPUTED_VALUE"""),"CENTRAL OFFICE")</f>
        <v>CENTRAL OFFICE</v>
      </c>
      <c r="C390" s="164" t="str">
        <f ca="1">IFERROR(__xludf.DUMMYFUNCTION("""COMPUTED_VALUE"""),"ACER TRAVELMATE")</f>
        <v>ACER TRAVELMATE</v>
      </c>
      <c r="D390" s="164" t="str">
        <f ca="1">IFERROR(__xludf.DUMMYFUNCTION("""COMPUTED_VALUE"""),"₱ 46,580.00")</f>
        <v>₱ 46,580.00</v>
      </c>
      <c r="E390" s="164"/>
      <c r="F390" s="164" t="str">
        <f ca="1">IFERROR(__xludf.DUMMYFUNCTION("""COMPUTED_VALUE"""),"2024-05-03-10202SP-240")</f>
        <v>2024-05-03-10202SP-240</v>
      </c>
      <c r="G390" s="164"/>
      <c r="H390" s="164" t="str">
        <f ca="1">IFERROR(__xludf.DUMMYFUNCTION("""COMPUTED_VALUE"""),"SHEEN CLAUDETTE PAL")</f>
        <v>SHEEN CLAUDETTE PAL</v>
      </c>
      <c r="I390" s="164"/>
      <c r="J390" s="164" t="str">
        <f ca="1">IFERROR(__xludf.DUMMYFUNCTION("""COMPUTED_VALUE"""),"SP019-2024")</f>
        <v>SP019-2024</v>
      </c>
      <c r="K390" s="164"/>
      <c r="L390" s="164" t="str">
        <f ca="1">IFERROR(__xludf.DUMMYFUNCTION("""COMPUTED_VALUE"""),"PIS")</f>
        <v>PIS</v>
      </c>
      <c r="M390" s="164" t="str">
        <f ca="1">IFERROR(__xludf.DUMMYFUNCTION("""COMPUTED_VALUE"""),"SERVICEABLE")</f>
        <v>SERVICEABLE</v>
      </c>
      <c r="N390" s="164"/>
    </row>
    <row r="391" spans="1:14" ht="13.2">
      <c r="A391" s="164" t="str">
        <f ca="1">IFERROR(__xludf.DUMMYFUNCTION("""COMPUTED_VALUE"""),"DARCO")</f>
        <v>DARCO</v>
      </c>
      <c r="B391" s="164" t="str">
        <f ca="1">IFERROR(__xludf.DUMMYFUNCTION("""COMPUTED_VALUE"""),"CENTRAL OFFICE")</f>
        <v>CENTRAL OFFICE</v>
      </c>
      <c r="C391" s="164" t="str">
        <f ca="1">IFERROR(__xludf.DUMMYFUNCTION("""COMPUTED_VALUE"""),"ACER TRAVELMATE")</f>
        <v>ACER TRAVELMATE</v>
      </c>
      <c r="D391" s="164" t="str">
        <f ca="1">IFERROR(__xludf.DUMMYFUNCTION("""COMPUTED_VALUE"""),"₱ 46,580.00")</f>
        <v>₱ 46,580.00</v>
      </c>
      <c r="E391" s="164"/>
      <c r="F391" s="164" t="str">
        <f ca="1">IFERROR(__xludf.DUMMYFUNCTION("""COMPUTED_VALUE"""),"2024-05-03-10202SP-241")</f>
        <v>2024-05-03-10202SP-241</v>
      </c>
      <c r="G391" s="164"/>
      <c r="H391" s="164" t="str">
        <f ca="1">IFERROR(__xludf.DUMMYFUNCTION("""COMPUTED_VALUE"""),"SHEEN CLAUDETTE PAL")</f>
        <v>SHEEN CLAUDETTE PAL</v>
      </c>
      <c r="I391" s="164"/>
      <c r="J391" s="164" t="str">
        <f ca="1">IFERROR(__xludf.DUMMYFUNCTION("""COMPUTED_VALUE"""),"SP019-2024")</f>
        <v>SP019-2024</v>
      </c>
      <c r="K391" s="164"/>
      <c r="L391" s="164" t="str">
        <f ca="1">IFERROR(__xludf.DUMMYFUNCTION("""COMPUTED_VALUE"""),"PIS")</f>
        <v>PIS</v>
      </c>
      <c r="M391" s="164" t="str">
        <f ca="1">IFERROR(__xludf.DUMMYFUNCTION("""COMPUTED_VALUE"""),"SERVICEABLE")</f>
        <v>SERVICEABLE</v>
      </c>
      <c r="N391" s="164"/>
    </row>
    <row r="392" spans="1:14" ht="13.2">
      <c r="A392" s="164" t="str">
        <f ca="1">IFERROR(__xludf.DUMMYFUNCTION("""COMPUTED_VALUE"""),"DARCO")</f>
        <v>DARCO</v>
      </c>
      <c r="B392" s="164" t="str">
        <f ca="1">IFERROR(__xludf.DUMMYFUNCTION("""COMPUTED_VALUE"""),"CENTRAL OFFICE")</f>
        <v>CENTRAL OFFICE</v>
      </c>
      <c r="C392" s="164" t="str">
        <f ca="1">IFERROR(__xludf.DUMMYFUNCTION("""COMPUTED_VALUE"""),"ACER TRAVELMATE")</f>
        <v>ACER TRAVELMATE</v>
      </c>
      <c r="D392" s="164" t="str">
        <f ca="1">IFERROR(__xludf.DUMMYFUNCTION("""COMPUTED_VALUE"""),"₱ 46,580.00")</f>
        <v>₱ 46,580.00</v>
      </c>
      <c r="E392" s="164"/>
      <c r="F392" s="164" t="str">
        <f ca="1">IFERROR(__xludf.DUMMYFUNCTION("""COMPUTED_VALUE"""),"2024-05-03-10202SP-242")</f>
        <v>2024-05-03-10202SP-242</v>
      </c>
      <c r="G392" s="164"/>
      <c r="H392" s="164" t="str">
        <f ca="1">IFERROR(__xludf.DUMMYFUNCTION("""COMPUTED_VALUE"""),"SHEEN CLAUDETTE PAL")</f>
        <v>SHEEN CLAUDETTE PAL</v>
      </c>
      <c r="I392" s="164"/>
      <c r="J392" s="164" t="str">
        <f ca="1">IFERROR(__xludf.DUMMYFUNCTION("""COMPUTED_VALUE"""),"SP019-2024")</f>
        <v>SP019-2024</v>
      </c>
      <c r="K392" s="164"/>
      <c r="L392" s="164" t="str">
        <f ca="1">IFERROR(__xludf.DUMMYFUNCTION("""COMPUTED_VALUE"""),"PIS")</f>
        <v>PIS</v>
      </c>
      <c r="M392" s="164" t="str">
        <f ca="1">IFERROR(__xludf.DUMMYFUNCTION("""COMPUTED_VALUE"""),"SERVICEABLE")</f>
        <v>SERVICEABLE</v>
      </c>
      <c r="N392" s="164"/>
    </row>
    <row r="393" spans="1:14" ht="13.2">
      <c r="A393" s="164" t="str">
        <f ca="1">IFERROR(__xludf.DUMMYFUNCTION("""COMPUTED_VALUE"""),"DARCO")</f>
        <v>DARCO</v>
      </c>
      <c r="B393" s="164" t="str">
        <f ca="1">IFERROR(__xludf.DUMMYFUNCTION("""COMPUTED_VALUE"""),"CENTRAL OFFICE")</f>
        <v>CENTRAL OFFICE</v>
      </c>
      <c r="C393" s="164" t="str">
        <f ca="1">IFERROR(__xludf.DUMMYFUNCTION("""COMPUTED_VALUE"""),"ACER TRAVELMATE")</f>
        <v>ACER TRAVELMATE</v>
      </c>
      <c r="D393" s="164" t="str">
        <f ca="1">IFERROR(__xludf.DUMMYFUNCTION("""COMPUTED_VALUE"""),"₱ 46,580.00")</f>
        <v>₱ 46,580.00</v>
      </c>
      <c r="E393" s="164"/>
      <c r="F393" s="164" t="str">
        <f ca="1">IFERROR(__xludf.DUMMYFUNCTION("""COMPUTED_VALUE"""),"2024-05-03-10202SP-243")</f>
        <v>2024-05-03-10202SP-243</v>
      </c>
      <c r="G393" s="164"/>
      <c r="H393" s="164" t="str">
        <f ca="1">IFERROR(__xludf.DUMMYFUNCTION("""COMPUTED_VALUE"""),"SHEEN CLAUDETTE PAL")</f>
        <v>SHEEN CLAUDETTE PAL</v>
      </c>
      <c r="I393" s="164"/>
      <c r="J393" s="164" t="str">
        <f ca="1">IFERROR(__xludf.DUMMYFUNCTION("""COMPUTED_VALUE"""),"SP019-2024")</f>
        <v>SP019-2024</v>
      </c>
      <c r="K393" s="164"/>
      <c r="L393" s="164" t="str">
        <f ca="1">IFERROR(__xludf.DUMMYFUNCTION("""COMPUTED_VALUE"""),"PIS")</f>
        <v>PIS</v>
      </c>
      <c r="M393" s="164" t="str">
        <f ca="1">IFERROR(__xludf.DUMMYFUNCTION("""COMPUTED_VALUE"""),"SERVICEABLE")</f>
        <v>SERVICEABLE</v>
      </c>
      <c r="N393" s="164"/>
    </row>
    <row r="394" spans="1:14" ht="13.2">
      <c r="A394" s="164" t="str">
        <f ca="1">IFERROR(__xludf.DUMMYFUNCTION("""COMPUTED_VALUE"""),"DARCO")</f>
        <v>DARCO</v>
      </c>
      <c r="B394" s="164" t="str">
        <f ca="1">IFERROR(__xludf.DUMMYFUNCTION("""COMPUTED_VALUE"""),"CENTRAL OFFICE")</f>
        <v>CENTRAL OFFICE</v>
      </c>
      <c r="C394" s="164" t="str">
        <f ca="1">IFERROR(__xludf.DUMMYFUNCTION("""COMPUTED_VALUE"""),"ACER TRAVELMATE")</f>
        <v>ACER TRAVELMATE</v>
      </c>
      <c r="D394" s="164" t="str">
        <f ca="1">IFERROR(__xludf.DUMMYFUNCTION("""COMPUTED_VALUE"""),"₱ 46,580.00")</f>
        <v>₱ 46,580.00</v>
      </c>
      <c r="E394" s="164"/>
      <c r="F394" s="164" t="str">
        <f ca="1">IFERROR(__xludf.DUMMYFUNCTION("""COMPUTED_VALUE"""),"2024-05-03-10202SP-248")</f>
        <v>2024-05-03-10202SP-248</v>
      </c>
      <c r="G394" s="164"/>
      <c r="H394" s="164"/>
      <c r="I394" s="164" t="str">
        <f ca="1">IFERROR(__xludf.DUMMYFUNCTION("""COMPUTED_VALUE"""),"FMS / BUDGET")</f>
        <v>FMS / BUDGET</v>
      </c>
      <c r="J394" s="164"/>
      <c r="K394" s="164"/>
      <c r="L394" s="164"/>
      <c r="M394" s="164"/>
      <c r="N394" s="164"/>
    </row>
    <row r="395" spans="1:14" ht="13.2">
      <c r="A395" s="164" t="str">
        <f ca="1">IFERROR(__xludf.DUMMYFUNCTION("""COMPUTED_VALUE"""),"DARCO")</f>
        <v>DARCO</v>
      </c>
      <c r="B395" s="164" t="str">
        <f ca="1">IFERROR(__xludf.DUMMYFUNCTION("""COMPUTED_VALUE"""),"CENTRAL OFFICE")</f>
        <v>CENTRAL OFFICE</v>
      </c>
      <c r="C395" s="164" t="str">
        <f ca="1">IFERROR(__xludf.DUMMYFUNCTION("""COMPUTED_VALUE"""),"ACER TRAVELMATE")</f>
        <v>ACER TRAVELMATE</v>
      </c>
      <c r="D395" s="164" t="str">
        <f ca="1">IFERROR(__xludf.DUMMYFUNCTION("""COMPUTED_VALUE"""),"₱ 46,580.00")</f>
        <v>₱ 46,580.00</v>
      </c>
      <c r="E395" s="164"/>
      <c r="F395" s="164" t="str">
        <f ca="1">IFERROR(__xludf.DUMMYFUNCTION("""COMPUTED_VALUE"""),"2024-05-03-10202SP-254")</f>
        <v>2024-05-03-10202SP-254</v>
      </c>
      <c r="G395" s="164"/>
      <c r="H395" s="164"/>
      <c r="I395" s="164"/>
      <c r="J395" s="164"/>
      <c r="K395" s="164"/>
      <c r="L395" s="164"/>
      <c r="M395" s="164"/>
      <c r="N395" s="164"/>
    </row>
    <row r="396" spans="1:14" ht="13.2">
      <c r="A396" s="164" t="str">
        <f ca="1">IFERROR(__xludf.DUMMYFUNCTION("""COMPUTED_VALUE"""),"DARCO")</f>
        <v>DARCO</v>
      </c>
      <c r="B396" s="164" t="str">
        <f ca="1">IFERROR(__xludf.DUMMYFUNCTION("""COMPUTED_VALUE"""),"CENTRAL OFFICE")</f>
        <v>CENTRAL OFFICE</v>
      </c>
      <c r="C396" s="164" t="str">
        <f ca="1">IFERROR(__xludf.DUMMYFUNCTION("""COMPUTED_VALUE"""),"ACER TRAVELMATE")</f>
        <v>ACER TRAVELMATE</v>
      </c>
      <c r="D396" s="164" t="str">
        <f ca="1">IFERROR(__xludf.DUMMYFUNCTION("""COMPUTED_VALUE"""),"₱ 46,580.00")</f>
        <v>₱ 46,580.00</v>
      </c>
      <c r="E396" s="164"/>
      <c r="F396" s="164" t="str">
        <f ca="1">IFERROR(__xludf.DUMMYFUNCTION("""COMPUTED_VALUE"""),"2024-05-03-10202SP-256")</f>
        <v>2024-05-03-10202SP-256</v>
      </c>
      <c r="G396" s="164"/>
      <c r="H396" s="164" t="str">
        <f ca="1">IFERROR(__xludf.DUMMYFUNCTION("""COMPUTED_VALUE"""),"DENNIS G. RAMOS")</f>
        <v>DENNIS G. RAMOS</v>
      </c>
      <c r="I396" s="164"/>
      <c r="J396" s="164"/>
      <c r="K396" s="164"/>
      <c r="L396" s="164" t="str">
        <f ca="1">IFERROR(__xludf.DUMMYFUNCTION("""COMPUTED_VALUE"""),"FMS / BUDGET")</f>
        <v>FMS / BUDGET</v>
      </c>
      <c r="M396" s="164" t="str">
        <f ca="1">IFERROR(__xludf.DUMMYFUNCTION("""COMPUTED_VALUE"""),"SERVICEABLE")</f>
        <v>SERVICEABLE</v>
      </c>
      <c r="N396" s="164"/>
    </row>
    <row r="397" spans="1:14" ht="13.2">
      <c r="A397" s="164" t="str">
        <f ca="1">IFERROR(__xludf.DUMMYFUNCTION("""COMPUTED_VALUE"""),"DARCO")</f>
        <v>DARCO</v>
      </c>
      <c r="B397" s="164" t="str">
        <f ca="1">IFERROR(__xludf.DUMMYFUNCTION("""COMPUTED_VALUE"""),"CENTRAL OFFICE")</f>
        <v>CENTRAL OFFICE</v>
      </c>
      <c r="C397" s="164" t="str">
        <f ca="1">IFERROR(__xludf.DUMMYFUNCTION("""COMPUTED_VALUE"""),"ACER TRAVELMATE")</f>
        <v>ACER TRAVELMATE</v>
      </c>
      <c r="D397" s="164" t="str">
        <f ca="1">IFERROR(__xludf.DUMMYFUNCTION("""COMPUTED_VALUE"""),"₱ 46,580.00")</f>
        <v>₱ 46,580.00</v>
      </c>
      <c r="E397" s="164"/>
      <c r="F397" s="164" t="str">
        <f ca="1">IFERROR(__xludf.DUMMYFUNCTION("""COMPUTED_VALUE"""),"2024-05-03-10202SP-258")</f>
        <v>2024-05-03-10202SP-258</v>
      </c>
      <c r="G397" s="164"/>
      <c r="H397" s="164"/>
      <c r="I397" s="164"/>
      <c r="J397" s="164"/>
      <c r="K397" s="164"/>
      <c r="L397" s="164"/>
      <c r="M397" s="164"/>
      <c r="N397" s="164"/>
    </row>
    <row r="398" spans="1:14" ht="13.2">
      <c r="A398" s="164" t="str">
        <f ca="1">IFERROR(__xludf.DUMMYFUNCTION("""COMPUTED_VALUE"""),"DARCO")</f>
        <v>DARCO</v>
      </c>
      <c r="B398" s="164" t="str">
        <f ca="1">IFERROR(__xludf.DUMMYFUNCTION("""COMPUTED_VALUE"""),"CENTRAL OFFICE")</f>
        <v>CENTRAL OFFICE</v>
      </c>
      <c r="C398" s="164" t="str">
        <f ca="1">IFERROR(__xludf.DUMMYFUNCTION("""COMPUTED_VALUE"""),"ACER TRAVELMATE")</f>
        <v>ACER TRAVELMATE</v>
      </c>
      <c r="D398" s="164" t="str">
        <f ca="1">IFERROR(__xludf.DUMMYFUNCTION("""COMPUTED_VALUE"""),"₱ 46,580.00")</f>
        <v>₱ 46,580.00</v>
      </c>
      <c r="E398" s="164"/>
      <c r="F398" s="164" t="str">
        <f ca="1">IFERROR(__xludf.DUMMYFUNCTION("""COMPUTED_VALUE"""),"2024-05-03-10202SP-259")</f>
        <v>2024-05-03-10202SP-259</v>
      </c>
      <c r="G398" s="164"/>
      <c r="H398" s="164"/>
      <c r="I398" s="164"/>
      <c r="J398" s="164" t="str">
        <f ca="1">IFERROR(__xludf.DUMMYFUNCTION("""COMPUTED_VALUE"""),"SP021-2024")</f>
        <v>SP021-2024</v>
      </c>
      <c r="K398" s="164"/>
      <c r="L398" s="164" t="str">
        <f ca="1">IFERROR(__xludf.DUMMYFUNCTION("""COMPUTED_VALUE"""),"PLANNING SERVICE")</f>
        <v>PLANNING SERVICE</v>
      </c>
      <c r="M398" s="164" t="str">
        <f ca="1">IFERROR(__xludf.DUMMYFUNCTION("""COMPUTED_VALUE"""),"SERVICEABLE")</f>
        <v>SERVICEABLE</v>
      </c>
      <c r="N398" s="164"/>
    </row>
    <row r="399" spans="1:14" ht="13.2">
      <c r="A399" s="164" t="str">
        <f ca="1">IFERROR(__xludf.DUMMYFUNCTION("""COMPUTED_VALUE"""),"DARCO")</f>
        <v>DARCO</v>
      </c>
      <c r="B399" s="164" t="str">
        <f ca="1">IFERROR(__xludf.DUMMYFUNCTION("""COMPUTED_VALUE"""),"CENTRAL OFFICE")</f>
        <v>CENTRAL OFFICE</v>
      </c>
      <c r="C399" s="164" t="str">
        <f ca="1">IFERROR(__xludf.DUMMYFUNCTION("""COMPUTED_VALUE"""),"ACER TRAVELMATE")</f>
        <v>ACER TRAVELMATE</v>
      </c>
      <c r="D399" s="164" t="str">
        <f ca="1">IFERROR(__xludf.DUMMYFUNCTION("""COMPUTED_VALUE"""),"₱ 46,580.00")</f>
        <v>₱ 46,580.00</v>
      </c>
      <c r="E399" s="164"/>
      <c r="F399" s="164" t="str">
        <f ca="1">IFERROR(__xludf.DUMMYFUNCTION("""COMPUTED_VALUE"""),"2024-05-03-10202SP-260")</f>
        <v>2024-05-03-10202SP-260</v>
      </c>
      <c r="G399" s="164"/>
      <c r="H399" s="164"/>
      <c r="I399" s="164"/>
      <c r="J399" s="164" t="str">
        <f ca="1">IFERROR(__xludf.DUMMYFUNCTION("""COMPUTED_VALUE"""),"SP021-2024")</f>
        <v>SP021-2024</v>
      </c>
      <c r="K399" s="164"/>
      <c r="L399" s="164" t="str">
        <f ca="1">IFERROR(__xludf.DUMMYFUNCTION("""COMPUTED_VALUE"""),"PLANNING SERVICE")</f>
        <v>PLANNING SERVICE</v>
      </c>
      <c r="M399" s="164" t="str">
        <f ca="1">IFERROR(__xludf.DUMMYFUNCTION("""COMPUTED_VALUE"""),"SERVICEABLE")</f>
        <v>SERVICEABLE</v>
      </c>
      <c r="N399" s="164"/>
    </row>
    <row r="400" spans="1:14" ht="13.2">
      <c r="A400" s="164" t="str">
        <f ca="1">IFERROR(__xludf.DUMMYFUNCTION("""COMPUTED_VALUE"""),"DARCO")</f>
        <v>DARCO</v>
      </c>
      <c r="B400" s="164" t="str">
        <f ca="1">IFERROR(__xludf.DUMMYFUNCTION("""COMPUTED_VALUE"""),"CENTRAL OFFICE")</f>
        <v>CENTRAL OFFICE</v>
      </c>
      <c r="C400" s="164" t="str">
        <f ca="1">IFERROR(__xludf.DUMMYFUNCTION("""COMPUTED_VALUE"""),"ACER TRAVELMATE")</f>
        <v>ACER TRAVELMATE</v>
      </c>
      <c r="D400" s="164" t="str">
        <f ca="1">IFERROR(__xludf.DUMMYFUNCTION("""COMPUTED_VALUE"""),"₱ 46,580.00")</f>
        <v>₱ 46,580.00</v>
      </c>
      <c r="E400" s="164"/>
      <c r="F400" s="164" t="str">
        <f ca="1">IFERROR(__xludf.DUMMYFUNCTION("""COMPUTED_VALUE"""),"2024-05-03-10202SP-261")</f>
        <v>2024-05-03-10202SP-261</v>
      </c>
      <c r="G400" s="164"/>
      <c r="H400" s="164"/>
      <c r="I400" s="164"/>
      <c r="J400" s="164" t="str">
        <f ca="1">IFERROR(__xludf.DUMMYFUNCTION("""COMPUTED_VALUE"""),"SP021-2024")</f>
        <v>SP021-2024</v>
      </c>
      <c r="K400" s="164"/>
      <c r="L400" s="164" t="str">
        <f ca="1">IFERROR(__xludf.DUMMYFUNCTION("""COMPUTED_VALUE"""),"PLANNING SERVICE")</f>
        <v>PLANNING SERVICE</v>
      </c>
      <c r="M400" s="164" t="str">
        <f ca="1">IFERROR(__xludf.DUMMYFUNCTION("""COMPUTED_VALUE"""),"SERVICEABLE")</f>
        <v>SERVICEABLE</v>
      </c>
      <c r="N400" s="164"/>
    </row>
    <row r="401" spans="1:14" ht="13.2">
      <c r="A401" s="164" t="str">
        <f ca="1">IFERROR(__xludf.DUMMYFUNCTION("""COMPUTED_VALUE"""),"DARCO")</f>
        <v>DARCO</v>
      </c>
      <c r="B401" s="164" t="str">
        <f ca="1">IFERROR(__xludf.DUMMYFUNCTION("""COMPUTED_VALUE"""),"CENTRAL OFFICE")</f>
        <v>CENTRAL OFFICE</v>
      </c>
      <c r="C401" s="164" t="str">
        <f ca="1">IFERROR(__xludf.DUMMYFUNCTION("""COMPUTED_VALUE"""),"ACER TRAVELMATE")</f>
        <v>ACER TRAVELMATE</v>
      </c>
      <c r="D401" s="164" t="str">
        <f ca="1">IFERROR(__xludf.DUMMYFUNCTION("""COMPUTED_VALUE"""),"₱ 46,580.00")</f>
        <v>₱ 46,580.00</v>
      </c>
      <c r="E401" s="164"/>
      <c r="F401" s="164" t="str">
        <f ca="1">IFERROR(__xludf.DUMMYFUNCTION("""COMPUTED_VALUE"""),"2024-05-03-10202SP-262")</f>
        <v>2024-05-03-10202SP-262</v>
      </c>
      <c r="G401" s="164"/>
      <c r="H401" s="164"/>
      <c r="I401" s="164"/>
      <c r="J401" s="164" t="str">
        <f ca="1">IFERROR(__xludf.DUMMYFUNCTION("""COMPUTED_VALUE"""),"SP021-2024")</f>
        <v>SP021-2024</v>
      </c>
      <c r="K401" s="164"/>
      <c r="L401" s="164" t="str">
        <f ca="1">IFERROR(__xludf.DUMMYFUNCTION("""COMPUTED_VALUE"""),"PLANNING SERVICE")</f>
        <v>PLANNING SERVICE</v>
      </c>
      <c r="M401" s="164" t="str">
        <f ca="1">IFERROR(__xludf.DUMMYFUNCTION("""COMPUTED_VALUE"""),"SERVICEABLE")</f>
        <v>SERVICEABLE</v>
      </c>
      <c r="N401" s="164"/>
    </row>
    <row r="402" spans="1:14" ht="13.2">
      <c r="A402" s="164" t="str">
        <f ca="1">IFERROR(__xludf.DUMMYFUNCTION("""COMPUTED_VALUE"""),"DARCO")</f>
        <v>DARCO</v>
      </c>
      <c r="B402" s="164" t="str">
        <f ca="1">IFERROR(__xludf.DUMMYFUNCTION("""COMPUTED_VALUE"""),"CENTRAL OFFICE")</f>
        <v>CENTRAL OFFICE</v>
      </c>
      <c r="C402" s="164" t="str">
        <f ca="1">IFERROR(__xludf.DUMMYFUNCTION("""COMPUTED_VALUE"""),"ACER TRAVELMATE")</f>
        <v>ACER TRAVELMATE</v>
      </c>
      <c r="D402" s="164" t="str">
        <f ca="1">IFERROR(__xludf.DUMMYFUNCTION("""COMPUTED_VALUE"""),"₱ 46,580.00")</f>
        <v>₱ 46,580.00</v>
      </c>
      <c r="E402" s="164"/>
      <c r="F402" s="164" t="str">
        <f ca="1">IFERROR(__xludf.DUMMYFUNCTION("""COMPUTED_VALUE"""),"2024-05-03-10202SP-263")</f>
        <v>2024-05-03-10202SP-263</v>
      </c>
      <c r="G402" s="164"/>
      <c r="H402" s="164"/>
      <c r="I402" s="164"/>
      <c r="J402" s="164" t="str">
        <f ca="1">IFERROR(__xludf.DUMMYFUNCTION("""COMPUTED_VALUE"""),"SP021-2024")</f>
        <v>SP021-2024</v>
      </c>
      <c r="K402" s="164"/>
      <c r="L402" s="164" t="str">
        <f ca="1">IFERROR(__xludf.DUMMYFUNCTION("""COMPUTED_VALUE"""),"PLANNING SERVICE")</f>
        <v>PLANNING SERVICE</v>
      </c>
      <c r="M402" s="164" t="str">
        <f ca="1">IFERROR(__xludf.DUMMYFUNCTION("""COMPUTED_VALUE"""),"SERVICEABLE")</f>
        <v>SERVICEABLE</v>
      </c>
      <c r="N402" s="164"/>
    </row>
    <row r="403" spans="1:14" ht="13.2">
      <c r="A403" s="164" t="str">
        <f ca="1">IFERROR(__xludf.DUMMYFUNCTION("""COMPUTED_VALUE"""),"DARCO")</f>
        <v>DARCO</v>
      </c>
      <c r="B403" s="164" t="str">
        <f ca="1">IFERROR(__xludf.DUMMYFUNCTION("""COMPUTED_VALUE"""),"CENTRAL OFFICE")</f>
        <v>CENTRAL OFFICE</v>
      </c>
      <c r="C403" s="164" t="str">
        <f ca="1">IFERROR(__xludf.DUMMYFUNCTION("""COMPUTED_VALUE"""),"ACER TRAVELMATE")</f>
        <v>ACER TRAVELMATE</v>
      </c>
      <c r="D403" s="164" t="str">
        <f ca="1">IFERROR(__xludf.DUMMYFUNCTION("""COMPUTED_VALUE"""),"₱ 46,580.00")</f>
        <v>₱ 46,580.00</v>
      </c>
      <c r="E403" s="164"/>
      <c r="F403" s="164" t="str">
        <f ca="1">IFERROR(__xludf.DUMMYFUNCTION("""COMPUTED_VALUE"""),"2024-05-03-10202SP-264")</f>
        <v>2024-05-03-10202SP-264</v>
      </c>
      <c r="G403" s="164"/>
      <c r="H403" s="164"/>
      <c r="I403" s="164"/>
      <c r="J403" s="164" t="str">
        <f ca="1">IFERROR(__xludf.DUMMYFUNCTION("""COMPUTED_VALUE"""),"SP021-2024")</f>
        <v>SP021-2024</v>
      </c>
      <c r="K403" s="164"/>
      <c r="L403" s="164" t="str">
        <f ca="1">IFERROR(__xludf.DUMMYFUNCTION("""COMPUTED_VALUE"""),"PLANNING SERVICE")</f>
        <v>PLANNING SERVICE</v>
      </c>
      <c r="M403" s="164" t="str">
        <f ca="1">IFERROR(__xludf.DUMMYFUNCTION("""COMPUTED_VALUE"""),"SERVICEABLE")</f>
        <v>SERVICEABLE</v>
      </c>
      <c r="N403" s="164"/>
    </row>
    <row r="404" spans="1:14" ht="13.2">
      <c r="A404" s="164" t="str">
        <f ca="1">IFERROR(__xludf.DUMMYFUNCTION("""COMPUTED_VALUE"""),"DARCO")</f>
        <v>DARCO</v>
      </c>
      <c r="B404" s="164" t="str">
        <f ca="1">IFERROR(__xludf.DUMMYFUNCTION("""COMPUTED_VALUE"""),"CENTRAL OFFICE")</f>
        <v>CENTRAL OFFICE</v>
      </c>
      <c r="C404" s="164" t="str">
        <f ca="1">IFERROR(__xludf.DUMMYFUNCTION("""COMPUTED_VALUE"""),"ACER TRAVELMATE")</f>
        <v>ACER TRAVELMATE</v>
      </c>
      <c r="D404" s="164" t="str">
        <f ca="1">IFERROR(__xludf.DUMMYFUNCTION("""COMPUTED_VALUE"""),"₱ 46,580.00")</f>
        <v>₱ 46,580.00</v>
      </c>
      <c r="E404" s="164"/>
      <c r="F404" s="164" t="str">
        <f ca="1">IFERROR(__xludf.DUMMYFUNCTION("""COMPUTED_VALUE"""),"2024-05-03-10202SP-265")</f>
        <v>2024-05-03-10202SP-265</v>
      </c>
      <c r="G404" s="164"/>
      <c r="H404" s="164"/>
      <c r="I404" s="164"/>
      <c r="J404" s="164" t="str">
        <f ca="1">IFERROR(__xludf.DUMMYFUNCTION("""COMPUTED_VALUE"""),"SP021-2024")</f>
        <v>SP021-2024</v>
      </c>
      <c r="K404" s="164"/>
      <c r="L404" s="164" t="str">
        <f ca="1">IFERROR(__xludf.DUMMYFUNCTION("""COMPUTED_VALUE"""),"PLANNING SERVICE")</f>
        <v>PLANNING SERVICE</v>
      </c>
      <c r="M404" s="164" t="str">
        <f ca="1">IFERROR(__xludf.DUMMYFUNCTION("""COMPUTED_VALUE"""),"SERVICEABLE")</f>
        <v>SERVICEABLE</v>
      </c>
      <c r="N404" s="164"/>
    </row>
    <row r="405" spans="1:14" ht="13.2">
      <c r="A405" s="164" t="str">
        <f ca="1">IFERROR(__xludf.DUMMYFUNCTION("""COMPUTED_VALUE"""),"DARCO")</f>
        <v>DARCO</v>
      </c>
      <c r="B405" s="164" t="str">
        <f ca="1">IFERROR(__xludf.DUMMYFUNCTION("""COMPUTED_VALUE"""),"CENTRAL OFFICE")</f>
        <v>CENTRAL OFFICE</v>
      </c>
      <c r="C405" s="164" t="str">
        <f ca="1">IFERROR(__xludf.DUMMYFUNCTION("""COMPUTED_VALUE"""),"ACER TRAVELMATE")</f>
        <v>ACER TRAVELMATE</v>
      </c>
      <c r="D405" s="164" t="str">
        <f ca="1">IFERROR(__xludf.DUMMYFUNCTION("""COMPUTED_VALUE"""),"₱ 46,580.00")</f>
        <v>₱ 46,580.00</v>
      </c>
      <c r="E405" s="164"/>
      <c r="F405" s="164" t="str">
        <f ca="1">IFERROR(__xludf.DUMMYFUNCTION("""COMPUTED_VALUE"""),"2024-05-03-10202SP-266")</f>
        <v>2024-05-03-10202SP-266</v>
      </c>
      <c r="G405" s="164"/>
      <c r="H405" s="164"/>
      <c r="I405" s="164"/>
      <c r="J405" s="164" t="str">
        <f ca="1">IFERROR(__xludf.DUMMYFUNCTION("""COMPUTED_VALUE"""),"SP021-2024")</f>
        <v>SP021-2024</v>
      </c>
      <c r="K405" s="164"/>
      <c r="L405" s="164" t="str">
        <f ca="1">IFERROR(__xludf.DUMMYFUNCTION("""COMPUTED_VALUE"""),"PLANNING SERVICE")</f>
        <v>PLANNING SERVICE</v>
      </c>
      <c r="M405" s="164" t="str">
        <f ca="1">IFERROR(__xludf.DUMMYFUNCTION("""COMPUTED_VALUE"""),"SERVICEABLE")</f>
        <v>SERVICEABLE</v>
      </c>
      <c r="N405" s="164"/>
    </row>
    <row r="406" spans="1:14" ht="13.2">
      <c r="A406" s="164" t="str">
        <f ca="1">IFERROR(__xludf.DUMMYFUNCTION("""COMPUTED_VALUE"""),"DARCO")</f>
        <v>DARCO</v>
      </c>
      <c r="B406" s="164" t="str">
        <f ca="1">IFERROR(__xludf.DUMMYFUNCTION("""COMPUTED_VALUE"""),"CENTRAL OFFICE")</f>
        <v>CENTRAL OFFICE</v>
      </c>
      <c r="C406" s="164" t="str">
        <f ca="1">IFERROR(__xludf.DUMMYFUNCTION("""COMPUTED_VALUE"""),"ACER TRAVELMATE")</f>
        <v>ACER TRAVELMATE</v>
      </c>
      <c r="D406" s="164" t="str">
        <f ca="1">IFERROR(__xludf.DUMMYFUNCTION("""COMPUTED_VALUE"""),"₱ 46,580.00")</f>
        <v>₱ 46,580.00</v>
      </c>
      <c r="E406" s="164"/>
      <c r="F406" s="164" t="str">
        <f ca="1">IFERROR(__xludf.DUMMYFUNCTION("""COMPUTED_VALUE"""),"2024-05-03-10202SP-267")</f>
        <v>2024-05-03-10202SP-267</v>
      </c>
      <c r="G406" s="164"/>
      <c r="H406" s="164"/>
      <c r="I406" s="164"/>
      <c r="J406" s="164" t="str">
        <f ca="1">IFERROR(__xludf.DUMMYFUNCTION("""COMPUTED_VALUE"""),"SP021-2024")</f>
        <v>SP021-2024</v>
      </c>
      <c r="K406" s="164"/>
      <c r="L406" s="164" t="str">
        <f ca="1">IFERROR(__xludf.DUMMYFUNCTION("""COMPUTED_VALUE"""),"PLANNING SERVICE")</f>
        <v>PLANNING SERVICE</v>
      </c>
      <c r="M406" s="164" t="str">
        <f ca="1">IFERROR(__xludf.DUMMYFUNCTION("""COMPUTED_VALUE"""),"SERVICEABLE")</f>
        <v>SERVICEABLE</v>
      </c>
      <c r="N406" s="164"/>
    </row>
    <row r="407" spans="1:14" ht="13.2">
      <c r="A407" s="164" t="str">
        <f ca="1">IFERROR(__xludf.DUMMYFUNCTION("""COMPUTED_VALUE"""),"DARCO")</f>
        <v>DARCO</v>
      </c>
      <c r="B407" s="164" t="str">
        <f ca="1">IFERROR(__xludf.DUMMYFUNCTION("""COMPUTED_VALUE"""),"CENTRAL OFFICE")</f>
        <v>CENTRAL OFFICE</v>
      </c>
      <c r="C407" s="164" t="str">
        <f ca="1">IFERROR(__xludf.DUMMYFUNCTION("""COMPUTED_VALUE"""),"ACER TRAVELMATE")</f>
        <v>ACER TRAVELMATE</v>
      </c>
      <c r="D407" s="164" t="str">
        <f ca="1">IFERROR(__xludf.DUMMYFUNCTION("""COMPUTED_VALUE"""),"₱ 46,580.00")</f>
        <v>₱ 46,580.00</v>
      </c>
      <c r="E407" s="164"/>
      <c r="F407" s="164" t="str">
        <f ca="1">IFERROR(__xludf.DUMMYFUNCTION("""COMPUTED_VALUE"""),"2024-05-03-10202SP-268")</f>
        <v>2024-05-03-10202SP-268</v>
      </c>
      <c r="G407" s="164"/>
      <c r="H407" s="164"/>
      <c r="I407" s="164"/>
      <c r="J407" s="164" t="str">
        <f ca="1">IFERROR(__xludf.DUMMYFUNCTION("""COMPUTED_VALUE"""),"SP021-2024")</f>
        <v>SP021-2024</v>
      </c>
      <c r="K407" s="164"/>
      <c r="L407" s="164" t="str">
        <f ca="1">IFERROR(__xludf.DUMMYFUNCTION("""COMPUTED_VALUE"""),"PLANNING SERVICE")</f>
        <v>PLANNING SERVICE</v>
      </c>
      <c r="M407" s="164" t="str">
        <f ca="1">IFERROR(__xludf.DUMMYFUNCTION("""COMPUTED_VALUE"""),"SERVICEABLE")</f>
        <v>SERVICEABLE</v>
      </c>
      <c r="N407" s="164"/>
    </row>
    <row r="408" spans="1:14" ht="13.2">
      <c r="A408" s="164" t="str">
        <f ca="1">IFERROR(__xludf.DUMMYFUNCTION("""COMPUTED_VALUE"""),"DARCO")</f>
        <v>DARCO</v>
      </c>
      <c r="B408" s="164" t="str">
        <f ca="1">IFERROR(__xludf.DUMMYFUNCTION("""COMPUTED_VALUE"""),"CENTRAL OFFICE")</f>
        <v>CENTRAL OFFICE</v>
      </c>
      <c r="C408" s="164" t="str">
        <f ca="1">IFERROR(__xludf.DUMMYFUNCTION("""COMPUTED_VALUE"""),"ACER TRAVELMATE")</f>
        <v>ACER TRAVELMATE</v>
      </c>
      <c r="D408" s="164" t="str">
        <f ca="1">IFERROR(__xludf.DUMMYFUNCTION("""COMPUTED_VALUE"""),"₱ 46,580.00")</f>
        <v>₱ 46,580.00</v>
      </c>
      <c r="E408" s="164"/>
      <c r="F408" s="164" t="str">
        <f ca="1">IFERROR(__xludf.DUMMYFUNCTION("""COMPUTED_VALUE"""),"2024-05-03-10202SP-269")</f>
        <v>2024-05-03-10202SP-269</v>
      </c>
      <c r="G408" s="164"/>
      <c r="H408" s="164"/>
      <c r="I408" s="164"/>
      <c r="J408" s="164" t="str">
        <f ca="1">IFERROR(__xludf.DUMMYFUNCTION("""COMPUTED_VALUE"""),"SP021-2024")</f>
        <v>SP021-2024</v>
      </c>
      <c r="K408" s="164"/>
      <c r="L408" s="164" t="str">
        <f ca="1">IFERROR(__xludf.DUMMYFUNCTION("""COMPUTED_VALUE"""),"PLANNING SERVICE")</f>
        <v>PLANNING SERVICE</v>
      </c>
      <c r="M408" s="164" t="str">
        <f ca="1">IFERROR(__xludf.DUMMYFUNCTION("""COMPUTED_VALUE"""),"SERVICEABLE")</f>
        <v>SERVICEABLE</v>
      </c>
      <c r="N408" s="164"/>
    </row>
    <row r="409" spans="1:14" ht="13.2">
      <c r="A409" s="164" t="str">
        <f ca="1">IFERROR(__xludf.DUMMYFUNCTION("""COMPUTED_VALUE"""),"DARCO")</f>
        <v>DARCO</v>
      </c>
      <c r="B409" s="164" t="str">
        <f ca="1">IFERROR(__xludf.DUMMYFUNCTION("""COMPUTED_VALUE"""),"CENTRAL OFFICE")</f>
        <v>CENTRAL OFFICE</v>
      </c>
      <c r="C409" s="164" t="str">
        <f ca="1">IFERROR(__xludf.DUMMYFUNCTION("""COMPUTED_VALUE"""),"ACER TRAVELMATE")</f>
        <v>ACER TRAVELMATE</v>
      </c>
      <c r="D409" s="164" t="str">
        <f ca="1">IFERROR(__xludf.DUMMYFUNCTION("""COMPUTED_VALUE"""),"₱ 46,580.00")</f>
        <v>₱ 46,580.00</v>
      </c>
      <c r="E409" s="164"/>
      <c r="F409" s="164" t="str">
        <f ca="1">IFERROR(__xludf.DUMMYFUNCTION("""COMPUTED_VALUE"""),"2024-05-03-10202SP-270")</f>
        <v>2024-05-03-10202SP-270</v>
      </c>
      <c r="G409" s="164"/>
      <c r="H409" s="164"/>
      <c r="I409" s="164"/>
      <c r="J409" s="164" t="str">
        <f ca="1">IFERROR(__xludf.DUMMYFUNCTION("""COMPUTED_VALUE"""),"SP021-2024")</f>
        <v>SP021-2024</v>
      </c>
      <c r="K409" s="164"/>
      <c r="L409" s="164" t="str">
        <f ca="1">IFERROR(__xludf.DUMMYFUNCTION("""COMPUTED_VALUE"""),"PLANNING SERVICE")</f>
        <v>PLANNING SERVICE</v>
      </c>
      <c r="M409" s="164" t="str">
        <f ca="1">IFERROR(__xludf.DUMMYFUNCTION("""COMPUTED_VALUE"""),"SERVICEABLE")</f>
        <v>SERVICEABLE</v>
      </c>
      <c r="N409" s="164"/>
    </row>
    <row r="410" spans="1:14" ht="13.2">
      <c r="A410" s="164" t="str">
        <f ca="1">IFERROR(__xludf.DUMMYFUNCTION("""COMPUTED_VALUE"""),"DARCO")</f>
        <v>DARCO</v>
      </c>
      <c r="B410" s="164" t="str">
        <f ca="1">IFERROR(__xludf.DUMMYFUNCTION("""COMPUTED_VALUE"""),"CENTRAL OFFICE")</f>
        <v>CENTRAL OFFICE</v>
      </c>
      <c r="C410" s="164" t="str">
        <f ca="1">IFERROR(__xludf.DUMMYFUNCTION("""COMPUTED_VALUE"""),"ACER TRAVELMATE")</f>
        <v>ACER TRAVELMATE</v>
      </c>
      <c r="D410" s="164" t="str">
        <f ca="1">IFERROR(__xludf.DUMMYFUNCTION("""COMPUTED_VALUE"""),"₱ 46,580.00")</f>
        <v>₱ 46,580.00</v>
      </c>
      <c r="E410" s="164"/>
      <c r="F410" s="164" t="str">
        <f ca="1">IFERROR(__xludf.DUMMYFUNCTION("""COMPUTED_VALUE"""),"2024-05-03-10202SP-271")</f>
        <v>2024-05-03-10202SP-271</v>
      </c>
      <c r="G410" s="164"/>
      <c r="H410" s="164"/>
      <c r="I410" s="164"/>
      <c r="J410" s="164" t="str">
        <f ca="1">IFERROR(__xludf.DUMMYFUNCTION("""COMPUTED_VALUE"""),"SP021-2024")</f>
        <v>SP021-2024</v>
      </c>
      <c r="K410" s="164"/>
      <c r="L410" s="164" t="str">
        <f ca="1">IFERROR(__xludf.DUMMYFUNCTION("""COMPUTED_VALUE"""),"PLANNING SERVICE")</f>
        <v>PLANNING SERVICE</v>
      </c>
      <c r="M410" s="164" t="str">
        <f ca="1">IFERROR(__xludf.DUMMYFUNCTION("""COMPUTED_VALUE"""),"SERVICEABLE")</f>
        <v>SERVICEABLE</v>
      </c>
      <c r="N410" s="164"/>
    </row>
    <row r="411" spans="1:14" ht="13.2">
      <c r="A411" s="164" t="str">
        <f ca="1">IFERROR(__xludf.DUMMYFUNCTION("""COMPUTED_VALUE"""),"DARCO")</f>
        <v>DARCO</v>
      </c>
      <c r="B411" s="164" t="str">
        <f ca="1">IFERROR(__xludf.DUMMYFUNCTION("""COMPUTED_VALUE"""),"CENTRAL OFFICE")</f>
        <v>CENTRAL OFFICE</v>
      </c>
      <c r="C411" s="164" t="str">
        <f ca="1">IFERROR(__xludf.DUMMYFUNCTION("""COMPUTED_VALUE"""),"ACER TRAVELMATE")</f>
        <v>ACER TRAVELMATE</v>
      </c>
      <c r="D411" s="164" t="str">
        <f ca="1">IFERROR(__xludf.DUMMYFUNCTION("""COMPUTED_VALUE"""),"₱ 46,580.00")</f>
        <v>₱ 46,580.00</v>
      </c>
      <c r="E411" s="164"/>
      <c r="F411" s="164" t="str">
        <f ca="1">IFERROR(__xludf.DUMMYFUNCTION("""COMPUTED_VALUE"""),"2024-05-03-10202SP-272")</f>
        <v>2024-05-03-10202SP-272</v>
      </c>
      <c r="G411" s="164"/>
      <c r="H411" s="164"/>
      <c r="I411" s="164"/>
      <c r="J411" s="164" t="str">
        <f ca="1">IFERROR(__xludf.DUMMYFUNCTION("""COMPUTED_VALUE"""),"SP021-2024")</f>
        <v>SP021-2024</v>
      </c>
      <c r="K411" s="164"/>
      <c r="L411" s="164" t="str">
        <f ca="1">IFERROR(__xludf.DUMMYFUNCTION("""COMPUTED_VALUE"""),"PLANNING SERVICE")</f>
        <v>PLANNING SERVICE</v>
      </c>
      <c r="M411" s="164" t="str">
        <f ca="1">IFERROR(__xludf.DUMMYFUNCTION("""COMPUTED_VALUE"""),"SERVICEABLE")</f>
        <v>SERVICEABLE</v>
      </c>
      <c r="N411" s="164"/>
    </row>
    <row r="412" spans="1:14" ht="13.2">
      <c r="A412" s="164" t="str">
        <f ca="1">IFERROR(__xludf.DUMMYFUNCTION("""COMPUTED_VALUE"""),"DARCO")</f>
        <v>DARCO</v>
      </c>
      <c r="B412" s="164" t="str">
        <f ca="1">IFERROR(__xludf.DUMMYFUNCTION("""COMPUTED_VALUE"""),"CENTRAL OFFICE")</f>
        <v>CENTRAL OFFICE</v>
      </c>
      <c r="C412" s="164" t="str">
        <f ca="1">IFERROR(__xludf.DUMMYFUNCTION("""COMPUTED_VALUE"""),"ACER TRAVELMATE")</f>
        <v>ACER TRAVELMATE</v>
      </c>
      <c r="D412" s="164" t="str">
        <f ca="1">IFERROR(__xludf.DUMMYFUNCTION("""COMPUTED_VALUE"""),"₱ 46,580.00")</f>
        <v>₱ 46,580.00</v>
      </c>
      <c r="E412" s="164"/>
      <c r="F412" s="164" t="str">
        <f ca="1">IFERROR(__xludf.DUMMYFUNCTION("""COMPUTED_VALUE"""),"2024-05-03-10202SP-273")</f>
        <v>2024-05-03-10202SP-273</v>
      </c>
      <c r="G412" s="164"/>
      <c r="H412" s="164"/>
      <c r="I412" s="164"/>
      <c r="J412" s="164" t="str">
        <f ca="1">IFERROR(__xludf.DUMMYFUNCTION("""COMPUTED_VALUE"""),"SP021-2024")</f>
        <v>SP021-2024</v>
      </c>
      <c r="K412" s="164"/>
      <c r="L412" s="164" t="str">
        <f ca="1">IFERROR(__xludf.DUMMYFUNCTION("""COMPUTED_VALUE"""),"PLANNING SERVICE")</f>
        <v>PLANNING SERVICE</v>
      </c>
      <c r="M412" s="164" t="str">
        <f ca="1">IFERROR(__xludf.DUMMYFUNCTION("""COMPUTED_VALUE"""),"SERVICEABLE")</f>
        <v>SERVICEABLE</v>
      </c>
      <c r="N412" s="164"/>
    </row>
    <row r="413" spans="1:14" ht="13.2">
      <c r="A413" s="164" t="str">
        <f ca="1">IFERROR(__xludf.DUMMYFUNCTION("""COMPUTED_VALUE"""),"DARCO")</f>
        <v>DARCO</v>
      </c>
      <c r="B413" s="164" t="str">
        <f ca="1">IFERROR(__xludf.DUMMYFUNCTION("""COMPUTED_VALUE"""),"CENTRAL OFFICE")</f>
        <v>CENTRAL OFFICE</v>
      </c>
      <c r="C413" s="164" t="str">
        <f ca="1">IFERROR(__xludf.DUMMYFUNCTION("""COMPUTED_VALUE"""),"ACER TRAVELMATE")</f>
        <v>ACER TRAVELMATE</v>
      </c>
      <c r="D413" s="164" t="str">
        <f ca="1">IFERROR(__xludf.DUMMYFUNCTION("""COMPUTED_VALUE"""),"₱ 46,580.00")</f>
        <v>₱ 46,580.00</v>
      </c>
      <c r="E413" s="164"/>
      <c r="F413" s="164" t="str">
        <f ca="1">IFERROR(__xludf.DUMMYFUNCTION("""COMPUTED_VALUE"""),"2024-05-03-10202SP-274")</f>
        <v>2024-05-03-10202SP-274</v>
      </c>
      <c r="G413" s="164"/>
      <c r="H413" s="164" t="str">
        <f ca="1">IFERROR(__xludf.DUMMYFUNCTION("""COMPUTED_VALUE"""),"JOSEPH H ORILLA")</f>
        <v>JOSEPH H ORILLA</v>
      </c>
      <c r="I413" s="164"/>
      <c r="J413" s="164" t="str">
        <f ca="1">IFERROR(__xludf.DUMMYFUNCTION("""COMPUTED_VALUE"""),"SP022-2024")</f>
        <v>SP022-2024</v>
      </c>
      <c r="K413" s="164"/>
      <c r="L413" s="164" t="str">
        <f ca="1">IFERROR(__xludf.DUMMYFUNCTION("""COMPUTED_VALUE"""),"PRS")</f>
        <v>PRS</v>
      </c>
      <c r="M413" s="164" t="str">
        <f ca="1">IFERROR(__xludf.DUMMYFUNCTION("""COMPUTED_VALUE"""),"SERVICEABLE")</f>
        <v>SERVICEABLE</v>
      </c>
      <c r="N413" s="164"/>
    </row>
    <row r="414" spans="1:14" ht="13.2">
      <c r="A414" s="164" t="str">
        <f ca="1">IFERROR(__xludf.DUMMYFUNCTION("""COMPUTED_VALUE"""),"DARCO")</f>
        <v>DARCO</v>
      </c>
      <c r="B414" s="164" t="str">
        <f ca="1">IFERROR(__xludf.DUMMYFUNCTION("""COMPUTED_VALUE"""),"CENTRAL OFFICE")</f>
        <v>CENTRAL OFFICE</v>
      </c>
      <c r="C414" s="164" t="str">
        <f ca="1">IFERROR(__xludf.DUMMYFUNCTION("""COMPUTED_VALUE"""),"ACER TRAVELMATE")</f>
        <v>ACER TRAVELMATE</v>
      </c>
      <c r="D414" s="164" t="str">
        <f ca="1">IFERROR(__xludf.DUMMYFUNCTION("""COMPUTED_VALUE"""),"₱ 46,580.00")</f>
        <v>₱ 46,580.00</v>
      </c>
      <c r="E414" s="164"/>
      <c r="F414" s="164" t="str">
        <f ca="1">IFERROR(__xludf.DUMMYFUNCTION("""COMPUTED_VALUE"""),"2024-05-03-10202SP-275")</f>
        <v>2024-05-03-10202SP-275</v>
      </c>
      <c r="G414" s="164"/>
      <c r="H414" s="164" t="str">
        <f ca="1">IFERROR(__xludf.DUMMYFUNCTION("""COMPUTED_VALUE"""),"JOSEPH H ORILLA")</f>
        <v>JOSEPH H ORILLA</v>
      </c>
      <c r="I414" s="164"/>
      <c r="J414" s="164" t="str">
        <f ca="1">IFERROR(__xludf.DUMMYFUNCTION("""COMPUTED_VALUE"""),"SP022-2024")</f>
        <v>SP022-2024</v>
      </c>
      <c r="K414" s="164"/>
      <c r="L414" s="164" t="str">
        <f ca="1">IFERROR(__xludf.DUMMYFUNCTION("""COMPUTED_VALUE"""),"PRS")</f>
        <v>PRS</v>
      </c>
      <c r="M414" s="164" t="str">
        <f ca="1">IFERROR(__xludf.DUMMYFUNCTION("""COMPUTED_VALUE"""),"SERVICEABLE")</f>
        <v>SERVICEABLE</v>
      </c>
      <c r="N414" s="164"/>
    </row>
    <row r="415" spans="1:14" ht="13.2">
      <c r="A415" s="164" t="str">
        <f ca="1">IFERROR(__xludf.DUMMYFUNCTION("""COMPUTED_VALUE"""),"DARCO")</f>
        <v>DARCO</v>
      </c>
      <c r="B415" s="164" t="str">
        <f ca="1">IFERROR(__xludf.DUMMYFUNCTION("""COMPUTED_VALUE"""),"CENTRAL OFFICE")</f>
        <v>CENTRAL OFFICE</v>
      </c>
      <c r="C415" s="164" t="str">
        <f ca="1">IFERROR(__xludf.DUMMYFUNCTION("""COMPUTED_VALUE"""),"ACER TRAVELMATE")</f>
        <v>ACER TRAVELMATE</v>
      </c>
      <c r="D415" s="164" t="str">
        <f ca="1">IFERROR(__xludf.DUMMYFUNCTION("""COMPUTED_VALUE"""),"₱ 46,580.00")</f>
        <v>₱ 46,580.00</v>
      </c>
      <c r="E415" s="164"/>
      <c r="F415" s="164" t="str">
        <f ca="1">IFERROR(__xludf.DUMMYFUNCTION("""COMPUTED_VALUE"""),"2024-05-03-10202SP-276")</f>
        <v>2024-05-03-10202SP-276</v>
      </c>
      <c r="G415" s="164"/>
      <c r="H415" s="164" t="str">
        <f ca="1">IFERROR(__xludf.DUMMYFUNCTION("""COMPUTED_VALUE"""),"JOSEPH H ORILLA")</f>
        <v>JOSEPH H ORILLA</v>
      </c>
      <c r="I415" s="164"/>
      <c r="J415" s="164" t="str">
        <f ca="1">IFERROR(__xludf.DUMMYFUNCTION("""COMPUTED_VALUE"""),"SP022-2024")</f>
        <v>SP022-2024</v>
      </c>
      <c r="K415" s="164"/>
      <c r="L415" s="164" t="str">
        <f ca="1">IFERROR(__xludf.DUMMYFUNCTION("""COMPUTED_VALUE"""),"PRS")</f>
        <v>PRS</v>
      </c>
      <c r="M415" s="164" t="str">
        <f ca="1">IFERROR(__xludf.DUMMYFUNCTION("""COMPUTED_VALUE"""),"SERVICEABLE")</f>
        <v>SERVICEABLE</v>
      </c>
      <c r="N415" s="164"/>
    </row>
    <row r="416" spans="1:14" ht="13.2">
      <c r="A416" s="164" t="str">
        <f ca="1">IFERROR(__xludf.DUMMYFUNCTION("""COMPUTED_VALUE"""),"DARCO")</f>
        <v>DARCO</v>
      </c>
      <c r="B416" s="164" t="str">
        <f ca="1">IFERROR(__xludf.DUMMYFUNCTION("""COMPUTED_VALUE"""),"CENTRAL OFFICE")</f>
        <v>CENTRAL OFFICE</v>
      </c>
      <c r="C416" s="164" t="str">
        <f ca="1">IFERROR(__xludf.DUMMYFUNCTION("""COMPUTED_VALUE"""),"ACER TRAVELMATE")</f>
        <v>ACER TRAVELMATE</v>
      </c>
      <c r="D416" s="164" t="str">
        <f ca="1">IFERROR(__xludf.DUMMYFUNCTION("""COMPUTED_VALUE"""),"₱ 46,580.00")</f>
        <v>₱ 46,580.00</v>
      </c>
      <c r="E416" s="164"/>
      <c r="F416" s="164" t="str">
        <f ca="1">IFERROR(__xludf.DUMMYFUNCTION("""COMPUTED_VALUE"""),"2024-05-03-10202SP-277")</f>
        <v>2024-05-03-10202SP-277</v>
      </c>
      <c r="G416" s="164"/>
      <c r="H416" s="164" t="str">
        <f ca="1">IFERROR(__xludf.DUMMYFUNCTION("""COMPUTED_VALUE"""),"JOSEPH H ORILLA")</f>
        <v>JOSEPH H ORILLA</v>
      </c>
      <c r="I416" s="164"/>
      <c r="J416" s="164" t="str">
        <f ca="1">IFERROR(__xludf.DUMMYFUNCTION("""COMPUTED_VALUE"""),"SP022-2024")</f>
        <v>SP022-2024</v>
      </c>
      <c r="K416" s="164"/>
      <c r="L416" s="164" t="str">
        <f ca="1">IFERROR(__xludf.DUMMYFUNCTION("""COMPUTED_VALUE"""),"PRS")</f>
        <v>PRS</v>
      </c>
      <c r="M416" s="164" t="str">
        <f ca="1">IFERROR(__xludf.DUMMYFUNCTION("""COMPUTED_VALUE"""),"SERVICEABLE")</f>
        <v>SERVICEABLE</v>
      </c>
      <c r="N416" s="164"/>
    </row>
    <row r="417" spans="1:14" ht="13.2">
      <c r="A417" s="164" t="str">
        <f ca="1">IFERROR(__xludf.DUMMYFUNCTION("""COMPUTED_VALUE"""),"DARCO")</f>
        <v>DARCO</v>
      </c>
      <c r="B417" s="164" t="str">
        <f ca="1">IFERROR(__xludf.DUMMYFUNCTION("""COMPUTED_VALUE"""),"CENTRAL OFFICE")</f>
        <v>CENTRAL OFFICE</v>
      </c>
      <c r="C417" s="164" t="str">
        <f ca="1">IFERROR(__xludf.DUMMYFUNCTION("""COMPUTED_VALUE"""),"ACER TRAVELMATE")</f>
        <v>ACER TRAVELMATE</v>
      </c>
      <c r="D417" s="164" t="str">
        <f ca="1">IFERROR(__xludf.DUMMYFUNCTION("""COMPUTED_VALUE"""),"₱ 46,580.00")</f>
        <v>₱ 46,580.00</v>
      </c>
      <c r="E417" s="164"/>
      <c r="F417" s="164" t="str">
        <f ca="1">IFERROR(__xludf.DUMMYFUNCTION("""COMPUTED_VALUE"""),"2024-05-03-10202SP-278")</f>
        <v>2024-05-03-10202SP-278</v>
      </c>
      <c r="G417" s="164"/>
      <c r="H417" s="164" t="str">
        <f ca="1">IFERROR(__xludf.DUMMYFUNCTION("""COMPUTED_VALUE"""),"JOSEPH H ORILLA")</f>
        <v>JOSEPH H ORILLA</v>
      </c>
      <c r="I417" s="164"/>
      <c r="J417" s="164" t="str">
        <f ca="1">IFERROR(__xludf.DUMMYFUNCTION("""COMPUTED_VALUE"""),"SP022-2024")</f>
        <v>SP022-2024</v>
      </c>
      <c r="K417" s="164"/>
      <c r="L417" s="164" t="str">
        <f ca="1">IFERROR(__xludf.DUMMYFUNCTION("""COMPUTED_VALUE"""),"PRS")</f>
        <v>PRS</v>
      </c>
      <c r="M417" s="164" t="str">
        <f ca="1">IFERROR(__xludf.DUMMYFUNCTION("""COMPUTED_VALUE"""),"SERVICEABLE")</f>
        <v>SERVICEABLE</v>
      </c>
      <c r="N417" s="164"/>
    </row>
    <row r="418" spans="1:14" ht="13.2">
      <c r="A418" s="164" t="str">
        <f ca="1">IFERROR(__xludf.DUMMYFUNCTION("""COMPUTED_VALUE"""),"DARCO")</f>
        <v>DARCO</v>
      </c>
      <c r="B418" s="164" t="str">
        <f ca="1">IFERROR(__xludf.DUMMYFUNCTION("""COMPUTED_VALUE"""),"CENTRAL OFFICE")</f>
        <v>CENTRAL OFFICE</v>
      </c>
      <c r="C418" s="164" t="str">
        <f ca="1">IFERROR(__xludf.DUMMYFUNCTION("""COMPUTED_VALUE"""),"ACER TRAVELMATE")</f>
        <v>ACER TRAVELMATE</v>
      </c>
      <c r="D418" s="164" t="str">
        <f ca="1">IFERROR(__xludf.DUMMYFUNCTION("""COMPUTED_VALUE"""),"₱ 46,580.00")</f>
        <v>₱ 46,580.00</v>
      </c>
      <c r="E418" s="164"/>
      <c r="F418" s="164" t="str">
        <f ca="1">IFERROR(__xludf.DUMMYFUNCTION("""COMPUTED_VALUE"""),"2024-05-03-10202SP-279")</f>
        <v>2024-05-03-10202SP-279</v>
      </c>
      <c r="G418" s="164"/>
      <c r="H418" s="164" t="str">
        <f ca="1">IFERROR(__xludf.DUMMYFUNCTION("""COMPUTED_VALUE"""),"JOSEPH H ORILLA")</f>
        <v>JOSEPH H ORILLA</v>
      </c>
      <c r="I418" s="164"/>
      <c r="J418" s="164" t="str">
        <f ca="1">IFERROR(__xludf.DUMMYFUNCTION("""COMPUTED_VALUE"""),"SP022-2024")</f>
        <v>SP022-2024</v>
      </c>
      <c r="K418" s="164"/>
      <c r="L418" s="164" t="str">
        <f ca="1">IFERROR(__xludf.DUMMYFUNCTION("""COMPUTED_VALUE"""),"PRS")</f>
        <v>PRS</v>
      </c>
      <c r="M418" s="164" t="str">
        <f ca="1">IFERROR(__xludf.DUMMYFUNCTION("""COMPUTED_VALUE"""),"SERVICEABLE")</f>
        <v>SERVICEABLE</v>
      </c>
      <c r="N418" s="164"/>
    </row>
    <row r="419" spans="1:14" ht="13.2">
      <c r="A419" s="164" t="str">
        <f ca="1">IFERROR(__xludf.DUMMYFUNCTION("""COMPUTED_VALUE"""),"DARCO")</f>
        <v>DARCO</v>
      </c>
      <c r="B419" s="164" t="str">
        <f ca="1">IFERROR(__xludf.DUMMYFUNCTION("""COMPUTED_VALUE"""),"CENTRAL OFFICE")</f>
        <v>CENTRAL OFFICE</v>
      </c>
      <c r="C419" s="164" t="str">
        <f ca="1">IFERROR(__xludf.DUMMYFUNCTION("""COMPUTED_VALUE"""),"ACER TRAVELMATE")</f>
        <v>ACER TRAVELMATE</v>
      </c>
      <c r="D419" s="164" t="str">
        <f ca="1">IFERROR(__xludf.DUMMYFUNCTION("""COMPUTED_VALUE"""),"₱ 46,580.00")</f>
        <v>₱ 46,580.00</v>
      </c>
      <c r="E419" s="164"/>
      <c r="F419" s="164" t="str">
        <f ca="1">IFERROR(__xludf.DUMMYFUNCTION("""COMPUTED_VALUE"""),"2024-05-03-10202SP-280")</f>
        <v>2024-05-03-10202SP-280</v>
      </c>
      <c r="G419" s="164"/>
      <c r="H419" s="164" t="str">
        <f ca="1">IFERROR(__xludf.DUMMYFUNCTION("""COMPUTED_VALUE"""),"JOSEPH H ORILLA")</f>
        <v>JOSEPH H ORILLA</v>
      </c>
      <c r="I419" s="164"/>
      <c r="J419" s="164" t="str">
        <f ca="1">IFERROR(__xludf.DUMMYFUNCTION("""COMPUTED_VALUE"""),"SP022-2024")</f>
        <v>SP022-2024</v>
      </c>
      <c r="K419" s="164"/>
      <c r="L419" s="164" t="str">
        <f ca="1">IFERROR(__xludf.DUMMYFUNCTION("""COMPUTED_VALUE"""),"PRS")</f>
        <v>PRS</v>
      </c>
      <c r="M419" s="164" t="str">
        <f ca="1">IFERROR(__xludf.DUMMYFUNCTION("""COMPUTED_VALUE"""),"SERVICEABLE")</f>
        <v>SERVICEABLE</v>
      </c>
      <c r="N419" s="164"/>
    </row>
    <row r="420" spans="1:14" ht="13.2">
      <c r="A420" s="164" t="str">
        <f ca="1">IFERROR(__xludf.DUMMYFUNCTION("""COMPUTED_VALUE"""),"DARCO")</f>
        <v>DARCO</v>
      </c>
      <c r="B420" s="164" t="str">
        <f ca="1">IFERROR(__xludf.DUMMYFUNCTION("""COMPUTED_VALUE"""),"CENTRAL OFFICE")</f>
        <v>CENTRAL OFFICE</v>
      </c>
      <c r="C420" s="164" t="str">
        <f ca="1">IFERROR(__xludf.DUMMYFUNCTION("""COMPUTED_VALUE"""),"ACER TRAVELMATE")</f>
        <v>ACER TRAVELMATE</v>
      </c>
      <c r="D420" s="164" t="str">
        <f ca="1">IFERROR(__xludf.DUMMYFUNCTION("""COMPUTED_VALUE"""),"₱ 46,580.00")</f>
        <v>₱ 46,580.00</v>
      </c>
      <c r="E420" s="164"/>
      <c r="F420" s="164" t="str">
        <f ca="1">IFERROR(__xludf.DUMMYFUNCTION("""COMPUTED_VALUE"""),"2024-05-03-10202SP-281")</f>
        <v>2024-05-03-10202SP-281</v>
      </c>
      <c r="G420" s="164"/>
      <c r="H420" s="164" t="str">
        <f ca="1">IFERROR(__xludf.DUMMYFUNCTION("""COMPUTED_VALUE"""),"MA ELIZABETH R FAUSTINO")</f>
        <v>MA ELIZABETH R FAUSTINO</v>
      </c>
      <c r="I420" s="164"/>
      <c r="J420" s="164" t="str">
        <f ca="1">IFERROR(__xludf.DUMMYFUNCTION("""COMPUTED_VALUE"""),"SP023-2024")</f>
        <v>SP023-2024</v>
      </c>
      <c r="K420" s="164"/>
      <c r="L420" s="164" t="str">
        <f ca="1">IFERROR(__xludf.DUMMYFUNCTION("""COMPUTED_VALUE"""),"CRS")</f>
        <v>CRS</v>
      </c>
      <c r="M420" s="164" t="str">
        <f ca="1">IFERROR(__xludf.DUMMYFUNCTION("""COMPUTED_VALUE"""),"SERVICEABLE")</f>
        <v>SERVICEABLE</v>
      </c>
      <c r="N420" s="164"/>
    </row>
    <row r="421" spans="1:14" ht="13.2">
      <c r="A421" s="164" t="str">
        <f ca="1">IFERROR(__xludf.DUMMYFUNCTION("""COMPUTED_VALUE"""),"DARCO")</f>
        <v>DARCO</v>
      </c>
      <c r="B421" s="164" t="str">
        <f ca="1">IFERROR(__xludf.DUMMYFUNCTION("""COMPUTED_VALUE"""),"CENTRAL OFFICE")</f>
        <v>CENTRAL OFFICE</v>
      </c>
      <c r="C421" s="164" t="str">
        <f ca="1">IFERROR(__xludf.DUMMYFUNCTION("""COMPUTED_VALUE"""),"ACER TRAVELMATE")</f>
        <v>ACER TRAVELMATE</v>
      </c>
      <c r="D421" s="164" t="str">
        <f ca="1">IFERROR(__xludf.DUMMYFUNCTION("""COMPUTED_VALUE"""),"₱ 46,580.00")</f>
        <v>₱ 46,580.00</v>
      </c>
      <c r="E421" s="164"/>
      <c r="F421" s="164" t="str">
        <f ca="1">IFERROR(__xludf.DUMMYFUNCTION("""COMPUTED_VALUE"""),"2024-05-03-10202SP-282")</f>
        <v>2024-05-03-10202SP-282</v>
      </c>
      <c r="G421" s="164"/>
      <c r="H421" s="164" t="str">
        <f ca="1">IFERROR(__xludf.DUMMYFUNCTION("""COMPUTED_VALUE"""),"MA ELIZABETH R FAUSTINO")</f>
        <v>MA ELIZABETH R FAUSTINO</v>
      </c>
      <c r="I421" s="164"/>
      <c r="J421" s="164" t="str">
        <f ca="1">IFERROR(__xludf.DUMMYFUNCTION("""COMPUTED_VALUE"""),"SP023-2024")</f>
        <v>SP023-2024</v>
      </c>
      <c r="K421" s="164"/>
      <c r="L421" s="164" t="str">
        <f ca="1">IFERROR(__xludf.DUMMYFUNCTION("""COMPUTED_VALUE"""),"CRS")</f>
        <v>CRS</v>
      </c>
      <c r="M421" s="164" t="str">
        <f ca="1">IFERROR(__xludf.DUMMYFUNCTION("""COMPUTED_VALUE"""),"SERVICEABLE")</f>
        <v>SERVICEABLE</v>
      </c>
      <c r="N421" s="164"/>
    </row>
    <row r="422" spans="1:14" ht="13.2">
      <c r="A422" s="164" t="str">
        <f ca="1">IFERROR(__xludf.DUMMYFUNCTION("""COMPUTED_VALUE"""),"DARCO")</f>
        <v>DARCO</v>
      </c>
      <c r="B422" s="164" t="str">
        <f ca="1">IFERROR(__xludf.DUMMYFUNCTION("""COMPUTED_VALUE"""),"CENTRAL OFFICE")</f>
        <v>CENTRAL OFFICE</v>
      </c>
      <c r="C422" s="164" t="str">
        <f ca="1">IFERROR(__xludf.DUMMYFUNCTION("""COMPUTED_VALUE"""),"ACER TRAVELMATE")</f>
        <v>ACER TRAVELMATE</v>
      </c>
      <c r="D422" s="164" t="str">
        <f ca="1">IFERROR(__xludf.DUMMYFUNCTION("""COMPUTED_VALUE"""),"₱ 46,580.00")</f>
        <v>₱ 46,580.00</v>
      </c>
      <c r="E422" s="164"/>
      <c r="F422" s="164" t="str">
        <f ca="1">IFERROR(__xludf.DUMMYFUNCTION("""COMPUTED_VALUE"""),"2024-05-03-10202SP-283")</f>
        <v>2024-05-03-10202SP-283</v>
      </c>
      <c r="G422" s="164"/>
      <c r="H422" s="164" t="str">
        <f ca="1">IFERROR(__xludf.DUMMYFUNCTION("""COMPUTED_VALUE"""),"MA ELIZABETH R FAUSTINO")</f>
        <v>MA ELIZABETH R FAUSTINO</v>
      </c>
      <c r="I422" s="164"/>
      <c r="J422" s="164" t="str">
        <f ca="1">IFERROR(__xludf.DUMMYFUNCTION("""COMPUTED_VALUE"""),"SP023-2024")</f>
        <v>SP023-2024</v>
      </c>
      <c r="K422" s="164"/>
      <c r="L422" s="164" t="str">
        <f ca="1">IFERROR(__xludf.DUMMYFUNCTION("""COMPUTED_VALUE"""),"CRS")</f>
        <v>CRS</v>
      </c>
      <c r="M422" s="164" t="str">
        <f ca="1">IFERROR(__xludf.DUMMYFUNCTION("""COMPUTED_VALUE"""),"SERVICEABLE")</f>
        <v>SERVICEABLE</v>
      </c>
      <c r="N422" s="164"/>
    </row>
    <row r="423" spans="1:14" ht="13.2">
      <c r="A423" s="164" t="str">
        <f ca="1">IFERROR(__xludf.DUMMYFUNCTION("""COMPUTED_VALUE"""),"DARCO")</f>
        <v>DARCO</v>
      </c>
      <c r="B423" s="164" t="str">
        <f ca="1">IFERROR(__xludf.DUMMYFUNCTION("""COMPUTED_VALUE"""),"CENTRAL OFFICE")</f>
        <v>CENTRAL OFFICE</v>
      </c>
      <c r="C423" s="164" t="str">
        <f ca="1">IFERROR(__xludf.DUMMYFUNCTION("""COMPUTED_VALUE"""),"ACER TRAVELMATE")</f>
        <v>ACER TRAVELMATE</v>
      </c>
      <c r="D423" s="164" t="str">
        <f ca="1">IFERROR(__xludf.DUMMYFUNCTION("""COMPUTED_VALUE"""),"₱ 46,580.00")</f>
        <v>₱ 46,580.00</v>
      </c>
      <c r="E423" s="164"/>
      <c r="F423" s="164" t="str">
        <f ca="1">IFERROR(__xludf.DUMMYFUNCTION("""COMPUTED_VALUE"""),"2024-05-03-10202SP-284")</f>
        <v>2024-05-03-10202SP-284</v>
      </c>
      <c r="G423" s="164"/>
      <c r="H423" s="164" t="str">
        <f ca="1">IFERROR(__xludf.DUMMYFUNCTION("""COMPUTED_VALUE"""),"ANACLETA B MARIANO")</f>
        <v>ANACLETA B MARIANO</v>
      </c>
      <c r="I423" s="164" t="str">
        <f ca="1">IFERROR(__xludf.DUMMYFUNCTION("""COMPUTED_VALUE"""),"OIC DIRECTOR IV")</f>
        <v>OIC DIRECTOR IV</v>
      </c>
      <c r="J423" s="164" t="str">
        <f ca="1">IFERROR(__xludf.DUMMYFUNCTION("""COMPUTED_VALUE"""),"SP024-2024")</f>
        <v>SP024-2024</v>
      </c>
      <c r="K423" s="164"/>
      <c r="L423" s="164" t="str">
        <f ca="1">IFERROR(__xludf.DUMMYFUNCTION("""COMPUTED_VALUE"""),"OD-FASPO")</f>
        <v>OD-FASPO</v>
      </c>
      <c r="M423" s="164" t="str">
        <f ca="1">IFERROR(__xludf.DUMMYFUNCTION("""COMPUTED_VALUE"""),"SERVICEABLE")</f>
        <v>SERVICEABLE</v>
      </c>
      <c r="N423" s="164"/>
    </row>
    <row r="424" spans="1:14" ht="13.2">
      <c r="A424" s="164" t="str">
        <f ca="1">IFERROR(__xludf.DUMMYFUNCTION("""COMPUTED_VALUE"""),"DARCO")</f>
        <v>DARCO</v>
      </c>
      <c r="B424" s="164" t="str">
        <f ca="1">IFERROR(__xludf.DUMMYFUNCTION("""COMPUTED_VALUE"""),"CENTRAL OFFICE")</f>
        <v>CENTRAL OFFICE</v>
      </c>
      <c r="C424" s="164" t="str">
        <f ca="1">IFERROR(__xludf.DUMMYFUNCTION("""COMPUTED_VALUE"""),"ACER TRAVELMATE")</f>
        <v>ACER TRAVELMATE</v>
      </c>
      <c r="D424" s="164" t="str">
        <f ca="1">IFERROR(__xludf.DUMMYFUNCTION("""COMPUTED_VALUE"""),"₱ 46,580.00")</f>
        <v>₱ 46,580.00</v>
      </c>
      <c r="E424" s="164"/>
      <c r="F424" s="164" t="str">
        <f ca="1">IFERROR(__xludf.DUMMYFUNCTION("""COMPUTED_VALUE"""),"2024-05-03-10202SP-285")</f>
        <v>2024-05-03-10202SP-285</v>
      </c>
      <c r="G424" s="164"/>
      <c r="H424" s="164" t="str">
        <f ca="1">IFERROR(__xludf.DUMMYFUNCTION("""COMPUTED_VALUE"""),"ANACLETA B MARIANO")</f>
        <v>ANACLETA B MARIANO</v>
      </c>
      <c r="I424" s="164" t="str">
        <f ca="1">IFERROR(__xludf.DUMMYFUNCTION("""COMPUTED_VALUE"""),"OIC DIRECTOR IV")</f>
        <v>OIC DIRECTOR IV</v>
      </c>
      <c r="J424" s="164" t="str">
        <f ca="1">IFERROR(__xludf.DUMMYFUNCTION("""COMPUTED_VALUE"""),"SP024-2024")</f>
        <v>SP024-2024</v>
      </c>
      <c r="K424" s="164"/>
      <c r="L424" s="164" t="str">
        <f ca="1">IFERROR(__xludf.DUMMYFUNCTION("""COMPUTED_VALUE"""),"OD-FASPO")</f>
        <v>OD-FASPO</v>
      </c>
      <c r="M424" s="164" t="str">
        <f ca="1">IFERROR(__xludf.DUMMYFUNCTION("""COMPUTED_VALUE"""),"SERVICEABLE")</f>
        <v>SERVICEABLE</v>
      </c>
      <c r="N424" s="164"/>
    </row>
    <row r="425" spans="1:14" ht="13.2">
      <c r="A425" s="164" t="str">
        <f ca="1">IFERROR(__xludf.DUMMYFUNCTION("""COMPUTED_VALUE"""),"DARCO")</f>
        <v>DARCO</v>
      </c>
      <c r="B425" s="164" t="str">
        <f ca="1">IFERROR(__xludf.DUMMYFUNCTION("""COMPUTED_VALUE"""),"CENTRAL OFFICE")</f>
        <v>CENTRAL OFFICE</v>
      </c>
      <c r="C425" s="164" t="str">
        <f ca="1">IFERROR(__xludf.DUMMYFUNCTION("""COMPUTED_VALUE"""),"ACER TRAVELMATE")</f>
        <v>ACER TRAVELMATE</v>
      </c>
      <c r="D425" s="164" t="str">
        <f ca="1">IFERROR(__xludf.DUMMYFUNCTION("""COMPUTED_VALUE"""),"₱ 46,580.00")</f>
        <v>₱ 46,580.00</v>
      </c>
      <c r="E425" s="164"/>
      <c r="F425" s="164" t="str">
        <f ca="1">IFERROR(__xludf.DUMMYFUNCTION("""COMPUTED_VALUE"""),"2024-05-03-10202SP-286")</f>
        <v>2024-05-03-10202SP-286</v>
      </c>
      <c r="G425" s="164"/>
      <c r="H425" s="164" t="str">
        <f ca="1">IFERROR(__xludf.DUMMYFUNCTION("""COMPUTED_VALUE"""),"ANACLETA B MARIANO")</f>
        <v>ANACLETA B MARIANO</v>
      </c>
      <c r="I425" s="164" t="str">
        <f ca="1">IFERROR(__xludf.DUMMYFUNCTION("""COMPUTED_VALUE"""),"OIC DIRECTOR IV")</f>
        <v>OIC DIRECTOR IV</v>
      </c>
      <c r="J425" s="164" t="str">
        <f ca="1">IFERROR(__xludf.DUMMYFUNCTION("""COMPUTED_VALUE"""),"SP024-2024")</f>
        <v>SP024-2024</v>
      </c>
      <c r="K425" s="164"/>
      <c r="L425" s="164" t="str">
        <f ca="1">IFERROR(__xludf.DUMMYFUNCTION("""COMPUTED_VALUE"""),"OD-FASPO")</f>
        <v>OD-FASPO</v>
      </c>
      <c r="M425" s="164" t="str">
        <f ca="1">IFERROR(__xludf.DUMMYFUNCTION("""COMPUTED_VALUE"""),"SERVICEABLE")</f>
        <v>SERVICEABLE</v>
      </c>
      <c r="N425" s="164"/>
    </row>
    <row r="426" spans="1:14" ht="13.2">
      <c r="A426" s="164" t="str">
        <f ca="1">IFERROR(__xludf.DUMMYFUNCTION("""COMPUTED_VALUE"""),"DARCO")</f>
        <v>DARCO</v>
      </c>
      <c r="B426" s="164" t="str">
        <f ca="1">IFERROR(__xludf.DUMMYFUNCTION("""COMPUTED_VALUE"""),"CENTRAL OFFICE")</f>
        <v>CENTRAL OFFICE</v>
      </c>
      <c r="C426" s="164" t="str">
        <f ca="1">IFERROR(__xludf.DUMMYFUNCTION("""COMPUTED_VALUE"""),"ACER TRAVELMATE")</f>
        <v>ACER TRAVELMATE</v>
      </c>
      <c r="D426" s="164" t="str">
        <f ca="1">IFERROR(__xludf.DUMMYFUNCTION("""COMPUTED_VALUE"""),"₱ 46,580.00")</f>
        <v>₱ 46,580.00</v>
      </c>
      <c r="E426" s="164"/>
      <c r="F426" s="164" t="str">
        <f ca="1">IFERROR(__xludf.DUMMYFUNCTION("""COMPUTED_VALUE"""),"2024-05-03-10202SP-287")</f>
        <v>2024-05-03-10202SP-287</v>
      </c>
      <c r="G426" s="164"/>
      <c r="H426" s="164" t="str">
        <f ca="1">IFERROR(__xludf.DUMMYFUNCTION("""COMPUTED_VALUE"""),"MA. SHELLA G CARAMBAS")</f>
        <v>MA. SHELLA G CARAMBAS</v>
      </c>
      <c r="I426" s="164"/>
      <c r="J426" s="164" t="str">
        <f ca="1">IFERROR(__xludf.DUMMYFUNCTION("""COMPUTED_VALUE"""),"SP025-2024")</f>
        <v>SP025-2024</v>
      </c>
      <c r="K426" s="164"/>
      <c r="L426" s="164" t="str">
        <f ca="1">IFERROR(__xludf.DUMMYFUNCTION("""COMPUTED_VALUE"""),"OD ADMIN SERVICE")</f>
        <v>OD ADMIN SERVICE</v>
      </c>
      <c r="M426" s="164" t="str">
        <f ca="1">IFERROR(__xludf.DUMMYFUNCTION("""COMPUTED_VALUE"""),"SERVICEABLE")</f>
        <v>SERVICEABLE</v>
      </c>
      <c r="N426" s="164"/>
    </row>
    <row r="427" spans="1:14" ht="13.2">
      <c r="A427" s="164" t="str">
        <f ca="1">IFERROR(__xludf.DUMMYFUNCTION("""COMPUTED_VALUE"""),"DARCO")</f>
        <v>DARCO</v>
      </c>
      <c r="B427" s="164" t="str">
        <f ca="1">IFERROR(__xludf.DUMMYFUNCTION("""COMPUTED_VALUE"""),"CENTRAL OFFICE")</f>
        <v>CENTRAL OFFICE</v>
      </c>
      <c r="C427" s="164" t="str">
        <f ca="1">IFERROR(__xludf.DUMMYFUNCTION("""COMPUTED_VALUE"""),"ACER TRAVELMATE")</f>
        <v>ACER TRAVELMATE</v>
      </c>
      <c r="D427" s="164" t="str">
        <f ca="1">IFERROR(__xludf.DUMMYFUNCTION("""COMPUTED_VALUE"""),"₱ 46,580.00")</f>
        <v>₱ 46,580.00</v>
      </c>
      <c r="E427" s="164"/>
      <c r="F427" s="164" t="str">
        <f ca="1">IFERROR(__xludf.DUMMYFUNCTION("""COMPUTED_VALUE"""),"2024-05-03-10202SP-288")</f>
        <v>2024-05-03-10202SP-288</v>
      </c>
      <c r="G427" s="164"/>
      <c r="H427" s="164" t="str">
        <f ca="1">IFERROR(__xludf.DUMMYFUNCTION("""COMPUTED_VALUE"""),"MA. SHELLA G CARAMBAS")</f>
        <v>MA. SHELLA G CARAMBAS</v>
      </c>
      <c r="I427" s="164"/>
      <c r="J427" s="164" t="str">
        <f ca="1">IFERROR(__xludf.DUMMYFUNCTION("""COMPUTED_VALUE"""),"SP025-2024")</f>
        <v>SP025-2024</v>
      </c>
      <c r="K427" s="164"/>
      <c r="L427" s="164" t="str">
        <f ca="1">IFERROR(__xludf.DUMMYFUNCTION("""COMPUTED_VALUE"""),"OD ADMIN SERVICE")</f>
        <v>OD ADMIN SERVICE</v>
      </c>
      <c r="M427" s="164" t="str">
        <f ca="1">IFERROR(__xludf.DUMMYFUNCTION("""COMPUTED_VALUE"""),"SERVICEABLE")</f>
        <v>SERVICEABLE</v>
      </c>
      <c r="N427" s="164"/>
    </row>
    <row r="428" spans="1:14" ht="13.2">
      <c r="A428" s="164" t="str">
        <f ca="1">IFERROR(__xludf.DUMMYFUNCTION("""COMPUTED_VALUE"""),"DARCO")</f>
        <v>DARCO</v>
      </c>
      <c r="B428" s="164" t="str">
        <f ca="1">IFERROR(__xludf.DUMMYFUNCTION("""COMPUTED_VALUE"""),"CENTRAL OFFICE")</f>
        <v>CENTRAL OFFICE</v>
      </c>
      <c r="C428" s="164" t="str">
        <f ca="1">IFERROR(__xludf.DUMMYFUNCTION("""COMPUTED_VALUE"""),"ACER TRAVELMATE")</f>
        <v>ACER TRAVELMATE</v>
      </c>
      <c r="D428" s="164" t="str">
        <f ca="1">IFERROR(__xludf.DUMMYFUNCTION("""COMPUTED_VALUE"""),"₱ 46,580.00")</f>
        <v>₱ 46,580.00</v>
      </c>
      <c r="E428" s="164"/>
      <c r="F428" s="164" t="str">
        <f ca="1">IFERROR(__xludf.DUMMYFUNCTION("""COMPUTED_VALUE"""),"2024-05-03-10202SP-289")</f>
        <v>2024-05-03-10202SP-289</v>
      </c>
      <c r="G428" s="164"/>
      <c r="H428" s="164" t="str">
        <f ca="1">IFERROR(__xludf.DUMMYFUNCTION("""COMPUTED_VALUE"""),"MA. SHELLA G CARAMBAS")</f>
        <v>MA. SHELLA G CARAMBAS</v>
      </c>
      <c r="I428" s="164"/>
      <c r="J428" s="164" t="str">
        <f ca="1">IFERROR(__xludf.DUMMYFUNCTION("""COMPUTED_VALUE"""),"SP025-2024")</f>
        <v>SP025-2024</v>
      </c>
      <c r="K428" s="164"/>
      <c r="L428" s="164" t="str">
        <f ca="1">IFERROR(__xludf.DUMMYFUNCTION("""COMPUTED_VALUE"""),"OD ADMIN SERVICE")</f>
        <v>OD ADMIN SERVICE</v>
      </c>
      <c r="M428" s="164" t="str">
        <f ca="1">IFERROR(__xludf.DUMMYFUNCTION("""COMPUTED_VALUE"""),"SERVICEABLE")</f>
        <v>SERVICEABLE</v>
      </c>
      <c r="N428" s="164"/>
    </row>
    <row r="429" spans="1:14" ht="13.2">
      <c r="A429" s="164" t="str">
        <f ca="1">IFERROR(__xludf.DUMMYFUNCTION("""COMPUTED_VALUE"""),"DARCO")</f>
        <v>DARCO</v>
      </c>
      <c r="B429" s="164" t="str">
        <f ca="1">IFERROR(__xludf.DUMMYFUNCTION("""COMPUTED_VALUE"""),"CENTRAL OFFICE")</f>
        <v>CENTRAL OFFICE</v>
      </c>
      <c r="C429" s="164" t="str">
        <f ca="1">IFERROR(__xludf.DUMMYFUNCTION("""COMPUTED_VALUE"""),"ACER TRAVELMATE")</f>
        <v>ACER TRAVELMATE</v>
      </c>
      <c r="D429" s="164" t="str">
        <f ca="1">IFERROR(__xludf.DUMMYFUNCTION("""COMPUTED_VALUE"""),"₱ 46,580.00")</f>
        <v>₱ 46,580.00</v>
      </c>
      <c r="E429" s="164"/>
      <c r="F429" s="164" t="str">
        <f ca="1">IFERROR(__xludf.DUMMYFUNCTION("""COMPUTED_VALUE"""),"2024-05-03-10202SP-290")</f>
        <v>2024-05-03-10202SP-290</v>
      </c>
      <c r="G429" s="164"/>
      <c r="H429" s="164"/>
      <c r="I429" s="164" t="str">
        <f ca="1">IFERROR(__xludf.DUMMYFUNCTION("""COMPUTED_VALUE"""),"DIRECTOR")</f>
        <v>DIRECTOR</v>
      </c>
      <c r="J429" s="164" t="str">
        <f ca="1">IFERROR(__xludf.DUMMYFUNCTION("""COMPUTED_VALUE"""),"SP026-2024")</f>
        <v>SP026-2024</v>
      </c>
      <c r="K429" s="164"/>
      <c r="L429" s="164" t="str">
        <f ca="1">IFERROR(__xludf.DUMMYFUNCTION("""COMPUTED_VALUE"""),"MISS")</f>
        <v>MISS</v>
      </c>
      <c r="M429" s="164" t="str">
        <f ca="1">IFERROR(__xludf.DUMMYFUNCTION("""COMPUTED_VALUE"""),"SERVICEABLE")</f>
        <v>SERVICEABLE</v>
      </c>
      <c r="N429" s="164"/>
    </row>
    <row r="430" spans="1:14" ht="13.2">
      <c r="A430" s="164" t="str">
        <f ca="1">IFERROR(__xludf.DUMMYFUNCTION("""COMPUTED_VALUE"""),"DARCO")</f>
        <v>DARCO</v>
      </c>
      <c r="B430" s="164" t="str">
        <f ca="1">IFERROR(__xludf.DUMMYFUNCTION("""COMPUTED_VALUE"""),"CENTRAL OFFICE")</f>
        <v>CENTRAL OFFICE</v>
      </c>
      <c r="C430" s="164" t="str">
        <f ca="1">IFERROR(__xludf.DUMMYFUNCTION("""COMPUTED_VALUE"""),"ACER TRAVELMATE")</f>
        <v>ACER TRAVELMATE</v>
      </c>
      <c r="D430" s="164" t="str">
        <f ca="1">IFERROR(__xludf.DUMMYFUNCTION("""COMPUTED_VALUE"""),"₱ 46,580.00")</f>
        <v>₱ 46,580.00</v>
      </c>
      <c r="E430" s="164"/>
      <c r="F430" s="164" t="str">
        <f ca="1">IFERROR(__xludf.DUMMYFUNCTION("""COMPUTED_VALUE"""),"2024-05-03-10202SP-291")</f>
        <v>2024-05-03-10202SP-291</v>
      </c>
      <c r="G430" s="164"/>
      <c r="H430" s="164"/>
      <c r="I430" s="164" t="str">
        <f ca="1">IFERROR(__xludf.DUMMYFUNCTION("""COMPUTED_VALUE"""),"DIRECTOR")</f>
        <v>DIRECTOR</v>
      </c>
      <c r="J430" s="164" t="str">
        <f ca="1">IFERROR(__xludf.DUMMYFUNCTION("""COMPUTED_VALUE"""),"SP026-2024")</f>
        <v>SP026-2024</v>
      </c>
      <c r="K430" s="164"/>
      <c r="L430" s="164" t="str">
        <f ca="1">IFERROR(__xludf.DUMMYFUNCTION("""COMPUTED_VALUE"""),"MISS")</f>
        <v>MISS</v>
      </c>
      <c r="M430" s="164" t="str">
        <f ca="1">IFERROR(__xludf.DUMMYFUNCTION("""COMPUTED_VALUE"""),"SERVICEABLE")</f>
        <v>SERVICEABLE</v>
      </c>
      <c r="N430" s="164"/>
    </row>
    <row r="431" spans="1:14" ht="13.2">
      <c r="A431" s="164" t="str">
        <f ca="1">IFERROR(__xludf.DUMMYFUNCTION("""COMPUTED_VALUE"""),"DARCO")</f>
        <v>DARCO</v>
      </c>
      <c r="B431" s="164" t="str">
        <f ca="1">IFERROR(__xludf.DUMMYFUNCTION("""COMPUTED_VALUE"""),"CENTRAL OFFICE")</f>
        <v>CENTRAL OFFICE</v>
      </c>
      <c r="C431" s="164" t="str">
        <f ca="1">IFERROR(__xludf.DUMMYFUNCTION("""COMPUTED_VALUE"""),"ACER TRAVELMATE")</f>
        <v>ACER TRAVELMATE</v>
      </c>
      <c r="D431" s="164" t="str">
        <f ca="1">IFERROR(__xludf.DUMMYFUNCTION("""COMPUTED_VALUE"""),"₱ 46,580.00")</f>
        <v>₱ 46,580.00</v>
      </c>
      <c r="E431" s="164"/>
      <c r="F431" s="164" t="str">
        <f ca="1">IFERROR(__xludf.DUMMYFUNCTION("""COMPUTED_VALUE"""),"2024-05-03-10202SP-292")</f>
        <v>2024-05-03-10202SP-292</v>
      </c>
      <c r="G431" s="164"/>
      <c r="H431" s="164"/>
      <c r="I431" s="164" t="str">
        <f ca="1">IFERROR(__xludf.DUMMYFUNCTION("""COMPUTED_VALUE"""),"DIRECTOR")</f>
        <v>DIRECTOR</v>
      </c>
      <c r="J431" s="164" t="str">
        <f ca="1">IFERROR(__xludf.DUMMYFUNCTION("""COMPUTED_VALUE"""),"SP026-2024")</f>
        <v>SP026-2024</v>
      </c>
      <c r="K431" s="164"/>
      <c r="L431" s="164" t="str">
        <f ca="1">IFERROR(__xludf.DUMMYFUNCTION("""COMPUTED_VALUE"""),"MISS")</f>
        <v>MISS</v>
      </c>
      <c r="M431" s="164" t="str">
        <f ca="1">IFERROR(__xludf.DUMMYFUNCTION("""COMPUTED_VALUE"""),"SERVICEABLE")</f>
        <v>SERVICEABLE</v>
      </c>
      <c r="N431" s="164"/>
    </row>
    <row r="432" spans="1:14" ht="13.2">
      <c r="A432" s="164" t="str">
        <f ca="1">IFERROR(__xludf.DUMMYFUNCTION("""COMPUTED_VALUE"""),"DARCO")</f>
        <v>DARCO</v>
      </c>
      <c r="B432" s="164" t="str">
        <f ca="1">IFERROR(__xludf.DUMMYFUNCTION("""COMPUTED_VALUE"""),"CENTRAL OFFICE")</f>
        <v>CENTRAL OFFICE</v>
      </c>
      <c r="C432" s="164" t="str">
        <f ca="1">IFERROR(__xludf.DUMMYFUNCTION("""COMPUTED_VALUE"""),"ACER TRAVELMATE")</f>
        <v>ACER TRAVELMATE</v>
      </c>
      <c r="D432" s="164" t="str">
        <f ca="1">IFERROR(__xludf.DUMMYFUNCTION("""COMPUTED_VALUE"""),"₱ 46,580.00")</f>
        <v>₱ 46,580.00</v>
      </c>
      <c r="E432" s="164"/>
      <c r="F432" s="164" t="str">
        <f ca="1">IFERROR(__xludf.DUMMYFUNCTION("""COMPUTED_VALUE"""),"2024-05-03-10202SP-293")</f>
        <v>2024-05-03-10202SP-293</v>
      </c>
      <c r="G432" s="164"/>
      <c r="H432" s="164"/>
      <c r="I432" s="164" t="str">
        <f ca="1">IFERROR(__xludf.DUMMYFUNCTION("""COMPUTED_VALUE"""),"DIRECTOR")</f>
        <v>DIRECTOR</v>
      </c>
      <c r="J432" s="164" t="str">
        <f ca="1">IFERROR(__xludf.DUMMYFUNCTION("""COMPUTED_VALUE"""),"SP026-2024")</f>
        <v>SP026-2024</v>
      </c>
      <c r="K432" s="164"/>
      <c r="L432" s="164" t="str">
        <f ca="1">IFERROR(__xludf.DUMMYFUNCTION("""COMPUTED_VALUE"""),"MISS")</f>
        <v>MISS</v>
      </c>
      <c r="M432" s="164" t="str">
        <f ca="1">IFERROR(__xludf.DUMMYFUNCTION("""COMPUTED_VALUE"""),"SERVICEABLE")</f>
        <v>SERVICEABLE</v>
      </c>
      <c r="N432" s="164"/>
    </row>
    <row r="433" spans="1:14" ht="13.2">
      <c r="A433" s="164" t="str">
        <f ca="1">IFERROR(__xludf.DUMMYFUNCTION("""COMPUTED_VALUE"""),"DARCO")</f>
        <v>DARCO</v>
      </c>
      <c r="B433" s="164" t="str">
        <f ca="1">IFERROR(__xludf.DUMMYFUNCTION("""COMPUTED_VALUE"""),"CENTRAL OFFICE")</f>
        <v>CENTRAL OFFICE</v>
      </c>
      <c r="C433" s="164" t="str">
        <f ca="1">IFERROR(__xludf.DUMMYFUNCTION("""COMPUTED_VALUE"""),"ACER TRAVELMATE")</f>
        <v>ACER TRAVELMATE</v>
      </c>
      <c r="D433" s="164" t="str">
        <f ca="1">IFERROR(__xludf.DUMMYFUNCTION("""COMPUTED_VALUE"""),"₱ 46,580.00")</f>
        <v>₱ 46,580.00</v>
      </c>
      <c r="E433" s="164"/>
      <c r="F433" s="164" t="str">
        <f ca="1">IFERROR(__xludf.DUMMYFUNCTION("""COMPUTED_VALUE"""),"2024-05-03-10202SP-294")</f>
        <v>2024-05-03-10202SP-294</v>
      </c>
      <c r="G433" s="164"/>
      <c r="H433" s="164"/>
      <c r="I433" s="164" t="str">
        <f ca="1">IFERROR(__xludf.DUMMYFUNCTION("""COMPUTED_VALUE"""),"DIRECTOR")</f>
        <v>DIRECTOR</v>
      </c>
      <c r="J433" s="164" t="str">
        <f ca="1">IFERROR(__xludf.DUMMYFUNCTION("""COMPUTED_VALUE"""),"SP026-2024")</f>
        <v>SP026-2024</v>
      </c>
      <c r="K433" s="164"/>
      <c r="L433" s="164" t="str">
        <f ca="1">IFERROR(__xludf.DUMMYFUNCTION("""COMPUTED_VALUE"""),"MISS")</f>
        <v>MISS</v>
      </c>
      <c r="M433" s="164" t="str">
        <f ca="1">IFERROR(__xludf.DUMMYFUNCTION("""COMPUTED_VALUE"""),"SERVICEABLE")</f>
        <v>SERVICEABLE</v>
      </c>
      <c r="N433" s="164"/>
    </row>
    <row r="434" spans="1:14" ht="13.2">
      <c r="A434" s="164" t="str">
        <f ca="1">IFERROR(__xludf.DUMMYFUNCTION("""COMPUTED_VALUE"""),"DARCO")</f>
        <v>DARCO</v>
      </c>
      <c r="B434" s="164" t="str">
        <f ca="1">IFERROR(__xludf.DUMMYFUNCTION("""COMPUTED_VALUE"""),"CENTRAL OFFICE")</f>
        <v>CENTRAL OFFICE</v>
      </c>
      <c r="C434" s="164" t="str">
        <f ca="1">IFERROR(__xludf.DUMMYFUNCTION("""COMPUTED_VALUE"""),"ACER TRAVELMATE")</f>
        <v>ACER TRAVELMATE</v>
      </c>
      <c r="D434" s="164" t="str">
        <f ca="1">IFERROR(__xludf.DUMMYFUNCTION("""COMPUTED_VALUE"""),"₱ 46,580.00")</f>
        <v>₱ 46,580.00</v>
      </c>
      <c r="E434" s="164"/>
      <c r="F434" s="164" t="str">
        <f ca="1">IFERROR(__xludf.DUMMYFUNCTION("""COMPUTED_VALUE"""),"2024-05-03-10202SP-295")</f>
        <v>2024-05-03-10202SP-295</v>
      </c>
      <c r="G434" s="164"/>
      <c r="H434" s="164"/>
      <c r="I434" s="164"/>
      <c r="J434" s="164" t="str">
        <f ca="1">IFERROR(__xludf.DUMMYFUNCTION("""COMPUTED_VALUE"""),"SP027-2024")</f>
        <v>SP027-2024</v>
      </c>
      <c r="K434" s="164"/>
      <c r="L434" s="164" t="str">
        <f ca="1">IFERROR(__xludf.DUMMYFUNCTION("""COMPUTED_VALUE"""),"COA")</f>
        <v>COA</v>
      </c>
      <c r="M434" s="164" t="str">
        <f ca="1">IFERROR(__xludf.DUMMYFUNCTION("""COMPUTED_VALUE"""),"SERVICEABLE")</f>
        <v>SERVICEABLE</v>
      </c>
      <c r="N434" s="164"/>
    </row>
    <row r="435" spans="1:14" ht="13.2">
      <c r="A435" s="164" t="str">
        <f ca="1">IFERROR(__xludf.DUMMYFUNCTION("""COMPUTED_VALUE"""),"DARCO")</f>
        <v>DARCO</v>
      </c>
      <c r="B435" s="164" t="str">
        <f ca="1">IFERROR(__xludf.DUMMYFUNCTION("""COMPUTED_VALUE"""),"CENTRAL OFFICE")</f>
        <v>CENTRAL OFFICE</v>
      </c>
      <c r="C435" s="164" t="str">
        <f ca="1">IFERROR(__xludf.DUMMYFUNCTION("""COMPUTED_VALUE"""),"ACER TRAVELMATE")</f>
        <v>ACER TRAVELMATE</v>
      </c>
      <c r="D435" s="164" t="str">
        <f ca="1">IFERROR(__xludf.DUMMYFUNCTION("""COMPUTED_VALUE"""),"₱ 46,580.00")</f>
        <v>₱ 46,580.00</v>
      </c>
      <c r="E435" s="164"/>
      <c r="F435" s="164" t="str">
        <f ca="1">IFERROR(__xludf.DUMMYFUNCTION("""COMPUTED_VALUE"""),"2024-05-03-10202SP-296")</f>
        <v>2024-05-03-10202SP-296</v>
      </c>
      <c r="G435" s="164"/>
      <c r="H435" s="164"/>
      <c r="I435" s="164"/>
      <c r="J435" s="164" t="str">
        <f ca="1">IFERROR(__xludf.DUMMYFUNCTION("""COMPUTED_VALUE"""),"SP027-2024")</f>
        <v>SP027-2024</v>
      </c>
      <c r="K435" s="164"/>
      <c r="L435" s="164" t="str">
        <f ca="1">IFERROR(__xludf.DUMMYFUNCTION("""COMPUTED_VALUE"""),"COA")</f>
        <v>COA</v>
      </c>
      <c r="M435" s="164" t="str">
        <f ca="1">IFERROR(__xludf.DUMMYFUNCTION("""COMPUTED_VALUE"""),"SERVICEABLE")</f>
        <v>SERVICEABLE</v>
      </c>
      <c r="N435" s="164"/>
    </row>
    <row r="436" spans="1:14" ht="13.2">
      <c r="A436" s="164" t="str">
        <f ca="1">IFERROR(__xludf.DUMMYFUNCTION("""COMPUTED_VALUE"""),"DARCO")</f>
        <v>DARCO</v>
      </c>
      <c r="B436" s="164" t="str">
        <f ca="1">IFERROR(__xludf.DUMMYFUNCTION("""COMPUTED_VALUE"""),"CENTRAL OFFICE")</f>
        <v>CENTRAL OFFICE</v>
      </c>
      <c r="C436" s="164" t="str">
        <f ca="1">IFERROR(__xludf.DUMMYFUNCTION("""COMPUTED_VALUE"""),"ACER TRAVELMATE")</f>
        <v>ACER TRAVELMATE</v>
      </c>
      <c r="D436" s="164" t="str">
        <f ca="1">IFERROR(__xludf.DUMMYFUNCTION("""COMPUTED_VALUE"""),"₱ 46,580.00")</f>
        <v>₱ 46,580.00</v>
      </c>
      <c r="E436" s="164"/>
      <c r="F436" s="164" t="str">
        <f ca="1">IFERROR(__xludf.DUMMYFUNCTION("""COMPUTED_VALUE"""),"2024-05-03-10202SP-297")</f>
        <v>2024-05-03-10202SP-297</v>
      </c>
      <c r="G436" s="164"/>
      <c r="H436" s="164"/>
      <c r="I436" s="164"/>
      <c r="J436" s="164" t="str">
        <f ca="1">IFERROR(__xludf.DUMMYFUNCTION("""COMPUTED_VALUE"""),"SP027-2024")</f>
        <v>SP027-2024</v>
      </c>
      <c r="K436" s="164"/>
      <c r="L436" s="164" t="str">
        <f ca="1">IFERROR(__xludf.DUMMYFUNCTION("""COMPUTED_VALUE"""),"COA")</f>
        <v>COA</v>
      </c>
      <c r="M436" s="164" t="str">
        <f ca="1">IFERROR(__xludf.DUMMYFUNCTION("""COMPUTED_VALUE"""),"SERVICEABLE")</f>
        <v>SERVICEABLE</v>
      </c>
      <c r="N436" s="164"/>
    </row>
    <row r="437" spans="1:14" ht="13.2">
      <c r="A437" s="164" t="str">
        <f ca="1">IFERROR(__xludf.DUMMYFUNCTION("""COMPUTED_VALUE"""),"DARCO")</f>
        <v>DARCO</v>
      </c>
      <c r="B437" s="164" t="str">
        <f ca="1">IFERROR(__xludf.DUMMYFUNCTION("""COMPUTED_VALUE"""),"CENTRAL OFFICE")</f>
        <v>CENTRAL OFFICE</v>
      </c>
      <c r="C437" s="164" t="str">
        <f ca="1">IFERROR(__xludf.DUMMYFUNCTION("""COMPUTED_VALUE"""),"ACER TRAVELMATE")</f>
        <v>ACER TRAVELMATE</v>
      </c>
      <c r="D437" s="164" t="str">
        <f ca="1">IFERROR(__xludf.DUMMYFUNCTION("""COMPUTED_VALUE"""),"₱ 46,580.00")</f>
        <v>₱ 46,580.00</v>
      </c>
      <c r="E437" s="164"/>
      <c r="F437" s="164" t="str">
        <f ca="1">IFERROR(__xludf.DUMMYFUNCTION("""COMPUTED_VALUE"""),"2024-05-03-10202SP-298")</f>
        <v>2024-05-03-10202SP-298</v>
      </c>
      <c r="G437" s="164"/>
      <c r="H437" s="164"/>
      <c r="I437" s="164"/>
      <c r="J437" s="164" t="str">
        <f ca="1">IFERROR(__xludf.DUMMYFUNCTION("""COMPUTED_VALUE"""),"SP027-2024")</f>
        <v>SP027-2024</v>
      </c>
      <c r="K437" s="164"/>
      <c r="L437" s="164" t="str">
        <f ca="1">IFERROR(__xludf.DUMMYFUNCTION("""COMPUTED_VALUE"""),"COA")</f>
        <v>COA</v>
      </c>
      <c r="M437" s="164" t="str">
        <f ca="1">IFERROR(__xludf.DUMMYFUNCTION("""COMPUTED_VALUE"""),"SERVICEABLE")</f>
        <v>SERVICEABLE</v>
      </c>
      <c r="N437" s="164"/>
    </row>
    <row r="438" spans="1:14" ht="13.2">
      <c r="A438" s="164" t="str">
        <f ca="1">IFERROR(__xludf.DUMMYFUNCTION("""COMPUTED_VALUE"""),"DARCO")</f>
        <v>DARCO</v>
      </c>
      <c r="B438" s="164" t="str">
        <f ca="1">IFERROR(__xludf.DUMMYFUNCTION("""COMPUTED_VALUE"""),"CENTRAL OFFICE")</f>
        <v>CENTRAL OFFICE</v>
      </c>
      <c r="C438" s="164" t="str">
        <f ca="1">IFERROR(__xludf.DUMMYFUNCTION("""COMPUTED_VALUE"""),"ACER TRAVELMATE")</f>
        <v>ACER TRAVELMATE</v>
      </c>
      <c r="D438" s="164" t="str">
        <f ca="1">IFERROR(__xludf.DUMMYFUNCTION("""COMPUTED_VALUE"""),"₱ 46,580.00")</f>
        <v>₱ 46,580.00</v>
      </c>
      <c r="E438" s="164"/>
      <c r="F438" s="164" t="str">
        <f ca="1">IFERROR(__xludf.DUMMYFUNCTION("""COMPUTED_VALUE"""),"2024-05-03-10202SP-299")</f>
        <v>2024-05-03-10202SP-299</v>
      </c>
      <c r="G438" s="164"/>
      <c r="H438" s="164"/>
      <c r="I438" s="164"/>
      <c r="J438" s="164" t="str">
        <f ca="1">IFERROR(__xludf.DUMMYFUNCTION("""COMPUTED_VALUE"""),"SP027-2024")</f>
        <v>SP027-2024</v>
      </c>
      <c r="K438" s="164"/>
      <c r="L438" s="164" t="str">
        <f ca="1">IFERROR(__xludf.DUMMYFUNCTION("""COMPUTED_VALUE"""),"USEC FOO")</f>
        <v>USEC FOO</v>
      </c>
      <c r="M438" s="164" t="str">
        <f ca="1">IFERROR(__xludf.DUMMYFUNCTION("""COMPUTED_VALUE"""),"SERVICEABLE")</f>
        <v>SERVICEABLE</v>
      </c>
      <c r="N438" s="164"/>
    </row>
    <row r="439" spans="1:14" ht="13.2">
      <c r="A439" s="164" t="str">
        <f ca="1">IFERROR(__xludf.DUMMYFUNCTION("""COMPUTED_VALUE"""),"DARCO")</f>
        <v>DARCO</v>
      </c>
      <c r="B439" s="164" t="str">
        <f ca="1">IFERROR(__xludf.DUMMYFUNCTION("""COMPUTED_VALUE"""),"CENTRAL OFFICE")</f>
        <v>CENTRAL OFFICE</v>
      </c>
      <c r="C439" s="164" t="str">
        <f ca="1">IFERROR(__xludf.DUMMYFUNCTION("""COMPUTED_VALUE"""),"ACER TRAVELMATE")</f>
        <v>ACER TRAVELMATE</v>
      </c>
      <c r="D439" s="164" t="str">
        <f ca="1">IFERROR(__xludf.DUMMYFUNCTION("""COMPUTED_VALUE"""),"₱ 46,580.00")</f>
        <v>₱ 46,580.00</v>
      </c>
      <c r="E439" s="164"/>
      <c r="F439" s="164" t="str">
        <f ca="1">IFERROR(__xludf.DUMMYFUNCTION("""COMPUTED_VALUE"""),"2024-05-03-10202SP-300")</f>
        <v>2024-05-03-10202SP-300</v>
      </c>
      <c r="G439" s="164"/>
      <c r="H439" s="164" t="str">
        <f ca="1">IFERROR(__xludf.DUMMYFUNCTION("""COMPUTED_VALUE"""),"ATTY SHEILA B ENCISO")</f>
        <v>ATTY SHEILA B ENCISO</v>
      </c>
      <c r="I439" s="164" t="str">
        <f ca="1">IFERROR(__xludf.DUMMYFUNCTION("""COMPUTED_VALUE"""),"DIRECTOR")</f>
        <v>DIRECTOR</v>
      </c>
      <c r="J439" s="164" t="str">
        <f ca="1">IFERROR(__xludf.DUMMYFUNCTION("""COMPUTED_VALUE"""),"SP032-2024")</f>
        <v>SP032-2024</v>
      </c>
      <c r="K439" s="164"/>
      <c r="L439" s="164" t="str">
        <f ca="1">IFERROR(__xludf.DUMMYFUNCTION("""COMPUTED_VALUE"""),"BALA")</f>
        <v>BALA</v>
      </c>
      <c r="M439" s="164" t="str">
        <f ca="1">IFERROR(__xludf.DUMMYFUNCTION("""COMPUTED_VALUE"""),"SERVICEABLE")</f>
        <v>SERVICEABLE</v>
      </c>
      <c r="N439" s="164"/>
    </row>
    <row r="440" spans="1:14" ht="13.2">
      <c r="A440" s="164" t="str">
        <f ca="1">IFERROR(__xludf.DUMMYFUNCTION("""COMPUTED_VALUE"""),"DARCO")</f>
        <v>DARCO</v>
      </c>
      <c r="B440" s="164" t="str">
        <f ca="1">IFERROR(__xludf.DUMMYFUNCTION("""COMPUTED_VALUE"""),"CENTRAL OFFICE")</f>
        <v>CENTRAL OFFICE</v>
      </c>
      <c r="C440" s="164" t="str">
        <f ca="1">IFERROR(__xludf.DUMMYFUNCTION("""COMPUTED_VALUE"""),"ACER TRAVELMATE")</f>
        <v>ACER TRAVELMATE</v>
      </c>
      <c r="D440" s="164" t="str">
        <f ca="1">IFERROR(__xludf.DUMMYFUNCTION("""COMPUTED_VALUE"""),"₱ 46,580.00")</f>
        <v>₱ 46,580.00</v>
      </c>
      <c r="E440" s="164"/>
      <c r="F440" s="164" t="str">
        <f ca="1">IFERROR(__xludf.DUMMYFUNCTION("""COMPUTED_VALUE"""),"2024-05-03-10202SP-301")</f>
        <v>2024-05-03-10202SP-301</v>
      </c>
      <c r="G440" s="164"/>
      <c r="H440" s="164" t="str">
        <f ca="1">IFERROR(__xludf.DUMMYFUNCTION("""COMPUTED_VALUE"""),"ATTY SHEILA B ENCISO")</f>
        <v>ATTY SHEILA B ENCISO</v>
      </c>
      <c r="I440" s="164" t="str">
        <f ca="1">IFERROR(__xludf.DUMMYFUNCTION("""COMPUTED_VALUE"""),"DIRECTOR")</f>
        <v>DIRECTOR</v>
      </c>
      <c r="J440" s="164" t="str">
        <f ca="1">IFERROR(__xludf.DUMMYFUNCTION("""COMPUTED_VALUE"""),"SP032-2024")</f>
        <v>SP032-2024</v>
      </c>
      <c r="K440" s="164"/>
      <c r="L440" s="164" t="str">
        <f ca="1">IFERROR(__xludf.DUMMYFUNCTION("""COMPUTED_VALUE"""),"BALA")</f>
        <v>BALA</v>
      </c>
      <c r="M440" s="164" t="str">
        <f ca="1">IFERROR(__xludf.DUMMYFUNCTION("""COMPUTED_VALUE"""),"SERVICEABLE")</f>
        <v>SERVICEABLE</v>
      </c>
      <c r="N440" s="164"/>
    </row>
    <row r="441" spans="1:14" ht="13.2">
      <c r="A441" s="164" t="str">
        <f ca="1">IFERROR(__xludf.DUMMYFUNCTION("""COMPUTED_VALUE"""),"DARCO")</f>
        <v>DARCO</v>
      </c>
      <c r="B441" s="164" t="str">
        <f ca="1">IFERROR(__xludf.DUMMYFUNCTION("""COMPUTED_VALUE"""),"CENTRAL OFFICE")</f>
        <v>CENTRAL OFFICE</v>
      </c>
      <c r="C441" s="164" t="str">
        <f ca="1">IFERROR(__xludf.DUMMYFUNCTION("""COMPUTED_VALUE"""),"ACER TRAVELMATE")</f>
        <v>ACER TRAVELMATE</v>
      </c>
      <c r="D441" s="164" t="str">
        <f ca="1">IFERROR(__xludf.DUMMYFUNCTION("""COMPUTED_VALUE"""),"₱ 46,580.00")</f>
        <v>₱ 46,580.00</v>
      </c>
      <c r="E441" s="164"/>
      <c r="F441" s="164" t="str">
        <f ca="1">IFERROR(__xludf.DUMMYFUNCTION("""COMPUTED_VALUE"""),"2024-05-03-10202SP-302")</f>
        <v>2024-05-03-10202SP-302</v>
      </c>
      <c r="G441" s="164"/>
      <c r="H441" s="164"/>
      <c r="I441" s="164"/>
      <c r="J441" s="164"/>
      <c r="K441" s="164"/>
      <c r="L441" s="164"/>
      <c r="M441" s="164"/>
      <c r="N441" s="164"/>
    </row>
    <row r="442" spans="1:14" ht="13.2">
      <c r="A442" s="164" t="str">
        <f ca="1">IFERROR(__xludf.DUMMYFUNCTION("""COMPUTED_VALUE"""),"DARCO")</f>
        <v>DARCO</v>
      </c>
      <c r="B442" s="164" t="str">
        <f ca="1">IFERROR(__xludf.DUMMYFUNCTION("""COMPUTED_VALUE"""),"CENTRAL OFFICE")</f>
        <v>CENTRAL OFFICE</v>
      </c>
      <c r="C442" s="164" t="str">
        <f ca="1">IFERROR(__xludf.DUMMYFUNCTION("""COMPUTED_VALUE"""),"ACER TRAVELMATE")</f>
        <v>ACER TRAVELMATE</v>
      </c>
      <c r="D442" s="164" t="str">
        <f ca="1">IFERROR(__xludf.DUMMYFUNCTION("""COMPUTED_VALUE"""),"₱ 46,580.00")</f>
        <v>₱ 46,580.00</v>
      </c>
      <c r="E442" s="164"/>
      <c r="F442" s="164" t="str">
        <f ca="1">IFERROR(__xludf.DUMMYFUNCTION("""COMPUTED_VALUE"""),"2024-05-03-10202SP-303")</f>
        <v>2024-05-03-10202SP-303</v>
      </c>
      <c r="G442" s="164"/>
      <c r="H442" s="164"/>
      <c r="I442" s="164"/>
      <c r="J442" s="164" t="str">
        <f ca="1">IFERROR(__xludf.DUMMYFUNCTION("""COMPUTED_VALUE"""),"SP028-2024")</f>
        <v>SP028-2024</v>
      </c>
      <c r="K442" s="164"/>
      <c r="L442" s="164" t="str">
        <f ca="1">IFERROR(__xludf.DUMMYFUNCTION("""COMPUTED_VALUE"""),"FMS / BUDGET")</f>
        <v>FMS / BUDGET</v>
      </c>
      <c r="M442" s="164" t="str">
        <f ca="1">IFERROR(__xludf.DUMMYFUNCTION("""COMPUTED_VALUE"""),"SERVICEABLE")</f>
        <v>SERVICEABLE</v>
      </c>
      <c r="N442" s="164"/>
    </row>
    <row r="443" spans="1:14" ht="13.2">
      <c r="A443" s="164" t="str">
        <f ca="1">IFERROR(__xludf.DUMMYFUNCTION("""COMPUTED_VALUE"""),"DARCO")</f>
        <v>DARCO</v>
      </c>
      <c r="B443" s="164" t="str">
        <f ca="1">IFERROR(__xludf.DUMMYFUNCTION("""COMPUTED_VALUE"""),"CENTRAL OFFICE")</f>
        <v>CENTRAL OFFICE</v>
      </c>
      <c r="C443" s="164" t="str">
        <f ca="1">IFERROR(__xludf.DUMMYFUNCTION("""COMPUTED_VALUE"""),"ACER TRAVELMATE")</f>
        <v>ACER TRAVELMATE</v>
      </c>
      <c r="D443" s="164" t="str">
        <f ca="1">IFERROR(__xludf.DUMMYFUNCTION("""COMPUTED_VALUE"""),"₱ 46,580.00")</f>
        <v>₱ 46,580.00</v>
      </c>
      <c r="E443" s="164"/>
      <c r="F443" s="164" t="str">
        <f ca="1">IFERROR(__xludf.DUMMYFUNCTION("""COMPUTED_VALUE"""),"2024-05-03-10202SP-304")</f>
        <v>2024-05-03-10202SP-304</v>
      </c>
      <c r="G443" s="164"/>
      <c r="H443" s="164"/>
      <c r="I443" s="164"/>
      <c r="J443" s="164" t="str">
        <f ca="1">IFERROR(__xludf.DUMMYFUNCTION("""COMPUTED_VALUE"""),"SP028-2024")</f>
        <v>SP028-2024</v>
      </c>
      <c r="K443" s="164"/>
      <c r="L443" s="164" t="str">
        <f ca="1">IFERROR(__xludf.DUMMYFUNCTION("""COMPUTED_VALUE"""),"ESS")</f>
        <v>ESS</v>
      </c>
      <c r="M443" s="164" t="str">
        <f ca="1">IFERROR(__xludf.DUMMYFUNCTION("""COMPUTED_VALUE"""),"SERVICEABLE")</f>
        <v>SERVICEABLE</v>
      </c>
      <c r="N443" s="164"/>
    </row>
    <row r="444" spans="1:14" ht="13.2">
      <c r="A444" s="164" t="str">
        <f ca="1">IFERROR(__xludf.DUMMYFUNCTION("""COMPUTED_VALUE"""),"DARCO")</f>
        <v>DARCO</v>
      </c>
      <c r="B444" s="164" t="str">
        <f ca="1">IFERROR(__xludf.DUMMYFUNCTION("""COMPUTED_VALUE"""),"CENTRAL OFFICE")</f>
        <v>CENTRAL OFFICE</v>
      </c>
      <c r="C444" s="164" t="str">
        <f ca="1">IFERROR(__xludf.DUMMYFUNCTION("""COMPUTED_VALUE"""),"ACER TRAVELMATE")</f>
        <v>ACER TRAVELMATE</v>
      </c>
      <c r="D444" s="164" t="str">
        <f ca="1">IFERROR(__xludf.DUMMYFUNCTION("""COMPUTED_VALUE"""),"₱ 46,580.00")</f>
        <v>₱ 46,580.00</v>
      </c>
      <c r="E444" s="164"/>
      <c r="F444" s="164" t="str">
        <f ca="1">IFERROR(__xludf.DUMMYFUNCTION("""COMPUTED_VALUE"""),"2024-05-03-10202SP-326")</f>
        <v>2024-05-03-10202SP-326</v>
      </c>
      <c r="G444" s="164"/>
      <c r="H444" s="164"/>
      <c r="I444" s="164"/>
      <c r="J444" s="164"/>
      <c r="K444" s="164"/>
      <c r="L444" s="164"/>
      <c r="M444" s="164"/>
      <c r="N444" s="164"/>
    </row>
    <row r="445" spans="1:14" ht="13.2">
      <c r="A445" s="164" t="str">
        <f ca="1">IFERROR(__xludf.DUMMYFUNCTION("""COMPUTED_VALUE"""),"DARCO")</f>
        <v>DARCO</v>
      </c>
      <c r="B445" s="164" t="str">
        <f ca="1">IFERROR(__xludf.DUMMYFUNCTION("""COMPUTED_VALUE"""),"CENTRAL OFFICE")</f>
        <v>CENTRAL OFFICE</v>
      </c>
      <c r="C445" s="164" t="str">
        <f ca="1">IFERROR(__xludf.DUMMYFUNCTION("""COMPUTED_VALUE"""),"ACER TRAVELMATE")</f>
        <v>ACER TRAVELMATE</v>
      </c>
      <c r="D445" s="164" t="str">
        <f ca="1">IFERROR(__xludf.DUMMYFUNCTION("""COMPUTED_VALUE"""),"₱ 46,580.00")</f>
        <v>₱ 46,580.00</v>
      </c>
      <c r="E445" s="164"/>
      <c r="F445" s="164" t="str">
        <f ca="1">IFERROR(__xludf.DUMMYFUNCTION("""COMPUTED_VALUE"""),"2024-05-03-10202SP-327")</f>
        <v>2024-05-03-10202SP-327</v>
      </c>
      <c r="G445" s="164"/>
      <c r="H445" s="164"/>
      <c r="I445" s="164"/>
      <c r="J445" s="164"/>
      <c r="K445" s="164"/>
      <c r="L445" s="164"/>
      <c r="M445" s="164"/>
      <c r="N445" s="164"/>
    </row>
    <row r="446" spans="1:14" ht="13.2">
      <c r="A446" s="164" t="str">
        <f ca="1">IFERROR(__xludf.DUMMYFUNCTION("""COMPUTED_VALUE"""),"DARCO")</f>
        <v>DARCO</v>
      </c>
      <c r="B446" s="164" t="str">
        <f ca="1">IFERROR(__xludf.DUMMYFUNCTION("""COMPUTED_VALUE"""),"CENTRAL OFFICE")</f>
        <v>CENTRAL OFFICE</v>
      </c>
      <c r="C446" s="164" t="str">
        <f ca="1">IFERROR(__xludf.DUMMYFUNCTION("""COMPUTED_VALUE"""),"ACER TRAVELMATE")</f>
        <v>ACER TRAVELMATE</v>
      </c>
      <c r="D446" s="164" t="str">
        <f ca="1">IFERROR(__xludf.DUMMYFUNCTION("""COMPUTED_VALUE"""),"₱ 46,580.00")</f>
        <v>₱ 46,580.00</v>
      </c>
      <c r="E446" s="164"/>
      <c r="F446" s="164" t="str">
        <f ca="1">IFERROR(__xludf.DUMMYFUNCTION("""COMPUTED_VALUE"""),"2024-05-03-10202SP-328")</f>
        <v>2024-05-03-10202SP-328</v>
      </c>
      <c r="G446" s="164"/>
      <c r="H446" s="164"/>
      <c r="I446" s="164"/>
      <c r="J446" s="164"/>
      <c r="K446" s="164"/>
      <c r="L446" s="164"/>
      <c r="M446" s="164"/>
      <c r="N446" s="164"/>
    </row>
    <row r="447" spans="1:14" ht="13.2">
      <c r="A447" s="164" t="str">
        <f ca="1">IFERROR(__xludf.DUMMYFUNCTION("""COMPUTED_VALUE"""),"DARCO")</f>
        <v>DARCO</v>
      </c>
      <c r="B447" s="164" t="str">
        <f ca="1">IFERROR(__xludf.DUMMYFUNCTION("""COMPUTED_VALUE"""),"CENTRAL OFFICE")</f>
        <v>CENTRAL OFFICE</v>
      </c>
      <c r="C447" s="164" t="str">
        <f ca="1">IFERROR(__xludf.DUMMYFUNCTION("""COMPUTED_VALUE"""),"ACER TRAVELMATE")</f>
        <v>ACER TRAVELMATE</v>
      </c>
      <c r="D447" s="164" t="str">
        <f ca="1">IFERROR(__xludf.DUMMYFUNCTION("""COMPUTED_VALUE"""),"₱ 46,580.00")</f>
        <v>₱ 46,580.00</v>
      </c>
      <c r="E447" s="164"/>
      <c r="F447" s="164" t="str">
        <f ca="1">IFERROR(__xludf.DUMMYFUNCTION("""COMPUTED_VALUE"""),"2024-05-03-10202SP-329")</f>
        <v>2024-05-03-10202SP-329</v>
      </c>
      <c r="G447" s="164"/>
      <c r="H447" s="164"/>
      <c r="I447" s="164"/>
      <c r="J447" s="164"/>
      <c r="K447" s="164"/>
      <c r="L447" s="164"/>
      <c r="M447" s="164"/>
      <c r="N447" s="164"/>
    </row>
    <row r="448" spans="1:14" ht="13.2">
      <c r="A448" s="164" t="str">
        <f ca="1">IFERROR(__xludf.DUMMYFUNCTION("""COMPUTED_VALUE"""),"DARCO")</f>
        <v>DARCO</v>
      </c>
      <c r="B448" s="164" t="str">
        <f ca="1">IFERROR(__xludf.DUMMYFUNCTION("""COMPUTED_VALUE"""),"CENTRAL OFFICE")</f>
        <v>CENTRAL OFFICE</v>
      </c>
      <c r="C448" s="164" t="str">
        <f ca="1">IFERROR(__xludf.DUMMYFUNCTION("""COMPUTED_VALUE"""),"ACER TRAVELMATE")</f>
        <v>ACER TRAVELMATE</v>
      </c>
      <c r="D448" s="164" t="str">
        <f ca="1">IFERROR(__xludf.DUMMYFUNCTION("""COMPUTED_VALUE"""),"₱ 46,580.00")</f>
        <v>₱ 46,580.00</v>
      </c>
      <c r="E448" s="164"/>
      <c r="F448" s="164" t="str">
        <f ca="1">IFERROR(__xludf.DUMMYFUNCTION("""COMPUTED_VALUE"""),"2024-05-03-10202SP-330")</f>
        <v>2024-05-03-10202SP-330</v>
      </c>
      <c r="G448" s="164"/>
      <c r="H448" s="164"/>
      <c r="I448" s="164"/>
      <c r="J448" s="164"/>
      <c r="K448" s="164"/>
      <c r="L448" s="164"/>
      <c r="M448" s="164"/>
      <c r="N448" s="164"/>
    </row>
    <row r="449" spans="1:14" ht="13.2">
      <c r="A449" s="164" t="str">
        <f ca="1">IFERROR(__xludf.DUMMYFUNCTION("""COMPUTED_VALUE"""),"DARCO")</f>
        <v>DARCO</v>
      </c>
      <c r="B449" s="164" t="str">
        <f ca="1">IFERROR(__xludf.DUMMYFUNCTION("""COMPUTED_VALUE"""),"CENTRAL OFFICE")</f>
        <v>CENTRAL OFFICE</v>
      </c>
      <c r="C449" s="164" t="str">
        <f ca="1">IFERROR(__xludf.DUMMYFUNCTION("""COMPUTED_VALUE"""),"ACER TRAVELMATE")</f>
        <v>ACER TRAVELMATE</v>
      </c>
      <c r="D449" s="164" t="str">
        <f ca="1">IFERROR(__xludf.DUMMYFUNCTION("""COMPUTED_VALUE"""),"₱ 46,580.00")</f>
        <v>₱ 46,580.00</v>
      </c>
      <c r="E449" s="164"/>
      <c r="F449" s="164" t="str">
        <f ca="1">IFERROR(__xludf.DUMMYFUNCTION("""COMPUTED_VALUE"""),"2024-05-03-10202SP-331")</f>
        <v>2024-05-03-10202SP-331</v>
      </c>
      <c r="G449" s="164"/>
      <c r="H449" s="164"/>
      <c r="I449" s="164"/>
      <c r="J449" s="164"/>
      <c r="K449" s="164"/>
      <c r="L449" s="164"/>
      <c r="M449" s="164"/>
      <c r="N449" s="164"/>
    </row>
    <row r="450" spans="1:14" ht="13.2">
      <c r="A450" s="164" t="str">
        <f ca="1">IFERROR(__xludf.DUMMYFUNCTION("""COMPUTED_VALUE"""),"DARCO")</f>
        <v>DARCO</v>
      </c>
      <c r="B450" s="164" t="str">
        <f ca="1">IFERROR(__xludf.DUMMYFUNCTION("""COMPUTED_VALUE"""),"CENTRAL OFFICE")</f>
        <v>CENTRAL OFFICE</v>
      </c>
      <c r="C450" s="164" t="str">
        <f ca="1">IFERROR(__xludf.DUMMYFUNCTION("""COMPUTED_VALUE"""),"ACER TRAVELMATE")</f>
        <v>ACER TRAVELMATE</v>
      </c>
      <c r="D450" s="164" t="str">
        <f ca="1">IFERROR(__xludf.DUMMYFUNCTION("""COMPUTED_VALUE"""),"₱ 46,580.00")</f>
        <v>₱ 46,580.00</v>
      </c>
      <c r="E450" s="164"/>
      <c r="F450" s="164" t="str">
        <f ca="1">IFERROR(__xludf.DUMMYFUNCTION("""COMPUTED_VALUE"""),"2024-05-03-10202SP-333")</f>
        <v>2024-05-03-10202SP-333</v>
      </c>
      <c r="G450" s="164"/>
      <c r="H450" s="164"/>
      <c r="I450" s="164"/>
      <c r="J450" s="164"/>
      <c r="K450" s="164"/>
      <c r="L450" s="164"/>
      <c r="M450" s="164"/>
      <c r="N450" s="164"/>
    </row>
    <row r="451" spans="1:14" ht="13.2">
      <c r="A451" s="164" t="str">
        <f ca="1">IFERROR(__xludf.DUMMYFUNCTION("""COMPUTED_VALUE"""),"DARCO")</f>
        <v>DARCO</v>
      </c>
      <c r="B451" s="164" t="str">
        <f ca="1">IFERROR(__xludf.DUMMYFUNCTION("""COMPUTED_VALUE"""),"CENTRAL OFFICE")</f>
        <v>CENTRAL OFFICE</v>
      </c>
      <c r="C451" s="164" t="str">
        <f ca="1">IFERROR(__xludf.DUMMYFUNCTION("""COMPUTED_VALUE"""),"ACER TRAVELMATE")</f>
        <v>ACER TRAVELMATE</v>
      </c>
      <c r="D451" s="164" t="str">
        <f ca="1">IFERROR(__xludf.DUMMYFUNCTION("""COMPUTED_VALUE"""),"₱ 46,580.00")</f>
        <v>₱ 46,580.00</v>
      </c>
      <c r="E451" s="164"/>
      <c r="F451" s="164" t="str">
        <f ca="1">IFERROR(__xludf.DUMMYFUNCTION("""COMPUTED_VALUE"""),"2024-05-03-10202SP-336")</f>
        <v>2024-05-03-10202SP-336</v>
      </c>
      <c r="G451" s="164"/>
      <c r="H451" s="164"/>
      <c r="I451" s="164"/>
      <c r="J451" s="164" t="str">
        <f ca="1">IFERROR(__xludf.DUMMYFUNCTION("""COMPUTED_VALUE"""),"SP029-2024")</f>
        <v>SP029-2024</v>
      </c>
      <c r="K451" s="164"/>
      <c r="L451" s="164" t="str">
        <f ca="1">IFERROR(__xludf.DUMMYFUNCTION("""COMPUTED_VALUE"""),"FMS / BUDGET")</f>
        <v>FMS / BUDGET</v>
      </c>
      <c r="M451" s="164" t="str">
        <f ca="1">IFERROR(__xludf.DUMMYFUNCTION("""COMPUTED_VALUE"""),"SERVICEABLE")</f>
        <v>SERVICEABLE</v>
      </c>
      <c r="N451" s="164"/>
    </row>
    <row r="452" spans="1:14" ht="13.2">
      <c r="A452" s="164" t="str">
        <f ca="1">IFERROR(__xludf.DUMMYFUNCTION("""COMPUTED_VALUE"""),"DARCO")</f>
        <v>DARCO</v>
      </c>
      <c r="B452" s="164" t="str">
        <f ca="1">IFERROR(__xludf.DUMMYFUNCTION("""COMPUTED_VALUE"""),"CENTRAL OFFICE")</f>
        <v>CENTRAL OFFICE</v>
      </c>
      <c r="C452" s="164" t="str">
        <f ca="1">IFERROR(__xludf.DUMMYFUNCTION("""COMPUTED_VALUE"""),"ACER TRAVELMATE")</f>
        <v>ACER TRAVELMATE</v>
      </c>
      <c r="D452" s="164" t="str">
        <f ca="1">IFERROR(__xludf.DUMMYFUNCTION("""COMPUTED_VALUE"""),"₱ 46,580.00")</f>
        <v>₱ 46,580.00</v>
      </c>
      <c r="E452" s="164"/>
      <c r="F452" s="164" t="str">
        <f ca="1">IFERROR(__xludf.DUMMYFUNCTION("""COMPUTED_VALUE"""),"2024-05-03-10202SP-337")</f>
        <v>2024-05-03-10202SP-337</v>
      </c>
      <c r="G452" s="164"/>
      <c r="H452" s="164" t="str">
        <f ca="1">IFERROR(__xludf.DUMMYFUNCTION("""COMPUTED_VALUE"""),"DANTES LYN JERARD")</f>
        <v>DANTES LYN JERARD</v>
      </c>
      <c r="I452" s="164"/>
      <c r="J452" s="164" t="str">
        <f ca="1">IFERROR(__xludf.DUMMYFUNCTION("""COMPUTED_VALUE"""),"SP029-2024")</f>
        <v>SP029-2024</v>
      </c>
      <c r="K452" s="164"/>
      <c r="L452" s="164" t="str">
        <f ca="1">IFERROR(__xludf.DUMMYFUNCTION("""COMPUTED_VALUE"""),"GRM/RARAD")</f>
        <v>GRM/RARAD</v>
      </c>
      <c r="M452" s="164" t="str">
        <f ca="1">IFERROR(__xludf.DUMMYFUNCTION("""COMPUTED_VALUE"""),"SERVICEABLE")</f>
        <v>SERVICEABLE</v>
      </c>
      <c r="N452" s="164"/>
    </row>
    <row r="453" spans="1:14" ht="13.2">
      <c r="A453" s="164" t="str">
        <f ca="1">IFERROR(__xludf.DUMMYFUNCTION("""COMPUTED_VALUE"""),"DARCO")</f>
        <v>DARCO</v>
      </c>
      <c r="B453" s="164" t="str">
        <f ca="1">IFERROR(__xludf.DUMMYFUNCTION("""COMPUTED_VALUE"""),"CENTRAL OFFICE")</f>
        <v>CENTRAL OFFICE</v>
      </c>
      <c r="C453" s="164" t="str">
        <f ca="1">IFERROR(__xludf.DUMMYFUNCTION("""COMPUTED_VALUE"""),"ACER TRAVELMATE")</f>
        <v>ACER TRAVELMATE</v>
      </c>
      <c r="D453" s="164" t="str">
        <f ca="1">IFERROR(__xludf.DUMMYFUNCTION("""COMPUTED_VALUE"""),"₱ 46,580.00")</f>
        <v>₱ 46,580.00</v>
      </c>
      <c r="E453" s="164"/>
      <c r="F453" s="164" t="str">
        <f ca="1">IFERROR(__xludf.DUMMYFUNCTION("""COMPUTED_VALUE"""),"2024-05-03-10202SP-339")</f>
        <v>2024-05-03-10202SP-339</v>
      </c>
      <c r="G453" s="164"/>
      <c r="H453" s="164" t="str">
        <f ca="1">IFERROR(__xludf.DUMMYFUNCTION("""COMPUTED_VALUE"""),"DANTES LYN JERARD")</f>
        <v>DANTES LYN JERARD</v>
      </c>
      <c r="I453" s="164"/>
      <c r="J453" s="164" t="str">
        <f ca="1">IFERROR(__xludf.DUMMYFUNCTION("""COMPUTED_VALUE"""),"SP029-2024")</f>
        <v>SP029-2024</v>
      </c>
      <c r="K453" s="164"/>
      <c r="L453" s="164" t="str">
        <f ca="1">IFERROR(__xludf.DUMMYFUNCTION("""COMPUTED_VALUE"""),"GRM/RARAD")</f>
        <v>GRM/RARAD</v>
      </c>
      <c r="M453" s="164" t="str">
        <f ca="1">IFERROR(__xludf.DUMMYFUNCTION("""COMPUTED_VALUE"""),"SERVICEABLE")</f>
        <v>SERVICEABLE</v>
      </c>
      <c r="N453" s="164"/>
    </row>
    <row r="454" spans="1:14" ht="13.2">
      <c r="A454" s="164" t="str">
        <f ca="1">IFERROR(__xludf.DUMMYFUNCTION("""COMPUTED_VALUE"""),"DARCO")</f>
        <v>DARCO</v>
      </c>
      <c r="B454" s="164" t="str">
        <f ca="1">IFERROR(__xludf.DUMMYFUNCTION("""COMPUTED_VALUE"""),"CENTRAL OFFICE")</f>
        <v>CENTRAL OFFICE</v>
      </c>
      <c r="C454" s="164" t="str">
        <f ca="1">IFERROR(__xludf.DUMMYFUNCTION("""COMPUTED_VALUE"""),"ACER TRAVELMATE")</f>
        <v>ACER TRAVELMATE</v>
      </c>
      <c r="D454" s="164" t="str">
        <f ca="1">IFERROR(__xludf.DUMMYFUNCTION("""COMPUTED_VALUE"""),"₱ 46,580.00")</f>
        <v>₱ 46,580.00</v>
      </c>
      <c r="E454" s="164"/>
      <c r="F454" s="164" t="str">
        <f ca="1">IFERROR(__xludf.DUMMYFUNCTION("""COMPUTED_VALUE"""),"2024-05-03-10202SP-340")</f>
        <v>2024-05-03-10202SP-340</v>
      </c>
      <c r="G454" s="164"/>
      <c r="H454" s="164" t="str">
        <f ca="1">IFERROR(__xludf.DUMMYFUNCTION("""COMPUTED_VALUE"""),"AMIHILDA SANGCOPAN")</f>
        <v>AMIHILDA SANGCOPAN</v>
      </c>
      <c r="I454" s="164" t="str">
        <f ca="1">IFERROR(__xludf.DUMMYFUNCTION("""COMPUTED_VALUE"""),"USEC")</f>
        <v>USEC</v>
      </c>
      <c r="J454" s="164" t="str">
        <f ca="1">IFERROR(__xludf.DUMMYFUNCTION("""COMPUTED_VALUE"""),"SP030A-2024")</f>
        <v>SP030A-2024</v>
      </c>
      <c r="K454" s="164"/>
      <c r="L454" s="164" t="str">
        <f ca="1">IFERROR(__xludf.DUMMYFUNCTION("""COMPUTED_VALUE"""),"USEC OMA")</f>
        <v>USEC OMA</v>
      </c>
      <c r="M454" s="164" t="str">
        <f ca="1">IFERROR(__xludf.DUMMYFUNCTION("""COMPUTED_VALUE"""),"SERVICEABLE")</f>
        <v>SERVICEABLE</v>
      </c>
      <c r="N454" s="164"/>
    </row>
    <row r="455" spans="1:14" ht="13.2">
      <c r="A455" s="164" t="str">
        <f ca="1">IFERROR(__xludf.DUMMYFUNCTION("""COMPUTED_VALUE"""),"DARCO")</f>
        <v>DARCO</v>
      </c>
      <c r="B455" s="164" t="str">
        <f ca="1">IFERROR(__xludf.DUMMYFUNCTION("""COMPUTED_VALUE"""),"CENTRAL OFFICE")</f>
        <v>CENTRAL OFFICE</v>
      </c>
      <c r="C455" s="164" t="str">
        <f ca="1">IFERROR(__xludf.DUMMYFUNCTION("""COMPUTED_VALUE"""),"ACER TRAVELMATE")</f>
        <v>ACER TRAVELMATE</v>
      </c>
      <c r="D455" s="164" t="str">
        <f ca="1">IFERROR(__xludf.DUMMYFUNCTION("""COMPUTED_VALUE"""),"₱ 46,580.00")</f>
        <v>₱ 46,580.00</v>
      </c>
      <c r="E455" s="164"/>
      <c r="F455" s="164" t="str">
        <f ca="1">IFERROR(__xludf.DUMMYFUNCTION("""COMPUTED_VALUE"""),"2024-05-03-10202SP-341")</f>
        <v>2024-05-03-10202SP-341</v>
      </c>
      <c r="G455" s="164"/>
      <c r="H455" s="164" t="str">
        <f ca="1">IFERROR(__xludf.DUMMYFUNCTION("""COMPUTED_VALUE"""),"AMIHILDA SANGCOPAN")</f>
        <v>AMIHILDA SANGCOPAN</v>
      </c>
      <c r="I455" s="164" t="str">
        <f ca="1">IFERROR(__xludf.DUMMYFUNCTION("""COMPUTED_VALUE"""),"USEC")</f>
        <v>USEC</v>
      </c>
      <c r="J455" s="164" t="str">
        <f ca="1">IFERROR(__xludf.DUMMYFUNCTION("""COMPUTED_VALUE"""),"SP030A-2024")</f>
        <v>SP030A-2024</v>
      </c>
      <c r="K455" s="164"/>
      <c r="L455" s="164" t="str">
        <f ca="1">IFERROR(__xludf.DUMMYFUNCTION("""COMPUTED_VALUE"""),"USEC OMA")</f>
        <v>USEC OMA</v>
      </c>
      <c r="M455" s="164" t="str">
        <f ca="1">IFERROR(__xludf.DUMMYFUNCTION("""COMPUTED_VALUE"""),"SERVICEABLE")</f>
        <v>SERVICEABLE</v>
      </c>
      <c r="N455" s="164"/>
    </row>
    <row r="456" spans="1:14" ht="13.2">
      <c r="A456" s="164" t="str">
        <f ca="1">IFERROR(__xludf.DUMMYFUNCTION("""COMPUTED_VALUE"""),"DARCO")</f>
        <v>DARCO</v>
      </c>
      <c r="B456" s="164" t="str">
        <f ca="1">IFERROR(__xludf.DUMMYFUNCTION("""COMPUTED_VALUE"""),"CENTRAL OFFICE")</f>
        <v>CENTRAL OFFICE</v>
      </c>
      <c r="C456" s="164" t="str">
        <f ca="1">IFERROR(__xludf.DUMMYFUNCTION("""COMPUTED_VALUE"""),"ACER TRAVELMATE")</f>
        <v>ACER TRAVELMATE</v>
      </c>
      <c r="D456" s="164" t="str">
        <f ca="1">IFERROR(__xludf.DUMMYFUNCTION("""COMPUTED_VALUE"""),"₱ 46,580.00")</f>
        <v>₱ 46,580.00</v>
      </c>
      <c r="E456" s="164"/>
      <c r="F456" s="164" t="str">
        <f ca="1">IFERROR(__xludf.DUMMYFUNCTION("""COMPUTED_VALUE"""),"2024-05-03-10202SP-342")</f>
        <v>2024-05-03-10202SP-342</v>
      </c>
      <c r="G456" s="164"/>
      <c r="H456" s="164" t="str">
        <f ca="1">IFERROR(__xludf.DUMMYFUNCTION("""COMPUTED_VALUE"""),"AMIHILDA SANGCOPAN")</f>
        <v>AMIHILDA SANGCOPAN</v>
      </c>
      <c r="I456" s="164" t="str">
        <f ca="1">IFERROR(__xludf.DUMMYFUNCTION("""COMPUTED_VALUE"""),"USEC")</f>
        <v>USEC</v>
      </c>
      <c r="J456" s="164" t="str">
        <f ca="1">IFERROR(__xludf.DUMMYFUNCTION("""COMPUTED_VALUE"""),"SP030A-2024")</f>
        <v>SP030A-2024</v>
      </c>
      <c r="K456" s="164"/>
      <c r="L456" s="164" t="str">
        <f ca="1">IFERROR(__xludf.DUMMYFUNCTION("""COMPUTED_VALUE"""),"USEC OMA")</f>
        <v>USEC OMA</v>
      </c>
      <c r="M456" s="164" t="str">
        <f ca="1">IFERROR(__xludf.DUMMYFUNCTION("""COMPUTED_VALUE"""),"SERVICEABLE")</f>
        <v>SERVICEABLE</v>
      </c>
      <c r="N456" s="164"/>
    </row>
    <row r="457" spans="1:14" ht="13.2">
      <c r="A457" s="164" t="str">
        <f ca="1">IFERROR(__xludf.DUMMYFUNCTION("""COMPUTED_VALUE"""),"DARCO")</f>
        <v>DARCO</v>
      </c>
      <c r="B457" s="164" t="str">
        <f ca="1">IFERROR(__xludf.DUMMYFUNCTION("""COMPUTED_VALUE"""),"CENTRAL OFFICE")</f>
        <v>CENTRAL OFFICE</v>
      </c>
      <c r="C457" s="164" t="str">
        <f ca="1">IFERROR(__xludf.DUMMYFUNCTION("""COMPUTED_VALUE"""),"ACER TRAVELMATE")</f>
        <v>ACER TRAVELMATE</v>
      </c>
      <c r="D457" s="164" t="str">
        <f ca="1">IFERROR(__xludf.DUMMYFUNCTION("""COMPUTED_VALUE"""),"₱ 46,580.00")</f>
        <v>₱ 46,580.00</v>
      </c>
      <c r="E457" s="164"/>
      <c r="F457" s="164" t="str">
        <f ca="1">IFERROR(__xludf.DUMMYFUNCTION("""COMPUTED_VALUE"""),"2024-05-03-10202SP-343")</f>
        <v>2024-05-03-10202SP-343</v>
      </c>
      <c r="G457" s="164"/>
      <c r="H457" s="164" t="str">
        <f ca="1">IFERROR(__xludf.DUMMYFUNCTION("""COMPUTED_VALUE"""),"ATTY QUINTIN O MAGSICO JR")</f>
        <v>ATTY QUINTIN O MAGSICO JR</v>
      </c>
      <c r="I457" s="164" t="str">
        <f ca="1">IFERROR(__xludf.DUMMYFUNCTION("""COMPUTED_VALUE"""),"ASEC")</f>
        <v>ASEC</v>
      </c>
      <c r="J457" s="164" t="str">
        <f ca="1">IFERROR(__xludf.DUMMYFUNCTION("""COMPUTED_VALUE"""),"SP030-2024")</f>
        <v>SP030-2024</v>
      </c>
      <c r="K457" s="164"/>
      <c r="L457" s="164" t="str">
        <f ca="1">IFERROR(__xludf.DUMMYFUNCTION("""COMPUTED_VALUE"""),"AFMAO-FMO / BAC")</f>
        <v>AFMAO-FMO / BAC</v>
      </c>
      <c r="M457" s="164" t="str">
        <f ca="1">IFERROR(__xludf.DUMMYFUNCTION("""COMPUTED_VALUE"""),"SERVICEABLE")</f>
        <v>SERVICEABLE</v>
      </c>
      <c r="N457" s="164"/>
    </row>
    <row r="458" spans="1:14" ht="13.2">
      <c r="A458" s="164" t="str">
        <f ca="1">IFERROR(__xludf.DUMMYFUNCTION("""COMPUTED_VALUE"""),"DARCO")</f>
        <v>DARCO</v>
      </c>
      <c r="B458" s="164" t="str">
        <f ca="1">IFERROR(__xludf.DUMMYFUNCTION("""COMPUTED_VALUE"""),"CENTRAL OFFICE")</f>
        <v>CENTRAL OFFICE</v>
      </c>
      <c r="C458" s="164" t="str">
        <f ca="1">IFERROR(__xludf.DUMMYFUNCTION("""COMPUTED_VALUE"""),"ACER TRAVELMATE")</f>
        <v>ACER TRAVELMATE</v>
      </c>
      <c r="D458" s="164" t="str">
        <f ca="1">IFERROR(__xludf.DUMMYFUNCTION("""COMPUTED_VALUE"""),"₱ 46,580.00")</f>
        <v>₱ 46,580.00</v>
      </c>
      <c r="E458" s="164"/>
      <c r="F458" s="164" t="str">
        <f ca="1">IFERROR(__xludf.DUMMYFUNCTION("""COMPUTED_VALUE"""),"2024-05-03-10202SP-344")</f>
        <v>2024-05-03-10202SP-344</v>
      </c>
      <c r="G458" s="164"/>
      <c r="H458" s="164" t="str">
        <f ca="1">IFERROR(__xludf.DUMMYFUNCTION("""COMPUTED_VALUE"""),"ATTY QUINTIN O MAGSICO JR")</f>
        <v>ATTY QUINTIN O MAGSICO JR</v>
      </c>
      <c r="I458" s="164" t="str">
        <f ca="1">IFERROR(__xludf.DUMMYFUNCTION("""COMPUTED_VALUE"""),"ASEC")</f>
        <v>ASEC</v>
      </c>
      <c r="J458" s="164" t="str">
        <f ca="1">IFERROR(__xludf.DUMMYFUNCTION("""COMPUTED_VALUE"""),"SP030-2024")</f>
        <v>SP030-2024</v>
      </c>
      <c r="K458" s="164"/>
      <c r="L458" s="164" t="str">
        <f ca="1">IFERROR(__xludf.DUMMYFUNCTION("""COMPUTED_VALUE"""),"AFMAO-FMO")</f>
        <v>AFMAO-FMO</v>
      </c>
      <c r="M458" s="164" t="str">
        <f ca="1">IFERROR(__xludf.DUMMYFUNCTION("""COMPUTED_VALUE"""),"SERVICEABLE")</f>
        <v>SERVICEABLE</v>
      </c>
      <c r="N458" s="164"/>
    </row>
    <row r="459" spans="1:14" ht="13.2">
      <c r="A459" s="164" t="str">
        <f ca="1">IFERROR(__xludf.DUMMYFUNCTION("""COMPUTED_VALUE"""),"DARCO")</f>
        <v>DARCO</v>
      </c>
      <c r="B459" s="164" t="str">
        <f ca="1">IFERROR(__xludf.DUMMYFUNCTION("""COMPUTED_VALUE"""),"CENTRAL OFFICE")</f>
        <v>CENTRAL OFFICE</v>
      </c>
      <c r="C459" s="164" t="str">
        <f ca="1">IFERROR(__xludf.DUMMYFUNCTION("""COMPUTED_VALUE"""),"ACER TRAVELMATE")</f>
        <v>ACER TRAVELMATE</v>
      </c>
      <c r="D459" s="164" t="str">
        <f ca="1">IFERROR(__xludf.DUMMYFUNCTION("""COMPUTED_VALUE"""),"₱ 46,580.00")</f>
        <v>₱ 46,580.00</v>
      </c>
      <c r="E459" s="164"/>
      <c r="F459" s="164" t="str">
        <f ca="1">IFERROR(__xludf.DUMMYFUNCTION("""COMPUTED_VALUE"""),"2024-05-03-10202SP-345")</f>
        <v>2024-05-03-10202SP-345</v>
      </c>
      <c r="G459" s="164"/>
      <c r="H459" s="164" t="str">
        <f ca="1">IFERROR(__xludf.DUMMYFUNCTION("""COMPUTED_VALUE"""),"ATTY QUINTIN O MAGSICO JR")</f>
        <v>ATTY QUINTIN O MAGSICO JR</v>
      </c>
      <c r="I459" s="164" t="str">
        <f ca="1">IFERROR(__xludf.DUMMYFUNCTION("""COMPUTED_VALUE"""),"ASEC")</f>
        <v>ASEC</v>
      </c>
      <c r="J459" s="164" t="str">
        <f ca="1">IFERROR(__xludf.DUMMYFUNCTION("""COMPUTED_VALUE"""),"SP030-2024")</f>
        <v>SP030-2024</v>
      </c>
      <c r="K459" s="164"/>
      <c r="L459" s="164" t="str">
        <f ca="1">IFERROR(__xludf.DUMMYFUNCTION("""COMPUTED_VALUE"""),"AFMAO-FMO")</f>
        <v>AFMAO-FMO</v>
      </c>
      <c r="M459" s="164" t="str">
        <f ca="1">IFERROR(__xludf.DUMMYFUNCTION("""COMPUTED_VALUE"""),"SERVICEABLE")</f>
        <v>SERVICEABLE</v>
      </c>
      <c r="N459" s="164"/>
    </row>
    <row r="460" spans="1:14" ht="13.2">
      <c r="A460" s="164" t="str">
        <f ca="1">IFERROR(__xludf.DUMMYFUNCTION("""COMPUTED_VALUE"""),"DARCO")</f>
        <v>DARCO</v>
      </c>
      <c r="B460" s="164" t="str">
        <f ca="1">IFERROR(__xludf.DUMMYFUNCTION("""COMPUTED_VALUE"""),"CENTRAL OFFICE")</f>
        <v>CENTRAL OFFICE</v>
      </c>
      <c r="C460" s="164" t="str">
        <f ca="1">IFERROR(__xludf.DUMMYFUNCTION("""COMPUTED_VALUE"""),"ACER TRAVELMATE")</f>
        <v>ACER TRAVELMATE</v>
      </c>
      <c r="D460" s="164" t="str">
        <f ca="1">IFERROR(__xludf.DUMMYFUNCTION("""COMPUTED_VALUE"""),"₱ 46,580.00")</f>
        <v>₱ 46,580.00</v>
      </c>
      <c r="E460" s="164"/>
      <c r="F460" s="164" t="str">
        <f ca="1">IFERROR(__xludf.DUMMYFUNCTION("""COMPUTED_VALUE"""),"2024-05-03-10202SP-346")</f>
        <v>2024-05-03-10202SP-346</v>
      </c>
      <c r="G460" s="164"/>
      <c r="H460" s="164" t="str">
        <f ca="1">IFERROR(__xludf.DUMMYFUNCTION("""COMPUTED_VALUE"""),"ATTY QUINTIN O MAGSICO JR")</f>
        <v>ATTY QUINTIN O MAGSICO JR</v>
      </c>
      <c r="I460" s="164" t="str">
        <f ca="1">IFERROR(__xludf.DUMMYFUNCTION("""COMPUTED_VALUE"""),"ASEC")</f>
        <v>ASEC</v>
      </c>
      <c r="J460" s="164" t="str">
        <f ca="1">IFERROR(__xludf.DUMMYFUNCTION("""COMPUTED_VALUE"""),"SP030-2024")</f>
        <v>SP030-2024</v>
      </c>
      <c r="K460" s="164"/>
      <c r="L460" s="164" t="str">
        <f ca="1">IFERROR(__xludf.DUMMYFUNCTION("""COMPUTED_VALUE"""),"AFMAO-FMO")</f>
        <v>AFMAO-FMO</v>
      </c>
      <c r="M460" s="164" t="str">
        <f ca="1">IFERROR(__xludf.DUMMYFUNCTION("""COMPUTED_VALUE"""),"SERVICEABLE")</f>
        <v>SERVICEABLE</v>
      </c>
      <c r="N460" s="164"/>
    </row>
    <row r="461" spans="1:14" ht="13.2">
      <c r="A461" s="164" t="str">
        <f ca="1">IFERROR(__xludf.DUMMYFUNCTION("""COMPUTED_VALUE"""),"DARCO")</f>
        <v>DARCO</v>
      </c>
      <c r="B461" s="164" t="str">
        <f ca="1">IFERROR(__xludf.DUMMYFUNCTION("""COMPUTED_VALUE"""),"CENTRAL OFFICE")</f>
        <v>CENTRAL OFFICE</v>
      </c>
      <c r="C461" s="164" t="str">
        <f ca="1">IFERROR(__xludf.DUMMYFUNCTION("""COMPUTED_VALUE"""),"ACER TRAVELMATE")</f>
        <v>ACER TRAVELMATE</v>
      </c>
      <c r="D461" s="164" t="str">
        <f ca="1">IFERROR(__xludf.DUMMYFUNCTION("""COMPUTED_VALUE"""),"₱ 46,580.00")</f>
        <v>₱ 46,580.00</v>
      </c>
      <c r="E461" s="164"/>
      <c r="F461" s="164" t="str">
        <f ca="1">IFERROR(__xludf.DUMMYFUNCTION("""COMPUTED_VALUE"""),"2024-05-03-10202SP-347")</f>
        <v>2024-05-03-10202SP-347</v>
      </c>
      <c r="G461" s="164"/>
      <c r="H461" s="164" t="str">
        <f ca="1">IFERROR(__xludf.DUMMYFUNCTION("""COMPUTED_VALUE"""),"ATTY QUINTIN O MAGSICO JR")</f>
        <v>ATTY QUINTIN O MAGSICO JR</v>
      </c>
      <c r="I461" s="164" t="str">
        <f ca="1">IFERROR(__xludf.DUMMYFUNCTION("""COMPUTED_VALUE"""),"ASEC")</f>
        <v>ASEC</v>
      </c>
      <c r="J461" s="164" t="str">
        <f ca="1">IFERROR(__xludf.DUMMYFUNCTION("""COMPUTED_VALUE"""),"SP030-2024")</f>
        <v>SP030-2024</v>
      </c>
      <c r="K461" s="164"/>
      <c r="L461" s="164" t="str">
        <f ca="1">IFERROR(__xludf.DUMMYFUNCTION("""COMPUTED_VALUE"""),"AFMAO-FMO")</f>
        <v>AFMAO-FMO</v>
      </c>
      <c r="M461" s="164" t="str">
        <f ca="1">IFERROR(__xludf.DUMMYFUNCTION("""COMPUTED_VALUE"""),"SERVICEABLE")</f>
        <v>SERVICEABLE</v>
      </c>
      <c r="N461" s="164"/>
    </row>
    <row r="462" spans="1:14" ht="13.2">
      <c r="A462" s="164" t="str">
        <f ca="1">IFERROR(__xludf.DUMMYFUNCTION("""COMPUTED_VALUE"""),"DARCO")</f>
        <v>DARCO</v>
      </c>
      <c r="B462" s="164" t="str">
        <f ca="1">IFERROR(__xludf.DUMMYFUNCTION("""COMPUTED_VALUE"""),"CENTRAL OFFICE")</f>
        <v>CENTRAL OFFICE</v>
      </c>
      <c r="C462" s="164" t="str">
        <f ca="1">IFERROR(__xludf.DUMMYFUNCTION("""COMPUTED_VALUE"""),"ACER TRAVELMATE")</f>
        <v>ACER TRAVELMATE</v>
      </c>
      <c r="D462" s="164" t="str">
        <f ca="1">IFERROR(__xludf.DUMMYFUNCTION("""COMPUTED_VALUE"""),"₱ 46,580.00")</f>
        <v>₱ 46,580.00</v>
      </c>
      <c r="E462" s="164"/>
      <c r="F462" s="164" t="str">
        <f ca="1">IFERROR(__xludf.DUMMYFUNCTION("""COMPUTED_VALUE"""),"2024-05-03-10202SP-348")</f>
        <v>2024-05-03-10202SP-348</v>
      </c>
      <c r="G462" s="164"/>
      <c r="H462" s="164" t="str">
        <f ca="1">IFERROR(__xludf.DUMMYFUNCTION("""COMPUTED_VALUE"""),"ATTY QUINTIN O MAGSICO JR")</f>
        <v>ATTY QUINTIN O MAGSICO JR</v>
      </c>
      <c r="I462" s="164" t="str">
        <f ca="1">IFERROR(__xludf.DUMMYFUNCTION("""COMPUTED_VALUE"""),"ASEC")</f>
        <v>ASEC</v>
      </c>
      <c r="J462" s="164" t="str">
        <f ca="1">IFERROR(__xludf.DUMMYFUNCTION("""COMPUTED_VALUE"""),"SP030-2024")</f>
        <v>SP030-2024</v>
      </c>
      <c r="K462" s="164"/>
      <c r="L462" s="164" t="str">
        <f ca="1">IFERROR(__xludf.DUMMYFUNCTION("""COMPUTED_VALUE"""),"AFMAO-FMO")</f>
        <v>AFMAO-FMO</v>
      </c>
      <c r="M462" s="164" t="str">
        <f ca="1">IFERROR(__xludf.DUMMYFUNCTION("""COMPUTED_VALUE"""),"SERVICEABLE")</f>
        <v>SERVICEABLE</v>
      </c>
      <c r="N462" s="164"/>
    </row>
    <row r="463" spans="1:14" ht="13.2">
      <c r="A463" s="164" t="str">
        <f ca="1">IFERROR(__xludf.DUMMYFUNCTION("""COMPUTED_VALUE"""),"DARCO")</f>
        <v>DARCO</v>
      </c>
      <c r="B463" s="164" t="str">
        <f ca="1">IFERROR(__xludf.DUMMYFUNCTION("""COMPUTED_VALUE"""),"CENTRAL OFFICE")</f>
        <v>CENTRAL OFFICE</v>
      </c>
      <c r="C463" s="164" t="str">
        <f ca="1">IFERROR(__xludf.DUMMYFUNCTION("""COMPUTED_VALUE"""),"ACER TRAVELMATE")</f>
        <v>ACER TRAVELMATE</v>
      </c>
      <c r="D463" s="164" t="str">
        <f ca="1">IFERROR(__xludf.DUMMYFUNCTION("""COMPUTED_VALUE"""),"₱ 46,580.00")</f>
        <v>₱ 46,580.00</v>
      </c>
      <c r="E463" s="164"/>
      <c r="F463" s="164" t="str">
        <f ca="1">IFERROR(__xludf.DUMMYFUNCTION("""COMPUTED_VALUE"""),"2024-05-03-10202SP-349")</f>
        <v>2024-05-03-10202SP-349</v>
      </c>
      <c r="G463" s="164"/>
      <c r="H463" s="164" t="str">
        <f ca="1">IFERROR(__xludf.DUMMYFUNCTION("""COMPUTED_VALUE"""),"ATTY QUINTIN O MAGSICO JR")</f>
        <v>ATTY QUINTIN O MAGSICO JR</v>
      </c>
      <c r="I463" s="164" t="str">
        <f ca="1">IFERROR(__xludf.DUMMYFUNCTION("""COMPUTED_VALUE"""),"ASEC")</f>
        <v>ASEC</v>
      </c>
      <c r="J463" s="164" t="str">
        <f ca="1">IFERROR(__xludf.DUMMYFUNCTION("""COMPUTED_VALUE"""),"SP030-2024")</f>
        <v>SP030-2024</v>
      </c>
      <c r="K463" s="164"/>
      <c r="L463" s="164" t="str">
        <f ca="1">IFERROR(__xludf.DUMMYFUNCTION("""COMPUTED_VALUE"""),"AFMAO-FMO")</f>
        <v>AFMAO-FMO</v>
      </c>
      <c r="M463" s="164" t="str">
        <f ca="1">IFERROR(__xludf.DUMMYFUNCTION("""COMPUTED_VALUE"""),"SERVICEABLE")</f>
        <v>SERVICEABLE</v>
      </c>
      <c r="N463" s="164"/>
    </row>
    <row r="464" spans="1:14" ht="13.2">
      <c r="A464" s="164" t="str">
        <f ca="1">IFERROR(__xludf.DUMMYFUNCTION("""COMPUTED_VALUE"""),"DARCO")</f>
        <v>DARCO</v>
      </c>
      <c r="B464" s="164" t="str">
        <f ca="1">IFERROR(__xludf.DUMMYFUNCTION("""COMPUTED_VALUE"""),"CENTRAL OFFICE")</f>
        <v>CENTRAL OFFICE</v>
      </c>
      <c r="C464" s="164" t="str">
        <f ca="1">IFERROR(__xludf.DUMMYFUNCTION("""COMPUTED_VALUE"""),"ACER TRAVELMATE")</f>
        <v>ACER TRAVELMATE</v>
      </c>
      <c r="D464" s="164" t="str">
        <f ca="1">IFERROR(__xludf.DUMMYFUNCTION("""COMPUTED_VALUE"""),"₱ 46,580.00")</f>
        <v>₱ 46,580.00</v>
      </c>
      <c r="E464" s="164"/>
      <c r="F464" s="164" t="str">
        <f ca="1">IFERROR(__xludf.DUMMYFUNCTION("""COMPUTED_VALUE"""),"2024-05-03-10202SP-350")</f>
        <v>2024-05-03-10202SP-350</v>
      </c>
      <c r="G464" s="164"/>
      <c r="H464" s="164" t="str">
        <f ca="1">IFERROR(__xludf.DUMMYFUNCTION("""COMPUTED_VALUE"""),"ATTY KAZEL CELESTE")</f>
        <v>ATTY KAZEL CELESTE</v>
      </c>
      <c r="I464" s="164" t="str">
        <f ca="1">IFERROR(__xludf.DUMMYFUNCTION("""COMPUTED_VALUE"""),"USEC")</f>
        <v>USEC</v>
      </c>
      <c r="J464" s="164" t="str">
        <f ca="1">IFERROR(__xludf.DUMMYFUNCTION("""COMPUTED_VALUE"""),"SP031-2024")</f>
        <v>SP031-2024</v>
      </c>
      <c r="K464" s="164"/>
      <c r="L464" s="164" t="str">
        <f ca="1">IFERROR(__xludf.DUMMYFUNCTION("""COMPUTED_VALUE"""),"USEC FOO")</f>
        <v>USEC FOO</v>
      </c>
      <c r="M464" s="164" t="str">
        <f ca="1">IFERROR(__xludf.DUMMYFUNCTION("""COMPUTED_VALUE"""),"SERVICEABLE")</f>
        <v>SERVICEABLE</v>
      </c>
      <c r="N464" s="164"/>
    </row>
    <row r="465" spans="1:14" ht="13.2">
      <c r="A465" s="164" t="str">
        <f ca="1">IFERROR(__xludf.DUMMYFUNCTION("""COMPUTED_VALUE"""),"DARCO")</f>
        <v>DARCO</v>
      </c>
      <c r="B465" s="164" t="str">
        <f ca="1">IFERROR(__xludf.DUMMYFUNCTION("""COMPUTED_VALUE"""),"CENTRAL OFFICE")</f>
        <v>CENTRAL OFFICE</v>
      </c>
      <c r="C465" s="164" t="str">
        <f ca="1">IFERROR(__xludf.DUMMYFUNCTION("""COMPUTED_VALUE"""),"ACER TRAVELMATE")</f>
        <v>ACER TRAVELMATE</v>
      </c>
      <c r="D465" s="164" t="str">
        <f ca="1">IFERROR(__xludf.DUMMYFUNCTION("""COMPUTED_VALUE"""),"₱ 46,580.00")</f>
        <v>₱ 46,580.00</v>
      </c>
      <c r="E465" s="164"/>
      <c r="F465" s="164" t="str">
        <f ca="1">IFERROR(__xludf.DUMMYFUNCTION("""COMPUTED_VALUE"""),"2024-05-03-10202SP-351")</f>
        <v>2024-05-03-10202SP-351</v>
      </c>
      <c r="G465" s="164"/>
      <c r="H465" s="164" t="str">
        <f ca="1">IFERROR(__xludf.DUMMYFUNCTION("""COMPUTED_VALUE"""),"ATTY KAZEL CELESTE")</f>
        <v>ATTY KAZEL CELESTE</v>
      </c>
      <c r="I465" s="164" t="str">
        <f ca="1">IFERROR(__xludf.DUMMYFUNCTION("""COMPUTED_VALUE"""),"USEC")</f>
        <v>USEC</v>
      </c>
      <c r="J465" s="164" t="str">
        <f ca="1">IFERROR(__xludf.DUMMYFUNCTION("""COMPUTED_VALUE"""),"SP031-2024")</f>
        <v>SP031-2024</v>
      </c>
      <c r="K465" s="164"/>
      <c r="L465" s="164" t="str">
        <f ca="1">IFERROR(__xludf.DUMMYFUNCTION("""COMPUTED_VALUE"""),"USEC FOO")</f>
        <v>USEC FOO</v>
      </c>
      <c r="M465" s="164" t="str">
        <f ca="1">IFERROR(__xludf.DUMMYFUNCTION("""COMPUTED_VALUE"""),"SERVICEABLE")</f>
        <v>SERVICEABLE</v>
      </c>
      <c r="N465" s="164"/>
    </row>
    <row r="466" spans="1:14" ht="13.2">
      <c r="A466" s="164" t="str">
        <f ca="1">IFERROR(__xludf.DUMMYFUNCTION("""COMPUTED_VALUE"""),"DARCO")</f>
        <v>DARCO</v>
      </c>
      <c r="B466" s="164" t="str">
        <f ca="1">IFERROR(__xludf.DUMMYFUNCTION("""COMPUTED_VALUE"""),"CENTRAL OFFICE")</f>
        <v>CENTRAL OFFICE</v>
      </c>
      <c r="C466" s="164" t="str">
        <f ca="1">IFERROR(__xludf.DUMMYFUNCTION("""COMPUTED_VALUE"""),"ACER TRAVELMATE")</f>
        <v>ACER TRAVELMATE</v>
      </c>
      <c r="D466" s="164" t="str">
        <f ca="1">IFERROR(__xludf.DUMMYFUNCTION("""COMPUTED_VALUE"""),"₱ 46,580.00")</f>
        <v>₱ 46,580.00</v>
      </c>
      <c r="E466" s="164"/>
      <c r="F466" s="164" t="str">
        <f ca="1">IFERROR(__xludf.DUMMYFUNCTION("""COMPUTED_VALUE"""),"2024-05-03-10202SP-352")</f>
        <v>2024-05-03-10202SP-352</v>
      </c>
      <c r="G466" s="164"/>
      <c r="H466" s="164" t="str">
        <f ca="1">IFERROR(__xludf.DUMMYFUNCTION("""COMPUTED_VALUE"""),"ATTY KAZEL CELESTE")</f>
        <v>ATTY KAZEL CELESTE</v>
      </c>
      <c r="I466" s="164" t="str">
        <f ca="1">IFERROR(__xludf.DUMMYFUNCTION("""COMPUTED_VALUE"""),"USEC")</f>
        <v>USEC</v>
      </c>
      <c r="J466" s="164" t="str">
        <f ca="1">IFERROR(__xludf.DUMMYFUNCTION("""COMPUTED_VALUE"""),"SP031-2024")</f>
        <v>SP031-2024</v>
      </c>
      <c r="K466" s="164"/>
      <c r="L466" s="164" t="str">
        <f ca="1">IFERROR(__xludf.DUMMYFUNCTION("""COMPUTED_VALUE"""),"USEC FOO")</f>
        <v>USEC FOO</v>
      </c>
      <c r="M466" s="164" t="str">
        <f ca="1">IFERROR(__xludf.DUMMYFUNCTION("""COMPUTED_VALUE"""),"SERVICEABLE")</f>
        <v>SERVICEABLE</v>
      </c>
      <c r="N466" s="164"/>
    </row>
    <row r="467" spans="1:14" ht="13.2">
      <c r="A467" s="164" t="str">
        <f ca="1">IFERROR(__xludf.DUMMYFUNCTION("""COMPUTED_VALUE"""),"DARCO")</f>
        <v>DARCO</v>
      </c>
      <c r="B467" s="164" t="str">
        <f ca="1">IFERROR(__xludf.DUMMYFUNCTION("""COMPUTED_VALUE"""),"CENTRAL OFFICE")</f>
        <v>CENTRAL OFFICE</v>
      </c>
      <c r="C467" s="164" t="str">
        <f ca="1">IFERROR(__xludf.DUMMYFUNCTION("""COMPUTED_VALUE"""),"ACER TRAVELMATE")</f>
        <v>ACER TRAVELMATE</v>
      </c>
      <c r="D467" s="164" t="str">
        <f ca="1">IFERROR(__xludf.DUMMYFUNCTION("""COMPUTED_VALUE"""),"₱ 46,580.00")</f>
        <v>₱ 46,580.00</v>
      </c>
      <c r="E467" s="164"/>
      <c r="F467" s="164" t="str">
        <f ca="1">IFERROR(__xludf.DUMMYFUNCTION("""COMPUTED_VALUE"""),"2024-05-03-10202SP-353")</f>
        <v>2024-05-03-10202SP-353</v>
      </c>
      <c r="G467" s="164"/>
      <c r="H467" s="164" t="str">
        <f ca="1">IFERROR(__xludf.DUMMYFUNCTION("""COMPUTED_VALUE"""),"ATTY KAZEL CELESTE")</f>
        <v>ATTY KAZEL CELESTE</v>
      </c>
      <c r="I467" s="164" t="str">
        <f ca="1">IFERROR(__xludf.DUMMYFUNCTION("""COMPUTED_VALUE"""),"USEC")</f>
        <v>USEC</v>
      </c>
      <c r="J467" s="164" t="str">
        <f ca="1">IFERROR(__xludf.DUMMYFUNCTION("""COMPUTED_VALUE"""),"SP031-2024")</f>
        <v>SP031-2024</v>
      </c>
      <c r="K467" s="164"/>
      <c r="L467" s="164" t="str">
        <f ca="1">IFERROR(__xludf.DUMMYFUNCTION("""COMPUTED_VALUE"""),"USEC FOO")</f>
        <v>USEC FOO</v>
      </c>
      <c r="M467" s="164" t="str">
        <f ca="1">IFERROR(__xludf.DUMMYFUNCTION("""COMPUTED_VALUE"""),"SERVICEABLE")</f>
        <v>SERVICEABLE</v>
      </c>
      <c r="N467" s="164"/>
    </row>
    <row r="468" spans="1:14" ht="13.2">
      <c r="A468" s="164" t="str">
        <f ca="1">IFERROR(__xludf.DUMMYFUNCTION("""COMPUTED_VALUE"""),"DARCO")</f>
        <v>DARCO</v>
      </c>
      <c r="B468" s="164" t="str">
        <f ca="1">IFERROR(__xludf.DUMMYFUNCTION("""COMPUTED_VALUE"""),"CENTRAL OFFICE")</f>
        <v>CENTRAL OFFICE</v>
      </c>
      <c r="C468" s="164" t="str">
        <f ca="1">IFERROR(__xludf.DUMMYFUNCTION("""COMPUTED_VALUE"""),"ACER TRAVELMATE")</f>
        <v>ACER TRAVELMATE</v>
      </c>
      <c r="D468" s="164" t="str">
        <f ca="1">IFERROR(__xludf.DUMMYFUNCTION("""COMPUTED_VALUE"""),"₱ 46,580.00")</f>
        <v>₱ 46,580.00</v>
      </c>
      <c r="E468" s="164"/>
      <c r="F468" s="164" t="str">
        <f ca="1">IFERROR(__xludf.DUMMYFUNCTION("""COMPUTED_VALUE"""),"2024-05-03-10202SP-354")</f>
        <v>2024-05-03-10202SP-354</v>
      </c>
      <c r="G468" s="164"/>
      <c r="H468" s="164" t="str">
        <f ca="1">IFERROR(__xludf.DUMMYFUNCTION("""COMPUTED_VALUE"""),"ATTY KAZEL CELESTE")</f>
        <v>ATTY KAZEL CELESTE</v>
      </c>
      <c r="I468" s="164" t="str">
        <f ca="1">IFERROR(__xludf.DUMMYFUNCTION("""COMPUTED_VALUE"""),"USEC")</f>
        <v>USEC</v>
      </c>
      <c r="J468" s="164" t="str">
        <f ca="1">IFERROR(__xludf.DUMMYFUNCTION("""COMPUTED_VALUE"""),"SP031-2024")</f>
        <v>SP031-2024</v>
      </c>
      <c r="K468" s="164"/>
      <c r="L468" s="164" t="str">
        <f ca="1">IFERROR(__xludf.DUMMYFUNCTION("""COMPUTED_VALUE"""),"USEC FOO")</f>
        <v>USEC FOO</v>
      </c>
      <c r="M468" s="164" t="str">
        <f ca="1">IFERROR(__xludf.DUMMYFUNCTION("""COMPUTED_VALUE"""),"SERVICEABLE")</f>
        <v>SERVICEABLE</v>
      </c>
      <c r="N468" s="164"/>
    </row>
    <row r="469" spans="1:14" ht="13.2">
      <c r="A469" s="164" t="str">
        <f ca="1">IFERROR(__xludf.DUMMYFUNCTION("""COMPUTED_VALUE"""),"DARCO")</f>
        <v>DARCO</v>
      </c>
      <c r="B469" s="164" t="str">
        <f ca="1">IFERROR(__xludf.DUMMYFUNCTION("""COMPUTED_VALUE"""),"CENTRAL OFFICE")</f>
        <v>CENTRAL OFFICE</v>
      </c>
      <c r="C469" s="164" t="str">
        <f ca="1">IFERROR(__xludf.DUMMYFUNCTION("""COMPUTED_VALUE"""),"ACER TRAVELMATE")</f>
        <v>ACER TRAVELMATE</v>
      </c>
      <c r="D469" s="164" t="str">
        <f ca="1">IFERROR(__xludf.DUMMYFUNCTION("""COMPUTED_VALUE"""),"₱ 46,580.00")</f>
        <v>₱ 46,580.00</v>
      </c>
      <c r="E469" s="164"/>
      <c r="F469" s="164" t="str">
        <f ca="1">IFERROR(__xludf.DUMMYFUNCTION("""COMPUTED_VALUE"""),"2024-05-03-10202SP-355")</f>
        <v>2024-05-03-10202SP-355</v>
      </c>
      <c r="G469" s="164"/>
      <c r="H469" s="164" t="str">
        <f ca="1">IFERROR(__xludf.DUMMYFUNCTION("""COMPUTED_VALUE"""),"ATTY KAZEL CELESTE")</f>
        <v>ATTY KAZEL CELESTE</v>
      </c>
      <c r="I469" s="164" t="str">
        <f ca="1">IFERROR(__xludf.DUMMYFUNCTION("""COMPUTED_VALUE"""),"USEC")</f>
        <v>USEC</v>
      </c>
      <c r="J469" s="164" t="str">
        <f ca="1">IFERROR(__xludf.DUMMYFUNCTION("""COMPUTED_VALUE"""),"SP031-2024")</f>
        <v>SP031-2024</v>
      </c>
      <c r="K469" s="164"/>
      <c r="L469" s="164" t="str">
        <f ca="1">IFERROR(__xludf.DUMMYFUNCTION("""COMPUTED_VALUE"""),"USEC FOO")</f>
        <v>USEC FOO</v>
      </c>
      <c r="M469" s="164" t="str">
        <f ca="1">IFERROR(__xludf.DUMMYFUNCTION("""COMPUTED_VALUE"""),"SERVICEABLE")</f>
        <v>SERVICEABLE</v>
      </c>
      <c r="N469" s="164"/>
    </row>
    <row r="470" spans="1:14" ht="13.2">
      <c r="A470" s="164" t="str">
        <f ca="1">IFERROR(__xludf.DUMMYFUNCTION("""COMPUTED_VALUE"""),"DARCO")</f>
        <v>DARCO</v>
      </c>
      <c r="B470" s="164" t="str">
        <f ca="1">IFERROR(__xludf.DUMMYFUNCTION("""COMPUTED_VALUE"""),"CENTRAL OFFICE")</f>
        <v>CENTRAL OFFICE</v>
      </c>
      <c r="C470" s="164" t="str">
        <f ca="1">IFERROR(__xludf.DUMMYFUNCTION("""COMPUTED_VALUE"""),"ACER TRAVELMATE")</f>
        <v>ACER TRAVELMATE</v>
      </c>
      <c r="D470" s="164" t="str">
        <f ca="1">IFERROR(__xludf.DUMMYFUNCTION("""COMPUTED_VALUE"""),"₱ 46,580.00")</f>
        <v>₱ 46,580.00</v>
      </c>
      <c r="E470" s="164"/>
      <c r="F470" s="164" t="str">
        <f ca="1">IFERROR(__xludf.DUMMYFUNCTION("""COMPUTED_VALUE"""),"2024-05-03-10202SP-356")</f>
        <v>2024-05-03-10202SP-356</v>
      </c>
      <c r="G470" s="164"/>
      <c r="H470" s="164" t="str">
        <f ca="1">IFERROR(__xludf.DUMMYFUNCTION("""COMPUTED_VALUE"""),"ATTY KAZEL CELESTE")</f>
        <v>ATTY KAZEL CELESTE</v>
      </c>
      <c r="I470" s="164" t="str">
        <f ca="1">IFERROR(__xludf.DUMMYFUNCTION("""COMPUTED_VALUE"""),"USEC")</f>
        <v>USEC</v>
      </c>
      <c r="J470" s="164" t="str">
        <f ca="1">IFERROR(__xludf.DUMMYFUNCTION("""COMPUTED_VALUE"""),"SP031-2024")</f>
        <v>SP031-2024</v>
      </c>
      <c r="K470" s="164"/>
      <c r="L470" s="164" t="str">
        <f ca="1">IFERROR(__xludf.DUMMYFUNCTION("""COMPUTED_VALUE"""),"USEC FOO")</f>
        <v>USEC FOO</v>
      </c>
      <c r="M470" s="164" t="str">
        <f ca="1">IFERROR(__xludf.DUMMYFUNCTION("""COMPUTED_VALUE"""),"SERVICEABLE")</f>
        <v>SERVICEABLE</v>
      </c>
      <c r="N470" s="164"/>
    </row>
    <row r="471" spans="1:14" ht="13.2">
      <c r="A471" s="164" t="str">
        <f ca="1">IFERROR(__xludf.DUMMYFUNCTION("""COMPUTED_VALUE"""),"DARCO")</f>
        <v>DARCO</v>
      </c>
      <c r="B471" s="164" t="str">
        <f ca="1">IFERROR(__xludf.DUMMYFUNCTION("""COMPUTED_VALUE"""),"CENTRAL OFFICE")</f>
        <v>CENTRAL OFFICE</v>
      </c>
      <c r="C471" s="164" t="str">
        <f ca="1">IFERROR(__xludf.DUMMYFUNCTION("""COMPUTED_VALUE"""),"ACER TRAVELMATE")</f>
        <v>ACER TRAVELMATE</v>
      </c>
      <c r="D471" s="164" t="str">
        <f ca="1">IFERROR(__xludf.DUMMYFUNCTION("""COMPUTED_VALUE"""),"₱ 46,580.00")</f>
        <v>₱ 46,580.00</v>
      </c>
      <c r="E471" s="164"/>
      <c r="F471" s="164" t="str">
        <f ca="1">IFERROR(__xludf.DUMMYFUNCTION("""COMPUTED_VALUE"""),"2024-05-03-10202SP-357")</f>
        <v>2024-05-03-10202SP-357</v>
      </c>
      <c r="G471" s="164"/>
      <c r="H471" s="164" t="str">
        <f ca="1">IFERROR(__xludf.DUMMYFUNCTION("""COMPUTED_VALUE"""),"ATTY KAZEL CELESTE")</f>
        <v>ATTY KAZEL CELESTE</v>
      </c>
      <c r="I471" s="164" t="str">
        <f ca="1">IFERROR(__xludf.DUMMYFUNCTION("""COMPUTED_VALUE"""),"USEC")</f>
        <v>USEC</v>
      </c>
      <c r="J471" s="164" t="str">
        <f ca="1">IFERROR(__xludf.DUMMYFUNCTION("""COMPUTED_VALUE"""),"SP031-2024")</f>
        <v>SP031-2024</v>
      </c>
      <c r="K471" s="164"/>
      <c r="L471" s="164" t="str">
        <f ca="1">IFERROR(__xludf.DUMMYFUNCTION("""COMPUTED_VALUE"""),"USEC FOO")</f>
        <v>USEC FOO</v>
      </c>
      <c r="M471" s="164" t="str">
        <f ca="1">IFERROR(__xludf.DUMMYFUNCTION("""COMPUTED_VALUE"""),"SERVICEABLE")</f>
        <v>SERVICEABLE</v>
      </c>
      <c r="N471" s="164"/>
    </row>
    <row r="472" spans="1:14" ht="13.2">
      <c r="A472" s="164" t="str">
        <f ca="1">IFERROR(__xludf.DUMMYFUNCTION("""COMPUTED_VALUE"""),"DARCO")</f>
        <v>DARCO</v>
      </c>
      <c r="B472" s="164" t="str">
        <f ca="1">IFERROR(__xludf.DUMMYFUNCTION("""COMPUTED_VALUE"""),"CENTRAL OFFICE")</f>
        <v>CENTRAL OFFICE</v>
      </c>
      <c r="C472" s="164" t="str">
        <f ca="1">IFERROR(__xludf.DUMMYFUNCTION("""COMPUTED_VALUE"""),"ACER TRAVELMATE")</f>
        <v>ACER TRAVELMATE</v>
      </c>
      <c r="D472" s="164" t="str">
        <f ca="1">IFERROR(__xludf.DUMMYFUNCTION("""COMPUTED_VALUE"""),"₱ 46,580.00")</f>
        <v>₱ 46,580.00</v>
      </c>
      <c r="E472" s="164"/>
      <c r="F472" s="164" t="str">
        <f ca="1">IFERROR(__xludf.DUMMYFUNCTION("""COMPUTED_VALUE"""),"2024-05-03-10202SP-358")</f>
        <v>2024-05-03-10202SP-358</v>
      </c>
      <c r="G472" s="164"/>
      <c r="H472" s="164" t="str">
        <f ca="1">IFERROR(__xludf.DUMMYFUNCTION("""COMPUTED_VALUE"""),"ATTY KAZEL CELESTE")</f>
        <v>ATTY KAZEL CELESTE</v>
      </c>
      <c r="I472" s="164" t="str">
        <f ca="1">IFERROR(__xludf.DUMMYFUNCTION("""COMPUTED_VALUE"""),"USEC")</f>
        <v>USEC</v>
      </c>
      <c r="J472" s="164" t="str">
        <f ca="1">IFERROR(__xludf.DUMMYFUNCTION("""COMPUTED_VALUE"""),"SP031-2024")</f>
        <v>SP031-2024</v>
      </c>
      <c r="K472" s="164"/>
      <c r="L472" s="164" t="str">
        <f ca="1">IFERROR(__xludf.DUMMYFUNCTION("""COMPUTED_VALUE"""),"USEC FOO")</f>
        <v>USEC FOO</v>
      </c>
      <c r="M472" s="164" t="str">
        <f ca="1">IFERROR(__xludf.DUMMYFUNCTION("""COMPUTED_VALUE"""),"SERVICEABLE")</f>
        <v>SERVICEABLE</v>
      </c>
      <c r="N472" s="164"/>
    </row>
    <row r="473" spans="1:14" ht="13.2">
      <c r="A473" s="164" t="str">
        <f ca="1">IFERROR(__xludf.DUMMYFUNCTION("""COMPUTED_VALUE"""),"DARCO")</f>
        <v>DARCO</v>
      </c>
      <c r="B473" s="164" t="str">
        <f ca="1">IFERROR(__xludf.DUMMYFUNCTION("""COMPUTED_VALUE"""),"CENTRAL OFFICE")</f>
        <v>CENTRAL OFFICE</v>
      </c>
      <c r="C473" s="164" t="str">
        <f ca="1">IFERROR(__xludf.DUMMYFUNCTION("""COMPUTED_VALUE"""),"ACER TRAVELMATE")</f>
        <v>ACER TRAVELMATE</v>
      </c>
      <c r="D473" s="164" t="str">
        <f ca="1">IFERROR(__xludf.DUMMYFUNCTION("""COMPUTED_VALUE"""),"₱ 46,580.00")</f>
        <v>₱ 46,580.00</v>
      </c>
      <c r="E473" s="164"/>
      <c r="F473" s="164" t="str">
        <f ca="1">IFERROR(__xludf.DUMMYFUNCTION("""COMPUTED_VALUE"""),"2024-05-03-10202SP-359")</f>
        <v>2024-05-03-10202SP-359</v>
      </c>
      <c r="G473" s="164"/>
      <c r="H473" s="164" t="str">
        <f ca="1">IFERROR(__xludf.DUMMYFUNCTION("""COMPUTED_VALUE"""),"ATTY KAZEL CELESTE")</f>
        <v>ATTY KAZEL CELESTE</v>
      </c>
      <c r="I473" s="164" t="str">
        <f ca="1">IFERROR(__xludf.DUMMYFUNCTION("""COMPUTED_VALUE"""),"USEC")</f>
        <v>USEC</v>
      </c>
      <c r="J473" s="164" t="str">
        <f ca="1">IFERROR(__xludf.DUMMYFUNCTION("""COMPUTED_VALUE"""),"SP031-2024")</f>
        <v>SP031-2024</v>
      </c>
      <c r="K473" s="164"/>
      <c r="L473" s="164" t="str">
        <f ca="1">IFERROR(__xludf.DUMMYFUNCTION("""COMPUTED_VALUE"""),"USEC FOO")</f>
        <v>USEC FOO</v>
      </c>
      <c r="M473" s="164" t="str">
        <f ca="1">IFERROR(__xludf.DUMMYFUNCTION("""COMPUTED_VALUE"""),"SERVICEABLE")</f>
        <v>SERVICEABLE</v>
      </c>
      <c r="N473" s="164"/>
    </row>
    <row r="474" spans="1:14" ht="13.2">
      <c r="A474" s="164" t="str">
        <f ca="1">IFERROR(__xludf.DUMMYFUNCTION("""COMPUTED_VALUE"""),"DARCO")</f>
        <v>DARCO</v>
      </c>
      <c r="B474" s="164" t="str">
        <f ca="1">IFERROR(__xludf.DUMMYFUNCTION("""COMPUTED_VALUE"""),"CENTRAL OFFICE")</f>
        <v>CENTRAL OFFICE</v>
      </c>
      <c r="C474" s="164" t="str">
        <f ca="1">IFERROR(__xludf.DUMMYFUNCTION("""COMPUTED_VALUE"""),"ACER TRAVELMATE")</f>
        <v>ACER TRAVELMATE</v>
      </c>
      <c r="D474" s="164" t="str">
        <f ca="1">IFERROR(__xludf.DUMMYFUNCTION("""COMPUTED_VALUE"""),"₱ 46,580.00")</f>
        <v>₱ 46,580.00</v>
      </c>
      <c r="E474" s="164"/>
      <c r="F474" s="164" t="str">
        <f ca="1">IFERROR(__xludf.DUMMYFUNCTION("""COMPUTED_VALUE"""),"2024-05-03-10202SP-360")</f>
        <v>2024-05-03-10202SP-360</v>
      </c>
      <c r="G474" s="164"/>
      <c r="H474" s="164"/>
      <c r="I474" s="164" t="str">
        <f ca="1">IFERROR(__xludf.DUMMYFUNCTION("""COMPUTED_VALUE"""),"DIRECTOR")</f>
        <v>DIRECTOR</v>
      </c>
      <c r="J474" s="164" t="str">
        <f ca="1">IFERROR(__xludf.DUMMYFUNCTION("""COMPUTED_VALUE"""),"SP032-2024")</f>
        <v>SP032-2024</v>
      </c>
      <c r="K474" s="164"/>
      <c r="L474" s="164" t="str">
        <f ca="1">IFERROR(__xludf.DUMMYFUNCTION("""COMPUTED_VALUE"""),"CBTA")</f>
        <v>CBTA</v>
      </c>
      <c r="M474" s="164" t="str">
        <f ca="1">IFERROR(__xludf.DUMMYFUNCTION("""COMPUTED_VALUE"""),"SERVICEABLE")</f>
        <v>SERVICEABLE</v>
      </c>
      <c r="N474" s="164"/>
    </row>
    <row r="475" spans="1:14" ht="13.2">
      <c r="A475" s="164" t="str">
        <f ca="1">IFERROR(__xludf.DUMMYFUNCTION("""COMPUTED_VALUE"""),"DARCO")</f>
        <v>DARCO</v>
      </c>
      <c r="B475" s="164" t="str">
        <f ca="1">IFERROR(__xludf.DUMMYFUNCTION("""COMPUTED_VALUE"""),"CENTRAL OFFICE")</f>
        <v>CENTRAL OFFICE</v>
      </c>
      <c r="C475" s="164" t="str">
        <f ca="1">IFERROR(__xludf.DUMMYFUNCTION("""COMPUTED_VALUE"""),"ACER TRAVELMATE")</f>
        <v>ACER TRAVELMATE</v>
      </c>
      <c r="D475" s="164" t="str">
        <f ca="1">IFERROR(__xludf.DUMMYFUNCTION("""COMPUTED_VALUE"""),"₱ 46,580.00")</f>
        <v>₱ 46,580.00</v>
      </c>
      <c r="E475" s="164"/>
      <c r="F475" s="164" t="str">
        <f ca="1">IFERROR(__xludf.DUMMYFUNCTION("""COMPUTED_VALUE"""),"2024-05-03-10202SP-361")</f>
        <v>2024-05-03-10202SP-361</v>
      </c>
      <c r="G475" s="164"/>
      <c r="H475" s="164"/>
      <c r="I475" s="164" t="str">
        <f ca="1">IFERROR(__xludf.DUMMYFUNCTION("""COMPUTED_VALUE"""),"DIRECTOR")</f>
        <v>DIRECTOR</v>
      </c>
      <c r="J475" s="164" t="str">
        <f ca="1">IFERROR(__xludf.DUMMYFUNCTION("""COMPUTED_VALUE"""),"SP032-2024")</f>
        <v>SP032-2024</v>
      </c>
      <c r="K475" s="164"/>
      <c r="L475" s="164" t="str">
        <f ca="1">IFERROR(__xludf.DUMMYFUNCTION("""COMPUTED_VALUE"""),"CBTA")</f>
        <v>CBTA</v>
      </c>
      <c r="M475" s="164" t="str">
        <f ca="1">IFERROR(__xludf.DUMMYFUNCTION("""COMPUTED_VALUE"""),"SERVICEABLE")</f>
        <v>SERVICEABLE</v>
      </c>
      <c r="N475" s="164"/>
    </row>
    <row r="476" spans="1:14" ht="13.2">
      <c r="A476" s="164" t="str">
        <f ca="1">IFERROR(__xludf.DUMMYFUNCTION("""COMPUTED_VALUE"""),"DARCO")</f>
        <v>DARCO</v>
      </c>
      <c r="B476" s="164" t="str">
        <f ca="1">IFERROR(__xludf.DUMMYFUNCTION("""COMPUTED_VALUE"""),"CENTRAL OFFICE")</f>
        <v>CENTRAL OFFICE</v>
      </c>
      <c r="C476" s="164" t="str">
        <f ca="1">IFERROR(__xludf.DUMMYFUNCTION("""COMPUTED_VALUE"""),"ACER TRAVELMATE")</f>
        <v>ACER TRAVELMATE</v>
      </c>
      <c r="D476" s="164" t="str">
        <f ca="1">IFERROR(__xludf.DUMMYFUNCTION("""COMPUTED_VALUE"""),"₱ 46,580.00")</f>
        <v>₱ 46,580.00</v>
      </c>
      <c r="E476" s="164"/>
      <c r="F476" s="164" t="str">
        <f ca="1">IFERROR(__xludf.DUMMYFUNCTION("""COMPUTED_VALUE"""),"2024-05-03-10202SP-362")</f>
        <v>2024-05-03-10202SP-362</v>
      </c>
      <c r="G476" s="164"/>
      <c r="H476" s="164" t="str">
        <f ca="1">IFERROR(__xludf.DUMMYFUNCTION("""COMPUTED_VALUE"""),"ATTY SHEILA B ENCISO")</f>
        <v>ATTY SHEILA B ENCISO</v>
      </c>
      <c r="I476" s="164" t="str">
        <f ca="1">IFERROR(__xludf.DUMMYFUNCTION("""COMPUTED_VALUE"""),"DIRECTOR")</f>
        <v>DIRECTOR</v>
      </c>
      <c r="J476" s="164" t="str">
        <f ca="1">IFERROR(__xludf.DUMMYFUNCTION("""COMPUTED_VALUE"""),"SP032-2024")</f>
        <v>SP032-2024</v>
      </c>
      <c r="K476" s="164"/>
      <c r="L476" s="164" t="str">
        <f ca="1">IFERROR(__xludf.DUMMYFUNCTION("""COMPUTED_VALUE"""),"BALA")</f>
        <v>BALA</v>
      </c>
      <c r="M476" s="164" t="str">
        <f ca="1">IFERROR(__xludf.DUMMYFUNCTION("""COMPUTED_VALUE"""),"SERVICEABLE")</f>
        <v>SERVICEABLE</v>
      </c>
      <c r="N476" s="164"/>
    </row>
    <row r="477" spans="1:14" ht="13.2">
      <c r="A477" s="164" t="str">
        <f ca="1">IFERROR(__xludf.DUMMYFUNCTION("""COMPUTED_VALUE"""),"DARCO")</f>
        <v>DARCO</v>
      </c>
      <c r="B477" s="164" t="str">
        <f ca="1">IFERROR(__xludf.DUMMYFUNCTION("""COMPUTED_VALUE"""),"CENTRAL OFFICE")</f>
        <v>CENTRAL OFFICE</v>
      </c>
      <c r="C477" s="164" t="str">
        <f ca="1">IFERROR(__xludf.DUMMYFUNCTION("""COMPUTED_VALUE"""),"ACER TRAVELMATE")</f>
        <v>ACER TRAVELMATE</v>
      </c>
      <c r="D477" s="164" t="str">
        <f ca="1">IFERROR(__xludf.DUMMYFUNCTION("""COMPUTED_VALUE"""),"₱ 46,580.00")</f>
        <v>₱ 46,580.00</v>
      </c>
      <c r="E477" s="164"/>
      <c r="F477" s="164" t="str">
        <f ca="1">IFERROR(__xludf.DUMMYFUNCTION("""COMPUTED_VALUE"""),"2024-05-03-10202SP-363")</f>
        <v>2024-05-03-10202SP-363</v>
      </c>
      <c r="G477" s="164"/>
      <c r="H477" s="164" t="str">
        <f ca="1">IFERROR(__xludf.DUMMYFUNCTION("""COMPUTED_VALUE"""),"ATTY SHEILA B ENCISO")</f>
        <v>ATTY SHEILA B ENCISO</v>
      </c>
      <c r="I477" s="164" t="str">
        <f ca="1">IFERROR(__xludf.DUMMYFUNCTION("""COMPUTED_VALUE"""),"DIRECTOR")</f>
        <v>DIRECTOR</v>
      </c>
      <c r="J477" s="164" t="str">
        <f ca="1">IFERROR(__xludf.DUMMYFUNCTION("""COMPUTED_VALUE"""),"SP032-2024")</f>
        <v>SP032-2024</v>
      </c>
      <c r="K477" s="164"/>
      <c r="L477" s="164" t="str">
        <f ca="1">IFERROR(__xludf.DUMMYFUNCTION("""COMPUTED_VALUE"""),"BALA")</f>
        <v>BALA</v>
      </c>
      <c r="M477" s="164" t="str">
        <f ca="1">IFERROR(__xludf.DUMMYFUNCTION("""COMPUTED_VALUE"""),"SERVICEABLE")</f>
        <v>SERVICEABLE</v>
      </c>
      <c r="N477" s="164"/>
    </row>
    <row r="478" spans="1:14" ht="13.2">
      <c r="A478" s="164" t="str">
        <f ca="1">IFERROR(__xludf.DUMMYFUNCTION("""COMPUTED_VALUE"""),"DARCO")</f>
        <v>DARCO</v>
      </c>
      <c r="B478" s="164" t="str">
        <f ca="1">IFERROR(__xludf.DUMMYFUNCTION("""COMPUTED_VALUE"""),"CENTRAL OFFICE")</f>
        <v>CENTRAL OFFICE</v>
      </c>
      <c r="C478" s="164" t="str">
        <f ca="1">IFERROR(__xludf.DUMMYFUNCTION("""COMPUTED_VALUE"""),"ACER TRAVELMATE")</f>
        <v>ACER TRAVELMATE</v>
      </c>
      <c r="D478" s="164" t="str">
        <f ca="1">IFERROR(__xludf.DUMMYFUNCTION("""COMPUTED_VALUE"""),"₱ 46,580.00")</f>
        <v>₱ 46,580.00</v>
      </c>
      <c r="E478" s="164"/>
      <c r="F478" s="164" t="str">
        <f ca="1">IFERROR(__xludf.DUMMYFUNCTION("""COMPUTED_VALUE"""),"2024-05-03-10202SP-364")</f>
        <v>2024-05-03-10202SP-364</v>
      </c>
      <c r="G478" s="164"/>
      <c r="H478" s="164" t="str">
        <f ca="1">IFERROR(__xludf.DUMMYFUNCTION("""COMPUTED_VALUE"""),"GLORIA JULIANO")</f>
        <v>GLORIA JULIANO</v>
      </c>
      <c r="I478" s="164" t="str">
        <f ca="1">IFERROR(__xludf.DUMMYFUNCTION("""COMPUTED_VALUE"""),"CHIEF GSD")</f>
        <v>CHIEF GSD</v>
      </c>
      <c r="J478" s="164" t="str">
        <f ca="1">IFERROR(__xludf.DUMMYFUNCTION("""COMPUTED_VALUE"""),"SP033-2024")</f>
        <v>SP033-2024</v>
      </c>
      <c r="K478" s="164"/>
      <c r="L478" s="164" t="str">
        <f ca="1">IFERROR(__xludf.DUMMYFUNCTION("""COMPUTED_VALUE"""),"GSD")</f>
        <v>GSD</v>
      </c>
      <c r="M478" s="164" t="str">
        <f ca="1">IFERROR(__xludf.DUMMYFUNCTION("""COMPUTED_VALUE"""),"SERVICEABLE")</f>
        <v>SERVICEABLE</v>
      </c>
      <c r="N478" s="164"/>
    </row>
    <row r="479" spans="1:14" ht="13.2">
      <c r="A479" s="164" t="str">
        <f ca="1">IFERROR(__xludf.DUMMYFUNCTION("""COMPUTED_VALUE"""),"DARCO")</f>
        <v>DARCO</v>
      </c>
      <c r="B479" s="164" t="str">
        <f ca="1">IFERROR(__xludf.DUMMYFUNCTION("""COMPUTED_VALUE"""),"CENTRAL OFFICE")</f>
        <v>CENTRAL OFFICE</v>
      </c>
      <c r="C479" s="164" t="str">
        <f ca="1">IFERROR(__xludf.DUMMYFUNCTION("""COMPUTED_VALUE"""),"ACER TRAVELMATE")</f>
        <v>ACER TRAVELMATE</v>
      </c>
      <c r="D479" s="164" t="str">
        <f ca="1">IFERROR(__xludf.DUMMYFUNCTION("""COMPUTED_VALUE"""),"₱ 46,580.00")</f>
        <v>₱ 46,580.00</v>
      </c>
      <c r="E479" s="164"/>
      <c r="F479" s="164" t="str">
        <f ca="1">IFERROR(__xludf.DUMMYFUNCTION("""COMPUTED_VALUE"""),"2024-05-03-10202SP-365")</f>
        <v>2024-05-03-10202SP-365</v>
      </c>
      <c r="G479" s="164"/>
      <c r="H479" s="164" t="str">
        <f ca="1">IFERROR(__xludf.DUMMYFUNCTION("""COMPUTED_VALUE"""),"GLORIA JULIANO")</f>
        <v>GLORIA JULIANO</v>
      </c>
      <c r="I479" s="164" t="str">
        <f ca="1">IFERROR(__xludf.DUMMYFUNCTION("""COMPUTED_VALUE"""),"CHIEF GSD")</f>
        <v>CHIEF GSD</v>
      </c>
      <c r="J479" s="164" t="str">
        <f ca="1">IFERROR(__xludf.DUMMYFUNCTION("""COMPUTED_VALUE"""),"SP033-2024")</f>
        <v>SP033-2024</v>
      </c>
      <c r="K479" s="164"/>
      <c r="L479" s="164" t="str">
        <f ca="1">IFERROR(__xludf.DUMMYFUNCTION("""COMPUTED_VALUE"""),"GSD")</f>
        <v>GSD</v>
      </c>
      <c r="M479" s="164" t="str">
        <f ca="1">IFERROR(__xludf.DUMMYFUNCTION("""COMPUTED_VALUE"""),"SERVICEABLE")</f>
        <v>SERVICEABLE</v>
      </c>
      <c r="N479" s="164"/>
    </row>
    <row r="480" spans="1:14" ht="13.2">
      <c r="A480" s="164" t="str">
        <f ca="1">IFERROR(__xludf.DUMMYFUNCTION("""COMPUTED_VALUE"""),"DARCO")</f>
        <v>DARCO</v>
      </c>
      <c r="B480" s="164" t="str">
        <f ca="1">IFERROR(__xludf.DUMMYFUNCTION("""COMPUTED_VALUE"""),"CENTRAL OFFICE")</f>
        <v>CENTRAL OFFICE</v>
      </c>
      <c r="C480" s="164" t="str">
        <f ca="1">IFERROR(__xludf.DUMMYFUNCTION("""COMPUTED_VALUE"""),"ACER TRAVELMATE")</f>
        <v>ACER TRAVELMATE</v>
      </c>
      <c r="D480" s="164" t="str">
        <f ca="1">IFERROR(__xludf.DUMMYFUNCTION("""COMPUTED_VALUE"""),"₱ 46,580.00")</f>
        <v>₱ 46,580.00</v>
      </c>
      <c r="E480" s="164"/>
      <c r="F480" s="164" t="str">
        <f ca="1">IFERROR(__xludf.DUMMYFUNCTION("""COMPUTED_VALUE"""),"2024-05-03-10202SP-366")</f>
        <v>2024-05-03-10202SP-366</v>
      </c>
      <c r="G480" s="164"/>
      <c r="H480" s="164" t="str">
        <f ca="1">IFERROR(__xludf.DUMMYFUNCTION("""COMPUTED_VALUE"""),"GLORIA JULIANO")</f>
        <v>GLORIA JULIANO</v>
      </c>
      <c r="I480" s="164" t="str">
        <f ca="1">IFERROR(__xludf.DUMMYFUNCTION("""COMPUTED_VALUE"""),"CHIEF GSD")</f>
        <v>CHIEF GSD</v>
      </c>
      <c r="J480" s="164" t="str">
        <f ca="1">IFERROR(__xludf.DUMMYFUNCTION("""COMPUTED_VALUE"""),"SP033-2024")</f>
        <v>SP033-2024</v>
      </c>
      <c r="K480" s="164"/>
      <c r="L480" s="164" t="str">
        <f ca="1">IFERROR(__xludf.DUMMYFUNCTION("""COMPUTED_VALUE"""),"GSD")</f>
        <v>GSD</v>
      </c>
      <c r="M480" s="164" t="str">
        <f ca="1">IFERROR(__xludf.DUMMYFUNCTION("""COMPUTED_VALUE"""),"SERVICEABLE")</f>
        <v>SERVICEABLE</v>
      </c>
      <c r="N480" s="164"/>
    </row>
    <row r="481" spans="1:14" ht="13.2">
      <c r="A481" s="164" t="str">
        <f ca="1">IFERROR(__xludf.DUMMYFUNCTION("""COMPUTED_VALUE"""),"DARCO")</f>
        <v>DARCO</v>
      </c>
      <c r="B481" s="164" t="str">
        <f ca="1">IFERROR(__xludf.DUMMYFUNCTION("""COMPUTED_VALUE"""),"CENTRAL OFFICE")</f>
        <v>CENTRAL OFFICE</v>
      </c>
      <c r="C481" s="164" t="str">
        <f ca="1">IFERROR(__xludf.DUMMYFUNCTION("""COMPUTED_VALUE"""),"ACER TRAVELMATE")</f>
        <v>ACER TRAVELMATE</v>
      </c>
      <c r="D481" s="164" t="str">
        <f ca="1">IFERROR(__xludf.DUMMYFUNCTION("""COMPUTED_VALUE"""),"₱ 46,580.00")</f>
        <v>₱ 46,580.00</v>
      </c>
      <c r="E481" s="164"/>
      <c r="F481" s="164" t="str">
        <f ca="1">IFERROR(__xludf.DUMMYFUNCTION("""COMPUTED_VALUE"""),"2024-05-03-10202SP-367")</f>
        <v>2024-05-03-10202SP-367</v>
      </c>
      <c r="G481" s="164"/>
      <c r="H481" s="164"/>
      <c r="I481" s="164"/>
      <c r="J481" s="164" t="str">
        <f ca="1">IFERROR(__xludf.DUMMYFUNCTION("""COMPUTED_VALUE"""),"SP034-2024")</f>
        <v>SP034-2024</v>
      </c>
      <c r="K481" s="164"/>
      <c r="L481" s="164" t="str">
        <f ca="1">IFERROR(__xludf.DUMMYFUNCTION("""COMPUTED_VALUE"""),"RECORDS DIVISION")</f>
        <v>RECORDS DIVISION</v>
      </c>
      <c r="M481" s="164" t="str">
        <f ca="1">IFERROR(__xludf.DUMMYFUNCTION("""COMPUTED_VALUE"""),"SERVICEABLE")</f>
        <v>SERVICEABLE</v>
      </c>
      <c r="N481" s="164"/>
    </row>
    <row r="482" spans="1:14" ht="13.2">
      <c r="A482" s="164" t="str">
        <f ca="1">IFERROR(__xludf.DUMMYFUNCTION("""COMPUTED_VALUE"""),"DARCO")</f>
        <v>DARCO</v>
      </c>
      <c r="B482" s="164" t="str">
        <f ca="1">IFERROR(__xludf.DUMMYFUNCTION("""COMPUTED_VALUE"""),"CENTRAL OFFICE")</f>
        <v>CENTRAL OFFICE</v>
      </c>
      <c r="C482" s="164" t="str">
        <f ca="1">IFERROR(__xludf.DUMMYFUNCTION("""COMPUTED_VALUE"""),"ACER TRAVELMATE")</f>
        <v>ACER TRAVELMATE</v>
      </c>
      <c r="D482" s="164" t="str">
        <f ca="1">IFERROR(__xludf.DUMMYFUNCTION("""COMPUTED_VALUE"""),"₱ 46,580.00")</f>
        <v>₱ 46,580.00</v>
      </c>
      <c r="E482" s="164"/>
      <c r="F482" s="164" t="str">
        <f ca="1">IFERROR(__xludf.DUMMYFUNCTION("""COMPUTED_VALUE"""),"2024-05-03-10202SP-368")</f>
        <v>2024-05-03-10202SP-368</v>
      </c>
      <c r="G482" s="164"/>
      <c r="H482" s="164"/>
      <c r="I482" s="164"/>
      <c r="J482" s="164" t="str">
        <f ca="1">IFERROR(__xludf.DUMMYFUNCTION("""COMPUTED_VALUE"""),"SP034-2024")</f>
        <v>SP034-2024</v>
      </c>
      <c r="K482" s="164"/>
      <c r="L482" s="164" t="str">
        <f ca="1">IFERROR(__xludf.DUMMYFUNCTION("""COMPUTED_VALUE"""),"RECORDS DIVISION")</f>
        <v>RECORDS DIVISION</v>
      </c>
      <c r="M482" s="164" t="str">
        <f ca="1">IFERROR(__xludf.DUMMYFUNCTION("""COMPUTED_VALUE"""),"SERVICEABLE")</f>
        <v>SERVICEABLE</v>
      </c>
      <c r="N482" s="164"/>
    </row>
    <row r="483" spans="1:14" ht="13.2">
      <c r="A483" s="164" t="str">
        <f ca="1">IFERROR(__xludf.DUMMYFUNCTION("""COMPUTED_VALUE"""),"DARCO")</f>
        <v>DARCO</v>
      </c>
      <c r="B483" s="164" t="str">
        <f ca="1">IFERROR(__xludf.DUMMYFUNCTION("""COMPUTED_VALUE"""),"CENTRAL OFFICE")</f>
        <v>CENTRAL OFFICE</v>
      </c>
      <c r="C483" s="164" t="str">
        <f ca="1">IFERROR(__xludf.DUMMYFUNCTION("""COMPUTED_VALUE"""),"ACER TRAVELMATE")</f>
        <v>ACER TRAVELMATE</v>
      </c>
      <c r="D483" s="164" t="str">
        <f ca="1">IFERROR(__xludf.DUMMYFUNCTION("""COMPUTED_VALUE"""),"₱ 46,580.00")</f>
        <v>₱ 46,580.00</v>
      </c>
      <c r="E483" s="164"/>
      <c r="F483" s="164" t="str">
        <f ca="1">IFERROR(__xludf.DUMMYFUNCTION("""COMPUTED_VALUE"""),"2024-05-03-10202SP-369")</f>
        <v>2024-05-03-10202SP-369</v>
      </c>
      <c r="G483" s="164"/>
      <c r="H483" s="164" t="str">
        <f ca="1">IFERROR(__xludf.DUMMYFUNCTION("""COMPUTED_VALUE"""),"MARISSA ARLENE B BACCAY")</f>
        <v>MARISSA ARLENE B BACCAY</v>
      </c>
      <c r="I483" s="164" t="str">
        <f ca="1">IFERROR(__xludf.DUMMYFUNCTION("""COMPUTED_VALUE"""),"OIC CHIEF ADMIN")</f>
        <v>OIC CHIEF ADMIN</v>
      </c>
      <c r="J483" s="164" t="str">
        <f ca="1">IFERROR(__xludf.DUMMYFUNCTION("""COMPUTED_VALUE"""),"SP035-2024")</f>
        <v>SP035-2024</v>
      </c>
      <c r="K483" s="164"/>
      <c r="L483" s="164" t="str">
        <f ca="1">IFERROR(__xludf.DUMMYFUNCTION("""COMPUTED_VALUE"""),"PERSONNEL/ HR")</f>
        <v>PERSONNEL/ HR</v>
      </c>
      <c r="M483" s="164" t="str">
        <f ca="1">IFERROR(__xludf.DUMMYFUNCTION("""COMPUTED_VALUE"""),"SERVICEABLE")</f>
        <v>SERVICEABLE</v>
      </c>
      <c r="N483" s="164"/>
    </row>
    <row r="484" spans="1:14" ht="13.2">
      <c r="A484" s="164" t="str">
        <f ca="1">IFERROR(__xludf.DUMMYFUNCTION("""COMPUTED_VALUE"""),"DARCO")</f>
        <v>DARCO</v>
      </c>
      <c r="B484" s="164" t="str">
        <f ca="1">IFERROR(__xludf.DUMMYFUNCTION("""COMPUTED_VALUE"""),"CENTRAL OFFICE")</f>
        <v>CENTRAL OFFICE</v>
      </c>
      <c r="C484" s="164" t="str">
        <f ca="1">IFERROR(__xludf.DUMMYFUNCTION("""COMPUTED_VALUE"""),"ACER TRAVELMATE")</f>
        <v>ACER TRAVELMATE</v>
      </c>
      <c r="D484" s="164" t="str">
        <f ca="1">IFERROR(__xludf.DUMMYFUNCTION("""COMPUTED_VALUE"""),"₱ 46,580.00")</f>
        <v>₱ 46,580.00</v>
      </c>
      <c r="E484" s="164"/>
      <c r="F484" s="164" t="str">
        <f ca="1">IFERROR(__xludf.DUMMYFUNCTION("""COMPUTED_VALUE"""),"2024-05-03-10202SP-370")</f>
        <v>2024-05-03-10202SP-370</v>
      </c>
      <c r="G484" s="164"/>
      <c r="H484" s="164" t="str">
        <f ca="1">IFERROR(__xludf.DUMMYFUNCTION("""COMPUTED_VALUE"""),"MARISSA ARLENE B BACCAY")</f>
        <v>MARISSA ARLENE B BACCAY</v>
      </c>
      <c r="I484" s="164" t="str">
        <f ca="1">IFERROR(__xludf.DUMMYFUNCTION("""COMPUTED_VALUE"""),"OIC CHIEF ADMIN")</f>
        <v>OIC CHIEF ADMIN</v>
      </c>
      <c r="J484" s="164" t="str">
        <f ca="1">IFERROR(__xludf.DUMMYFUNCTION("""COMPUTED_VALUE"""),"SP035-2024")</f>
        <v>SP035-2024</v>
      </c>
      <c r="K484" s="164"/>
      <c r="L484" s="164" t="str">
        <f ca="1">IFERROR(__xludf.DUMMYFUNCTION("""COMPUTED_VALUE"""),"PERSONNEL/ HR")</f>
        <v>PERSONNEL/ HR</v>
      </c>
      <c r="M484" s="164" t="str">
        <f ca="1">IFERROR(__xludf.DUMMYFUNCTION("""COMPUTED_VALUE"""),"SERVICEABLE")</f>
        <v>SERVICEABLE</v>
      </c>
      <c r="N484" s="164"/>
    </row>
    <row r="485" spans="1:14" ht="13.2">
      <c r="A485" s="164" t="str">
        <f ca="1">IFERROR(__xludf.DUMMYFUNCTION("""COMPUTED_VALUE"""),"DARCO")</f>
        <v>DARCO</v>
      </c>
      <c r="B485" s="164" t="str">
        <f ca="1">IFERROR(__xludf.DUMMYFUNCTION("""COMPUTED_VALUE"""),"CENTRAL OFFICE")</f>
        <v>CENTRAL OFFICE</v>
      </c>
      <c r="C485" s="164" t="str">
        <f ca="1">IFERROR(__xludf.DUMMYFUNCTION("""COMPUTED_VALUE"""),"ACER TRAVELMATE")</f>
        <v>ACER TRAVELMATE</v>
      </c>
      <c r="D485" s="164" t="str">
        <f ca="1">IFERROR(__xludf.DUMMYFUNCTION("""COMPUTED_VALUE"""),"₱ 46,580.00")</f>
        <v>₱ 46,580.00</v>
      </c>
      <c r="E485" s="164"/>
      <c r="F485" s="164" t="str">
        <f ca="1">IFERROR(__xludf.DUMMYFUNCTION("""COMPUTED_VALUE"""),"2024-05-03-10202SP-371")</f>
        <v>2024-05-03-10202SP-371</v>
      </c>
      <c r="G485" s="164"/>
      <c r="H485" s="164" t="str">
        <f ca="1">IFERROR(__xludf.DUMMYFUNCTION("""COMPUTED_VALUE"""),"MARISSA ARLENE B BACCAY")</f>
        <v>MARISSA ARLENE B BACCAY</v>
      </c>
      <c r="I485" s="164" t="str">
        <f ca="1">IFERROR(__xludf.DUMMYFUNCTION("""COMPUTED_VALUE"""),"OIC CHIEF ADMIN")</f>
        <v>OIC CHIEF ADMIN</v>
      </c>
      <c r="J485" s="164" t="str">
        <f ca="1">IFERROR(__xludf.DUMMYFUNCTION("""COMPUTED_VALUE"""),"SP035-2024")</f>
        <v>SP035-2024</v>
      </c>
      <c r="K485" s="164"/>
      <c r="L485" s="164" t="str">
        <f ca="1">IFERROR(__xludf.DUMMYFUNCTION("""COMPUTED_VALUE"""),"PERSONNEL/ HR")</f>
        <v>PERSONNEL/ HR</v>
      </c>
      <c r="M485" s="164" t="str">
        <f ca="1">IFERROR(__xludf.DUMMYFUNCTION("""COMPUTED_VALUE"""),"SERVICEABLE")</f>
        <v>SERVICEABLE</v>
      </c>
      <c r="N485" s="164"/>
    </row>
    <row r="486" spans="1:14" ht="13.2">
      <c r="A486" s="164" t="str">
        <f ca="1">IFERROR(__xludf.DUMMYFUNCTION("""COMPUTED_VALUE"""),"DARCO")</f>
        <v>DARCO</v>
      </c>
      <c r="B486" s="164" t="str">
        <f ca="1">IFERROR(__xludf.DUMMYFUNCTION("""COMPUTED_VALUE"""),"CENTRAL OFFICE")</f>
        <v>CENTRAL OFFICE</v>
      </c>
      <c r="C486" s="164" t="str">
        <f ca="1">IFERROR(__xludf.DUMMYFUNCTION("""COMPUTED_VALUE"""),"ACER TRAVELMATE")</f>
        <v>ACER TRAVELMATE</v>
      </c>
      <c r="D486" s="164" t="str">
        <f ca="1">IFERROR(__xludf.DUMMYFUNCTION("""COMPUTED_VALUE"""),"₱ 46,580.00")</f>
        <v>₱ 46,580.00</v>
      </c>
      <c r="E486" s="164"/>
      <c r="F486" s="164" t="str">
        <f ca="1">IFERROR(__xludf.DUMMYFUNCTION("""COMPUTED_VALUE"""),"2024-05-03-10202SP-372")</f>
        <v>2024-05-03-10202SP-372</v>
      </c>
      <c r="G486" s="164"/>
      <c r="H486" s="164" t="str">
        <f ca="1">IFERROR(__xludf.DUMMYFUNCTION("""COMPUTED_VALUE"""),"HAMIDAH G GURO")</f>
        <v>HAMIDAH G GURO</v>
      </c>
      <c r="I486" s="164" t="str">
        <f ca="1">IFERROR(__xludf.DUMMYFUNCTION("""COMPUTED_VALUE"""),"GAD")</f>
        <v>GAD</v>
      </c>
      <c r="J486" s="164" t="str">
        <f ca="1">IFERROR(__xludf.DUMMYFUNCTION("""COMPUTED_VALUE"""),"SP036-2024")</f>
        <v>SP036-2024</v>
      </c>
      <c r="K486" s="164"/>
      <c r="L486" s="164" t="str">
        <f ca="1">IFERROR(__xludf.DUMMYFUNCTION("""COMPUTED_VALUE"""),"GAD")</f>
        <v>GAD</v>
      </c>
      <c r="M486" s="164" t="str">
        <f ca="1">IFERROR(__xludf.DUMMYFUNCTION("""COMPUTED_VALUE"""),"SERVICEABLE")</f>
        <v>SERVICEABLE</v>
      </c>
      <c r="N486" s="164"/>
    </row>
    <row r="487" spans="1:14" ht="13.2">
      <c r="A487" s="164" t="str">
        <f ca="1">IFERROR(__xludf.DUMMYFUNCTION("""COMPUTED_VALUE"""),"DARCO")</f>
        <v>DARCO</v>
      </c>
      <c r="B487" s="164" t="str">
        <f ca="1">IFERROR(__xludf.DUMMYFUNCTION("""COMPUTED_VALUE"""),"CENTRAL OFFICE")</f>
        <v>CENTRAL OFFICE</v>
      </c>
      <c r="C487" s="164" t="str">
        <f ca="1">IFERROR(__xludf.DUMMYFUNCTION("""COMPUTED_VALUE"""),"ACER TRAVELMATE")</f>
        <v>ACER TRAVELMATE</v>
      </c>
      <c r="D487" s="164" t="str">
        <f ca="1">IFERROR(__xludf.DUMMYFUNCTION("""COMPUTED_VALUE"""),"₱ 46,580.00")</f>
        <v>₱ 46,580.00</v>
      </c>
      <c r="E487" s="164"/>
      <c r="F487" s="164" t="str">
        <f ca="1">IFERROR(__xludf.DUMMYFUNCTION("""COMPUTED_VALUE"""),"2024-05-03-10202SP-373")</f>
        <v>2024-05-03-10202SP-373</v>
      </c>
      <c r="G487" s="164"/>
      <c r="H487" s="164" t="str">
        <f ca="1">IFERROR(__xludf.DUMMYFUNCTION("""COMPUTED_VALUE"""),"HAMIDAH G GURO")</f>
        <v>HAMIDAH G GURO</v>
      </c>
      <c r="I487" s="164" t="str">
        <f ca="1">IFERROR(__xludf.DUMMYFUNCTION("""COMPUTED_VALUE"""),"GAD")</f>
        <v>GAD</v>
      </c>
      <c r="J487" s="164" t="str">
        <f ca="1">IFERROR(__xludf.DUMMYFUNCTION("""COMPUTED_VALUE"""),"SP036-2024")</f>
        <v>SP036-2024</v>
      </c>
      <c r="K487" s="164"/>
      <c r="L487" s="164" t="str">
        <f ca="1">IFERROR(__xludf.DUMMYFUNCTION("""COMPUTED_VALUE"""),"GAD")</f>
        <v>GAD</v>
      </c>
      <c r="M487" s="164" t="str">
        <f ca="1">IFERROR(__xludf.DUMMYFUNCTION("""COMPUTED_VALUE"""),"SERVICEABLE")</f>
        <v>SERVICEABLE</v>
      </c>
      <c r="N487" s="164"/>
    </row>
    <row r="488" spans="1:14" ht="13.2">
      <c r="A488" s="164" t="str">
        <f ca="1">IFERROR(__xludf.DUMMYFUNCTION("""COMPUTED_VALUE"""),"DARCO")</f>
        <v>DARCO</v>
      </c>
      <c r="B488" s="164" t="str">
        <f ca="1">IFERROR(__xludf.DUMMYFUNCTION("""COMPUTED_VALUE"""),"CENTRAL OFFICE")</f>
        <v>CENTRAL OFFICE</v>
      </c>
      <c r="C488" s="164" t="str">
        <f ca="1">IFERROR(__xludf.DUMMYFUNCTION("""COMPUTED_VALUE"""),"ACER TRAVELMATE")</f>
        <v>ACER TRAVELMATE</v>
      </c>
      <c r="D488" s="164" t="str">
        <f ca="1">IFERROR(__xludf.DUMMYFUNCTION("""COMPUTED_VALUE"""),"₱ 46,580.00")</f>
        <v>₱ 46,580.00</v>
      </c>
      <c r="E488" s="164"/>
      <c r="F488" s="164" t="str">
        <f ca="1">IFERROR(__xludf.DUMMYFUNCTION("""COMPUTED_VALUE"""),"2024-05-03-10202SP-374")</f>
        <v>2024-05-03-10202SP-374</v>
      </c>
      <c r="G488" s="164"/>
      <c r="H488" s="164" t="str">
        <f ca="1">IFERROR(__xludf.DUMMYFUNCTION("""COMPUTED_VALUE"""),"HAMIDAH G GURO")</f>
        <v>HAMIDAH G GURO</v>
      </c>
      <c r="I488" s="164" t="str">
        <f ca="1">IFERROR(__xludf.DUMMYFUNCTION("""COMPUTED_VALUE"""),"GAD")</f>
        <v>GAD</v>
      </c>
      <c r="J488" s="164" t="str">
        <f ca="1">IFERROR(__xludf.DUMMYFUNCTION("""COMPUTED_VALUE"""),"SP036-2024")</f>
        <v>SP036-2024</v>
      </c>
      <c r="K488" s="164"/>
      <c r="L488" s="164" t="str">
        <f ca="1">IFERROR(__xludf.DUMMYFUNCTION("""COMPUTED_VALUE"""),"GAD")</f>
        <v>GAD</v>
      </c>
      <c r="M488" s="164" t="str">
        <f ca="1">IFERROR(__xludf.DUMMYFUNCTION("""COMPUTED_VALUE"""),"SERVICEABLE")</f>
        <v>SERVICEABLE</v>
      </c>
      <c r="N488" s="164"/>
    </row>
    <row r="489" spans="1:14" ht="13.2">
      <c r="A489" s="164" t="str">
        <f ca="1">IFERROR(__xludf.DUMMYFUNCTION("""COMPUTED_VALUE"""),"DARCO")</f>
        <v>DARCO</v>
      </c>
      <c r="B489" s="164" t="str">
        <f ca="1">IFERROR(__xludf.DUMMYFUNCTION("""COMPUTED_VALUE"""),"CENTRAL OFFICE")</f>
        <v>CENTRAL OFFICE</v>
      </c>
      <c r="C489" s="164" t="str">
        <f ca="1">IFERROR(__xludf.DUMMYFUNCTION("""COMPUTED_VALUE"""),"ACER TRAVELMATE")</f>
        <v>ACER TRAVELMATE</v>
      </c>
      <c r="D489" s="164" t="str">
        <f ca="1">IFERROR(__xludf.DUMMYFUNCTION("""COMPUTED_VALUE"""),"₱ 46,580.00")</f>
        <v>₱ 46,580.00</v>
      </c>
      <c r="E489" s="164"/>
      <c r="F489" s="164" t="str">
        <f ca="1">IFERROR(__xludf.DUMMYFUNCTION("""COMPUTED_VALUE"""),"2024-05-03-10202SP-375")</f>
        <v>2024-05-03-10202SP-375</v>
      </c>
      <c r="G489" s="164"/>
      <c r="H489" s="164" t="str">
        <f ca="1">IFERROR(__xludf.DUMMYFUNCTION("""COMPUTED_VALUE"""),"MARK ANTHONY DOMIYO")</f>
        <v>MARK ANTHONY DOMIYO</v>
      </c>
      <c r="I489" s="164"/>
      <c r="J489" s="164" t="str">
        <f ca="1">IFERROR(__xludf.DUMMYFUNCTION("""COMPUTED_VALUE"""),"SP037-2024")</f>
        <v>SP037-2024</v>
      </c>
      <c r="K489" s="164"/>
      <c r="L489" s="164" t="str">
        <f ca="1">IFERROR(__xludf.DUMMYFUNCTION("""COMPUTED_VALUE"""),"USEC LAO")</f>
        <v>USEC LAO</v>
      </c>
      <c r="M489" s="164" t="str">
        <f ca="1">IFERROR(__xludf.DUMMYFUNCTION("""COMPUTED_VALUE"""),"SERVICEABLE")</f>
        <v>SERVICEABLE</v>
      </c>
      <c r="N489" s="164"/>
    </row>
    <row r="490" spans="1:14" ht="13.2">
      <c r="A490" s="164" t="str">
        <f ca="1">IFERROR(__xludf.DUMMYFUNCTION("""COMPUTED_VALUE"""),"DARCO")</f>
        <v>DARCO</v>
      </c>
      <c r="B490" s="164" t="str">
        <f ca="1">IFERROR(__xludf.DUMMYFUNCTION("""COMPUTED_VALUE"""),"CENTRAL OFFICE")</f>
        <v>CENTRAL OFFICE</v>
      </c>
      <c r="C490" s="164" t="str">
        <f ca="1">IFERROR(__xludf.DUMMYFUNCTION("""COMPUTED_VALUE"""),"ACER TRAVELMATE")</f>
        <v>ACER TRAVELMATE</v>
      </c>
      <c r="D490" s="164" t="str">
        <f ca="1">IFERROR(__xludf.DUMMYFUNCTION("""COMPUTED_VALUE"""),"₱ 46,580.00")</f>
        <v>₱ 46,580.00</v>
      </c>
      <c r="E490" s="164"/>
      <c r="F490" s="164" t="str">
        <f ca="1">IFERROR(__xludf.DUMMYFUNCTION("""COMPUTED_VALUE"""),"2024-05-03-10202SP-376")</f>
        <v>2024-05-03-10202SP-376</v>
      </c>
      <c r="G490" s="164"/>
      <c r="H490" s="164" t="str">
        <f ca="1">IFERROR(__xludf.DUMMYFUNCTION("""COMPUTED_VALUE"""),"MARK ANTHONY DOMIYO")</f>
        <v>MARK ANTHONY DOMIYO</v>
      </c>
      <c r="I490" s="164"/>
      <c r="J490" s="164" t="str">
        <f ca="1">IFERROR(__xludf.DUMMYFUNCTION("""COMPUTED_VALUE"""),"SP037-2024")</f>
        <v>SP037-2024</v>
      </c>
      <c r="K490" s="164"/>
      <c r="L490" s="164" t="str">
        <f ca="1">IFERROR(__xludf.DUMMYFUNCTION("""COMPUTED_VALUE"""),"USEC LAO")</f>
        <v>USEC LAO</v>
      </c>
      <c r="M490" s="164" t="str">
        <f ca="1">IFERROR(__xludf.DUMMYFUNCTION("""COMPUTED_VALUE"""),"SERVICEABLE")</f>
        <v>SERVICEABLE</v>
      </c>
      <c r="N490" s="164"/>
    </row>
    <row r="491" spans="1:14" ht="13.2">
      <c r="A491" s="164" t="str">
        <f ca="1">IFERROR(__xludf.DUMMYFUNCTION("""COMPUTED_VALUE"""),"DARCO")</f>
        <v>DARCO</v>
      </c>
      <c r="B491" s="164" t="str">
        <f ca="1">IFERROR(__xludf.DUMMYFUNCTION("""COMPUTED_VALUE"""),"CENTRAL OFFICE")</f>
        <v>CENTRAL OFFICE</v>
      </c>
      <c r="C491" s="164" t="str">
        <f ca="1">IFERROR(__xludf.DUMMYFUNCTION("""COMPUTED_VALUE"""),"ACER TRAVELMATE")</f>
        <v>ACER TRAVELMATE</v>
      </c>
      <c r="D491" s="164" t="str">
        <f ca="1">IFERROR(__xludf.DUMMYFUNCTION("""COMPUTED_VALUE"""),"₱ 46,580.00")</f>
        <v>₱ 46,580.00</v>
      </c>
      <c r="E491" s="164"/>
      <c r="F491" s="164" t="str">
        <f ca="1">IFERROR(__xludf.DUMMYFUNCTION("""COMPUTED_VALUE"""),"2024-05-03-10202SP-377")</f>
        <v>2024-05-03-10202SP-377</v>
      </c>
      <c r="G491" s="164"/>
      <c r="H491" s="164" t="str">
        <f ca="1">IFERROR(__xludf.DUMMYFUNCTION("""COMPUTED_VALUE"""),"MARK ANTHONY DOMIYO")</f>
        <v>MARK ANTHONY DOMIYO</v>
      </c>
      <c r="I491" s="164"/>
      <c r="J491" s="164" t="str">
        <f ca="1">IFERROR(__xludf.DUMMYFUNCTION("""COMPUTED_VALUE"""),"SP037-2024")</f>
        <v>SP037-2024</v>
      </c>
      <c r="K491" s="164"/>
      <c r="L491" s="164" t="str">
        <f ca="1">IFERROR(__xludf.DUMMYFUNCTION("""COMPUTED_VALUE"""),"USEC LAO")</f>
        <v>USEC LAO</v>
      </c>
      <c r="M491" s="164" t="str">
        <f ca="1">IFERROR(__xludf.DUMMYFUNCTION("""COMPUTED_VALUE"""),"SERVICEABLE")</f>
        <v>SERVICEABLE</v>
      </c>
      <c r="N491" s="164"/>
    </row>
    <row r="492" spans="1:14" ht="13.2">
      <c r="A492" s="164" t="str">
        <f ca="1">IFERROR(__xludf.DUMMYFUNCTION("""COMPUTED_VALUE"""),"DARCO")</f>
        <v>DARCO</v>
      </c>
      <c r="B492" s="164" t="str">
        <f ca="1">IFERROR(__xludf.DUMMYFUNCTION("""COMPUTED_VALUE"""),"CENTRAL OFFICE")</f>
        <v>CENTRAL OFFICE</v>
      </c>
      <c r="C492" s="164" t="str">
        <f ca="1">IFERROR(__xludf.DUMMYFUNCTION("""COMPUTED_VALUE"""),"ACER TRAVELMATE")</f>
        <v>ACER TRAVELMATE</v>
      </c>
      <c r="D492" s="164" t="str">
        <f ca="1">IFERROR(__xludf.DUMMYFUNCTION("""COMPUTED_VALUE"""),"₱ 46,580.00")</f>
        <v>₱ 46,580.00</v>
      </c>
      <c r="E492" s="164"/>
      <c r="F492" s="164" t="str">
        <f ca="1">IFERROR(__xludf.DUMMYFUNCTION("""COMPUTED_VALUE"""),"2024-05-03-10202SP-378")</f>
        <v>2024-05-03-10202SP-378</v>
      </c>
      <c r="G492" s="164"/>
      <c r="H492" s="164" t="str">
        <f ca="1">IFERROR(__xludf.DUMMYFUNCTION("""COMPUTED_VALUE"""),"MARK ANTHONY DOMIYO")</f>
        <v>MARK ANTHONY DOMIYO</v>
      </c>
      <c r="I492" s="164"/>
      <c r="J492" s="164" t="str">
        <f ca="1">IFERROR(__xludf.DUMMYFUNCTION("""COMPUTED_VALUE"""),"SP037-2024")</f>
        <v>SP037-2024</v>
      </c>
      <c r="K492" s="164"/>
      <c r="L492" s="164" t="str">
        <f ca="1">IFERROR(__xludf.DUMMYFUNCTION("""COMPUTED_VALUE"""),"USEC LAO")</f>
        <v>USEC LAO</v>
      </c>
      <c r="M492" s="164" t="str">
        <f ca="1">IFERROR(__xludf.DUMMYFUNCTION("""COMPUTED_VALUE"""),"SERVICEABLE")</f>
        <v>SERVICEABLE</v>
      </c>
      <c r="N492" s="164"/>
    </row>
    <row r="493" spans="1:14" ht="13.2">
      <c r="A493" s="164" t="str">
        <f ca="1">IFERROR(__xludf.DUMMYFUNCTION("""COMPUTED_VALUE"""),"DARCO")</f>
        <v>DARCO</v>
      </c>
      <c r="B493" s="164" t="str">
        <f ca="1">IFERROR(__xludf.DUMMYFUNCTION("""COMPUTED_VALUE"""),"CENTRAL OFFICE")</f>
        <v>CENTRAL OFFICE</v>
      </c>
      <c r="C493" s="164" t="str">
        <f ca="1">IFERROR(__xludf.DUMMYFUNCTION("""COMPUTED_VALUE"""),"ACER TRAVELMATE")</f>
        <v>ACER TRAVELMATE</v>
      </c>
      <c r="D493" s="164" t="str">
        <f ca="1">IFERROR(__xludf.DUMMYFUNCTION("""COMPUTED_VALUE"""),"₱ 46,580.00")</f>
        <v>₱ 46,580.00</v>
      </c>
      <c r="E493" s="164"/>
      <c r="F493" s="164" t="str">
        <f ca="1">IFERROR(__xludf.DUMMYFUNCTION("""COMPUTED_VALUE"""),"2024-05-03-10202SP-379")</f>
        <v>2024-05-03-10202SP-379</v>
      </c>
      <c r="G493" s="164"/>
      <c r="H493" s="164" t="str">
        <f ca="1">IFERROR(__xludf.DUMMYFUNCTION("""COMPUTED_VALUE"""),"MARK ANTHONY DOMIYO")</f>
        <v>MARK ANTHONY DOMIYO</v>
      </c>
      <c r="I493" s="164"/>
      <c r="J493" s="164" t="str">
        <f ca="1">IFERROR(__xludf.DUMMYFUNCTION("""COMPUTED_VALUE"""),"SP037-2024")</f>
        <v>SP037-2024</v>
      </c>
      <c r="K493" s="164"/>
      <c r="L493" s="164" t="str">
        <f ca="1">IFERROR(__xludf.DUMMYFUNCTION("""COMPUTED_VALUE"""),"USEC LAO")</f>
        <v>USEC LAO</v>
      </c>
      <c r="M493" s="164" t="str">
        <f ca="1">IFERROR(__xludf.DUMMYFUNCTION("""COMPUTED_VALUE"""),"SERVICEABLE")</f>
        <v>SERVICEABLE</v>
      </c>
      <c r="N493" s="164"/>
    </row>
    <row r="494" spans="1:14" ht="13.2">
      <c r="A494" s="164" t="str">
        <f ca="1">IFERROR(__xludf.DUMMYFUNCTION("""COMPUTED_VALUE"""),"DARCO")</f>
        <v>DARCO</v>
      </c>
      <c r="B494" s="164" t="str">
        <f ca="1">IFERROR(__xludf.DUMMYFUNCTION("""COMPUTED_VALUE"""),"CENTRAL OFFICE")</f>
        <v>CENTRAL OFFICE</v>
      </c>
      <c r="C494" s="164" t="str">
        <f ca="1">IFERROR(__xludf.DUMMYFUNCTION("""COMPUTED_VALUE"""),"ACER TRAVELMATE")</f>
        <v>ACER TRAVELMATE</v>
      </c>
      <c r="D494" s="164" t="str">
        <f ca="1">IFERROR(__xludf.DUMMYFUNCTION("""COMPUTED_VALUE"""),"₱ 46,580.00")</f>
        <v>₱ 46,580.00</v>
      </c>
      <c r="E494" s="164"/>
      <c r="F494" s="164" t="str">
        <f ca="1">IFERROR(__xludf.DUMMYFUNCTION("""COMPUTED_VALUE"""),"2024-05-03-10202SP-380")</f>
        <v>2024-05-03-10202SP-380</v>
      </c>
      <c r="G494" s="164"/>
      <c r="H494" s="164" t="str">
        <f ca="1">IFERROR(__xludf.DUMMYFUNCTION("""COMPUTED_VALUE"""),"MARK ANTHONY DOMIYO")</f>
        <v>MARK ANTHONY DOMIYO</v>
      </c>
      <c r="I494" s="164"/>
      <c r="J494" s="164" t="str">
        <f ca="1">IFERROR(__xludf.DUMMYFUNCTION("""COMPUTED_VALUE"""),"SP037-2024")</f>
        <v>SP037-2024</v>
      </c>
      <c r="K494" s="164"/>
      <c r="L494" s="164" t="str">
        <f ca="1">IFERROR(__xludf.DUMMYFUNCTION("""COMPUTED_VALUE"""),"USEC LAO")</f>
        <v>USEC LAO</v>
      </c>
      <c r="M494" s="164" t="str">
        <f ca="1">IFERROR(__xludf.DUMMYFUNCTION("""COMPUTED_VALUE"""),"SERVICEABLE")</f>
        <v>SERVICEABLE</v>
      </c>
      <c r="N494" s="164"/>
    </row>
    <row r="495" spans="1:14" ht="13.2">
      <c r="A495" s="164" t="str">
        <f ca="1">IFERROR(__xludf.DUMMYFUNCTION("""COMPUTED_VALUE"""),"DARCO")</f>
        <v>DARCO</v>
      </c>
      <c r="B495" s="164" t="str">
        <f ca="1">IFERROR(__xludf.DUMMYFUNCTION("""COMPUTED_VALUE"""),"CENTRAL OFFICE")</f>
        <v>CENTRAL OFFICE</v>
      </c>
      <c r="C495" s="164" t="str">
        <f ca="1">IFERROR(__xludf.DUMMYFUNCTION("""COMPUTED_VALUE"""),"ACER TRAVELMATE")</f>
        <v>ACER TRAVELMATE</v>
      </c>
      <c r="D495" s="164" t="str">
        <f ca="1">IFERROR(__xludf.DUMMYFUNCTION("""COMPUTED_VALUE"""),"₱ 46,580.00")</f>
        <v>₱ 46,580.00</v>
      </c>
      <c r="E495" s="164"/>
      <c r="F495" s="164" t="str">
        <f ca="1">IFERROR(__xludf.DUMMYFUNCTION("""COMPUTED_VALUE"""),"2024-05-03-10202SP-381")</f>
        <v>2024-05-03-10202SP-381</v>
      </c>
      <c r="G495" s="164"/>
      <c r="H495" s="164" t="str">
        <f ca="1">IFERROR(__xludf.DUMMYFUNCTION("""COMPUTED_VALUE"""),"MARK ANTHONY DOMIYO")</f>
        <v>MARK ANTHONY DOMIYO</v>
      </c>
      <c r="I495" s="164"/>
      <c r="J495" s="164" t="str">
        <f ca="1">IFERROR(__xludf.DUMMYFUNCTION("""COMPUTED_VALUE"""),"SP037-2024")</f>
        <v>SP037-2024</v>
      </c>
      <c r="K495" s="164"/>
      <c r="L495" s="164" t="str">
        <f ca="1">IFERROR(__xludf.DUMMYFUNCTION("""COMPUTED_VALUE"""),"USEC LAO")</f>
        <v>USEC LAO</v>
      </c>
      <c r="M495" s="164" t="str">
        <f ca="1">IFERROR(__xludf.DUMMYFUNCTION("""COMPUTED_VALUE"""),"SERVICEABLE")</f>
        <v>SERVICEABLE</v>
      </c>
      <c r="N495" s="164"/>
    </row>
    <row r="496" spans="1:14" ht="13.2">
      <c r="A496" s="164" t="str">
        <f ca="1">IFERROR(__xludf.DUMMYFUNCTION("""COMPUTED_VALUE"""),"DARCO")</f>
        <v>DARCO</v>
      </c>
      <c r="B496" s="164" t="str">
        <f ca="1">IFERROR(__xludf.DUMMYFUNCTION("""COMPUTED_VALUE"""),"CENTRAL OFFICE")</f>
        <v>CENTRAL OFFICE</v>
      </c>
      <c r="C496" s="164" t="str">
        <f ca="1">IFERROR(__xludf.DUMMYFUNCTION("""COMPUTED_VALUE"""),"Desktop Computer – (MSI PRO DP180)")</f>
        <v>Desktop Computer – (MSI PRO DP180)</v>
      </c>
      <c r="D496" s="164"/>
      <c r="E496" s="164"/>
      <c r="F496" s="164" t="str">
        <f ca="1">IFERROR(__xludf.DUMMYFUNCTION("""COMPUTED_VALUE"""),"HVSPLIT-102-24-05-01-001")</f>
        <v>HVSPLIT-102-24-05-01-001</v>
      </c>
      <c r="G496" s="164"/>
      <c r="H496" s="164"/>
      <c r="I496" s="164"/>
      <c r="J496" s="164"/>
      <c r="K496" s="164"/>
      <c r="L496" s="164" t="str">
        <f ca="1">IFERROR(__xludf.DUMMYFUNCTION("""COMPUTED_VALUE"""),"ULAO")</f>
        <v>ULAO</v>
      </c>
      <c r="M496" s="164" t="str">
        <f ca="1">IFERROR(__xludf.DUMMYFUNCTION("""COMPUTED_VALUE"""),"SERVICEABLE")</f>
        <v>SERVICEABLE</v>
      </c>
      <c r="N496" s="164"/>
    </row>
    <row r="497" spans="1:14" ht="13.2">
      <c r="A497" s="164" t="str">
        <f ca="1">IFERROR(__xludf.DUMMYFUNCTION("""COMPUTED_VALUE"""),"DARCO")</f>
        <v>DARCO</v>
      </c>
      <c r="B497" s="164" t="str">
        <f ca="1">IFERROR(__xludf.DUMMYFUNCTION("""COMPUTED_VALUE"""),"CENTRAL OFFICE")</f>
        <v>CENTRAL OFFICE</v>
      </c>
      <c r="C497" s="164" t="str">
        <f ca="1">IFERROR(__xludf.DUMMYFUNCTION("""COMPUTED_VALUE"""),"Desktop Computer – (MSI PRO DP180)")</f>
        <v>Desktop Computer – (MSI PRO DP180)</v>
      </c>
      <c r="D497" s="164"/>
      <c r="E497" s="164"/>
      <c r="F497" s="164" t="str">
        <f ca="1">IFERROR(__xludf.DUMMYFUNCTION("""COMPUTED_VALUE"""),"HVSPLIT-102-24-05-01-002")</f>
        <v>HVSPLIT-102-24-05-01-002</v>
      </c>
      <c r="G497" s="164"/>
      <c r="H497" s="164"/>
      <c r="I497" s="164"/>
      <c r="J497" s="164"/>
      <c r="K497" s="164"/>
      <c r="L497" s="164" t="str">
        <f ca="1">IFERROR(__xludf.DUMMYFUNCTION("""COMPUTED_VALUE"""),"ULAO")</f>
        <v>ULAO</v>
      </c>
      <c r="M497" s="164" t="str">
        <f ca="1">IFERROR(__xludf.DUMMYFUNCTION("""COMPUTED_VALUE"""),"SERVICEABLE")</f>
        <v>SERVICEABLE</v>
      </c>
      <c r="N497" s="164"/>
    </row>
    <row r="498" spans="1:14" ht="13.2">
      <c r="A498" s="164" t="str">
        <f ca="1">IFERROR(__xludf.DUMMYFUNCTION("""COMPUTED_VALUE"""),"DARCO")</f>
        <v>DARCO</v>
      </c>
      <c r="B498" s="164" t="str">
        <f ca="1">IFERROR(__xludf.DUMMYFUNCTION("""COMPUTED_VALUE"""),"CENTRAL OFFICE")</f>
        <v>CENTRAL OFFICE</v>
      </c>
      <c r="C498" s="164" t="str">
        <f ca="1">IFERROR(__xludf.DUMMYFUNCTION("""COMPUTED_VALUE"""),"Desktop Computer – (MSI PRO DP180)")</f>
        <v>Desktop Computer – (MSI PRO DP180)</v>
      </c>
      <c r="D498" s="164"/>
      <c r="E498" s="164"/>
      <c r="F498" s="164" t="str">
        <f ca="1">IFERROR(__xludf.DUMMYFUNCTION("""COMPUTED_VALUE"""),"HVSPLIT-102-24-05-01-003")</f>
        <v>HVSPLIT-102-24-05-01-003</v>
      </c>
      <c r="G498" s="164"/>
      <c r="H498" s="164"/>
      <c r="I498" s="164"/>
      <c r="J498" s="164"/>
      <c r="K498" s="164"/>
      <c r="L498" s="164" t="str">
        <f ca="1">IFERROR(__xludf.DUMMYFUNCTION("""COMPUTED_VALUE"""),"ULAO")</f>
        <v>ULAO</v>
      </c>
      <c r="M498" s="164" t="str">
        <f ca="1">IFERROR(__xludf.DUMMYFUNCTION("""COMPUTED_VALUE"""),"SERVICEABLE")</f>
        <v>SERVICEABLE</v>
      </c>
      <c r="N498" s="164"/>
    </row>
    <row r="499" spans="1:14" ht="13.2">
      <c r="A499" s="164" t="str">
        <f ca="1">IFERROR(__xludf.DUMMYFUNCTION("""COMPUTED_VALUE"""),"DARCO")</f>
        <v>DARCO</v>
      </c>
      <c r="B499" s="164" t="str">
        <f ca="1">IFERROR(__xludf.DUMMYFUNCTION("""COMPUTED_VALUE"""),"CENTRAL OFFICE")</f>
        <v>CENTRAL OFFICE</v>
      </c>
      <c r="C499" s="164" t="str">
        <f ca="1">IFERROR(__xludf.DUMMYFUNCTION("""COMPUTED_VALUE"""),"Desktop Computer – (MSI PRO DP180)")</f>
        <v>Desktop Computer – (MSI PRO DP180)</v>
      </c>
      <c r="D499" s="164"/>
      <c r="E499" s="164"/>
      <c r="F499" s="164" t="str">
        <f ca="1">IFERROR(__xludf.DUMMYFUNCTION("""COMPUTED_VALUE"""),"HVSPLIT-102-24-05-01-004")</f>
        <v>HVSPLIT-102-24-05-01-004</v>
      </c>
      <c r="G499" s="164"/>
      <c r="H499" s="164"/>
      <c r="I499" s="164"/>
      <c r="J499" s="164"/>
      <c r="K499" s="164"/>
      <c r="L499" s="164" t="str">
        <f ca="1">IFERROR(__xludf.DUMMYFUNCTION("""COMPUTED_VALUE"""),"ULAO")</f>
        <v>ULAO</v>
      </c>
      <c r="M499" s="164" t="str">
        <f ca="1">IFERROR(__xludf.DUMMYFUNCTION("""COMPUTED_VALUE"""),"SERVICEABLE")</f>
        <v>SERVICEABLE</v>
      </c>
      <c r="N499" s="164"/>
    </row>
    <row r="500" spans="1:14" ht="13.2">
      <c r="A500" s="164" t="str">
        <f ca="1">IFERROR(__xludf.DUMMYFUNCTION("""COMPUTED_VALUE"""),"DARCO")</f>
        <v>DARCO</v>
      </c>
      <c r="B500" s="164" t="str">
        <f ca="1">IFERROR(__xludf.DUMMYFUNCTION("""COMPUTED_VALUE"""),"CENTRAL OFFICE")</f>
        <v>CENTRAL OFFICE</v>
      </c>
      <c r="C500" s="164" t="str">
        <f ca="1">IFERROR(__xludf.DUMMYFUNCTION("""COMPUTED_VALUE"""),"Desktop Computer – (MSI PRO DP180)")</f>
        <v>Desktop Computer – (MSI PRO DP180)</v>
      </c>
      <c r="D500" s="164"/>
      <c r="E500" s="164"/>
      <c r="F500" s="164" t="str">
        <f ca="1">IFERROR(__xludf.DUMMYFUNCTION("""COMPUTED_VALUE"""),"HVSPLIT-102-24-05-01-005")</f>
        <v>HVSPLIT-102-24-05-01-005</v>
      </c>
      <c r="G500" s="164"/>
      <c r="H500" s="164"/>
      <c r="I500" s="164"/>
      <c r="J500" s="164"/>
      <c r="K500" s="164"/>
      <c r="L500" s="164" t="str">
        <f ca="1">IFERROR(__xludf.DUMMYFUNCTION("""COMPUTED_VALUE"""),"ULAO")</f>
        <v>ULAO</v>
      </c>
      <c r="M500" s="164" t="str">
        <f ca="1">IFERROR(__xludf.DUMMYFUNCTION("""COMPUTED_VALUE"""),"SERVICEABLE")</f>
        <v>SERVICEABLE</v>
      </c>
      <c r="N500" s="164"/>
    </row>
    <row r="501" spans="1:14" ht="13.2">
      <c r="A501" s="164" t="str">
        <f ca="1">IFERROR(__xludf.DUMMYFUNCTION("""COMPUTED_VALUE"""),"DARCO")</f>
        <v>DARCO</v>
      </c>
      <c r="B501" s="164" t="str">
        <f ca="1">IFERROR(__xludf.DUMMYFUNCTION("""COMPUTED_VALUE"""),"CENTRAL OFFICE")</f>
        <v>CENTRAL OFFICE</v>
      </c>
      <c r="C501" s="164" t="str">
        <f ca="1">IFERROR(__xludf.DUMMYFUNCTION("""COMPUTED_VALUE"""),"Desktop Computer – (MSI PRO DP180)")</f>
        <v>Desktop Computer – (MSI PRO DP180)</v>
      </c>
      <c r="D501" s="164"/>
      <c r="E501" s="164"/>
      <c r="F501" s="164" t="str">
        <f ca="1">IFERROR(__xludf.DUMMYFUNCTION("""COMPUTED_VALUE"""),"HVSPLIT-102-24-05-01-006")</f>
        <v>HVSPLIT-102-24-05-01-006</v>
      </c>
      <c r="G501" s="164"/>
      <c r="H501" s="164"/>
      <c r="I501" s="164"/>
      <c r="J501" s="164"/>
      <c r="K501" s="164"/>
      <c r="L501" s="164" t="str">
        <f ca="1">IFERROR(__xludf.DUMMYFUNCTION("""COMPUTED_VALUE"""),"AFMAO")</f>
        <v>AFMAO</v>
      </c>
      <c r="M501" s="164" t="str">
        <f ca="1">IFERROR(__xludf.DUMMYFUNCTION("""COMPUTED_VALUE"""),"SERVICEABLE")</f>
        <v>SERVICEABLE</v>
      </c>
      <c r="N501" s="164"/>
    </row>
    <row r="502" spans="1:14" ht="13.2">
      <c r="A502" s="164" t="str">
        <f ca="1">IFERROR(__xludf.DUMMYFUNCTION("""COMPUTED_VALUE"""),"DARCO")</f>
        <v>DARCO</v>
      </c>
      <c r="B502" s="164" t="str">
        <f ca="1">IFERROR(__xludf.DUMMYFUNCTION("""COMPUTED_VALUE"""),"CENTRAL OFFICE")</f>
        <v>CENTRAL OFFICE</v>
      </c>
      <c r="C502" s="164" t="str">
        <f ca="1">IFERROR(__xludf.DUMMYFUNCTION("""COMPUTED_VALUE"""),"Desktop Computer – (MSI PRO DP180)")</f>
        <v>Desktop Computer – (MSI PRO DP180)</v>
      </c>
      <c r="D502" s="164"/>
      <c r="E502" s="164"/>
      <c r="F502" s="164" t="str">
        <f ca="1">IFERROR(__xludf.DUMMYFUNCTION("""COMPUTED_VALUE"""),"HVSPLIT-102-24-05-01-007")</f>
        <v>HVSPLIT-102-24-05-01-007</v>
      </c>
      <c r="G502" s="164"/>
      <c r="H502" s="164"/>
      <c r="I502" s="164"/>
      <c r="J502" s="164"/>
      <c r="K502" s="164"/>
      <c r="L502" s="164" t="str">
        <f ca="1">IFERROR(__xludf.DUMMYFUNCTION("""COMPUTED_VALUE"""),"AFMAO")</f>
        <v>AFMAO</v>
      </c>
      <c r="M502" s="164" t="str">
        <f ca="1">IFERROR(__xludf.DUMMYFUNCTION("""COMPUTED_VALUE"""),"SERVICEABLE")</f>
        <v>SERVICEABLE</v>
      </c>
      <c r="N502" s="164"/>
    </row>
    <row r="503" spans="1:14" ht="13.2">
      <c r="A503" s="164" t="str">
        <f ca="1">IFERROR(__xludf.DUMMYFUNCTION("""COMPUTED_VALUE"""),"DARCO")</f>
        <v>DARCO</v>
      </c>
      <c r="B503" s="164" t="str">
        <f ca="1">IFERROR(__xludf.DUMMYFUNCTION("""COMPUTED_VALUE"""),"CENTRAL OFFICE")</f>
        <v>CENTRAL OFFICE</v>
      </c>
      <c r="C503" s="164" t="str">
        <f ca="1">IFERROR(__xludf.DUMMYFUNCTION("""COMPUTED_VALUE"""),"Desktop Computer – (MSI PRO DP180)")</f>
        <v>Desktop Computer – (MSI PRO DP180)</v>
      </c>
      <c r="D503" s="164"/>
      <c r="E503" s="164"/>
      <c r="F503" s="164" t="str">
        <f ca="1">IFERROR(__xludf.DUMMYFUNCTION("""COMPUTED_VALUE"""),"HVSPLIT-102-24-05-01-008")</f>
        <v>HVSPLIT-102-24-05-01-008</v>
      </c>
      <c r="G503" s="164"/>
      <c r="H503" s="164"/>
      <c r="I503" s="164"/>
      <c r="J503" s="164"/>
      <c r="K503" s="164"/>
      <c r="L503" s="164" t="str">
        <f ca="1">IFERROR(__xludf.DUMMYFUNCTION("""COMPUTED_VALUE"""),"AFMAO")</f>
        <v>AFMAO</v>
      </c>
      <c r="M503" s="164" t="str">
        <f ca="1">IFERROR(__xludf.DUMMYFUNCTION("""COMPUTED_VALUE"""),"SERVICEABLE")</f>
        <v>SERVICEABLE</v>
      </c>
      <c r="N503" s="164"/>
    </row>
    <row r="504" spans="1:14" ht="13.2">
      <c r="A504" s="164" t="str">
        <f ca="1">IFERROR(__xludf.DUMMYFUNCTION("""COMPUTED_VALUE"""),"DARCO")</f>
        <v>DARCO</v>
      </c>
      <c r="B504" s="164" t="str">
        <f ca="1">IFERROR(__xludf.DUMMYFUNCTION("""COMPUTED_VALUE"""),"CENTRAL OFFICE")</f>
        <v>CENTRAL OFFICE</v>
      </c>
      <c r="C504" s="164" t="str">
        <f ca="1">IFERROR(__xludf.DUMMYFUNCTION("""COMPUTED_VALUE"""),"Desktop Computer – (MSI PRO DP180)")</f>
        <v>Desktop Computer – (MSI PRO DP180)</v>
      </c>
      <c r="D504" s="164"/>
      <c r="E504" s="164"/>
      <c r="F504" s="164" t="str">
        <f ca="1">IFERROR(__xludf.DUMMYFUNCTION("""COMPUTED_VALUE"""),"HVSPLIT-102-24-05-01-009")</f>
        <v>HVSPLIT-102-24-05-01-009</v>
      </c>
      <c r="G504" s="164"/>
      <c r="H504" s="164"/>
      <c r="I504" s="164"/>
      <c r="J504" s="164"/>
      <c r="K504" s="164"/>
      <c r="L504" s="164" t="str">
        <f ca="1">IFERROR(__xludf.DUMMYFUNCTION("""COMPUTED_VALUE"""),"CRS")</f>
        <v>CRS</v>
      </c>
      <c r="M504" s="164" t="str">
        <f ca="1">IFERROR(__xludf.DUMMYFUNCTION("""COMPUTED_VALUE"""),"SERVICEABLE")</f>
        <v>SERVICEABLE</v>
      </c>
      <c r="N504" s="164"/>
    </row>
    <row r="505" spans="1:14" ht="13.2">
      <c r="A505" s="164" t="str">
        <f ca="1">IFERROR(__xludf.DUMMYFUNCTION("""COMPUTED_VALUE"""),"DARCO")</f>
        <v>DARCO</v>
      </c>
      <c r="B505" s="164" t="str">
        <f ca="1">IFERROR(__xludf.DUMMYFUNCTION("""COMPUTED_VALUE"""),"CENTRAL OFFICE")</f>
        <v>CENTRAL OFFICE</v>
      </c>
      <c r="C505" s="164" t="str">
        <f ca="1">IFERROR(__xludf.DUMMYFUNCTION("""COMPUTED_VALUE"""),"Desktop Computer – (MSI PRO DP180)")</f>
        <v>Desktop Computer – (MSI PRO DP180)</v>
      </c>
      <c r="D505" s="164"/>
      <c r="E505" s="164"/>
      <c r="F505" s="164" t="str">
        <f ca="1">IFERROR(__xludf.DUMMYFUNCTION("""COMPUTED_VALUE"""),"HVSPLIT-102-24-05-01-010")</f>
        <v>HVSPLIT-102-24-05-01-010</v>
      </c>
      <c r="G505" s="164"/>
      <c r="H505" s="164"/>
      <c r="I505" s="164"/>
      <c r="J505" s="164"/>
      <c r="K505" s="164"/>
      <c r="L505" s="164" t="str">
        <f ca="1">IFERROR(__xludf.DUMMYFUNCTION("""COMPUTED_VALUE"""),"CRS")</f>
        <v>CRS</v>
      </c>
      <c r="M505" s="164" t="str">
        <f ca="1">IFERROR(__xludf.DUMMYFUNCTION("""COMPUTED_VALUE"""),"SERVICEABLE")</f>
        <v>SERVICEABLE</v>
      </c>
      <c r="N505" s="164"/>
    </row>
    <row r="506" spans="1:14" ht="13.2">
      <c r="A506" s="164" t="str">
        <f ca="1">IFERROR(__xludf.DUMMYFUNCTION("""COMPUTED_VALUE"""),"DARCO")</f>
        <v>DARCO</v>
      </c>
      <c r="B506" s="164" t="str">
        <f ca="1">IFERROR(__xludf.DUMMYFUNCTION("""COMPUTED_VALUE"""),"CENTRAL OFFICE")</f>
        <v>CENTRAL OFFICE</v>
      </c>
      <c r="C506" s="164" t="str">
        <f ca="1">IFERROR(__xludf.DUMMYFUNCTION("""COMPUTED_VALUE"""),"Desktop Computer – (MSI PRO DP180)")</f>
        <v>Desktop Computer – (MSI PRO DP180)</v>
      </c>
      <c r="D506" s="164"/>
      <c r="E506" s="164"/>
      <c r="F506" s="164" t="str">
        <f ca="1">IFERROR(__xludf.DUMMYFUNCTION("""COMPUTED_VALUE"""),"HVSPLIT-102-24-05-01-011")</f>
        <v>HVSPLIT-102-24-05-01-011</v>
      </c>
      <c r="G506" s="164"/>
      <c r="H506" s="164"/>
      <c r="I506" s="164"/>
      <c r="J506" s="164"/>
      <c r="K506" s="164"/>
      <c r="L506" s="164" t="str">
        <f ca="1">IFERROR(__xludf.DUMMYFUNCTION("""COMPUTED_VALUE"""),"AFASPO")</f>
        <v>AFASPO</v>
      </c>
      <c r="M506" s="164" t="str">
        <f ca="1">IFERROR(__xludf.DUMMYFUNCTION("""COMPUTED_VALUE"""),"SERVICEABLE")</f>
        <v>SERVICEABLE</v>
      </c>
      <c r="N506" s="164"/>
    </row>
    <row r="507" spans="1:14" ht="13.2">
      <c r="A507" s="164" t="str">
        <f ca="1">IFERROR(__xludf.DUMMYFUNCTION("""COMPUTED_VALUE"""),"DARCO")</f>
        <v>DARCO</v>
      </c>
      <c r="B507" s="164" t="str">
        <f ca="1">IFERROR(__xludf.DUMMYFUNCTION("""COMPUTED_VALUE"""),"CENTRAL OFFICE")</f>
        <v>CENTRAL OFFICE</v>
      </c>
      <c r="C507" s="164" t="str">
        <f ca="1">IFERROR(__xludf.DUMMYFUNCTION("""COMPUTED_VALUE"""),"Desktop Computer – (MSI PRO DP180)")</f>
        <v>Desktop Computer – (MSI PRO DP180)</v>
      </c>
      <c r="D507" s="164"/>
      <c r="E507" s="164"/>
      <c r="F507" s="164" t="str">
        <f ca="1">IFERROR(__xludf.DUMMYFUNCTION("""COMPUTED_VALUE"""),"HVSPLIT-102-24-05-01-012")</f>
        <v>HVSPLIT-102-24-05-01-012</v>
      </c>
      <c r="G507" s="164"/>
      <c r="H507" s="164"/>
      <c r="I507" s="164"/>
      <c r="J507" s="164"/>
      <c r="K507" s="164"/>
      <c r="L507" s="164" t="str">
        <f ca="1">IFERROR(__xludf.DUMMYFUNCTION("""COMPUTED_VALUE"""),"CRS")</f>
        <v>CRS</v>
      </c>
      <c r="M507" s="164" t="str">
        <f ca="1">IFERROR(__xludf.DUMMYFUNCTION("""COMPUTED_VALUE"""),"SERVICEABLE")</f>
        <v>SERVICEABLE</v>
      </c>
      <c r="N507" s="164"/>
    </row>
    <row r="508" spans="1:14" ht="13.2">
      <c r="A508" s="164" t="str">
        <f ca="1">IFERROR(__xludf.DUMMYFUNCTION("""COMPUTED_VALUE"""),"DARCO")</f>
        <v>DARCO</v>
      </c>
      <c r="B508" s="164" t="str">
        <f ca="1">IFERROR(__xludf.DUMMYFUNCTION("""COMPUTED_VALUE"""),"CENTRAL OFFICE")</f>
        <v>CENTRAL OFFICE</v>
      </c>
      <c r="C508" s="164" t="str">
        <f ca="1">IFERROR(__xludf.DUMMYFUNCTION("""COMPUTED_VALUE"""),"Desktop Computer – (MSI PRO DP180)")</f>
        <v>Desktop Computer – (MSI PRO DP180)</v>
      </c>
      <c r="D508" s="164"/>
      <c r="E508" s="164"/>
      <c r="F508" s="164" t="str">
        <f ca="1">IFERROR(__xludf.DUMMYFUNCTION("""COMPUTED_VALUE"""),"HVSPLIT-102-24-05-01-013")</f>
        <v>HVSPLIT-102-24-05-01-013</v>
      </c>
      <c r="G508" s="164"/>
      <c r="H508" s="164"/>
      <c r="I508" s="164"/>
      <c r="J508" s="164"/>
      <c r="K508" s="164"/>
      <c r="L508" s="164" t="str">
        <f ca="1">IFERROR(__xludf.DUMMYFUNCTION("""COMPUTED_VALUE"""),"CRS")</f>
        <v>CRS</v>
      </c>
      <c r="M508" s="164" t="str">
        <f ca="1">IFERROR(__xludf.DUMMYFUNCTION("""COMPUTED_VALUE"""),"SERVICEABLE")</f>
        <v>SERVICEABLE</v>
      </c>
      <c r="N508" s="164"/>
    </row>
    <row r="509" spans="1:14" ht="13.2">
      <c r="A509" s="164" t="str">
        <f ca="1">IFERROR(__xludf.DUMMYFUNCTION("""COMPUTED_VALUE"""),"DARCO")</f>
        <v>DARCO</v>
      </c>
      <c r="B509" s="164" t="str">
        <f ca="1">IFERROR(__xludf.DUMMYFUNCTION("""COMPUTED_VALUE"""),"CENTRAL OFFICE")</f>
        <v>CENTRAL OFFICE</v>
      </c>
      <c r="C509" s="164" t="str">
        <f ca="1">IFERROR(__xludf.DUMMYFUNCTION("""COMPUTED_VALUE"""),"Desktop Computer – (MSI PRO DP180)")</f>
        <v>Desktop Computer – (MSI PRO DP180)</v>
      </c>
      <c r="D509" s="164"/>
      <c r="E509" s="164"/>
      <c r="F509" s="164" t="str">
        <f ca="1">IFERROR(__xludf.DUMMYFUNCTION("""COMPUTED_VALUE"""),"HVSPLIT-102-24-05-01-014")</f>
        <v>HVSPLIT-102-24-05-01-014</v>
      </c>
      <c r="G509" s="164"/>
      <c r="H509" s="164"/>
      <c r="I509" s="164"/>
      <c r="J509" s="164"/>
      <c r="K509" s="164"/>
      <c r="L509" s="164" t="str">
        <f ca="1">IFERROR(__xludf.DUMMYFUNCTION("""COMPUTED_VALUE"""),"CRS")</f>
        <v>CRS</v>
      </c>
      <c r="M509" s="164" t="str">
        <f ca="1">IFERROR(__xludf.DUMMYFUNCTION("""COMPUTED_VALUE"""),"SERVICEABLE")</f>
        <v>SERVICEABLE</v>
      </c>
      <c r="N509" s="164"/>
    </row>
    <row r="510" spans="1:14" ht="13.2">
      <c r="A510" s="164" t="str">
        <f ca="1">IFERROR(__xludf.DUMMYFUNCTION("""COMPUTED_VALUE"""),"DARCO")</f>
        <v>DARCO</v>
      </c>
      <c r="B510" s="164" t="str">
        <f ca="1">IFERROR(__xludf.DUMMYFUNCTION("""COMPUTED_VALUE"""),"CENTRAL OFFICE")</f>
        <v>CENTRAL OFFICE</v>
      </c>
      <c r="C510" s="164" t="str">
        <f ca="1">IFERROR(__xludf.DUMMYFUNCTION("""COMPUTED_VALUE"""),"Desktop Computer – (MSI PRO DP180)")</f>
        <v>Desktop Computer – (MSI PRO DP180)</v>
      </c>
      <c r="D510" s="164"/>
      <c r="E510" s="164"/>
      <c r="F510" s="164" t="str">
        <f ca="1">IFERROR(__xludf.DUMMYFUNCTION("""COMPUTED_VALUE"""),"HVSPLIT-102-24-05-01-015")</f>
        <v>HVSPLIT-102-24-05-01-015</v>
      </c>
      <c r="G510" s="164"/>
      <c r="H510" s="164"/>
      <c r="I510" s="164"/>
      <c r="J510" s="164"/>
      <c r="K510" s="164"/>
      <c r="L510" s="164" t="str">
        <f ca="1">IFERROR(__xludf.DUMMYFUNCTION("""COMPUTED_VALUE"""),"PRS")</f>
        <v>PRS</v>
      </c>
      <c r="M510" s="164" t="str">
        <f ca="1">IFERROR(__xludf.DUMMYFUNCTION("""COMPUTED_VALUE"""),"SERVICEABLE")</f>
        <v>SERVICEABLE</v>
      </c>
      <c r="N510" s="164"/>
    </row>
    <row r="511" spans="1:14" ht="13.2">
      <c r="A511" s="164" t="str">
        <f ca="1">IFERROR(__xludf.DUMMYFUNCTION("""COMPUTED_VALUE"""),"DARCO")</f>
        <v>DARCO</v>
      </c>
      <c r="B511" s="164" t="str">
        <f ca="1">IFERROR(__xludf.DUMMYFUNCTION("""COMPUTED_VALUE"""),"CENTRAL OFFICE")</f>
        <v>CENTRAL OFFICE</v>
      </c>
      <c r="C511" s="164" t="str">
        <f ca="1">IFERROR(__xludf.DUMMYFUNCTION("""COMPUTED_VALUE"""),"Desktop Computer – (MSI PRO DP180)")</f>
        <v>Desktop Computer – (MSI PRO DP180)</v>
      </c>
      <c r="D511" s="164"/>
      <c r="E511" s="164"/>
      <c r="F511" s="164" t="str">
        <f ca="1">IFERROR(__xludf.DUMMYFUNCTION("""COMPUTED_VALUE"""),"HVSPLIT-102-24-05-01-016")</f>
        <v>HVSPLIT-102-24-05-01-016</v>
      </c>
      <c r="G511" s="164"/>
      <c r="H511" s="164"/>
      <c r="I511" s="164"/>
      <c r="J511" s="164"/>
      <c r="K511" s="164"/>
      <c r="L511" s="164" t="str">
        <f ca="1">IFERROR(__xludf.DUMMYFUNCTION("""COMPUTED_VALUE"""),"MISS")</f>
        <v>MISS</v>
      </c>
      <c r="M511" s="164" t="str">
        <f ca="1">IFERROR(__xludf.DUMMYFUNCTION("""COMPUTED_VALUE"""),"SERVICEABLE")</f>
        <v>SERVICEABLE</v>
      </c>
      <c r="N511" s="164"/>
    </row>
    <row r="512" spans="1:14" ht="13.2">
      <c r="A512" s="164" t="str">
        <f ca="1">IFERROR(__xludf.DUMMYFUNCTION("""COMPUTED_VALUE"""),"DARCO")</f>
        <v>DARCO</v>
      </c>
      <c r="B512" s="164" t="str">
        <f ca="1">IFERROR(__xludf.DUMMYFUNCTION("""COMPUTED_VALUE"""),"CENTRAL OFFICE")</f>
        <v>CENTRAL OFFICE</v>
      </c>
      <c r="C512" s="164" t="str">
        <f ca="1">IFERROR(__xludf.DUMMYFUNCTION("""COMPUTED_VALUE"""),"Desktop Computer – (MSI PRO DP180)")</f>
        <v>Desktop Computer – (MSI PRO DP180)</v>
      </c>
      <c r="D512" s="164"/>
      <c r="E512" s="164"/>
      <c r="F512" s="164" t="str">
        <f ca="1">IFERROR(__xludf.DUMMYFUNCTION("""COMPUTED_VALUE"""),"HVSPLIT-102-24-05-01-017")</f>
        <v>HVSPLIT-102-24-05-01-017</v>
      </c>
      <c r="G512" s="164"/>
      <c r="H512" s="164"/>
      <c r="I512" s="164"/>
      <c r="J512" s="164"/>
      <c r="K512" s="164"/>
      <c r="L512" s="164" t="str">
        <f ca="1">IFERROR(__xludf.DUMMYFUNCTION("""COMPUTED_VALUE"""),"TEODY ROJAS")</f>
        <v>TEODY ROJAS</v>
      </c>
      <c r="M512" s="164" t="str">
        <f ca="1">IFERROR(__xludf.DUMMYFUNCTION("""COMPUTED_VALUE"""),"SERVICEABLE")</f>
        <v>SERVICEABLE</v>
      </c>
      <c r="N512" s="164"/>
    </row>
    <row r="513" spans="1:14" ht="13.2">
      <c r="A513" s="164" t="str">
        <f ca="1">IFERROR(__xludf.DUMMYFUNCTION("""COMPUTED_VALUE"""),"DARCO")</f>
        <v>DARCO</v>
      </c>
      <c r="B513" s="164" t="str">
        <f ca="1">IFERROR(__xludf.DUMMYFUNCTION("""COMPUTED_VALUE"""),"CENTRAL OFFICE")</f>
        <v>CENTRAL OFFICE</v>
      </c>
      <c r="C513" s="164" t="str">
        <f ca="1">IFERROR(__xludf.DUMMYFUNCTION("""COMPUTED_VALUE"""),"Desktop Computer – (MSI PRO DP180)")</f>
        <v>Desktop Computer – (MSI PRO DP180)</v>
      </c>
      <c r="D513" s="164"/>
      <c r="E513" s="164"/>
      <c r="F513" s="164" t="str">
        <f ca="1">IFERROR(__xludf.DUMMYFUNCTION("""COMPUTED_VALUE"""),"HVSPLIT-102-24-05-01-018")</f>
        <v>HVSPLIT-102-24-05-01-018</v>
      </c>
      <c r="G513" s="164"/>
      <c r="H513" s="164"/>
      <c r="I513" s="164"/>
      <c r="J513" s="164"/>
      <c r="K513" s="164"/>
      <c r="L513" s="164" t="str">
        <f ca="1">IFERROR(__xludf.DUMMYFUNCTION("""COMPUTED_VALUE"""),"MISS")</f>
        <v>MISS</v>
      </c>
      <c r="M513" s="164" t="str">
        <f ca="1">IFERROR(__xludf.DUMMYFUNCTION("""COMPUTED_VALUE"""),"SERVICEABLE")</f>
        <v>SERVICEABLE</v>
      </c>
      <c r="N513" s="164"/>
    </row>
    <row r="514" spans="1:14" ht="13.2">
      <c r="A514" s="164" t="str">
        <f ca="1">IFERROR(__xludf.DUMMYFUNCTION("""COMPUTED_VALUE"""),"DARCO")</f>
        <v>DARCO</v>
      </c>
      <c r="B514" s="164" t="str">
        <f ca="1">IFERROR(__xludf.DUMMYFUNCTION("""COMPUTED_VALUE"""),"CENTRAL OFFICE")</f>
        <v>CENTRAL OFFICE</v>
      </c>
      <c r="C514" s="164" t="str">
        <f ca="1">IFERROR(__xludf.DUMMYFUNCTION("""COMPUTED_VALUE"""),"Desktop Computer – (MSI PRO DP180)")</f>
        <v>Desktop Computer – (MSI PRO DP180)</v>
      </c>
      <c r="D514" s="164"/>
      <c r="E514" s="164"/>
      <c r="F514" s="164" t="str">
        <f ca="1">IFERROR(__xludf.DUMMYFUNCTION("""COMPUTED_VALUE"""),"HVSPLIT-102-24-05-01-019")</f>
        <v>HVSPLIT-102-24-05-01-019</v>
      </c>
      <c r="G514" s="164"/>
      <c r="H514" s="164"/>
      <c r="I514" s="164"/>
      <c r="J514" s="164"/>
      <c r="K514" s="164"/>
      <c r="L514" s="164" t="str">
        <f ca="1">IFERROR(__xludf.DUMMYFUNCTION("""COMPUTED_VALUE"""),"AFASPO")</f>
        <v>AFASPO</v>
      </c>
      <c r="M514" s="164" t="str">
        <f ca="1">IFERROR(__xludf.DUMMYFUNCTION("""COMPUTED_VALUE"""),"SERVICEABLE")</f>
        <v>SERVICEABLE</v>
      </c>
      <c r="N514" s="164"/>
    </row>
    <row r="515" spans="1:14" ht="13.2">
      <c r="A515" s="164" t="str">
        <f ca="1">IFERROR(__xludf.DUMMYFUNCTION("""COMPUTED_VALUE"""),"DARCO")</f>
        <v>DARCO</v>
      </c>
      <c r="B515" s="164" t="str">
        <f ca="1">IFERROR(__xludf.DUMMYFUNCTION("""COMPUTED_VALUE"""),"CENTRAL OFFICE")</f>
        <v>CENTRAL OFFICE</v>
      </c>
      <c r="C515" s="164" t="str">
        <f ca="1">IFERROR(__xludf.DUMMYFUNCTION("""COMPUTED_VALUE"""),"Desktop Computer – (MSI PRO DP180)")</f>
        <v>Desktop Computer – (MSI PRO DP180)</v>
      </c>
      <c r="D515" s="164"/>
      <c r="E515" s="164"/>
      <c r="F515" s="164" t="str">
        <f ca="1">IFERROR(__xludf.DUMMYFUNCTION("""COMPUTED_VALUE"""),"HVSPLIT-102-24-05-01-020")</f>
        <v>HVSPLIT-102-24-05-01-020</v>
      </c>
      <c r="G515" s="164"/>
      <c r="H515" s="164"/>
      <c r="I515" s="164"/>
      <c r="J515" s="164"/>
      <c r="K515" s="164"/>
      <c r="L515" s="164" t="str">
        <f ca="1">IFERROR(__xludf.DUMMYFUNCTION("""COMPUTED_VALUE"""),"COCROM")</f>
        <v>COCROM</v>
      </c>
      <c r="M515" s="164" t="str">
        <f ca="1">IFERROR(__xludf.DUMMYFUNCTION("""COMPUTED_VALUE"""),"SERVICEABLE")</f>
        <v>SERVICEABLE</v>
      </c>
      <c r="N515" s="164"/>
    </row>
    <row r="516" spans="1:14" ht="13.2">
      <c r="A516" s="164" t="str">
        <f ca="1">IFERROR(__xludf.DUMMYFUNCTION("""COMPUTED_VALUE"""),"DARCO")</f>
        <v>DARCO</v>
      </c>
      <c r="B516" s="164" t="str">
        <f ca="1">IFERROR(__xludf.DUMMYFUNCTION("""COMPUTED_VALUE"""),"CENTRAL OFFICE")</f>
        <v>CENTRAL OFFICE</v>
      </c>
      <c r="C516" s="164" t="str">
        <f ca="1">IFERROR(__xludf.DUMMYFUNCTION("""COMPUTED_VALUE"""),"Desktop Computer – (MSI PRO DP180)")</f>
        <v>Desktop Computer – (MSI PRO DP180)</v>
      </c>
      <c r="D516" s="164"/>
      <c r="E516" s="164"/>
      <c r="F516" s="164" t="str">
        <f ca="1">IFERROR(__xludf.DUMMYFUNCTION("""COMPUTED_VALUE"""),"HVSPLIT-102-24-05-01-021")</f>
        <v>HVSPLIT-102-24-05-01-021</v>
      </c>
      <c r="G516" s="164"/>
      <c r="H516" s="164"/>
      <c r="I516" s="164"/>
      <c r="J516" s="164"/>
      <c r="K516" s="164"/>
      <c r="L516" s="164" t="str">
        <f ca="1">IFERROR(__xludf.DUMMYFUNCTION("""COMPUTED_VALUE"""),"COCROM")</f>
        <v>COCROM</v>
      </c>
      <c r="M516" s="164" t="str">
        <f ca="1">IFERROR(__xludf.DUMMYFUNCTION("""COMPUTED_VALUE"""),"SERVICEABLE")</f>
        <v>SERVICEABLE</v>
      </c>
      <c r="N516" s="164"/>
    </row>
    <row r="517" spans="1:14" ht="13.2">
      <c r="A517" s="164" t="str">
        <f ca="1">IFERROR(__xludf.DUMMYFUNCTION("""COMPUTED_VALUE"""),"DARCO")</f>
        <v>DARCO</v>
      </c>
      <c r="B517" s="164" t="str">
        <f ca="1">IFERROR(__xludf.DUMMYFUNCTION("""COMPUTED_VALUE"""),"CENTRAL OFFICE")</f>
        <v>CENTRAL OFFICE</v>
      </c>
      <c r="C517" s="164" t="str">
        <f ca="1">IFERROR(__xludf.DUMMYFUNCTION("""COMPUTED_VALUE"""),"Desktop Computer – (MSI PRO DP180)")</f>
        <v>Desktop Computer – (MSI PRO DP180)</v>
      </c>
      <c r="D517" s="164"/>
      <c r="E517" s="164"/>
      <c r="F517" s="164" t="str">
        <f ca="1">IFERROR(__xludf.DUMMYFUNCTION("""COMPUTED_VALUE"""),"HVSPLIT-102-24-05-01-022")</f>
        <v>HVSPLIT-102-24-05-01-022</v>
      </c>
      <c r="G517" s="164"/>
      <c r="H517" s="164"/>
      <c r="I517" s="164"/>
      <c r="J517" s="164"/>
      <c r="K517" s="164"/>
      <c r="L517" s="164" t="str">
        <f ca="1">IFERROR(__xludf.DUMMYFUNCTION("""COMPUTED_VALUE"""),"COCROM")</f>
        <v>COCROM</v>
      </c>
      <c r="M517" s="164" t="str">
        <f ca="1">IFERROR(__xludf.DUMMYFUNCTION("""COMPUTED_VALUE"""),"SERVICEABLE")</f>
        <v>SERVICEABLE</v>
      </c>
      <c r="N517" s="164"/>
    </row>
    <row r="518" spans="1:14" ht="13.2">
      <c r="A518" s="164" t="str">
        <f ca="1">IFERROR(__xludf.DUMMYFUNCTION("""COMPUTED_VALUE"""),"DARCO")</f>
        <v>DARCO</v>
      </c>
      <c r="B518" s="164" t="str">
        <f ca="1">IFERROR(__xludf.DUMMYFUNCTION("""COMPUTED_VALUE"""),"CENTRAL OFFICE")</f>
        <v>CENTRAL OFFICE</v>
      </c>
      <c r="C518" s="164" t="str">
        <f ca="1">IFERROR(__xludf.DUMMYFUNCTION("""COMPUTED_VALUE"""),"Desktop Computer – (MSI PRO DP180)")</f>
        <v>Desktop Computer – (MSI PRO DP180)</v>
      </c>
      <c r="D518" s="164"/>
      <c r="E518" s="164"/>
      <c r="F518" s="164" t="str">
        <f ca="1">IFERROR(__xludf.DUMMYFUNCTION("""COMPUTED_VALUE"""),"HVSPLIT-102-24-05-01-023")</f>
        <v>HVSPLIT-102-24-05-01-023</v>
      </c>
      <c r="G518" s="164"/>
      <c r="H518" s="164"/>
      <c r="I518" s="164"/>
      <c r="J518" s="164"/>
      <c r="K518" s="164"/>
      <c r="L518" s="164" t="str">
        <f ca="1">IFERROR(__xludf.DUMMYFUNCTION("""COMPUTED_VALUE"""),"COCROM")</f>
        <v>COCROM</v>
      </c>
      <c r="M518" s="164" t="str">
        <f ca="1">IFERROR(__xludf.DUMMYFUNCTION("""COMPUTED_VALUE"""),"SERVICEABLE")</f>
        <v>SERVICEABLE</v>
      </c>
      <c r="N518" s="164"/>
    </row>
    <row r="519" spans="1:14" ht="13.2">
      <c r="A519" s="164" t="str">
        <f ca="1">IFERROR(__xludf.DUMMYFUNCTION("""COMPUTED_VALUE"""),"DARCO")</f>
        <v>DARCO</v>
      </c>
      <c r="B519" s="164" t="str">
        <f ca="1">IFERROR(__xludf.DUMMYFUNCTION("""COMPUTED_VALUE"""),"CENTRAL OFFICE")</f>
        <v>CENTRAL OFFICE</v>
      </c>
      <c r="C519" s="164" t="str">
        <f ca="1">IFERROR(__xludf.DUMMYFUNCTION("""COMPUTED_VALUE"""),"Desktop Computer – (MSI PRO DP180)")</f>
        <v>Desktop Computer – (MSI PRO DP180)</v>
      </c>
      <c r="D519" s="164"/>
      <c r="E519" s="164"/>
      <c r="F519" s="164" t="str">
        <f ca="1">IFERROR(__xludf.DUMMYFUNCTION("""COMPUTED_VALUE"""),"HVSPLIT-102-24-05-01-024")</f>
        <v>HVSPLIT-102-24-05-01-024</v>
      </c>
      <c r="G519" s="164"/>
      <c r="H519" s="164"/>
      <c r="I519" s="164"/>
      <c r="J519" s="164"/>
      <c r="K519" s="164"/>
      <c r="L519" s="164" t="str">
        <f ca="1">IFERROR(__xludf.DUMMYFUNCTION("""COMPUTED_VALUE"""),"COCROM")</f>
        <v>COCROM</v>
      </c>
      <c r="M519" s="164" t="str">
        <f ca="1">IFERROR(__xludf.DUMMYFUNCTION("""COMPUTED_VALUE"""),"SERVICEABLE")</f>
        <v>SERVICEABLE</v>
      </c>
      <c r="N519" s="164"/>
    </row>
    <row r="520" spans="1:14" ht="13.2">
      <c r="A520" s="164" t="str">
        <f ca="1">IFERROR(__xludf.DUMMYFUNCTION("""COMPUTED_VALUE"""),"DARCO")</f>
        <v>DARCO</v>
      </c>
      <c r="B520" s="164" t="str">
        <f ca="1">IFERROR(__xludf.DUMMYFUNCTION("""COMPUTED_VALUE"""),"CENTRAL OFFICE")</f>
        <v>CENTRAL OFFICE</v>
      </c>
      <c r="C520" s="164" t="str">
        <f ca="1">IFERROR(__xludf.DUMMYFUNCTION("""COMPUTED_VALUE"""),"Desktop Computer – (MSI PRO DP180)")</f>
        <v>Desktop Computer – (MSI PRO DP180)</v>
      </c>
      <c r="D520" s="164"/>
      <c r="E520" s="164"/>
      <c r="F520" s="164" t="str">
        <f ca="1">IFERROR(__xludf.DUMMYFUNCTION("""COMPUTED_VALUE"""),"HVSPLIT-102-24-05-01-025")</f>
        <v>HVSPLIT-102-24-05-01-025</v>
      </c>
      <c r="G520" s="164"/>
      <c r="H520" s="164"/>
      <c r="I520" s="164"/>
      <c r="J520" s="164"/>
      <c r="K520" s="164"/>
      <c r="L520" s="164" t="str">
        <f ca="1">IFERROR(__xludf.DUMMYFUNCTION("""COMPUTED_VALUE"""),"COCROM")</f>
        <v>COCROM</v>
      </c>
      <c r="M520" s="164" t="str">
        <f ca="1">IFERROR(__xludf.DUMMYFUNCTION("""COMPUTED_VALUE"""),"SERVICEABLE")</f>
        <v>SERVICEABLE</v>
      </c>
      <c r="N520" s="164"/>
    </row>
    <row r="521" spans="1:14" ht="13.2">
      <c r="A521" s="164" t="str">
        <f ca="1">IFERROR(__xludf.DUMMYFUNCTION("""COMPUTED_VALUE"""),"DARCO")</f>
        <v>DARCO</v>
      </c>
      <c r="B521" s="164" t="str">
        <f ca="1">IFERROR(__xludf.DUMMYFUNCTION("""COMPUTED_VALUE"""),"CENTRAL OFFICE")</f>
        <v>CENTRAL OFFICE</v>
      </c>
      <c r="C521" s="164" t="str">
        <f ca="1">IFERROR(__xludf.DUMMYFUNCTION("""COMPUTED_VALUE"""),"Desktop Computer – (MSI PRO DP180)")</f>
        <v>Desktop Computer – (MSI PRO DP180)</v>
      </c>
      <c r="D521" s="164"/>
      <c r="E521" s="164"/>
      <c r="F521" s="164" t="str">
        <f ca="1">IFERROR(__xludf.DUMMYFUNCTION("""COMPUTED_VALUE"""),"HVSPLIT-102-24-05-01-026")</f>
        <v>HVSPLIT-102-24-05-01-026</v>
      </c>
      <c r="G521" s="164"/>
      <c r="H521" s="164"/>
      <c r="I521" s="164"/>
      <c r="J521" s="164"/>
      <c r="K521" s="164"/>
      <c r="L521" s="164" t="str">
        <f ca="1">IFERROR(__xludf.DUMMYFUNCTION("""COMPUTED_VALUE"""),"COCROM")</f>
        <v>COCROM</v>
      </c>
      <c r="M521" s="164" t="str">
        <f ca="1">IFERROR(__xludf.DUMMYFUNCTION("""COMPUTED_VALUE"""),"SERVICEABLE")</f>
        <v>SERVICEABLE</v>
      </c>
      <c r="N521" s="164"/>
    </row>
    <row r="522" spans="1:14" ht="13.2">
      <c r="A522" s="164" t="str">
        <f ca="1">IFERROR(__xludf.DUMMYFUNCTION("""COMPUTED_VALUE"""),"DARCO")</f>
        <v>DARCO</v>
      </c>
      <c r="B522" s="164" t="str">
        <f ca="1">IFERROR(__xludf.DUMMYFUNCTION("""COMPUTED_VALUE"""),"CENTRAL OFFICE")</f>
        <v>CENTRAL OFFICE</v>
      </c>
      <c r="C522" s="164" t="str">
        <f ca="1">IFERROR(__xludf.DUMMYFUNCTION("""COMPUTED_VALUE"""),"Desktop Computer – (MSI PRO DP180)")</f>
        <v>Desktop Computer – (MSI PRO DP180)</v>
      </c>
      <c r="D522" s="164"/>
      <c r="E522" s="164"/>
      <c r="F522" s="164" t="str">
        <f ca="1">IFERROR(__xludf.DUMMYFUNCTION("""COMPUTED_VALUE"""),"HVSPLIT-102-24-05-01-027")</f>
        <v>HVSPLIT-102-24-05-01-027</v>
      </c>
      <c r="G522" s="164"/>
      <c r="H522" s="164"/>
      <c r="I522" s="164"/>
      <c r="J522" s="164"/>
      <c r="K522" s="164"/>
      <c r="L522" s="164" t="str">
        <f ca="1">IFERROR(__xludf.DUMMYFUNCTION("""COMPUTED_VALUE"""),"COCROM")</f>
        <v>COCROM</v>
      </c>
      <c r="M522" s="164" t="str">
        <f ca="1">IFERROR(__xludf.DUMMYFUNCTION("""COMPUTED_VALUE"""),"SERVICEABLE")</f>
        <v>SERVICEABLE</v>
      </c>
      <c r="N522" s="164"/>
    </row>
    <row r="523" spans="1:14" ht="13.2">
      <c r="A523" s="164" t="str">
        <f ca="1">IFERROR(__xludf.DUMMYFUNCTION("""COMPUTED_VALUE"""),"DARCO")</f>
        <v>DARCO</v>
      </c>
      <c r="B523" s="164" t="str">
        <f ca="1">IFERROR(__xludf.DUMMYFUNCTION("""COMPUTED_VALUE"""),"CENTRAL OFFICE")</f>
        <v>CENTRAL OFFICE</v>
      </c>
      <c r="C523" s="164" t="str">
        <f ca="1">IFERROR(__xludf.DUMMYFUNCTION("""COMPUTED_VALUE"""),"Desktop Computer – (MSI PRO DP180)")</f>
        <v>Desktop Computer – (MSI PRO DP180)</v>
      </c>
      <c r="D523" s="164"/>
      <c r="E523" s="164"/>
      <c r="F523" s="164" t="str">
        <f ca="1">IFERROR(__xludf.DUMMYFUNCTION("""COMPUTED_VALUE"""),"HVSPLIT-102-24-05-01-028")</f>
        <v>HVSPLIT-102-24-05-01-028</v>
      </c>
      <c r="G523" s="164"/>
      <c r="H523" s="164"/>
      <c r="I523" s="164"/>
      <c r="J523" s="164"/>
      <c r="K523" s="164"/>
      <c r="L523" s="164" t="str">
        <f ca="1">IFERROR(__xludf.DUMMYFUNCTION("""COMPUTED_VALUE"""),"RECORDS")</f>
        <v>RECORDS</v>
      </c>
      <c r="M523" s="164" t="str">
        <f ca="1">IFERROR(__xludf.DUMMYFUNCTION("""COMPUTED_VALUE"""),"SERVICEABLE")</f>
        <v>SERVICEABLE</v>
      </c>
      <c r="N523" s="164"/>
    </row>
    <row r="524" spans="1:14" ht="13.2">
      <c r="A524" s="164" t="str">
        <f ca="1">IFERROR(__xludf.DUMMYFUNCTION("""COMPUTED_VALUE"""),"DARCO")</f>
        <v>DARCO</v>
      </c>
      <c r="B524" s="164" t="str">
        <f ca="1">IFERROR(__xludf.DUMMYFUNCTION("""COMPUTED_VALUE"""),"CENTRAL OFFICE")</f>
        <v>CENTRAL OFFICE</v>
      </c>
      <c r="C524" s="164" t="str">
        <f ca="1">IFERROR(__xludf.DUMMYFUNCTION("""COMPUTED_VALUE"""),"Desktop Computer – (MSI PRO DP180)")</f>
        <v>Desktop Computer – (MSI PRO DP180)</v>
      </c>
      <c r="D524" s="164"/>
      <c r="E524" s="164"/>
      <c r="F524" s="164" t="str">
        <f ca="1">IFERROR(__xludf.DUMMYFUNCTION("""COMPUTED_VALUE"""),"HVSPLIT-102-24-05-01-029")</f>
        <v>HVSPLIT-102-24-05-01-029</v>
      </c>
      <c r="G524" s="164"/>
      <c r="H524" s="164"/>
      <c r="I524" s="164"/>
      <c r="J524" s="164"/>
      <c r="K524" s="164"/>
      <c r="L524" s="164" t="str">
        <f ca="1">IFERROR(__xludf.DUMMYFUNCTION("""COMPUTED_VALUE"""),"RECORDS")</f>
        <v>RECORDS</v>
      </c>
      <c r="M524" s="164" t="str">
        <f ca="1">IFERROR(__xludf.DUMMYFUNCTION("""COMPUTED_VALUE"""),"SERVICEABLE")</f>
        <v>SERVICEABLE</v>
      </c>
      <c r="N524" s="164"/>
    </row>
    <row r="525" spans="1:14" ht="13.2">
      <c r="A525" s="164" t="str">
        <f ca="1">IFERROR(__xludf.DUMMYFUNCTION("""COMPUTED_VALUE"""),"DARCO")</f>
        <v>DARCO</v>
      </c>
      <c r="B525" s="164" t="str">
        <f ca="1">IFERROR(__xludf.DUMMYFUNCTION("""COMPUTED_VALUE"""),"CENTRAL OFFICE")</f>
        <v>CENTRAL OFFICE</v>
      </c>
      <c r="C525" s="164" t="str">
        <f ca="1">IFERROR(__xludf.DUMMYFUNCTION("""COMPUTED_VALUE"""),"Desktop Computer – (MSI PRO DP180)")</f>
        <v>Desktop Computer – (MSI PRO DP180)</v>
      </c>
      <c r="D525" s="164"/>
      <c r="E525" s="164"/>
      <c r="F525" s="164" t="str">
        <f ca="1">IFERROR(__xludf.DUMMYFUNCTION("""COMPUTED_VALUE"""),"HVSPLIT-102-24-05-01-030")</f>
        <v>HVSPLIT-102-24-05-01-030</v>
      </c>
      <c r="G525" s="164"/>
      <c r="H525" s="164"/>
      <c r="I525" s="164"/>
      <c r="J525" s="164"/>
      <c r="K525" s="164"/>
      <c r="L525" s="164" t="str">
        <f ca="1">IFERROR(__xludf.DUMMYFUNCTION("""COMPUTED_VALUE"""),"AFASPO")</f>
        <v>AFASPO</v>
      </c>
      <c r="M525" s="164" t="str">
        <f ca="1">IFERROR(__xludf.DUMMYFUNCTION("""COMPUTED_VALUE"""),"SERVICEABLE")</f>
        <v>SERVICEABLE</v>
      </c>
      <c r="N525" s="164"/>
    </row>
    <row r="526" spans="1:14" ht="13.2">
      <c r="A526" s="164" t="str">
        <f ca="1">IFERROR(__xludf.DUMMYFUNCTION("""COMPUTED_VALUE"""),"DARCO")</f>
        <v>DARCO</v>
      </c>
      <c r="B526" s="164" t="str">
        <f ca="1">IFERROR(__xludf.DUMMYFUNCTION("""COMPUTED_VALUE"""),"CENTRAL OFFICE")</f>
        <v>CENTRAL OFFICE</v>
      </c>
      <c r="C526" s="164" t="str">
        <f ca="1">IFERROR(__xludf.DUMMYFUNCTION("""COMPUTED_VALUE"""),"Desktop Computer – (MSI PRO DP180)")</f>
        <v>Desktop Computer – (MSI PRO DP180)</v>
      </c>
      <c r="D526" s="164"/>
      <c r="E526" s="164"/>
      <c r="F526" s="164" t="str">
        <f ca="1">IFERROR(__xludf.DUMMYFUNCTION("""COMPUTED_VALUE"""),"HVSPLIT-102-24-05-01-031")</f>
        <v>HVSPLIT-102-24-05-01-031</v>
      </c>
      <c r="G526" s="164"/>
      <c r="H526" s="164"/>
      <c r="I526" s="164"/>
      <c r="J526" s="164"/>
      <c r="K526" s="164"/>
      <c r="L526" s="164" t="str">
        <f ca="1">IFERROR(__xludf.DUMMYFUNCTION("""COMPUTED_VALUE"""),"AFASPO")</f>
        <v>AFASPO</v>
      </c>
      <c r="M526" s="164" t="str">
        <f ca="1">IFERROR(__xludf.DUMMYFUNCTION("""COMPUTED_VALUE"""),"SERVICEABLE")</f>
        <v>SERVICEABLE</v>
      </c>
      <c r="N526" s="164"/>
    </row>
    <row r="527" spans="1:14" ht="13.2">
      <c r="A527" s="164" t="str">
        <f ca="1">IFERROR(__xludf.DUMMYFUNCTION("""COMPUTED_VALUE"""),"DARCO")</f>
        <v>DARCO</v>
      </c>
      <c r="B527" s="164" t="str">
        <f ca="1">IFERROR(__xludf.DUMMYFUNCTION("""COMPUTED_VALUE"""),"CENTRAL OFFICE")</f>
        <v>CENTRAL OFFICE</v>
      </c>
      <c r="C527" s="164" t="str">
        <f ca="1">IFERROR(__xludf.DUMMYFUNCTION("""COMPUTED_VALUE"""),"Desktop Computer – (MSI PRO DP180)")</f>
        <v>Desktop Computer – (MSI PRO DP180)</v>
      </c>
      <c r="D527" s="164"/>
      <c r="E527" s="164"/>
      <c r="F527" s="164" t="str">
        <f ca="1">IFERROR(__xludf.DUMMYFUNCTION("""COMPUTED_VALUE"""),"HVSPLIT-102-24-05-01-032")</f>
        <v>HVSPLIT-102-24-05-01-032</v>
      </c>
      <c r="G527" s="164"/>
      <c r="H527" s="164"/>
      <c r="I527" s="164"/>
      <c r="J527" s="164"/>
      <c r="K527" s="164"/>
      <c r="L527" s="164" t="str">
        <f ca="1">IFERROR(__xludf.DUMMYFUNCTION("""COMPUTED_VALUE"""),"MISS")</f>
        <v>MISS</v>
      </c>
      <c r="M527" s="164" t="str">
        <f ca="1">IFERROR(__xludf.DUMMYFUNCTION("""COMPUTED_VALUE"""),"SERVICEABLE")</f>
        <v>SERVICEABLE</v>
      </c>
      <c r="N527" s="164"/>
    </row>
    <row r="528" spans="1:14" ht="13.2">
      <c r="A528" s="164" t="str">
        <f ca="1">IFERROR(__xludf.DUMMYFUNCTION("""COMPUTED_VALUE"""),"DARCO")</f>
        <v>DARCO</v>
      </c>
      <c r="B528" s="164" t="str">
        <f ca="1">IFERROR(__xludf.DUMMYFUNCTION("""COMPUTED_VALUE"""),"CENTRAL OFFICE")</f>
        <v>CENTRAL OFFICE</v>
      </c>
      <c r="C528" s="164" t="str">
        <f ca="1">IFERROR(__xludf.DUMMYFUNCTION("""COMPUTED_VALUE"""),"Desktop Computer – (MSI PRO DP180)")</f>
        <v>Desktop Computer – (MSI PRO DP180)</v>
      </c>
      <c r="D528" s="164"/>
      <c r="E528" s="164"/>
      <c r="F528" s="164" t="str">
        <f ca="1">IFERROR(__xludf.DUMMYFUNCTION("""COMPUTED_VALUE"""),"HVSPLIT-102-24-05-01-033")</f>
        <v>HVSPLIT-102-24-05-01-033</v>
      </c>
      <c r="G528" s="164"/>
      <c r="H528" s="164"/>
      <c r="I528" s="164"/>
      <c r="J528" s="164"/>
      <c r="K528" s="164"/>
      <c r="L528" s="164" t="str">
        <f ca="1">IFERROR(__xludf.DUMMYFUNCTION("""COMPUTED_VALUE"""),"OSEC")</f>
        <v>OSEC</v>
      </c>
      <c r="M528" s="164" t="str">
        <f ca="1">IFERROR(__xludf.DUMMYFUNCTION("""COMPUTED_VALUE"""),"SERVICEABLE")</f>
        <v>SERVICEABLE</v>
      </c>
      <c r="N528" s="164"/>
    </row>
    <row r="529" spans="1:14" ht="13.2">
      <c r="A529" s="164" t="str">
        <f ca="1">IFERROR(__xludf.DUMMYFUNCTION("""COMPUTED_VALUE"""),"DARCO")</f>
        <v>DARCO</v>
      </c>
      <c r="B529" s="164" t="str">
        <f ca="1">IFERROR(__xludf.DUMMYFUNCTION("""COMPUTED_VALUE"""),"CENTRAL OFFICE")</f>
        <v>CENTRAL OFFICE</v>
      </c>
      <c r="C529" s="164" t="str">
        <f ca="1">IFERROR(__xludf.DUMMYFUNCTION("""COMPUTED_VALUE"""),"Desktop Computer – (MSI PRO DP180)")</f>
        <v>Desktop Computer – (MSI PRO DP180)</v>
      </c>
      <c r="D529" s="164"/>
      <c r="E529" s="164"/>
      <c r="F529" s="164" t="str">
        <f ca="1">IFERROR(__xludf.DUMMYFUNCTION("""COMPUTED_VALUE"""),"HVSPLIT-102-24-05-01-034")</f>
        <v>HVSPLIT-102-24-05-01-034</v>
      </c>
      <c r="G529" s="164"/>
      <c r="H529" s="164"/>
      <c r="I529" s="164"/>
      <c r="J529" s="164"/>
      <c r="K529" s="164"/>
      <c r="L529" s="164" t="str">
        <f ca="1">IFERROR(__xludf.DUMMYFUNCTION("""COMPUTED_VALUE"""),"OSEC")</f>
        <v>OSEC</v>
      </c>
      <c r="M529" s="164" t="str">
        <f ca="1">IFERROR(__xludf.DUMMYFUNCTION("""COMPUTED_VALUE"""),"SERVICEABLE")</f>
        <v>SERVICEABLE</v>
      </c>
      <c r="N529" s="164"/>
    </row>
    <row r="530" spans="1:14" ht="13.2">
      <c r="A530" s="164" t="str">
        <f ca="1">IFERROR(__xludf.DUMMYFUNCTION("""COMPUTED_VALUE"""),"DARCO")</f>
        <v>DARCO</v>
      </c>
      <c r="B530" s="164" t="str">
        <f ca="1">IFERROR(__xludf.DUMMYFUNCTION("""COMPUTED_VALUE"""),"CENTRAL OFFICE")</f>
        <v>CENTRAL OFFICE</v>
      </c>
      <c r="C530" s="164" t="str">
        <f ca="1">IFERROR(__xludf.DUMMYFUNCTION("""COMPUTED_VALUE"""),"Desktop Computer – (MSI PRO DP180)")</f>
        <v>Desktop Computer – (MSI PRO DP180)</v>
      </c>
      <c r="D530" s="164"/>
      <c r="E530" s="164"/>
      <c r="F530" s="164" t="str">
        <f ca="1">IFERROR(__xludf.DUMMYFUNCTION("""COMPUTED_VALUE"""),"HVSPLIT-102-24-05-01-035")</f>
        <v>HVSPLIT-102-24-05-01-035</v>
      </c>
      <c r="G530" s="164"/>
      <c r="H530" s="164"/>
      <c r="I530" s="164"/>
      <c r="J530" s="164"/>
      <c r="K530" s="164"/>
      <c r="L530" s="164" t="str">
        <f ca="1">IFERROR(__xludf.DUMMYFUNCTION("""COMPUTED_VALUE"""),"OSEC")</f>
        <v>OSEC</v>
      </c>
      <c r="M530" s="164" t="str">
        <f ca="1">IFERROR(__xludf.DUMMYFUNCTION("""COMPUTED_VALUE"""),"SERVICEABLE")</f>
        <v>SERVICEABLE</v>
      </c>
      <c r="N530" s="164"/>
    </row>
    <row r="531" spans="1:14" ht="13.2">
      <c r="A531" s="164" t="str">
        <f ca="1">IFERROR(__xludf.DUMMYFUNCTION("""COMPUTED_VALUE"""),"DARCO")</f>
        <v>DARCO</v>
      </c>
      <c r="B531" s="164" t="str">
        <f ca="1">IFERROR(__xludf.DUMMYFUNCTION("""COMPUTED_VALUE"""),"CENTRAL OFFICE")</f>
        <v>CENTRAL OFFICE</v>
      </c>
      <c r="C531" s="164" t="str">
        <f ca="1">IFERROR(__xludf.DUMMYFUNCTION("""COMPUTED_VALUE"""),"Desktop Computer – (MSI PRO DP180)")</f>
        <v>Desktop Computer – (MSI PRO DP180)</v>
      </c>
      <c r="D531" s="164"/>
      <c r="E531" s="164"/>
      <c r="F531" s="164" t="str">
        <f ca="1">IFERROR(__xludf.DUMMYFUNCTION("""COMPUTED_VALUE"""),"HVSPLIT-102-24-05-01-036")</f>
        <v>HVSPLIT-102-24-05-01-036</v>
      </c>
      <c r="G531" s="164"/>
      <c r="H531" s="164"/>
      <c r="I531" s="164"/>
      <c r="J531" s="164"/>
      <c r="K531" s="164"/>
      <c r="L531" s="164" t="str">
        <f ca="1">IFERROR(__xludf.DUMMYFUNCTION("""COMPUTED_VALUE"""),"OSEC")</f>
        <v>OSEC</v>
      </c>
      <c r="M531" s="164" t="str">
        <f ca="1">IFERROR(__xludf.DUMMYFUNCTION("""COMPUTED_VALUE"""),"SERVICEABLE")</f>
        <v>SERVICEABLE</v>
      </c>
      <c r="N531" s="164"/>
    </row>
    <row r="532" spans="1:14" ht="13.2">
      <c r="A532" s="164" t="str">
        <f ca="1">IFERROR(__xludf.DUMMYFUNCTION("""COMPUTED_VALUE"""),"DARCO")</f>
        <v>DARCO</v>
      </c>
      <c r="B532" s="164" t="str">
        <f ca="1">IFERROR(__xludf.DUMMYFUNCTION("""COMPUTED_VALUE"""),"CENTRAL OFFICE")</f>
        <v>CENTRAL OFFICE</v>
      </c>
      <c r="C532" s="164" t="str">
        <f ca="1">IFERROR(__xludf.DUMMYFUNCTION("""COMPUTED_VALUE"""),"Desktop Computer – (MSI PRO DP180)")</f>
        <v>Desktop Computer – (MSI PRO DP180)</v>
      </c>
      <c r="D532" s="164"/>
      <c r="E532" s="164"/>
      <c r="F532" s="164" t="str">
        <f ca="1">IFERROR(__xludf.DUMMYFUNCTION("""COMPUTED_VALUE"""),"HVSPLIT-102-24-05-01-037")</f>
        <v>HVSPLIT-102-24-05-01-037</v>
      </c>
      <c r="G532" s="164"/>
      <c r="H532" s="164"/>
      <c r="I532" s="164"/>
      <c r="J532" s="164"/>
      <c r="K532" s="164"/>
      <c r="L532" s="164" t="str">
        <f ca="1">IFERROR(__xludf.DUMMYFUNCTION("""COMPUTED_VALUE"""),"OSEC")</f>
        <v>OSEC</v>
      </c>
      <c r="M532" s="164" t="str">
        <f ca="1">IFERROR(__xludf.DUMMYFUNCTION("""COMPUTED_VALUE"""),"SERVICEABLE")</f>
        <v>SERVICEABLE</v>
      </c>
      <c r="N532" s="164"/>
    </row>
    <row r="533" spans="1:14" ht="13.2">
      <c r="A533" s="164" t="str">
        <f ca="1">IFERROR(__xludf.DUMMYFUNCTION("""COMPUTED_VALUE"""),"DARCO")</f>
        <v>DARCO</v>
      </c>
      <c r="B533" s="164" t="str">
        <f ca="1">IFERROR(__xludf.DUMMYFUNCTION("""COMPUTED_VALUE"""),"CENTRAL OFFICE")</f>
        <v>CENTRAL OFFICE</v>
      </c>
      <c r="C533" s="164" t="str">
        <f ca="1">IFERROR(__xludf.DUMMYFUNCTION("""COMPUTED_VALUE"""),"Desktop Computer – (MSI PRO DP180)")</f>
        <v>Desktop Computer – (MSI PRO DP180)</v>
      </c>
      <c r="D533" s="164"/>
      <c r="E533" s="164"/>
      <c r="F533" s="164" t="str">
        <f ca="1">IFERROR(__xludf.DUMMYFUNCTION("""COMPUTED_VALUE"""),"HVSPLIT-102-24-05-01-038")</f>
        <v>HVSPLIT-102-24-05-01-038</v>
      </c>
      <c r="G533" s="164"/>
      <c r="H533" s="164"/>
      <c r="I533" s="164"/>
      <c r="J533" s="164"/>
      <c r="K533" s="164"/>
      <c r="L533" s="164" t="str">
        <f ca="1">IFERROR(__xludf.DUMMYFUNCTION("""COMPUTED_VALUE"""),"UFASPO")</f>
        <v>UFASPO</v>
      </c>
      <c r="M533" s="164" t="str">
        <f ca="1">IFERROR(__xludf.DUMMYFUNCTION("""COMPUTED_VALUE"""),"SERVICEABLE")</f>
        <v>SERVICEABLE</v>
      </c>
      <c r="N533" s="164"/>
    </row>
    <row r="534" spans="1:14" ht="13.2">
      <c r="A534" s="164" t="str">
        <f ca="1">IFERROR(__xludf.DUMMYFUNCTION("""COMPUTED_VALUE"""),"DARCO")</f>
        <v>DARCO</v>
      </c>
      <c r="B534" s="164" t="str">
        <f ca="1">IFERROR(__xludf.DUMMYFUNCTION("""COMPUTED_VALUE"""),"CENTRAL OFFICE")</f>
        <v>CENTRAL OFFICE</v>
      </c>
      <c r="C534" s="164" t="str">
        <f ca="1">IFERROR(__xludf.DUMMYFUNCTION("""COMPUTED_VALUE"""),"Desktop Computer – (MSI PRO DP180)")</f>
        <v>Desktop Computer – (MSI PRO DP180)</v>
      </c>
      <c r="D534" s="164"/>
      <c r="E534" s="164"/>
      <c r="F534" s="164" t="str">
        <f ca="1">IFERROR(__xludf.DUMMYFUNCTION("""COMPUTED_VALUE"""),"HVSPLIT-102-24-05-01-058")</f>
        <v>HVSPLIT-102-24-05-01-058</v>
      </c>
      <c r="G534" s="164"/>
      <c r="H534" s="164"/>
      <c r="I534" s="164"/>
      <c r="J534" s="164"/>
      <c r="K534" s="164"/>
      <c r="L534" s="164" t="str">
        <f ca="1">IFERROR(__xludf.DUMMYFUNCTION("""COMPUTED_VALUE"""),"AFASPO")</f>
        <v>AFASPO</v>
      </c>
      <c r="M534" s="164" t="str">
        <f ca="1">IFERROR(__xludf.DUMMYFUNCTION("""COMPUTED_VALUE"""),"SERVICEABLE")</f>
        <v>SERVICEABLE</v>
      </c>
      <c r="N534" s="164"/>
    </row>
    <row r="535" spans="1:14" ht="13.2">
      <c r="A535" s="164" t="str">
        <f ca="1">IFERROR(__xludf.DUMMYFUNCTION("""COMPUTED_VALUE"""),"DARCO")</f>
        <v>DARCO</v>
      </c>
      <c r="B535" s="164" t="str">
        <f ca="1">IFERROR(__xludf.DUMMYFUNCTION("""COMPUTED_VALUE"""),"CENTRAL OFFICE")</f>
        <v>CENTRAL OFFICE</v>
      </c>
      <c r="C535" s="164" t="str">
        <f ca="1">IFERROR(__xludf.DUMMYFUNCTION("""COMPUTED_VALUE"""),"Desktop Computer – (MSI PRO DP180)")</f>
        <v>Desktop Computer – (MSI PRO DP180)</v>
      </c>
      <c r="D535" s="164"/>
      <c r="E535" s="164"/>
      <c r="F535" s="164" t="str">
        <f ca="1">IFERROR(__xludf.DUMMYFUNCTION("""COMPUTED_VALUE"""),"HVSPLIT-102-24-05-01-059")</f>
        <v>HVSPLIT-102-24-05-01-059</v>
      </c>
      <c r="G535" s="164"/>
      <c r="H535" s="164"/>
      <c r="I535" s="164"/>
      <c r="J535" s="164"/>
      <c r="K535" s="164"/>
      <c r="L535" s="164" t="str">
        <f ca="1">IFERROR(__xludf.DUMMYFUNCTION("""COMPUTED_VALUE"""),"UFASPO")</f>
        <v>UFASPO</v>
      </c>
      <c r="M535" s="164" t="str">
        <f ca="1">IFERROR(__xludf.DUMMYFUNCTION("""COMPUTED_VALUE"""),"SERVICEABLE")</f>
        <v>SERVICEABLE</v>
      </c>
      <c r="N535" s="164" t="str">
        <f ca="1">IFERROR(__xludf.DUMMYFUNCTION("""COMPUTED_VALUE"""),"HR/ Personnel")</f>
        <v>HR/ Personnel</v>
      </c>
    </row>
    <row r="536" spans="1:14" ht="13.2">
      <c r="A536" s="164" t="str">
        <f ca="1">IFERROR(__xludf.DUMMYFUNCTION("""COMPUTED_VALUE"""),"DARCO")</f>
        <v>DARCO</v>
      </c>
      <c r="B536" s="164" t="str">
        <f ca="1">IFERROR(__xludf.DUMMYFUNCTION("""COMPUTED_VALUE"""),"CENTRAL OFFICE")</f>
        <v>CENTRAL OFFICE</v>
      </c>
      <c r="C536" s="164" t="str">
        <f ca="1">IFERROR(__xludf.DUMMYFUNCTION("""COMPUTED_VALUE"""),"Desktop Computer – (MSI PRO DP180)")</f>
        <v>Desktop Computer – (MSI PRO DP180)</v>
      </c>
      <c r="D536" s="164"/>
      <c r="E536" s="164"/>
      <c r="F536" s="164" t="str">
        <f ca="1">IFERROR(__xludf.DUMMYFUNCTION("""COMPUTED_VALUE"""),"HVSPLIT-102-24-05-01-060")</f>
        <v>HVSPLIT-102-24-05-01-060</v>
      </c>
      <c r="G536" s="164"/>
      <c r="H536" s="164"/>
      <c r="I536" s="164"/>
      <c r="J536" s="164"/>
      <c r="K536" s="164"/>
      <c r="L536" s="164" t="str">
        <f ca="1">IFERROR(__xludf.DUMMYFUNCTION("""COMPUTED_VALUE"""),"UFASPO")</f>
        <v>UFASPO</v>
      </c>
      <c r="M536" s="164" t="str">
        <f ca="1">IFERROR(__xludf.DUMMYFUNCTION("""COMPUTED_VALUE"""),"SERVICEABLE")</f>
        <v>SERVICEABLE</v>
      </c>
      <c r="N536" s="164"/>
    </row>
    <row r="537" spans="1:14" ht="13.2">
      <c r="A537" s="164" t="str">
        <f ca="1">IFERROR(__xludf.DUMMYFUNCTION("""COMPUTED_VALUE"""),"DARCO")</f>
        <v>DARCO</v>
      </c>
      <c r="B537" s="164" t="str">
        <f ca="1">IFERROR(__xludf.DUMMYFUNCTION("""COMPUTED_VALUE"""),"CENTRAL OFFICE")</f>
        <v>CENTRAL OFFICE</v>
      </c>
      <c r="C537" s="164" t="str">
        <f ca="1">IFERROR(__xludf.DUMMYFUNCTION("""COMPUTED_VALUE"""),"Desktop Computer – (MSI PRO DP180)")</f>
        <v>Desktop Computer – (MSI PRO DP180)</v>
      </c>
      <c r="D537" s="164"/>
      <c r="E537" s="164"/>
      <c r="F537" s="164" t="str">
        <f ca="1">IFERROR(__xludf.DUMMYFUNCTION("""COMPUTED_VALUE"""),"HVSPLIT-102-24-05-01-061")</f>
        <v>HVSPLIT-102-24-05-01-061</v>
      </c>
      <c r="G537" s="164"/>
      <c r="H537" s="164"/>
      <c r="I537" s="164"/>
      <c r="J537" s="164"/>
      <c r="K537" s="164"/>
      <c r="L537" s="164" t="str">
        <f ca="1">IFERROR(__xludf.DUMMYFUNCTION("""COMPUTED_VALUE"""),"UFASPO")</f>
        <v>UFASPO</v>
      </c>
      <c r="M537" s="164" t="str">
        <f ca="1">IFERROR(__xludf.DUMMYFUNCTION("""COMPUTED_VALUE"""),"SERVICEABLE")</f>
        <v>SERVICEABLE</v>
      </c>
      <c r="N537" s="164"/>
    </row>
    <row r="538" spans="1:14" ht="13.2">
      <c r="A538" s="164" t="str">
        <f ca="1">IFERROR(__xludf.DUMMYFUNCTION("""COMPUTED_VALUE"""),"DARCO")</f>
        <v>DARCO</v>
      </c>
      <c r="B538" s="164" t="str">
        <f ca="1">IFERROR(__xludf.DUMMYFUNCTION("""COMPUTED_VALUE"""),"CENTRAL OFFICE")</f>
        <v>CENTRAL OFFICE</v>
      </c>
      <c r="C538" s="164" t="str">
        <f ca="1">IFERROR(__xludf.DUMMYFUNCTION("""COMPUTED_VALUE"""),"Desktop Computer – (MSI PRO DP180)")</f>
        <v>Desktop Computer – (MSI PRO DP180)</v>
      </c>
      <c r="D538" s="164"/>
      <c r="E538" s="164"/>
      <c r="F538" s="164" t="str">
        <f ca="1">IFERROR(__xludf.DUMMYFUNCTION("""COMPUTED_VALUE"""),"HVSPLIT-102-24-05-01-062")</f>
        <v>HVSPLIT-102-24-05-01-062</v>
      </c>
      <c r="G538" s="164"/>
      <c r="H538" s="164"/>
      <c r="I538" s="164"/>
      <c r="J538" s="164"/>
      <c r="K538" s="164"/>
      <c r="L538" s="164" t="str">
        <f ca="1">IFERROR(__xludf.DUMMYFUNCTION("""COMPUTED_VALUE"""),"UFASPO")</f>
        <v>UFASPO</v>
      </c>
      <c r="M538" s="164" t="str">
        <f ca="1">IFERROR(__xludf.DUMMYFUNCTION("""COMPUTED_VALUE"""),"SERVICEABLE")</f>
        <v>SERVICEABLE</v>
      </c>
      <c r="N538" s="164"/>
    </row>
    <row r="539" spans="1:14" ht="13.2">
      <c r="A539" s="164" t="str">
        <f ca="1">IFERROR(__xludf.DUMMYFUNCTION("""COMPUTED_VALUE"""),"DARCO")</f>
        <v>DARCO</v>
      </c>
      <c r="B539" s="164" t="str">
        <f ca="1">IFERROR(__xludf.DUMMYFUNCTION("""COMPUTED_VALUE"""),"CENTRAL OFFICE")</f>
        <v>CENTRAL OFFICE</v>
      </c>
      <c r="C539" s="164" t="str">
        <f ca="1">IFERROR(__xludf.DUMMYFUNCTION("""COMPUTED_VALUE"""),"Desktop Computer – (MSI PRO DP180)")</f>
        <v>Desktop Computer – (MSI PRO DP180)</v>
      </c>
      <c r="D539" s="164"/>
      <c r="E539" s="164"/>
      <c r="F539" s="164" t="str">
        <f ca="1">IFERROR(__xludf.DUMMYFUNCTION("""COMPUTED_VALUE"""),"HVSPLIT-102-24-05-01-063")</f>
        <v>HVSPLIT-102-24-05-01-063</v>
      </c>
      <c r="G539" s="164"/>
      <c r="H539" s="164"/>
      <c r="I539" s="164"/>
      <c r="J539" s="164"/>
      <c r="K539" s="164"/>
      <c r="L539" s="164" t="str">
        <f ca="1">IFERROR(__xludf.DUMMYFUNCTION("""COMPUTED_VALUE"""),"UFASPO")</f>
        <v>UFASPO</v>
      </c>
      <c r="M539" s="164" t="str">
        <f ca="1">IFERROR(__xludf.DUMMYFUNCTION("""COMPUTED_VALUE"""),"SERVICEABLE")</f>
        <v>SERVICEABLE</v>
      </c>
      <c r="N539" s="164"/>
    </row>
    <row r="540" spans="1:14" ht="13.2">
      <c r="A540" s="164" t="str">
        <f ca="1">IFERROR(__xludf.DUMMYFUNCTION("""COMPUTED_VALUE"""),"DARCO")</f>
        <v>DARCO</v>
      </c>
      <c r="B540" s="164" t="str">
        <f ca="1">IFERROR(__xludf.DUMMYFUNCTION("""COMPUTED_VALUE"""),"CENTRAL OFFICE")</f>
        <v>CENTRAL OFFICE</v>
      </c>
      <c r="C540" s="164" t="str">
        <f ca="1">IFERROR(__xludf.DUMMYFUNCTION("""COMPUTED_VALUE"""),"Desktop Computer – (MSI PRO DP180)")</f>
        <v>Desktop Computer – (MSI PRO DP180)</v>
      </c>
      <c r="D540" s="164"/>
      <c r="E540" s="164"/>
      <c r="F540" s="164" t="str">
        <f ca="1">IFERROR(__xludf.DUMMYFUNCTION("""COMPUTED_VALUE"""),"HVSPLIT-102-24-05-01-064")</f>
        <v>HVSPLIT-102-24-05-01-064</v>
      </c>
      <c r="G540" s="164"/>
      <c r="H540" s="164"/>
      <c r="I540" s="164"/>
      <c r="J540" s="164"/>
      <c r="K540" s="164"/>
      <c r="L540" s="164" t="str">
        <f ca="1">IFERROR(__xludf.DUMMYFUNCTION("""COMPUTED_VALUE"""),"UFASPO")</f>
        <v>UFASPO</v>
      </c>
      <c r="M540" s="164" t="str">
        <f ca="1">IFERROR(__xludf.DUMMYFUNCTION("""COMPUTED_VALUE"""),"SERVICEABLE")</f>
        <v>SERVICEABLE</v>
      </c>
      <c r="N540" s="164" t="str">
        <f ca="1">IFERROR(__xludf.DUMMYFUNCTION("""COMPUTED_VALUE"""),"GAD")</f>
        <v>GAD</v>
      </c>
    </row>
    <row r="541" spans="1:14" ht="13.2">
      <c r="A541" s="164" t="str">
        <f ca="1">IFERROR(__xludf.DUMMYFUNCTION("""COMPUTED_VALUE"""),"DARCO")</f>
        <v>DARCO</v>
      </c>
      <c r="B541" s="164" t="str">
        <f ca="1">IFERROR(__xludf.DUMMYFUNCTION("""COMPUTED_VALUE"""),"CENTRAL OFFICE")</f>
        <v>CENTRAL OFFICE</v>
      </c>
      <c r="C541" s="164" t="str">
        <f ca="1">IFERROR(__xludf.DUMMYFUNCTION("""COMPUTED_VALUE"""),"Desktop Computer – (MSI PRO DP180)")</f>
        <v>Desktop Computer – (MSI PRO DP180)</v>
      </c>
      <c r="D541" s="164"/>
      <c r="E541" s="164"/>
      <c r="F541" s="164" t="str">
        <f ca="1">IFERROR(__xludf.DUMMYFUNCTION("""COMPUTED_VALUE"""),"HVSPLIT-102-24-05-01-070")</f>
        <v>HVSPLIT-102-24-05-01-070</v>
      </c>
      <c r="G541" s="164"/>
      <c r="H541" s="164"/>
      <c r="I541" s="164"/>
      <c r="J541" s="164"/>
      <c r="K541" s="164"/>
      <c r="L541" s="164" t="str">
        <f ca="1">IFERROR(__xludf.DUMMYFUNCTION("""COMPUTED_VALUE"""),"UFASPO")</f>
        <v>UFASPO</v>
      </c>
      <c r="M541" s="164" t="str">
        <f ca="1">IFERROR(__xludf.DUMMYFUNCTION("""COMPUTED_VALUE"""),"SERVICEABLE")</f>
        <v>SERVICEABLE</v>
      </c>
      <c r="N541" s="164"/>
    </row>
    <row r="542" spans="1:14" ht="13.2">
      <c r="A542" s="164" t="str">
        <f ca="1">IFERROR(__xludf.DUMMYFUNCTION("""COMPUTED_VALUE"""),"DARCO")</f>
        <v>DARCO</v>
      </c>
      <c r="B542" s="164" t="str">
        <f ca="1">IFERROR(__xludf.DUMMYFUNCTION("""COMPUTED_VALUE"""),"CENTRAL OFFICE")</f>
        <v>CENTRAL OFFICE</v>
      </c>
      <c r="C542" s="164" t="str">
        <f ca="1">IFERROR(__xludf.DUMMYFUNCTION("""COMPUTED_VALUE"""),"Desktop Computer – (MSI PRO DP180)")</f>
        <v>Desktop Computer – (MSI PRO DP180)</v>
      </c>
      <c r="D542" s="164"/>
      <c r="E542" s="164"/>
      <c r="F542" s="164" t="str">
        <f ca="1">IFERROR(__xludf.DUMMYFUNCTION("""COMPUTED_VALUE"""),"HVSPLIT-102-24-05-01-071")</f>
        <v>HVSPLIT-102-24-05-01-071</v>
      </c>
      <c r="G542" s="164"/>
      <c r="H542" s="164"/>
      <c r="I542" s="164"/>
      <c r="J542" s="164"/>
      <c r="K542" s="164"/>
      <c r="L542" s="164" t="str">
        <f ca="1">IFERROR(__xludf.DUMMYFUNCTION("""COMPUTED_VALUE"""),"UFASPO")</f>
        <v>UFASPO</v>
      </c>
      <c r="M542" s="164" t="str">
        <f ca="1">IFERROR(__xludf.DUMMYFUNCTION("""COMPUTED_VALUE"""),"SERVICEABLE")</f>
        <v>SERVICEABLE</v>
      </c>
      <c r="N542" s="164"/>
    </row>
    <row r="543" spans="1:14" ht="13.2">
      <c r="A543" s="164" t="str">
        <f ca="1">IFERROR(__xludf.DUMMYFUNCTION("""COMPUTED_VALUE"""),"DARCO")</f>
        <v>DARCO</v>
      </c>
      <c r="B543" s="164" t="str">
        <f ca="1">IFERROR(__xludf.DUMMYFUNCTION("""COMPUTED_VALUE"""),"CENTRAL OFFICE")</f>
        <v>CENTRAL OFFICE</v>
      </c>
      <c r="C543" s="164" t="str">
        <f ca="1">IFERROR(__xludf.DUMMYFUNCTION("""COMPUTED_VALUE"""),"Desktop Computer – (MSI PRO DP180)")</f>
        <v>Desktop Computer – (MSI PRO DP180)</v>
      </c>
      <c r="D543" s="164"/>
      <c r="E543" s="164"/>
      <c r="F543" s="164" t="str">
        <f ca="1">IFERROR(__xludf.DUMMYFUNCTION("""COMPUTED_VALUE"""),"HVSPLIT-102-24-05-01-072")</f>
        <v>HVSPLIT-102-24-05-01-072</v>
      </c>
      <c r="G543" s="164"/>
      <c r="H543" s="164"/>
      <c r="I543" s="164"/>
      <c r="J543" s="164"/>
      <c r="K543" s="164"/>
      <c r="L543" s="164" t="str">
        <f ca="1">IFERROR(__xludf.DUMMYFUNCTION("""COMPUTED_VALUE"""),"UFASPO")</f>
        <v>UFASPO</v>
      </c>
      <c r="M543" s="164" t="str">
        <f ca="1">IFERROR(__xludf.DUMMYFUNCTION("""COMPUTED_VALUE"""),"SERVICEABLE")</f>
        <v>SERVICEABLE</v>
      </c>
      <c r="N543" s="164"/>
    </row>
    <row r="544" spans="1:14" ht="13.2">
      <c r="A544" s="164" t="str">
        <f ca="1">IFERROR(__xludf.DUMMYFUNCTION("""COMPUTED_VALUE"""),"DARCO")</f>
        <v>DARCO</v>
      </c>
      <c r="B544" s="164" t="str">
        <f ca="1">IFERROR(__xludf.DUMMYFUNCTION("""COMPUTED_VALUE"""),"CENTRAL OFFICE")</f>
        <v>CENTRAL OFFICE</v>
      </c>
      <c r="C544" s="164" t="str">
        <f ca="1">IFERROR(__xludf.DUMMYFUNCTION("""COMPUTED_VALUE"""),"Desktop Computer – (MSI PRO DP180)")</f>
        <v>Desktop Computer – (MSI PRO DP180)</v>
      </c>
      <c r="D544" s="164"/>
      <c r="E544" s="164"/>
      <c r="F544" s="164" t="str">
        <f ca="1">IFERROR(__xludf.DUMMYFUNCTION("""COMPUTED_VALUE"""),"HVSPLIT-102-24-05-01-073")</f>
        <v>HVSPLIT-102-24-05-01-073</v>
      </c>
      <c r="G544" s="164"/>
      <c r="H544" s="164"/>
      <c r="I544" s="164"/>
      <c r="J544" s="164"/>
      <c r="K544" s="164"/>
      <c r="L544" s="164" t="str">
        <f ca="1">IFERROR(__xludf.DUMMYFUNCTION("""COMPUTED_VALUE"""),"UFASPO")</f>
        <v>UFASPO</v>
      </c>
      <c r="M544" s="164" t="str">
        <f ca="1">IFERROR(__xludf.DUMMYFUNCTION("""COMPUTED_VALUE"""),"SERVICEABLE")</f>
        <v>SERVICEABLE</v>
      </c>
      <c r="N544" s="164"/>
    </row>
    <row r="545" spans="1:14" ht="13.2">
      <c r="A545" s="164" t="str">
        <f ca="1">IFERROR(__xludf.DUMMYFUNCTION("""COMPUTED_VALUE"""),"DARCO")</f>
        <v>DARCO</v>
      </c>
      <c r="B545" s="164" t="str">
        <f ca="1">IFERROR(__xludf.DUMMYFUNCTION("""COMPUTED_VALUE"""),"CENTRAL OFFICE")</f>
        <v>CENTRAL OFFICE</v>
      </c>
      <c r="C545" s="164" t="str">
        <f ca="1">IFERROR(__xludf.DUMMYFUNCTION("""COMPUTED_VALUE"""),"Desktop Computer – (MSI PRO DP180)")</f>
        <v>Desktop Computer – (MSI PRO DP180)</v>
      </c>
      <c r="D545" s="164"/>
      <c r="E545" s="164"/>
      <c r="F545" s="164" t="str">
        <f ca="1">IFERROR(__xludf.DUMMYFUNCTION("""COMPUTED_VALUE"""),"HVSPLIT-102-24-05-01-074")</f>
        <v>HVSPLIT-102-24-05-01-074</v>
      </c>
      <c r="G545" s="164"/>
      <c r="H545" s="164"/>
      <c r="I545" s="164"/>
      <c r="J545" s="164"/>
      <c r="K545" s="164"/>
      <c r="L545" s="164" t="str">
        <f ca="1">IFERROR(__xludf.DUMMYFUNCTION("""COMPUTED_VALUE"""),"UFASPO")</f>
        <v>UFASPO</v>
      </c>
      <c r="M545" s="164" t="str">
        <f ca="1">IFERROR(__xludf.DUMMYFUNCTION("""COMPUTED_VALUE"""),"SERVICEABLE")</f>
        <v>SERVICEABLE</v>
      </c>
      <c r="N545" s="164"/>
    </row>
    <row r="546" spans="1:14" ht="13.2">
      <c r="A546" s="164" t="str">
        <f ca="1">IFERROR(__xludf.DUMMYFUNCTION("""COMPUTED_VALUE"""),"DARCO")</f>
        <v>DARCO</v>
      </c>
      <c r="B546" s="164" t="str">
        <f ca="1">IFERROR(__xludf.DUMMYFUNCTION("""COMPUTED_VALUE"""),"CENTRAL OFFICE")</f>
        <v>CENTRAL OFFICE</v>
      </c>
      <c r="C546" s="164" t="str">
        <f ca="1">IFERROR(__xludf.DUMMYFUNCTION("""COMPUTED_VALUE"""),"Desktop Computer – (MSI PRO DP180)")</f>
        <v>Desktop Computer – (MSI PRO DP180)</v>
      </c>
      <c r="D546" s="164"/>
      <c r="E546" s="164"/>
      <c r="F546" s="164" t="str">
        <f ca="1">IFERROR(__xludf.DUMMYFUNCTION("""COMPUTED_VALUE"""),"HVSPLIT-102-24-05-01-075")</f>
        <v>HVSPLIT-102-24-05-01-075</v>
      </c>
      <c r="G546" s="164"/>
      <c r="H546" s="164"/>
      <c r="I546" s="164"/>
      <c r="J546" s="164"/>
      <c r="K546" s="164"/>
      <c r="L546" s="164" t="str">
        <f ca="1">IFERROR(__xludf.DUMMYFUNCTION("""COMPUTED_VALUE"""),"UFASPO")</f>
        <v>UFASPO</v>
      </c>
      <c r="M546" s="164" t="str">
        <f ca="1">IFERROR(__xludf.DUMMYFUNCTION("""COMPUTED_VALUE"""),"SERVICEABLE")</f>
        <v>SERVICEABLE</v>
      </c>
      <c r="N546" s="164"/>
    </row>
    <row r="547" spans="1:14" ht="13.2">
      <c r="A547" s="164" t="str">
        <f ca="1">IFERROR(__xludf.DUMMYFUNCTION("""COMPUTED_VALUE"""),"DARCO")</f>
        <v>DARCO</v>
      </c>
      <c r="B547" s="164" t="str">
        <f ca="1">IFERROR(__xludf.DUMMYFUNCTION("""COMPUTED_VALUE"""),"CENTRAL OFFICE")</f>
        <v>CENTRAL OFFICE</v>
      </c>
      <c r="C547" s="164" t="str">
        <f ca="1">IFERROR(__xludf.DUMMYFUNCTION("""COMPUTED_VALUE"""),"Desktop Computer – (MSI PRO DP180)")</f>
        <v>Desktop Computer – (MSI PRO DP180)</v>
      </c>
      <c r="D547" s="164"/>
      <c r="E547" s="164"/>
      <c r="F547" s="164" t="str">
        <f ca="1">IFERROR(__xludf.DUMMYFUNCTION("""COMPUTED_VALUE"""),"HVSPLIT-102-24-05-01-076")</f>
        <v>HVSPLIT-102-24-05-01-076</v>
      </c>
      <c r="G547" s="164"/>
      <c r="H547" s="164"/>
      <c r="I547" s="164"/>
      <c r="J547" s="164"/>
      <c r="K547" s="164"/>
      <c r="L547" s="164" t="str">
        <f ca="1">IFERROR(__xludf.DUMMYFUNCTION("""COMPUTED_VALUE"""),"UFASPO")</f>
        <v>UFASPO</v>
      </c>
      <c r="M547" s="164" t="str">
        <f ca="1">IFERROR(__xludf.DUMMYFUNCTION("""COMPUTED_VALUE"""),"SERVICEABLE")</f>
        <v>SERVICEABLE</v>
      </c>
      <c r="N547" s="164"/>
    </row>
    <row r="548" spans="1:14" ht="13.2">
      <c r="A548" s="164" t="str">
        <f ca="1">IFERROR(__xludf.DUMMYFUNCTION("""COMPUTED_VALUE"""),"DARCO")</f>
        <v>DARCO</v>
      </c>
      <c r="B548" s="164" t="str">
        <f ca="1">IFERROR(__xludf.DUMMYFUNCTION("""COMPUTED_VALUE"""),"CENTRAL OFFICE")</f>
        <v>CENTRAL OFFICE</v>
      </c>
      <c r="C548" s="164" t="str">
        <f ca="1">IFERROR(__xludf.DUMMYFUNCTION("""COMPUTED_VALUE"""),"Desktop Computer – (MSI PRO DP180)")</f>
        <v>Desktop Computer – (MSI PRO DP180)</v>
      </c>
      <c r="D548" s="164"/>
      <c r="E548" s="164"/>
      <c r="F548" s="164" t="str">
        <f ca="1">IFERROR(__xludf.DUMMYFUNCTION("""COMPUTED_VALUE"""),"HVSPLIT-102-24-05-01-077")</f>
        <v>HVSPLIT-102-24-05-01-077</v>
      </c>
      <c r="G548" s="164"/>
      <c r="H548" s="164"/>
      <c r="I548" s="164"/>
      <c r="J548" s="164"/>
      <c r="K548" s="164"/>
      <c r="L548" s="164" t="str">
        <f ca="1">IFERROR(__xludf.DUMMYFUNCTION("""COMPUTED_VALUE"""),"UFASPO")</f>
        <v>UFASPO</v>
      </c>
      <c r="M548" s="164" t="str">
        <f ca="1">IFERROR(__xludf.DUMMYFUNCTION("""COMPUTED_VALUE"""),"SERVICEABLE")</f>
        <v>SERVICEABLE</v>
      </c>
      <c r="N548" s="164"/>
    </row>
    <row r="549" spans="1:14" ht="13.2">
      <c r="A549" s="164" t="str">
        <f ca="1">IFERROR(__xludf.DUMMYFUNCTION("""COMPUTED_VALUE"""),"DARCO")</f>
        <v>DARCO</v>
      </c>
      <c r="B549" s="164" t="str">
        <f ca="1">IFERROR(__xludf.DUMMYFUNCTION("""COMPUTED_VALUE"""),"CENTRAL OFFICE")</f>
        <v>CENTRAL OFFICE</v>
      </c>
      <c r="C549" s="164" t="str">
        <f ca="1">IFERROR(__xludf.DUMMYFUNCTION("""COMPUTED_VALUE"""),"Desktop Computer – (MSI PRO DP180)")</f>
        <v>Desktop Computer – (MSI PRO DP180)</v>
      </c>
      <c r="D549" s="164"/>
      <c r="E549" s="164"/>
      <c r="F549" s="164" t="str">
        <f ca="1">IFERROR(__xludf.DUMMYFUNCTION("""COMPUTED_VALUE"""),"HVSPLIT-102-24-05-01-078")</f>
        <v>HVSPLIT-102-24-05-01-078</v>
      </c>
      <c r="G549" s="164"/>
      <c r="H549" s="164"/>
      <c r="I549" s="164"/>
      <c r="J549" s="164"/>
      <c r="K549" s="164"/>
      <c r="L549" s="164" t="str">
        <f ca="1">IFERROR(__xludf.DUMMYFUNCTION("""COMPUTED_VALUE"""),"UFASPO")</f>
        <v>UFASPO</v>
      </c>
      <c r="M549" s="164" t="str">
        <f ca="1">IFERROR(__xludf.DUMMYFUNCTION("""COMPUTED_VALUE"""),"SERVICEABLE")</f>
        <v>SERVICEABLE</v>
      </c>
      <c r="N549" s="164"/>
    </row>
    <row r="550" spans="1:14" ht="13.2">
      <c r="A550" s="164" t="str">
        <f ca="1">IFERROR(__xludf.DUMMYFUNCTION("""COMPUTED_VALUE"""),"DARCO")</f>
        <v>DARCO</v>
      </c>
      <c r="B550" s="164" t="str">
        <f ca="1">IFERROR(__xludf.DUMMYFUNCTION("""COMPUTED_VALUE"""),"CENTRAL OFFICE")</f>
        <v>CENTRAL OFFICE</v>
      </c>
      <c r="C550" s="164" t="str">
        <f ca="1">IFERROR(__xludf.DUMMYFUNCTION("""COMPUTED_VALUE"""),"Desktop Computer – (MSI PRO DP180)")</f>
        <v>Desktop Computer – (MSI PRO DP180)</v>
      </c>
      <c r="D550" s="164"/>
      <c r="E550" s="164"/>
      <c r="F550" s="164" t="str">
        <f ca="1">IFERROR(__xludf.DUMMYFUNCTION("""COMPUTED_VALUE"""),"HVSPLIT-102-24-05-01-079")</f>
        <v>HVSPLIT-102-24-05-01-079</v>
      </c>
      <c r="G550" s="164"/>
      <c r="H550" s="164"/>
      <c r="I550" s="164"/>
      <c r="J550" s="164"/>
      <c r="K550" s="164"/>
      <c r="L550" s="164" t="str">
        <f ca="1">IFERROR(__xludf.DUMMYFUNCTION("""COMPUTED_VALUE"""),"UFASPO")</f>
        <v>UFASPO</v>
      </c>
      <c r="M550" s="164" t="str">
        <f ca="1">IFERROR(__xludf.DUMMYFUNCTION("""COMPUTED_VALUE"""),"SERVICEABLE")</f>
        <v>SERVICEABLE</v>
      </c>
      <c r="N550" s="164"/>
    </row>
    <row r="551" spans="1:14" ht="13.2">
      <c r="A551" s="164" t="str">
        <f ca="1">IFERROR(__xludf.DUMMYFUNCTION("""COMPUTED_VALUE"""),"DARCO")</f>
        <v>DARCO</v>
      </c>
      <c r="B551" s="164" t="str">
        <f ca="1">IFERROR(__xludf.DUMMYFUNCTION("""COMPUTED_VALUE"""),"CENTRAL OFFICE")</f>
        <v>CENTRAL OFFICE</v>
      </c>
      <c r="C551" s="164" t="str">
        <f ca="1">IFERROR(__xludf.DUMMYFUNCTION("""COMPUTED_VALUE"""),"Desktop Computer – (MSI PRO DP180)")</f>
        <v>Desktop Computer – (MSI PRO DP180)</v>
      </c>
      <c r="D551" s="164"/>
      <c r="E551" s="164"/>
      <c r="F551" s="164" t="str">
        <f ca="1">IFERROR(__xludf.DUMMYFUNCTION("""COMPUTED_VALUE"""),"HVSPLIT-102-24-05-01-080")</f>
        <v>HVSPLIT-102-24-05-01-080</v>
      </c>
      <c r="G551" s="164"/>
      <c r="H551" s="164"/>
      <c r="I551" s="164"/>
      <c r="J551" s="164"/>
      <c r="K551" s="164"/>
      <c r="L551" s="164" t="str">
        <f ca="1">IFERROR(__xludf.DUMMYFUNCTION("""COMPUTED_VALUE"""),"UFOO")</f>
        <v>UFOO</v>
      </c>
      <c r="M551" s="164" t="str">
        <f ca="1">IFERROR(__xludf.DUMMYFUNCTION("""COMPUTED_VALUE"""),"SERVICEABLE")</f>
        <v>SERVICEABLE</v>
      </c>
      <c r="N551" s="164"/>
    </row>
    <row r="552" spans="1:14" ht="13.2">
      <c r="A552" s="164" t="str">
        <f ca="1">IFERROR(__xludf.DUMMYFUNCTION("""COMPUTED_VALUE"""),"DARCO")</f>
        <v>DARCO</v>
      </c>
      <c r="B552" s="164" t="str">
        <f ca="1">IFERROR(__xludf.DUMMYFUNCTION("""COMPUTED_VALUE"""),"CENTRAL OFFICE")</f>
        <v>CENTRAL OFFICE</v>
      </c>
      <c r="C552" s="164" t="str">
        <f ca="1">IFERROR(__xludf.DUMMYFUNCTION("""COMPUTED_VALUE"""),"Desktop Computer – (MSI PRO DP180)")</f>
        <v>Desktop Computer – (MSI PRO DP180)</v>
      </c>
      <c r="D552" s="164"/>
      <c r="E552" s="164"/>
      <c r="F552" s="164" t="str">
        <f ca="1">IFERROR(__xludf.DUMMYFUNCTION("""COMPUTED_VALUE"""),"HVSPLIT-102-24-05-01-081")</f>
        <v>HVSPLIT-102-24-05-01-081</v>
      </c>
      <c r="G552" s="164"/>
      <c r="H552" s="164"/>
      <c r="I552" s="164"/>
      <c r="J552" s="164"/>
      <c r="K552" s="164"/>
      <c r="L552" s="164" t="str">
        <f ca="1">IFERROR(__xludf.DUMMYFUNCTION("""COMPUTED_VALUE"""),"UFOO")</f>
        <v>UFOO</v>
      </c>
      <c r="M552" s="164" t="str">
        <f ca="1">IFERROR(__xludf.DUMMYFUNCTION("""COMPUTED_VALUE"""),"SERVICEABLE")</f>
        <v>SERVICEABLE</v>
      </c>
      <c r="N552" s="164"/>
    </row>
    <row r="553" spans="1:14" ht="13.2">
      <c r="A553" s="164" t="str">
        <f ca="1">IFERROR(__xludf.DUMMYFUNCTION("""COMPUTED_VALUE"""),"DARCO")</f>
        <v>DARCO</v>
      </c>
      <c r="B553" s="164" t="str">
        <f ca="1">IFERROR(__xludf.DUMMYFUNCTION("""COMPUTED_VALUE"""),"CENTRAL OFFICE")</f>
        <v>CENTRAL OFFICE</v>
      </c>
      <c r="C553" s="164" t="str">
        <f ca="1">IFERROR(__xludf.DUMMYFUNCTION("""COMPUTED_VALUE"""),"Desktop Computer – (MSI PRO DP180)")</f>
        <v>Desktop Computer – (MSI PRO DP180)</v>
      </c>
      <c r="D553" s="164"/>
      <c r="E553" s="164"/>
      <c r="F553" s="164" t="str">
        <f ca="1">IFERROR(__xludf.DUMMYFUNCTION("""COMPUTED_VALUE"""),"HVSPLIT-102-24-05-01-082")</f>
        <v>HVSPLIT-102-24-05-01-082</v>
      </c>
      <c r="G553" s="164"/>
      <c r="H553" s="164"/>
      <c r="I553" s="164"/>
      <c r="J553" s="164"/>
      <c r="K553" s="164"/>
      <c r="L553" s="164" t="str">
        <f ca="1">IFERROR(__xludf.DUMMYFUNCTION("""COMPUTED_VALUE"""),"UFOO")</f>
        <v>UFOO</v>
      </c>
      <c r="M553" s="164" t="str">
        <f ca="1">IFERROR(__xludf.DUMMYFUNCTION("""COMPUTED_VALUE"""),"SERVICEABLE")</f>
        <v>SERVICEABLE</v>
      </c>
      <c r="N553" s="164"/>
    </row>
    <row r="554" spans="1:14" ht="13.2">
      <c r="A554" s="164" t="str">
        <f ca="1">IFERROR(__xludf.DUMMYFUNCTION("""COMPUTED_VALUE"""),"DARCO")</f>
        <v>DARCO</v>
      </c>
      <c r="B554" s="164" t="str">
        <f ca="1">IFERROR(__xludf.DUMMYFUNCTION("""COMPUTED_VALUE"""),"CENTRAL OFFICE")</f>
        <v>CENTRAL OFFICE</v>
      </c>
      <c r="C554" s="164" t="str">
        <f ca="1">IFERROR(__xludf.DUMMYFUNCTION("""COMPUTED_VALUE"""),"Desktop Computer – (MSI PRO DP180)")</f>
        <v>Desktop Computer – (MSI PRO DP180)</v>
      </c>
      <c r="D554" s="164"/>
      <c r="E554" s="164"/>
      <c r="F554" s="164" t="str">
        <f ca="1">IFERROR(__xludf.DUMMYFUNCTION("""COMPUTED_VALUE"""),"HVSPLIT-102-24-05-01-083")</f>
        <v>HVSPLIT-102-24-05-01-083</v>
      </c>
      <c r="G554" s="164"/>
      <c r="H554" s="164"/>
      <c r="I554" s="164"/>
      <c r="J554" s="164"/>
      <c r="K554" s="164"/>
      <c r="L554" s="164" t="str">
        <f ca="1">IFERROR(__xludf.DUMMYFUNCTION("""COMPUTED_VALUE"""),"UFOO")</f>
        <v>UFOO</v>
      </c>
      <c r="M554" s="164" t="str">
        <f ca="1">IFERROR(__xludf.DUMMYFUNCTION("""COMPUTED_VALUE"""),"SERVICEABLE")</f>
        <v>SERVICEABLE</v>
      </c>
      <c r="N554" s="164"/>
    </row>
    <row r="555" spans="1:14" ht="13.2">
      <c r="A555" s="164" t="str">
        <f ca="1">IFERROR(__xludf.DUMMYFUNCTION("""COMPUTED_VALUE"""),"DARCO")</f>
        <v>DARCO</v>
      </c>
      <c r="B555" s="164" t="str">
        <f ca="1">IFERROR(__xludf.DUMMYFUNCTION("""COMPUTED_VALUE"""),"CENTRAL OFFICE")</f>
        <v>CENTRAL OFFICE</v>
      </c>
      <c r="C555" s="164" t="str">
        <f ca="1">IFERROR(__xludf.DUMMYFUNCTION("""COMPUTED_VALUE"""),"Desktop Computer – (MSI PRO DP180)")</f>
        <v>Desktop Computer – (MSI PRO DP180)</v>
      </c>
      <c r="D555" s="164"/>
      <c r="E555" s="164"/>
      <c r="F555" s="164" t="str">
        <f ca="1">IFERROR(__xludf.DUMMYFUNCTION("""COMPUTED_VALUE"""),"HVSPLIT-102-24-05-01-084")</f>
        <v>HVSPLIT-102-24-05-01-084</v>
      </c>
      <c r="G555" s="164"/>
      <c r="H555" s="164"/>
      <c r="I555" s="164"/>
      <c r="J555" s="164"/>
      <c r="K555" s="164"/>
      <c r="L555" s="164" t="str">
        <f ca="1">IFERROR(__xludf.DUMMYFUNCTION("""COMPUTED_VALUE"""),"UFOO")</f>
        <v>UFOO</v>
      </c>
      <c r="M555" s="164" t="str">
        <f ca="1">IFERROR(__xludf.DUMMYFUNCTION("""COMPUTED_VALUE"""),"SERVICEABLE")</f>
        <v>SERVICEABLE</v>
      </c>
      <c r="N555" s="164"/>
    </row>
    <row r="556" spans="1:14" ht="13.2">
      <c r="A556" s="164" t="str">
        <f ca="1">IFERROR(__xludf.DUMMYFUNCTION("""COMPUTED_VALUE"""),"DARCO")</f>
        <v>DARCO</v>
      </c>
      <c r="B556" s="164" t="str">
        <f ca="1">IFERROR(__xludf.DUMMYFUNCTION("""COMPUTED_VALUE"""),"CENTRAL OFFICE")</f>
        <v>CENTRAL OFFICE</v>
      </c>
      <c r="C556" s="164" t="str">
        <f ca="1">IFERROR(__xludf.DUMMYFUNCTION("""COMPUTED_VALUE"""),"Desktop Computer – (MSI PRO DP180)")</f>
        <v>Desktop Computer – (MSI PRO DP180)</v>
      </c>
      <c r="D556" s="164"/>
      <c r="E556" s="164"/>
      <c r="F556" s="164" t="str">
        <f ca="1">IFERROR(__xludf.DUMMYFUNCTION("""COMPUTED_VALUE"""),"HVSPLIT-102-24-05-01-085")</f>
        <v>HVSPLIT-102-24-05-01-085</v>
      </c>
      <c r="G556" s="164"/>
      <c r="H556" s="164"/>
      <c r="I556" s="164"/>
      <c r="J556" s="164"/>
      <c r="K556" s="164"/>
      <c r="L556" s="164" t="str">
        <f ca="1">IFERROR(__xludf.DUMMYFUNCTION("""COMPUTED_VALUE"""),"UFOO")</f>
        <v>UFOO</v>
      </c>
      <c r="M556" s="164" t="str">
        <f ca="1">IFERROR(__xludf.DUMMYFUNCTION("""COMPUTED_VALUE"""),"SERVICEABLE")</f>
        <v>SERVICEABLE</v>
      </c>
      <c r="N556" s="164"/>
    </row>
    <row r="557" spans="1:14" ht="13.2">
      <c r="A557" s="164" t="str">
        <f ca="1">IFERROR(__xludf.DUMMYFUNCTION("""COMPUTED_VALUE"""),"DARCO")</f>
        <v>DARCO</v>
      </c>
      <c r="B557" s="164" t="str">
        <f ca="1">IFERROR(__xludf.DUMMYFUNCTION("""COMPUTED_VALUE"""),"CENTRAL OFFICE")</f>
        <v>CENTRAL OFFICE</v>
      </c>
      <c r="C557" s="164" t="str">
        <f ca="1">IFERROR(__xludf.DUMMYFUNCTION("""COMPUTED_VALUE"""),"Desktop Computer – (MSI PRO DP180)")</f>
        <v>Desktop Computer – (MSI PRO DP180)</v>
      </c>
      <c r="D557" s="164"/>
      <c r="E557" s="164"/>
      <c r="F557" s="164" t="str">
        <f ca="1">IFERROR(__xludf.DUMMYFUNCTION("""COMPUTED_VALUE"""),"HVSPLIT-102-24-05-01-086")</f>
        <v>HVSPLIT-102-24-05-01-086</v>
      </c>
      <c r="G557" s="164"/>
      <c r="H557" s="164"/>
      <c r="I557" s="164"/>
      <c r="J557" s="164"/>
      <c r="K557" s="164"/>
      <c r="L557" s="164" t="str">
        <f ca="1">IFERROR(__xludf.DUMMYFUNCTION("""COMPUTED_VALUE"""),"UFOO")</f>
        <v>UFOO</v>
      </c>
      <c r="M557" s="164" t="str">
        <f ca="1">IFERROR(__xludf.DUMMYFUNCTION("""COMPUTED_VALUE"""),"SERVICEABLE")</f>
        <v>SERVICEABLE</v>
      </c>
      <c r="N557" s="164"/>
    </row>
    <row r="558" spans="1:14" ht="13.2">
      <c r="A558" s="164" t="str">
        <f ca="1">IFERROR(__xludf.DUMMYFUNCTION("""COMPUTED_VALUE"""),"DARCO")</f>
        <v>DARCO</v>
      </c>
      <c r="B558" s="164" t="str">
        <f ca="1">IFERROR(__xludf.DUMMYFUNCTION("""COMPUTED_VALUE"""),"CENTRAL OFFICE")</f>
        <v>CENTRAL OFFICE</v>
      </c>
      <c r="C558" s="164" t="str">
        <f ca="1">IFERROR(__xludf.DUMMYFUNCTION("""COMPUTED_VALUE"""),"Desktop Computer – (MSI PRO DP180)")</f>
        <v>Desktop Computer – (MSI PRO DP180)</v>
      </c>
      <c r="D558" s="164"/>
      <c r="E558" s="164"/>
      <c r="F558" s="164" t="str">
        <f ca="1">IFERROR(__xludf.DUMMYFUNCTION("""COMPUTED_VALUE"""),"HVSPLIT-102-24-05-01-087")</f>
        <v>HVSPLIT-102-24-05-01-087</v>
      </c>
      <c r="G558" s="164"/>
      <c r="H558" s="164"/>
      <c r="I558" s="164"/>
      <c r="J558" s="164"/>
      <c r="K558" s="164"/>
      <c r="L558" s="164" t="str">
        <f ca="1">IFERROR(__xludf.DUMMYFUNCTION("""COMPUTED_VALUE"""),"UFMAO")</f>
        <v>UFMAO</v>
      </c>
      <c r="M558" s="164" t="str">
        <f ca="1">IFERROR(__xludf.DUMMYFUNCTION("""COMPUTED_VALUE"""),"SERVICEABLE")</f>
        <v>SERVICEABLE</v>
      </c>
      <c r="N558" s="164"/>
    </row>
    <row r="559" spans="1:14" ht="13.2">
      <c r="A559" s="164" t="str">
        <f ca="1">IFERROR(__xludf.DUMMYFUNCTION("""COMPUTED_VALUE"""),"DARCO")</f>
        <v>DARCO</v>
      </c>
      <c r="B559" s="164" t="str">
        <f ca="1">IFERROR(__xludf.DUMMYFUNCTION("""COMPUTED_VALUE"""),"CENTRAL OFFICE")</f>
        <v>CENTRAL OFFICE</v>
      </c>
      <c r="C559" s="164" t="str">
        <f ca="1">IFERROR(__xludf.DUMMYFUNCTION("""COMPUTED_VALUE"""),"Desktop Computer – (MSI PRO DP180)")</f>
        <v>Desktop Computer – (MSI PRO DP180)</v>
      </c>
      <c r="D559" s="164"/>
      <c r="E559" s="164"/>
      <c r="F559" s="164" t="str">
        <f ca="1">IFERROR(__xludf.DUMMYFUNCTION("""COMPUTED_VALUE"""),"HVSPLIT-102-24-05-01-088")</f>
        <v>HVSPLIT-102-24-05-01-088</v>
      </c>
      <c r="G559" s="164"/>
      <c r="H559" s="164"/>
      <c r="I559" s="164"/>
      <c r="J559" s="164"/>
      <c r="K559" s="164"/>
      <c r="L559" s="164" t="str">
        <f ca="1">IFERROR(__xludf.DUMMYFUNCTION("""COMPUTED_VALUE"""),"UFMAO")</f>
        <v>UFMAO</v>
      </c>
      <c r="M559" s="164" t="str">
        <f ca="1">IFERROR(__xludf.DUMMYFUNCTION("""COMPUTED_VALUE"""),"SERVICEABLE")</f>
        <v>SERVICEABLE</v>
      </c>
      <c r="N559" s="164"/>
    </row>
    <row r="560" spans="1:14" ht="13.2">
      <c r="A560" s="164" t="str">
        <f ca="1">IFERROR(__xludf.DUMMYFUNCTION("""COMPUTED_VALUE"""),"DARCO")</f>
        <v>DARCO</v>
      </c>
      <c r="B560" s="164" t="str">
        <f ca="1">IFERROR(__xludf.DUMMYFUNCTION("""COMPUTED_VALUE"""),"CENTRAL OFFICE")</f>
        <v>CENTRAL OFFICE</v>
      </c>
      <c r="C560" s="164" t="str">
        <f ca="1">IFERROR(__xludf.DUMMYFUNCTION("""COMPUTED_VALUE"""),"Desktop Computer – (MSI PRO DP180)")</f>
        <v>Desktop Computer – (MSI PRO DP180)</v>
      </c>
      <c r="D560" s="164"/>
      <c r="E560" s="164"/>
      <c r="F560" s="164" t="str">
        <f ca="1">IFERROR(__xludf.DUMMYFUNCTION("""COMPUTED_VALUE"""),"HVSPLIT-102-24-05-01-089")</f>
        <v>HVSPLIT-102-24-05-01-089</v>
      </c>
      <c r="G560" s="164"/>
      <c r="H560" s="164"/>
      <c r="I560" s="164"/>
      <c r="J560" s="164"/>
      <c r="K560" s="164"/>
      <c r="L560" s="164" t="str">
        <f ca="1">IFERROR(__xludf.DUMMYFUNCTION("""COMPUTED_VALUE"""),"UFMAO")</f>
        <v>UFMAO</v>
      </c>
      <c r="M560" s="164" t="str">
        <f ca="1">IFERROR(__xludf.DUMMYFUNCTION("""COMPUTED_VALUE"""),"SERVICEABLE")</f>
        <v>SERVICEABLE</v>
      </c>
      <c r="N560" s="164"/>
    </row>
    <row r="561" spans="1:14" ht="13.2">
      <c r="A561" s="164" t="str">
        <f ca="1">IFERROR(__xludf.DUMMYFUNCTION("""COMPUTED_VALUE"""),"DARCO")</f>
        <v>DARCO</v>
      </c>
      <c r="B561" s="164" t="str">
        <f ca="1">IFERROR(__xludf.DUMMYFUNCTION("""COMPUTED_VALUE"""),"CENTRAL OFFICE")</f>
        <v>CENTRAL OFFICE</v>
      </c>
      <c r="C561" s="164" t="str">
        <f ca="1">IFERROR(__xludf.DUMMYFUNCTION("""COMPUTED_VALUE"""),"Desktop Computer – (MSI PRO DP180)")</f>
        <v>Desktop Computer – (MSI PRO DP180)</v>
      </c>
      <c r="D561" s="164"/>
      <c r="E561" s="164"/>
      <c r="F561" s="164" t="str">
        <f ca="1">IFERROR(__xludf.DUMMYFUNCTION("""COMPUTED_VALUE"""),"HVSPLIT-102-24-05-01-090")</f>
        <v>HVSPLIT-102-24-05-01-090</v>
      </c>
      <c r="G561" s="164"/>
      <c r="H561" s="164"/>
      <c r="I561" s="164"/>
      <c r="J561" s="164"/>
      <c r="K561" s="164"/>
      <c r="L561" s="164" t="str">
        <f ca="1">IFERROR(__xludf.DUMMYFUNCTION("""COMPUTED_VALUE"""),"UOMA")</f>
        <v>UOMA</v>
      </c>
      <c r="M561" s="164" t="str">
        <f ca="1">IFERROR(__xludf.DUMMYFUNCTION("""COMPUTED_VALUE"""),"SERVICEABLE")</f>
        <v>SERVICEABLE</v>
      </c>
      <c r="N561" s="164"/>
    </row>
    <row r="562" spans="1:14" ht="13.2">
      <c r="A562" s="164" t="str">
        <f ca="1">IFERROR(__xludf.DUMMYFUNCTION("""COMPUTED_VALUE"""),"DARCO")</f>
        <v>DARCO</v>
      </c>
      <c r="B562" s="164" t="str">
        <f ca="1">IFERROR(__xludf.DUMMYFUNCTION("""COMPUTED_VALUE"""),"CENTRAL OFFICE")</f>
        <v>CENTRAL OFFICE</v>
      </c>
      <c r="C562" s="164" t="str">
        <f ca="1">IFERROR(__xludf.DUMMYFUNCTION("""COMPUTED_VALUE"""),"Desktop Computer – (MSI PRO DP180)")</f>
        <v>Desktop Computer – (MSI PRO DP180)</v>
      </c>
      <c r="D562" s="164"/>
      <c r="E562" s="164"/>
      <c r="F562" s="164" t="str">
        <f ca="1">IFERROR(__xludf.DUMMYFUNCTION("""COMPUTED_VALUE"""),"HVSPLIT-102-24-05-01-091")</f>
        <v>HVSPLIT-102-24-05-01-091</v>
      </c>
      <c r="G562" s="164"/>
      <c r="H562" s="164"/>
      <c r="I562" s="164"/>
      <c r="J562" s="164"/>
      <c r="K562" s="164"/>
      <c r="L562" s="164" t="str">
        <f ca="1">IFERROR(__xludf.DUMMYFUNCTION("""COMPUTED_VALUE"""),"UOMA")</f>
        <v>UOMA</v>
      </c>
      <c r="M562" s="164" t="str">
        <f ca="1">IFERROR(__xludf.DUMMYFUNCTION("""COMPUTED_VALUE"""),"SERVICEABLE")</f>
        <v>SERVICEABLE</v>
      </c>
      <c r="N562" s="164"/>
    </row>
    <row r="563" spans="1:14" ht="13.2">
      <c r="A563" s="164" t="str">
        <f ca="1">IFERROR(__xludf.DUMMYFUNCTION("""COMPUTED_VALUE"""),"DARCO")</f>
        <v>DARCO</v>
      </c>
      <c r="B563" s="164" t="str">
        <f ca="1">IFERROR(__xludf.DUMMYFUNCTION("""COMPUTED_VALUE"""),"CENTRAL OFFICE")</f>
        <v>CENTRAL OFFICE</v>
      </c>
      <c r="C563" s="164" t="str">
        <f ca="1">IFERROR(__xludf.DUMMYFUNCTION("""COMPUTED_VALUE"""),"Desktop Computer – (MSI PRO DP180)")</f>
        <v>Desktop Computer – (MSI PRO DP180)</v>
      </c>
      <c r="D563" s="164"/>
      <c r="E563" s="164"/>
      <c r="F563" s="164" t="str">
        <f ca="1">IFERROR(__xludf.DUMMYFUNCTION("""COMPUTED_VALUE"""),"HVSPLIT-102-24-05-01-092")</f>
        <v>HVSPLIT-102-24-05-01-092</v>
      </c>
      <c r="G563" s="164"/>
      <c r="H563" s="164"/>
      <c r="I563" s="164"/>
      <c r="J563" s="164"/>
      <c r="K563" s="164"/>
      <c r="L563" s="164" t="str">
        <f ca="1">IFERROR(__xludf.DUMMYFUNCTION("""COMPUTED_VALUE"""),"UOMA")</f>
        <v>UOMA</v>
      </c>
      <c r="M563" s="164" t="str">
        <f ca="1">IFERROR(__xludf.DUMMYFUNCTION("""COMPUTED_VALUE"""),"SERVICEABLE")</f>
        <v>SERVICEABLE</v>
      </c>
      <c r="N563" s="164"/>
    </row>
    <row r="564" spans="1:14" ht="13.2">
      <c r="A564" s="164" t="str">
        <f ca="1">IFERROR(__xludf.DUMMYFUNCTION("""COMPUTED_VALUE"""),"DARCO")</f>
        <v>DARCO</v>
      </c>
      <c r="B564" s="164" t="str">
        <f ca="1">IFERROR(__xludf.DUMMYFUNCTION("""COMPUTED_VALUE"""),"CENTRAL OFFICE")</f>
        <v>CENTRAL OFFICE</v>
      </c>
      <c r="C564" s="164" t="str">
        <f ca="1">IFERROR(__xludf.DUMMYFUNCTION("""COMPUTED_VALUE"""),"Desktop Computer – (MSI PRO DP180)")</f>
        <v>Desktop Computer – (MSI PRO DP180)</v>
      </c>
      <c r="D564" s="164"/>
      <c r="E564" s="164"/>
      <c r="F564" s="164" t="str">
        <f ca="1">IFERROR(__xludf.DUMMYFUNCTION("""COMPUTED_VALUE"""),"HVSPLIT-102-24-05-01-093")</f>
        <v>HVSPLIT-102-24-05-01-093</v>
      </c>
      <c r="G564" s="164"/>
      <c r="H564" s="164"/>
      <c r="I564" s="164"/>
      <c r="J564" s="164"/>
      <c r="K564" s="164"/>
      <c r="L564" s="164" t="str">
        <f ca="1">IFERROR(__xludf.DUMMYFUNCTION("""COMPUTED_VALUE"""),"AFASPO-FMAO-ADSERV")</f>
        <v>AFASPO-FMAO-ADSERV</v>
      </c>
      <c r="M564" s="164" t="str">
        <f ca="1">IFERROR(__xludf.DUMMYFUNCTION("""COMPUTED_VALUE"""),"SERVICEABLE")</f>
        <v>SERVICEABLE</v>
      </c>
      <c r="N564" s="164"/>
    </row>
    <row r="565" spans="1:14" ht="13.2">
      <c r="A565" s="164" t="str">
        <f ca="1">IFERROR(__xludf.DUMMYFUNCTION("""COMPUTED_VALUE"""),"DARCO")</f>
        <v>DARCO</v>
      </c>
      <c r="B565" s="164" t="str">
        <f ca="1">IFERROR(__xludf.DUMMYFUNCTION("""COMPUTED_VALUE"""),"CENTRAL OFFICE")</f>
        <v>CENTRAL OFFICE</v>
      </c>
      <c r="C565" s="164" t="str">
        <f ca="1">IFERROR(__xludf.DUMMYFUNCTION("""COMPUTED_VALUE"""),"Desktop Computer – (MSI PRO DP180)")</f>
        <v>Desktop Computer – (MSI PRO DP180)</v>
      </c>
      <c r="D565" s="164"/>
      <c r="E565" s="164"/>
      <c r="F565" s="164" t="str">
        <f ca="1">IFERROR(__xludf.DUMMYFUNCTION("""COMPUTED_VALUE"""),"HVSPLIT-102-24-05-01-094")</f>
        <v>HVSPLIT-102-24-05-01-094</v>
      </c>
      <c r="G565" s="164"/>
      <c r="H565" s="164"/>
      <c r="I565" s="164"/>
      <c r="J565" s="164"/>
      <c r="K565" s="164"/>
      <c r="L565" s="164" t="str">
        <f ca="1">IFERROR(__xludf.DUMMYFUNCTION("""COMPUTED_VALUE"""),"AFASPO-FMAO-ADSERV")</f>
        <v>AFASPO-FMAO-ADSERV</v>
      </c>
      <c r="M565" s="164" t="str">
        <f ca="1">IFERROR(__xludf.DUMMYFUNCTION("""COMPUTED_VALUE"""),"SERVICEABLE")</f>
        <v>SERVICEABLE</v>
      </c>
      <c r="N565" s="164"/>
    </row>
    <row r="566" spans="1:14" ht="13.2">
      <c r="A566" s="164" t="str">
        <f ca="1">IFERROR(__xludf.DUMMYFUNCTION("""COMPUTED_VALUE"""),"DARCO")</f>
        <v>DARCO</v>
      </c>
      <c r="B566" s="164" t="str">
        <f ca="1">IFERROR(__xludf.DUMMYFUNCTION("""COMPUTED_VALUE"""),"CENTRAL OFFICE")</f>
        <v>CENTRAL OFFICE</v>
      </c>
      <c r="C566" s="164" t="str">
        <f ca="1">IFERROR(__xludf.DUMMYFUNCTION("""COMPUTED_VALUE"""),"Desktop Computer – (MSI PRO DP180)")</f>
        <v>Desktop Computer – (MSI PRO DP180)</v>
      </c>
      <c r="D566" s="164"/>
      <c r="E566" s="164"/>
      <c r="F566" s="164" t="str">
        <f ca="1">IFERROR(__xludf.DUMMYFUNCTION("""COMPUTED_VALUE"""),"HVSPLIT-102-24-05-01-095")</f>
        <v>HVSPLIT-102-24-05-01-095</v>
      </c>
      <c r="G566" s="164"/>
      <c r="H566" s="164"/>
      <c r="I566" s="164"/>
      <c r="J566" s="164"/>
      <c r="K566" s="164"/>
      <c r="L566" s="164" t="str">
        <f ca="1">IFERROR(__xludf.DUMMYFUNCTION("""COMPUTED_VALUE"""),"AFASPO-FMAO-ADSERV")</f>
        <v>AFASPO-FMAO-ADSERV</v>
      </c>
      <c r="M566" s="164" t="str">
        <f ca="1">IFERROR(__xludf.DUMMYFUNCTION("""COMPUTED_VALUE"""),"SERVICEABLE")</f>
        <v>SERVICEABLE</v>
      </c>
      <c r="N566" s="164"/>
    </row>
    <row r="567" spans="1:14" ht="13.2">
      <c r="A567" s="164" t="str">
        <f ca="1">IFERROR(__xludf.DUMMYFUNCTION("""COMPUTED_VALUE"""),"DARCO")</f>
        <v>DARCO</v>
      </c>
      <c r="B567" s="164" t="str">
        <f ca="1">IFERROR(__xludf.DUMMYFUNCTION("""COMPUTED_VALUE"""),"CENTRAL OFFICE")</f>
        <v>CENTRAL OFFICE</v>
      </c>
      <c r="C567" s="164" t="str">
        <f ca="1">IFERROR(__xludf.DUMMYFUNCTION("""COMPUTED_VALUE"""),"Desktop Computer – (MSI PRO DP180)")</f>
        <v>Desktop Computer – (MSI PRO DP180)</v>
      </c>
      <c r="D567" s="164"/>
      <c r="E567" s="164"/>
      <c r="F567" s="164" t="str">
        <f ca="1">IFERROR(__xludf.DUMMYFUNCTION("""COMPUTED_VALUE"""),"HVSPLIT-102-24-05-01-096")</f>
        <v>HVSPLIT-102-24-05-01-096</v>
      </c>
      <c r="G567" s="164"/>
      <c r="H567" s="164"/>
      <c r="I567" s="164"/>
      <c r="J567" s="164"/>
      <c r="K567" s="164"/>
      <c r="L567" s="164" t="str">
        <f ca="1">IFERROR(__xludf.DUMMYFUNCTION("""COMPUTED_VALUE"""),"AFASPO-FMAO-ADSERV")</f>
        <v>AFASPO-FMAO-ADSERV</v>
      </c>
      <c r="M567" s="164" t="str">
        <f ca="1">IFERROR(__xludf.DUMMYFUNCTION("""COMPUTED_VALUE"""),"SERVICEABLE")</f>
        <v>SERVICEABLE</v>
      </c>
      <c r="N567" s="164"/>
    </row>
    <row r="568" spans="1:14" ht="13.2">
      <c r="A568" s="164" t="str">
        <f ca="1">IFERROR(__xludf.DUMMYFUNCTION("""COMPUTED_VALUE"""),"DARCO")</f>
        <v>DARCO</v>
      </c>
      <c r="B568" s="164" t="str">
        <f ca="1">IFERROR(__xludf.DUMMYFUNCTION("""COMPUTED_VALUE"""),"CENTRAL OFFICE")</f>
        <v>CENTRAL OFFICE</v>
      </c>
      <c r="C568" s="164" t="str">
        <f ca="1">IFERROR(__xludf.DUMMYFUNCTION("""COMPUTED_VALUE"""),"Desktop Computer – (MSI PRO DP180)")</f>
        <v>Desktop Computer – (MSI PRO DP180)</v>
      </c>
      <c r="D568" s="164"/>
      <c r="E568" s="164"/>
      <c r="F568" s="164" t="str">
        <f ca="1">IFERROR(__xludf.DUMMYFUNCTION("""COMPUTED_VALUE"""),"HVSPLIT-102-24-05-01-097")</f>
        <v>HVSPLIT-102-24-05-01-097</v>
      </c>
      <c r="G568" s="164"/>
      <c r="H568" s="164"/>
      <c r="I568" s="164"/>
      <c r="J568" s="164"/>
      <c r="K568" s="164"/>
      <c r="L568" s="164" t="str">
        <f ca="1">IFERROR(__xludf.DUMMYFUNCTION("""COMPUTED_VALUE"""),"AFASPO-FMAO-ADSERV")</f>
        <v>AFASPO-FMAO-ADSERV</v>
      </c>
      <c r="M568" s="164" t="str">
        <f ca="1">IFERROR(__xludf.DUMMYFUNCTION("""COMPUTED_VALUE"""),"SERVICEABLE")</f>
        <v>SERVICEABLE</v>
      </c>
      <c r="N568" s="164"/>
    </row>
    <row r="569" spans="1:14" ht="13.2">
      <c r="A569" s="164" t="str">
        <f ca="1">IFERROR(__xludf.DUMMYFUNCTION("""COMPUTED_VALUE"""),"DARCO")</f>
        <v>DARCO</v>
      </c>
      <c r="B569" s="164" t="str">
        <f ca="1">IFERROR(__xludf.DUMMYFUNCTION("""COMPUTED_VALUE"""),"CENTRAL OFFICE")</f>
        <v>CENTRAL OFFICE</v>
      </c>
      <c r="C569" s="164" t="str">
        <f ca="1">IFERROR(__xludf.DUMMYFUNCTION("""COMPUTED_VALUE"""),"Desktop Computer – (MSI PRO DP180)")</f>
        <v>Desktop Computer – (MSI PRO DP180)</v>
      </c>
      <c r="D569" s="164"/>
      <c r="E569" s="164"/>
      <c r="F569" s="164" t="str">
        <f ca="1">IFERROR(__xludf.DUMMYFUNCTION("""COMPUTED_VALUE"""),"HVSPLIT-102-24-05-01-098")</f>
        <v>HVSPLIT-102-24-05-01-098</v>
      </c>
      <c r="G569" s="164"/>
      <c r="H569" s="164"/>
      <c r="I569" s="164"/>
      <c r="J569" s="164"/>
      <c r="K569" s="164"/>
      <c r="L569" s="164" t="str">
        <f ca="1">IFERROR(__xludf.DUMMYFUNCTION("""COMPUTED_VALUE"""),"AFOO")</f>
        <v>AFOO</v>
      </c>
      <c r="M569" s="164" t="str">
        <f ca="1">IFERROR(__xludf.DUMMYFUNCTION("""COMPUTED_VALUE"""),"SERVICEABLE")</f>
        <v>SERVICEABLE</v>
      </c>
      <c r="N569" s="164"/>
    </row>
    <row r="570" spans="1:14" ht="13.2">
      <c r="A570" s="164" t="str">
        <f ca="1">IFERROR(__xludf.DUMMYFUNCTION("""COMPUTED_VALUE"""),"DARCO")</f>
        <v>DARCO</v>
      </c>
      <c r="B570" s="164" t="str">
        <f ca="1">IFERROR(__xludf.DUMMYFUNCTION("""COMPUTED_VALUE"""),"CENTRAL OFFICE")</f>
        <v>CENTRAL OFFICE</v>
      </c>
      <c r="C570" s="164" t="str">
        <f ca="1">IFERROR(__xludf.DUMMYFUNCTION("""COMPUTED_VALUE"""),"Desktop Computer – (MSI PRO DP180)")</f>
        <v>Desktop Computer – (MSI PRO DP180)</v>
      </c>
      <c r="D570" s="164"/>
      <c r="E570" s="164"/>
      <c r="F570" s="164" t="str">
        <f ca="1">IFERROR(__xludf.DUMMYFUNCTION("""COMPUTED_VALUE"""),"HVSPLIT-102-24-05-01-099")</f>
        <v>HVSPLIT-102-24-05-01-099</v>
      </c>
      <c r="G570" s="164"/>
      <c r="H570" s="164"/>
      <c r="I570" s="164"/>
      <c r="J570" s="164"/>
      <c r="K570" s="164"/>
      <c r="L570" s="164" t="str">
        <f ca="1">IFERROR(__xludf.DUMMYFUNCTION("""COMPUTED_VALUE"""),"AFOO")</f>
        <v>AFOO</v>
      </c>
      <c r="M570" s="164" t="str">
        <f ca="1">IFERROR(__xludf.DUMMYFUNCTION("""COMPUTED_VALUE"""),"SERVICEABLE")</f>
        <v>SERVICEABLE</v>
      </c>
      <c r="N570" s="164"/>
    </row>
    <row r="571" spans="1:14" ht="13.2">
      <c r="A571" s="164" t="str">
        <f ca="1">IFERROR(__xludf.DUMMYFUNCTION("""COMPUTED_VALUE"""),"DARCO")</f>
        <v>DARCO</v>
      </c>
      <c r="B571" s="164" t="str">
        <f ca="1">IFERROR(__xludf.DUMMYFUNCTION("""COMPUTED_VALUE"""),"CENTRAL OFFICE")</f>
        <v>CENTRAL OFFICE</v>
      </c>
      <c r="C571" s="164" t="str">
        <f ca="1">IFERROR(__xludf.DUMMYFUNCTION("""COMPUTED_VALUE"""),"Desktop Computer – (MSI PRO DP180)")</f>
        <v>Desktop Computer – (MSI PRO DP180)</v>
      </c>
      <c r="D571" s="164"/>
      <c r="E571" s="164"/>
      <c r="F571" s="164" t="str">
        <f ca="1">IFERROR(__xludf.DUMMYFUNCTION("""COMPUTED_VALUE"""),"HVSPLIT-102-24-05-01-100")</f>
        <v>HVSPLIT-102-24-05-01-100</v>
      </c>
      <c r="G571" s="164"/>
      <c r="H571" s="164"/>
      <c r="I571" s="164"/>
      <c r="J571" s="164"/>
      <c r="K571" s="164"/>
      <c r="L571" s="164" t="str">
        <f ca="1">IFERROR(__xludf.DUMMYFUNCTION("""COMPUTED_VALUE"""),"AFOO")</f>
        <v>AFOO</v>
      </c>
      <c r="M571" s="164" t="str">
        <f ca="1">IFERROR(__xludf.DUMMYFUNCTION("""COMPUTED_VALUE"""),"SERVICEABLE")</f>
        <v>SERVICEABLE</v>
      </c>
      <c r="N571" s="164"/>
    </row>
    <row r="572" spans="1:14" ht="13.2">
      <c r="A572" s="164" t="str">
        <f ca="1">IFERROR(__xludf.DUMMYFUNCTION("""COMPUTED_VALUE"""),"DARCO")</f>
        <v>DARCO</v>
      </c>
      <c r="B572" s="164" t="str">
        <f ca="1">IFERROR(__xludf.DUMMYFUNCTION("""COMPUTED_VALUE"""),"CENTRAL OFFICE")</f>
        <v>CENTRAL OFFICE</v>
      </c>
      <c r="C572" s="164" t="str">
        <f ca="1">IFERROR(__xludf.DUMMYFUNCTION("""COMPUTED_VALUE"""),"Desktop Computer – (MSI PRO DP180)")</f>
        <v>Desktop Computer – (MSI PRO DP180)</v>
      </c>
      <c r="D572" s="164"/>
      <c r="E572" s="164"/>
      <c r="F572" s="164" t="str">
        <f ca="1">IFERROR(__xludf.DUMMYFUNCTION("""COMPUTED_VALUE"""),"HVSPLIT-102-24-05-01-101")</f>
        <v>HVSPLIT-102-24-05-01-101</v>
      </c>
      <c r="G572" s="164"/>
      <c r="H572" s="164"/>
      <c r="I572" s="164"/>
      <c r="J572" s="164"/>
      <c r="K572" s="164"/>
      <c r="L572" s="164" t="str">
        <f ca="1">IFERROR(__xludf.DUMMYFUNCTION("""COMPUTED_VALUE"""),"AFOO")</f>
        <v>AFOO</v>
      </c>
      <c r="M572" s="164" t="str">
        <f ca="1">IFERROR(__xludf.DUMMYFUNCTION("""COMPUTED_VALUE"""),"SERVICEABLE")</f>
        <v>SERVICEABLE</v>
      </c>
      <c r="N572" s="164"/>
    </row>
    <row r="573" spans="1:14" ht="13.2">
      <c r="A573" s="164" t="str">
        <f ca="1">IFERROR(__xludf.DUMMYFUNCTION("""COMPUTED_VALUE"""),"DARCO")</f>
        <v>DARCO</v>
      </c>
      <c r="B573" s="164" t="str">
        <f ca="1">IFERROR(__xludf.DUMMYFUNCTION("""COMPUTED_VALUE"""),"CENTRAL OFFICE")</f>
        <v>CENTRAL OFFICE</v>
      </c>
      <c r="C573" s="164" t="str">
        <f ca="1">IFERROR(__xludf.DUMMYFUNCTION("""COMPUTED_VALUE"""),"Desktop Computer – (MSI PRO DP180)")</f>
        <v>Desktop Computer – (MSI PRO DP180)</v>
      </c>
      <c r="D573" s="164"/>
      <c r="E573" s="164"/>
      <c r="F573" s="164" t="str">
        <f ca="1">IFERROR(__xludf.DUMMYFUNCTION("""COMPUTED_VALUE"""),"HVSPLIT-102-24-05-01-102")</f>
        <v>HVSPLIT-102-24-05-01-102</v>
      </c>
      <c r="G573" s="164"/>
      <c r="H573" s="164"/>
      <c r="I573" s="164"/>
      <c r="J573" s="164"/>
      <c r="K573" s="164"/>
      <c r="L573" s="164" t="str">
        <f ca="1">IFERROR(__xludf.DUMMYFUNCTION("""COMPUTED_VALUE"""),"AFOO")</f>
        <v>AFOO</v>
      </c>
      <c r="M573" s="164" t="str">
        <f ca="1">IFERROR(__xludf.DUMMYFUNCTION("""COMPUTED_VALUE"""),"SERVICEABLE")</f>
        <v>SERVICEABLE</v>
      </c>
      <c r="N573" s="164"/>
    </row>
    <row r="574" spans="1:14" ht="13.2">
      <c r="A574" s="164" t="str">
        <f ca="1">IFERROR(__xludf.DUMMYFUNCTION("""COMPUTED_VALUE"""),"DARCO")</f>
        <v>DARCO</v>
      </c>
      <c r="B574" s="164" t="str">
        <f ca="1">IFERROR(__xludf.DUMMYFUNCTION("""COMPUTED_VALUE"""),"CENTRAL OFFICE")</f>
        <v>CENTRAL OFFICE</v>
      </c>
      <c r="C574" s="164" t="str">
        <f ca="1">IFERROR(__xludf.DUMMYFUNCTION("""COMPUTED_VALUE"""),"Desktop Computer – (MSI PRO DP180)")</f>
        <v>Desktop Computer – (MSI PRO DP180)</v>
      </c>
      <c r="D574" s="164"/>
      <c r="E574" s="164"/>
      <c r="F574" s="164" t="str">
        <f ca="1">IFERROR(__xludf.DUMMYFUNCTION("""COMPUTED_VALUE"""),"HVSPLIT-102-24-05-01-103")</f>
        <v>HVSPLIT-102-24-05-01-103</v>
      </c>
      <c r="G574" s="164"/>
      <c r="H574" s="164"/>
      <c r="I574" s="164"/>
      <c r="J574" s="164"/>
      <c r="K574" s="164"/>
      <c r="L574" s="164" t="str">
        <f ca="1">IFERROR(__xludf.DUMMYFUNCTION("""COMPUTED_VALUE"""),"ALAO IN ALI-ALA")</f>
        <v>ALAO IN ALI-ALA</v>
      </c>
      <c r="M574" s="164" t="str">
        <f ca="1">IFERROR(__xludf.DUMMYFUNCTION("""COMPUTED_VALUE"""),"SERVICEABLE")</f>
        <v>SERVICEABLE</v>
      </c>
      <c r="N574" s="164"/>
    </row>
    <row r="575" spans="1:14" ht="13.2">
      <c r="A575" s="164" t="str">
        <f ca="1">IFERROR(__xludf.DUMMYFUNCTION("""COMPUTED_VALUE"""),"DARCO")</f>
        <v>DARCO</v>
      </c>
      <c r="B575" s="164" t="str">
        <f ca="1">IFERROR(__xludf.DUMMYFUNCTION("""COMPUTED_VALUE"""),"CENTRAL OFFICE")</f>
        <v>CENTRAL OFFICE</v>
      </c>
      <c r="C575" s="164" t="str">
        <f ca="1">IFERROR(__xludf.DUMMYFUNCTION("""COMPUTED_VALUE"""),"Desktop Computer – (MSI PRO DP180)")</f>
        <v>Desktop Computer – (MSI PRO DP180)</v>
      </c>
      <c r="D575" s="164"/>
      <c r="E575" s="164"/>
      <c r="F575" s="164" t="str">
        <f ca="1">IFERROR(__xludf.DUMMYFUNCTION("""COMPUTED_VALUE"""),"HVSPLIT-102-24-05-01-104")</f>
        <v>HVSPLIT-102-24-05-01-104</v>
      </c>
      <c r="G575" s="164"/>
      <c r="H575" s="164"/>
      <c r="I575" s="164"/>
      <c r="J575" s="164"/>
      <c r="K575" s="164"/>
      <c r="L575" s="164" t="str">
        <f ca="1">IFERROR(__xludf.DUMMYFUNCTION("""COMPUTED_VALUE"""),"ALAO IN ALI-ALA")</f>
        <v>ALAO IN ALI-ALA</v>
      </c>
      <c r="M575" s="164" t="str">
        <f ca="1">IFERROR(__xludf.DUMMYFUNCTION("""COMPUTED_VALUE"""),"SERVICEABLE")</f>
        <v>SERVICEABLE</v>
      </c>
      <c r="N575" s="164"/>
    </row>
    <row r="576" spans="1:14" ht="13.2">
      <c r="A576" s="164" t="str">
        <f ca="1">IFERROR(__xludf.DUMMYFUNCTION("""COMPUTED_VALUE"""),"DARCO")</f>
        <v>DARCO</v>
      </c>
      <c r="B576" s="164" t="str">
        <f ca="1">IFERROR(__xludf.DUMMYFUNCTION("""COMPUTED_VALUE"""),"CENTRAL OFFICE")</f>
        <v>CENTRAL OFFICE</v>
      </c>
      <c r="C576" s="164" t="str">
        <f ca="1">IFERROR(__xludf.DUMMYFUNCTION("""COMPUTED_VALUE"""),"Desktop Computer – (MSI PRO DP180)")</f>
        <v>Desktop Computer – (MSI PRO DP180)</v>
      </c>
      <c r="D576" s="164"/>
      <c r="E576" s="164"/>
      <c r="F576" s="164" t="str">
        <f ca="1">IFERROR(__xludf.DUMMYFUNCTION("""COMPUTED_VALUE"""),"HVSPLIT-102-24-05-01-105")</f>
        <v>HVSPLIT-102-24-05-01-105</v>
      </c>
      <c r="G576" s="164"/>
      <c r="H576" s="164"/>
      <c r="I576" s="164"/>
      <c r="J576" s="164"/>
      <c r="K576" s="164"/>
      <c r="L576" s="164" t="str">
        <f ca="1">IFERROR(__xludf.DUMMYFUNCTION("""COMPUTED_VALUE"""),"ALAO IN ALI-ALA")</f>
        <v>ALAO IN ALI-ALA</v>
      </c>
      <c r="M576" s="164" t="str">
        <f ca="1">IFERROR(__xludf.DUMMYFUNCTION("""COMPUTED_VALUE"""),"SERVICEABLE")</f>
        <v>SERVICEABLE</v>
      </c>
      <c r="N576" s="164"/>
    </row>
    <row r="577" spans="1:14" ht="13.2">
      <c r="A577" s="164" t="str">
        <f ca="1">IFERROR(__xludf.DUMMYFUNCTION("""COMPUTED_VALUE"""),"DARCO")</f>
        <v>DARCO</v>
      </c>
      <c r="B577" s="164" t="str">
        <f ca="1">IFERROR(__xludf.DUMMYFUNCTION("""COMPUTED_VALUE"""),"CENTRAL OFFICE")</f>
        <v>CENTRAL OFFICE</v>
      </c>
      <c r="C577" s="164" t="str">
        <f ca="1">IFERROR(__xludf.DUMMYFUNCTION("""COMPUTED_VALUE"""),"Desktop Computer – (MSI PRO DP180)")</f>
        <v>Desktop Computer – (MSI PRO DP180)</v>
      </c>
      <c r="D577" s="164"/>
      <c r="E577" s="164"/>
      <c r="F577" s="164" t="str">
        <f ca="1">IFERROR(__xludf.DUMMYFUNCTION("""COMPUTED_VALUE"""),"HVSPLIT-102-24-05-01-106")</f>
        <v>HVSPLIT-102-24-05-01-106</v>
      </c>
      <c r="G577" s="164"/>
      <c r="H577" s="164"/>
      <c r="I577" s="164"/>
      <c r="J577" s="164"/>
      <c r="K577" s="164"/>
      <c r="L577" s="164" t="str">
        <f ca="1">IFERROR(__xludf.DUMMYFUNCTION("""COMPUTED_VALUE"""),"ALAO IN ALI-ALA")</f>
        <v>ALAO IN ALI-ALA</v>
      </c>
      <c r="M577" s="164" t="str">
        <f ca="1">IFERROR(__xludf.DUMMYFUNCTION("""COMPUTED_VALUE"""),"SERVICEABLE")</f>
        <v>SERVICEABLE</v>
      </c>
      <c r="N577" s="164"/>
    </row>
    <row r="578" spans="1:14" ht="13.2">
      <c r="A578" s="164" t="str">
        <f ca="1">IFERROR(__xludf.DUMMYFUNCTION("""COMPUTED_VALUE"""),"DARCO")</f>
        <v>DARCO</v>
      </c>
      <c r="B578" s="164" t="str">
        <f ca="1">IFERROR(__xludf.DUMMYFUNCTION("""COMPUTED_VALUE"""),"CENTRAL OFFICE")</f>
        <v>CENTRAL OFFICE</v>
      </c>
      <c r="C578" s="164" t="str">
        <f ca="1">IFERROR(__xludf.DUMMYFUNCTION("""COMPUTED_VALUE"""),"Desktop Computer – (MSI PRO DP180)")</f>
        <v>Desktop Computer – (MSI PRO DP180)</v>
      </c>
      <c r="D578" s="164"/>
      <c r="E578" s="164"/>
      <c r="F578" s="164" t="str">
        <f ca="1">IFERROR(__xludf.DUMMYFUNCTION("""COMPUTED_VALUE"""),"HVSPLIT-102-24-05-01-107")</f>
        <v>HVSPLIT-102-24-05-01-107</v>
      </c>
      <c r="G578" s="164"/>
      <c r="H578" s="164"/>
      <c r="I578" s="164"/>
      <c r="J578" s="164"/>
      <c r="K578" s="164"/>
      <c r="L578" s="164" t="str">
        <f ca="1">IFERROR(__xludf.DUMMYFUNCTION("""COMPUTED_VALUE"""),"ALAO IN ALI-ALA")</f>
        <v>ALAO IN ALI-ALA</v>
      </c>
      <c r="M578" s="164" t="str">
        <f ca="1">IFERROR(__xludf.DUMMYFUNCTION("""COMPUTED_VALUE"""),"SERVICEABLE")</f>
        <v>SERVICEABLE</v>
      </c>
      <c r="N578" s="164"/>
    </row>
    <row r="579" spans="1:14" ht="13.2">
      <c r="A579" s="164" t="str">
        <f ca="1">IFERROR(__xludf.DUMMYFUNCTION("""COMPUTED_VALUE"""),"DARCO")</f>
        <v>DARCO</v>
      </c>
      <c r="B579" s="164" t="str">
        <f ca="1">IFERROR(__xludf.DUMMYFUNCTION("""COMPUTED_VALUE"""),"CENTRAL OFFICE")</f>
        <v>CENTRAL OFFICE</v>
      </c>
      <c r="C579" s="164" t="str">
        <f ca="1">IFERROR(__xludf.DUMMYFUNCTION("""COMPUTED_VALUE"""),"Desktop Computer – (MSI PRO DP180)")</f>
        <v>Desktop Computer – (MSI PRO DP180)</v>
      </c>
      <c r="D579" s="164"/>
      <c r="E579" s="164"/>
      <c r="F579" s="164" t="str">
        <f ca="1">IFERROR(__xludf.DUMMYFUNCTION("""COMPUTED_VALUE"""),"HVSPLIT-102-24-05-01-108")</f>
        <v>HVSPLIT-102-24-05-01-108</v>
      </c>
      <c r="G579" s="164"/>
      <c r="H579" s="164"/>
      <c r="I579" s="164"/>
      <c r="J579" s="164"/>
      <c r="K579" s="164"/>
      <c r="L579" s="164" t="str">
        <f ca="1">IFERROR(__xludf.DUMMYFUNCTION("""COMPUTED_VALUE"""),"ALAO IN ALI-ALA")</f>
        <v>ALAO IN ALI-ALA</v>
      </c>
      <c r="M579" s="164" t="str">
        <f ca="1">IFERROR(__xludf.DUMMYFUNCTION("""COMPUTED_VALUE"""),"SERVICEABLE")</f>
        <v>SERVICEABLE</v>
      </c>
      <c r="N579" s="164"/>
    </row>
    <row r="580" spans="1:14" ht="13.2">
      <c r="A580" s="164" t="str">
        <f ca="1">IFERROR(__xludf.DUMMYFUNCTION("""COMPUTED_VALUE"""),"DARCO")</f>
        <v>DARCO</v>
      </c>
      <c r="B580" s="164" t="str">
        <f ca="1">IFERROR(__xludf.DUMMYFUNCTION("""COMPUTED_VALUE"""),"CENTRAL OFFICE")</f>
        <v>CENTRAL OFFICE</v>
      </c>
      <c r="C580" s="164" t="str">
        <f ca="1">IFERROR(__xludf.DUMMYFUNCTION("""COMPUTED_VALUE"""),"Desktop Computer – (MSI PRO DP180)")</f>
        <v>Desktop Computer – (MSI PRO DP180)</v>
      </c>
      <c r="D580" s="164"/>
      <c r="E580" s="164"/>
      <c r="F580" s="164" t="str">
        <f ca="1">IFERROR(__xludf.DUMMYFUNCTION("""COMPUTED_VALUE"""),"HVSPLIT-102-24-05-01-109")</f>
        <v>HVSPLIT-102-24-05-01-109</v>
      </c>
      <c r="G580" s="164"/>
      <c r="H580" s="164"/>
      <c r="I580" s="164"/>
      <c r="J580" s="164"/>
      <c r="K580" s="164"/>
      <c r="L580" s="164" t="str">
        <f ca="1">IFERROR(__xludf.DUMMYFUNCTION("""COMPUTED_VALUE"""),"ALAO IN ALI-ALA")</f>
        <v>ALAO IN ALI-ALA</v>
      </c>
      <c r="M580" s="164" t="str">
        <f ca="1">IFERROR(__xludf.DUMMYFUNCTION("""COMPUTED_VALUE"""),"SERVICEABLE")</f>
        <v>SERVICEABLE</v>
      </c>
      <c r="N580" s="164"/>
    </row>
    <row r="581" spans="1:14" ht="13.2">
      <c r="A581" s="164" t="str">
        <f ca="1">IFERROR(__xludf.DUMMYFUNCTION("""COMPUTED_VALUE"""),"DARCO")</f>
        <v>DARCO</v>
      </c>
      <c r="B581" s="164" t="str">
        <f ca="1">IFERROR(__xludf.DUMMYFUNCTION("""COMPUTED_VALUE"""),"CENTRAL OFFICE")</f>
        <v>CENTRAL OFFICE</v>
      </c>
      <c r="C581" s="164" t="str">
        <f ca="1">IFERROR(__xludf.DUMMYFUNCTION("""COMPUTED_VALUE"""),"Desktop Computer – (MSI PRO DP180)")</f>
        <v>Desktop Computer – (MSI PRO DP180)</v>
      </c>
      <c r="D581" s="164"/>
      <c r="E581" s="164"/>
      <c r="F581" s="164" t="str">
        <f ca="1">IFERROR(__xludf.DUMMYFUNCTION("""COMPUTED_VALUE"""),"HVSPLIT-102-24-05-01-110")</f>
        <v>HVSPLIT-102-24-05-01-110</v>
      </c>
      <c r="G581" s="164"/>
      <c r="H581" s="164"/>
      <c r="I581" s="164"/>
      <c r="J581" s="164"/>
      <c r="K581" s="164"/>
      <c r="L581" s="164" t="str">
        <f ca="1">IFERROR(__xludf.DUMMYFUNCTION("""COMPUTED_VALUE"""),"ALAO IN ALI-ALA")</f>
        <v>ALAO IN ALI-ALA</v>
      </c>
      <c r="M581" s="164" t="str">
        <f ca="1">IFERROR(__xludf.DUMMYFUNCTION("""COMPUTED_VALUE"""),"SERVICEABLE")</f>
        <v>SERVICEABLE</v>
      </c>
      <c r="N581" s="164"/>
    </row>
    <row r="582" spans="1:14" ht="13.2">
      <c r="A582" s="164" t="str">
        <f ca="1">IFERROR(__xludf.DUMMYFUNCTION("""COMPUTED_VALUE"""),"DARCO")</f>
        <v>DARCO</v>
      </c>
      <c r="B582" s="164" t="str">
        <f ca="1">IFERROR(__xludf.DUMMYFUNCTION("""COMPUTED_VALUE"""),"CENTRAL OFFICE")</f>
        <v>CENTRAL OFFICE</v>
      </c>
      <c r="C582" s="164" t="str">
        <f ca="1">IFERROR(__xludf.DUMMYFUNCTION("""COMPUTED_VALUE"""),"Desktop Computer – (MSI PRO DP180)")</f>
        <v>Desktop Computer – (MSI PRO DP180)</v>
      </c>
      <c r="D582" s="164"/>
      <c r="E582" s="164"/>
      <c r="F582" s="164" t="str">
        <f ca="1">IFERROR(__xludf.DUMMYFUNCTION("""COMPUTED_VALUE"""),"HVSPLIT-102-24-05-01-111")</f>
        <v>HVSPLIT-102-24-05-01-111</v>
      </c>
      <c r="G582" s="164"/>
      <c r="H582" s="164"/>
      <c r="I582" s="164"/>
      <c r="J582" s="164"/>
      <c r="K582" s="164"/>
      <c r="L582" s="164" t="str">
        <f ca="1">IFERROR(__xludf.DUMMYFUNCTION("""COMPUTED_VALUE"""),"ALAO IN ALI-ALA")</f>
        <v>ALAO IN ALI-ALA</v>
      </c>
      <c r="M582" s="164" t="str">
        <f ca="1">IFERROR(__xludf.DUMMYFUNCTION("""COMPUTED_VALUE"""),"SERVICEABLE")</f>
        <v>SERVICEABLE</v>
      </c>
      <c r="N582" s="164"/>
    </row>
    <row r="583" spans="1:14" ht="13.2">
      <c r="A583" s="164" t="str">
        <f ca="1">IFERROR(__xludf.DUMMYFUNCTION("""COMPUTED_VALUE"""),"DARCO")</f>
        <v>DARCO</v>
      </c>
      <c r="B583" s="164" t="str">
        <f ca="1">IFERROR(__xludf.DUMMYFUNCTION("""COMPUTED_VALUE"""),"CENTRAL OFFICE")</f>
        <v>CENTRAL OFFICE</v>
      </c>
      <c r="C583" s="164" t="str">
        <f ca="1">IFERROR(__xludf.DUMMYFUNCTION("""COMPUTED_VALUE"""),"Desktop Computer – (MSI PRO DP180)")</f>
        <v>Desktop Computer – (MSI PRO DP180)</v>
      </c>
      <c r="D583" s="164"/>
      <c r="E583" s="164"/>
      <c r="F583" s="164" t="str">
        <f ca="1">IFERROR(__xludf.DUMMYFUNCTION("""COMPUTED_VALUE"""),"HVSPLIT-102-24-05-01-112")</f>
        <v>HVSPLIT-102-24-05-01-112</v>
      </c>
      <c r="G583" s="164"/>
      <c r="H583" s="164"/>
      <c r="I583" s="164"/>
      <c r="J583" s="164"/>
      <c r="K583" s="164"/>
      <c r="L583" s="164" t="str">
        <f ca="1">IFERROR(__xludf.DUMMYFUNCTION("""COMPUTED_VALUE"""),"ALAO IN ALI-ALA")</f>
        <v>ALAO IN ALI-ALA</v>
      </c>
      <c r="M583" s="164" t="str">
        <f ca="1">IFERROR(__xludf.DUMMYFUNCTION("""COMPUTED_VALUE"""),"SERVICEABLE")</f>
        <v>SERVICEABLE</v>
      </c>
      <c r="N583" s="164"/>
    </row>
    <row r="584" spans="1:14" ht="13.2">
      <c r="A584" s="164" t="str">
        <f ca="1">IFERROR(__xludf.DUMMYFUNCTION("""COMPUTED_VALUE"""),"DARCO")</f>
        <v>DARCO</v>
      </c>
      <c r="B584" s="164" t="str">
        <f ca="1">IFERROR(__xludf.DUMMYFUNCTION("""COMPUTED_VALUE"""),"CENTRAL OFFICE")</f>
        <v>CENTRAL OFFICE</v>
      </c>
      <c r="C584" s="164" t="str">
        <f ca="1">IFERROR(__xludf.DUMMYFUNCTION("""COMPUTED_VALUE"""),"Desktop Computer – (MSI PRO DP180)")</f>
        <v>Desktop Computer – (MSI PRO DP180)</v>
      </c>
      <c r="D584" s="164"/>
      <c r="E584" s="164"/>
      <c r="F584" s="164" t="str">
        <f ca="1">IFERROR(__xludf.DUMMYFUNCTION("""COMPUTED_VALUE"""),"HVSPLIT-102-24-05-01-113")</f>
        <v>HVSPLIT-102-24-05-01-113</v>
      </c>
      <c r="G584" s="164"/>
      <c r="H584" s="164"/>
      <c r="I584" s="164"/>
      <c r="J584" s="164"/>
      <c r="K584" s="164"/>
      <c r="L584" s="164" t="str">
        <f ca="1">IFERROR(__xludf.DUMMYFUNCTION("""COMPUTED_VALUE"""),"ALAO DARAB")</f>
        <v>ALAO DARAB</v>
      </c>
      <c r="M584" s="164" t="str">
        <f ca="1">IFERROR(__xludf.DUMMYFUNCTION("""COMPUTED_VALUE"""),"SERVICEABLE")</f>
        <v>SERVICEABLE</v>
      </c>
      <c r="N584" s="164"/>
    </row>
    <row r="585" spans="1:14" ht="13.2">
      <c r="A585" s="164" t="str">
        <f ca="1">IFERROR(__xludf.DUMMYFUNCTION("""COMPUTED_VALUE"""),"DARCO")</f>
        <v>DARCO</v>
      </c>
      <c r="B585" s="164" t="str">
        <f ca="1">IFERROR(__xludf.DUMMYFUNCTION("""COMPUTED_VALUE"""),"CENTRAL OFFICE")</f>
        <v>CENTRAL OFFICE</v>
      </c>
      <c r="C585" s="164" t="str">
        <f ca="1">IFERROR(__xludf.DUMMYFUNCTION("""COMPUTED_VALUE"""),"Desktop Computer – (MSI PRO DP180)")</f>
        <v>Desktop Computer – (MSI PRO DP180)</v>
      </c>
      <c r="D585" s="164"/>
      <c r="E585" s="164"/>
      <c r="F585" s="164" t="str">
        <f ca="1">IFERROR(__xludf.DUMMYFUNCTION("""COMPUTED_VALUE"""),"HVSPLIT-102-24-05-01-114")</f>
        <v>HVSPLIT-102-24-05-01-114</v>
      </c>
      <c r="G585" s="164"/>
      <c r="H585" s="164"/>
      <c r="I585" s="164"/>
      <c r="J585" s="164"/>
      <c r="K585" s="164"/>
      <c r="L585" s="164" t="str">
        <f ca="1">IFERROR(__xludf.DUMMYFUNCTION("""COMPUTED_VALUE"""),"ALAO DARAB")</f>
        <v>ALAO DARAB</v>
      </c>
      <c r="M585" s="164" t="str">
        <f ca="1">IFERROR(__xludf.DUMMYFUNCTION("""COMPUTED_VALUE"""),"SERVICEABLE")</f>
        <v>SERVICEABLE</v>
      </c>
      <c r="N585" s="164"/>
    </row>
    <row r="586" spans="1:14" ht="13.2">
      <c r="A586" s="164" t="str">
        <f ca="1">IFERROR(__xludf.DUMMYFUNCTION("""COMPUTED_VALUE"""),"DARCO")</f>
        <v>DARCO</v>
      </c>
      <c r="B586" s="164" t="str">
        <f ca="1">IFERROR(__xludf.DUMMYFUNCTION("""COMPUTED_VALUE"""),"CENTRAL OFFICE")</f>
        <v>CENTRAL OFFICE</v>
      </c>
      <c r="C586" s="164" t="str">
        <f ca="1">IFERROR(__xludf.DUMMYFUNCTION("""COMPUTED_VALUE"""),"Desktop Computer – (MSI PRO DP180)")</f>
        <v>Desktop Computer – (MSI PRO DP180)</v>
      </c>
      <c r="D586" s="164"/>
      <c r="E586" s="164"/>
      <c r="F586" s="164" t="str">
        <f ca="1">IFERROR(__xludf.DUMMYFUNCTION("""COMPUTED_VALUE"""),"HVSPLIT-102-24-05-01-115")</f>
        <v>HVSPLIT-102-24-05-01-115</v>
      </c>
      <c r="G586" s="164"/>
      <c r="H586" s="164"/>
      <c r="I586" s="164"/>
      <c r="J586" s="164"/>
      <c r="K586" s="164"/>
      <c r="L586" s="164" t="str">
        <f ca="1">IFERROR(__xludf.DUMMYFUNCTION("""COMPUTED_VALUE"""),"AFMAO HRO AND ARCDS")</f>
        <v>AFMAO HRO AND ARCDS</v>
      </c>
      <c r="M586" s="164" t="str">
        <f ca="1">IFERROR(__xludf.DUMMYFUNCTION("""COMPUTED_VALUE"""),"SERVICEABLE")</f>
        <v>SERVICEABLE</v>
      </c>
      <c r="N586" s="164"/>
    </row>
    <row r="587" spans="1:14" ht="13.2">
      <c r="A587" s="164" t="str">
        <f ca="1">IFERROR(__xludf.DUMMYFUNCTION("""COMPUTED_VALUE"""),"DARCO")</f>
        <v>DARCO</v>
      </c>
      <c r="B587" s="164" t="str">
        <f ca="1">IFERROR(__xludf.DUMMYFUNCTION("""COMPUTED_VALUE"""),"CENTRAL OFFICE")</f>
        <v>CENTRAL OFFICE</v>
      </c>
      <c r="C587" s="164" t="str">
        <f ca="1">IFERROR(__xludf.DUMMYFUNCTION("""COMPUTED_VALUE"""),"Desktop Computer – (MSI PRO DP180)")</f>
        <v>Desktop Computer – (MSI PRO DP180)</v>
      </c>
      <c r="D587" s="164"/>
      <c r="E587" s="164"/>
      <c r="F587" s="164" t="str">
        <f ca="1">IFERROR(__xludf.DUMMYFUNCTION("""COMPUTED_VALUE"""),"HVSPLIT-102-24-05-01-116")</f>
        <v>HVSPLIT-102-24-05-01-116</v>
      </c>
      <c r="G587" s="164"/>
      <c r="H587" s="164"/>
      <c r="I587" s="164"/>
      <c r="J587" s="164"/>
      <c r="K587" s="164"/>
      <c r="L587" s="164" t="str">
        <f ca="1">IFERROR(__xludf.DUMMYFUNCTION("""COMPUTED_VALUE"""),"AFMAO HRO AND ARCDS")</f>
        <v>AFMAO HRO AND ARCDS</v>
      </c>
      <c r="M587" s="164" t="str">
        <f ca="1">IFERROR(__xludf.DUMMYFUNCTION("""COMPUTED_VALUE"""),"SERVICEABLE")</f>
        <v>SERVICEABLE</v>
      </c>
      <c r="N587" s="164"/>
    </row>
    <row r="588" spans="1:14" ht="13.2">
      <c r="A588" s="164" t="str">
        <f ca="1">IFERROR(__xludf.DUMMYFUNCTION("""COMPUTED_VALUE"""),"DARCO")</f>
        <v>DARCO</v>
      </c>
      <c r="B588" s="164" t="str">
        <f ca="1">IFERROR(__xludf.DUMMYFUNCTION("""COMPUTED_VALUE"""),"CENTRAL OFFICE")</f>
        <v>CENTRAL OFFICE</v>
      </c>
      <c r="C588" s="164" t="str">
        <f ca="1">IFERROR(__xludf.DUMMYFUNCTION("""COMPUTED_VALUE"""),"Desktop Computer – (MSI PRO DP180)")</f>
        <v>Desktop Computer – (MSI PRO DP180)</v>
      </c>
      <c r="D588" s="164"/>
      <c r="E588" s="164"/>
      <c r="F588" s="164" t="str">
        <f ca="1">IFERROR(__xludf.DUMMYFUNCTION("""COMPUTED_VALUE"""),"HVSPLIT-102-24-05-01-117")</f>
        <v>HVSPLIT-102-24-05-01-117</v>
      </c>
      <c r="G588" s="164"/>
      <c r="H588" s="164"/>
      <c r="I588" s="164"/>
      <c r="J588" s="164"/>
      <c r="K588" s="164"/>
      <c r="L588" s="164" t="str">
        <f ca="1">IFERROR(__xludf.DUMMYFUNCTION("""COMPUTED_VALUE"""),"AFMAO HRO AND ARCDS")</f>
        <v>AFMAO HRO AND ARCDS</v>
      </c>
      <c r="M588" s="164" t="str">
        <f ca="1">IFERROR(__xludf.DUMMYFUNCTION("""COMPUTED_VALUE"""),"SERVICEABLE")</f>
        <v>SERVICEABLE</v>
      </c>
      <c r="N588" s="164"/>
    </row>
    <row r="589" spans="1:14" ht="13.2">
      <c r="A589" s="164" t="str">
        <f ca="1">IFERROR(__xludf.DUMMYFUNCTION("""COMPUTED_VALUE"""),"DARCO")</f>
        <v>DARCO</v>
      </c>
      <c r="B589" s="164" t="str">
        <f ca="1">IFERROR(__xludf.DUMMYFUNCTION("""COMPUTED_VALUE"""),"CENTRAL OFFICE")</f>
        <v>CENTRAL OFFICE</v>
      </c>
      <c r="C589" s="164" t="str">
        <f ca="1">IFERROR(__xludf.DUMMYFUNCTION("""COMPUTED_VALUE"""),"Desktop Computer – (MSI PRO DP180)")</f>
        <v>Desktop Computer – (MSI PRO DP180)</v>
      </c>
      <c r="D589" s="164"/>
      <c r="E589" s="164"/>
      <c r="F589" s="164" t="str">
        <f ca="1">IFERROR(__xludf.DUMMYFUNCTION("""COMPUTED_VALUE"""),"HVSPLIT-102-24-05-01-118")</f>
        <v>HVSPLIT-102-24-05-01-118</v>
      </c>
      <c r="G589" s="164"/>
      <c r="H589" s="164"/>
      <c r="I589" s="164"/>
      <c r="J589" s="164"/>
      <c r="K589" s="164"/>
      <c r="L589" s="164" t="str">
        <f ca="1">IFERROR(__xludf.DUMMYFUNCTION("""COMPUTED_VALUE"""),"ASEC DARAB - ATTY GALIT")</f>
        <v>ASEC DARAB - ATTY GALIT</v>
      </c>
      <c r="M589" s="164" t="str">
        <f ca="1">IFERROR(__xludf.DUMMYFUNCTION("""COMPUTED_VALUE"""),"SERVICEABLE")</f>
        <v>SERVICEABLE</v>
      </c>
      <c r="N589" s="164"/>
    </row>
    <row r="590" spans="1:14" ht="13.2">
      <c r="A590" s="164" t="str">
        <f ca="1">IFERROR(__xludf.DUMMYFUNCTION("""COMPUTED_VALUE"""),"DARCO")</f>
        <v>DARCO</v>
      </c>
      <c r="B590" s="164" t="str">
        <f ca="1">IFERROR(__xludf.DUMMYFUNCTION("""COMPUTED_VALUE"""),"CENTRAL OFFICE")</f>
        <v>CENTRAL OFFICE</v>
      </c>
      <c r="C590" s="164" t="str">
        <f ca="1">IFERROR(__xludf.DUMMYFUNCTION("""COMPUTED_VALUE"""),"Desktop Computer – (MSI PRO DP180)")</f>
        <v>Desktop Computer – (MSI PRO DP180)</v>
      </c>
      <c r="D590" s="164"/>
      <c r="E590" s="164"/>
      <c r="F590" s="164" t="str">
        <f ca="1">IFERROR(__xludf.DUMMYFUNCTION("""COMPUTED_VALUE"""),"HVSPLIT-102-24-05-01-119")</f>
        <v>HVSPLIT-102-24-05-01-119</v>
      </c>
      <c r="G590" s="164"/>
      <c r="H590" s="164"/>
      <c r="I590" s="164"/>
      <c r="J590" s="164"/>
      <c r="K590" s="164"/>
      <c r="L590" s="164" t="str">
        <f ca="1">IFERROR(__xludf.DUMMYFUNCTION("""COMPUTED_VALUE"""),"ASEC DARAB - ATTY GALIT")</f>
        <v>ASEC DARAB - ATTY GALIT</v>
      </c>
      <c r="M590" s="164" t="str">
        <f ca="1">IFERROR(__xludf.DUMMYFUNCTION("""COMPUTED_VALUE"""),"SERVICEABLE")</f>
        <v>SERVICEABLE</v>
      </c>
      <c r="N590" s="164"/>
    </row>
    <row r="591" spans="1:14" ht="13.2">
      <c r="A591" s="164" t="str">
        <f ca="1">IFERROR(__xludf.DUMMYFUNCTION("""COMPUTED_VALUE"""),"DARCO")</f>
        <v>DARCO</v>
      </c>
      <c r="B591" s="164" t="str">
        <f ca="1">IFERROR(__xludf.DUMMYFUNCTION("""COMPUTED_VALUE"""),"CENTRAL OFFICE")</f>
        <v>CENTRAL OFFICE</v>
      </c>
      <c r="C591" s="164" t="str">
        <f ca="1">IFERROR(__xludf.DUMMYFUNCTION("""COMPUTED_VALUE"""),"Desktop Computer – (MSI PRO DP180)")</f>
        <v>Desktop Computer – (MSI PRO DP180)</v>
      </c>
      <c r="D591" s="164"/>
      <c r="E591" s="164"/>
      <c r="F591" s="164" t="str">
        <f ca="1">IFERROR(__xludf.DUMMYFUNCTION("""COMPUTED_VALUE"""),"HVSPLIT-102-24-05-01-120")</f>
        <v>HVSPLIT-102-24-05-01-120</v>
      </c>
      <c r="G591" s="164"/>
      <c r="H591" s="164"/>
      <c r="I591" s="164"/>
      <c r="J591" s="164"/>
      <c r="K591" s="164"/>
      <c r="L591" s="164" t="str">
        <f ca="1">IFERROR(__xludf.DUMMYFUNCTION("""COMPUTED_VALUE"""),"ASEC DARAB - ATTY GALIT")</f>
        <v>ASEC DARAB - ATTY GALIT</v>
      </c>
      <c r="M591" s="164" t="str">
        <f ca="1">IFERROR(__xludf.DUMMYFUNCTION("""COMPUTED_VALUE"""),"SERVICEABLE")</f>
        <v>SERVICEABLE</v>
      </c>
      <c r="N591" s="164"/>
    </row>
    <row r="592" spans="1:14" ht="13.2">
      <c r="A592" s="164" t="str">
        <f ca="1">IFERROR(__xludf.DUMMYFUNCTION("""COMPUTED_VALUE"""),"DARCO")</f>
        <v>DARCO</v>
      </c>
      <c r="B592" s="164" t="str">
        <f ca="1">IFERROR(__xludf.DUMMYFUNCTION("""COMPUTED_VALUE"""),"CENTRAL OFFICE")</f>
        <v>CENTRAL OFFICE</v>
      </c>
      <c r="C592" s="164" t="str">
        <f ca="1">IFERROR(__xludf.DUMMYFUNCTION("""COMPUTED_VALUE"""),"Desktop Computer – (MSI PRO DP180)")</f>
        <v>Desktop Computer – (MSI PRO DP180)</v>
      </c>
      <c r="D592" s="164"/>
      <c r="E592" s="164"/>
      <c r="F592" s="164" t="str">
        <f ca="1">IFERROR(__xludf.DUMMYFUNCTION("""COMPUTED_VALUE"""),"HVSPLIT-102-24-05-01-121")</f>
        <v>HVSPLIT-102-24-05-01-121</v>
      </c>
      <c r="G592" s="164"/>
      <c r="H592" s="164"/>
      <c r="I592" s="164"/>
      <c r="J592" s="164"/>
      <c r="K592" s="164"/>
      <c r="L592" s="164" t="str">
        <f ca="1">IFERROR(__xludf.DUMMYFUNCTION("""COMPUTED_VALUE"""),"ASEC DARAB - ATTY COLETO")</f>
        <v>ASEC DARAB - ATTY COLETO</v>
      </c>
      <c r="M592" s="164" t="str">
        <f ca="1">IFERROR(__xludf.DUMMYFUNCTION("""COMPUTED_VALUE"""),"SERVICEABLE")</f>
        <v>SERVICEABLE</v>
      </c>
      <c r="N592" s="164"/>
    </row>
    <row r="593" spans="1:14" ht="13.2">
      <c r="A593" s="164" t="str">
        <f ca="1">IFERROR(__xludf.DUMMYFUNCTION("""COMPUTED_VALUE"""),"DARCO")</f>
        <v>DARCO</v>
      </c>
      <c r="B593" s="164" t="str">
        <f ca="1">IFERROR(__xludf.DUMMYFUNCTION("""COMPUTED_VALUE"""),"CENTRAL OFFICE")</f>
        <v>CENTRAL OFFICE</v>
      </c>
      <c r="C593" s="164" t="str">
        <f ca="1">IFERROR(__xludf.DUMMYFUNCTION("""COMPUTED_VALUE"""),"Desktop Computer – (MSI PRO DP180)")</f>
        <v>Desktop Computer – (MSI PRO DP180)</v>
      </c>
      <c r="D593" s="164"/>
      <c r="E593" s="164"/>
      <c r="F593" s="164" t="str">
        <f ca="1">IFERROR(__xludf.DUMMYFUNCTION("""COMPUTED_VALUE"""),"HVSPLIT-102-24-05-01-122")</f>
        <v>HVSPLIT-102-24-05-01-122</v>
      </c>
      <c r="G593" s="164"/>
      <c r="H593" s="164"/>
      <c r="I593" s="164"/>
      <c r="J593" s="164"/>
      <c r="K593" s="164"/>
      <c r="L593" s="164" t="str">
        <f ca="1">IFERROR(__xludf.DUMMYFUNCTION("""COMPUTED_VALUE"""),"ASEC DARAB - ATTY COLETO")</f>
        <v>ASEC DARAB - ATTY COLETO</v>
      </c>
      <c r="M593" s="164" t="str">
        <f ca="1">IFERROR(__xludf.DUMMYFUNCTION("""COMPUTED_VALUE"""),"SERVICEABLE")</f>
        <v>SERVICEABLE</v>
      </c>
      <c r="N593" s="164"/>
    </row>
    <row r="594" spans="1:14" ht="13.2">
      <c r="A594" s="164" t="str">
        <f ca="1">IFERROR(__xludf.DUMMYFUNCTION("""COMPUTED_VALUE"""),"DARCO")</f>
        <v>DARCO</v>
      </c>
      <c r="B594" s="164" t="str">
        <f ca="1">IFERROR(__xludf.DUMMYFUNCTION("""COMPUTED_VALUE"""),"CENTRAL OFFICE")</f>
        <v>CENTRAL OFFICE</v>
      </c>
      <c r="C594" s="164" t="str">
        <f ca="1">IFERROR(__xludf.DUMMYFUNCTION("""COMPUTED_VALUE"""),"Desktop Computer – (MSI PRO DP180)")</f>
        <v>Desktop Computer – (MSI PRO DP180)</v>
      </c>
      <c r="D594" s="164"/>
      <c r="E594" s="164"/>
      <c r="F594" s="164" t="str">
        <f ca="1">IFERROR(__xludf.DUMMYFUNCTION("""COMPUTED_VALUE"""),"HVSPLIT-102-24-05-01-123")</f>
        <v>HVSPLIT-102-24-05-01-123</v>
      </c>
      <c r="G594" s="164"/>
      <c r="H594" s="164"/>
      <c r="I594" s="164"/>
      <c r="J594" s="164"/>
      <c r="K594" s="164"/>
      <c r="L594" s="164" t="str">
        <f ca="1">IFERROR(__xludf.DUMMYFUNCTION("""COMPUTED_VALUE"""),"ASEC DARAB - ATTY CUA")</f>
        <v>ASEC DARAB - ATTY CUA</v>
      </c>
      <c r="M594" s="164" t="str">
        <f ca="1">IFERROR(__xludf.DUMMYFUNCTION("""COMPUTED_VALUE"""),"SERVICEABLE")</f>
        <v>SERVICEABLE</v>
      </c>
      <c r="N594" s="164"/>
    </row>
    <row r="595" spans="1:14" ht="13.2">
      <c r="A595" s="164" t="str">
        <f ca="1">IFERROR(__xludf.DUMMYFUNCTION("""COMPUTED_VALUE"""),"DARCO")</f>
        <v>DARCO</v>
      </c>
      <c r="B595" s="164" t="str">
        <f ca="1">IFERROR(__xludf.DUMMYFUNCTION("""COMPUTED_VALUE"""),"CENTRAL OFFICE")</f>
        <v>CENTRAL OFFICE</v>
      </c>
      <c r="C595" s="164" t="str">
        <f ca="1">IFERROR(__xludf.DUMMYFUNCTION("""COMPUTED_VALUE"""),"Desktop Computer – (MSI PRO DP180)")</f>
        <v>Desktop Computer – (MSI PRO DP180)</v>
      </c>
      <c r="D595" s="164"/>
      <c r="E595" s="164"/>
      <c r="F595" s="164" t="str">
        <f ca="1">IFERROR(__xludf.DUMMYFUNCTION("""COMPUTED_VALUE"""),"HVSPLIT-102-24-05-01-124")</f>
        <v>HVSPLIT-102-24-05-01-124</v>
      </c>
      <c r="G595" s="164"/>
      <c r="H595" s="164"/>
      <c r="I595" s="164"/>
      <c r="J595" s="164"/>
      <c r="K595" s="164"/>
      <c r="L595" s="164" t="str">
        <f ca="1">IFERROR(__xludf.DUMMYFUNCTION("""COMPUTED_VALUE"""),"ASEC DARAB - ATTY CUA")</f>
        <v>ASEC DARAB - ATTY CUA</v>
      </c>
      <c r="M595" s="164" t="str">
        <f ca="1">IFERROR(__xludf.DUMMYFUNCTION("""COMPUTED_VALUE"""),"SERVICEABLE")</f>
        <v>SERVICEABLE</v>
      </c>
      <c r="N595" s="164"/>
    </row>
    <row r="596" spans="1:14" ht="13.2">
      <c r="A596" s="164" t="str">
        <f ca="1">IFERROR(__xludf.DUMMYFUNCTION("""COMPUTED_VALUE"""),"DARCO")</f>
        <v>DARCO</v>
      </c>
      <c r="B596" s="164" t="str">
        <f ca="1">IFERROR(__xludf.DUMMYFUNCTION("""COMPUTED_VALUE"""),"CENTRAL OFFICE")</f>
        <v>CENTRAL OFFICE</v>
      </c>
      <c r="C596" s="164" t="str">
        <f ca="1">IFERROR(__xludf.DUMMYFUNCTION("""COMPUTED_VALUE"""),"Desktop Computer – (MSI PRO DP180)")</f>
        <v>Desktop Computer – (MSI PRO DP180)</v>
      </c>
      <c r="D596" s="164"/>
      <c r="E596" s="164"/>
      <c r="F596" s="164" t="str">
        <f ca="1">IFERROR(__xludf.DUMMYFUNCTION("""COMPUTED_VALUE"""),"HVSPLIT-102-24-05-01-125")</f>
        <v>HVSPLIT-102-24-05-01-125</v>
      </c>
      <c r="G596" s="164"/>
      <c r="H596" s="164"/>
      <c r="I596" s="164"/>
      <c r="J596" s="164"/>
      <c r="K596" s="164"/>
      <c r="L596" s="164" t="str">
        <f ca="1">IFERROR(__xludf.DUMMYFUNCTION("""COMPUTED_VALUE"""),"ASEC DARAB - ATTY CUA")</f>
        <v>ASEC DARAB - ATTY CUA</v>
      </c>
      <c r="M596" s="164" t="str">
        <f ca="1">IFERROR(__xludf.DUMMYFUNCTION("""COMPUTED_VALUE"""),"SERVICEABLE")</f>
        <v>SERVICEABLE</v>
      </c>
      <c r="N596" s="164"/>
    </row>
    <row r="597" spans="1:14" ht="13.2">
      <c r="A597" s="164" t="str">
        <f ca="1">IFERROR(__xludf.DUMMYFUNCTION("""COMPUTED_VALUE"""),"DARCO")</f>
        <v>DARCO</v>
      </c>
      <c r="B597" s="164" t="str">
        <f ca="1">IFERROR(__xludf.DUMMYFUNCTION("""COMPUTED_VALUE"""),"CENTRAL OFFICE")</f>
        <v>CENTRAL OFFICE</v>
      </c>
      <c r="C597" s="164" t="str">
        <f ca="1">IFERROR(__xludf.DUMMYFUNCTION("""COMPUTED_VALUE"""),"Desktop Computer – (MSI PRO DP180)")</f>
        <v>Desktop Computer – (MSI PRO DP180)</v>
      </c>
      <c r="D597" s="164"/>
      <c r="E597" s="164"/>
      <c r="F597" s="164" t="str">
        <f ca="1">IFERROR(__xludf.DUMMYFUNCTION("""COMPUTED_VALUE"""),"HVSPLIT-102-24-05-01-126")</f>
        <v>HVSPLIT-102-24-05-01-126</v>
      </c>
      <c r="G597" s="164"/>
      <c r="H597" s="164"/>
      <c r="I597" s="164"/>
      <c r="J597" s="164"/>
      <c r="K597" s="164"/>
      <c r="L597" s="164" t="str">
        <f ca="1">IFERROR(__xludf.DUMMYFUNCTION("""COMPUTED_VALUE"""),"ASEC DARAB - ATTY CUA")</f>
        <v>ASEC DARAB - ATTY CUA</v>
      </c>
      <c r="M597" s="164" t="str">
        <f ca="1">IFERROR(__xludf.DUMMYFUNCTION("""COMPUTED_VALUE"""),"SERVICEABLE")</f>
        <v>SERVICEABLE</v>
      </c>
      <c r="N597" s="164"/>
    </row>
    <row r="598" spans="1:14" ht="13.2">
      <c r="A598" s="164" t="str">
        <f ca="1">IFERROR(__xludf.DUMMYFUNCTION("""COMPUTED_VALUE"""),"DARCO")</f>
        <v>DARCO</v>
      </c>
      <c r="B598" s="164" t="str">
        <f ca="1">IFERROR(__xludf.DUMMYFUNCTION("""COMPUTED_VALUE"""),"CENTRAL OFFICE")</f>
        <v>CENTRAL OFFICE</v>
      </c>
      <c r="C598" s="164" t="str">
        <f ca="1">IFERROR(__xludf.DUMMYFUNCTION("""COMPUTED_VALUE"""),"Desktop Computer – (MSI PRO DP180)")</f>
        <v>Desktop Computer – (MSI PRO DP180)</v>
      </c>
      <c r="D598" s="164"/>
      <c r="E598" s="164"/>
      <c r="F598" s="164" t="str">
        <f ca="1">IFERROR(__xludf.DUMMYFUNCTION("""COMPUTED_VALUE"""),"HVSPLIT-102-24-05-01-127")</f>
        <v>HVSPLIT-102-24-05-01-127</v>
      </c>
      <c r="G598" s="164"/>
      <c r="H598" s="164"/>
      <c r="I598" s="164"/>
      <c r="J598" s="164"/>
      <c r="K598" s="164"/>
      <c r="L598" s="164" t="str">
        <f ca="1">IFERROR(__xludf.DUMMYFUNCTION("""COMPUTED_VALUE"""),"ASEC DARAB - ATTY CUA")</f>
        <v>ASEC DARAB - ATTY CUA</v>
      </c>
      <c r="M598" s="164" t="str">
        <f ca="1">IFERROR(__xludf.DUMMYFUNCTION("""COMPUTED_VALUE"""),"SERVICEABLE")</f>
        <v>SERVICEABLE</v>
      </c>
      <c r="N598" s="164"/>
    </row>
    <row r="599" spans="1:14" ht="13.2">
      <c r="A599" s="164" t="str">
        <f ca="1">IFERROR(__xludf.DUMMYFUNCTION("""COMPUTED_VALUE"""),"DARCO")</f>
        <v>DARCO</v>
      </c>
      <c r="B599" s="164" t="str">
        <f ca="1">IFERROR(__xludf.DUMMYFUNCTION("""COMPUTED_VALUE"""),"CENTRAL OFFICE")</f>
        <v>CENTRAL OFFICE</v>
      </c>
      <c r="C599" s="164" t="str">
        <f ca="1">IFERROR(__xludf.DUMMYFUNCTION("""COMPUTED_VALUE"""),"Desktop Computer – (MSI PRO DP180)")</f>
        <v>Desktop Computer – (MSI PRO DP180)</v>
      </c>
      <c r="D599" s="164"/>
      <c r="E599" s="164"/>
      <c r="F599" s="164" t="str">
        <f ca="1">IFERROR(__xludf.DUMMYFUNCTION("""COMPUTED_VALUE"""),"HVSPLIT-102-24-05-01-128")</f>
        <v>HVSPLIT-102-24-05-01-128</v>
      </c>
      <c r="G599" s="164"/>
      <c r="H599" s="164"/>
      <c r="I599" s="164"/>
      <c r="J599" s="164"/>
      <c r="K599" s="164"/>
      <c r="L599" s="164" t="str">
        <f ca="1">IFERROR(__xludf.DUMMYFUNCTION("""COMPUTED_VALUE"""),"ASEC DARAB - ATTY CUA")</f>
        <v>ASEC DARAB - ATTY CUA</v>
      </c>
      <c r="M599" s="164" t="str">
        <f ca="1">IFERROR(__xludf.DUMMYFUNCTION("""COMPUTED_VALUE"""),"SERVICEABLE")</f>
        <v>SERVICEABLE</v>
      </c>
      <c r="N599" s="164"/>
    </row>
    <row r="600" spans="1:14" ht="13.2">
      <c r="A600" s="164" t="str">
        <f ca="1">IFERROR(__xludf.DUMMYFUNCTION("""COMPUTED_VALUE"""),"DARCO")</f>
        <v>DARCO</v>
      </c>
      <c r="B600" s="164" t="str">
        <f ca="1">IFERROR(__xludf.DUMMYFUNCTION("""COMPUTED_VALUE"""),"CENTRAL OFFICE")</f>
        <v>CENTRAL OFFICE</v>
      </c>
      <c r="C600" s="164" t="str">
        <f ca="1">IFERROR(__xludf.DUMMYFUNCTION("""COMPUTED_VALUE"""),"Desktop Computer – (MSI PRO DP180)")</f>
        <v>Desktop Computer – (MSI PRO DP180)</v>
      </c>
      <c r="D600" s="164"/>
      <c r="E600" s="164"/>
      <c r="F600" s="164" t="str">
        <f ca="1">IFERROR(__xludf.DUMMYFUNCTION("""COMPUTED_VALUE"""),"HVSPLIT-102-24-05-01-129")</f>
        <v>HVSPLIT-102-24-05-01-129</v>
      </c>
      <c r="G600" s="164"/>
      <c r="H600" s="164"/>
      <c r="I600" s="164"/>
      <c r="J600" s="164"/>
      <c r="K600" s="164"/>
      <c r="L600" s="164" t="str">
        <f ca="1">IFERROR(__xludf.DUMMYFUNCTION("""COMPUTED_VALUE"""),"ASEC DARAB - ATTY CUA")</f>
        <v>ASEC DARAB - ATTY CUA</v>
      </c>
      <c r="M600" s="164" t="str">
        <f ca="1">IFERROR(__xludf.DUMMYFUNCTION("""COMPUTED_VALUE"""),"SERVICEABLE")</f>
        <v>SERVICEABLE</v>
      </c>
      <c r="N600" s="164"/>
    </row>
    <row r="601" spans="1:14" ht="13.2">
      <c r="A601" s="164" t="str">
        <f ca="1">IFERROR(__xludf.DUMMYFUNCTION("""COMPUTED_VALUE"""),"DARCO")</f>
        <v>DARCO</v>
      </c>
      <c r="B601" s="164" t="str">
        <f ca="1">IFERROR(__xludf.DUMMYFUNCTION("""COMPUTED_VALUE"""),"CENTRAL OFFICE")</f>
        <v>CENTRAL OFFICE</v>
      </c>
      <c r="C601" s="164" t="str">
        <f ca="1">IFERROR(__xludf.DUMMYFUNCTION("""COMPUTED_VALUE"""),"Desktop Computer – (MSI PRO DP180)")</f>
        <v>Desktop Computer – (MSI PRO DP180)</v>
      </c>
      <c r="D601" s="164"/>
      <c r="E601" s="164"/>
      <c r="F601" s="164" t="str">
        <f ca="1">IFERROR(__xludf.DUMMYFUNCTION("""COMPUTED_VALUE"""),"HVSPLIT-102-24-05-01-130")</f>
        <v>HVSPLIT-102-24-05-01-130</v>
      </c>
      <c r="G601" s="164"/>
      <c r="H601" s="164"/>
      <c r="I601" s="164"/>
      <c r="J601" s="164"/>
      <c r="K601" s="164"/>
      <c r="L601" s="164" t="str">
        <f ca="1">IFERROR(__xludf.DUMMYFUNCTION("""COMPUTED_VALUE"""),"PARC-SEC")</f>
        <v>PARC-SEC</v>
      </c>
      <c r="M601" s="164" t="str">
        <f ca="1">IFERROR(__xludf.DUMMYFUNCTION("""COMPUTED_VALUE"""),"SERVICEABLE")</f>
        <v>SERVICEABLE</v>
      </c>
      <c r="N601" s="164"/>
    </row>
    <row r="602" spans="1:14" ht="13.2">
      <c r="A602" s="164" t="str">
        <f ca="1">IFERROR(__xludf.DUMMYFUNCTION("""COMPUTED_VALUE"""),"DARCO")</f>
        <v>DARCO</v>
      </c>
      <c r="B602" s="164" t="str">
        <f ca="1">IFERROR(__xludf.DUMMYFUNCTION("""COMPUTED_VALUE"""),"CENTRAL OFFICE")</f>
        <v>CENTRAL OFFICE</v>
      </c>
      <c r="C602" s="164" t="str">
        <f ca="1">IFERROR(__xludf.DUMMYFUNCTION("""COMPUTED_VALUE"""),"Desktop Computer – (MSI PRO DP180)")</f>
        <v>Desktop Computer – (MSI PRO DP180)</v>
      </c>
      <c r="D602" s="164"/>
      <c r="E602" s="164"/>
      <c r="F602" s="164" t="str">
        <f ca="1">IFERROR(__xludf.DUMMYFUNCTION("""COMPUTED_VALUE"""),"HVSPLIT-102-24-05-01-131")</f>
        <v>HVSPLIT-102-24-05-01-131</v>
      </c>
      <c r="G602" s="164"/>
      <c r="H602" s="164"/>
      <c r="I602" s="164"/>
      <c r="J602" s="164"/>
      <c r="K602" s="164"/>
      <c r="L602" s="164" t="str">
        <f ca="1">IFERROR(__xludf.DUMMYFUNCTION("""COMPUTED_VALUE"""),"PARC-SEC")</f>
        <v>PARC-SEC</v>
      </c>
      <c r="M602" s="164" t="str">
        <f ca="1">IFERROR(__xludf.DUMMYFUNCTION("""COMPUTED_VALUE"""),"SERVICEABLE")</f>
        <v>SERVICEABLE</v>
      </c>
      <c r="N602" s="164"/>
    </row>
    <row r="603" spans="1:14" ht="13.2">
      <c r="A603" s="164" t="str">
        <f ca="1">IFERROR(__xludf.DUMMYFUNCTION("""COMPUTED_VALUE"""),"DARCO")</f>
        <v>DARCO</v>
      </c>
      <c r="B603" s="164" t="str">
        <f ca="1">IFERROR(__xludf.DUMMYFUNCTION("""COMPUTED_VALUE"""),"CENTRAL OFFICE")</f>
        <v>CENTRAL OFFICE</v>
      </c>
      <c r="C603" s="164" t="str">
        <f ca="1">IFERROR(__xludf.DUMMYFUNCTION("""COMPUTED_VALUE"""),"Desktop Computer – (MSI PRO DP180)")</f>
        <v>Desktop Computer – (MSI PRO DP180)</v>
      </c>
      <c r="D603" s="164"/>
      <c r="E603" s="164"/>
      <c r="F603" s="164" t="str">
        <f ca="1">IFERROR(__xludf.DUMMYFUNCTION("""COMPUTED_VALUE"""),"HVSPLIT-102-24-05-01-132")</f>
        <v>HVSPLIT-102-24-05-01-132</v>
      </c>
      <c r="G603" s="164"/>
      <c r="H603" s="164"/>
      <c r="I603" s="164"/>
      <c r="J603" s="164"/>
      <c r="K603" s="164"/>
      <c r="L603" s="164" t="str">
        <f ca="1">IFERROR(__xludf.DUMMYFUNCTION("""COMPUTED_VALUE"""),"PARC-SEC")</f>
        <v>PARC-SEC</v>
      </c>
      <c r="M603" s="164" t="str">
        <f ca="1">IFERROR(__xludf.DUMMYFUNCTION("""COMPUTED_VALUE"""),"SERVICEABLE")</f>
        <v>SERVICEABLE</v>
      </c>
      <c r="N603" s="164"/>
    </row>
    <row r="604" spans="1:14" ht="13.2">
      <c r="A604" s="164" t="str">
        <f ca="1">IFERROR(__xludf.DUMMYFUNCTION("""COMPUTED_VALUE"""),"DARCO")</f>
        <v>DARCO</v>
      </c>
      <c r="B604" s="164" t="str">
        <f ca="1">IFERROR(__xludf.DUMMYFUNCTION("""COMPUTED_VALUE"""),"CENTRAL OFFICE")</f>
        <v>CENTRAL OFFICE</v>
      </c>
      <c r="C604" s="164" t="str">
        <f ca="1">IFERROR(__xludf.DUMMYFUNCTION("""COMPUTED_VALUE"""),"Desktop Computer – (MSI PRO DP180)")</f>
        <v>Desktop Computer – (MSI PRO DP180)</v>
      </c>
      <c r="D604" s="164"/>
      <c r="E604" s="164"/>
      <c r="F604" s="164" t="str">
        <f ca="1">IFERROR(__xludf.DUMMYFUNCTION("""COMPUTED_VALUE"""),"HVSPLIT-102-24-05-01-133")</f>
        <v>HVSPLIT-102-24-05-01-133</v>
      </c>
      <c r="G604" s="164"/>
      <c r="H604" s="164"/>
      <c r="I604" s="164"/>
      <c r="J604" s="164"/>
      <c r="K604" s="164"/>
      <c r="L604" s="164" t="str">
        <f ca="1">IFERROR(__xludf.DUMMYFUNCTION("""COMPUTED_VALUE"""),"PARC-SEC")</f>
        <v>PARC-SEC</v>
      </c>
      <c r="M604" s="164" t="str">
        <f ca="1">IFERROR(__xludf.DUMMYFUNCTION("""COMPUTED_VALUE"""),"SERVICEABLE")</f>
        <v>SERVICEABLE</v>
      </c>
      <c r="N604" s="164"/>
    </row>
    <row r="605" spans="1:14" ht="13.2">
      <c r="A605" s="164" t="str">
        <f ca="1">IFERROR(__xludf.DUMMYFUNCTION("""COMPUTED_VALUE"""),"DARCO")</f>
        <v>DARCO</v>
      </c>
      <c r="B605" s="164" t="str">
        <f ca="1">IFERROR(__xludf.DUMMYFUNCTION("""COMPUTED_VALUE"""),"CENTRAL OFFICE")</f>
        <v>CENTRAL OFFICE</v>
      </c>
      <c r="C605" s="164" t="str">
        <f ca="1">IFERROR(__xludf.DUMMYFUNCTION("""COMPUTED_VALUE"""),"Desktop Computer – (MSI PRO DP180)")</f>
        <v>Desktop Computer – (MSI PRO DP180)</v>
      </c>
      <c r="D605" s="164"/>
      <c r="E605" s="164"/>
      <c r="F605" s="164" t="str">
        <f ca="1">IFERROR(__xludf.DUMMYFUNCTION("""COMPUTED_VALUE"""),"HVSPLIT-102-24-05-01-134")</f>
        <v>HVSPLIT-102-24-05-01-134</v>
      </c>
      <c r="G605" s="164"/>
      <c r="H605" s="164"/>
      <c r="I605" s="164"/>
      <c r="J605" s="164"/>
      <c r="K605" s="164"/>
      <c r="L605" s="164" t="str">
        <f ca="1">IFERROR(__xludf.DUMMYFUNCTION("""COMPUTED_VALUE"""),"PARC-SEC")</f>
        <v>PARC-SEC</v>
      </c>
      <c r="M605" s="164" t="str">
        <f ca="1">IFERROR(__xludf.DUMMYFUNCTION("""COMPUTED_VALUE"""),"SERVICEABLE")</f>
        <v>SERVICEABLE</v>
      </c>
      <c r="N605" s="164"/>
    </row>
    <row r="606" spans="1:14" ht="13.2">
      <c r="A606" s="164" t="str">
        <f ca="1">IFERROR(__xludf.DUMMYFUNCTION("""COMPUTED_VALUE"""),"DARCO")</f>
        <v>DARCO</v>
      </c>
      <c r="B606" s="164" t="str">
        <f ca="1">IFERROR(__xludf.DUMMYFUNCTION("""COMPUTED_VALUE"""),"CENTRAL OFFICE")</f>
        <v>CENTRAL OFFICE</v>
      </c>
      <c r="C606" s="164" t="str">
        <f ca="1">IFERROR(__xludf.DUMMYFUNCTION("""COMPUTED_VALUE"""),"Desktop Computer – (MSI PRO DP180)")</f>
        <v>Desktop Computer – (MSI PRO DP180)</v>
      </c>
      <c r="D606" s="164"/>
      <c r="E606" s="164"/>
      <c r="F606" s="164" t="str">
        <f ca="1">IFERROR(__xludf.DUMMYFUNCTION("""COMPUTED_VALUE"""),"HVSPLIT-102-24-05-01-135")</f>
        <v>HVSPLIT-102-24-05-01-135</v>
      </c>
      <c r="G606" s="164"/>
      <c r="H606" s="164"/>
      <c r="I606" s="164"/>
      <c r="J606" s="164"/>
      <c r="K606" s="164"/>
      <c r="L606" s="164" t="str">
        <f ca="1">IFERROR(__xludf.DUMMYFUNCTION("""COMPUTED_VALUE"""),"PARC-SEC")</f>
        <v>PARC-SEC</v>
      </c>
      <c r="M606" s="164" t="str">
        <f ca="1">IFERROR(__xludf.DUMMYFUNCTION("""COMPUTED_VALUE"""),"SERVICEABLE")</f>
        <v>SERVICEABLE</v>
      </c>
      <c r="N606" s="164"/>
    </row>
    <row r="607" spans="1:14" ht="13.2">
      <c r="A607" s="164" t="str">
        <f ca="1">IFERROR(__xludf.DUMMYFUNCTION("""COMPUTED_VALUE"""),"DARCO")</f>
        <v>DARCO</v>
      </c>
      <c r="B607" s="164" t="str">
        <f ca="1">IFERROR(__xludf.DUMMYFUNCTION("""COMPUTED_VALUE"""),"CENTRAL OFFICE")</f>
        <v>CENTRAL OFFICE</v>
      </c>
      <c r="C607" s="164" t="str">
        <f ca="1">IFERROR(__xludf.DUMMYFUNCTION("""COMPUTED_VALUE"""),"Desktop Computer – (MSI PRO DP180)")</f>
        <v>Desktop Computer – (MSI PRO DP180)</v>
      </c>
      <c r="D607" s="164"/>
      <c r="E607" s="164"/>
      <c r="F607" s="164" t="str">
        <f ca="1">IFERROR(__xludf.DUMMYFUNCTION("""COMPUTED_VALUE"""),"HVSPLIT-102-24-05-01-136")</f>
        <v>HVSPLIT-102-24-05-01-136</v>
      </c>
      <c r="G607" s="164"/>
      <c r="H607" s="164"/>
      <c r="I607" s="164"/>
      <c r="J607" s="164"/>
      <c r="K607" s="164"/>
      <c r="L607" s="164" t="str">
        <f ca="1">IFERROR(__xludf.DUMMYFUNCTION("""COMPUTED_VALUE"""),"PARC-SEC")</f>
        <v>PARC-SEC</v>
      </c>
      <c r="M607" s="164" t="str">
        <f ca="1">IFERROR(__xludf.DUMMYFUNCTION("""COMPUTED_VALUE"""),"SERVICEABLE")</f>
        <v>SERVICEABLE</v>
      </c>
      <c r="N607" s="164"/>
    </row>
    <row r="608" spans="1:14" ht="13.2">
      <c r="A608" s="164" t="str">
        <f ca="1">IFERROR(__xludf.DUMMYFUNCTION("""COMPUTED_VALUE"""),"DARCO")</f>
        <v>DARCO</v>
      </c>
      <c r="B608" s="164" t="str">
        <f ca="1">IFERROR(__xludf.DUMMYFUNCTION("""COMPUTED_VALUE"""),"CENTRAL OFFICE")</f>
        <v>CENTRAL OFFICE</v>
      </c>
      <c r="C608" s="164" t="str">
        <f ca="1">IFERROR(__xludf.DUMMYFUNCTION("""COMPUTED_VALUE"""),"Desktop Computer – (MSI PRO DP180)")</f>
        <v>Desktop Computer – (MSI PRO DP180)</v>
      </c>
      <c r="D608" s="164"/>
      <c r="E608" s="164"/>
      <c r="F608" s="164" t="str">
        <f ca="1">IFERROR(__xludf.DUMMYFUNCTION("""COMPUTED_VALUE"""),"HVSPLIT-102-24-05-01-137")</f>
        <v>HVSPLIT-102-24-05-01-137</v>
      </c>
      <c r="G608" s="164"/>
      <c r="H608" s="164"/>
      <c r="I608" s="164"/>
      <c r="J608" s="164"/>
      <c r="K608" s="164"/>
      <c r="L608" s="164" t="str">
        <f ca="1">IFERROR(__xludf.DUMMYFUNCTION("""COMPUTED_VALUE"""),"PARC-SEC")</f>
        <v>PARC-SEC</v>
      </c>
      <c r="M608" s="164" t="str">
        <f ca="1">IFERROR(__xludf.DUMMYFUNCTION("""COMPUTED_VALUE"""),"SERVICEABLE")</f>
        <v>SERVICEABLE</v>
      </c>
      <c r="N608" s="164"/>
    </row>
    <row r="609" spans="1:14" ht="13.2">
      <c r="A609" s="164" t="str">
        <f ca="1">IFERROR(__xludf.DUMMYFUNCTION("""COMPUTED_VALUE"""),"DARCO")</f>
        <v>DARCO</v>
      </c>
      <c r="B609" s="164" t="str">
        <f ca="1">IFERROR(__xludf.DUMMYFUNCTION("""COMPUTED_VALUE"""),"CENTRAL OFFICE")</f>
        <v>CENTRAL OFFICE</v>
      </c>
      <c r="C609" s="164" t="str">
        <f ca="1">IFERROR(__xludf.DUMMYFUNCTION("""COMPUTED_VALUE"""),"Desktop Computer – (MSI PRO DP180)")</f>
        <v>Desktop Computer – (MSI PRO DP180)</v>
      </c>
      <c r="D609" s="164"/>
      <c r="E609" s="164"/>
      <c r="F609" s="164" t="str">
        <f ca="1">IFERROR(__xludf.DUMMYFUNCTION("""COMPUTED_VALUE"""),"HVSPLIT-102-24-05-01-138")</f>
        <v>HVSPLIT-102-24-05-01-138</v>
      </c>
      <c r="G609" s="164"/>
      <c r="H609" s="164"/>
      <c r="I609" s="164"/>
      <c r="J609" s="164"/>
      <c r="K609" s="164"/>
      <c r="L609" s="164" t="str">
        <f ca="1">IFERROR(__xludf.DUMMYFUNCTION("""COMPUTED_VALUE"""),"BLTI")</f>
        <v>BLTI</v>
      </c>
      <c r="M609" s="164" t="str">
        <f ca="1">IFERROR(__xludf.DUMMYFUNCTION("""COMPUTED_VALUE"""),"SERVICEABLE")</f>
        <v>SERVICEABLE</v>
      </c>
      <c r="N609" s="164"/>
    </row>
    <row r="610" spans="1:14" ht="13.2">
      <c r="A610" s="164" t="str">
        <f ca="1">IFERROR(__xludf.DUMMYFUNCTION("""COMPUTED_VALUE"""),"DARCO")</f>
        <v>DARCO</v>
      </c>
      <c r="B610" s="164" t="str">
        <f ca="1">IFERROR(__xludf.DUMMYFUNCTION("""COMPUTED_VALUE"""),"CENTRAL OFFICE")</f>
        <v>CENTRAL OFFICE</v>
      </c>
      <c r="C610" s="164" t="str">
        <f ca="1">IFERROR(__xludf.DUMMYFUNCTION("""COMPUTED_VALUE"""),"Desktop Computer – (MSI PRO DP180)")</f>
        <v>Desktop Computer – (MSI PRO DP180)</v>
      </c>
      <c r="D610" s="164"/>
      <c r="E610" s="164"/>
      <c r="F610" s="164" t="str">
        <f ca="1">IFERROR(__xludf.DUMMYFUNCTION("""COMPUTED_VALUE"""),"HVSPLIT-102-24-05-01-139")</f>
        <v>HVSPLIT-102-24-05-01-139</v>
      </c>
      <c r="G610" s="164"/>
      <c r="H610" s="164"/>
      <c r="I610" s="164"/>
      <c r="J610" s="164"/>
      <c r="K610" s="164"/>
      <c r="L610" s="164" t="str">
        <f ca="1">IFERROR(__xludf.DUMMYFUNCTION("""COMPUTED_VALUE"""),"BLTI")</f>
        <v>BLTI</v>
      </c>
      <c r="M610" s="164" t="str">
        <f ca="1">IFERROR(__xludf.DUMMYFUNCTION("""COMPUTED_VALUE"""),"SERVICEABLE")</f>
        <v>SERVICEABLE</v>
      </c>
      <c r="N610" s="164"/>
    </row>
    <row r="611" spans="1:14" ht="13.2">
      <c r="A611" s="164" t="str">
        <f ca="1">IFERROR(__xludf.DUMMYFUNCTION("""COMPUTED_VALUE"""),"DARCO")</f>
        <v>DARCO</v>
      </c>
      <c r="B611" s="164" t="str">
        <f ca="1">IFERROR(__xludf.DUMMYFUNCTION("""COMPUTED_VALUE"""),"CENTRAL OFFICE")</f>
        <v>CENTRAL OFFICE</v>
      </c>
      <c r="C611" s="164" t="str">
        <f ca="1">IFERROR(__xludf.DUMMYFUNCTION("""COMPUTED_VALUE"""),"Desktop Computer – (MSI PRO DP180)")</f>
        <v>Desktop Computer – (MSI PRO DP180)</v>
      </c>
      <c r="D611" s="164"/>
      <c r="E611" s="164"/>
      <c r="F611" s="164" t="str">
        <f ca="1">IFERROR(__xludf.DUMMYFUNCTION("""COMPUTED_VALUE"""),"HVSPLIT-102-24-05-01-140")</f>
        <v>HVSPLIT-102-24-05-01-140</v>
      </c>
      <c r="G611" s="164"/>
      <c r="H611" s="164"/>
      <c r="I611" s="164"/>
      <c r="J611" s="164"/>
      <c r="K611" s="164"/>
      <c r="L611" s="164" t="str">
        <f ca="1">IFERROR(__xludf.DUMMYFUNCTION("""COMPUTED_VALUE"""),"BLTI")</f>
        <v>BLTI</v>
      </c>
      <c r="M611" s="164" t="str">
        <f ca="1">IFERROR(__xludf.DUMMYFUNCTION("""COMPUTED_VALUE"""),"SERVICEABLE")</f>
        <v>SERVICEABLE</v>
      </c>
      <c r="N611" s="164"/>
    </row>
    <row r="612" spans="1:14" ht="13.2">
      <c r="A612" s="164" t="str">
        <f ca="1">IFERROR(__xludf.DUMMYFUNCTION("""COMPUTED_VALUE"""),"DARCO")</f>
        <v>DARCO</v>
      </c>
      <c r="B612" s="164" t="str">
        <f ca="1">IFERROR(__xludf.DUMMYFUNCTION("""COMPUTED_VALUE"""),"CENTRAL OFFICE")</f>
        <v>CENTRAL OFFICE</v>
      </c>
      <c r="C612" s="164" t="str">
        <f ca="1">IFERROR(__xludf.DUMMYFUNCTION("""COMPUTED_VALUE"""),"Desktop Computer – (MSI PRO DP180)")</f>
        <v>Desktop Computer – (MSI PRO DP180)</v>
      </c>
      <c r="D612" s="164"/>
      <c r="E612" s="164"/>
      <c r="F612" s="164" t="str">
        <f ca="1">IFERROR(__xludf.DUMMYFUNCTION("""COMPUTED_VALUE"""),"HVSPLIT-102-24-05-01-141")</f>
        <v>HVSPLIT-102-24-05-01-141</v>
      </c>
      <c r="G612" s="164"/>
      <c r="H612" s="164"/>
      <c r="I612" s="164"/>
      <c r="J612" s="164"/>
      <c r="K612" s="164"/>
      <c r="L612" s="164" t="str">
        <f ca="1">IFERROR(__xludf.DUMMYFUNCTION("""COMPUTED_VALUE"""),"BLTI")</f>
        <v>BLTI</v>
      </c>
      <c r="M612" s="164" t="str">
        <f ca="1">IFERROR(__xludf.DUMMYFUNCTION("""COMPUTED_VALUE"""),"SERVICEABLE")</f>
        <v>SERVICEABLE</v>
      </c>
      <c r="N612" s="164"/>
    </row>
    <row r="613" spans="1:14" ht="13.2">
      <c r="A613" s="164" t="str">
        <f ca="1">IFERROR(__xludf.DUMMYFUNCTION("""COMPUTED_VALUE"""),"DARCO")</f>
        <v>DARCO</v>
      </c>
      <c r="B613" s="164" t="str">
        <f ca="1">IFERROR(__xludf.DUMMYFUNCTION("""COMPUTED_VALUE"""),"CENTRAL OFFICE")</f>
        <v>CENTRAL OFFICE</v>
      </c>
      <c r="C613" s="164" t="str">
        <f ca="1">IFERROR(__xludf.DUMMYFUNCTION("""COMPUTED_VALUE"""),"Desktop Computer – (MSI PRO DP180)")</f>
        <v>Desktop Computer – (MSI PRO DP180)</v>
      </c>
      <c r="D613" s="164"/>
      <c r="E613" s="164"/>
      <c r="F613" s="164" t="str">
        <f ca="1">IFERROR(__xludf.DUMMYFUNCTION("""COMPUTED_VALUE"""),"HVSPLIT-102-24-05-01-142")</f>
        <v>HVSPLIT-102-24-05-01-142</v>
      </c>
      <c r="G613" s="164"/>
      <c r="H613" s="164"/>
      <c r="I613" s="164"/>
      <c r="J613" s="164"/>
      <c r="K613" s="164"/>
      <c r="L613" s="164" t="str">
        <f ca="1">IFERROR(__xludf.DUMMYFUNCTION("""COMPUTED_VALUE"""),"BLTI")</f>
        <v>BLTI</v>
      </c>
      <c r="M613" s="164" t="str">
        <f ca="1">IFERROR(__xludf.DUMMYFUNCTION("""COMPUTED_VALUE"""),"SERVICEABLE")</f>
        <v>SERVICEABLE</v>
      </c>
      <c r="N613" s="164"/>
    </row>
    <row r="614" spans="1:14" ht="13.2">
      <c r="A614" s="164" t="str">
        <f ca="1">IFERROR(__xludf.DUMMYFUNCTION("""COMPUTED_VALUE"""),"DARCO")</f>
        <v>DARCO</v>
      </c>
      <c r="B614" s="164" t="str">
        <f ca="1">IFERROR(__xludf.DUMMYFUNCTION("""COMPUTED_VALUE"""),"CENTRAL OFFICE")</f>
        <v>CENTRAL OFFICE</v>
      </c>
      <c r="C614" s="164" t="str">
        <f ca="1">IFERROR(__xludf.DUMMYFUNCTION("""COMPUTED_VALUE"""),"Desktop Computer – (MSI PRO DP180)")</f>
        <v>Desktop Computer – (MSI PRO DP180)</v>
      </c>
      <c r="D614" s="164"/>
      <c r="E614" s="164"/>
      <c r="F614" s="164" t="str">
        <f ca="1">IFERROR(__xludf.DUMMYFUNCTION("""COMPUTED_VALUE"""),"HVSPLIT-102-24-05-01-143")</f>
        <v>HVSPLIT-102-24-05-01-143</v>
      </c>
      <c r="G614" s="164"/>
      <c r="H614" s="164"/>
      <c r="I614" s="164"/>
      <c r="J614" s="164"/>
      <c r="K614" s="164"/>
      <c r="L614" s="164" t="str">
        <f ca="1">IFERROR(__xludf.DUMMYFUNCTION("""COMPUTED_VALUE"""),"BLTI")</f>
        <v>BLTI</v>
      </c>
      <c r="M614" s="164" t="str">
        <f ca="1">IFERROR(__xludf.DUMMYFUNCTION("""COMPUTED_VALUE"""),"SERVICEABLE")</f>
        <v>SERVICEABLE</v>
      </c>
      <c r="N614" s="164"/>
    </row>
    <row r="615" spans="1:14" ht="13.2">
      <c r="A615" s="164" t="str">
        <f ca="1">IFERROR(__xludf.DUMMYFUNCTION("""COMPUTED_VALUE"""),"DARCO")</f>
        <v>DARCO</v>
      </c>
      <c r="B615" s="164" t="str">
        <f ca="1">IFERROR(__xludf.DUMMYFUNCTION("""COMPUTED_VALUE"""),"CENTRAL OFFICE")</f>
        <v>CENTRAL OFFICE</v>
      </c>
      <c r="C615" s="164" t="str">
        <f ca="1">IFERROR(__xludf.DUMMYFUNCTION("""COMPUTED_VALUE"""),"Desktop Computer – (MSI PRO DP180)")</f>
        <v>Desktop Computer – (MSI PRO DP180)</v>
      </c>
      <c r="D615" s="164"/>
      <c r="E615" s="164"/>
      <c r="F615" s="164" t="str">
        <f ca="1">IFERROR(__xludf.DUMMYFUNCTION("""COMPUTED_VALUE"""),"HVSPLIT-102-24-05-01-144")</f>
        <v>HVSPLIT-102-24-05-01-144</v>
      </c>
      <c r="G615" s="164"/>
      <c r="H615" s="164"/>
      <c r="I615" s="164"/>
      <c r="J615" s="164"/>
      <c r="K615" s="164"/>
      <c r="L615" s="164" t="str">
        <f ca="1">IFERROR(__xludf.DUMMYFUNCTION("""COMPUTED_VALUE"""),"BLTI")</f>
        <v>BLTI</v>
      </c>
      <c r="M615" s="164" t="str">
        <f ca="1">IFERROR(__xludf.DUMMYFUNCTION("""COMPUTED_VALUE"""),"SERVICEABLE")</f>
        <v>SERVICEABLE</v>
      </c>
      <c r="N615" s="164"/>
    </row>
    <row r="616" spans="1:14" ht="13.2">
      <c r="A616" s="164" t="str">
        <f ca="1">IFERROR(__xludf.DUMMYFUNCTION("""COMPUTED_VALUE"""),"DARCO")</f>
        <v>DARCO</v>
      </c>
      <c r="B616" s="164" t="str">
        <f ca="1">IFERROR(__xludf.DUMMYFUNCTION("""COMPUTED_VALUE"""),"CENTRAL OFFICE")</f>
        <v>CENTRAL OFFICE</v>
      </c>
      <c r="C616" s="164" t="str">
        <f ca="1">IFERROR(__xludf.DUMMYFUNCTION("""COMPUTED_VALUE"""),"Desktop Computer – (MSI PRO DP180)")</f>
        <v>Desktop Computer – (MSI PRO DP180)</v>
      </c>
      <c r="D616" s="164"/>
      <c r="E616" s="164"/>
      <c r="F616" s="164" t="str">
        <f ca="1">IFERROR(__xludf.DUMMYFUNCTION("""COMPUTED_VALUE"""),"HVSPLIT-102-24-05-01-145")</f>
        <v>HVSPLIT-102-24-05-01-145</v>
      </c>
      <c r="G616" s="164"/>
      <c r="H616" s="164"/>
      <c r="I616" s="164"/>
      <c r="J616" s="164"/>
      <c r="K616" s="164"/>
      <c r="L616" s="164" t="str">
        <f ca="1">IFERROR(__xludf.DUMMYFUNCTION("""COMPUTED_VALUE"""),"BLTI")</f>
        <v>BLTI</v>
      </c>
      <c r="M616" s="164" t="str">
        <f ca="1">IFERROR(__xludf.DUMMYFUNCTION("""COMPUTED_VALUE"""),"SERVICEABLE")</f>
        <v>SERVICEABLE</v>
      </c>
      <c r="N616" s="164"/>
    </row>
    <row r="617" spans="1:14" ht="13.2">
      <c r="A617" s="164" t="str">
        <f ca="1">IFERROR(__xludf.DUMMYFUNCTION("""COMPUTED_VALUE"""),"DARCO")</f>
        <v>DARCO</v>
      </c>
      <c r="B617" s="164" t="str">
        <f ca="1">IFERROR(__xludf.DUMMYFUNCTION("""COMPUTED_VALUE"""),"CENTRAL OFFICE")</f>
        <v>CENTRAL OFFICE</v>
      </c>
      <c r="C617" s="164" t="str">
        <f ca="1">IFERROR(__xludf.DUMMYFUNCTION("""COMPUTED_VALUE"""),"Desktop Computer – (MSI PRO DP180)")</f>
        <v>Desktop Computer – (MSI PRO DP180)</v>
      </c>
      <c r="D617" s="164"/>
      <c r="E617" s="164"/>
      <c r="F617" s="164" t="str">
        <f ca="1">IFERROR(__xludf.DUMMYFUNCTION("""COMPUTED_VALUE"""),"HVSPLIT-102-24-05-01-146")</f>
        <v>HVSPLIT-102-24-05-01-146</v>
      </c>
      <c r="G617" s="164"/>
      <c r="H617" s="164"/>
      <c r="I617" s="164"/>
      <c r="J617" s="164"/>
      <c r="K617" s="164"/>
      <c r="L617" s="164" t="str">
        <f ca="1">IFERROR(__xludf.DUMMYFUNCTION("""COMPUTED_VALUE"""),"BLTI")</f>
        <v>BLTI</v>
      </c>
      <c r="M617" s="164" t="str">
        <f ca="1">IFERROR(__xludf.DUMMYFUNCTION("""COMPUTED_VALUE"""),"SERVICEABLE")</f>
        <v>SERVICEABLE</v>
      </c>
      <c r="N617" s="164"/>
    </row>
    <row r="618" spans="1:14" ht="13.2">
      <c r="A618" s="164" t="str">
        <f ca="1">IFERROR(__xludf.DUMMYFUNCTION("""COMPUTED_VALUE"""),"DARCO")</f>
        <v>DARCO</v>
      </c>
      <c r="B618" s="164" t="str">
        <f ca="1">IFERROR(__xludf.DUMMYFUNCTION("""COMPUTED_VALUE"""),"CENTRAL OFFICE")</f>
        <v>CENTRAL OFFICE</v>
      </c>
      <c r="C618" s="164" t="str">
        <f ca="1">IFERROR(__xludf.DUMMYFUNCTION("""COMPUTED_VALUE"""),"Desktop Computer – (MSI PRO DP180)")</f>
        <v>Desktop Computer – (MSI PRO DP180)</v>
      </c>
      <c r="D618" s="164"/>
      <c r="E618" s="164"/>
      <c r="F618" s="164" t="str">
        <f ca="1">IFERROR(__xludf.DUMMYFUNCTION("""COMPUTED_VALUE"""),"HVSPLIT-102-24-05-01-147")</f>
        <v>HVSPLIT-102-24-05-01-147</v>
      </c>
      <c r="G618" s="164"/>
      <c r="H618" s="164"/>
      <c r="I618" s="164"/>
      <c r="J618" s="164"/>
      <c r="K618" s="164"/>
      <c r="L618" s="164" t="str">
        <f ca="1">IFERROR(__xludf.DUMMYFUNCTION("""COMPUTED_VALUE"""),"BLTI")</f>
        <v>BLTI</v>
      </c>
      <c r="M618" s="164" t="str">
        <f ca="1">IFERROR(__xludf.DUMMYFUNCTION("""COMPUTED_VALUE"""),"SERVICEABLE")</f>
        <v>SERVICEABLE</v>
      </c>
      <c r="N618" s="164"/>
    </row>
    <row r="619" spans="1:14" ht="13.2">
      <c r="A619" s="164" t="str">
        <f ca="1">IFERROR(__xludf.DUMMYFUNCTION("""COMPUTED_VALUE"""),"DARCO")</f>
        <v>DARCO</v>
      </c>
      <c r="B619" s="164" t="str">
        <f ca="1">IFERROR(__xludf.DUMMYFUNCTION("""COMPUTED_VALUE"""),"CENTRAL OFFICE")</f>
        <v>CENTRAL OFFICE</v>
      </c>
      <c r="C619" s="164" t="str">
        <f ca="1">IFERROR(__xludf.DUMMYFUNCTION("""COMPUTED_VALUE"""),"Desktop Computer – (MSI PRO DP180)")</f>
        <v>Desktop Computer – (MSI PRO DP180)</v>
      </c>
      <c r="D619" s="164"/>
      <c r="E619" s="164"/>
      <c r="F619" s="164" t="str">
        <f ca="1">IFERROR(__xludf.DUMMYFUNCTION("""COMPUTED_VALUE"""),"HVSPLIT-102-24-05-01-148")</f>
        <v>HVSPLIT-102-24-05-01-148</v>
      </c>
      <c r="G619" s="164"/>
      <c r="H619" s="164"/>
      <c r="I619" s="164"/>
      <c r="J619" s="164"/>
      <c r="K619" s="164"/>
      <c r="L619" s="164" t="str">
        <f ca="1">IFERROR(__xludf.DUMMYFUNCTION("""COMPUTED_VALUE"""),"FINANCE AND MGNT SERVICE")</f>
        <v>FINANCE AND MGNT SERVICE</v>
      </c>
      <c r="M619" s="164" t="str">
        <f ca="1">IFERROR(__xludf.DUMMYFUNCTION("""COMPUTED_VALUE"""),"SERVICEABLE")</f>
        <v>SERVICEABLE</v>
      </c>
      <c r="N619" s="164"/>
    </row>
    <row r="620" spans="1:14" ht="13.2">
      <c r="A620" s="164" t="str">
        <f ca="1">IFERROR(__xludf.DUMMYFUNCTION("""COMPUTED_VALUE"""),"DARCO")</f>
        <v>DARCO</v>
      </c>
      <c r="B620" s="164" t="str">
        <f ca="1">IFERROR(__xludf.DUMMYFUNCTION("""COMPUTED_VALUE"""),"CENTRAL OFFICE")</f>
        <v>CENTRAL OFFICE</v>
      </c>
      <c r="C620" s="164" t="str">
        <f ca="1">IFERROR(__xludf.DUMMYFUNCTION("""COMPUTED_VALUE"""),"Desktop Computer – (MSI PRO DP180)")</f>
        <v>Desktop Computer – (MSI PRO DP180)</v>
      </c>
      <c r="D620" s="164"/>
      <c r="E620" s="164"/>
      <c r="F620" s="164" t="str">
        <f ca="1">IFERROR(__xludf.DUMMYFUNCTION("""COMPUTED_VALUE"""),"HVSPLIT-102-24-05-01-149")</f>
        <v>HVSPLIT-102-24-05-01-149</v>
      </c>
      <c r="G620" s="164"/>
      <c r="H620" s="164"/>
      <c r="I620" s="164"/>
      <c r="J620" s="164"/>
      <c r="K620" s="164"/>
      <c r="L620" s="164" t="str">
        <f ca="1">IFERROR(__xludf.DUMMYFUNCTION("""COMPUTED_VALUE"""),"FINANCE AND MGNT SERVICE")</f>
        <v>FINANCE AND MGNT SERVICE</v>
      </c>
      <c r="M620" s="164" t="str">
        <f ca="1">IFERROR(__xludf.DUMMYFUNCTION("""COMPUTED_VALUE"""),"SERVICEABLE")</f>
        <v>SERVICEABLE</v>
      </c>
      <c r="N620" s="164"/>
    </row>
    <row r="621" spans="1:14" ht="13.2">
      <c r="A621" s="164" t="str">
        <f ca="1">IFERROR(__xludf.DUMMYFUNCTION("""COMPUTED_VALUE"""),"DARCO")</f>
        <v>DARCO</v>
      </c>
      <c r="B621" s="164" t="str">
        <f ca="1">IFERROR(__xludf.DUMMYFUNCTION("""COMPUTED_VALUE"""),"CENTRAL OFFICE")</f>
        <v>CENTRAL OFFICE</v>
      </c>
      <c r="C621" s="164" t="str">
        <f ca="1">IFERROR(__xludf.DUMMYFUNCTION("""COMPUTED_VALUE"""),"Desktop Computer – (MSI PRO DP180)")</f>
        <v>Desktop Computer – (MSI PRO DP180)</v>
      </c>
      <c r="D621" s="164"/>
      <c r="E621" s="164"/>
      <c r="F621" s="164" t="str">
        <f ca="1">IFERROR(__xludf.DUMMYFUNCTION("""COMPUTED_VALUE"""),"HVSPLIT-102-24-05-01-150")</f>
        <v>HVSPLIT-102-24-05-01-150</v>
      </c>
      <c r="G621" s="164"/>
      <c r="H621" s="164"/>
      <c r="I621" s="164"/>
      <c r="J621" s="164"/>
      <c r="K621" s="164"/>
      <c r="L621" s="164" t="str">
        <f ca="1">IFERROR(__xludf.DUMMYFUNCTION("""COMPUTED_VALUE"""),"FINANCE AND MGNT SERVICE")</f>
        <v>FINANCE AND MGNT SERVICE</v>
      </c>
      <c r="M621" s="164" t="str">
        <f ca="1">IFERROR(__xludf.DUMMYFUNCTION("""COMPUTED_VALUE"""),"SERVICEABLE")</f>
        <v>SERVICEABLE</v>
      </c>
      <c r="N621" s="164"/>
    </row>
    <row r="622" spans="1:14" ht="13.2">
      <c r="A622" s="164" t="str">
        <f ca="1">IFERROR(__xludf.DUMMYFUNCTION("""COMPUTED_VALUE"""),"DARCO")</f>
        <v>DARCO</v>
      </c>
      <c r="B622" s="164" t="str">
        <f ca="1">IFERROR(__xludf.DUMMYFUNCTION("""COMPUTED_VALUE"""),"CENTRAL OFFICE")</f>
        <v>CENTRAL OFFICE</v>
      </c>
      <c r="C622" s="164" t="str">
        <f ca="1">IFERROR(__xludf.DUMMYFUNCTION("""COMPUTED_VALUE"""),"Desktop Computer – (MSI PRO DP180)")</f>
        <v>Desktop Computer – (MSI PRO DP180)</v>
      </c>
      <c r="D622" s="164"/>
      <c r="E622" s="164"/>
      <c r="F622" s="164" t="str">
        <f ca="1">IFERROR(__xludf.DUMMYFUNCTION("""COMPUTED_VALUE"""),"HVSPLIT-102-24-05-01-151")</f>
        <v>HVSPLIT-102-24-05-01-151</v>
      </c>
      <c r="G622" s="164"/>
      <c r="H622" s="164"/>
      <c r="I622" s="164"/>
      <c r="J622" s="164"/>
      <c r="K622" s="164"/>
      <c r="L622" s="164" t="str">
        <f ca="1">IFERROR(__xludf.DUMMYFUNCTION("""COMPUTED_VALUE"""),"FINANCE AND MGNT SERVICE")</f>
        <v>FINANCE AND MGNT SERVICE</v>
      </c>
      <c r="M622" s="164" t="str">
        <f ca="1">IFERROR(__xludf.DUMMYFUNCTION("""COMPUTED_VALUE"""),"SERVICEABLE")</f>
        <v>SERVICEABLE</v>
      </c>
      <c r="N622" s="164"/>
    </row>
    <row r="623" spans="1:14" ht="13.2">
      <c r="A623" s="164" t="str">
        <f ca="1">IFERROR(__xludf.DUMMYFUNCTION("""COMPUTED_VALUE"""),"DARCO")</f>
        <v>DARCO</v>
      </c>
      <c r="B623" s="164" t="str">
        <f ca="1">IFERROR(__xludf.DUMMYFUNCTION("""COMPUTED_VALUE"""),"CENTRAL OFFICE")</f>
        <v>CENTRAL OFFICE</v>
      </c>
      <c r="C623" s="164" t="str">
        <f ca="1">IFERROR(__xludf.DUMMYFUNCTION("""COMPUTED_VALUE"""),"Desktop Computer – (MSI PRO DP180)")</f>
        <v>Desktop Computer – (MSI PRO DP180)</v>
      </c>
      <c r="D623" s="164"/>
      <c r="E623" s="164"/>
      <c r="F623" s="164" t="str">
        <f ca="1">IFERROR(__xludf.DUMMYFUNCTION("""COMPUTED_VALUE"""),"HVSPLIT-102-24-05-01-152")</f>
        <v>HVSPLIT-102-24-05-01-152</v>
      </c>
      <c r="G623" s="164"/>
      <c r="H623" s="164"/>
      <c r="I623" s="164"/>
      <c r="J623" s="164"/>
      <c r="K623" s="164"/>
      <c r="L623" s="164" t="str">
        <f ca="1">IFERROR(__xludf.DUMMYFUNCTION("""COMPUTED_VALUE"""),"FINANCE AND MGNT SERVICE")</f>
        <v>FINANCE AND MGNT SERVICE</v>
      </c>
      <c r="M623" s="164" t="str">
        <f ca="1">IFERROR(__xludf.DUMMYFUNCTION("""COMPUTED_VALUE"""),"SERVICEABLE")</f>
        <v>SERVICEABLE</v>
      </c>
      <c r="N623" s="164"/>
    </row>
    <row r="624" spans="1:14" ht="13.2">
      <c r="A624" s="164" t="str">
        <f ca="1">IFERROR(__xludf.DUMMYFUNCTION("""COMPUTED_VALUE"""),"DARCO")</f>
        <v>DARCO</v>
      </c>
      <c r="B624" s="164" t="str">
        <f ca="1">IFERROR(__xludf.DUMMYFUNCTION("""COMPUTED_VALUE"""),"CENTRAL OFFICE")</f>
        <v>CENTRAL OFFICE</v>
      </c>
      <c r="C624" s="164" t="str">
        <f ca="1">IFERROR(__xludf.DUMMYFUNCTION("""COMPUTED_VALUE"""),"Desktop Computer – (MSI PRO DP180)")</f>
        <v>Desktop Computer – (MSI PRO DP180)</v>
      </c>
      <c r="D624" s="164"/>
      <c r="E624" s="164"/>
      <c r="F624" s="164" t="str">
        <f ca="1">IFERROR(__xludf.DUMMYFUNCTION("""COMPUTED_VALUE"""),"HVSPLIT-102-24-05-01-153")</f>
        <v>HVSPLIT-102-24-05-01-153</v>
      </c>
      <c r="G624" s="164"/>
      <c r="H624" s="164"/>
      <c r="I624" s="164"/>
      <c r="J624" s="164"/>
      <c r="K624" s="164"/>
      <c r="L624" s="164" t="str">
        <f ca="1">IFERROR(__xludf.DUMMYFUNCTION("""COMPUTED_VALUE"""),"FINANCE AND MGNT SERVICE")</f>
        <v>FINANCE AND MGNT SERVICE</v>
      </c>
      <c r="M624" s="164" t="str">
        <f ca="1">IFERROR(__xludf.DUMMYFUNCTION("""COMPUTED_VALUE"""),"SERVICEABLE")</f>
        <v>SERVICEABLE</v>
      </c>
      <c r="N624" s="164"/>
    </row>
    <row r="625" spans="1:14" ht="13.2">
      <c r="A625" s="164" t="str">
        <f ca="1">IFERROR(__xludf.DUMMYFUNCTION("""COMPUTED_VALUE"""),"DARCO")</f>
        <v>DARCO</v>
      </c>
      <c r="B625" s="164" t="str">
        <f ca="1">IFERROR(__xludf.DUMMYFUNCTION("""COMPUTED_VALUE"""),"CENTRAL OFFICE")</f>
        <v>CENTRAL OFFICE</v>
      </c>
      <c r="C625" s="164" t="str">
        <f ca="1">IFERROR(__xludf.DUMMYFUNCTION("""COMPUTED_VALUE"""),"Desktop Computer – (MSI PRO DP180)")</f>
        <v>Desktop Computer – (MSI PRO DP180)</v>
      </c>
      <c r="D625" s="164"/>
      <c r="E625" s="164"/>
      <c r="F625" s="164" t="str">
        <f ca="1">IFERROR(__xludf.DUMMYFUNCTION("""COMPUTED_VALUE"""),"HVSPLIT-102-24-05-01-154")</f>
        <v>HVSPLIT-102-24-05-01-154</v>
      </c>
      <c r="G625" s="164"/>
      <c r="H625" s="164"/>
      <c r="I625" s="164"/>
      <c r="J625" s="164"/>
      <c r="K625" s="164"/>
      <c r="L625" s="164" t="str">
        <f ca="1">IFERROR(__xludf.DUMMYFUNCTION("""COMPUTED_VALUE"""),"FINANCE AND MGNT SERVICE")</f>
        <v>FINANCE AND MGNT SERVICE</v>
      </c>
      <c r="M625" s="164" t="str">
        <f ca="1">IFERROR(__xludf.DUMMYFUNCTION("""COMPUTED_VALUE"""),"SERVICEABLE")</f>
        <v>SERVICEABLE</v>
      </c>
      <c r="N625" s="164"/>
    </row>
    <row r="626" spans="1:14" ht="13.2">
      <c r="A626" s="164" t="str">
        <f ca="1">IFERROR(__xludf.DUMMYFUNCTION("""COMPUTED_VALUE"""),"DARCO")</f>
        <v>DARCO</v>
      </c>
      <c r="B626" s="164" t="str">
        <f ca="1">IFERROR(__xludf.DUMMYFUNCTION("""COMPUTED_VALUE"""),"CENTRAL OFFICE")</f>
        <v>CENTRAL OFFICE</v>
      </c>
      <c r="C626" s="164" t="str">
        <f ca="1">IFERROR(__xludf.DUMMYFUNCTION("""COMPUTED_VALUE"""),"Desktop Computer – (MSI PRO DP180)")</f>
        <v>Desktop Computer – (MSI PRO DP180)</v>
      </c>
      <c r="D626" s="164"/>
      <c r="E626" s="164"/>
      <c r="F626" s="164" t="str">
        <f ca="1">IFERROR(__xludf.DUMMYFUNCTION("""COMPUTED_VALUE"""),"HVSPLIT-102-24-05-01-155")</f>
        <v>HVSPLIT-102-24-05-01-155</v>
      </c>
      <c r="G626" s="164"/>
      <c r="H626" s="164"/>
      <c r="I626" s="164"/>
      <c r="J626" s="164"/>
      <c r="K626" s="164"/>
      <c r="L626" s="164" t="str">
        <f ca="1">IFERROR(__xludf.DUMMYFUNCTION("""COMPUTED_VALUE"""),"FINANCE AND MGNT SERVICE")</f>
        <v>FINANCE AND MGNT SERVICE</v>
      </c>
      <c r="M626" s="164" t="str">
        <f ca="1">IFERROR(__xludf.DUMMYFUNCTION("""COMPUTED_VALUE"""),"SERVICEABLE")</f>
        <v>SERVICEABLE</v>
      </c>
      <c r="N626" s="164"/>
    </row>
    <row r="627" spans="1:14" ht="13.2">
      <c r="A627" s="164" t="str">
        <f ca="1">IFERROR(__xludf.DUMMYFUNCTION("""COMPUTED_VALUE"""),"DARCO")</f>
        <v>DARCO</v>
      </c>
      <c r="B627" s="164" t="str">
        <f ca="1">IFERROR(__xludf.DUMMYFUNCTION("""COMPUTED_VALUE"""),"CENTRAL OFFICE")</f>
        <v>CENTRAL OFFICE</v>
      </c>
      <c r="C627" s="164" t="str">
        <f ca="1">IFERROR(__xludf.DUMMYFUNCTION("""COMPUTED_VALUE"""),"Desktop Computer – (MSI PRO DP180)")</f>
        <v>Desktop Computer – (MSI PRO DP180)</v>
      </c>
      <c r="D627" s="164"/>
      <c r="E627" s="164"/>
      <c r="F627" s="164" t="str">
        <f ca="1">IFERROR(__xludf.DUMMYFUNCTION("""COMPUTED_VALUE"""),"HVSPLIT-102-24-05-01-156")</f>
        <v>HVSPLIT-102-24-05-01-156</v>
      </c>
      <c r="G627" s="164"/>
      <c r="H627" s="164"/>
      <c r="I627" s="164"/>
      <c r="J627" s="164"/>
      <c r="K627" s="164"/>
      <c r="L627" s="164" t="str">
        <f ca="1">IFERROR(__xludf.DUMMYFUNCTION("""COMPUTED_VALUE"""),"FINANCE AND MGNT SERVICE")</f>
        <v>FINANCE AND MGNT SERVICE</v>
      </c>
      <c r="M627" s="164" t="str">
        <f ca="1">IFERROR(__xludf.DUMMYFUNCTION("""COMPUTED_VALUE"""),"SERVICEABLE")</f>
        <v>SERVICEABLE</v>
      </c>
      <c r="N627" s="164"/>
    </row>
    <row r="628" spans="1:14" ht="13.2">
      <c r="A628" s="164" t="str">
        <f ca="1">IFERROR(__xludf.DUMMYFUNCTION("""COMPUTED_VALUE"""),"DARCO")</f>
        <v>DARCO</v>
      </c>
      <c r="B628" s="164" t="str">
        <f ca="1">IFERROR(__xludf.DUMMYFUNCTION("""COMPUTED_VALUE"""),"CENTRAL OFFICE")</f>
        <v>CENTRAL OFFICE</v>
      </c>
      <c r="C628" s="164" t="str">
        <f ca="1">IFERROR(__xludf.DUMMYFUNCTION("""COMPUTED_VALUE"""),"Desktop Computer – (MSI PRO DP180)")</f>
        <v>Desktop Computer – (MSI PRO DP180)</v>
      </c>
      <c r="D628" s="164"/>
      <c r="E628" s="164"/>
      <c r="F628" s="164" t="str">
        <f ca="1">IFERROR(__xludf.DUMMYFUNCTION("""COMPUTED_VALUE"""),"HVSPLIT-102-24-05-01-157")</f>
        <v>HVSPLIT-102-24-05-01-157</v>
      </c>
      <c r="G628" s="164"/>
      <c r="H628" s="164"/>
      <c r="I628" s="164"/>
      <c r="J628" s="164"/>
      <c r="K628" s="164"/>
      <c r="L628" s="164" t="str">
        <f ca="1">IFERROR(__xludf.DUMMYFUNCTION("""COMPUTED_VALUE"""),"FINANCE AND MGNT SERVICE")</f>
        <v>FINANCE AND MGNT SERVICE</v>
      </c>
      <c r="M628" s="164" t="str">
        <f ca="1">IFERROR(__xludf.DUMMYFUNCTION("""COMPUTED_VALUE"""),"SERVICEABLE")</f>
        <v>SERVICEABLE</v>
      </c>
      <c r="N628" s="164"/>
    </row>
    <row r="629" spans="1:14" ht="13.2">
      <c r="A629" s="164" t="str">
        <f ca="1">IFERROR(__xludf.DUMMYFUNCTION("""COMPUTED_VALUE"""),"DARCO")</f>
        <v>DARCO</v>
      </c>
      <c r="B629" s="164" t="str">
        <f ca="1">IFERROR(__xludf.DUMMYFUNCTION("""COMPUTED_VALUE"""),"CENTRAL OFFICE")</f>
        <v>CENTRAL OFFICE</v>
      </c>
      <c r="C629" s="164" t="str">
        <f ca="1">IFERROR(__xludf.DUMMYFUNCTION("""COMPUTED_VALUE"""),"Desktop Computer – (MSI PRO DP180)")</f>
        <v>Desktop Computer – (MSI PRO DP180)</v>
      </c>
      <c r="D629" s="164"/>
      <c r="E629" s="164"/>
      <c r="F629" s="164" t="str">
        <f ca="1">IFERROR(__xludf.DUMMYFUNCTION("""COMPUTED_VALUE"""),"HVSPLIT-102-24-05-01-158")</f>
        <v>HVSPLIT-102-24-05-01-158</v>
      </c>
      <c r="G629" s="164"/>
      <c r="H629" s="164"/>
      <c r="I629" s="164"/>
      <c r="J629" s="164"/>
      <c r="K629" s="164"/>
      <c r="L629" s="164" t="str">
        <f ca="1">IFERROR(__xludf.DUMMYFUNCTION("""COMPUTED_VALUE"""),"FINANCE AND MGNT SERVICE")</f>
        <v>FINANCE AND MGNT SERVICE</v>
      </c>
      <c r="M629" s="164" t="str">
        <f ca="1">IFERROR(__xludf.DUMMYFUNCTION("""COMPUTED_VALUE"""),"SERVICEABLE")</f>
        <v>SERVICEABLE</v>
      </c>
      <c r="N629" s="164"/>
    </row>
    <row r="630" spans="1:14" ht="13.2">
      <c r="A630" s="164" t="str">
        <f ca="1">IFERROR(__xludf.DUMMYFUNCTION("""COMPUTED_VALUE"""),"DARCO")</f>
        <v>DARCO</v>
      </c>
      <c r="B630" s="164" t="str">
        <f ca="1">IFERROR(__xludf.DUMMYFUNCTION("""COMPUTED_VALUE"""),"CENTRAL OFFICE")</f>
        <v>CENTRAL OFFICE</v>
      </c>
      <c r="C630" s="164" t="str">
        <f ca="1">IFERROR(__xludf.DUMMYFUNCTION("""COMPUTED_VALUE"""),"Desktop Computer – (MSI PRO DP180)")</f>
        <v>Desktop Computer – (MSI PRO DP180)</v>
      </c>
      <c r="D630" s="164"/>
      <c r="E630" s="164"/>
      <c r="F630" s="164" t="str">
        <f ca="1">IFERROR(__xludf.DUMMYFUNCTION("""COMPUTED_VALUE"""),"HVSPLIT-102-24-05-01-159")</f>
        <v>HVSPLIT-102-24-05-01-159</v>
      </c>
      <c r="G630" s="164"/>
      <c r="H630" s="164"/>
      <c r="I630" s="164"/>
      <c r="J630" s="164"/>
      <c r="K630" s="164"/>
      <c r="L630" s="164" t="str">
        <f ca="1">IFERROR(__xludf.DUMMYFUNCTION("""COMPUTED_VALUE"""),"FINANCE AND MGNT SERVICE")</f>
        <v>FINANCE AND MGNT SERVICE</v>
      </c>
      <c r="M630" s="164" t="str">
        <f ca="1">IFERROR(__xludf.DUMMYFUNCTION("""COMPUTED_VALUE"""),"SERVICEABLE")</f>
        <v>SERVICEABLE</v>
      </c>
      <c r="N630" s="164"/>
    </row>
    <row r="631" spans="1:14" ht="13.2">
      <c r="A631" s="164" t="str">
        <f ca="1">IFERROR(__xludf.DUMMYFUNCTION("""COMPUTED_VALUE"""),"DARCO")</f>
        <v>DARCO</v>
      </c>
      <c r="B631" s="164" t="str">
        <f ca="1">IFERROR(__xludf.DUMMYFUNCTION("""COMPUTED_VALUE"""),"CENTRAL OFFICE")</f>
        <v>CENTRAL OFFICE</v>
      </c>
      <c r="C631" s="164" t="str">
        <f ca="1">IFERROR(__xludf.DUMMYFUNCTION("""COMPUTED_VALUE"""),"Desktop Computer – (MSI PRO DP180)")</f>
        <v>Desktop Computer – (MSI PRO DP180)</v>
      </c>
      <c r="D631" s="164"/>
      <c r="E631" s="164"/>
      <c r="F631" s="164" t="str">
        <f ca="1">IFERROR(__xludf.DUMMYFUNCTION("""COMPUTED_VALUE"""),"HVSPLIT-102-24-05-01-160")</f>
        <v>HVSPLIT-102-24-05-01-160</v>
      </c>
      <c r="G631" s="164"/>
      <c r="H631" s="164"/>
      <c r="I631" s="164"/>
      <c r="J631" s="164"/>
      <c r="K631" s="164"/>
      <c r="L631" s="164" t="str">
        <f ca="1">IFERROR(__xludf.DUMMYFUNCTION("""COMPUTED_VALUE"""),"FINANCE AND MGNT SERVICE")</f>
        <v>FINANCE AND MGNT SERVICE</v>
      </c>
      <c r="M631" s="164" t="str">
        <f ca="1">IFERROR(__xludf.DUMMYFUNCTION("""COMPUTED_VALUE"""),"SERVICEABLE")</f>
        <v>SERVICEABLE</v>
      </c>
      <c r="N631" s="164"/>
    </row>
    <row r="632" spans="1:14" ht="13.2">
      <c r="A632" s="164" t="str">
        <f ca="1">IFERROR(__xludf.DUMMYFUNCTION("""COMPUTED_VALUE"""),"DARCO")</f>
        <v>DARCO</v>
      </c>
      <c r="B632" s="164" t="str">
        <f ca="1">IFERROR(__xludf.DUMMYFUNCTION("""COMPUTED_VALUE"""),"CENTRAL OFFICE")</f>
        <v>CENTRAL OFFICE</v>
      </c>
      <c r="C632" s="164" t="str">
        <f ca="1">IFERROR(__xludf.DUMMYFUNCTION("""COMPUTED_VALUE"""),"Desktop Computer – (MSI PRO DP180)")</f>
        <v>Desktop Computer – (MSI PRO DP180)</v>
      </c>
      <c r="D632" s="164"/>
      <c r="E632" s="164"/>
      <c r="F632" s="164" t="str">
        <f ca="1">IFERROR(__xludf.DUMMYFUNCTION("""COMPUTED_VALUE"""),"HVSPLIT-102-24-05-01-161")</f>
        <v>HVSPLIT-102-24-05-01-161</v>
      </c>
      <c r="G632" s="164"/>
      <c r="H632" s="164"/>
      <c r="I632" s="164"/>
      <c r="J632" s="164"/>
      <c r="K632" s="164"/>
      <c r="L632" s="164" t="str">
        <f ca="1">IFERROR(__xludf.DUMMYFUNCTION("""COMPUTED_VALUE"""),"FINANCE AND MGNT SERVICE")</f>
        <v>FINANCE AND MGNT SERVICE</v>
      </c>
      <c r="M632" s="164" t="str">
        <f ca="1">IFERROR(__xludf.DUMMYFUNCTION("""COMPUTED_VALUE"""),"SERVICEABLE")</f>
        <v>SERVICEABLE</v>
      </c>
      <c r="N632" s="164"/>
    </row>
    <row r="633" spans="1:14" ht="13.2">
      <c r="A633" s="164" t="str">
        <f ca="1">IFERROR(__xludf.DUMMYFUNCTION("""COMPUTED_VALUE"""),"DARCO")</f>
        <v>DARCO</v>
      </c>
      <c r="B633" s="164" t="str">
        <f ca="1">IFERROR(__xludf.DUMMYFUNCTION("""COMPUTED_VALUE"""),"CENTRAL OFFICE")</f>
        <v>CENTRAL OFFICE</v>
      </c>
      <c r="C633" s="164" t="str">
        <f ca="1">IFERROR(__xludf.DUMMYFUNCTION("""COMPUTED_VALUE"""),"Desktop Computer – (MSI PRO DP180)")</f>
        <v>Desktop Computer – (MSI PRO DP180)</v>
      </c>
      <c r="D633" s="164"/>
      <c r="E633" s="164"/>
      <c r="F633" s="164" t="str">
        <f ca="1">IFERROR(__xludf.DUMMYFUNCTION("""COMPUTED_VALUE"""),"HVSPLIT-102-24-05-01-162")</f>
        <v>HVSPLIT-102-24-05-01-162</v>
      </c>
      <c r="G633" s="164"/>
      <c r="H633" s="164"/>
      <c r="I633" s="164"/>
      <c r="J633" s="164"/>
      <c r="K633" s="164"/>
      <c r="L633" s="164" t="str">
        <f ca="1">IFERROR(__xludf.DUMMYFUNCTION("""COMPUTED_VALUE"""),"FINANCE AND MGNT SERVICE")</f>
        <v>FINANCE AND MGNT SERVICE</v>
      </c>
      <c r="M633" s="164" t="str">
        <f ca="1">IFERROR(__xludf.DUMMYFUNCTION("""COMPUTED_VALUE"""),"SERVICEABLE")</f>
        <v>SERVICEABLE</v>
      </c>
      <c r="N633" s="164"/>
    </row>
    <row r="634" spans="1:14" ht="13.2">
      <c r="A634" s="164" t="str">
        <f ca="1">IFERROR(__xludf.DUMMYFUNCTION("""COMPUTED_VALUE"""),"DARCO")</f>
        <v>DARCO</v>
      </c>
      <c r="B634" s="164" t="str">
        <f ca="1">IFERROR(__xludf.DUMMYFUNCTION("""COMPUTED_VALUE"""),"CENTRAL OFFICE")</f>
        <v>CENTRAL OFFICE</v>
      </c>
      <c r="C634" s="164" t="str">
        <f ca="1">IFERROR(__xludf.DUMMYFUNCTION("""COMPUTED_VALUE"""),"Desktop Computer – (MSI PRO DP180)")</f>
        <v>Desktop Computer – (MSI PRO DP180)</v>
      </c>
      <c r="D634" s="164"/>
      <c r="E634" s="164"/>
      <c r="F634" s="164" t="str">
        <f ca="1">IFERROR(__xludf.DUMMYFUNCTION("""COMPUTED_VALUE"""),"HVSPLIT-102-24-05-01-163")</f>
        <v>HVSPLIT-102-24-05-01-163</v>
      </c>
      <c r="G634" s="164"/>
      <c r="H634" s="164"/>
      <c r="I634" s="164"/>
      <c r="J634" s="164"/>
      <c r="K634" s="164"/>
      <c r="L634" s="164" t="str">
        <f ca="1">IFERROR(__xludf.DUMMYFUNCTION("""COMPUTED_VALUE"""),"FINANCE AND MGNT SERVICE")</f>
        <v>FINANCE AND MGNT SERVICE</v>
      </c>
      <c r="M634" s="164" t="str">
        <f ca="1">IFERROR(__xludf.DUMMYFUNCTION("""COMPUTED_VALUE"""),"SERVICEABLE")</f>
        <v>SERVICEABLE</v>
      </c>
      <c r="N634" s="164"/>
    </row>
    <row r="635" spans="1:14" ht="13.2">
      <c r="A635" s="164" t="str">
        <f ca="1">IFERROR(__xludf.DUMMYFUNCTION("""COMPUTED_VALUE"""),"DARCO")</f>
        <v>DARCO</v>
      </c>
      <c r="B635" s="164" t="str">
        <f ca="1">IFERROR(__xludf.DUMMYFUNCTION("""COMPUTED_VALUE"""),"CENTRAL OFFICE")</f>
        <v>CENTRAL OFFICE</v>
      </c>
      <c r="C635" s="164" t="str">
        <f ca="1">IFERROR(__xludf.DUMMYFUNCTION("""COMPUTED_VALUE"""),"Desktop Computer – (MSI PRO DP180)")</f>
        <v>Desktop Computer – (MSI PRO DP180)</v>
      </c>
      <c r="D635" s="164"/>
      <c r="E635" s="164"/>
      <c r="F635" s="164" t="str">
        <f ca="1">IFERROR(__xludf.DUMMYFUNCTION("""COMPUTED_VALUE"""),"HVSPLIT-102-24-05-01-164")</f>
        <v>HVSPLIT-102-24-05-01-164</v>
      </c>
      <c r="G635" s="164"/>
      <c r="H635" s="164"/>
      <c r="I635" s="164"/>
      <c r="J635" s="164"/>
      <c r="K635" s="164"/>
      <c r="L635" s="164" t="str">
        <f ca="1">IFERROR(__xludf.DUMMYFUNCTION("""COMPUTED_VALUE"""),"FINANCE AND MGNT SERVICE")</f>
        <v>FINANCE AND MGNT SERVICE</v>
      </c>
      <c r="M635" s="164" t="str">
        <f ca="1">IFERROR(__xludf.DUMMYFUNCTION("""COMPUTED_VALUE"""),"SERVICEABLE")</f>
        <v>SERVICEABLE</v>
      </c>
      <c r="N635" s="164"/>
    </row>
    <row r="636" spans="1:14" ht="13.2">
      <c r="A636" s="164" t="str">
        <f ca="1">IFERROR(__xludf.DUMMYFUNCTION("""COMPUTED_VALUE"""),"DARCO")</f>
        <v>DARCO</v>
      </c>
      <c r="B636" s="164" t="str">
        <f ca="1">IFERROR(__xludf.DUMMYFUNCTION("""COMPUTED_VALUE"""),"CENTRAL OFFICE")</f>
        <v>CENTRAL OFFICE</v>
      </c>
      <c r="C636" s="164" t="str">
        <f ca="1">IFERROR(__xludf.DUMMYFUNCTION("""COMPUTED_VALUE"""),"Desktop Computer – (MSI PRO DP180)")</f>
        <v>Desktop Computer – (MSI PRO DP180)</v>
      </c>
      <c r="D636" s="164"/>
      <c r="E636" s="164"/>
      <c r="F636" s="164" t="str">
        <f ca="1">IFERROR(__xludf.DUMMYFUNCTION("""COMPUTED_VALUE"""),"HVSPLIT-102-24-05-01-166")</f>
        <v>HVSPLIT-102-24-05-01-166</v>
      </c>
      <c r="G636" s="164"/>
      <c r="H636" s="164"/>
      <c r="I636" s="164"/>
      <c r="J636" s="164"/>
      <c r="K636" s="164"/>
      <c r="L636" s="164" t="str">
        <f ca="1">IFERROR(__xludf.DUMMYFUNCTION("""COMPUTED_VALUE"""),"PUBLIC INFORMATION SERVICE")</f>
        <v>PUBLIC INFORMATION SERVICE</v>
      </c>
      <c r="M636" s="164" t="str">
        <f ca="1">IFERROR(__xludf.DUMMYFUNCTION("""COMPUTED_VALUE"""),"SERVICEABLE")</f>
        <v>SERVICEABLE</v>
      </c>
      <c r="N636" s="164"/>
    </row>
    <row r="637" spans="1:14" ht="13.2">
      <c r="A637" s="164" t="str">
        <f ca="1">IFERROR(__xludf.DUMMYFUNCTION("""COMPUTED_VALUE"""),"DARCO")</f>
        <v>DARCO</v>
      </c>
      <c r="B637" s="164" t="str">
        <f ca="1">IFERROR(__xludf.DUMMYFUNCTION("""COMPUTED_VALUE"""),"CENTRAL OFFICE")</f>
        <v>CENTRAL OFFICE</v>
      </c>
      <c r="C637" s="164" t="str">
        <f ca="1">IFERROR(__xludf.DUMMYFUNCTION("""COMPUTED_VALUE"""),"Desktop Computer – (MSI PRO DP180)")</f>
        <v>Desktop Computer – (MSI PRO DP180)</v>
      </c>
      <c r="D637" s="164"/>
      <c r="E637" s="164"/>
      <c r="F637" s="164" t="str">
        <f ca="1">IFERROR(__xludf.DUMMYFUNCTION("""COMPUTED_VALUE"""),"HVSPLIT-102-24-05-01-182")</f>
        <v>HVSPLIT-102-24-05-01-182</v>
      </c>
      <c r="G637" s="164"/>
      <c r="H637" s="164"/>
      <c r="I637" s="164"/>
      <c r="J637" s="164"/>
      <c r="K637" s="164"/>
      <c r="L637" s="164" t="str">
        <f ca="1">IFERROR(__xludf.DUMMYFUNCTION("""COMPUTED_VALUE"""),"PLANNING SERVICES")</f>
        <v>PLANNING SERVICES</v>
      </c>
      <c r="M637" s="164" t="str">
        <f ca="1">IFERROR(__xludf.DUMMYFUNCTION("""COMPUTED_VALUE"""),"SERVICEABLE")</f>
        <v>SERVICEABLE</v>
      </c>
      <c r="N637" s="164"/>
    </row>
    <row r="638" spans="1:14" ht="13.2">
      <c r="A638" s="164" t="str">
        <f ca="1">IFERROR(__xludf.DUMMYFUNCTION("""COMPUTED_VALUE"""),"DARCO")</f>
        <v>DARCO</v>
      </c>
      <c r="B638" s="164" t="str">
        <f ca="1">IFERROR(__xludf.DUMMYFUNCTION("""COMPUTED_VALUE"""),"CENTRAL OFFICE")</f>
        <v>CENTRAL OFFICE</v>
      </c>
      <c r="C638" s="164" t="str">
        <f ca="1">IFERROR(__xludf.DUMMYFUNCTION("""COMPUTED_VALUE"""),"Desktop Computer – (MSI PRO DP180)")</f>
        <v>Desktop Computer – (MSI PRO DP180)</v>
      </c>
      <c r="D638" s="164"/>
      <c r="E638" s="164"/>
      <c r="F638" s="164" t="str">
        <f ca="1">IFERROR(__xludf.DUMMYFUNCTION("""COMPUTED_VALUE"""),"HVSPLIT-102-24-05-01-183")</f>
        <v>HVSPLIT-102-24-05-01-183</v>
      </c>
      <c r="G638" s="164"/>
      <c r="H638" s="164"/>
      <c r="I638" s="164"/>
      <c r="J638" s="164"/>
      <c r="K638" s="164"/>
      <c r="L638" s="164" t="str">
        <f ca="1">IFERROR(__xludf.DUMMYFUNCTION("""COMPUTED_VALUE"""),"PLANNING SERVICES")</f>
        <v>PLANNING SERVICES</v>
      </c>
      <c r="M638" s="164" t="str">
        <f ca="1">IFERROR(__xludf.DUMMYFUNCTION("""COMPUTED_VALUE"""),"SERVICEABLE")</f>
        <v>SERVICEABLE</v>
      </c>
      <c r="N638" s="164"/>
    </row>
    <row r="639" spans="1:14" ht="13.2">
      <c r="A639" s="164" t="str">
        <f ca="1">IFERROR(__xludf.DUMMYFUNCTION("""COMPUTED_VALUE"""),"DARCO")</f>
        <v>DARCO</v>
      </c>
      <c r="B639" s="164" t="str">
        <f ca="1">IFERROR(__xludf.DUMMYFUNCTION("""COMPUTED_VALUE"""),"CENTRAL OFFICE")</f>
        <v>CENTRAL OFFICE</v>
      </c>
      <c r="C639" s="164" t="str">
        <f ca="1">IFERROR(__xludf.DUMMYFUNCTION("""COMPUTED_VALUE"""),"Desktop Computer – (MSI PRO DP180)")</f>
        <v>Desktop Computer – (MSI PRO DP180)</v>
      </c>
      <c r="D639" s="164"/>
      <c r="E639" s="164"/>
      <c r="F639" s="164" t="str">
        <f ca="1">IFERROR(__xludf.DUMMYFUNCTION("""COMPUTED_VALUE"""),"HVSPLIT-102-24-05-01-184")</f>
        <v>HVSPLIT-102-24-05-01-184</v>
      </c>
      <c r="G639" s="164"/>
      <c r="H639" s="164"/>
      <c r="I639" s="164"/>
      <c r="J639" s="164"/>
      <c r="K639" s="164"/>
      <c r="L639" s="164" t="str">
        <f ca="1">IFERROR(__xludf.DUMMYFUNCTION("""COMPUTED_VALUE"""),"OD FASPO")</f>
        <v>OD FASPO</v>
      </c>
      <c r="M639" s="164" t="str">
        <f ca="1">IFERROR(__xludf.DUMMYFUNCTION("""COMPUTED_VALUE"""),"SERVICEABLE")</f>
        <v>SERVICEABLE</v>
      </c>
      <c r="N639" s="164"/>
    </row>
    <row r="640" spans="1:14" ht="13.2">
      <c r="A640" s="164" t="str">
        <f ca="1">IFERROR(__xludf.DUMMYFUNCTION("""COMPUTED_VALUE"""),"DARCO")</f>
        <v>DARCO</v>
      </c>
      <c r="B640" s="164" t="str">
        <f ca="1">IFERROR(__xludf.DUMMYFUNCTION("""COMPUTED_VALUE"""),"CENTRAL OFFICE")</f>
        <v>CENTRAL OFFICE</v>
      </c>
      <c r="C640" s="164" t="str">
        <f ca="1">IFERROR(__xludf.DUMMYFUNCTION("""COMPUTED_VALUE"""),"Desktop Computer – (MSI PRO DP180)")</f>
        <v>Desktop Computer – (MSI PRO DP180)</v>
      </c>
      <c r="D640" s="164"/>
      <c r="E640" s="164"/>
      <c r="F640" s="164" t="str">
        <f ca="1">IFERROR(__xludf.DUMMYFUNCTION("""COMPUTED_VALUE"""),"HVSPLIT-102-24-05-01-185")</f>
        <v>HVSPLIT-102-24-05-01-185</v>
      </c>
      <c r="G640" s="164"/>
      <c r="H640" s="164"/>
      <c r="I640" s="164"/>
      <c r="J640" s="164"/>
      <c r="K640" s="164"/>
      <c r="L640" s="164" t="str">
        <f ca="1">IFERROR(__xludf.DUMMYFUNCTION("""COMPUTED_VALUE"""),"OD FASPO")</f>
        <v>OD FASPO</v>
      </c>
      <c r="M640" s="164" t="str">
        <f ca="1">IFERROR(__xludf.DUMMYFUNCTION("""COMPUTED_VALUE"""),"SERVICEABLE")</f>
        <v>SERVICEABLE</v>
      </c>
      <c r="N640" s="164"/>
    </row>
    <row r="641" spans="1:14" ht="13.2">
      <c r="A641" s="164" t="str">
        <f ca="1">IFERROR(__xludf.DUMMYFUNCTION("""COMPUTED_VALUE"""),"DARCO")</f>
        <v>DARCO</v>
      </c>
      <c r="B641" s="164" t="str">
        <f ca="1">IFERROR(__xludf.DUMMYFUNCTION("""COMPUTED_VALUE"""),"CENTRAL OFFICE")</f>
        <v>CENTRAL OFFICE</v>
      </c>
      <c r="C641" s="164" t="str">
        <f ca="1">IFERROR(__xludf.DUMMYFUNCTION("""COMPUTED_VALUE"""),"Desktop Computer – (MSI PRO DP180)")</f>
        <v>Desktop Computer – (MSI PRO DP180)</v>
      </c>
      <c r="D641" s="164"/>
      <c r="E641" s="164"/>
      <c r="F641" s="164" t="str">
        <f ca="1">IFERROR(__xludf.DUMMYFUNCTION("""COMPUTED_VALUE"""),"HVSPLIT-102-24-05-01-186")</f>
        <v>HVSPLIT-102-24-05-01-186</v>
      </c>
      <c r="G641" s="164"/>
      <c r="H641" s="164"/>
      <c r="I641" s="164"/>
      <c r="J641" s="164"/>
      <c r="K641" s="164"/>
      <c r="L641" s="164" t="str">
        <f ca="1">IFERROR(__xludf.DUMMYFUNCTION("""COMPUTED_VALUE"""),"OD FASPO")</f>
        <v>OD FASPO</v>
      </c>
      <c r="M641" s="164" t="str">
        <f ca="1">IFERROR(__xludf.DUMMYFUNCTION("""COMPUTED_VALUE"""),"SERVICEABLE")</f>
        <v>SERVICEABLE</v>
      </c>
      <c r="N641" s="164"/>
    </row>
    <row r="642" spans="1:14" ht="13.2">
      <c r="A642" s="164" t="str">
        <f ca="1">IFERROR(__xludf.DUMMYFUNCTION("""COMPUTED_VALUE"""),"DARCO")</f>
        <v>DARCO</v>
      </c>
      <c r="B642" s="164" t="str">
        <f ca="1">IFERROR(__xludf.DUMMYFUNCTION("""COMPUTED_VALUE"""),"CENTRAL OFFICE")</f>
        <v>CENTRAL OFFICE</v>
      </c>
      <c r="C642" s="164" t="str">
        <f ca="1">IFERROR(__xludf.DUMMYFUNCTION("""COMPUTED_VALUE"""),"Desktop Computer – (MSI PRO DP180)")</f>
        <v>Desktop Computer – (MSI PRO DP180)</v>
      </c>
      <c r="D642" s="164"/>
      <c r="E642" s="164"/>
      <c r="F642" s="164" t="str">
        <f ca="1">IFERROR(__xludf.DUMMYFUNCTION("""COMPUTED_VALUE"""),"HVSPLIT-102-24-05-01-187")</f>
        <v>HVSPLIT-102-24-05-01-187</v>
      </c>
      <c r="G642" s="164"/>
      <c r="H642" s="164"/>
      <c r="I642" s="164"/>
      <c r="J642" s="164"/>
      <c r="K642" s="164"/>
      <c r="L642" s="164" t="str">
        <f ca="1">IFERROR(__xludf.DUMMYFUNCTION("""COMPUTED_VALUE"""),"OD ADMINISTRATIVE SERVICE")</f>
        <v>OD ADMINISTRATIVE SERVICE</v>
      </c>
      <c r="M642" s="164" t="str">
        <f ca="1">IFERROR(__xludf.DUMMYFUNCTION("""COMPUTED_VALUE"""),"SERVICEABLE")</f>
        <v>SERVICEABLE</v>
      </c>
      <c r="N642" s="164"/>
    </row>
    <row r="643" spans="1:14" ht="13.2">
      <c r="A643" s="164" t="str">
        <f ca="1">IFERROR(__xludf.DUMMYFUNCTION("""COMPUTED_VALUE"""),"DARCO")</f>
        <v>DARCO</v>
      </c>
      <c r="B643" s="164" t="str">
        <f ca="1">IFERROR(__xludf.DUMMYFUNCTION("""COMPUTED_VALUE"""),"CENTRAL OFFICE")</f>
        <v>CENTRAL OFFICE</v>
      </c>
      <c r="C643" s="164" t="str">
        <f ca="1">IFERROR(__xludf.DUMMYFUNCTION("""COMPUTED_VALUE"""),"Desktop Computer – (MSI PRO DP180)")</f>
        <v>Desktop Computer – (MSI PRO DP180)</v>
      </c>
      <c r="D643" s="164"/>
      <c r="E643" s="164"/>
      <c r="F643" s="164" t="str">
        <f ca="1">IFERROR(__xludf.DUMMYFUNCTION("""COMPUTED_VALUE"""),"HVSPLIT-102-24-05-01-188")</f>
        <v>HVSPLIT-102-24-05-01-188</v>
      </c>
      <c r="G643" s="164"/>
      <c r="H643" s="164"/>
      <c r="I643" s="164"/>
      <c r="J643" s="164"/>
      <c r="K643" s="164"/>
      <c r="L643" s="164" t="str">
        <f ca="1">IFERROR(__xludf.DUMMYFUNCTION("""COMPUTED_VALUE"""),"OD ADMINISTRATIVE SERVICE")</f>
        <v>OD ADMINISTRATIVE SERVICE</v>
      </c>
      <c r="M643" s="164" t="str">
        <f ca="1">IFERROR(__xludf.DUMMYFUNCTION("""COMPUTED_VALUE"""),"SERVICEABLE")</f>
        <v>SERVICEABLE</v>
      </c>
      <c r="N643" s="164"/>
    </row>
    <row r="644" spans="1:14" ht="13.2">
      <c r="A644" s="164" t="str">
        <f ca="1">IFERROR(__xludf.DUMMYFUNCTION("""COMPUTED_VALUE"""),"DARCO")</f>
        <v>DARCO</v>
      </c>
      <c r="B644" s="164" t="str">
        <f ca="1">IFERROR(__xludf.DUMMYFUNCTION("""COMPUTED_VALUE"""),"CENTRAL OFFICE")</f>
        <v>CENTRAL OFFICE</v>
      </c>
      <c r="C644" s="164" t="str">
        <f ca="1">IFERROR(__xludf.DUMMYFUNCTION("""COMPUTED_VALUE"""),"Desktop Computer – (MSI PRO DP180)")</f>
        <v>Desktop Computer – (MSI PRO DP180)</v>
      </c>
      <c r="D644" s="164"/>
      <c r="E644" s="164"/>
      <c r="F644" s="164" t="str">
        <f ca="1">IFERROR(__xludf.DUMMYFUNCTION("""COMPUTED_VALUE"""),"HVSPLIT-102-24-05-01-189")</f>
        <v>HVSPLIT-102-24-05-01-189</v>
      </c>
      <c r="G644" s="164"/>
      <c r="H644" s="164"/>
      <c r="I644" s="164"/>
      <c r="J644" s="164"/>
      <c r="K644" s="164"/>
      <c r="L644" s="164" t="str">
        <f ca="1">IFERROR(__xludf.DUMMYFUNCTION("""COMPUTED_VALUE"""),"OD ADMINISTRATIVE SERVICE")</f>
        <v>OD ADMINISTRATIVE SERVICE</v>
      </c>
      <c r="M644" s="164" t="str">
        <f ca="1">IFERROR(__xludf.DUMMYFUNCTION("""COMPUTED_VALUE"""),"SERVICEABLE")</f>
        <v>SERVICEABLE</v>
      </c>
      <c r="N644" s="164"/>
    </row>
    <row r="645" spans="1:14" ht="13.2">
      <c r="A645" s="164" t="str">
        <f ca="1">IFERROR(__xludf.DUMMYFUNCTION("""COMPUTED_VALUE"""),"DARCO")</f>
        <v>DARCO</v>
      </c>
      <c r="B645" s="164" t="str">
        <f ca="1">IFERROR(__xludf.DUMMYFUNCTION("""COMPUTED_VALUE"""),"CENTRAL OFFICE")</f>
        <v>CENTRAL OFFICE</v>
      </c>
      <c r="C645" s="164" t="str">
        <f ca="1">IFERROR(__xludf.DUMMYFUNCTION("""COMPUTED_VALUE"""),"Desktop Computer – (MSI PRO DP180)")</f>
        <v>Desktop Computer – (MSI PRO DP180)</v>
      </c>
      <c r="D645" s="164"/>
      <c r="E645" s="164"/>
      <c r="F645" s="164" t="str">
        <f ca="1">IFERROR(__xludf.DUMMYFUNCTION("""COMPUTED_VALUE"""),"HVSPLIT-102-24-05-01-190")</f>
        <v>HVSPLIT-102-24-05-01-190</v>
      </c>
      <c r="G645" s="164"/>
      <c r="H645" s="164"/>
      <c r="I645" s="164"/>
      <c r="J645" s="164"/>
      <c r="K645" s="164"/>
      <c r="L645" s="164" t="str">
        <f ca="1">IFERROR(__xludf.DUMMYFUNCTION("""COMPUTED_VALUE"""),"BALA")</f>
        <v>BALA</v>
      </c>
      <c r="M645" s="164" t="str">
        <f ca="1">IFERROR(__xludf.DUMMYFUNCTION("""COMPUTED_VALUE"""),"SERVICEABLE")</f>
        <v>SERVICEABLE</v>
      </c>
      <c r="N645" s="164"/>
    </row>
    <row r="646" spans="1:14" ht="13.2">
      <c r="A646" s="164" t="str">
        <f ca="1">IFERROR(__xludf.DUMMYFUNCTION("""COMPUTED_VALUE"""),"DARCO")</f>
        <v>DARCO</v>
      </c>
      <c r="B646" s="164" t="str">
        <f ca="1">IFERROR(__xludf.DUMMYFUNCTION("""COMPUTED_VALUE"""),"CENTRAL OFFICE")</f>
        <v>CENTRAL OFFICE</v>
      </c>
      <c r="C646" s="164" t="str">
        <f ca="1">IFERROR(__xludf.DUMMYFUNCTION("""COMPUTED_VALUE"""),"Desktop Computer – (MSI PRO DP180)")</f>
        <v>Desktop Computer – (MSI PRO DP180)</v>
      </c>
      <c r="D646" s="164"/>
      <c r="E646" s="164"/>
      <c r="F646" s="164" t="str">
        <f ca="1">IFERROR(__xludf.DUMMYFUNCTION("""COMPUTED_VALUE"""),"HVSPLIT-102-24-05-01-191")</f>
        <v>HVSPLIT-102-24-05-01-191</v>
      </c>
      <c r="G646" s="164"/>
      <c r="H646" s="164"/>
      <c r="I646" s="164"/>
      <c r="J646" s="164"/>
      <c r="K646" s="164"/>
      <c r="L646" s="164" t="str">
        <f ca="1">IFERROR(__xludf.DUMMYFUNCTION("""COMPUTED_VALUE"""),"BALA")</f>
        <v>BALA</v>
      </c>
      <c r="M646" s="164" t="str">
        <f ca="1">IFERROR(__xludf.DUMMYFUNCTION("""COMPUTED_VALUE"""),"SERVICEABLE")</f>
        <v>SERVICEABLE</v>
      </c>
      <c r="N646" s="164"/>
    </row>
    <row r="647" spans="1:14" ht="13.2">
      <c r="A647" s="164" t="str">
        <f ca="1">IFERROR(__xludf.DUMMYFUNCTION("""COMPUTED_VALUE"""),"DARCO")</f>
        <v>DARCO</v>
      </c>
      <c r="B647" s="164" t="str">
        <f ca="1">IFERROR(__xludf.DUMMYFUNCTION("""COMPUTED_VALUE"""),"CENTRAL OFFICE")</f>
        <v>CENTRAL OFFICE</v>
      </c>
      <c r="C647" s="164" t="str">
        <f ca="1">IFERROR(__xludf.DUMMYFUNCTION("""COMPUTED_VALUE"""),"Desktop Computer – (MSI PRO DP180)")</f>
        <v>Desktop Computer – (MSI PRO DP180)</v>
      </c>
      <c r="D647" s="164"/>
      <c r="E647" s="164"/>
      <c r="F647" s="164" t="str">
        <f ca="1">IFERROR(__xludf.DUMMYFUNCTION("""COMPUTED_VALUE"""),"HVSPLIT-102-24-05-01-192")</f>
        <v>HVSPLIT-102-24-05-01-192</v>
      </c>
      <c r="G647" s="164"/>
      <c r="H647" s="164"/>
      <c r="I647" s="164"/>
      <c r="J647" s="164"/>
      <c r="K647" s="164"/>
      <c r="L647" s="164" t="str">
        <f ca="1">IFERROR(__xludf.DUMMYFUNCTION("""COMPUTED_VALUE"""),"BALA")</f>
        <v>BALA</v>
      </c>
      <c r="M647" s="164" t="str">
        <f ca="1">IFERROR(__xludf.DUMMYFUNCTION("""COMPUTED_VALUE"""),"SERVICEABLE")</f>
        <v>SERVICEABLE</v>
      </c>
      <c r="N647" s="164"/>
    </row>
    <row r="648" spans="1:14" ht="13.2">
      <c r="A648" s="164" t="str">
        <f ca="1">IFERROR(__xludf.DUMMYFUNCTION("""COMPUTED_VALUE"""),"DARCO")</f>
        <v>DARCO</v>
      </c>
      <c r="B648" s="164" t="str">
        <f ca="1">IFERROR(__xludf.DUMMYFUNCTION("""COMPUTED_VALUE"""),"CENTRAL OFFICE")</f>
        <v>CENTRAL OFFICE</v>
      </c>
      <c r="C648" s="164" t="str">
        <f ca="1">IFERROR(__xludf.DUMMYFUNCTION("""COMPUTED_VALUE"""),"Desktop Computer – (MSI PRO DP180)")</f>
        <v>Desktop Computer – (MSI PRO DP180)</v>
      </c>
      <c r="D648" s="164"/>
      <c r="E648" s="164"/>
      <c r="F648" s="164" t="str">
        <f ca="1">IFERROR(__xludf.DUMMYFUNCTION("""COMPUTED_VALUE"""),"HVSPLIT-102-24-05-01-193")</f>
        <v>HVSPLIT-102-24-05-01-193</v>
      </c>
      <c r="G648" s="164"/>
      <c r="H648" s="164"/>
      <c r="I648" s="164"/>
      <c r="J648" s="164"/>
      <c r="K648" s="164"/>
      <c r="L648" s="164" t="str">
        <f ca="1">IFERROR(__xludf.DUMMYFUNCTION("""COMPUTED_VALUE"""),"BALA")</f>
        <v>BALA</v>
      </c>
      <c r="M648" s="164" t="str">
        <f ca="1">IFERROR(__xludf.DUMMYFUNCTION("""COMPUTED_VALUE"""),"SERVICEABLE")</f>
        <v>SERVICEABLE</v>
      </c>
      <c r="N648" s="164"/>
    </row>
    <row r="649" spans="1:14" ht="13.2">
      <c r="A649" s="164" t="str">
        <f ca="1">IFERROR(__xludf.DUMMYFUNCTION("""COMPUTED_VALUE"""),"DARCO")</f>
        <v>DARCO</v>
      </c>
      <c r="B649" s="164" t="str">
        <f ca="1">IFERROR(__xludf.DUMMYFUNCTION("""COMPUTED_VALUE"""),"CENTRAL OFFICE")</f>
        <v>CENTRAL OFFICE</v>
      </c>
      <c r="C649" s="164" t="str">
        <f ca="1">IFERROR(__xludf.DUMMYFUNCTION("""COMPUTED_VALUE"""),"Desktop Computer – (MSI PRO DP180)")</f>
        <v>Desktop Computer – (MSI PRO DP180)</v>
      </c>
      <c r="D649" s="164"/>
      <c r="E649" s="164"/>
      <c r="F649" s="164" t="str">
        <f ca="1">IFERROR(__xludf.DUMMYFUNCTION("""COMPUTED_VALUE"""),"HVSPLIT-102-24-05-01-194")</f>
        <v>HVSPLIT-102-24-05-01-194</v>
      </c>
      <c r="G649" s="164"/>
      <c r="H649" s="164"/>
      <c r="I649" s="164"/>
      <c r="J649" s="164"/>
      <c r="K649" s="164"/>
      <c r="L649" s="164" t="str">
        <f ca="1">IFERROR(__xludf.DUMMYFUNCTION("""COMPUTED_VALUE"""),"BALA")</f>
        <v>BALA</v>
      </c>
      <c r="M649" s="164" t="str">
        <f ca="1">IFERROR(__xludf.DUMMYFUNCTION("""COMPUTED_VALUE"""),"SERVICEABLE")</f>
        <v>SERVICEABLE</v>
      </c>
      <c r="N649" s="164"/>
    </row>
    <row r="650" spans="1:14" ht="13.2">
      <c r="A650" s="164" t="str">
        <f ca="1">IFERROR(__xludf.DUMMYFUNCTION("""COMPUTED_VALUE"""),"DARCO")</f>
        <v>DARCO</v>
      </c>
      <c r="B650" s="164" t="str">
        <f ca="1">IFERROR(__xludf.DUMMYFUNCTION("""COMPUTED_VALUE"""),"CENTRAL OFFICE")</f>
        <v>CENTRAL OFFICE</v>
      </c>
      <c r="C650" s="164" t="str">
        <f ca="1">IFERROR(__xludf.DUMMYFUNCTION("""COMPUTED_VALUE"""),"Desktop Computer – (MSI PRO DP180)")</f>
        <v>Desktop Computer – (MSI PRO DP180)</v>
      </c>
      <c r="D650" s="164"/>
      <c r="E650" s="164"/>
      <c r="F650" s="164" t="str">
        <f ca="1">IFERROR(__xludf.DUMMYFUNCTION("""COMPUTED_VALUE"""),"HVSPLIT-102-24-05-01-195")</f>
        <v>HVSPLIT-102-24-05-01-195</v>
      </c>
      <c r="G650" s="164"/>
      <c r="H650" s="164"/>
      <c r="I650" s="164"/>
      <c r="J650" s="164"/>
      <c r="K650" s="164"/>
      <c r="L650" s="164" t="str">
        <f ca="1">IFERROR(__xludf.DUMMYFUNCTION("""COMPUTED_VALUE"""),"BALA")</f>
        <v>BALA</v>
      </c>
      <c r="M650" s="164" t="str">
        <f ca="1">IFERROR(__xludf.DUMMYFUNCTION("""COMPUTED_VALUE"""),"SERVICEABLE")</f>
        <v>SERVICEABLE</v>
      </c>
      <c r="N650" s="164"/>
    </row>
    <row r="651" spans="1:14" ht="13.2">
      <c r="A651" s="164" t="str">
        <f ca="1">IFERROR(__xludf.DUMMYFUNCTION("""COMPUTED_VALUE"""),"DARCO")</f>
        <v>DARCO</v>
      </c>
      <c r="B651" s="164" t="str">
        <f ca="1">IFERROR(__xludf.DUMMYFUNCTION("""COMPUTED_VALUE"""),"CENTRAL OFFICE")</f>
        <v>CENTRAL OFFICE</v>
      </c>
      <c r="C651" s="164" t="str">
        <f ca="1">IFERROR(__xludf.DUMMYFUNCTION("""COMPUTED_VALUE"""),"Desktop Computer – (MSI PRO DP180)")</f>
        <v>Desktop Computer – (MSI PRO DP180)</v>
      </c>
      <c r="D651" s="164"/>
      <c r="E651" s="164"/>
      <c r="F651" s="164" t="str">
        <f ca="1">IFERROR(__xludf.DUMMYFUNCTION("""COMPUTED_VALUE"""),"HVSPLIT-102-24-05-01-196")</f>
        <v>HVSPLIT-102-24-05-01-196</v>
      </c>
      <c r="G651" s="164"/>
      <c r="H651" s="164"/>
      <c r="I651" s="164"/>
      <c r="J651" s="164"/>
      <c r="K651" s="164"/>
      <c r="L651" s="164" t="str">
        <f ca="1">IFERROR(__xludf.DUMMYFUNCTION("""COMPUTED_VALUE"""),"BALA")</f>
        <v>BALA</v>
      </c>
      <c r="M651" s="164" t="str">
        <f ca="1">IFERROR(__xludf.DUMMYFUNCTION("""COMPUTED_VALUE"""),"SERVICEABLE")</f>
        <v>SERVICEABLE</v>
      </c>
      <c r="N651" s="164"/>
    </row>
    <row r="652" spans="1:14" ht="13.2">
      <c r="A652" s="164" t="str">
        <f ca="1">IFERROR(__xludf.DUMMYFUNCTION("""COMPUTED_VALUE"""),"DARCO")</f>
        <v>DARCO</v>
      </c>
      <c r="B652" s="164" t="str">
        <f ca="1">IFERROR(__xludf.DUMMYFUNCTION("""COMPUTED_VALUE"""),"CENTRAL OFFICE")</f>
        <v>CENTRAL OFFICE</v>
      </c>
      <c r="C652" s="164" t="str">
        <f ca="1">IFERROR(__xludf.DUMMYFUNCTION("""COMPUTED_VALUE"""),"Desktop Computer – (MSI PRO DP180)")</f>
        <v>Desktop Computer – (MSI PRO DP180)</v>
      </c>
      <c r="D652" s="164"/>
      <c r="E652" s="164"/>
      <c r="F652" s="164" t="str">
        <f ca="1">IFERROR(__xludf.DUMMYFUNCTION("""COMPUTED_VALUE"""),"HVSPLIT-102-24-05-01-197")</f>
        <v>HVSPLIT-102-24-05-01-197</v>
      </c>
      <c r="G652" s="164"/>
      <c r="H652" s="164"/>
      <c r="I652" s="164"/>
      <c r="J652" s="164"/>
      <c r="K652" s="164"/>
      <c r="L652" s="164" t="str">
        <f ca="1">IFERROR(__xludf.DUMMYFUNCTION("""COMPUTED_VALUE"""),"BALA")</f>
        <v>BALA</v>
      </c>
      <c r="M652" s="164" t="str">
        <f ca="1">IFERROR(__xludf.DUMMYFUNCTION("""COMPUTED_VALUE"""),"SERVICEABLE")</f>
        <v>SERVICEABLE</v>
      </c>
      <c r="N652" s="164"/>
    </row>
    <row r="653" spans="1:14" ht="13.2">
      <c r="A653" s="164" t="str">
        <f ca="1">IFERROR(__xludf.DUMMYFUNCTION("""COMPUTED_VALUE"""),"DARCO")</f>
        <v>DARCO</v>
      </c>
      <c r="B653" s="164" t="str">
        <f ca="1">IFERROR(__xludf.DUMMYFUNCTION("""COMPUTED_VALUE"""),"CENTRAL OFFICE")</f>
        <v>CENTRAL OFFICE</v>
      </c>
      <c r="C653" s="164" t="str">
        <f ca="1">IFERROR(__xludf.DUMMYFUNCTION("""COMPUTED_VALUE"""),"Desktop Computer – (MSI PRO DP180)")</f>
        <v>Desktop Computer – (MSI PRO DP180)</v>
      </c>
      <c r="D653" s="164"/>
      <c r="E653" s="164"/>
      <c r="F653" s="164" t="str">
        <f ca="1">IFERROR(__xludf.DUMMYFUNCTION("""COMPUTED_VALUE"""),"HVSPLIT-102-24-05-01-198")</f>
        <v>HVSPLIT-102-24-05-01-198</v>
      </c>
      <c r="G653" s="164"/>
      <c r="H653" s="164"/>
      <c r="I653" s="164"/>
      <c r="J653" s="164"/>
      <c r="K653" s="164"/>
      <c r="L653" s="164" t="str">
        <f ca="1">IFERROR(__xludf.DUMMYFUNCTION("""COMPUTED_VALUE"""),"BALA")</f>
        <v>BALA</v>
      </c>
      <c r="M653" s="164" t="str">
        <f ca="1">IFERROR(__xludf.DUMMYFUNCTION("""COMPUTED_VALUE"""),"SERVICEABLE")</f>
        <v>SERVICEABLE</v>
      </c>
      <c r="N653" s="164"/>
    </row>
    <row r="654" spans="1:14" ht="13.2">
      <c r="A654" s="164" t="str">
        <f ca="1">IFERROR(__xludf.DUMMYFUNCTION("""COMPUTED_VALUE"""),"DARCO")</f>
        <v>DARCO</v>
      </c>
      <c r="B654" s="164" t="str">
        <f ca="1">IFERROR(__xludf.DUMMYFUNCTION("""COMPUTED_VALUE"""),"CENTRAL OFFICE")</f>
        <v>CENTRAL OFFICE</v>
      </c>
      <c r="C654" s="164" t="str">
        <f ca="1">IFERROR(__xludf.DUMMYFUNCTION("""COMPUTED_VALUE"""),"Desktop Computer – (MSI PRO DP180)")</f>
        <v>Desktop Computer – (MSI PRO DP180)</v>
      </c>
      <c r="D654" s="164"/>
      <c r="E654" s="164"/>
      <c r="F654" s="164" t="str">
        <f ca="1">IFERROR(__xludf.DUMMYFUNCTION("""COMPUTED_VALUE"""),"HVSPLIT-102-24-05-01-199")</f>
        <v>HVSPLIT-102-24-05-01-199</v>
      </c>
      <c r="G654" s="164"/>
      <c r="H654" s="164"/>
      <c r="I654" s="164"/>
      <c r="J654" s="164"/>
      <c r="K654" s="164"/>
      <c r="L654" s="164" t="str">
        <f ca="1">IFERROR(__xludf.DUMMYFUNCTION("""COMPUTED_VALUE"""),"BALA")</f>
        <v>BALA</v>
      </c>
      <c r="M654" s="164" t="str">
        <f ca="1">IFERROR(__xludf.DUMMYFUNCTION("""COMPUTED_VALUE"""),"SERVICEABLE")</f>
        <v>SERVICEABLE</v>
      </c>
      <c r="N654" s="164"/>
    </row>
    <row r="655" spans="1:14" ht="13.2">
      <c r="A655" s="164" t="str">
        <f ca="1">IFERROR(__xludf.DUMMYFUNCTION("""COMPUTED_VALUE"""),"DARCO")</f>
        <v>DARCO</v>
      </c>
      <c r="B655" s="164" t="str">
        <f ca="1">IFERROR(__xludf.DUMMYFUNCTION("""COMPUTED_VALUE"""),"CENTRAL OFFICE")</f>
        <v>CENTRAL OFFICE</v>
      </c>
      <c r="C655" s="164" t="str">
        <f ca="1">IFERROR(__xludf.DUMMYFUNCTION("""COMPUTED_VALUE"""),"Desktop Computer – (MSI PRO DP180)")</f>
        <v>Desktop Computer – (MSI PRO DP180)</v>
      </c>
      <c r="D655" s="164"/>
      <c r="E655" s="164"/>
      <c r="F655" s="164" t="str">
        <f ca="1">IFERROR(__xludf.DUMMYFUNCTION("""COMPUTED_VALUE"""),"HVSPLIT-102-24-05-01-200")</f>
        <v>HVSPLIT-102-24-05-01-200</v>
      </c>
      <c r="G655" s="164"/>
      <c r="H655" s="164"/>
      <c r="I655" s="164"/>
      <c r="J655" s="164"/>
      <c r="K655" s="164"/>
      <c r="L655" s="164" t="str">
        <f ca="1">IFERROR(__xludf.DUMMYFUNCTION("""COMPUTED_VALUE"""),"BALA")</f>
        <v>BALA</v>
      </c>
      <c r="M655" s="164" t="str">
        <f ca="1">IFERROR(__xludf.DUMMYFUNCTION("""COMPUTED_VALUE"""),"SERVICEABLE")</f>
        <v>SERVICEABLE</v>
      </c>
      <c r="N655" s="164"/>
    </row>
    <row r="656" spans="1:14" ht="13.2">
      <c r="A656" s="164" t="str">
        <f ca="1">IFERROR(__xludf.DUMMYFUNCTION("""COMPUTED_VALUE"""),"DARCO")</f>
        <v>DARCO</v>
      </c>
      <c r="B656" s="164" t="str">
        <f ca="1">IFERROR(__xludf.DUMMYFUNCTION("""COMPUTED_VALUE"""),"CENTRAL OFFICE")</f>
        <v>CENTRAL OFFICE</v>
      </c>
      <c r="C656" s="164" t="str">
        <f ca="1">IFERROR(__xludf.DUMMYFUNCTION("""COMPUTED_VALUE"""),"Desktop Computer – (MSI PRO DP180)")</f>
        <v>Desktop Computer – (MSI PRO DP180)</v>
      </c>
      <c r="D656" s="164"/>
      <c r="E656" s="164"/>
      <c r="F656" s="164" t="str">
        <f ca="1">IFERROR(__xludf.DUMMYFUNCTION("""COMPUTED_VALUE"""),"HVSPLIT-102-24-05-01-201")</f>
        <v>HVSPLIT-102-24-05-01-201</v>
      </c>
      <c r="G656" s="164"/>
      <c r="H656" s="164"/>
      <c r="I656" s="164"/>
      <c r="J656" s="164"/>
      <c r="K656" s="164"/>
      <c r="L656" s="164" t="str">
        <f ca="1">IFERROR(__xludf.DUMMYFUNCTION("""COMPUTED_VALUE"""),"BALA")</f>
        <v>BALA</v>
      </c>
      <c r="M656" s="164" t="str">
        <f ca="1">IFERROR(__xludf.DUMMYFUNCTION("""COMPUTED_VALUE"""),"SERVICEABLE")</f>
        <v>SERVICEABLE</v>
      </c>
      <c r="N656" s="164"/>
    </row>
    <row r="657" spans="1:14" ht="13.2">
      <c r="A657" s="164" t="str">
        <f ca="1">IFERROR(__xludf.DUMMYFUNCTION("""COMPUTED_VALUE"""),"DARCO")</f>
        <v>DARCO</v>
      </c>
      <c r="B657" s="164" t="str">
        <f ca="1">IFERROR(__xludf.DUMMYFUNCTION("""COMPUTED_VALUE"""),"CENTRAL OFFICE")</f>
        <v>CENTRAL OFFICE</v>
      </c>
      <c r="C657" s="164" t="str">
        <f ca="1">IFERROR(__xludf.DUMMYFUNCTION("""COMPUTED_VALUE"""),"Desktop Computer – (MSI PRO DP180)")</f>
        <v>Desktop Computer – (MSI PRO DP180)</v>
      </c>
      <c r="D657" s="164"/>
      <c r="E657" s="164"/>
      <c r="F657" s="164" t="str">
        <f ca="1">IFERROR(__xludf.DUMMYFUNCTION("""COMPUTED_VALUE"""),"HVSPLIT-102-24-05-01-202")</f>
        <v>HVSPLIT-102-24-05-01-202</v>
      </c>
      <c r="G657" s="164"/>
      <c r="H657" s="164"/>
      <c r="I657" s="164"/>
      <c r="J657" s="164"/>
      <c r="K657" s="164"/>
      <c r="L657" s="164" t="str">
        <f ca="1">IFERROR(__xludf.DUMMYFUNCTION("""COMPUTED_VALUE"""),"BALA")</f>
        <v>BALA</v>
      </c>
      <c r="M657" s="164" t="str">
        <f ca="1">IFERROR(__xludf.DUMMYFUNCTION("""COMPUTED_VALUE"""),"SERVICEABLE")</f>
        <v>SERVICEABLE</v>
      </c>
      <c r="N657" s="164"/>
    </row>
    <row r="658" spans="1:14" ht="13.2">
      <c r="A658" s="164" t="str">
        <f ca="1">IFERROR(__xludf.DUMMYFUNCTION("""COMPUTED_VALUE"""),"DARCO")</f>
        <v>DARCO</v>
      </c>
      <c r="B658" s="164" t="str">
        <f ca="1">IFERROR(__xludf.DUMMYFUNCTION("""COMPUTED_VALUE"""),"CENTRAL OFFICE")</f>
        <v>CENTRAL OFFICE</v>
      </c>
      <c r="C658" s="164" t="str">
        <f ca="1">IFERROR(__xludf.DUMMYFUNCTION("""COMPUTED_VALUE"""),"Desktop Computer – (MSI PRO DP180)")</f>
        <v>Desktop Computer – (MSI PRO DP180)</v>
      </c>
      <c r="D658" s="164"/>
      <c r="E658" s="164"/>
      <c r="F658" s="164" t="str">
        <f ca="1">IFERROR(__xludf.DUMMYFUNCTION("""COMPUTED_VALUE"""),"HVSPLIT-102-24-05-01-203")</f>
        <v>HVSPLIT-102-24-05-01-203</v>
      </c>
      <c r="G658" s="164"/>
      <c r="H658" s="164"/>
      <c r="I658" s="164"/>
      <c r="J658" s="164"/>
      <c r="K658" s="164"/>
      <c r="L658" s="164" t="str">
        <f ca="1">IFERROR(__xludf.DUMMYFUNCTION("""COMPUTED_VALUE"""),"BALA")</f>
        <v>BALA</v>
      </c>
      <c r="M658" s="164" t="str">
        <f ca="1">IFERROR(__xludf.DUMMYFUNCTION("""COMPUTED_VALUE"""),"SERVICEABLE")</f>
        <v>SERVICEABLE</v>
      </c>
      <c r="N658" s="164"/>
    </row>
    <row r="659" spans="1:14" ht="13.2">
      <c r="A659" s="164" t="str">
        <f ca="1">IFERROR(__xludf.DUMMYFUNCTION("""COMPUTED_VALUE"""),"DARCO")</f>
        <v>DARCO</v>
      </c>
      <c r="B659" s="164" t="str">
        <f ca="1">IFERROR(__xludf.DUMMYFUNCTION("""COMPUTED_VALUE"""),"CENTRAL OFFICE")</f>
        <v>CENTRAL OFFICE</v>
      </c>
      <c r="C659" s="164" t="str">
        <f ca="1">IFERROR(__xludf.DUMMYFUNCTION("""COMPUTED_VALUE"""),"Desktop Computer – (MSI PRO DP180)")</f>
        <v>Desktop Computer – (MSI PRO DP180)</v>
      </c>
      <c r="D659" s="164"/>
      <c r="E659" s="164"/>
      <c r="F659" s="164" t="str">
        <f ca="1">IFERROR(__xludf.DUMMYFUNCTION("""COMPUTED_VALUE"""),"HVSPLIT-102-24-05-01-204")</f>
        <v>HVSPLIT-102-24-05-01-204</v>
      </c>
      <c r="G659" s="164"/>
      <c r="H659" s="164"/>
      <c r="I659" s="164"/>
      <c r="J659" s="164"/>
      <c r="K659" s="164"/>
      <c r="L659" s="164" t="str">
        <f ca="1">IFERROR(__xludf.DUMMYFUNCTION("""COMPUTED_VALUE"""),"BALA")</f>
        <v>BALA</v>
      </c>
      <c r="M659" s="164" t="str">
        <f ca="1">IFERROR(__xludf.DUMMYFUNCTION("""COMPUTED_VALUE"""),"SERVICEABLE")</f>
        <v>SERVICEABLE</v>
      </c>
      <c r="N659" s="164"/>
    </row>
    <row r="660" spans="1:14" ht="13.2">
      <c r="A660" s="164" t="str">
        <f ca="1">IFERROR(__xludf.DUMMYFUNCTION("""COMPUTED_VALUE"""),"DARCO")</f>
        <v>DARCO</v>
      </c>
      <c r="B660" s="164" t="str">
        <f ca="1">IFERROR(__xludf.DUMMYFUNCTION("""COMPUTED_VALUE"""),"CENTRAL OFFICE")</f>
        <v>CENTRAL OFFICE</v>
      </c>
      <c r="C660" s="164" t="str">
        <f ca="1">IFERROR(__xludf.DUMMYFUNCTION("""COMPUTED_VALUE"""),"Desktop Computer – (MSI PRO DP180)")</f>
        <v>Desktop Computer – (MSI PRO DP180)</v>
      </c>
      <c r="D660" s="164"/>
      <c r="E660" s="164"/>
      <c r="F660" s="164" t="str">
        <f ca="1">IFERROR(__xludf.DUMMYFUNCTION("""COMPUTED_VALUE"""),"HVSPLIT-102-24-05-01-205")</f>
        <v>HVSPLIT-102-24-05-01-205</v>
      </c>
      <c r="G660" s="164"/>
      <c r="H660" s="164"/>
      <c r="I660" s="164"/>
      <c r="J660" s="164"/>
      <c r="K660" s="164"/>
      <c r="L660" s="164" t="str">
        <f ca="1">IFERROR(__xludf.DUMMYFUNCTION("""COMPUTED_VALUE"""),"BALA")</f>
        <v>BALA</v>
      </c>
      <c r="M660" s="164" t="str">
        <f ca="1">IFERROR(__xludf.DUMMYFUNCTION("""COMPUTED_VALUE"""),"SERVICEABLE")</f>
        <v>SERVICEABLE</v>
      </c>
      <c r="N660" s="164"/>
    </row>
    <row r="661" spans="1:14" ht="13.2">
      <c r="A661" s="164" t="str">
        <f ca="1">IFERROR(__xludf.DUMMYFUNCTION("""COMPUTED_VALUE"""),"DARCO")</f>
        <v>DARCO</v>
      </c>
      <c r="B661" s="164" t="str">
        <f ca="1">IFERROR(__xludf.DUMMYFUNCTION("""COMPUTED_VALUE"""),"CENTRAL OFFICE")</f>
        <v>CENTRAL OFFICE</v>
      </c>
      <c r="C661" s="164" t="str">
        <f ca="1">IFERROR(__xludf.DUMMYFUNCTION("""COMPUTED_VALUE"""),"Desktop Computer – (MSI PRO DP180)")</f>
        <v>Desktop Computer – (MSI PRO DP180)</v>
      </c>
      <c r="D661" s="164"/>
      <c r="E661" s="164"/>
      <c r="F661" s="164" t="str">
        <f ca="1">IFERROR(__xludf.DUMMYFUNCTION("""COMPUTED_VALUE"""),"HVSPLIT-102-24-05-01-206")</f>
        <v>HVSPLIT-102-24-05-01-206</v>
      </c>
      <c r="G661" s="164"/>
      <c r="H661" s="164"/>
      <c r="I661" s="164"/>
      <c r="J661" s="164"/>
      <c r="K661" s="164"/>
      <c r="L661" s="164" t="str">
        <f ca="1">IFERROR(__xludf.DUMMYFUNCTION("""COMPUTED_VALUE"""),"BALA")</f>
        <v>BALA</v>
      </c>
      <c r="M661" s="164" t="str">
        <f ca="1">IFERROR(__xludf.DUMMYFUNCTION("""COMPUTED_VALUE"""),"SERVICEABLE")</f>
        <v>SERVICEABLE</v>
      </c>
      <c r="N661" s="164"/>
    </row>
    <row r="662" spans="1:14" ht="13.2">
      <c r="A662" s="164" t="str">
        <f ca="1">IFERROR(__xludf.DUMMYFUNCTION("""COMPUTED_VALUE"""),"DARCO")</f>
        <v>DARCO</v>
      </c>
      <c r="B662" s="164" t="str">
        <f ca="1">IFERROR(__xludf.DUMMYFUNCTION("""COMPUTED_VALUE"""),"CENTRAL OFFICE")</f>
        <v>CENTRAL OFFICE</v>
      </c>
      <c r="C662" s="164" t="str">
        <f ca="1">IFERROR(__xludf.DUMMYFUNCTION("""COMPUTED_VALUE"""),"Desktop Computer – (MSI PRO DP180)")</f>
        <v>Desktop Computer – (MSI PRO DP180)</v>
      </c>
      <c r="D662" s="164"/>
      <c r="E662" s="164"/>
      <c r="F662" s="164" t="str">
        <f ca="1">IFERROR(__xludf.DUMMYFUNCTION("""COMPUTED_VALUE"""),"HVSPLIT-102-24-05-01-207")</f>
        <v>HVSPLIT-102-24-05-01-207</v>
      </c>
      <c r="G662" s="164"/>
      <c r="H662" s="164"/>
      <c r="I662" s="164"/>
      <c r="J662" s="164"/>
      <c r="K662" s="164"/>
      <c r="L662" s="164" t="str">
        <f ca="1">IFERROR(__xludf.DUMMYFUNCTION("""COMPUTED_VALUE"""),"BALA")</f>
        <v>BALA</v>
      </c>
      <c r="M662" s="164" t="str">
        <f ca="1">IFERROR(__xludf.DUMMYFUNCTION("""COMPUTED_VALUE"""),"SERVICEABLE")</f>
        <v>SERVICEABLE</v>
      </c>
      <c r="N662" s="164"/>
    </row>
    <row r="663" spans="1:14" ht="13.2">
      <c r="A663" s="164" t="str">
        <f ca="1">IFERROR(__xludf.DUMMYFUNCTION("""COMPUTED_VALUE"""),"DARCO")</f>
        <v>DARCO</v>
      </c>
      <c r="B663" s="164" t="str">
        <f ca="1">IFERROR(__xludf.DUMMYFUNCTION("""COMPUTED_VALUE"""),"CENTRAL OFFICE")</f>
        <v>CENTRAL OFFICE</v>
      </c>
      <c r="C663" s="164" t="str">
        <f ca="1">IFERROR(__xludf.DUMMYFUNCTION("""COMPUTED_VALUE"""),"Desktop Computer – (MSI PRO DP180)")</f>
        <v>Desktop Computer – (MSI PRO DP180)</v>
      </c>
      <c r="D663" s="164"/>
      <c r="E663" s="164"/>
      <c r="F663" s="164" t="str">
        <f ca="1">IFERROR(__xludf.DUMMYFUNCTION("""COMPUTED_VALUE"""),"HVSPLIT-102-24-05-01-208")</f>
        <v>HVSPLIT-102-24-05-01-208</v>
      </c>
      <c r="G663" s="164"/>
      <c r="H663" s="164"/>
      <c r="I663" s="164"/>
      <c r="J663" s="164"/>
      <c r="K663" s="164"/>
      <c r="L663" s="164" t="str">
        <f ca="1">IFERROR(__xludf.DUMMYFUNCTION("""COMPUTED_VALUE"""),"BALA")</f>
        <v>BALA</v>
      </c>
      <c r="M663" s="164" t="str">
        <f ca="1">IFERROR(__xludf.DUMMYFUNCTION("""COMPUTED_VALUE"""),"SERVICEABLE")</f>
        <v>SERVICEABLE</v>
      </c>
      <c r="N663" s="164"/>
    </row>
    <row r="664" spans="1:14" ht="13.2">
      <c r="A664" s="164" t="str">
        <f ca="1">IFERROR(__xludf.DUMMYFUNCTION("""COMPUTED_VALUE"""),"DARCO")</f>
        <v>DARCO</v>
      </c>
      <c r="B664" s="164" t="str">
        <f ca="1">IFERROR(__xludf.DUMMYFUNCTION("""COMPUTED_VALUE"""),"CENTRAL OFFICE")</f>
        <v>CENTRAL OFFICE</v>
      </c>
      <c r="C664" s="164" t="str">
        <f ca="1">IFERROR(__xludf.DUMMYFUNCTION("""COMPUTED_VALUE"""),"Desktop Computer – (MSI PRO DP180)")</f>
        <v>Desktop Computer – (MSI PRO DP180)</v>
      </c>
      <c r="D664" s="164"/>
      <c r="E664" s="164"/>
      <c r="F664" s="164" t="str">
        <f ca="1">IFERROR(__xludf.DUMMYFUNCTION("""COMPUTED_VALUE"""),"HVSPLIT-102-24-05-01-209")</f>
        <v>HVSPLIT-102-24-05-01-209</v>
      </c>
      <c r="G664" s="164"/>
      <c r="H664" s="164"/>
      <c r="I664" s="164"/>
      <c r="J664" s="164"/>
      <c r="K664" s="164"/>
      <c r="L664" s="164" t="str">
        <f ca="1">IFERROR(__xludf.DUMMYFUNCTION("""COMPUTED_VALUE"""),"BALA")</f>
        <v>BALA</v>
      </c>
      <c r="M664" s="164" t="str">
        <f ca="1">IFERROR(__xludf.DUMMYFUNCTION("""COMPUTED_VALUE"""),"SERVICEABLE")</f>
        <v>SERVICEABLE</v>
      </c>
      <c r="N664" s="164"/>
    </row>
    <row r="665" spans="1:14" ht="13.2">
      <c r="A665" s="164" t="str">
        <f ca="1">IFERROR(__xludf.DUMMYFUNCTION("""COMPUTED_VALUE"""),"DARCO")</f>
        <v>DARCO</v>
      </c>
      <c r="B665" s="164" t="str">
        <f ca="1">IFERROR(__xludf.DUMMYFUNCTION("""COMPUTED_VALUE"""),"CENTRAL OFFICE")</f>
        <v>CENTRAL OFFICE</v>
      </c>
      <c r="C665" s="164" t="str">
        <f ca="1">IFERROR(__xludf.DUMMYFUNCTION("""COMPUTED_VALUE"""),"Desktop Computer – (MSI PRO DP180)")</f>
        <v>Desktop Computer – (MSI PRO DP180)</v>
      </c>
      <c r="D665" s="164"/>
      <c r="E665" s="164"/>
      <c r="F665" s="164" t="str">
        <f ca="1">IFERROR(__xludf.DUMMYFUNCTION("""COMPUTED_VALUE"""),"HVSPLIT-102-24-05-01-210")</f>
        <v>HVSPLIT-102-24-05-01-210</v>
      </c>
      <c r="G665" s="164"/>
      <c r="H665" s="164"/>
      <c r="I665" s="164"/>
      <c r="J665" s="164"/>
      <c r="K665" s="164"/>
      <c r="L665" s="164" t="str">
        <f ca="1">IFERROR(__xludf.DUMMYFUNCTION("""COMPUTED_VALUE"""),"BALA")</f>
        <v>BALA</v>
      </c>
      <c r="M665" s="164" t="str">
        <f ca="1">IFERROR(__xludf.DUMMYFUNCTION("""COMPUTED_VALUE"""),"SERVICEABLE")</f>
        <v>SERVICEABLE</v>
      </c>
      <c r="N665" s="164"/>
    </row>
    <row r="666" spans="1:14" ht="13.2">
      <c r="A666" s="164" t="str">
        <f ca="1">IFERROR(__xludf.DUMMYFUNCTION("""COMPUTED_VALUE"""),"DARCO")</f>
        <v>DARCO</v>
      </c>
      <c r="B666" s="164" t="str">
        <f ca="1">IFERROR(__xludf.DUMMYFUNCTION("""COMPUTED_VALUE"""),"CENTRAL OFFICE")</f>
        <v>CENTRAL OFFICE</v>
      </c>
      <c r="C666" s="164" t="str">
        <f ca="1">IFERROR(__xludf.DUMMYFUNCTION("""COMPUTED_VALUE"""),"Desktop Computer – (MSI PRO DP180)")</f>
        <v>Desktop Computer – (MSI PRO DP180)</v>
      </c>
      <c r="D666" s="164"/>
      <c r="E666" s="164"/>
      <c r="F666" s="164" t="str">
        <f ca="1">IFERROR(__xludf.DUMMYFUNCTION("""COMPUTED_VALUE"""),"HVSPLIT-102-24-05-01-211")</f>
        <v>HVSPLIT-102-24-05-01-211</v>
      </c>
      <c r="G666" s="164"/>
      <c r="H666" s="164"/>
      <c r="I666" s="164"/>
      <c r="J666" s="164"/>
      <c r="K666" s="164"/>
      <c r="L666" s="164" t="str">
        <f ca="1">IFERROR(__xludf.DUMMYFUNCTION("""COMPUTED_VALUE"""),"BALA")</f>
        <v>BALA</v>
      </c>
      <c r="M666" s="164" t="str">
        <f ca="1">IFERROR(__xludf.DUMMYFUNCTION("""COMPUTED_VALUE"""),"SERVICEABLE")</f>
        <v>SERVICEABLE</v>
      </c>
      <c r="N666" s="164"/>
    </row>
    <row r="667" spans="1:14" ht="13.2">
      <c r="A667" s="164" t="str">
        <f ca="1">IFERROR(__xludf.DUMMYFUNCTION("""COMPUTED_VALUE"""),"DARCO")</f>
        <v>DARCO</v>
      </c>
      <c r="B667" s="164" t="str">
        <f ca="1">IFERROR(__xludf.DUMMYFUNCTION("""COMPUTED_VALUE"""),"CENTRAL OFFICE")</f>
        <v>CENTRAL OFFICE</v>
      </c>
      <c r="C667" s="164" t="str">
        <f ca="1">IFERROR(__xludf.DUMMYFUNCTION("""COMPUTED_VALUE"""),"Desktop Computer – (MSI PRO DP180)")</f>
        <v>Desktop Computer – (MSI PRO DP180)</v>
      </c>
      <c r="D667" s="164"/>
      <c r="E667" s="164"/>
      <c r="F667" s="164" t="str">
        <f ca="1">IFERROR(__xludf.DUMMYFUNCTION("""COMPUTED_VALUE"""),"HVSPLIT-102-24-05-01-212")</f>
        <v>HVSPLIT-102-24-05-01-212</v>
      </c>
      <c r="G667" s="164"/>
      <c r="H667" s="164"/>
      <c r="I667" s="164"/>
      <c r="J667" s="164"/>
      <c r="K667" s="164"/>
      <c r="L667" s="164" t="str">
        <f ca="1">IFERROR(__xludf.DUMMYFUNCTION("""COMPUTED_VALUE"""),"BALA")</f>
        <v>BALA</v>
      </c>
      <c r="M667" s="164" t="str">
        <f ca="1">IFERROR(__xludf.DUMMYFUNCTION("""COMPUTED_VALUE"""),"SERVICEABLE")</f>
        <v>SERVICEABLE</v>
      </c>
      <c r="N667" s="164"/>
    </row>
    <row r="668" spans="1:14" ht="13.2">
      <c r="A668" s="164" t="str">
        <f ca="1">IFERROR(__xludf.DUMMYFUNCTION("""COMPUTED_VALUE"""),"DARCO")</f>
        <v>DARCO</v>
      </c>
      <c r="B668" s="164" t="str">
        <f ca="1">IFERROR(__xludf.DUMMYFUNCTION("""COMPUTED_VALUE"""),"CENTRAL OFFICE")</f>
        <v>CENTRAL OFFICE</v>
      </c>
      <c r="C668" s="164" t="str">
        <f ca="1">IFERROR(__xludf.DUMMYFUNCTION("""COMPUTED_VALUE"""),"Desktop Computer – (MSI PRO DP180)")</f>
        <v>Desktop Computer – (MSI PRO DP180)</v>
      </c>
      <c r="D668" s="164"/>
      <c r="E668" s="164"/>
      <c r="F668" s="164" t="str">
        <f ca="1">IFERROR(__xludf.DUMMYFUNCTION("""COMPUTED_VALUE"""),"HVSPLIT-102-24-05-01-213")</f>
        <v>HVSPLIT-102-24-05-01-213</v>
      </c>
      <c r="G668" s="164"/>
      <c r="H668" s="164"/>
      <c r="I668" s="164"/>
      <c r="J668" s="164"/>
      <c r="K668" s="164"/>
      <c r="L668" s="164" t="str">
        <f ca="1">IFERROR(__xludf.DUMMYFUNCTION("""COMPUTED_VALUE"""),"BALA")</f>
        <v>BALA</v>
      </c>
      <c r="M668" s="164" t="str">
        <f ca="1">IFERROR(__xludf.DUMMYFUNCTION("""COMPUTED_VALUE"""),"SERVICEABLE")</f>
        <v>SERVICEABLE</v>
      </c>
      <c r="N668" s="164"/>
    </row>
    <row r="669" spans="1:14" ht="13.2">
      <c r="A669" s="164" t="str">
        <f ca="1">IFERROR(__xludf.DUMMYFUNCTION("""COMPUTED_VALUE"""),"DARCO")</f>
        <v>DARCO</v>
      </c>
      <c r="B669" s="164" t="str">
        <f ca="1">IFERROR(__xludf.DUMMYFUNCTION("""COMPUTED_VALUE"""),"CENTRAL OFFICE")</f>
        <v>CENTRAL OFFICE</v>
      </c>
      <c r="C669" s="164" t="str">
        <f ca="1">IFERROR(__xludf.DUMMYFUNCTION("""COMPUTED_VALUE"""),"Desktop Computer – (MSI PRO DP180)")</f>
        <v>Desktop Computer – (MSI PRO DP180)</v>
      </c>
      <c r="D669" s="164"/>
      <c r="E669" s="164"/>
      <c r="F669" s="164" t="str">
        <f ca="1">IFERROR(__xludf.DUMMYFUNCTION("""COMPUTED_VALUE"""),"HVSPLIT-102-24-05-01-214")</f>
        <v>HVSPLIT-102-24-05-01-214</v>
      </c>
      <c r="G669" s="164"/>
      <c r="H669" s="164"/>
      <c r="I669" s="164"/>
      <c r="J669" s="164"/>
      <c r="K669" s="164"/>
      <c r="L669" s="164" t="str">
        <f ca="1">IFERROR(__xludf.DUMMYFUNCTION("""COMPUTED_VALUE"""),"CPMO")</f>
        <v>CPMO</v>
      </c>
      <c r="M669" s="164" t="str">
        <f ca="1">IFERROR(__xludf.DUMMYFUNCTION("""COMPUTED_VALUE"""),"SERVICEABLE")</f>
        <v>SERVICEABLE</v>
      </c>
      <c r="N669" s="164"/>
    </row>
    <row r="670" spans="1:14" ht="13.2">
      <c r="A670" s="164" t="str">
        <f ca="1">IFERROR(__xludf.DUMMYFUNCTION("""COMPUTED_VALUE"""),"DARCO")</f>
        <v>DARCO</v>
      </c>
      <c r="B670" s="164" t="str">
        <f ca="1">IFERROR(__xludf.DUMMYFUNCTION("""COMPUTED_VALUE"""),"CENTRAL OFFICE")</f>
        <v>CENTRAL OFFICE</v>
      </c>
      <c r="C670" s="164" t="str">
        <f ca="1">IFERROR(__xludf.DUMMYFUNCTION("""COMPUTED_VALUE"""),"Desktop Computer – (MSI PRO DP180)")</f>
        <v>Desktop Computer – (MSI PRO DP180)</v>
      </c>
      <c r="D670" s="164"/>
      <c r="E670" s="164"/>
      <c r="F670" s="164" t="str">
        <f ca="1">IFERROR(__xludf.DUMMYFUNCTION("""COMPUTED_VALUE"""),"HVSPLIT-102-24-05-01-215")</f>
        <v>HVSPLIT-102-24-05-01-215</v>
      </c>
      <c r="G670" s="164"/>
      <c r="H670" s="164"/>
      <c r="I670" s="164"/>
      <c r="J670" s="164"/>
      <c r="K670" s="164"/>
      <c r="L670" s="164" t="str">
        <f ca="1">IFERROR(__xludf.DUMMYFUNCTION("""COMPUTED_VALUE"""),"CPMO")</f>
        <v>CPMO</v>
      </c>
      <c r="M670" s="164" t="str">
        <f ca="1">IFERROR(__xludf.DUMMYFUNCTION("""COMPUTED_VALUE"""),"SERVICEABLE")</f>
        <v>SERVICEABLE</v>
      </c>
      <c r="N670" s="164"/>
    </row>
    <row r="671" spans="1:14" ht="13.2">
      <c r="A671" s="164" t="str">
        <f ca="1">IFERROR(__xludf.DUMMYFUNCTION("""COMPUTED_VALUE"""),"DARCO")</f>
        <v>DARCO</v>
      </c>
      <c r="B671" s="164" t="str">
        <f ca="1">IFERROR(__xludf.DUMMYFUNCTION("""COMPUTED_VALUE"""),"CENTRAL OFFICE")</f>
        <v>CENTRAL OFFICE</v>
      </c>
      <c r="C671" s="164" t="str">
        <f ca="1">IFERROR(__xludf.DUMMYFUNCTION("""COMPUTED_VALUE"""),"Desktop Computer – (MSI PRO DP180)")</f>
        <v>Desktop Computer – (MSI PRO DP180)</v>
      </c>
      <c r="D671" s="164"/>
      <c r="E671" s="164"/>
      <c r="F671" s="164" t="str">
        <f ca="1">IFERROR(__xludf.DUMMYFUNCTION("""COMPUTED_VALUE"""),"HVSPLIT-102-24-05-01-223")</f>
        <v>HVSPLIT-102-24-05-01-223</v>
      </c>
      <c r="G671" s="164"/>
      <c r="H671" s="164"/>
      <c r="I671" s="164"/>
      <c r="J671" s="164"/>
      <c r="K671" s="164"/>
      <c r="L671" s="164" t="str">
        <f ca="1">IFERROR(__xludf.DUMMYFUNCTION("""COMPUTED_VALUE"""),"CPMO")</f>
        <v>CPMO</v>
      </c>
      <c r="M671" s="164" t="str">
        <f ca="1">IFERROR(__xludf.DUMMYFUNCTION("""COMPUTED_VALUE"""),"SERVICEABLE")</f>
        <v>SERVICEABLE</v>
      </c>
      <c r="N671" s="164"/>
    </row>
    <row r="672" spans="1:14" ht="13.2">
      <c r="A672" s="164" t="str">
        <f ca="1">IFERROR(__xludf.DUMMYFUNCTION("""COMPUTED_VALUE"""),"DARCO")</f>
        <v>DARCO</v>
      </c>
      <c r="B672" s="164" t="str">
        <f ca="1">IFERROR(__xludf.DUMMYFUNCTION("""COMPUTED_VALUE"""),"CENTRAL OFFICE")</f>
        <v>CENTRAL OFFICE</v>
      </c>
      <c r="C672" s="164" t="str">
        <f ca="1">IFERROR(__xludf.DUMMYFUNCTION("""COMPUTED_VALUE"""),"Desktop Computer – (MSI PRO DP180)")</f>
        <v>Desktop Computer – (MSI PRO DP180)</v>
      </c>
      <c r="D672" s="164"/>
      <c r="E672" s="164"/>
      <c r="F672" s="164" t="str">
        <f ca="1">IFERROR(__xludf.DUMMYFUNCTION("""COMPUTED_VALUE"""),"HVSPLIT-102-24-05-01-224")</f>
        <v>HVSPLIT-102-24-05-01-224</v>
      </c>
      <c r="G672" s="164"/>
      <c r="H672" s="164"/>
      <c r="I672" s="164"/>
      <c r="J672" s="164"/>
      <c r="K672" s="164"/>
      <c r="L672" s="164" t="str">
        <f ca="1">IFERROR(__xludf.DUMMYFUNCTION("""COMPUTED_VALUE"""),"CPMO")</f>
        <v>CPMO</v>
      </c>
      <c r="M672" s="164" t="str">
        <f ca="1">IFERROR(__xludf.DUMMYFUNCTION("""COMPUTED_VALUE"""),"SERVICEABLE")</f>
        <v>SERVICEABLE</v>
      </c>
      <c r="N672" s="164" t="str">
        <f ca="1">IFERROR(__xludf.DUMMYFUNCTION("""COMPUTED_VALUE"""),"FASPO SPECIAL PROJECT")</f>
        <v>FASPO SPECIAL PROJECT</v>
      </c>
    </row>
    <row r="673" spans="1:14" ht="13.2">
      <c r="A673" s="164" t="str">
        <f ca="1">IFERROR(__xludf.DUMMYFUNCTION("""COMPUTED_VALUE"""),"DARCO")</f>
        <v>DARCO</v>
      </c>
      <c r="B673" s="164" t="str">
        <f ca="1">IFERROR(__xludf.DUMMYFUNCTION("""COMPUTED_VALUE"""),"CENTRAL OFFICE")</f>
        <v>CENTRAL OFFICE</v>
      </c>
      <c r="C673" s="164" t="str">
        <f ca="1">IFERROR(__xludf.DUMMYFUNCTION("""COMPUTED_VALUE"""),"Desktop Computer – (MSI PRO DP180)")</f>
        <v>Desktop Computer – (MSI PRO DP180)</v>
      </c>
      <c r="D673" s="164"/>
      <c r="E673" s="164"/>
      <c r="F673" s="164" t="str">
        <f ca="1">IFERROR(__xludf.DUMMYFUNCTION("""COMPUTED_VALUE"""),"HVSPLIT-102-24-05-01-225")</f>
        <v>HVSPLIT-102-24-05-01-225</v>
      </c>
      <c r="G673" s="164"/>
      <c r="H673" s="164"/>
      <c r="I673" s="164"/>
      <c r="J673" s="164"/>
      <c r="K673" s="164"/>
      <c r="L673" s="164" t="str">
        <f ca="1">IFERROR(__xludf.DUMMYFUNCTION("""COMPUTED_VALUE"""),"CPMO")</f>
        <v>CPMO</v>
      </c>
      <c r="M673" s="164" t="str">
        <f ca="1">IFERROR(__xludf.DUMMYFUNCTION("""COMPUTED_VALUE"""),"SERVICEABLE")</f>
        <v>SERVICEABLE</v>
      </c>
      <c r="N673" s="164"/>
    </row>
    <row r="674" spans="1:14" ht="13.2">
      <c r="A674" s="164" t="str">
        <f ca="1">IFERROR(__xludf.DUMMYFUNCTION("""COMPUTED_VALUE"""),"DARCO")</f>
        <v>DARCO</v>
      </c>
      <c r="B674" s="164" t="str">
        <f ca="1">IFERROR(__xludf.DUMMYFUNCTION("""COMPUTED_VALUE"""),"CENTRAL OFFICE")</f>
        <v>CENTRAL OFFICE</v>
      </c>
      <c r="C674" s="164" t="str">
        <f ca="1">IFERROR(__xludf.DUMMYFUNCTION("""COMPUTED_VALUE"""),"Desktop Computer – (MSI PRO DP180)")</f>
        <v>Desktop Computer – (MSI PRO DP180)</v>
      </c>
      <c r="D674" s="164"/>
      <c r="E674" s="164"/>
      <c r="F674" s="164" t="str">
        <f ca="1">IFERROR(__xludf.DUMMYFUNCTION("""COMPUTED_VALUE"""),"HVSPLIT-102-24-05-01-226")</f>
        <v>HVSPLIT-102-24-05-01-226</v>
      </c>
      <c r="G674" s="164"/>
      <c r="H674" s="164"/>
      <c r="I674" s="164"/>
      <c r="J674" s="164"/>
      <c r="K674" s="164"/>
      <c r="L674" s="164" t="str">
        <f ca="1">IFERROR(__xludf.DUMMYFUNCTION("""COMPUTED_VALUE"""),"CPMO")</f>
        <v>CPMO</v>
      </c>
      <c r="M674" s="164" t="str">
        <f ca="1">IFERROR(__xludf.DUMMYFUNCTION("""COMPUTED_VALUE"""),"SERVICEABLE")</f>
        <v>SERVICEABLE</v>
      </c>
      <c r="N674" s="164"/>
    </row>
    <row r="675" spans="1:14" ht="13.2">
      <c r="A675" s="164" t="str">
        <f ca="1">IFERROR(__xludf.DUMMYFUNCTION("""COMPUTED_VALUE"""),"DARCO")</f>
        <v>DARCO</v>
      </c>
      <c r="B675" s="164" t="str">
        <f ca="1">IFERROR(__xludf.DUMMYFUNCTION("""COMPUTED_VALUE"""),"CENTRAL OFFICE")</f>
        <v>CENTRAL OFFICE</v>
      </c>
      <c r="C675" s="164" t="str">
        <f ca="1">IFERROR(__xludf.DUMMYFUNCTION("""COMPUTED_VALUE"""),"Desktop Computer – (MSI PRO DP180)")</f>
        <v>Desktop Computer – (MSI PRO DP180)</v>
      </c>
      <c r="D675" s="164"/>
      <c r="E675" s="164"/>
      <c r="F675" s="164" t="str">
        <f ca="1">IFERROR(__xludf.DUMMYFUNCTION("""COMPUTED_VALUE"""),"HVSPLIT-102-24-05-01-227")</f>
        <v>HVSPLIT-102-24-05-01-227</v>
      </c>
      <c r="G675" s="164"/>
      <c r="H675" s="164"/>
      <c r="I675" s="164"/>
      <c r="J675" s="164"/>
      <c r="K675" s="164"/>
      <c r="L675" s="164" t="str">
        <f ca="1">IFERROR(__xludf.DUMMYFUNCTION("""COMPUTED_VALUE"""),"CPMO")</f>
        <v>CPMO</v>
      </c>
      <c r="M675" s="164" t="str">
        <f ca="1">IFERROR(__xludf.DUMMYFUNCTION("""COMPUTED_VALUE"""),"SERVICEABLE")</f>
        <v>SERVICEABLE</v>
      </c>
      <c r="N675" s="164"/>
    </row>
    <row r="676" spans="1:14" ht="13.2">
      <c r="A676" s="164" t="str">
        <f ca="1">IFERROR(__xludf.DUMMYFUNCTION("""COMPUTED_VALUE"""),"DARCO")</f>
        <v>DARCO</v>
      </c>
      <c r="B676" s="164" t="str">
        <f ca="1">IFERROR(__xludf.DUMMYFUNCTION("""COMPUTED_VALUE"""),"CENTRAL OFFICE")</f>
        <v>CENTRAL OFFICE</v>
      </c>
      <c r="C676" s="164" t="str">
        <f ca="1">IFERROR(__xludf.DUMMYFUNCTION("""COMPUTED_VALUE"""),"Desktop Computer – (MSI PRO DP180)")</f>
        <v>Desktop Computer – (MSI PRO DP180)</v>
      </c>
      <c r="D676" s="164"/>
      <c r="E676" s="164"/>
      <c r="F676" s="164" t="str">
        <f ca="1">IFERROR(__xludf.DUMMYFUNCTION("""COMPUTED_VALUE"""),"HVSPLIT-102-24-05-01-228")</f>
        <v>HVSPLIT-102-24-05-01-228</v>
      </c>
      <c r="G676" s="164"/>
      <c r="H676" s="164"/>
      <c r="I676" s="164"/>
      <c r="J676" s="164"/>
      <c r="K676" s="164"/>
      <c r="L676" s="164" t="str">
        <f ca="1">IFERROR(__xludf.DUMMYFUNCTION("""COMPUTED_VALUE"""),"CPMO")</f>
        <v>CPMO</v>
      </c>
      <c r="M676" s="164" t="str">
        <f ca="1">IFERROR(__xludf.DUMMYFUNCTION("""COMPUTED_VALUE"""),"SERVICEABLE")</f>
        <v>SERVICEABLE</v>
      </c>
      <c r="N676" s="164"/>
    </row>
    <row r="677" spans="1:14" ht="13.2">
      <c r="A677" s="164" t="str">
        <f ca="1">IFERROR(__xludf.DUMMYFUNCTION("""COMPUTED_VALUE"""),"DARCO")</f>
        <v>DARCO</v>
      </c>
      <c r="B677" s="164" t="str">
        <f ca="1">IFERROR(__xludf.DUMMYFUNCTION("""COMPUTED_VALUE"""),"CENTRAL OFFICE")</f>
        <v>CENTRAL OFFICE</v>
      </c>
      <c r="C677" s="164" t="str">
        <f ca="1">IFERROR(__xludf.DUMMYFUNCTION("""COMPUTED_VALUE"""),"Desktop Computer – (MSI PRO DP180)")</f>
        <v>Desktop Computer – (MSI PRO DP180)</v>
      </c>
      <c r="D677" s="164"/>
      <c r="E677" s="164"/>
      <c r="F677" s="164" t="str">
        <f ca="1">IFERROR(__xludf.DUMMYFUNCTION("""COMPUTED_VALUE"""),"HVSPLIT-102-24-05-01-238")</f>
        <v>HVSPLIT-102-24-05-01-238</v>
      </c>
      <c r="G677" s="164"/>
      <c r="H677" s="164"/>
      <c r="I677" s="164"/>
      <c r="J677" s="164"/>
      <c r="K677" s="164"/>
      <c r="L677" s="164" t="str">
        <f ca="1">IFERROR(__xludf.DUMMYFUNCTION("""COMPUTED_VALUE"""),"REGIONAL ESS COORDINATOR")</f>
        <v>REGIONAL ESS COORDINATOR</v>
      </c>
      <c r="M677" s="164" t="str">
        <f ca="1">IFERROR(__xludf.DUMMYFUNCTION("""COMPUTED_VALUE"""),"SERVICEABLE")</f>
        <v>SERVICEABLE</v>
      </c>
      <c r="N677" s="164"/>
    </row>
    <row r="678" spans="1:14" ht="13.2">
      <c r="A678" s="164" t="str">
        <f ca="1">IFERROR(__xludf.DUMMYFUNCTION("""COMPUTED_VALUE"""),"DARCO")</f>
        <v>DARCO</v>
      </c>
      <c r="B678" s="164" t="str">
        <f ca="1">IFERROR(__xludf.DUMMYFUNCTION("""COMPUTED_VALUE"""),"CENTRAL OFFICE")</f>
        <v>CENTRAL OFFICE</v>
      </c>
      <c r="C678" s="164" t="str">
        <f ca="1">IFERROR(__xludf.DUMMYFUNCTION("""COMPUTED_VALUE"""),"Desktop Computer – (MSI PRO DP180)")</f>
        <v>Desktop Computer – (MSI PRO DP180)</v>
      </c>
      <c r="D678" s="164"/>
      <c r="E678" s="164"/>
      <c r="F678" s="164" t="str">
        <f ca="1">IFERROR(__xludf.DUMMYFUNCTION("""COMPUTED_VALUE"""),"HVSPLIT-102-24-05-01-244")</f>
        <v>HVSPLIT-102-24-05-01-244</v>
      </c>
      <c r="G678" s="164"/>
      <c r="H678" s="164"/>
      <c r="I678" s="164"/>
      <c r="J678" s="164"/>
      <c r="K678" s="164"/>
      <c r="L678" s="164" t="str">
        <f ca="1">IFERROR(__xludf.DUMMYFUNCTION("""COMPUTED_VALUE"""),"GRM")</f>
        <v>GRM</v>
      </c>
      <c r="M678" s="164" t="str">
        <f ca="1">IFERROR(__xludf.DUMMYFUNCTION("""COMPUTED_VALUE"""),"SERVICEABLE")</f>
        <v>SERVICEABLE</v>
      </c>
      <c r="N678" s="164"/>
    </row>
    <row r="679" spans="1:14" ht="13.2">
      <c r="A679" s="164" t="str">
        <f ca="1">IFERROR(__xludf.DUMMYFUNCTION("""COMPUTED_VALUE"""),"DARCO")</f>
        <v>DARCO</v>
      </c>
      <c r="B679" s="164" t="str">
        <f ca="1">IFERROR(__xludf.DUMMYFUNCTION("""COMPUTED_VALUE"""),"CENTRAL OFFICE")</f>
        <v>CENTRAL OFFICE</v>
      </c>
      <c r="C679" s="164" t="str">
        <f ca="1">IFERROR(__xludf.DUMMYFUNCTION("""COMPUTED_VALUE"""),"Desktop Computer – (MSI PRO DP180)")</f>
        <v>Desktop Computer – (MSI PRO DP180)</v>
      </c>
      <c r="D679" s="164"/>
      <c r="E679" s="164"/>
      <c r="F679" s="164" t="str">
        <f ca="1">IFERROR(__xludf.DUMMYFUNCTION("""COMPUTED_VALUE"""),"HVSPLIT-102-24-05-01-245")</f>
        <v>HVSPLIT-102-24-05-01-245</v>
      </c>
      <c r="G679" s="164"/>
      <c r="H679" s="164"/>
      <c r="I679" s="164"/>
      <c r="J679" s="164"/>
      <c r="K679" s="164"/>
      <c r="L679" s="164" t="str">
        <f ca="1">IFERROR(__xludf.DUMMYFUNCTION("""COMPUTED_VALUE"""),"BIDS AND AWARDS COMMITTEE")</f>
        <v>BIDS AND AWARDS COMMITTEE</v>
      </c>
      <c r="M679" s="164" t="str">
        <f ca="1">IFERROR(__xludf.DUMMYFUNCTION("""COMPUTED_VALUE"""),"SERVICEABLE")</f>
        <v>SERVICEABLE</v>
      </c>
      <c r="N679" s="164"/>
    </row>
    <row r="680" spans="1:14" ht="13.2">
      <c r="A680" s="164" t="str">
        <f ca="1">IFERROR(__xludf.DUMMYFUNCTION("""COMPUTED_VALUE"""),"DARCO")</f>
        <v>DARCO</v>
      </c>
      <c r="B680" s="164" t="str">
        <f ca="1">IFERROR(__xludf.DUMMYFUNCTION("""COMPUTED_VALUE"""),"CENTRAL OFFICE")</f>
        <v>CENTRAL OFFICE</v>
      </c>
      <c r="C680" s="164" t="str">
        <f ca="1">IFERROR(__xludf.DUMMYFUNCTION("""COMPUTED_VALUE"""),"Desktop Computer – (MSI PRO DP180)")</f>
        <v>Desktop Computer – (MSI PRO DP180)</v>
      </c>
      <c r="D680" s="164"/>
      <c r="E680" s="164"/>
      <c r="F680" s="164" t="str">
        <f ca="1">IFERROR(__xludf.DUMMYFUNCTION("""COMPUTED_VALUE"""),"HVSPLIT-102-24-05-01-246")</f>
        <v>HVSPLIT-102-24-05-01-246</v>
      </c>
      <c r="G680" s="164"/>
      <c r="H680" s="164"/>
      <c r="I680" s="164"/>
      <c r="J680" s="164"/>
      <c r="K680" s="164"/>
      <c r="L680" s="164" t="str">
        <f ca="1">IFERROR(__xludf.DUMMYFUNCTION("""COMPUTED_VALUE"""),"BIDS AND AWARDS COMMITTEE")</f>
        <v>BIDS AND AWARDS COMMITTEE</v>
      </c>
      <c r="M680" s="164" t="str">
        <f ca="1">IFERROR(__xludf.DUMMYFUNCTION("""COMPUTED_VALUE"""),"SERVICEABLE")</f>
        <v>SERVICEABLE</v>
      </c>
      <c r="N680" s="164"/>
    </row>
    <row r="681" spans="1:14" ht="13.2">
      <c r="A681" s="164" t="str">
        <f ca="1">IFERROR(__xludf.DUMMYFUNCTION("""COMPUTED_VALUE"""),"DARCO")</f>
        <v>DARCO</v>
      </c>
      <c r="B681" s="164" t="str">
        <f ca="1">IFERROR(__xludf.DUMMYFUNCTION("""COMPUTED_VALUE"""),"CENTRAL OFFICE")</f>
        <v>CENTRAL OFFICE</v>
      </c>
      <c r="C681" s="164" t="str">
        <f ca="1">IFERROR(__xludf.DUMMYFUNCTION("""COMPUTED_VALUE"""),"Desktop Computer – (MSI PRO DP180)")</f>
        <v>Desktop Computer – (MSI PRO DP180)</v>
      </c>
      <c r="D681" s="164"/>
      <c r="E681" s="164"/>
      <c r="F681" s="164" t="str">
        <f ca="1">IFERROR(__xludf.DUMMYFUNCTION("""COMPUTED_VALUE"""),"HVSPLIT-102-24-05-01-247")</f>
        <v>HVSPLIT-102-24-05-01-247</v>
      </c>
      <c r="G681" s="164"/>
      <c r="H681" s="164"/>
      <c r="I681" s="164"/>
      <c r="J681" s="164"/>
      <c r="K681" s="164"/>
      <c r="L681" s="164" t="str">
        <f ca="1">IFERROR(__xludf.DUMMYFUNCTION("""COMPUTED_VALUE"""),"BIDS AND AWARDS COMMITTEE")</f>
        <v>BIDS AND AWARDS COMMITTEE</v>
      </c>
      <c r="M681" s="164" t="str">
        <f ca="1">IFERROR(__xludf.DUMMYFUNCTION("""COMPUTED_VALUE"""),"SERVICEABLE")</f>
        <v>SERVICEABLE</v>
      </c>
      <c r="N681" s="164"/>
    </row>
    <row r="682" spans="1:14" ht="13.2">
      <c r="A682" s="164" t="str">
        <f ca="1">IFERROR(__xludf.DUMMYFUNCTION("""COMPUTED_VALUE"""),"DARCO")</f>
        <v>DARCO</v>
      </c>
      <c r="B682" s="164" t="str">
        <f ca="1">IFERROR(__xludf.DUMMYFUNCTION("""COMPUTED_VALUE"""),"CENTRAL OFFICE")</f>
        <v>CENTRAL OFFICE</v>
      </c>
      <c r="C682" s="164" t="str">
        <f ca="1">IFERROR(__xludf.DUMMYFUNCTION("""COMPUTED_VALUE"""),"Desktop Computer – (MSI PRO DP180)")</f>
        <v>Desktop Computer – (MSI PRO DP180)</v>
      </c>
      <c r="D682" s="164"/>
      <c r="E682" s="164"/>
      <c r="F682" s="164" t="str">
        <f ca="1">IFERROR(__xludf.DUMMYFUNCTION("""COMPUTED_VALUE"""),"HVSPLIT-102-24-05-01-248")</f>
        <v>HVSPLIT-102-24-05-01-248</v>
      </c>
      <c r="G682" s="164"/>
      <c r="H682" s="164"/>
      <c r="I682" s="164"/>
      <c r="J682" s="164"/>
      <c r="K682" s="164"/>
      <c r="L682" s="164" t="str">
        <f ca="1">IFERROR(__xludf.DUMMYFUNCTION("""COMPUTED_VALUE"""),"BIDS AND AWARDS COMMITTEE")</f>
        <v>BIDS AND AWARDS COMMITTEE</v>
      </c>
      <c r="M682" s="164" t="str">
        <f ca="1">IFERROR(__xludf.DUMMYFUNCTION("""COMPUTED_VALUE"""),"SERVICEABLE")</f>
        <v>SERVICEABLE</v>
      </c>
      <c r="N682" s="164"/>
    </row>
    <row r="683" spans="1:14" ht="13.2">
      <c r="A683" s="164" t="str">
        <f ca="1">IFERROR(__xludf.DUMMYFUNCTION("""COMPUTED_VALUE"""),"DARCO")</f>
        <v>DARCO</v>
      </c>
      <c r="B683" s="164" t="str">
        <f ca="1">IFERROR(__xludf.DUMMYFUNCTION("""COMPUTED_VALUE"""),"CENTRAL OFFICE")</f>
        <v>CENTRAL OFFICE</v>
      </c>
      <c r="C683" s="164" t="str">
        <f ca="1">IFERROR(__xludf.DUMMYFUNCTION("""COMPUTED_VALUE"""),"Desktop Computer – (MSI PRO DP180)")</f>
        <v>Desktop Computer – (MSI PRO DP180)</v>
      </c>
      <c r="D683" s="164"/>
      <c r="E683" s="164"/>
      <c r="F683" s="164" t="str">
        <f ca="1">IFERROR(__xludf.DUMMYFUNCTION("""COMPUTED_VALUE"""),"HVSPLIT-102-24-05-01-249")</f>
        <v>HVSPLIT-102-24-05-01-249</v>
      </c>
      <c r="G683" s="164"/>
      <c r="H683" s="164"/>
      <c r="I683" s="164"/>
      <c r="J683" s="164"/>
      <c r="K683" s="164"/>
      <c r="L683" s="164" t="str">
        <f ca="1">IFERROR(__xludf.DUMMYFUNCTION("""COMPUTED_VALUE"""),"BIDS AND AWARDS COMMITTEE")</f>
        <v>BIDS AND AWARDS COMMITTEE</v>
      </c>
      <c r="M683" s="164" t="str">
        <f ca="1">IFERROR(__xludf.DUMMYFUNCTION("""COMPUTED_VALUE"""),"SERVICEABLE")</f>
        <v>SERVICEABLE</v>
      </c>
      <c r="N683" s="164"/>
    </row>
    <row r="684" spans="1:14" ht="13.2">
      <c r="A684" s="164" t="str">
        <f ca="1">IFERROR(__xludf.DUMMYFUNCTION("""COMPUTED_VALUE"""),"DARCO")</f>
        <v>DARCO</v>
      </c>
      <c r="B684" s="164" t="str">
        <f ca="1">IFERROR(__xludf.DUMMYFUNCTION("""COMPUTED_VALUE"""),"CENTRAL OFFICE")</f>
        <v>CENTRAL OFFICE</v>
      </c>
      <c r="C684" s="164" t="str">
        <f ca="1">IFERROR(__xludf.DUMMYFUNCTION("""COMPUTED_VALUE"""),"Desktop Computer – (MSI PRO DP180)")</f>
        <v>Desktop Computer – (MSI PRO DP180)</v>
      </c>
      <c r="D684" s="164"/>
      <c r="E684" s="164"/>
      <c r="F684" s="164" t="str">
        <f ca="1">IFERROR(__xludf.DUMMYFUNCTION("""COMPUTED_VALUE"""),"HVSPLIT-102-24-05-01-250")</f>
        <v>HVSPLIT-102-24-05-01-250</v>
      </c>
      <c r="G684" s="164"/>
      <c r="H684" s="164"/>
      <c r="I684" s="164"/>
      <c r="J684" s="164"/>
      <c r="K684" s="164"/>
      <c r="L684" s="164" t="str">
        <f ca="1">IFERROR(__xludf.DUMMYFUNCTION("""COMPUTED_VALUE"""),"BIDS AND AWARDS COMMITTEE")</f>
        <v>BIDS AND AWARDS COMMITTEE</v>
      </c>
      <c r="M684" s="164" t="str">
        <f ca="1">IFERROR(__xludf.DUMMYFUNCTION("""COMPUTED_VALUE"""),"SERVICEABLE")</f>
        <v>SERVICEABLE</v>
      </c>
      <c r="N684" s="164"/>
    </row>
    <row r="685" spans="1:14" ht="13.2">
      <c r="A685" s="164" t="str">
        <f ca="1">IFERROR(__xludf.DUMMYFUNCTION("""COMPUTED_VALUE"""),"DARCO")</f>
        <v>DARCO</v>
      </c>
      <c r="B685" s="164" t="str">
        <f ca="1">IFERROR(__xludf.DUMMYFUNCTION("""COMPUTED_VALUE"""),"CENTRAL OFFICE")</f>
        <v>CENTRAL OFFICE</v>
      </c>
      <c r="C685" s="164" t="str">
        <f ca="1">IFERROR(__xludf.DUMMYFUNCTION("""COMPUTED_VALUE"""),"Desktop Computer – (MSI PRO DP180)")</f>
        <v>Desktop Computer – (MSI PRO DP180)</v>
      </c>
      <c r="D685" s="164"/>
      <c r="E685" s="164"/>
      <c r="F685" s="164" t="str">
        <f ca="1">IFERROR(__xludf.DUMMYFUNCTION("""COMPUTED_VALUE"""),"HVSPLIT-102-24-05-01-251")</f>
        <v>HVSPLIT-102-24-05-01-251</v>
      </c>
      <c r="G685" s="164"/>
      <c r="H685" s="164"/>
      <c r="I685" s="164"/>
      <c r="J685" s="164"/>
      <c r="K685" s="164"/>
      <c r="L685" s="164" t="str">
        <f ca="1">IFERROR(__xludf.DUMMYFUNCTION("""COMPUTED_VALUE"""),"GSD")</f>
        <v>GSD</v>
      </c>
      <c r="M685" s="164" t="str">
        <f ca="1">IFERROR(__xludf.DUMMYFUNCTION("""COMPUTED_VALUE"""),"SERVICEABLE")</f>
        <v>SERVICEABLE</v>
      </c>
      <c r="N685" s="164"/>
    </row>
    <row r="686" spans="1:14" ht="13.2">
      <c r="A686" s="164" t="str">
        <f ca="1">IFERROR(__xludf.DUMMYFUNCTION("""COMPUTED_VALUE"""),"DARCO")</f>
        <v>DARCO</v>
      </c>
      <c r="B686" s="164" t="str">
        <f ca="1">IFERROR(__xludf.DUMMYFUNCTION("""COMPUTED_VALUE"""),"CENTRAL OFFICE")</f>
        <v>CENTRAL OFFICE</v>
      </c>
      <c r="C686" s="164" t="str">
        <f ca="1">IFERROR(__xludf.DUMMYFUNCTION("""COMPUTED_VALUE"""),"Desktop Computer – (MSI PRO DP180)")</f>
        <v>Desktop Computer – (MSI PRO DP180)</v>
      </c>
      <c r="D686" s="164"/>
      <c r="E686" s="164"/>
      <c r="F686" s="164" t="str">
        <f ca="1">IFERROR(__xludf.DUMMYFUNCTION("""COMPUTED_VALUE"""),"HVSPLIT-102-24-05-01-252")</f>
        <v>HVSPLIT-102-24-05-01-252</v>
      </c>
      <c r="G686" s="164"/>
      <c r="H686" s="164"/>
      <c r="I686" s="164"/>
      <c r="J686" s="164"/>
      <c r="K686" s="164"/>
      <c r="L686" s="164" t="str">
        <f ca="1">IFERROR(__xludf.DUMMYFUNCTION("""COMPUTED_VALUE"""),"GSD")</f>
        <v>GSD</v>
      </c>
      <c r="M686" s="164" t="str">
        <f ca="1">IFERROR(__xludf.DUMMYFUNCTION("""COMPUTED_VALUE"""),"SERVICEABLE")</f>
        <v>SERVICEABLE</v>
      </c>
      <c r="N686" s="164"/>
    </row>
    <row r="687" spans="1:14" ht="13.2">
      <c r="A687" s="164" t="str">
        <f ca="1">IFERROR(__xludf.DUMMYFUNCTION("""COMPUTED_VALUE"""),"DARCO")</f>
        <v>DARCO</v>
      </c>
      <c r="B687" s="164" t="str">
        <f ca="1">IFERROR(__xludf.DUMMYFUNCTION("""COMPUTED_VALUE"""),"CENTRAL OFFICE")</f>
        <v>CENTRAL OFFICE</v>
      </c>
      <c r="C687" s="164" t="str">
        <f ca="1">IFERROR(__xludf.DUMMYFUNCTION("""COMPUTED_VALUE"""),"Desktop Computer – (MSI PRO DP180)")</f>
        <v>Desktop Computer – (MSI PRO DP180)</v>
      </c>
      <c r="D687" s="164"/>
      <c r="E687" s="164"/>
      <c r="F687" s="164" t="str">
        <f ca="1">IFERROR(__xludf.DUMMYFUNCTION("""COMPUTED_VALUE"""),"HVSPLIT-102-24-05-01-528")</f>
        <v>HVSPLIT-102-24-05-01-528</v>
      </c>
      <c r="G687" s="164"/>
      <c r="H687" s="164"/>
      <c r="I687" s="164"/>
      <c r="J687" s="164"/>
      <c r="K687" s="164"/>
      <c r="L687" s="164" t="str">
        <f ca="1">IFERROR(__xludf.DUMMYFUNCTION("""COMPUTED_VALUE"""),"BLTI")</f>
        <v>BLTI</v>
      </c>
      <c r="M687" s="164" t="str">
        <f ca="1">IFERROR(__xludf.DUMMYFUNCTION("""COMPUTED_VALUE"""),"SERVICEABLE")</f>
        <v>SERVICEABLE</v>
      </c>
      <c r="N687" s="164"/>
    </row>
    <row r="688" spans="1:14" ht="13.2">
      <c r="A688" s="164" t="str">
        <f ca="1">IFERROR(__xludf.DUMMYFUNCTION("""COMPUTED_VALUE"""),"DARCO")</f>
        <v>DARCO</v>
      </c>
      <c r="B688" s="164" t="str">
        <f ca="1">IFERROR(__xludf.DUMMYFUNCTION("""COMPUTED_VALUE"""),"CENTRAL OFFICE")</f>
        <v>CENTRAL OFFICE</v>
      </c>
      <c r="C688" s="164" t="str">
        <f ca="1">IFERROR(__xludf.DUMMYFUNCTION("""COMPUTED_VALUE"""),"Desktop Computer – (MSI PRO DP180)")</f>
        <v>Desktop Computer – (MSI PRO DP180)</v>
      </c>
      <c r="D688" s="164"/>
      <c r="E688" s="164"/>
      <c r="F688" s="164" t="str">
        <f ca="1">IFERROR(__xludf.DUMMYFUNCTION("""COMPUTED_VALUE"""),"HVSPLIT-102-24-05-01-529")</f>
        <v>HVSPLIT-102-24-05-01-529</v>
      </c>
      <c r="G688" s="164"/>
      <c r="H688" s="164"/>
      <c r="I688" s="164"/>
      <c r="J688" s="164"/>
      <c r="K688" s="164"/>
      <c r="L688" s="164" t="str">
        <f ca="1">IFERROR(__xludf.DUMMYFUNCTION("""COMPUTED_VALUE"""),"BLTI")</f>
        <v>BLTI</v>
      </c>
      <c r="M688" s="164" t="str">
        <f ca="1">IFERROR(__xludf.DUMMYFUNCTION("""COMPUTED_VALUE"""),"SERVICEABLE")</f>
        <v>SERVICEABLE</v>
      </c>
      <c r="N688" s="164"/>
    </row>
    <row r="689" spans="1:14" ht="13.2">
      <c r="A689" s="164" t="str">
        <f ca="1">IFERROR(__xludf.DUMMYFUNCTION("""COMPUTED_VALUE"""),"DARCO")</f>
        <v>DARCO</v>
      </c>
      <c r="B689" s="164" t="str">
        <f ca="1">IFERROR(__xludf.DUMMYFUNCTION("""COMPUTED_VALUE"""),"CENTRAL OFFICE")</f>
        <v>CENTRAL OFFICE</v>
      </c>
      <c r="C689" s="164" t="str">
        <f ca="1">IFERROR(__xludf.DUMMYFUNCTION("""COMPUTED_VALUE"""),"Desktop Computer – (MSI PRO DP180)")</f>
        <v>Desktop Computer – (MSI PRO DP180)</v>
      </c>
      <c r="D689" s="164"/>
      <c r="E689" s="164"/>
      <c r="F689" s="164" t="str">
        <f ca="1">IFERROR(__xludf.DUMMYFUNCTION("""COMPUTED_VALUE"""),"HVSPLIT-102-24-05-01-530")</f>
        <v>HVSPLIT-102-24-05-01-530</v>
      </c>
      <c r="G689" s="164"/>
      <c r="H689" s="164"/>
      <c r="I689" s="164"/>
      <c r="J689" s="164"/>
      <c r="K689" s="164"/>
      <c r="L689" s="164" t="str">
        <f ca="1">IFERROR(__xludf.DUMMYFUNCTION("""COMPUTED_VALUE"""),"BLTI")</f>
        <v>BLTI</v>
      </c>
      <c r="M689" s="164" t="str">
        <f ca="1">IFERROR(__xludf.DUMMYFUNCTION("""COMPUTED_VALUE"""),"SERVICEABLE")</f>
        <v>SERVICEABLE</v>
      </c>
      <c r="N689" s="164"/>
    </row>
    <row r="690" spans="1:14" ht="13.2">
      <c r="A690" s="164" t="str">
        <f ca="1">IFERROR(__xludf.DUMMYFUNCTION("""COMPUTED_VALUE"""),"DARCO")</f>
        <v>DARCO</v>
      </c>
      <c r="B690" s="164" t="str">
        <f ca="1">IFERROR(__xludf.DUMMYFUNCTION("""COMPUTED_VALUE"""),"CENTRAL OFFICE")</f>
        <v>CENTRAL OFFICE</v>
      </c>
      <c r="C690" s="164" t="str">
        <f ca="1">IFERROR(__xludf.DUMMYFUNCTION("""COMPUTED_VALUE"""),"Desktop Computer – (MSI PRO DP180)")</f>
        <v>Desktop Computer – (MSI PRO DP180)</v>
      </c>
      <c r="D690" s="164"/>
      <c r="E690" s="164"/>
      <c r="F690" s="164" t="str">
        <f ca="1">IFERROR(__xludf.DUMMYFUNCTION("""COMPUTED_VALUE"""),"HVSPLIT-102-24-05-01-531")</f>
        <v>HVSPLIT-102-24-05-01-531</v>
      </c>
      <c r="G690" s="164"/>
      <c r="H690" s="164"/>
      <c r="I690" s="164"/>
      <c r="J690" s="164"/>
      <c r="K690" s="164"/>
      <c r="L690" s="164" t="str">
        <f ca="1">IFERROR(__xludf.DUMMYFUNCTION("""COMPUTED_VALUE"""),"BLTI")</f>
        <v>BLTI</v>
      </c>
      <c r="M690" s="164" t="str">
        <f ca="1">IFERROR(__xludf.DUMMYFUNCTION("""COMPUTED_VALUE"""),"SERVICEABLE")</f>
        <v>SERVICEABLE</v>
      </c>
      <c r="N690" s="164"/>
    </row>
    <row r="691" spans="1:14" ht="13.2">
      <c r="A691" s="164" t="str">
        <f ca="1">IFERROR(__xludf.DUMMYFUNCTION("""COMPUTED_VALUE"""),"DARCO")</f>
        <v>DARCO</v>
      </c>
      <c r="B691" s="164" t="str">
        <f ca="1">IFERROR(__xludf.DUMMYFUNCTION("""COMPUTED_VALUE"""),"CENTRAL OFFICE")</f>
        <v>CENTRAL OFFICE</v>
      </c>
      <c r="C691" s="164" t="str">
        <f ca="1">IFERROR(__xludf.DUMMYFUNCTION("""COMPUTED_VALUE"""),"LAPTOP MSI KATANA")</f>
        <v>LAPTOP MSI KATANA</v>
      </c>
      <c r="D691" s="164" t="str">
        <f ca="1">IFERROR(__xludf.DUMMYFUNCTION("""COMPUTED_VALUE"""),"₱ 142,100.00")</f>
        <v>₱ 142,100.00</v>
      </c>
      <c r="E691" s="164"/>
      <c r="F691" s="164" t="str">
        <f ca="1">IFERROR(__xludf.DUMMYFUNCTION("""COMPUTED_VALUE"""),"2024-05-03-10202SP026-01")</f>
        <v>2024-05-03-10202SP026-01</v>
      </c>
      <c r="G691" s="164" t="str">
        <f ca="1">IFERROR(__xludf.DUMMYFUNCTION("""COMPUTED_VALUE"""),"k24003n0163072")</f>
        <v>k24003n0163072</v>
      </c>
      <c r="H691" s="164"/>
      <c r="I691" s="164"/>
      <c r="J691" s="164"/>
      <c r="K691" s="164"/>
      <c r="L691" s="164" t="str">
        <f ca="1">IFERROR(__xludf.DUMMYFUNCTION("""COMPUTED_VALUE"""),"BLTI")</f>
        <v>BLTI</v>
      </c>
      <c r="M691" s="164" t="str">
        <f ca="1">IFERROR(__xludf.DUMMYFUNCTION("""COMPUTED_VALUE"""),"SERVICEABLE")</f>
        <v>SERVICEABLE</v>
      </c>
      <c r="N691" s="164"/>
    </row>
    <row r="692" spans="1:14" ht="13.2">
      <c r="A692" s="164" t="str">
        <f ca="1">IFERROR(__xludf.DUMMYFUNCTION("""COMPUTED_VALUE"""),"DARCO")</f>
        <v>DARCO</v>
      </c>
      <c r="B692" s="164" t="str">
        <f ca="1">IFERROR(__xludf.DUMMYFUNCTION("""COMPUTED_VALUE"""),"CENTRAL OFFICE")</f>
        <v>CENTRAL OFFICE</v>
      </c>
      <c r="C692" s="164" t="str">
        <f ca="1">IFERROR(__xludf.DUMMYFUNCTION("""COMPUTED_VALUE"""),"LAPTOP MSI KATANA")</f>
        <v>LAPTOP MSI KATANA</v>
      </c>
      <c r="D692" s="164" t="str">
        <f ca="1">IFERROR(__xludf.DUMMYFUNCTION("""COMPUTED_VALUE"""),"₱ 142,100.00")</f>
        <v>₱ 142,100.00</v>
      </c>
      <c r="E692" s="164"/>
      <c r="F692" s="164" t="str">
        <f ca="1">IFERROR(__xludf.DUMMYFUNCTION("""COMPUTED_VALUE"""),"2024-05-03-10202SP027-01")</f>
        <v>2024-05-03-10202SP027-01</v>
      </c>
      <c r="G692" s="164" t="str">
        <f ca="1">IFERROR(__xludf.DUMMYFUNCTION("""COMPUTED_VALUE"""),"k24003n0163081")</f>
        <v>k24003n0163081</v>
      </c>
      <c r="H692" s="164"/>
      <c r="I692" s="164"/>
      <c r="J692" s="164"/>
      <c r="K692" s="164"/>
      <c r="L692" s="164" t="str">
        <f ca="1">IFERROR(__xludf.DUMMYFUNCTION("""COMPUTED_VALUE"""),"CPMO - GOSIM")</f>
        <v>CPMO - GOSIM</v>
      </c>
      <c r="M692" s="164" t="str">
        <f ca="1">IFERROR(__xludf.DUMMYFUNCTION("""COMPUTED_VALUE"""),"SERVICEABLE")</f>
        <v>SERVICEABLE</v>
      </c>
      <c r="N692" s="164"/>
    </row>
    <row r="693" spans="1:14" ht="13.2">
      <c r="A693" s="164" t="str">
        <f ca="1">IFERROR(__xludf.DUMMYFUNCTION("""COMPUTED_VALUE"""),"DARCO")</f>
        <v>DARCO</v>
      </c>
      <c r="B693" s="164" t="str">
        <f ca="1">IFERROR(__xludf.DUMMYFUNCTION("""COMPUTED_VALUE"""),"CENTRAL OFFICE")</f>
        <v>CENTRAL OFFICE</v>
      </c>
      <c r="C693" s="164" t="str">
        <f ca="1">IFERROR(__xludf.DUMMYFUNCTION("""COMPUTED_VALUE"""),"LAPTOP MSI KATANA")</f>
        <v>LAPTOP MSI KATANA</v>
      </c>
      <c r="D693" s="164" t="str">
        <f ca="1">IFERROR(__xludf.DUMMYFUNCTION("""COMPUTED_VALUE"""),"₱ 142,100.00")</f>
        <v>₱ 142,100.00</v>
      </c>
      <c r="E693" s="164"/>
      <c r="F693" s="164" t="str">
        <f ca="1">IFERROR(__xludf.DUMMYFUNCTION("""COMPUTED_VALUE"""),"2024-05-03-10202SP028-01")</f>
        <v>2024-05-03-10202SP028-01</v>
      </c>
      <c r="G693" s="164" t="str">
        <f ca="1">IFERROR(__xludf.DUMMYFUNCTION("""COMPUTED_VALUE"""),"k24003n0163088")</f>
        <v>k24003n0163088</v>
      </c>
      <c r="H693" s="164"/>
      <c r="I693" s="164"/>
      <c r="J693" s="164"/>
      <c r="K693" s="164"/>
      <c r="L693" s="164" t="str">
        <f ca="1">IFERROR(__xludf.DUMMYFUNCTION("""COMPUTED_VALUE"""),"CPMO")</f>
        <v>CPMO</v>
      </c>
      <c r="M693" s="164" t="str">
        <f ca="1">IFERROR(__xludf.DUMMYFUNCTION("""COMPUTED_VALUE"""),"SERVICEABLE")</f>
        <v>SERVICEABLE</v>
      </c>
      <c r="N693" s="164"/>
    </row>
    <row r="694" spans="1:14" ht="13.2">
      <c r="A694" s="164" t="str">
        <f ca="1">IFERROR(__xludf.DUMMYFUNCTION("""COMPUTED_VALUE"""),"DARCO")</f>
        <v>DARCO</v>
      </c>
      <c r="B694" s="164" t="str">
        <f ca="1">IFERROR(__xludf.DUMMYFUNCTION("""COMPUTED_VALUE"""),"CENTRAL OFFICE")</f>
        <v>CENTRAL OFFICE</v>
      </c>
      <c r="C694" s="164" t="str">
        <f ca="1">IFERROR(__xludf.DUMMYFUNCTION("""COMPUTED_VALUE"""),"LAPTOP MSI KATANA")</f>
        <v>LAPTOP MSI KATANA</v>
      </c>
      <c r="D694" s="164" t="str">
        <f ca="1">IFERROR(__xludf.DUMMYFUNCTION("""COMPUTED_VALUE"""),"₱ 142,100.00")</f>
        <v>₱ 142,100.00</v>
      </c>
      <c r="E694" s="164"/>
      <c r="F694" s="164" t="str">
        <f ca="1">IFERROR(__xludf.DUMMYFUNCTION("""COMPUTED_VALUE"""),"2024-05-03-10202SP029-01")</f>
        <v>2024-05-03-10202SP029-01</v>
      </c>
      <c r="G694" s="164" t="str">
        <f ca="1">IFERROR(__xludf.DUMMYFUNCTION("""COMPUTED_VALUE"""),"k24003n0163093")</f>
        <v>k24003n0163093</v>
      </c>
      <c r="H694" s="164"/>
      <c r="I694" s="164"/>
      <c r="J694" s="164"/>
      <c r="K694" s="164"/>
      <c r="L694" s="164" t="str">
        <f ca="1">IFERROR(__xludf.DUMMYFUNCTION("""COMPUTED_VALUE"""),"ESS")</f>
        <v>ESS</v>
      </c>
      <c r="M694" s="164" t="str">
        <f ca="1">IFERROR(__xludf.DUMMYFUNCTION("""COMPUTED_VALUE"""),"SERVICEABLE")</f>
        <v>SERVICEABLE</v>
      </c>
      <c r="N694" s="164"/>
    </row>
    <row r="695" spans="1:14" ht="13.2">
      <c r="A695" s="164" t="str">
        <f ca="1">IFERROR(__xludf.DUMMYFUNCTION("""COMPUTED_VALUE"""),"DARCO")</f>
        <v>DARCO</v>
      </c>
      <c r="B695" s="164" t="str">
        <f ca="1">IFERROR(__xludf.DUMMYFUNCTION("""COMPUTED_VALUE"""),"CENTRAL OFFICE")</f>
        <v>CENTRAL OFFICE</v>
      </c>
      <c r="C695" s="164" t="str">
        <f ca="1">IFERROR(__xludf.DUMMYFUNCTION("""COMPUTED_VALUE"""),"LAPTOP MSI KATANA")</f>
        <v>LAPTOP MSI KATANA</v>
      </c>
      <c r="D695" s="164" t="str">
        <f ca="1">IFERROR(__xludf.DUMMYFUNCTION("""COMPUTED_VALUE"""),"₱ 142,100.00")</f>
        <v>₱ 142,100.00</v>
      </c>
      <c r="E695" s="164"/>
      <c r="F695" s="164" t="str">
        <f ca="1">IFERROR(__xludf.DUMMYFUNCTION("""COMPUTED_VALUE"""),"2024-05-03-10202SP030-01")</f>
        <v>2024-05-03-10202SP030-01</v>
      </c>
      <c r="G695" s="164" t="str">
        <f ca="1">IFERROR(__xludf.DUMMYFUNCTION("""COMPUTED_VALUE"""),"k24003n0163111")</f>
        <v>k24003n0163111</v>
      </c>
      <c r="H695" s="164"/>
      <c r="I695" s="164"/>
      <c r="J695" s="164"/>
      <c r="K695" s="164"/>
      <c r="L695" s="164" t="str">
        <f ca="1">IFERROR(__xludf.DUMMYFUNCTION("""COMPUTED_VALUE"""),"CPMO - CHERI")</f>
        <v>CPMO - CHERI</v>
      </c>
      <c r="M695" s="164" t="str">
        <f ca="1">IFERROR(__xludf.DUMMYFUNCTION("""COMPUTED_VALUE"""),"SERVICEABLE")</f>
        <v>SERVICEABLE</v>
      </c>
      <c r="N695" s="164"/>
    </row>
    <row r="696" spans="1:14" ht="13.2">
      <c r="A696" s="164" t="str">
        <f ca="1">IFERROR(__xludf.DUMMYFUNCTION("""COMPUTED_VALUE"""),"DARCO")</f>
        <v>DARCO</v>
      </c>
      <c r="B696" s="164" t="str">
        <f ca="1">IFERROR(__xludf.DUMMYFUNCTION("""COMPUTED_VALUE"""),"CENTRAL OFFICE")</f>
        <v>CENTRAL OFFICE</v>
      </c>
      <c r="C696" s="164" t="str">
        <f ca="1">IFERROR(__xludf.DUMMYFUNCTION("""COMPUTED_VALUE"""),"LAPTOP MSI KATANA")</f>
        <v>LAPTOP MSI KATANA</v>
      </c>
      <c r="D696" s="164" t="str">
        <f ca="1">IFERROR(__xludf.DUMMYFUNCTION("""COMPUTED_VALUE"""),"₱ 142,100.00")</f>
        <v>₱ 142,100.00</v>
      </c>
      <c r="E696" s="164"/>
      <c r="F696" s="164" t="str">
        <f ca="1">IFERROR(__xludf.DUMMYFUNCTION("""COMPUTED_VALUE"""),"2024-05-03-10202SP031-01")</f>
        <v>2024-05-03-10202SP031-01</v>
      </c>
      <c r="G696" s="164" t="str">
        <f ca="1">IFERROR(__xludf.DUMMYFUNCTION("""COMPUTED_VALUE"""),"k24003n0163072")</f>
        <v>k24003n0163072</v>
      </c>
      <c r="H696" s="164"/>
      <c r="I696" s="164"/>
      <c r="J696" s="164"/>
      <c r="K696" s="164"/>
      <c r="L696" s="164" t="str">
        <f ca="1">IFERROR(__xludf.DUMMYFUNCTION("""COMPUTED_VALUE"""),"ADSERV")</f>
        <v>ADSERV</v>
      </c>
      <c r="M696" s="164" t="str">
        <f ca="1">IFERROR(__xludf.DUMMYFUNCTION("""COMPUTED_VALUE"""),"SERVICEABLE")</f>
        <v>SERVICEABLE</v>
      </c>
      <c r="N696" s="164"/>
    </row>
    <row r="697" spans="1:14" ht="13.2">
      <c r="A697" s="164" t="str">
        <f ca="1">IFERROR(__xludf.DUMMYFUNCTION("""COMPUTED_VALUE"""),"DARCO")</f>
        <v>DARCO</v>
      </c>
      <c r="B697" s="164" t="str">
        <f ca="1">IFERROR(__xludf.DUMMYFUNCTION("""COMPUTED_VALUE"""),"CENTRAL OFFICE")</f>
        <v>CENTRAL OFFICE</v>
      </c>
      <c r="C697" s="164" t="str">
        <f ca="1">IFERROR(__xludf.DUMMYFUNCTION("""COMPUTED_VALUE"""),"LAPTOP MSI KATANA")</f>
        <v>LAPTOP MSI KATANA</v>
      </c>
      <c r="D697" s="164" t="str">
        <f ca="1">IFERROR(__xludf.DUMMYFUNCTION("""COMPUTED_VALUE"""),"₱ 142,100.00")</f>
        <v>₱ 142,100.00</v>
      </c>
      <c r="E697" s="164"/>
      <c r="F697" s="164" t="str">
        <f ca="1">IFERROR(__xludf.DUMMYFUNCTION("""COMPUTED_VALUE"""),"2024-05-03-10202SP032-01")</f>
        <v>2024-05-03-10202SP032-01</v>
      </c>
      <c r="G697" s="164" t="str">
        <f ca="1">IFERROR(__xludf.DUMMYFUNCTION("""COMPUTED_VALUE"""),"k24003n0163072")</f>
        <v>k24003n0163072</v>
      </c>
      <c r="H697" s="164"/>
      <c r="I697" s="164"/>
      <c r="J697" s="164"/>
      <c r="K697" s="164"/>
      <c r="L697" s="164" t="str">
        <f ca="1">IFERROR(__xludf.DUMMYFUNCTION("""COMPUTED_VALUE"""),"AFOO")</f>
        <v>AFOO</v>
      </c>
      <c r="M697" s="164" t="str">
        <f ca="1">IFERROR(__xludf.DUMMYFUNCTION("""COMPUTED_VALUE"""),"SERVICEABLE")</f>
        <v>SERVICEABLE</v>
      </c>
      <c r="N697" s="164"/>
    </row>
    <row r="698" spans="1:14" ht="13.2">
      <c r="A698" s="164" t="str">
        <f ca="1">IFERROR(__xludf.DUMMYFUNCTION("""COMPUTED_VALUE"""),"DARCO")</f>
        <v>DARCO</v>
      </c>
      <c r="B698" s="164" t="str">
        <f ca="1">IFERROR(__xludf.DUMMYFUNCTION("""COMPUTED_VALUE"""),"CENTRAL OFFICE")</f>
        <v>CENTRAL OFFICE</v>
      </c>
      <c r="C698" s="164" t="str">
        <f ca="1">IFERROR(__xludf.DUMMYFUNCTION("""COMPUTED_VALUE"""),"LAPTOP MSI KATANA")</f>
        <v>LAPTOP MSI KATANA</v>
      </c>
      <c r="D698" s="164" t="str">
        <f ca="1">IFERROR(__xludf.DUMMYFUNCTION("""COMPUTED_VALUE"""),"₱ 142,100.00")</f>
        <v>₱ 142,100.00</v>
      </c>
      <c r="E698" s="164"/>
      <c r="F698" s="164" t="str">
        <f ca="1">IFERROR(__xludf.DUMMYFUNCTION("""COMPUTED_VALUE"""),"2024-05-03-10202SP033-01")</f>
        <v>2024-05-03-10202SP033-01</v>
      </c>
      <c r="G698" s="164" t="str">
        <f ca="1">IFERROR(__xludf.DUMMYFUNCTION("""COMPUTED_VALUE"""),"k24003n0163187")</f>
        <v>k24003n0163187</v>
      </c>
      <c r="H698" s="164"/>
      <c r="I698" s="164"/>
      <c r="J698" s="164"/>
      <c r="K698" s="164"/>
      <c r="L698" s="164" t="str">
        <f ca="1">IFERROR(__xludf.DUMMYFUNCTION("""COMPUTED_VALUE"""),"CPMO - ATTY ENZO")</f>
        <v>CPMO - ATTY ENZO</v>
      </c>
      <c r="M698" s="164" t="str">
        <f ca="1">IFERROR(__xludf.DUMMYFUNCTION("""COMPUTED_VALUE"""),"SERVICEABLE")</f>
        <v>SERVICEABLE</v>
      </c>
      <c r="N698" s="164"/>
    </row>
    <row r="699" spans="1:14" ht="13.2">
      <c r="A699" s="164" t="str">
        <f ca="1">IFERROR(__xludf.DUMMYFUNCTION("""COMPUTED_VALUE"""),"DARCO")</f>
        <v>DARCO</v>
      </c>
      <c r="B699" s="164" t="str">
        <f ca="1">IFERROR(__xludf.DUMMYFUNCTION("""COMPUTED_VALUE"""),"CENTRAL OFFICE")</f>
        <v>CENTRAL OFFICE</v>
      </c>
      <c r="C699" s="164" t="str">
        <f ca="1">IFERROR(__xludf.DUMMYFUNCTION("""COMPUTED_VALUE"""),"LAPTOP MSI KATANA")</f>
        <v>LAPTOP MSI KATANA</v>
      </c>
      <c r="D699" s="164" t="str">
        <f ca="1">IFERROR(__xludf.DUMMYFUNCTION("""COMPUTED_VALUE"""),"₱ 142,100.00")</f>
        <v>₱ 142,100.00</v>
      </c>
      <c r="E699" s="164"/>
      <c r="F699" s="164" t="str">
        <f ca="1">IFERROR(__xludf.DUMMYFUNCTION("""COMPUTED_VALUE"""),"2024-05-03-10202SP034-01")</f>
        <v>2024-05-03-10202SP034-01</v>
      </c>
      <c r="G699" s="164" t="str">
        <f ca="1">IFERROR(__xludf.DUMMYFUNCTION("""COMPUTED_VALUE"""),"k24003n0163066")</f>
        <v>k24003n0163066</v>
      </c>
      <c r="H699" s="164"/>
      <c r="I699" s="164"/>
      <c r="J699" s="164"/>
      <c r="K699" s="164"/>
      <c r="L699" s="164" t="str">
        <f ca="1">IFERROR(__xludf.DUMMYFUNCTION("""COMPUTED_VALUE"""),"CPMO - LEGAZPI")</f>
        <v>CPMO - LEGAZPI</v>
      </c>
      <c r="M699" s="164" t="str">
        <f ca="1">IFERROR(__xludf.DUMMYFUNCTION("""COMPUTED_VALUE"""),"SERVICEABLE")</f>
        <v>SERVICEABLE</v>
      </c>
      <c r="N699" s="164"/>
    </row>
    <row r="700" spans="1:14" ht="13.2">
      <c r="A700" s="164" t="str">
        <f ca="1">IFERROR(__xludf.DUMMYFUNCTION("""COMPUTED_VALUE"""),"DARCO")</f>
        <v>DARCO</v>
      </c>
      <c r="B700" s="164" t="str">
        <f ca="1">IFERROR(__xludf.DUMMYFUNCTION("""COMPUTED_VALUE"""),"CENTRAL OFFICE")</f>
        <v>CENTRAL OFFICE</v>
      </c>
      <c r="C700" s="164" t="str">
        <f ca="1">IFERROR(__xludf.DUMMYFUNCTION("""COMPUTED_VALUE"""),"LAPTOP MSI KATANA")</f>
        <v>LAPTOP MSI KATANA</v>
      </c>
      <c r="D700" s="164" t="str">
        <f ca="1">IFERROR(__xludf.DUMMYFUNCTION("""COMPUTED_VALUE"""),"₱ 142,100.00")</f>
        <v>₱ 142,100.00</v>
      </c>
      <c r="E700" s="164"/>
      <c r="F700" s="164" t="str">
        <f ca="1">IFERROR(__xludf.DUMMYFUNCTION("""COMPUTED_VALUE"""),"2024-05-03-10202SP035-01")</f>
        <v>2024-05-03-10202SP035-01</v>
      </c>
      <c r="G700" s="164" t="str">
        <f ca="1">IFERROR(__xludf.DUMMYFUNCTION("""COMPUTED_VALUE"""),"k24003n0163090")</f>
        <v>k24003n0163090</v>
      </c>
      <c r="H700" s="164"/>
      <c r="I700" s="164"/>
      <c r="J700" s="164"/>
      <c r="K700" s="164"/>
      <c r="L700" s="164" t="str">
        <f ca="1">IFERROR(__xludf.DUMMYFUNCTION("""COMPUTED_VALUE"""),"OSEC")</f>
        <v>OSEC</v>
      </c>
      <c r="M700" s="164" t="str">
        <f ca="1">IFERROR(__xludf.DUMMYFUNCTION("""COMPUTED_VALUE"""),"SERVICEABLE")</f>
        <v>SERVICEABLE</v>
      </c>
      <c r="N700" s="164"/>
    </row>
    <row r="701" spans="1:14" ht="13.2">
      <c r="A701" s="164" t="str">
        <f ca="1">IFERROR(__xludf.DUMMYFUNCTION("""COMPUTED_VALUE"""),"DARCO")</f>
        <v>DARCO</v>
      </c>
      <c r="B701" s="164" t="str">
        <f ca="1">IFERROR(__xludf.DUMMYFUNCTION("""COMPUTED_VALUE"""),"CENTRAL OFFICE")</f>
        <v>CENTRAL OFFICE</v>
      </c>
      <c r="C701" s="164" t="str">
        <f ca="1">IFERROR(__xludf.DUMMYFUNCTION("""COMPUTED_VALUE"""),"LAPTOP MSI KATANA")</f>
        <v>LAPTOP MSI KATANA</v>
      </c>
      <c r="D701" s="164" t="str">
        <f ca="1">IFERROR(__xludf.DUMMYFUNCTION("""COMPUTED_VALUE"""),"₱ 142,100.00")</f>
        <v>₱ 142,100.00</v>
      </c>
      <c r="E701" s="164"/>
      <c r="F701" s="164" t="str">
        <f ca="1">IFERROR(__xludf.DUMMYFUNCTION("""COMPUTED_VALUE"""),"2024-05-03-10202SP036-01")</f>
        <v>2024-05-03-10202SP036-01</v>
      </c>
      <c r="G701" s="164" t="str">
        <f ca="1">IFERROR(__xludf.DUMMYFUNCTION("""COMPUTED_VALUE"""),"k24003n0163110")</f>
        <v>k24003n0163110</v>
      </c>
      <c r="H701" s="164"/>
      <c r="I701" s="164"/>
      <c r="J701" s="164"/>
      <c r="K701" s="164"/>
      <c r="L701" s="164" t="str">
        <f ca="1">IFERROR(__xludf.DUMMYFUNCTION("""COMPUTED_VALUE"""),"CPMO - IT")</f>
        <v>CPMO - IT</v>
      </c>
      <c r="M701" s="164" t="str">
        <f ca="1">IFERROR(__xludf.DUMMYFUNCTION("""COMPUTED_VALUE"""),"SERVICEABLE")</f>
        <v>SERVICEABLE</v>
      </c>
      <c r="N701" s="164"/>
    </row>
    <row r="702" spans="1:14" ht="13.2">
      <c r="A702" s="164" t="str">
        <f ca="1">IFERROR(__xludf.DUMMYFUNCTION("""COMPUTED_VALUE"""),"DARCO")</f>
        <v>DARCO</v>
      </c>
      <c r="B702" s="164" t="str">
        <f ca="1">IFERROR(__xludf.DUMMYFUNCTION("""COMPUTED_VALUE"""),"CENTRAL OFFICE")</f>
        <v>CENTRAL OFFICE</v>
      </c>
      <c r="C702" s="164" t="str">
        <f ca="1">IFERROR(__xludf.DUMMYFUNCTION("""COMPUTED_VALUE"""),"LAPTOP MSI KATANA")</f>
        <v>LAPTOP MSI KATANA</v>
      </c>
      <c r="D702" s="164" t="str">
        <f ca="1">IFERROR(__xludf.DUMMYFUNCTION("""COMPUTED_VALUE"""),"₱ 142,100.00")</f>
        <v>₱ 142,100.00</v>
      </c>
      <c r="E702" s="164"/>
      <c r="F702" s="164" t="str">
        <f ca="1">IFERROR(__xludf.DUMMYFUNCTION("""COMPUTED_VALUE"""),"2024-05-03-10202SP037-01")</f>
        <v>2024-05-03-10202SP037-01</v>
      </c>
      <c r="G702" s="164" t="str">
        <f ca="1">IFERROR(__xludf.DUMMYFUNCTION("""COMPUTED_VALUE"""),"k24003n0163129")</f>
        <v>k24003n0163129</v>
      </c>
      <c r="H702" s="164"/>
      <c r="I702" s="164"/>
      <c r="J702" s="164"/>
      <c r="K702" s="164"/>
      <c r="L702" s="164" t="str">
        <f ca="1">IFERROR(__xludf.DUMMYFUNCTION("""COMPUTED_VALUE"""),"CPMO - RAVANCHO")</f>
        <v>CPMO - RAVANCHO</v>
      </c>
      <c r="M702" s="164" t="str">
        <f ca="1">IFERROR(__xludf.DUMMYFUNCTION("""COMPUTED_VALUE"""),"SERVICEABLE")</f>
        <v>SERVICEABLE</v>
      </c>
      <c r="N702" s="164"/>
    </row>
    <row r="703" spans="1:14" ht="13.2">
      <c r="A703" s="164" t="str">
        <f ca="1">IFERROR(__xludf.DUMMYFUNCTION("""COMPUTED_VALUE"""),"DARCO")</f>
        <v>DARCO</v>
      </c>
      <c r="B703" s="164" t="str">
        <f ca="1">IFERROR(__xludf.DUMMYFUNCTION("""COMPUTED_VALUE"""),"CENTRAL OFFICE")</f>
        <v>CENTRAL OFFICE</v>
      </c>
      <c r="C703" s="164" t="str">
        <f ca="1">IFERROR(__xludf.DUMMYFUNCTION("""COMPUTED_VALUE"""),"LAPTOP MSI KATANA")</f>
        <v>LAPTOP MSI KATANA</v>
      </c>
      <c r="D703" s="164" t="str">
        <f ca="1">IFERROR(__xludf.DUMMYFUNCTION("""COMPUTED_VALUE"""),"₱ 142,100.00")</f>
        <v>₱ 142,100.00</v>
      </c>
      <c r="E703" s="164"/>
      <c r="F703" s="164" t="str">
        <f ca="1">IFERROR(__xludf.DUMMYFUNCTION("""COMPUTED_VALUE"""),"2024-05-03-10202SP038-01")</f>
        <v>2024-05-03-10202SP038-01</v>
      </c>
      <c r="G703" s="164" t="str">
        <f ca="1">IFERROR(__xludf.DUMMYFUNCTION("""COMPUTED_VALUE"""),"k24003n0163072")</f>
        <v>k24003n0163072</v>
      </c>
      <c r="H703" s="164"/>
      <c r="I703" s="164"/>
      <c r="J703" s="164"/>
      <c r="K703" s="164"/>
      <c r="L703" s="164" t="str">
        <f ca="1">IFERROR(__xludf.DUMMYFUNCTION("""COMPUTED_VALUE"""),"CPMO - BALA ")</f>
        <v xml:space="preserve">CPMO - BALA </v>
      </c>
      <c r="M703" s="164" t="str">
        <f ca="1">IFERROR(__xludf.DUMMYFUNCTION("""COMPUTED_VALUE"""),"SERVICEABLE")</f>
        <v>SERVICEABLE</v>
      </c>
      <c r="N703" s="164"/>
    </row>
    <row r="704" spans="1:14" ht="13.2">
      <c r="A704" s="164" t="str">
        <f ca="1">IFERROR(__xludf.DUMMYFUNCTION("""COMPUTED_VALUE"""),"DARCO")</f>
        <v>DARCO</v>
      </c>
      <c r="B704" s="164" t="str">
        <f ca="1">IFERROR(__xludf.DUMMYFUNCTION("""COMPUTED_VALUE"""),"CENTRAL OFFICE")</f>
        <v>CENTRAL OFFICE</v>
      </c>
      <c r="C704" s="164" t="str">
        <f ca="1">IFERROR(__xludf.DUMMYFUNCTION("""COMPUTED_VALUE"""),"LAPTOP MSI KATANA")</f>
        <v>LAPTOP MSI KATANA</v>
      </c>
      <c r="D704" s="164" t="str">
        <f ca="1">IFERROR(__xludf.DUMMYFUNCTION("""COMPUTED_VALUE"""),"₱ 142,100.00")</f>
        <v>₱ 142,100.00</v>
      </c>
      <c r="E704" s="164"/>
      <c r="F704" s="164" t="str">
        <f ca="1">IFERROR(__xludf.DUMMYFUNCTION("""COMPUTED_VALUE"""),"2024-05-03-10202SP040-01")</f>
        <v>2024-05-03-10202SP040-01</v>
      </c>
      <c r="G704" s="164" t="str">
        <f ca="1">IFERROR(__xludf.DUMMYFUNCTION("""COMPUTED_VALUE"""),"k24003n0163072")</f>
        <v>k24003n0163072</v>
      </c>
      <c r="H704" s="164"/>
      <c r="I704" s="164"/>
      <c r="J704" s="164"/>
      <c r="K704" s="164"/>
      <c r="L704" s="164" t="str">
        <f ca="1">IFERROR(__xludf.DUMMYFUNCTION("""COMPUTED_VALUE"""),"BLTI")</f>
        <v>BLTI</v>
      </c>
      <c r="M704" s="164" t="str">
        <f ca="1">IFERROR(__xludf.DUMMYFUNCTION("""COMPUTED_VALUE"""),"SERVICEABLE")</f>
        <v>SERVICEABLE</v>
      </c>
      <c r="N704" s="164"/>
    </row>
    <row r="705" spans="1:14" ht="13.2">
      <c r="A705" s="164" t="str">
        <f ca="1">IFERROR(__xludf.DUMMYFUNCTION("""COMPUTED_VALUE"""),"DARCO")</f>
        <v>DARCO</v>
      </c>
      <c r="B705" s="164" t="str">
        <f ca="1">IFERROR(__xludf.DUMMYFUNCTION("""COMPUTED_VALUE"""),"CENTRAL OFFICE")</f>
        <v>CENTRAL OFFICE</v>
      </c>
      <c r="C705" s="164" t="str">
        <f ca="1">IFERROR(__xludf.DUMMYFUNCTION("""COMPUTED_VALUE"""),"LAPTOP MSI KATANA")</f>
        <v>LAPTOP MSI KATANA</v>
      </c>
      <c r="D705" s="164" t="str">
        <f ca="1">IFERROR(__xludf.DUMMYFUNCTION("""COMPUTED_VALUE"""),"₱ 142,100.00")</f>
        <v>₱ 142,100.00</v>
      </c>
      <c r="E705" s="164"/>
      <c r="F705" s="164" t="str">
        <f ca="1">IFERROR(__xludf.DUMMYFUNCTION("""COMPUTED_VALUE"""),"2024-05-03-10202SP042-01")</f>
        <v>2024-05-03-10202SP042-01</v>
      </c>
      <c r="G705" s="164" t="str">
        <f ca="1">IFERROR(__xludf.DUMMYFUNCTION("""COMPUTED_VALUE"""),"k24003n0163072")</f>
        <v>k24003n0163072</v>
      </c>
      <c r="H705" s="164"/>
      <c r="I705" s="164"/>
      <c r="J705" s="164"/>
      <c r="K705" s="164"/>
      <c r="L705" s="164" t="str">
        <f ca="1">IFERROR(__xludf.DUMMYFUNCTION("""COMPUTED_VALUE"""),"DARRO 4A")</f>
        <v>DARRO 4A</v>
      </c>
      <c r="M705" s="164" t="str">
        <f ca="1">IFERROR(__xludf.DUMMYFUNCTION("""COMPUTED_VALUE"""),"SERVICEABLE")</f>
        <v>SERVICEABLE</v>
      </c>
      <c r="N705" s="164"/>
    </row>
    <row r="706" spans="1:14" ht="13.2">
      <c r="A706" s="164" t="str">
        <f ca="1">IFERROR(__xludf.DUMMYFUNCTION("""COMPUTED_VALUE"""),"DARCO")</f>
        <v>DARCO</v>
      </c>
      <c r="B706" s="164" t="str">
        <f ca="1">IFERROR(__xludf.DUMMYFUNCTION("""COMPUTED_VALUE"""),"CENTRAL OFFICE")</f>
        <v>CENTRAL OFFICE</v>
      </c>
      <c r="C706" s="164" t="str">
        <f ca="1">IFERROR(__xludf.DUMMYFUNCTION("""COMPUTED_VALUE"""),"LAPTOP MSI KATANA")</f>
        <v>LAPTOP MSI KATANA</v>
      </c>
      <c r="D706" s="164" t="str">
        <f ca="1">IFERROR(__xludf.DUMMYFUNCTION("""COMPUTED_VALUE"""),"₱ 142,100.00")</f>
        <v>₱ 142,100.00</v>
      </c>
      <c r="E706" s="164"/>
      <c r="F706" s="164" t="str">
        <f ca="1">IFERROR(__xludf.DUMMYFUNCTION("""COMPUTED_VALUE"""),"2024-05-03-10202SP043-01")</f>
        <v>2024-05-03-10202SP043-01</v>
      </c>
      <c r="G706" s="164" t="str">
        <f ca="1">IFERROR(__xludf.DUMMYFUNCTION("""COMPUTED_VALUE"""),"k24003n0163072")</f>
        <v>k24003n0163072</v>
      </c>
      <c r="H706" s="164"/>
      <c r="I706" s="164"/>
      <c r="J706" s="164"/>
      <c r="K706" s="164"/>
      <c r="L706" s="164" t="str">
        <f ca="1">IFERROR(__xludf.DUMMYFUNCTION("""COMPUTED_VALUE"""),"DARRO 4A")</f>
        <v>DARRO 4A</v>
      </c>
      <c r="M706" s="164" t="str">
        <f ca="1">IFERROR(__xludf.DUMMYFUNCTION("""COMPUTED_VALUE"""),"SERVICEABLE")</f>
        <v>SERVICEABLE</v>
      </c>
      <c r="N706" s="164"/>
    </row>
    <row r="707" spans="1:14" ht="13.2">
      <c r="A707" s="164" t="str">
        <f ca="1">IFERROR(__xludf.DUMMYFUNCTION("""COMPUTED_VALUE"""),"DARCO")</f>
        <v>DARCO</v>
      </c>
      <c r="B707" s="164" t="str">
        <f ca="1">IFERROR(__xludf.DUMMYFUNCTION("""COMPUTED_VALUE"""),"CENTRAL OFFICE")</f>
        <v>CENTRAL OFFICE</v>
      </c>
      <c r="C707" s="164" t="str">
        <f ca="1">IFERROR(__xludf.DUMMYFUNCTION("""COMPUTED_VALUE"""),"LAPTOP MSI KATANA")</f>
        <v>LAPTOP MSI KATANA</v>
      </c>
      <c r="D707" s="164" t="str">
        <f ca="1">IFERROR(__xludf.DUMMYFUNCTION("""COMPUTED_VALUE"""),"₱ 142,100.00")</f>
        <v>₱ 142,100.00</v>
      </c>
      <c r="E707" s="164"/>
      <c r="F707" s="164" t="str">
        <f ca="1">IFERROR(__xludf.DUMMYFUNCTION("""COMPUTED_VALUE"""),"2024-05-03-10202SP045-01")</f>
        <v>2024-05-03-10202SP045-01</v>
      </c>
      <c r="G707" s="164" t="str">
        <f ca="1">IFERROR(__xludf.DUMMYFUNCTION("""COMPUTED_VALUE"""),"k24003n0163072")</f>
        <v>k24003n0163072</v>
      </c>
      <c r="H707" s="164"/>
      <c r="I707" s="164"/>
      <c r="J707" s="164"/>
      <c r="K707" s="164"/>
      <c r="L707" s="164" t="str">
        <f ca="1">IFERROR(__xludf.DUMMYFUNCTION("""COMPUTED_VALUE"""),"DARRO 4A")</f>
        <v>DARRO 4A</v>
      </c>
      <c r="M707" s="164" t="str">
        <f ca="1">IFERROR(__xludf.DUMMYFUNCTION("""COMPUTED_VALUE"""),"SERVICEABLE")</f>
        <v>SERVICEABLE</v>
      </c>
      <c r="N707" s="164"/>
    </row>
    <row r="708" spans="1:14" ht="13.2">
      <c r="A708" s="164" t="str">
        <f ca="1">IFERROR(__xludf.DUMMYFUNCTION("""COMPUTED_VALUE"""),"DARCO")</f>
        <v>DARCO</v>
      </c>
      <c r="B708" s="164" t="str">
        <f ca="1">IFERROR(__xludf.DUMMYFUNCTION("""COMPUTED_VALUE"""),"CENTRAL OFFICE")</f>
        <v>CENTRAL OFFICE</v>
      </c>
      <c r="C708" s="164" t="str">
        <f ca="1">IFERROR(__xludf.DUMMYFUNCTION("""COMPUTED_VALUE"""),"LAPTOP MSI KATANA")</f>
        <v>LAPTOP MSI KATANA</v>
      </c>
      <c r="D708" s="164" t="str">
        <f ca="1">IFERROR(__xludf.DUMMYFUNCTION("""COMPUTED_VALUE"""),"₱ 142,100.00")</f>
        <v>₱ 142,100.00</v>
      </c>
      <c r="E708" s="164"/>
      <c r="F708" s="164" t="str">
        <f ca="1">IFERROR(__xludf.DUMMYFUNCTION("""COMPUTED_VALUE"""),"2024-05-03-10202SP050-01")</f>
        <v>2024-05-03-10202SP050-01</v>
      </c>
      <c r="G708" s="164" t="str">
        <f ca="1">IFERROR(__xludf.DUMMYFUNCTION("""COMPUTED_VALUE"""),"k24003n0163068")</f>
        <v>k24003n0163068</v>
      </c>
      <c r="H708" s="164"/>
      <c r="I708" s="164"/>
      <c r="J708" s="164"/>
      <c r="K708" s="164"/>
      <c r="L708" s="164" t="str">
        <f ca="1">IFERROR(__xludf.DUMMYFUNCTION("""COMPUTED_VALUE"""),"CPMO")</f>
        <v>CPMO</v>
      </c>
      <c r="M708" s="164" t="str">
        <f ca="1">IFERROR(__xludf.DUMMYFUNCTION("""COMPUTED_VALUE"""),"SERVICEABLE")</f>
        <v>SERVICEABLE</v>
      </c>
      <c r="N708" s="164"/>
    </row>
    <row r="709" spans="1:14" ht="13.2">
      <c r="A709" s="164" t="str">
        <f ca="1">IFERROR(__xludf.DUMMYFUNCTION("""COMPUTED_VALUE"""),"DARCO")</f>
        <v>DARCO</v>
      </c>
      <c r="B709" s="164" t="str">
        <f ca="1">IFERROR(__xludf.DUMMYFUNCTION("""COMPUTED_VALUE"""),"CENTRAL OFFICE")</f>
        <v>CENTRAL OFFICE</v>
      </c>
      <c r="C709" s="164" t="str">
        <f ca="1">IFERROR(__xludf.DUMMYFUNCTION("""COMPUTED_VALUE"""),"LAPTOP MSI KATANA")</f>
        <v>LAPTOP MSI KATANA</v>
      </c>
      <c r="D709" s="164" t="str">
        <f ca="1">IFERROR(__xludf.DUMMYFUNCTION("""COMPUTED_VALUE"""),"₱ 142,100.00")</f>
        <v>₱ 142,100.00</v>
      </c>
      <c r="E709" s="164"/>
      <c r="F709" s="164" t="str">
        <f ca="1">IFERROR(__xludf.DUMMYFUNCTION("""COMPUTED_VALUE"""),"2024-05-03-10202SP051-01")</f>
        <v>2024-05-03-10202SP051-01</v>
      </c>
      <c r="G709" s="164" t="str">
        <f ca="1">IFERROR(__xludf.DUMMYFUNCTION("""COMPUTED_VALUE"""),"k24003n0163072")</f>
        <v>k24003n0163072</v>
      </c>
      <c r="H709" s="164"/>
      <c r="I709" s="164"/>
      <c r="J709" s="164"/>
      <c r="K709" s="164" t="str">
        <f ca="1">IFERROR(__xludf.DUMMYFUNCTION("""COMPUTED_VALUE"""),"anne llobrera")</f>
        <v>anne llobrera</v>
      </c>
      <c r="L709" s="164" t="str">
        <f ca="1">IFERROR(__xludf.DUMMYFUNCTION("""COMPUTED_VALUE"""),"OSEC / CPMO")</f>
        <v>OSEC / CPMO</v>
      </c>
      <c r="M709" s="164" t="str">
        <f ca="1">IFERROR(__xludf.DUMMYFUNCTION("""COMPUTED_VALUE"""),"SERVICEABLE")</f>
        <v>SERVICEABLE</v>
      </c>
      <c r="N709" s="164"/>
    </row>
    <row r="710" spans="1:14" ht="13.2">
      <c r="A710" s="164" t="str">
        <f ca="1">IFERROR(__xludf.DUMMYFUNCTION("""COMPUTED_VALUE"""),"DARCO")</f>
        <v>DARCO</v>
      </c>
      <c r="B710" s="164" t="str">
        <f ca="1">IFERROR(__xludf.DUMMYFUNCTION("""COMPUTED_VALUE"""),"CENTRAL OFFICE")</f>
        <v>CENTRAL OFFICE</v>
      </c>
      <c r="C710" s="164" t="str">
        <f ca="1">IFERROR(__xludf.DUMMYFUNCTION("""COMPUTED_VALUE"""),"LAPTOP MSI KATANA")</f>
        <v>LAPTOP MSI KATANA</v>
      </c>
      <c r="D710" s="164" t="str">
        <f ca="1">IFERROR(__xludf.DUMMYFUNCTION("""COMPUTED_VALUE"""),"₱ 142,100.00")</f>
        <v>₱ 142,100.00</v>
      </c>
      <c r="E710" s="164"/>
      <c r="F710" s="164" t="str">
        <f ca="1">IFERROR(__xludf.DUMMYFUNCTION("""COMPUTED_VALUE"""),"2024-05-03-10202SP052-01")</f>
        <v>2024-05-03-10202SP052-01</v>
      </c>
      <c r="G710" s="164" t="str">
        <f ca="1">IFERROR(__xludf.DUMMYFUNCTION("""COMPUTED_VALUE"""),"k24003n0163096")</f>
        <v>k24003n0163096</v>
      </c>
      <c r="H710" s="164"/>
      <c r="I710" s="164"/>
      <c r="J710" s="164"/>
      <c r="K710" s="164"/>
      <c r="L710" s="164" t="str">
        <f ca="1">IFERROR(__xludf.DUMMYFUNCTION("""COMPUTED_VALUE"""),"CPMO - IT")</f>
        <v>CPMO - IT</v>
      </c>
      <c r="M710" s="164" t="str">
        <f ca="1">IFERROR(__xludf.DUMMYFUNCTION("""COMPUTED_VALUE"""),"SERVICEABLE")</f>
        <v>SERVICEABLE</v>
      </c>
      <c r="N710" s="164"/>
    </row>
    <row r="711" spans="1:14" ht="13.2">
      <c r="A711" s="164" t="str">
        <f ca="1">IFERROR(__xludf.DUMMYFUNCTION("""COMPUTED_VALUE"""),"DARCO")</f>
        <v>DARCO</v>
      </c>
      <c r="B711" s="164" t="str">
        <f ca="1">IFERROR(__xludf.DUMMYFUNCTION("""COMPUTED_VALUE"""),"CENTRAL OFFICE")</f>
        <v>CENTRAL OFFICE</v>
      </c>
      <c r="C711" s="164" t="str">
        <f ca="1">IFERROR(__xludf.DUMMYFUNCTION("""COMPUTED_VALUE"""),"LAPTOP MSI KATANA")</f>
        <v>LAPTOP MSI KATANA</v>
      </c>
      <c r="D711" s="164" t="str">
        <f ca="1">IFERROR(__xludf.DUMMYFUNCTION("""COMPUTED_VALUE"""),"₱ 142,100.00")</f>
        <v>₱ 142,100.00</v>
      </c>
      <c r="E711" s="164"/>
      <c r="F711" s="164" t="str">
        <f ca="1">IFERROR(__xludf.DUMMYFUNCTION("""COMPUTED_VALUE"""),"2024-05-03-10202SP053-01")</f>
        <v>2024-05-03-10202SP053-01</v>
      </c>
      <c r="G711" s="164" t="str">
        <f ca="1">IFERROR(__xludf.DUMMYFUNCTION("""COMPUTED_VALUE"""),"k24003n0163061")</f>
        <v>k24003n0163061</v>
      </c>
      <c r="H711" s="164"/>
      <c r="I711" s="164"/>
      <c r="J711" s="164"/>
      <c r="K711" s="164"/>
      <c r="L711" s="164" t="str">
        <f ca="1">IFERROR(__xludf.DUMMYFUNCTION("""COMPUTED_VALUE"""),"OSEC")</f>
        <v>OSEC</v>
      </c>
      <c r="M711" s="164" t="str">
        <f ca="1">IFERROR(__xludf.DUMMYFUNCTION("""COMPUTED_VALUE"""),"SERVICEABLE")</f>
        <v>SERVICEABLE</v>
      </c>
      <c r="N711" s="164"/>
    </row>
    <row r="712" spans="1:14" ht="13.2">
      <c r="A712" s="164" t="str">
        <f ca="1">IFERROR(__xludf.DUMMYFUNCTION("""COMPUTED_VALUE"""),"DARCO")</f>
        <v>DARCO</v>
      </c>
      <c r="B712" s="164" t="str">
        <f ca="1">IFERROR(__xludf.DUMMYFUNCTION("""COMPUTED_VALUE"""),"CENTRAL OFFICE")</f>
        <v>CENTRAL OFFICE</v>
      </c>
      <c r="C712" s="164" t="str">
        <f ca="1">IFERROR(__xludf.DUMMYFUNCTION("""COMPUTED_VALUE"""),"LAPTOP MSI KATANA")</f>
        <v>LAPTOP MSI KATANA</v>
      </c>
      <c r="D712" s="164" t="str">
        <f ca="1">IFERROR(__xludf.DUMMYFUNCTION("""COMPUTED_VALUE"""),"₱ 142,100.00")</f>
        <v>₱ 142,100.00</v>
      </c>
      <c r="E712" s="164"/>
      <c r="F712" s="164" t="str">
        <f ca="1">IFERROR(__xludf.DUMMYFUNCTION("""COMPUTED_VALUE"""),"2024-05-03-10202SP054-01")</f>
        <v>2024-05-03-10202SP054-01</v>
      </c>
      <c r="G712" s="164" t="str">
        <f ca="1">IFERROR(__xludf.DUMMYFUNCTION("""COMPUTED_VALUE"""),"k24003n0163093")</f>
        <v>k24003n0163093</v>
      </c>
      <c r="H712" s="164"/>
      <c r="I712" s="164"/>
      <c r="J712" s="164"/>
      <c r="K712" s="164"/>
      <c r="L712" s="164" t="str">
        <f ca="1">IFERROR(__xludf.DUMMYFUNCTION("""COMPUTED_VALUE"""),"OSEC")</f>
        <v>OSEC</v>
      </c>
      <c r="M712" s="164" t="str">
        <f ca="1">IFERROR(__xludf.DUMMYFUNCTION("""COMPUTED_VALUE"""),"SERVICEABLE")</f>
        <v>SERVICEABLE</v>
      </c>
      <c r="N712" s="164"/>
    </row>
    <row r="713" spans="1:14" ht="13.2">
      <c r="A713" s="164" t="str">
        <f ca="1">IFERROR(__xludf.DUMMYFUNCTION("""COMPUTED_VALUE"""),"DARCO")</f>
        <v>DARCO</v>
      </c>
      <c r="B713" s="164" t="str">
        <f ca="1">IFERROR(__xludf.DUMMYFUNCTION("""COMPUTED_VALUE"""),"CENTRAL OFFICE")</f>
        <v>CENTRAL OFFICE</v>
      </c>
      <c r="C713" s="164" t="str">
        <f ca="1">IFERROR(__xludf.DUMMYFUNCTION("""COMPUTED_VALUE"""),"LAPTOP MSI KATANA")</f>
        <v>LAPTOP MSI KATANA</v>
      </c>
      <c r="D713" s="164" t="str">
        <f ca="1">IFERROR(__xludf.DUMMYFUNCTION("""COMPUTED_VALUE"""),"₱ 142,100.00")</f>
        <v>₱ 142,100.00</v>
      </c>
      <c r="E713" s="164"/>
      <c r="F713" s="164" t="str">
        <f ca="1">IFERROR(__xludf.DUMMYFUNCTION("""COMPUTED_VALUE"""),"2024-05-03-10202SP057-01")</f>
        <v>2024-05-03-10202SP057-01</v>
      </c>
      <c r="G713" s="164" t="str">
        <f ca="1">IFERROR(__xludf.DUMMYFUNCTION("""COMPUTED_VALUE"""),"k24003n0163095")</f>
        <v>k24003n0163095</v>
      </c>
      <c r="H713" s="164"/>
      <c r="I713" s="164"/>
      <c r="J713" s="164"/>
      <c r="K713" s="164"/>
      <c r="L713" s="164" t="str">
        <f ca="1">IFERROR(__xludf.DUMMYFUNCTION("""COMPUTED_VALUE"""),"OSEC / CPMO")</f>
        <v>OSEC / CPMO</v>
      </c>
      <c r="M713" s="164" t="str">
        <f ca="1">IFERROR(__xludf.DUMMYFUNCTION("""COMPUTED_VALUE"""),"SERVICEABLE")</f>
        <v>SERVICEABLE</v>
      </c>
      <c r="N713" s="164"/>
    </row>
    <row r="714" spans="1:14" ht="13.2">
      <c r="A714" s="164" t="str">
        <f ca="1">IFERROR(__xludf.DUMMYFUNCTION("""COMPUTED_VALUE"""),"DARCO")</f>
        <v>DARCO</v>
      </c>
      <c r="B714" s="164" t="str">
        <f ca="1">IFERROR(__xludf.DUMMYFUNCTION("""COMPUTED_VALUE"""),"CENTRAL OFFICE")</f>
        <v>CENTRAL OFFICE</v>
      </c>
      <c r="C714" s="164" t="str">
        <f ca="1">IFERROR(__xludf.DUMMYFUNCTION("""COMPUTED_VALUE"""),"LAPTOP MSI KATANA")</f>
        <v>LAPTOP MSI KATANA</v>
      </c>
      <c r="D714" s="164" t="str">
        <f ca="1">IFERROR(__xludf.DUMMYFUNCTION("""COMPUTED_VALUE"""),"₱ 142,100.00")</f>
        <v>₱ 142,100.00</v>
      </c>
      <c r="E714" s="164"/>
      <c r="F714" s="164" t="str">
        <f ca="1">IFERROR(__xludf.DUMMYFUNCTION("""COMPUTED_VALUE"""),"2024-05-03-10202SP058-01")</f>
        <v>2024-05-03-10202SP058-01</v>
      </c>
      <c r="G714" s="164" t="str">
        <f ca="1">IFERROR(__xludf.DUMMYFUNCTION("""COMPUTED_VALUE"""),"k24003n0163072")</f>
        <v>k24003n0163072</v>
      </c>
      <c r="H714" s="164"/>
      <c r="I714" s="164"/>
      <c r="J714" s="164"/>
      <c r="K714" s="164"/>
      <c r="L714" s="164" t="str">
        <f ca="1">IFERROR(__xludf.DUMMYFUNCTION("""COMPUTED_VALUE"""),"AFOO - ATTY DANICA ")</f>
        <v xml:space="preserve">AFOO - ATTY DANICA </v>
      </c>
      <c r="M714" s="164" t="str">
        <f ca="1">IFERROR(__xludf.DUMMYFUNCTION("""COMPUTED_VALUE"""),"SERVICEABLE")</f>
        <v>SERVICEABLE</v>
      </c>
      <c r="N714" s="164"/>
    </row>
    <row r="715" spans="1:14" ht="13.2">
      <c r="A715" s="164" t="str">
        <f ca="1">IFERROR(__xludf.DUMMYFUNCTION("""COMPUTED_VALUE"""),"DARCO")</f>
        <v>DARCO</v>
      </c>
      <c r="B715" s="164" t="str">
        <f ca="1">IFERROR(__xludf.DUMMYFUNCTION("""COMPUTED_VALUE"""),"CENTRAL OFFICE")</f>
        <v>CENTRAL OFFICE</v>
      </c>
      <c r="C715" s="164" t="str">
        <f ca="1">IFERROR(__xludf.DUMMYFUNCTION("""COMPUTED_VALUE"""),"LAPTOP MSI KATANA")</f>
        <v>LAPTOP MSI KATANA</v>
      </c>
      <c r="D715" s="164" t="str">
        <f ca="1">IFERROR(__xludf.DUMMYFUNCTION("""COMPUTED_VALUE"""),"₱ 142,100.00")</f>
        <v>₱ 142,100.00</v>
      </c>
      <c r="E715" s="164"/>
      <c r="F715" s="164" t="str">
        <f ca="1">IFERROR(__xludf.DUMMYFUNCTION("""COMPUTED_VALUE"""),"2024-05-03-10202SP059-01")</f>
        <v>2024-05-03-10202SP059-01</v>
      </c>
      <c r="G715" s="164" t="str">
        <f ca="1">IFERROR(__xludf.DUMMYFUNCTION("""COMPUTED_VALUE"""),"k24003n016303120")</f>
        <v>k24003n016303120</v>
      </c>
      <c r="H715" s="164"/>
      <c r="I715" s="164"/>
      <c r="J715" s="164"/>
      <c r="K715" s="164"/>
      <c r="L715" s="164" t="str">
        <f ca="1">IFERROR(__xludf.DUMMYFUNCTION("""COMPUTED_VALUE"""),"PRS")</f>
        <v>PRS</v>
      </c>
      <c r="M715" s="164" t="str">
        <f ca="1">IFERROR(__xludf.DUMMYFUNCTION("""COMPUTED_VALUE"""),"SERVICEABLE")</f>
        <v>SERVICEABLE</v>
      </c>
      <c r="N715" s="164"/>
    </row>
    <row r="716" spans="1:14" ht="13.2">
      <c r="A716" s="164" t="str">
        <f ca="1">IFERROR(__xludf.DUMMYFUNCTION("""COMPUTED_VALUE"""),"DARCO")</f>
        <v>DARCO</v>
      </c>
      <c r="B716" s="164" t="str">
        <f ca="1">IFERROR(__xludf.DUMMYFUNCTION("""COMPUTED_VALUE"""),"CENTRAL OFFICE")</f>
        <v>CENTRAL OFFICE</v>
      </c>
      <c r="C716" s="164" t="str">
        <f ca="1">IFERROR(__xludf.DUMMYFUNCTION("""COMPUTED_VALUE"""),"LAPTOP MSI KATANA")</f>
        <v>LAPTOP MSI KATANA</v>
      </c>
      <c r="D716" s="164" t="str">
        <f ca="1">IFERROR(__xludf.DUMMYFUNCTION("""COMPUTED_VALUE"""),"₱ 142,100.00")</f>
        <v>₱ 142,100.00</v>
      </c>
      <c r="E716" s="164"/>
      <c r="F716" s="164" t="str">
        <f ca="1">IFERROR(__xludf.DUMMYFUNCTION("""COMPUTED_VALUE"""),"2024-05-03-10202SP060-01")</f>
        <v>2024-05-03-10202SP060-01</v>
      </c>
      <c r="G716" s="164" t="str">
        <f ca="1">IFERROR(__xludf.DUMMYFUNCTION("""COMPUTED_VALUE"""),"k24003n0163072")</f>
        <v>k24003n0163072</v>
      </c>
      <c r="H716" s="164"/>
      <c r="I716" s="164"/>
      <c r="J716" s="164"/>
      <c r="K716" s="164"/>
      <c r="L716" s="164" t="str">
        <f ca="1">IFERROR(__xludf.DUMMYFUNCTION("""COMPUTED_VALUE"""),"CPMO")</f>
        <v>CPMO</v>
      </c>
      <c r="M716" s="164" t="str">
        <f ca="1">IFERROR(__xludf.DUMMYFUNCTION("""COMPUTED_VALUE"""),"SERVICEABLE")</f>
        <v>SERVICEABLE</v>
      </c>
      <c r="N716" s="164"/>
    </row>
    <row r="717" spans="1:14" ht="13.2">
      <c r="A717" s="164" t="str">
        <f ca="1">IFERROR(__xludf.DUMMYFUNCTION("""COMPUTED_VALUE"""),"DARCO")</f>
        <v>DARCO</v>
      </c>
      <c r="B717" s="164" t="str">
        <f ca="1">IFERROR(__xludf.DUMMYFUNCTION("""COMPUTED_VALUE"""),"CENTRAL OFFICE")</f>
        <v>CENTRAL OFFICE</v>
      </c>
      <c r="C717" s="164" t="str">
        <f ca="1">IFERROR(__xludf.DUMMYFUNCTION("""COMPUTED_VALUE"""),"LAPTOP MSI KATANA")</f>
        <v>LAPTOP MSI KATANA</v>
      </c>
      <c r="D717" s="164" t="str">
        <f ca="1">IFERROR(__xludf.DUMMYFUNCTION("""COMPUTED_VALUE"""),"₱ 142,100.00")</f>
        <v>₱ 142,100.00</v>
      </c>
      <c r="E717" s="164"/>
      <c r="F717" s="164" t="str">
        <f ca="1">IFERROR(__xludf.DUMMYFUNCTION("""COMPUTED_VALUE"""),"2024-05-03-10202SP061-01")</f>
        <v>2024-05-03-10202SP061-01</v>
      </c>
      <c r="G717" s="164" t="str">
        <f ca="1">IFERROR(__xludf.DUMMYFUNCTION("""COMPUTED_VALUE"""),"k24003n0163084")</f>
        <v>k24003n0163084</v>
      </c>
      <c r="H717" s="164"/>
      <c r="I717" s="164"/>
      <c r="J717" s="164"/>
      <c r="K717" s="164"/>
      <c r="L717" s="164" t="str">
        <f ca="1">IFERROR(__xludf.DUMMYFUNCTION("""COMPUTED_VALUE"""),"CPMO - ESS")</f>
        <v>CPMO - ESS</v>
      </c>
      <c r="M717" s="164" t="str">
        <f ca="1">IFERROR(__xludf.DUMMYFUNCTION("""COMPUTED_VALUE"""),"SERVICEABLE")</f>
        <v>SERVICEABLE</v>
      </c>
      <c r="N717" s="164"/>
    </row>
    <row r="718" spans="1:14" ht="13.2">
      <c r="A718" s="164" t="str">
        <f ca="1">IFERROR(__xludf.DUMMYFUNCTION("""COMPUTED_VALUE"""),"DARCO")</f>
        <v>DARCO</v>
      </c>
      <c r="B718" s="164" t="str">
        <f ca="1">IFERROR(__xludf.DUMMYFUNCTION("""COMPUTED_VALUE"""),"CENTRAL OFFICE")</f>
        <v>CENTRAL OFFICE</v>
      </c>
      <c r="C718" s="164" t="str">
        <f ca="1">IFERROR(__xludf.DUMMYFUNCTION("""COMPUTED_VALUE"""),"LAPTOP MSI KATANA")</f>
        <v>LAPTOP MSI KATANA</v>
      </c>
      <c r="D718" s="164" t="str">
        <f ca="1">IFERROR(__xludf.DUMMYFUNCTION("""COMPUTED_VALUE"""),"₱ 142,100.00")</f>
        <v>₱ 142,100.00</v>
      </c>
      <c r="E718" s="164"/>
      <c r="F718" s="164" t="str">
        <f ca="1">IFERROR(__xludf.DUMMYFUNCTION("""COMPUTED_VALUE"""),"2024-05-03-10202SP062-01")</f>
        <v>2024-05-03-10202SP062-01</v>
      </c>
      <c r="G718" s="164" t="str">
        <f ca="1">IFERROR(__xludf.DUMMYFUNCTION("""COMPUTED_VALUE"""),"k24003n0163072")</f>
        <v>k24003n0163072</v>
      </c>
      <c r="H718" s="164"/>
      <c r="I718" s="164"/>
      <c r="J718" s="164"/>
      <c r="K718" s="164" t="str">
        <f ca="1">IFERROR(__xludf.DUMMYFUNCTION("""COMPUTED_VALUE"""),"bradley")</f>
        <v>bradley</v>
      </c>
      <c r="L718" s="164" t="str">
        <f ca="1">IFERROR(__xludf.DUMMYFUNCTION("""COMPUTED_VALUE"""),"CPMO")</f>
        <v>CPMO</v>
      </c>
      <c r="M718" s="164" t="str">
        <f ca="1">IFERROR(__xludf.DUMMYFUNCTION("""COMPUTED_VALUE"""),"SERVICEABLE")</f>
        <v>SERVICEABLE</v>
      </c>
      <c r="N718" s="164"/>
    </row>
    <row r="719" spans="1:14" ht="13.2">
      <c r="A719" s="164" t="str">
        <f ca="1">IFERROR(__xludf.DUMMYFUNCTION("""COMPUTED_VALUE"""),"DARCO")</f>
        <v>DARCO</v>
      </c>
      <c r="B719" s="164" t="str">
        <f ca="1">IFERROR(__xludf.DUMMYFUNCTION("""COMPUTED_VALUE"""),"CENTRAL OFFICE")</f>
        <v>CENTRAL OFFICE</v>
      </c>
      <c r="C719" s="164" t="str">
        <f ca="1">IFERROR(__xludf.DUMMYFUNCTION("""COMPUTED_VALUE"""),"LAPTOP MSI KATANA")</f>
        <v>LAPTOP MSI KATANA</v>
      </c>
      <c r="D719" s="164" t="str">
        <f ca="1">IFERROR(__xludf.DUMMYFUNCTION("""COMPUTED_VALUE"""),"₱ 142,100.00")</f>
        <v>₱ 142,100.00</v>
      </c>
      <c r="E719" s="164"/>
      <c r="F719" s="164" t="str">
        <f ca="1">IFERROR(__xludf.DUMMYFUNCTION("""COMPUTED_VALUE"""),"2024-05-03-10202SP063-01")</f>
        <v>2024-05-03-10202SP063-01</v>
      </c>
      <c r="G719" s="164" t="str">
        <f ca="1">IFERROR(__xludf.DUMMYFUNCTION("""COMPUTED_VALUE"""),"k24003n0163131")</f>
        <v>k24003n0163131</v>
      </c>
      <c r="H719" s="164"/>
      <c r="I719" s="164"/>
      <c r="J719" s="164"/>
      <c r="K719" s="164"/>
      <c r="L719" s="164" t="str">
        <f ca="1">IFERROR(__xludf.DUMMYFUNCTION("""COMPUTED_VALUE"""),"ESS")</f>
        <v>ESS</v>
      </c>
      <c r="M719" s="164" t="str">
        <f ca="1">IFERROR(__xludf.DUMMYFUNCTION("""COMPUTED_VALUE"""),"SERVICEABLE")</f>
        <v>SERVICEABLE</v>
      </c>
      <c r="N719" s="164"/>
    </row>
    <row r="720" spans="1:14" ht="13.2">
      <c r="A720" s="164" t="str">
        <f ca="1">IFERROR(__xludf.DUMMYFUNCTION("""COMPUTED_VALUE"""),"DARCO")</f>
        <v>DARCO</v>
      </c>
      <c r="B720" s="164" t="str">
        <f ca="1">IFERROR(__xludf.DUMMYFUNCTION("""COMPUTED_VALUE"""),"CENTRAL OFFICE")</f>
        <v>CENTRAL OFFICE</v>
      </c>
      <c r="C720" s="164" t="str">
        <f ca="1">IFERROR(__xludf.DUMMYFUNCTION("""COMPUTED_VALUE"""),"LAPTOP MSI KATANA")</f>
        <v>LAPTOP MSI KATANA</v>
      </c>
      <c r="D720" s="164" t="str">
        <f ca="1">IFERROR(__xludf.DUMMYFUNCTION("""COMPUTED_VALUE"""),"₱ 142,100.00")</f>
        <v>₱ 142,100.00</v>
      </c>
      <c r="E720" s="164"/>
      <c r="F720" s="164" t="str">
        <f ca="1">IFERROR(__xludf.DUMMYFUNCTION("""COMPUTED_VALUE"""),"2024-05-03-10202SP064-01")</f>
        <v>2024-05-03-10202SP064-01</v>
      </c>
      <c r="G720" s="164" t="str">
        <f ca="1">IFERROR(__xludf.DUMMYFUNCTION("""COMPUTED_VALUE"""),"k24003n0163072")</f>
        <v>k24003n0163072</v>
      </c>
      <c r="H720" s="164"/>
      <c r="I720" s="164"/>
      <c r="J720" s="164"/>
      <c r="K720" s="164" t="str">
        <f ca="1">IFERROR(__xludf.DUMMYFUNCTION("""COMPUTED_VALUE"""),"CARPO FALCON")</f>
        <v>CARPO FALCON</v>
      </c>
      <c r="L720" s="164" t="str">
        <f ca="1">IFERROR(__xludf.DUMMYFUNCTION("""COMPUTED_VALUE"""),"CPMO")</f>
        <v>CPMO</v>
      </c>
      <c r="M720" s="164" t="str">
        <f ca="1">IFERROR(__xludf.DUMMYFUNCTION("""COMPUTED_VALUE"""),"SERVICEABLE")</f>
        <v>SERVICEABLE</v>
      </c>
      <c r="N720" s="164"/>
    </row>
    <row r="721" spans="1:14" ht="13.2">
      <c r="A721" s="164" t="str">
        <f ca="1">IFERROR(__xludf.DUMMYFUNCTION("""COMPUTED_VALUE"""),"DARCO")</f>
        <v>DARCO</v>
      </c>
      <c r="B721" s="164" t="str">
        <f ca="1">IFERROR(__xludf.DUMMYFUNCTION("""COMPUTED_VALUE"""),"CENTRAL OFFICE")</f>
        <v>CENTRAL OFFICE</v>
      </c>
      <c r="C721" s="164" t="str">
        <f ca="1">IFERROR(__xludf.DUMMYFUNCTION("""COMPUTED_VALUE"""),"LAPTOP MSI KATANA")</f>
        <v>LAPTOP MSI KATANA</v>
      </c>
      <c r="D721" s="164" t="str">
        <f ca="1">IFERROR(__xludf.DUMMYFUNCTION("""COMPUTED_VALUE"""),"₱ 142,100.00")</f>
        <v>₱ 142,100.00</v>
      </c>
      <c r="E721" s="164"/>
      <c r="F721" s="164" t="str">
        <f ca="1">IFERROR(__xludf.DUMMYFUNCTION("""COMPUTED_VALUE"""),"2024-05-03-10202SP065-01")</f>
        <v>2024-05-03-10202SP065-01</v>
      </c>
      <c r="G721" s="164" t="str">
        <f ca="1">IFERROR(__xludf.DUMMYFUNCTION("""COMPUTED_VALUE"""),"k24003n0163125")</f>
        <v>k24003n0163125</v>
      </c>
      <c r="H721" s="164"/>
      <c r="I721" s="164"/>
      <c r="J721" s="164"/>
      <c r="K721" s="164" t="str">
        <f ca="1">IFERROR(__xludf.DUMMYFUNCTION("""COMPUTED_VALUE"""),"IKKO MARIANO")</f>
        <v>IKKO MARIANO</v>
      </c>
      <c r="L721" s="164" t="str">
        <f ca="1">IFERROR(__xludf.DUMMYFUNCTION("""COMPUTED_VALUE"""),"CPMO")</f>
        <v>CPMO</v>
      </c>
      <c r="M721" s="164" t="str">
        <f ca="1">IFERROR(__xludf.DUMMYFUNCTION("""COMPUTED_VALUE"""),"SERVICEABLE")</f>
        <v>SERVICEABLE</v>
      </c>
      <c r="N721" s="164"/>
    </row>
    <row r="722" spans="1:14" ht="13.2">
      <c r="A722" s="164" t="str">
        <f ca="1">IFERROR(__xludf.DUMMYFUNCTION("""COMPUTED_VALUE"""),"DARCO")</f>
        <v>DARCO</v>
      </c>
      <c r="B722" s="164" t="str">
        <f ca="1">IFERROR(__xludf.DUMMYFUNCTION("""COMPUTED_VALUE"""),"CENTRAL OFFICE")</f>
        <v>CENTRAL OFFICE</v>
      </c>
      <c r="C722" s="164" t="str">
        <f ca="1">IFERROR(__xludf.DUMMYFUNCTION("""COMPUTED_VALUE"""),"LAPTOP MSI KATANA")</f>
        <v>LAPTOP MSI KATANA</v>
      </c>
      <c r="D722" s="164" t="str">
        <f ca="1">IFERROR(__xludf.DUMMYFUNCTION("""COMPUTED_VALUE"""),"₱ 142,100.00")</f>
        <v>₱ 142,100.00</v>
      </c>
      <c r="E722" s="164"/>
      <c r="F722" s="164" t="str">
        <f ca="1">IFERROR(__xludf.DUMMYFUNCTION("""COMPUTED_VALUE"""),"2024-05-03-10202SP066-01")</f>
        <v>2024-05-03-10202SP066-01</v>
      </c>
      <c r="G722" s="164" t="str">
        <f ca="1">IFERROR(__xludf.DUMMYFUNCTION("""COMPUTED_VALUE"""),"k24003n0163121")</f>
        <v>k24003n0163121</v>
      </c>
      <c r="H722" s="164"/>
      <c r="I722" s="164"/>
      <c r="J722" s="164"/>
      <c r="K722" s="164" t="str">
        <f ca="1">IFERROR(__xludf.DUMMYFUNCTION("""COMPUTED_VALUE"""),"MICHOLE ABAN")</f>
        <v>MICHOLE ABAN</v>
      </c>
      <c r="L722" s="164" t="str">
        <f ca="1">IFERROR(__xludf.DUMMYFUNCTION("""COMPUTED_VALUE"""),"CPMO")</f>
        <v>CPMO</v>
      </c>
      <c r="M722" s="164" t="str">
        <f ca="1">IFERROR(__xludf.DUMMYFUNCTION("""COMPUTED_VALUE"""),"SERVICEABLE")</f>
        <v>SERVICEABLE</v>
      </c>
      <c r="N722" s="164"/>
    </row>
    <row r="723" spans="1:14" ht="13.2">
      <c r="A723" s="164" t="str">
        <f ca="1">IFERROR(__xludf.DUMMYFUNCTION("""COMPUTED_VALUE"""),"DARCO")</f>
        <v>DARCO</v>
      </c>
      <c r="B723" s="164" t="str">
        <f ca="1">IFERROR(__xludf.DUMMYFUNCTION("""COMPUTED_VALUE"""),"CENTRAL OFFICE")</f>
        <v>CENTRAL OFFICE</v>
      </c>
      <c r="C723" s="164" t="str">
        <f ca="1">IFERROR(__xludf.DUMMYFUNCTION("""COMPUTED_VALUE"""),"LAPTOP MSI KATANA")</f>
        <v>LAPTOP MSI KATANA</v>
      </c>
      <c r="D723" s="164" t="str">
        <f ca="1">IFERROR(__xludf.DUMMYFUNCTION("""COMPUTED_VALUE"""),"₱ 142,100.00")</f>
        <v>₱ 142,100.00</v>
      </c>
      <c r="E723" s="164"/>
      <c r="F723" s="164" t="str">
        <f ca="1">IFERROR(__xludf.DUMMYFUNCTION("""COMPUTED_VALUE"""),"2024-05-03-10202SP067-01")</f>
        <v>2024-05-03-10202SP067-01</v>
      </c>
      <c r="G723" s="164" t="str">
        <f ca="1">IFERROR(__xludf.DUMMYFUNCTION("""COMPUTED_VALUE"""),"k24003n0163122")</f>
        <v>k24003n0163122</v>
      </c>
      <c r="H723" s="164"/>
      <c r="I723" s="164"/>
      <c r="J723" s="164"/>
      <c r="K723" s="164" t="str">
        <f ca="1">IFERROR(__xludf.DUMMYFUNCTION("""COMPUTED_VALUE"""),"DIR. ALFILER")</f>
        <v>DIR. ALFILER</v>
      </c>
      <c r="L723" s="164" t="str">
        <f ca="1">IFERROR(__xludf.DUMMYFUNCTION("""COMPUTED_VALUE"""),"OSEC")</f>
        <v>OSEC</v>
      </c>
      <c r="M723" s="164" t="str">
        <f ca="1">IFERROR(__xludf.DUMMYFUNCTION("""COMPUTED_VALUE"""),"SERVICEABLE")</f>
        <v>SERVICEABLE</v>
      </c>
      <c r="N723" s="164"/>
    </row>
    <row r="724" spans="1:14" ht="13.2">
      <c r="A724" s="164" t="str">
        <f ca="1">IFERROR(__xludf.DUMMYFUNCTION("""COMPUTED_VALUE"""),"DARCO")</f>
        <v>DARCO</v>
      </c>
      <c r="B724" s="164" t="str">
        <f ca="1">IFERROR(__xludf.DUMMYFUNCTION("""COMPUTED_VALUE"""),"CENTRAL OFFICE")</f>
        <v>CENTRAL OFFICE</v>
      </c>
      <c r="C724" s="164" t="str">
        <f ca="1">IFERROR(__xludf.DUMMYFUNCTION("""COMPUTED_VALUE"""),"LAPTOP MSI KATANA")</f>
        <v>LAPTOP MSI KATANA</v>
      </c>
      <c r="D724" s="164" t="str">
        <f ca="1">IFERROR(__xludf.DUMMYFUNCTION("""COMPUTED_VALUE"""),"₱ 142,100.00")</f>
        <v>₱ 142,100.00</v>
      </c>
      <c r="E724" s="164"/>
      <c r="F724" s="164" t="str">
        <f ca="1">IFERROR(__xludf.DUMMYFUNCTION("""COMPUTED_VALUE"""),"2024-05-03-10202SP068-01")</f>
        <v>2024-05-03-10202SP068-01</v>
      </c>
      <c r="G724" s="164" t="str">
        <f ca="1">IFERROR(__xludf.DUMMYFUNCTION("""COMPUTED_VALUE"""),"k24003n0163099")</f>
        <v>k24003n0163099</v>
      </c>
      <c r="H724" s="164"/>
      <c r="I724" s="164"/>
      <c r="J724" s="164"/>
      <c r="K724" s="164"/>
      <c r="L724" s="164" t="str">
        <f ca="1">IFERROR(__xludf.DUMMYFUNCTION("""COMPUTED_VALUE"""),"OSEC")</f>
        <v>OSEC</v>
      </c>
      <c r="M724" s="164" t="str">
        <f ca="1">IFERROR(__xludf.DUMMYFUNCTION("""COMPUTED_VALUE"""),"SERVICEABLE")</f>
        <v>SERVICEABLE</v>
      </c>
      <c r="N724" s="164"/>
    </row>
    <row r="725" spans="1:14" ht="13.2">
      <c r="A725" s="164" t="str">
        <f ca="1">IFERROR(__xludf.DUMMYFUNCTION("""COMPUTED_VALUE"""),"DARCO")</f>
        <v>DARCO</v>
      </c>
      <c r="B725" s="164" t="str">
        <f ca="1">IFERROR(__xludf.DUMMYFUNCTION("""COMPUTED_VALUE"""),"CENTRAL OFFICE")</f>
        <v>CENTRAL OFFICE</v>
      </c>
      <c r="C725" s="164" t="str">
        <f ca="1">IFERROR(__xludf.DUMMYFUNCTION("""COMPUTED_VALUE"""),"LAPTOP MSI KATANA")</f>
        <v>LAPTOP MSI KATANA</v>
      </c>
      <c r="D725" s="164" t="str">
        <f ca="1">IFERROR(__xludf.DUMMYFUNCTION("""COMPUTED_VALUE"""),"₱ 142,100.00")</f>
        <v>₱ 142,100.00</v>
      </c>
      <c r="E725" s="164"/>
      <c r="F725" s="164" t="str">
        <f ca="1">IFERROR(__xludf.DUMMYFUNCTION("""COMPUTED_VALUE"""),"2024-05-03-10202SP069-01")</f>
        <v>2024-05-03-10202SP069-01</v>
      </c>
      <c r="G725" s="164" t="str">
        <f ca="1">IFERROR(__xludf.DUMMYFUNCTION("""COMPUTED_VALUE"""),"k24003n0163062")</f>
        <v>k24003n0163062</v>
      </c>
      <c r="H725" s="164"/>
      <c r="I725" s="164"/>
      <c r="J725" s="164"/>
      <c r="K725" s="164"/>
      <c r="L725" s="164" t="str">
        <f ca="1">IFERROR(__xludf.DUMMYFUNCTION("""COMPUTED_VALUE"""),"ESS")</f>
        <v>ESS</v>
      </c>
      <c r="M725" s="164" t="str">
        <f ca="1">IFERROR(__xludf.DUMMYFUNCTION("""COMPUTED_VALUE"""),"SERVICEABLE")</f>
        <v>SERVICEABLE</v>
      </c>
      <c r="N725" s="164"/>
    </row>
    <row r="726" spans="1:14" ht="13.2">
      <c r="A726" s="164" t="str">
        <f ca="1">IFERROR(__xludf.DUMMYFUNCTION("""COMPUTED_VALUE"""),"DARCO")</f>
        <v>DARCO</v>
      </c>
      <c r="B726" s="164" t="str">
        <f ca="1">IFERROR(__xludf.DUMMYFUNCTION("""COMPUTED_VALUE"""),"CENTRAL OFFICE")</f>
        <v>CENTRAL OFFICE</v>
      </c>
      <c r="C726" s="164" t="str">
        <f ca="1">IFERROR(__xludf.DUMMYFUNCTION("""COMPUTED_VALUE"""),"LAPTOP MSI KATANA")</f>
        <v>LAPTOP MSI KATANA</v>
      </c>
      <c r="D726" s="164" t="str">
        <f ca="1">IFERROR(__xludf.DUMMYFUNCTION("""COMPUTED_VALUE"""),"₱ 142,100.00")</f>
        <v>₱ 142,100.00</v>
      </c>
      <c r="E726" s="164"/>
      <c r="F726" s="164" t="str">
        <f ca="1">IFERROR(__xludf.DUMMYFUNCTION("""COMPUTED_VALUE"""),"2024-05-03-10202SP070-01")</f>
        <v>2024-05-03-10202SP070-01</v>
      </c>
      <c r="G726" s="164" t="str">
        <f ca="1">IFERROR(__xludf.DUMMYFUNCTION("""COMPUTED_VALUE"""),"k24003n0163108")</f>
        <v>k24003n0163108</v>
      </c>
      <c r="H726" s="164"/>
      <c r="I726" s="164"/>
      <c r="J726" s="164"/>
      <c r="K726" s="164"/>
      <c r="L726" s="164" t="str">
        <f ca="1">IFERROR(__xludf.DUMMYFUNCTION("""COMPUTED_VALUE"""),"OSEC")</f>
        <v>OSEC</v>
      </c>
      <c r="M726" s="164" t="str">
        <f ca="1">IFERROR(__xludf.DUMMYFUNCTION("""COMPUTED_VALUE"""),"SERVICEABLE")</f>
        <v>SERVICEABLE</v>
      </c>
      <c r="N726" s="164"/>
    </row>
    <row r="727" spans="1:14" ht="13.2">
      <c r="A727" s="164" t="str">
        <f ca="1">IFERROR(__xludf.DUMMYFUNCTION("""COMPUTED_VALUE"""),"DARCO")</f>
        <v>DARCO</v>
      </c>
      <c r="B727" s="164" t="str">
        <f ca="1">IFERROR(__xludf.DUMMYFUNCTION("""COMPUTED_VALUE"""),"CENTRAL OFFICE")</f>
        <v>CENTRAL OFFICE</v>
      </c>
      <c r="C727" s="164" t="str">
        <f ca="1">IFERROR(__xludf.DUMMYFUNCTION("""COMPUTED_VALUE"""),"LAPTOP MSI KATANA")</f>
        <v>LAPTOP MSI KATANA</v>
      </c>
      <c r="D727" s="164" t="str">
        <f ca="1">IFERROR(__xludf.DUMMYFUNCTION("""COMPUTED_VALUE"""),"₱ 142,100.00")</f>
        <v>₱ 142,100.00</v>
      </c>
      <c r="E727" s="164"/>
      <c r="F727" s="164" t="str">
        <f ca="1">IFERROR(__xludf.DUMMYFUNCTION("""COMPUTED_VALUE"""),"2024-05-03-10202SP071-01")</f>
        <v>2024-05-03-10202SP071-01</v>
      </c>
      <c r="G727" s="164" t="str">
        <f ca="1">IFERROR(__xludf.DUMMYFUNCTION("""COMPUTED_VALUE"""),"k24003n0163102")</f>
        <v>k24003n0163102</v>
      </c>
      <c r="H727" s="164"/>
      <c r="I727" s="164"/>
      <c r="J727" s="164"/>
      <c r="K727" s="164"/>
      <c r="L727" s="164" t="str">
        <f ca="1">IFERROR(__xludf.DUMMYFUNCTION("""COMPUTED_VALUE"""),"OSEC")</f>
        <v>OSEC</v>
      </c>
      <c r="M727" s="164" t="str">
        <f ca="1">IFERROR(__xludf.DUMMYFUNCTION("""COMPUTED_VALUE"""),"SERVICEABLE")</f>
        <v>SERVICEABLE</v>
      </c>
      <c r="N727" s="164"/>
    </row>
    <row r="728" spans="1:14" ht="13.2">
      <c r="A728" s="164" t="str">
        <f ca="1">IFERROR(__xludf.DUMMYFUNCTION("""COMPUTED_VALUE"""),"DARCO")</f>
        <v>DARCO</v>
      </c>
      <c r="B728" s="164" t="str">
        <f ca="1">IFERROR(__xludf.DUMMYFUNCTION("""COMPUTED_VALUE"""),"CENTRAL OFFICE")</f>
        <v>CENTRAL OFFICE</v>
      </c>
      <c r="C728" s="164" t="str">
        <f ca="1">IFERROR(__xludf.DUMMYFUNCTION("""COMPUTED_VALUE"""),"LAPTOP MSI KATANA")</f>
        <v>LAPTOP MSI KATANA</v>
      </c>
      <c r="D728" s="164" t="str">
        <f ca="1">IFERROR(__xludf.DUMMYFUNCTION("""COMPUTED_VALUE"""),"₱ 142,100.00")</f>
        <v>₱ 142,100.00</v>
      </c>
      <c r="E728" s="164"/>
      <c r="F728" s="164" t="str">
        <f ca="1">IFERROR(__xludf.DUMMYFUNCTION("""COMPUTED_VALUE"""),"2024-05-03-10202SP073-01")</f>
        <v>2024-05-03-10202SP073-01</v>
      </c>
      <c r="G728" s="164" t="str">
        <f ca="1">IFERROR(__xludf.DUMMYFUNCTION("""COMPUTED_VALUE"""),"k24003n0163107")</f>
        <v>k24003n0163107</v>
      </c>
      <c r="H728" s="164"/>
      <c r="I728" s="164"/>
      <c r="J728" s="164"/>
      <c r="K728" s="164" t="str">
        <f ca="1">IFERROR(__xludf.DUMMYFUNCTION("""COMPUTED_VALUE"""),"DIR. ALFILER")</f>
        <v>DIR. ALFILER</v>
      </c>
      <c r="L728" s="164" t="str">
        <f ca="1">IFERROR(__xludf.DUMMYFUNCTION("""COMPUTED_VALUE"""),"OSEC")</f>
        <v>OSEC</v>
      </c>
      <c r="M728" s="164" t="str">
        <f ca="1">IFERROR(__xludf.DUMMYFUNCTION("""COMPUTED_VALUE"""),"SERVICEABLE")</f>
        <v>SERVICEABLE</v>
      </c>
      <c r="N728" s="164"/>
    </row>
    <row r="729" spans="1:14" ht="13.2">
      <c r="A729" s="164" t="str">
        <f ca="1">IFERROR(__xludf.DUMMYFUNCTION("""COMPUTED_VALUE"""),"DARCO")</f>
        <v>DARCO</v>
      </c>
      <c r="B729" s="164" t="str">
        <f ca="1">IFERROR(__xludf.DUMMYFUNCTION("""COMPUTED_VALUE"""),"CENTRAL OFFICE")</f>
        <v>CENTRAL OFFICE</v>
      </c>
      <c r="C729" s="164" t="str">
        <f ca="1">IFERROR(__xludf.DUMMYFUNCTION("""COMPUTED_VALUE"""),"LAPTOP MSI KATANA")</f>
        <v>LAPTOP MSI KATANA</v>
      </c>
      <c r="D729" s="164" t="str">
        <f ca="1">IFERROR(__xludf.DUMMYFUNCTION("""COMPUTED_VALUE"""),"₱ 142,100.00")</f>
        <v>₱ 142,100.00</v>
      </c>
      <c r="E729" s="164"/>
      <c r="F729" s="164" t="str">
        <f ca="1">IFERROR(__xludf.DUMMYFUNCTION("""COMPUTED_VALUE"""),"2024-05-03-10202SP074-01")</f>
        <v>2024-05-03-10202SP074-01</v>
      </c>
      <c r="G729" s="164" t="str">
        <f ca="1">IFERROR(__xludf.DUMMYFUNCTION("""COMPUTED_VALUE"""),"k24003n0163098")</f>
        <v>k24003n0163098</v>
      </c>
      <c r="H729" s="164"/>
      <c r="I729" s="164"/>
      <c r="J729" s="164"/>
      <c r="K729" s="164"/>
      <c r="L729" s="164" t="str">
        <f ca="1">IFERROR(__xludf.DUMMYFUNCTION("""COMPUTED_VALUE"""),"OSEC")</f>
        <v>OSEC</v>
      </c>
      <c r="M729" s="164" t="str">
        <f ca="1">IFERROR(__xludf.DUMMYFUNCTION("""COMPUTED_VALUE"""),"SERVICEABLE")</f>
        <v>SERVICEABLE</v>
      </c>
      <c r="N729" s="164"/>
    </row>
    <row r="730" spans="1:14" ht="13.2">
      <c r="A730" s="164" t="str">
        <f ca="1">IFERROR(__xludf.DUMMYFUNCTION("""COMPUTED_VALUE"""),"DARCO")</f>
        <v>DARCO</v>
      </c>
      <c r="B730" s="164" t="str">
        <f ca="1">IFERROR(__xludf.DUMMYFUNCTION("""COMPUTED_VALUE"""),"CENTRAL OFFICE")</f>
        <v>CENTRAL OFFICE</v>
      </c>
      <c r="C730" s="164" t="str">
        <f ca="1">IFERROR(__xludf.DUMMYFUNCTION("""COMPUTED_VALUE"""),"LAPTOP MSI KATANA")</f>
        <v>LAPTOP MSI KATANA</v>
      </c>
      <c r="D730" s="164" t="str">
        <f ca="1">IFERROR(__xludf.DUMMYFUNCTION("""COMPUTED_VALUE"""),"₱ 142,100.00")</f>
        <v>₱ 142,100.00</v>
      </c>
      <c r="E730" s="164"/>
      <c r="F730" s="164" t="str">
        <f ca="1">IFERROR(__xludf.DUMMYFUNCTION("""COMPUTED_VALUE"""),"2024-05-03-10202SP075-01")</f>
        <v>2024-05-03-10202SP075-01</v>
      </c>
      <c r="G730" s="164" t="str">
        <f ca="1">IFERROR(__xludf.DUMMYFUNCTION("""COMPUTED_VALUE"""),"k24003n0163109")</f>
        <v>k24003n0163109</v>
      </c>
      <c r="H730" s="164" t="str">
        <f ca="1">IFERROR(__xludf.DUMMYFUNCTION("""COMPUTED_VALUE"""),"DIR JIMMY SANTIAGO")</f>
        <v>DIR JIMMY SANTIAGO</v>
      </c>
      <c r="I730" s="164"/>
      <c r="J730" s="164"/>
      <c r="K730" s="164"/>
      <c r="L730" s="164" t="str">
        <f ca="1">IFERROR(__xludf.DUMMYFUNCTION("""COMPUTED_VALUE"""),"OSEC")</f>
        <v>OSEC</v>
      </c>
      <c r="M730" s="164" t="str">
        <f ca="1">IFERROR(__xludf.DUMMYFUNCTION("""COMPUTED_VALUE"""),"SERVICEABLE")</f>
        <v>SERVICEABLE</v>
      </c>
      <c r="N730" s="164"/>
    </row>
    <row r="731" spans="1:14" ht="13.2">
      <c r="A731" s="164" t="str">
        <f ca="1">IFERROR(__xludf.DUMMYFUNCTION("""COMPUTED_VALUE"""),"DARCO")</f>
        <v>DARCO</v>
      </c>
      <c r="B731" s="164" t="str">
        <f ca="1">IFERROR(__xludf.DUMMYFUNCTION("""COMPUTED_VALUE"""),"CENTRAL OFFICE")</f>
        <v>CENTRAL OFFICE</v>
      </c>
      <c r="C731" s="164" t="str">
        <f ca="1">IFERROR(__xludf.DUMMYFUNCTION("""COMPUTED_VALUE"""),"LAPTOP MSI KATANA")</f>
        <v>LAPTOP MSI KATANA</v>
      </c>
      <c r="D731" s="164" t="str">
        <f ca="1">IFERROR(__xludf.DUMMYFUNCTION("""COMPUTED_VALUE"""),"₱ 142,100.00")</f>
        <v>₱ 142,100.00</v>
      </c>
      <c r="E731" s="164"/>
      <c r="F731" s="164" t="str">
        <f ca="1">IFERROR(__xludf.DUMMYFUNCTION("""COMPUTED_VALUE"""),"2024-05-03-10202SP076-01")</f>
        <v>2024-05-03-10202SP076-01</v>
      </c>
      <c r="G731" s="164" t="str">
        <f ca="1">IFERROR(__xludf.DUMMYFUNCTION("""COMPUTED_VALUE"""),"k24003n0163118")</f>
        <v>k24003n0163118</v>
      </c>
      <c r="H731" s="164"/>
      <c r="I731" s="164"/>
      <c r="J731" s="164"/>
      <c r="K731" s="164"/>
      <c r="L731" s="164" t="str">
        <f ca="1">IFERROR(__xludf.DUMMYFUNCTION("""COMPUTED_VALUE"""),"OSEC")</f>
        <v>OSEC</v>
      </c>
      <c r="M731" s="164" t="str">
        <f ca="1">IFERROR(__xludf.DUMMYFUNCTION("""COMPUTED_VALUE"""),"SERVICEABLE")</f>
        <v>SERVICEABLE</v>
      </c>
      <c r="N731" s="164"/>
    </row>
    <row r="732" spans="1:14" ht="13.2" hidden="1">
      <c r="A732" s="164" t="str">
        <f ca="1">IFERROR(__xludf.DUMMYFUNCTION("""COMPUTED_VALUE"""),"CAR")</f>
        <v>CAR</v>
      </c>
      <c r="B732" s="164" t="str">
        <f ca="1">IFERROR(__xludf.DUMMYFUNCTION("""COMPUTED_VALUE"""),"Regional Office")</f>
        <v>Regional Office</v>
      </c>
      <c r="C732" s="164" t="str">
        <f ca="1">IFERROR(__xludf.DUMMYFUNCTION("""COMPUTED_VALUE"""),"REAL-TIME KINEMATIC – GEOMAX ZENITH60")</f>
        <v>REAL-TIME KINEMATIC – GEOMAX ZENITH60</v>
      </c>
      <c r="D732" s="164" t="str">
        <f ca="1">IFERROR(__xludf.DUMMYFUNCTION("""COMPUTED_VALUE"""),"₱ 1,849,000.00")</f>
        <v>₱ 1,849,000.00</v>
      </c>
      <c r="E732" s="164" t="str">
        <f ca="1">IFERROR(__xludf.DUMMYFUNCTION("""COMPUTED_VALUE"""),"₱ -")</f>
        <v>₱ -</v>
      </c>
      <c r="F732" s="164" t="str">
        <f ca="1">IFERROR(__xludf.DUMMYFUNCTION("""COMPUTED_VALUE"""),"2023-05-01-10201SP12-01")</f>
        <v>2023-05-01-10201SP12-01</v>
      </c>
      <c r="G732" s="164" t="str">
        <f ca="1">IFERROR(__xludf.DUMMYFUNCTION("""COMPUTED_VALUE"""),"Z60ST272200096")</f>
        <v>Z60ST272200096</v>
      </c>
      <c r="H732" s="164" t="str">
        <f ca="1">IFERROR(__xludf.DUMMYFUNCTION("""COMPUTED_VALUE"""),"JANE D. TORIBIO")</f>
        <v>JANE D. TORIBIO</v>
      </c>
      <c r="I732" s="164" t="str">
        <f ca="1">IFERROR(__xludf.DUMMYFUNCTION("""COMPUTED_VALUE"""),"CARPO-FOD/Parcelization Component Coordinator")</f>
        <v>CARPO-FOD/Parcelization Component Coordinator</v>
      </c>
      <c r="J732" s="164" t="str">
        <f ca="1">IFERROR(__xludf.DUMMYFUNCTION("""COMPUTED_VALUE"""),"2023-03-13 SPLIT")</f>
        <v>2023-03-13 SPLIT</v>
      </c>
      <c r="K732" s="164" t="str">
        <f ca="1">IFERROR(__xludf.DUMMYFUNCTION("""COMPUTED_VALUE"""),"Engrs. Molines Ewis/Antonio Martin")</f>
        <v>Engrs. Molines Ewis/Antonio Martin</v>
      </c>
      <c r="L732" s="164" t="str">
        <f ca="1">IFERROR(__xludf.DUMMYFUNCTION("""COMPUTED_VALUE"""),"DARRO")</f>
        <v>DARRO</v>
      </c>
      <c r="M732" s="164" t="str">
        <f ca="1">IFERROR(__xludf.DUMMYFUNCTION("""COMPUTED_VALUE"""),"SERVICEABLE")</f>
        <v>SERVICEABLE</v>
      </c>
      <c r="N732" s="164"/>
    </row>
    <row r="733" spans="1:14" ht="13.2" hidden="1">
      <c r="A733" s="164" t="str">
        <f ca="1">IFERROR(__xludf.DUMMYFUNCTION("""COMPUTED_VALUE"""),"CAR")</f>
        <v>CAR</v>
      </c>
      <c r="B733" s="164" t="str">
        <f ca="1">IFERROR(__xludf.DUMMYFUNCTION("""COMPUTED_VALUE"""),"Regional Office")</f>
        <v>Regional Office</v>
      </c>
      <c r="C733" s="164" t="str">
        <f ca="1">IFERROR(__xludf.DUMMYFUNCTION("""COMPUTED_VALUE"""),"TOTAL STATION – GEOMAX TOTAL STATION ZOOM 50")</f>
        <v>TOTAL STATION – GEOMAX TOTAL STATION ZOOM 50</v>
      </c>
      <c r="D733" s="164" t="str">
        <f ca="1">IFERROR(__xludf.DUMMYFUNCTION("""COMPUTED_VALUE"""),"₱ 648,000.00")</f>
        <v>₱ 648,000.00</v>
      </c>
      <c r="E733" s="164" t="str">
        <f ca="1">IFERROR(__xludf.DUMMYFUNCTION("""COMPUTED_VALUE"""),"₱ -")</f>
        <v>₱ -</v>
      </c>
      <c r="F733" s="164" t="str">
        <f ca="1">IFERROR(__xludf.DUMMYFUNCTION("""COMPUTED_VALUE"""),"2023-05-14-10201SP09-01")</f>
        <v>2023-05-14-10201SP09-01</v>
      </c>
      <c r="G733" s="164" t="str">
        <f ca="1">IFERROR(__xludf.DUMMYFUNCTION("""COMPUTED_VALUE"""),"Z60ST272200097")</f>
        <v>Z60ST272200097</v>
      </c>
      <c r="H733" s="164" t="str">
        <f ca="1">IFERROR(__xludf.DUMMYFUNCTION("""COMPUTED_VALUE"""),"JANE D. TORIBIO")</f>
        <v>JANE D. TORIBIO</v>
      </c>
      <c r="I733" s="164" t="str">
        <f ca="1">IFERROR(__xludf.DUMMYFUNCTION("""COMPUTED_VALUE"""),"CARPO-FOD/Parcelization Component Coordinator")</f>
        <v>CARPO-FOD/Parcelization Component Coordinator</v>
      </c>
      <c r="J733" s="164" t="str">
        <f ca="1">IFERROR(__xludf.DUMMYFUNCTION("""COMPUTED_VALUE"""),"2023-03-18 SPLIT")</f>
        <v>2023-03-18 SPLIT</v>
      </c>
      <c r="K733" s="164" t="str">
        <f ca="1">IFERROR(__xludf.DUMMYFUNCTION("""COMPUTED_VALUE"""),"Engrs. Molines Ewis/Antonio Martin")</f>
        <v>Engrs. Molines Ewis/Antonio Martin</v>
      </c>
      <c r="L733" s="164" t="str">
        <f ca="1">IFERROR(__xludf.DUMMYFUNCTION("""COMPUTED_VALUE"""),"DARRO")</f>
        <v>DARRO</v>
      </c>
      <c r="M733" s="164" t="str">
        <f ca="1">IFERROR(__xludf.DUMMYFUNCTION("""COMPUTED_VALUE"""),"SERVICEABLE")</f>
        <v>SERVICEABLE</v>
      </c>
      <c r="N733" s="164"/>
    </row>
    <row r="734" spans="1:14" ht="13.2" hidden="1">
      <c r="A734" s="164" t="str">
        <f ca="1">IFERROR(__xludf.DUMMYFUNCTION("""COMPUTED_VALUE"""),"CAR")</f>
        <v>CAR</v>
      </c>
      <c r="B734" s="164" t="str">
        <f ca="1">IFERROR(__xludf.DUMMYFUNCTION("""COMPUTED_VALUE"""),"Regional Office")</f>
        <v>Regional Office</v>
      </c>
      <c r="C734" s="164" t="str">
        <f ca="1">IFERROR(__xludf.DUMMYFUNCTION("""COMPUTED_VALUE"""),"HANDHELD GPS – MODEL P6")</f>
        <v>HANDHELD GPS – MODEL P6</v>
      </c>
      <c r="D734" s="164" t="str">
        <f ca="1">IFERROR(__xludf.DUMMYFUNCTION("""COMPUTED_VALUE"""),"₱ 79,000.00")</f>
        <v>₱ 79,000.00</v>
      </c>
      <c r="E734" s="164" t="str">
        <f ca="1">IFERROR(__xludf.DUMMYFUNCTION("""COMPUTED_VALUE"""),"₱ -")</f>
        <v>₱ -</v>
      </c>
      <c r="F734" s="164" t="str">
        <f ca="1">IFERROR(__xludf.DUMMYFUNCTION("""COMPUTED_VALUE"""),"2023-05-14-10202SP08-01")</f>
        <v>2023-05-14-10202SP08-01</v>
      </c>
      <c r="G734" s="164" t="str">
        <f ca="1">IFERROR(__xludf.DUMMYFUNCTION("""COMPUTED_VALUE"""),"SP10730077")</f>
        <v>SP10730077</v>
      </c>
      <c r="H734" s="164" t="str">
        <f ca="1">IFERROR(__xludf.DUMMYFUNCTION("""COMPUTED_VALUE"""),"JANE D. TORIBIO")</f>
        <v>JANE D. TORIBIO</v>
      </c>
      <c r="I734" s="164" t="str">
        <f ca="1">IFERROR(__xludf.DUMMYFUNCTION("""COMPUTED_VALUE"""),"CARPO-FOD/Parcelization Component Coordinator")</f>
        <v>CARPO-FOD/Parcelization Component Coordinator</v>
      </c>
      <c r="J734" s="164" t="str">
        <f ca="1">IFERROR(__xludf.DUMMYFUNCTION("""COMPUTED_VALUE"""),"2023-03-23 SPLIT")</f>
        <v>2023-03-23 SPLIT</v>
      </c>
      <c r="K734" s="164" t="str">
        <f ca="1">IFERROR(__xludf.DUMMYFUNCTION("""COMPUTED_VALUE"""),"Engrs. Molines Ewis/Antonio Martin")</f>
        <v>Engrs. Molines Ewis/Antonio Martin</v>
      </c>
      <c r="L734" s="164" t="str">
        <f ca="1">IFERROR(__xludf.DUMMYFUNCTION("""COMPUTED_VALUE"""),"DARRO")</f>
        <v>DARRO</v>
      </c>
      <c r="M734" s="164" t="str">
        <f ca="1">IFERROR(__xludf.DUMMYFUNCTION("""COMPUTED_VALUE"""),"SERVICEABLE")</f>
        <v>SERVICEABLE</v>
      </c>
      <c r="N734" s="164"/>
    </row>
    <row r="735" spans="1:14" ht="13.2" hidden="1">
      <c r="A735" s="164" t="str">
        <f ca="1">IFERROR(__xludf.DUMMYFUNCTION("""COMPUTED_VALUE"""),"CAR")</f>
        <v>CAR</v>
      </c>
      <c r="B735" s="164" t="str">
        <f ca="1">IFERROR(__xludf.DUMMYFUNCTION("""COMPUTED_VALUE"""),"Regional Office")</f>
        <v>Regional Office</v>
      </c>
      <c r="C735" s="164" t="str">
        <f ca="1">IFERROR(__xludf.DUMMYFUNCTION("""COMPUTED_VALUE"""),"Desktop Computer – (Lenovo M70T)")</f>
        <v>Desktop Computer – (Lenovo M70T)</v>
      </c>
      <c r="D735" s="164" t="str">
        <f ca="1">IFERROR(__xludf.DUMMYFUNCTION("""COMPUTED_VALUE"""),"₱ 75,468.00")</f>
        <v>₱ 75,468.00</v>
      </c>
      <c r="E735" s="164" t="str">
        <f ca="1">IFERROR(__xludf.DUMMYFUNCTION("""COMPUTED_VALUE"""),"₱ -")</f>
        <v>₱ -</v>
      </c>
      <c r="F735" s="164" t="str">
        <f ca="1">IFERROR(__xludf.DUMMYFUNCTION("""COMPUTED_VALUE"""),"2023-05-03-10201SP502-01")</f>
        <v>2023-05-03-10201SP502-01</v>
      </c>
      <c r="G735" s="164" t="str">
        <f ca="1">IFERROR(__xludf.DUMMYFUNCTION("""COMPUTED_VALUE"""),"1S11T5S16200GM0415RQ")</f>
        <v>1S11T5S16200GM0415RQ</v>
      </c>
      <c r="H735" s="164" t="str">
        <f ca="1">IFERROR(__xludf.DUMMYFUNCTION("""COMPUTED_VALUE"""),"VIRGINIA D. AYCUD")</f>
        <v>VIRGINIA D. AYCUD</v>
      </c>
      <c r="I735" s="164" t="str">
        <f ca="1">IFERROR(__xludf.DUMMYFUNCTION("""COMPUTED_VALUE"""),"OIC Asst. Regional Director/Asst. Project Manager")</f>
        <v>OIC Asst. Regional Director/Asst. Project Manager</v>
      </c>
      <c r="J735" s="164" t="str">
        <f ca="1">IFERROR(__xludf.DUMMYFUNCTION("""COMPUTED_VALUE"""),"2023-05-37 SPLIT")</f>
        <v>2023-05-37 SPLIT</v>
      </c>
      <c r="K735" s="164" t="str">
        <f ca="1">IFERROR(__xludf.DUMMYFUNCTION("""COMPUTED_VALUE"""),"VIRGINIA D. AYCUD")</f>
        <v>VIRGINIA D. AYCUD</v>
      </c>
      <c r="L735" s="164" t="str">
        <f ca="1">IFERROR(__xludf.DUMMYFUNCTION("""COMPUTED_VALUE"""),"DARRO")</f>
        <v>DARRO</v>
      </c>
      <c r="M735" s="164" t="str">
        <f ca="1">IFERROR(__xludf.DUMMYFUNCTION("""COMPUTED_VALUE"""),"SERVICEABLE")</f>
        <v>SERVICEABLE</v>
      </c>
      <c r="N735" s="164"/>
    </row>
    <row r="736" spans="1:14" ht="13.2" hidden="1">
      <c r="A736" s="164" t="str">
        <f ca="1">IFERROR(__xludf.DUMMYFUNCTION("""COMPUTED_VALUE"""),"CAR")</f>
        <v>CAR</v>
      </c>
      <c r="B736" s="164" t="str">
        <f ca="1">IFERROR(__xludf.DUMMYFUNCTION("""COMPUTED_VALUE"""),"Regional Office")</f>
        <v>Regional Office</v>
      </c>
      <c r="C736" s="164" t="str">
        <f ca="1">IFERROR(__xludf.DUMMYFUNCTION("""COMPUTED_VALUE"""),"Desktop Computer – (Lenovo M70T)")</f>
        <v>Desktop Computer – (Lenovo M70T)</v>
      </c>
      <c r="D736" s="164" t="str">
        <f ca="1">IFERROR(__xludf.DUMMYFUNCTION("""COMPUTED_VALUE"""),"₱ 75,468.00")</f>
        <v>₱ 75,468.00</v>
      </c>
      <c r="E736" s="164" t="str">
        <f ca="1">IFERROR(__xludf.DUMMYFUNCTION("""COMPUTED_VALUE"""),"₱ -")</f>
        <v>₱ -</v>
      </c>
      <c r="F736" s="164" t="str">
        <f ca="1">IFERROR(__xludf.DUMMYFUNCTION("""COMPUTED_VALUE"""),"2023-05-03-10201SP503-01")</f>
        <v>2023-05-03-10201SP503-01</v>
      </c>
      <c r="G736" s="164" t="str">
        <f ca="1">IFERROR(__xludf.DUMMYFUNCTION("""COMPUTED_VALUE"""),"1S11T5S16200GM0415RX")</f>
        <v>1S11T5S16200GM0415RX</v>
      </c>
      <c r="H736" s="164" t="str">
        <f ca="1">IFERROR(__xludf.DUMMYFUNCTION("""COMPUTED_VALUE"""),"ATTY. CHRISTINE M. PUL-OC")</f>
        <v>ATTY. CHRISTINE M. PUL-OC</v>
      </c>
      <c r="I736" s="164" t="str">
        <f ca="1">IFERROR(__xludf.DUMMYFUNCTION("""COMPUTED_VALUE"""),"Atty. V/Legal Coordinator")</f>
        <v>Atty. V/Legal Coordinator</v>
      </c>
      <c r="J736" s="164" t="str">
        <f ca="1">IFERROR(__xludf.DUMMYFUNCTION("""COMPUTED_VALUE"""),"2023-05-38 SPLIT")</f>
        <v>2023-05-38 SPLIT</v>
      </c>
      <c r="K736" s="164" t="str">
        <f ca="1">IFERROR(__xludf.DUMMYFUNCTION("""COMPUTED_VALUE"""),"ATTY. CHRISTINE M. PUL-OC")</f>
        <v>ATTY. CHRISTINE M. PUL-OC</v>
      </c>
      <c r="L736" s="164" t="str">
        <f ca="1">IFERROR(__xludf.DUMMYFUNCTION("""COMPUTED_VALUE"""),"DARRO")</f>
        <v>DARRO</v>
      </c>
      <c r="M736" s="164" t="str">
        <f ca="1">IFERROR(__xludf.DUMMYFUNCTION("""COMPUTED_VALUE"""),"SERVICEABLE")</f>
        <v>SERVICEABLE</v>
      </c>
      <c r="N736" s="164"/>
    </row>
    <row r="737" spans="1:14" ht="13.2" hidden="1">
      <c r="A737" s="164" t="str">
        <f ca="1">IFERROR(__xludf.DUMMYFUNCTION("""COMPUTED_VALUE"""),"CAR")</f>
        <v>CAR</v>
      </c>
      <c r="B737" s="164" t="str">
        <f ca="1">IFERROR(__xludf.DUMMYFUNCTION("""COMPUTED_VALUE"""),"Regional Office")</f>
        <v>Regional Office</v>
      </c>
      <c r="C737" s="164" t="str">
        <f ca="1">IFERROR(__xludf.DUMMYFUNCTION("""COMPUTED_VALUE"""),"Desktop Computer – (Lenovo M70T)")</f>
        <v>Desktop Computer – (Lenovo M70T)</v>
      </c>
      <c r="D737" s="164" t="str">
        <f ca="1">IFERROR(__xludf.DUMMYFUNCTION("""COMPUTED_VALUE"""),"₱ 75,468.00")</f>
        <v>₱ 75,468.00</v>
      </c>
      <c r="E737" s="164" t="str">
        <f ca="1">IFERROR(__xludf.DUMMYFUNCTION("""COMPUTED_VALUE"""),"₱ -")</f>
        <v>₱ -</v>
      </c>
      <c r="F737" s="164" t="str">
        <f ca="1">IFERROR(__xludf.DUMMYFUNCTION("""COMPUTED_VALUE"""),"2023-05-03-10201SP504-01")</f>
        <v>2023-05-03-10201SP504-01</v>
      </c>
      <c r="G737" s="164" t="str">
        <f ca="1">IFERROR(__xludf.DUMMYFUNCTION("""COMPUTED_VALUE"""),"1S11T5S16200GM0415S0")</f>
        <v>1S11T5S16200GM0415S0</v>
      </c>
      <c r="H737" s="164" t="str">
        <f ca="1">IFERROR(__xludf.DUMMYFUNCTION("""COMPUTED_VALUE"""),"JULIET C. DUMAPIS (c/o ESS Specialist-COS SPLIT)")</f>
        <v>JULIET C. DUMAPIS (c/o ESS Specialist-COS SPLIT)</v>
      </c>
      <c r="I737" s="164" t="str">
        <f ca="1">IFERROR(__xludf.DUMMYFUNCTION("""COMPUTED_VALUE"""),"CARPO - FOD/ Parcelization Component Coordinator")</f>
        <v>CARPO - FOD/ Parcelization Component Coordinator</v>
      </c>
      <c r="J737" s="164" t="str">
        <f ca="1">IFERROR(__xludf.DUMMYFUNCTION("""COMPUTED_VALUE"""),"2023-05-39 SPLIT")</f>
        <v>2023-05-39 SPLIT</v>
      </c>
      <c r="K737" s="164" t="str">
        <f ca="1">IFERROR(__xludf.DUMMYFUNCTION("""COMPUTED_VALUE"""),"JULIET C. DUMAPIS")</f>
        <v>JULIET C. DUMAPIS</v>
      </c>
      <c r="L737" s="164" t="str">
        <f ca="1">IFERROR(__xludf.DUMMYFUNCTION("""COMPUTED_VALUE"""),"DARRO")</f>
        <v>DARRO</v>
      </c>
      <c r="M737" s="164" t="str">
        <f ca="1">IFERROR(__xludf.DUMMYFUNCTION("""COMPUTED_VALUE"""),"SERVICEABLE")</f>
        <v>SERVICEABLE</v>
      </c>
      <c r="N737" s="164"/>
    </row>
    <row r="738" spans="1:14" ht="13.2" hidden="1">
      <c r="A738" s="164" t="str">
        <f ca="1">IFERROR(__xludf.DUMMYFUNCTION("""COMPUTED_VALUE"""),"CAR")</f>
        <v>CAR</v>
      </c>
      <c r="B738" s="164" t="str">
        <f ca="1">IFERROR(__xludf.DUMMYFUNCTION("""COMPUTED_VALUE"""),"Regional Office")</f>
        <v>Regional Office</v>
      </c>
      <c r="C738" s="164" t="str">
        <f ca="1">IFERROR(__xludf.DUMMYFUNCTION("""COMPUTED_VALUE"""),"Desktop Computer – (Lenovo M70T)")</f>
        <v>Desktop Computer – (Lenovo M70T)</v>
      </c>
      <c r="D738" s="164" t="str">
        <f ca="1">IFERROR(__xludf.DUMMYFUNCTION("""COMPUTED_VALUE"""),"₱ 75,468.00")</f>
        <v>₱ 75,468.00</v>
      </c>
      <c r="E738" s="164" t="str">
        <f ca="1">IFERROR(__xludf.DUMMYFUNCTION("""COMPUTED_VALUE"""),"₱ -")</f>
        <v>₱ -</v>
      </c>
      <c r="F738" s="164" t="str">
        <f ca="1">IFERROR(__xludf.DUMMYFUNCTION("""COMPUTED_VALUE"""),"2023-05-03-10201SP505-01")</f>
        <v>2023-05-03-10201SP505-01</v>
      </c>
      <c r="G738" s="164" t="str">
        <f ca="1">IFERROR(__xludf.DUMMYFUNCTION("""COMPUTED_VALUE"""),"1S11T5S16200GM0415S2")</f>
        <v>1S11T5S16200GM0415S2</v>
      </c>
      <c r="H738" s="164" t="str">
        <f ca="1">IFERROR(__xludf.DUMMYFUNCTION("""COMPUTED_VALUE"""),"MOLINES A. EWIS")</f>
        <v>MOLINES A. EWIS</v>
      </c>
      <c r="I738" s="164" t="str">
        <f ca="1">IFERROR(__xludf.DUMMYFUNCTION("""COMPUTED_VALUE"""),"Engr. II/DENR/LRA-ROD Survey Coordinator")</f>
        <v>Engr. II/DENR/LRA-ROD Survey Coordinator</v>
      </c>
      <c r="J738" s="164" t="str">
        <f ca="1">IFERROR(__xludf.DUMMYFUNCTION("""COMPUTED_VALUE"""),"2023-05-40 SPLIT")</f>
        <v>2023-05-40 SPLIT</v>
      </c>
      <c r="K738" s="164" t="str">
        <f ca="1">IFERROR(__xludf.DUMMYFUNCTION("""COMPUTED_VALUE"""),"MOLINES A. EWIS")</f>
        <v>MOLINES A. EWIS</v>
      </c>
      <c r="L738" s="164" t="str">
        <f ca="1">IFERROR(__xludf.DUMMYFUNCTION("""COMPUTED_VALUE"""),"DARRO")</f>
        <v>DARRO</v>
      </c>
      <c r="M738" s="164" t="str">
        <f ca="1">IFERROR(__xludf.DUMMYFUNCTION("""COMPUTED_VALUE"""),"SERVICEABLE")</f>
        <v>SERVICEABLE</v>
      </c>
      <c r="N738" s="164"/>
    </row>
    <row r="739" spans="1:14" ht="13.2" hidden="1">
      <c r="A739" s="164" t="str">
        <f ca="1">IFERROR(__xludf.DUMMYFUNCTION("""COMPUTED_VALUE"""),"CAR")</f>
        <v>CAR</v>
      </c>
      <c r="B739" s="164" t="str">
        <f ca="1">IFERROR(__xludf.DUMMYFUNCTION("""COMPUTED_VALUE"""),"Regional Office")</f>
        <v>Regional Office</v>
      </c>
      <c r="C739" s="164" t="str">
        <f ca="1">IFERROR(__xludf.DUMMYFUNCTION("""COMPUTED_VALUE"""),"Desktop Computer – (Lenovo M70T)")</f>
        <v>Desktop Computer – (Lenovo M70T)</v>
      </c>
      <c r="D739" s="164" t="str">
        <f ca="1">IFERROR(__xludf.DUMMYFUNCTION("""COMPUTED_VALUE"""),"₱ 75,468.00")</f>
        <v>₱ 75,468.00</v>
      </c>
      <c r="E739" s="164" t="str">
        <f ca="1">IFERROR(__xludf.DUMMYFUNCTION("""COMPUTED_VALUE"""),"₱ -")</f>
        <v>₱ -</v>
      </c>
      <c r="F739" s="164" t="str">
        <f ca="1">IFERROR(__xludf.DUMMYFUNCTION("""COMPUTED_VALUE"""),"2023-05-03-10201SP506-01")</f>
        <v>2023-05-03-10201SP506-01</v>
      </c>
      <c r="G739" s="164" t="str">
        <f ca="1">IFERROR(__xludf.DUMMYFUNCTION("""COMPUTED_VALUE"""),"1S11T5S16200GM0415S5")</f>
        <v>1S11T5S16200GM0415S5</v>
      </c>
      <c r="H739" s="164" t="str">
        <f ca="1">IFERROR(__xludf.DUMMYFUNCTION("""COMPUTED_VALUE"""),"JUANITA M. TAYABAN")</f>
        <v>JUANITA M. TAYABAN</v>
      </c>
      <c r="I739" s="164" t="str">
        <f ca="1">IFERROR(__xludf.DUMMYFUNCTION("""COMPUTED_VALUE"""),"Accountant III/Project Accountant")</f>
        <v>Accountant III/Project Accountant</v>
      </c>
      <c r="J739" s="164" t="str">
        <f ca="1">IFERROR(__xludf.DUMMYFUNCTION("""COMPUTED_VALUE"""),"2023-05-41 SPLIT")</f>
        <v>2023-05-41 SPLIT</v>
      </c>
      <c r="K739" s="164" t="str">
        <f ca="1">IFERROR(__xludf.DUMMYFUNCTION("""COMPUTED_VALUE"""),"JUANITA M. TAYABAN")</f>
        <v>JUANITA M. TAYABAN</v>
      </c>
      <c r="L739" s="164" t="str">
        <f ca="1">IFERROR(__xludf.DUMMYFUNCTION("""COMPUTED_VALUE"""),"DARRO")</f>
        <v>DARRO</v>
      </c>
      <c r="M739" s="164" t="str">
        <f ca="1">IFERROR(__xludf.DUMMYFUNCTION("""COMPUTED_VALUE"""),"SERVICEABLE")</f>
        <v>SERVICEABLE</v>
      </c>
      <c r="N739" s="164"/>
    </row>
    <row r="740" spans="1:14" ht="13.2" hidden="1">
      <c r="A740" s="164" t="str">
        <f ca="1">IFERROR(__xludf.DUMMYFUNCTION("""COMPUTED_VALUE"""),"CAR")</f>
        <v>CAR</v>
      </c>
      <c r="B740" s="164" t="str">
        <f ca="1">IFERROR(__xludf.DUMMYFUNCTION("""COMPUTED_VALUE"""),"Regional Office")</f>
        <v>Regional Office</v>
      </c>
      <c r="C740" s="164" t="str">
        <f ca="1">IFERROR(__xludf.DUMMYFUNCTION("""COMPUTED_VALUE"""),"Desktop Computer – (Lenovo M70T)")</f>
        <v>Desktop Computer – (Lenovo M70T)</v>
      </c>
      <c r="D740" s="164" t="str">
        <f ca="1">IFERROR(__xludf.DUMMYFUNCTION("""COMPUTED_VALUE"""),"₱ 75,468.00")</f>
        <v>₱ 75,468.00</v>
      </c>
      <c r="E740" s="164" t="str">
        <f ca="1">IFERROR(__xludf.DUMMYFUNCTION("""COMPUTED_VALUE"""),"₱ -")</f>
        <v>₱ -</v>
      </c>
      <c r="F740" s="164" t="str">
        <f ca="1">IFERROR(__xludf.DUMMYFUNCTION("""COMPUTED_VALUE"""),"2023-05-03-10201SP507-01")</f>
        <v>2023-05-03-10201SP507-01</v>
      </c>
      <c r="G740" s="164" t="str">
        <f ca="1">IFERROR(__xludf.DUMMYFUNCTION("""COMPUTED_VALUE"""),"1S11T5S16200GM0415S6")</f>
        <v>1S11T5S16200GM0415S6</v>
      </c>
      <c r="H740" s="164" t="str">
        <f ca="1">IFERROR(__xludf.DUMMYFUNCTION("""COMPUTED_VALUE"""),"IMELDA M. ABANSI")</f>
        <v>IMELDA M. ABANSI</v>
      </c>
      <c r="I740" s="164" t="str">
        <f ca="1">IFERROR(__xludf.DUMMYFUNCTION("""COMPUTED_VALUE"""),"AO V/Project Budget Officer")</f>
        <v>AO V/Project Budget Officer</v>
      </c>
      <c r="J740" s="164" t="str">
        <f ca="1">IFERROR(__xludf.DUMMYFUNCTION("""COMPUTED_VALUE"""),"2023-05-42 SPLIT")</f>
        <v>2023-05-42 SPLIT</v>
      </c>
      <c r="K740" s="164" t="str">
        <f ca="1">IFERROR(__xludf.DUMMYFUNCTION("""COMPUTED_VALUE"""),"IMELDA M. ABANSI")</f>
        <v>IMELDA M. ABANSI</v>
      </c>
      <c r="L740" s="164" t="str">
        <f ca="1">IFERROR(__xludf.DUMMYFUNCTION("""COMPUTED_VALUE"""),"DARRO")</f>
        <v>DARRO</v>
      </c>
      <c r="M740" s="164" t="str">
        <f ca="1">IFERROR(__xludf.DUMMYFUNCTION("""COMPUTED_VALUE"""),"SERVICEABLE")</f>
        <v>SERVICEABLE</v>
      </c>
      <c r="N740" s="164"/>
    </row>
    <row r="741" spans="1:14" ht="13.2" hidden="1">
      <c r="A741" s="164" t="str">
        <f ca="1">IFERROR(__xludf.DUMMYFUNCTION("""COMPUTED_VALUE"""),"CAR")</f>
        <v>CAR</v>
      </c>
      <c r="B741" s="164" t="str">
        <f ca="1">IFERROR(__xludf.DUMMYFUNCTION("""COMPUTED_VALUE"""),"Regional Office")</f>
        <v>Regional Office</v>
      </c>
      <c r="C741" s="164" t="str">
        <f ca="1">IFERROR(__xludf.DUMMYFUNCTION("""COMPUTED_VALUE"""),"Desktop Computer – (Lenovo M70T)")</f>
        <v>Desktop Computer – (Lenovo M70T)</v>
      </c>
      <c r="D741" s="164" t="str">
        <f ca="1">IFERROR(__xludf.DUMMYFUNCTION("""COMPUTED_VALUE"""),"₱ 75,468.00")</f>
        <v>₱ 75,468.00</v>
      </c>
      <c r="E741" s="164" t="str">
        <f ca="1">IFERROR(__xludf.DUMMYFUNCTION("""COMPUTED_VALUE"""),"₱ -")</f>
        <v>₱ -</v>
      </c>
      <c r="F741" s="164" t="str">
        <f ca="1">IFERROR(__xludf.DUMMYFUNCTION("""COMPUTED_VALUE"""),"2023-05-03-10201SP508-01")</f>
        <v>2023-05-03-10201SP508-01</v>
      </c>
      <c r="G741" s="164" t="str">
        <f ca="1">IFERROR(__xludf.DUMMYFUNCTION("""COMPUTED_VALUE"""),"1S11T5S16200GM0415S7")</f>
        <v>1S11T5S16200GM0415S7</v>
      </c>
      <c r="H741" s="164" t="str">
        <f ca="1">IFERROR(__xludf.DUMMYFUNCTION("""COMPUTED_VALUE"""),"THERESE S. SINGIT")</f>
        <v>THERESE S. SINGIT</v>
      </c>
      <c r="I741" s="164" t="str">
        <f ca="1">IFERROR(__xludf.DUMMYFUNCTION("""COMPUTED_VALUE"""),"Comp. Prog. II/ MIS Coordinator")</f>
        <v>Comp. Prog. II/ MIS Coordinator</v>
      </c>
      <c r="J741" s="164" t="str">
        <f ca="1">IFERROR(__xludf.DUMMYFUNCTION("""COMPUTED_VALUE"""),"2023-05-43 SPLIT")</f>
        <v>2023-05-43 SPLIT</v>
      </c>
      <c r="K741" s="164" t="str">
        <f ca="1">IFERROR(__xludf.DUMMYFUNCTION("""COMPUTED_VALUE"""),"THERESE S. SINGIT")</f>
        <v>THERESE S. SINGIT</v>
      </c>
      <c r="L741" s="164" t="str">
        <f ca="1">IFERROR(__xludf.DUMMYFUNCTION("""COMPUTED_VALUE"""),"DARRO")</f>
        <v>DARRO</v>
      </c>
      <c r="M741" s="164" t="str">
        <f ca="1">IFERROR(__xludf.DUMMYFUNCTION("""COMPUTED_VALUE"""),"SERVICEABLE")</f>
        <v>SERVICEABLE</v>
      </c>
      <c r="N741" s="164"/>
    </row>
    <row r="742" spans="1:14" ht="13.2" hidden="1">
      <c r="A742" s="164" t="str">
        <f ca="1">IFERROR(__xludf.DUMMYFUNCTION("""COMPUTED_VALUE"""),"CAR")</f>
        <v>CAR</v>
      </c>
      <c r="B742" s="164" t="str">
        <f ca="1">IFERROR(__xludf.DUMMYFUNCTION("""COMPUTED_VALUE"""),"Regional Office")</f>
        <v>Regional Office</v>
      </c>
      <c r="C742" s="164" t="str">
        <f ca="1">IFERROR(__xludf.DUMMYFUNCTION("""COMPUTED_VALUE"""),"Desktop Computer – (Lenovo M70T)")</f>
        <v>Desktop Computer – (Lenovo M70T)</v>
      </c>
      <c r="D742" s="164" t="str">
        <f ca="1">IFERROR(__xludf.DUMMYFUNCTION("""COMPUTED_VALUE"""),"₱ 75,468.00")</f>
        <v>₱ 75,468.00</v>
      </c>
      <c r="E742" s="164" t="str">
        <f ca="1">IFERROR(__xludf.DUMMYFUNCTION("""COMPUTED_VALUE"""),"₱ -")</f>
        <v>₱ -</v>
      </c>
      <c r="F742" s="164" t="str">
        <f ca="1">IFERROR(__xludf.DUMMYFUNCTION("""COMPUTED_VALUE"""),"2023-05-03-10201SP509-01")</f>
        <v>2023-05-03-10201SP509-01</v>
      </c>
      <c r="G742" s="164" t="str">
        <f ca="1">IFERROR(__xludf.DUMMYFUNCTION("""COMPUTED_VALUE"""),"1S11T5S16200GM0415S8")</f>
        <v>1S11T5S16200GM0415S8</v>
      </c>
      <c r="H742" s="164" t="str">
        <f ca="1">IFERROR(__xludf.DUMMYFUNCTION("""COMPUTED_VALUE"""),"EUGENIA B. DADDY (c/o M&amp;E Staff-COS SPLIT)")</f>
        <v>EUGENIA B. DADDY (c/o M&amp;E Staff-COS SPLIT)</v>
      </c>
      <c r="I742" s="164" t="str">
        <f ca="1">IFERROR(__xludf.DUMMYFUNCTION("""COMPUTED_VALUE"""),"PO III/M&amp;E Coordinator")</f>
        <v>PO III/M&amp;E Coordinator</v>
      </c>
      <c r="J742" s="164" t="str">
        <f ca="1">IFERROR(__xludf.DUMMYFUNCTION("""COMPUTED_VALUE"""),"2023-05-44 SPLIT")</f>
        <v>2023-05-44 SPLIT</v>
      </c>
      <c r="K742" s="164" t="str">
        <f ca="1">IFERROR(__xludf.DUMMYFUNCTION("""COMPUTED_VALUE"""),"EUGENIA B. DADDY")</f>
        <v>EUGENIA B. DADDY</v>
      </c>
      <c r="L742" s="164" t="str">
        <f ca="1">IFERROR(__xludf.DUMMYFUNCTION("""COMPUTED_VALUE"""),"DARRO")</f>
        <v>DARRO</v>
      </c>
      <c r="M742" s="164" t="str">
        <f ca="1">IFERROR(__xludf.DUMMYFUNCTION("""COMPUTED_VALUE"""),"SERVICEABLE")</f>
        <v>SERVICEABLE</v>
      </c>
      <c r="N742" s="164"/>
    </row>
    <row r="743" spans="1:14" ht="13.2" hidden="1">
      <c r="A743" s="164" t="str">
        <f ca="1">IFERROR(__xludf.DUMMYFUNCTION("""COMPUTED_VALUE"""),"CAR")</f>
        <v>CAR</v>
      </c>
      <c r="B743" s="164" t="str">
        <f ca="1">IFERROR(__xludf.DUMMYFUNCTION("""COMPUTED_VALUE"""),"Regional Office")</f>
        <v>Regional Office</v>
      </c>
      <c r="C743" s="164" t="str">
        <f ca="1">IFERROR(__xludf.DUMMYFUNCTION("""COMPUTED_VALUE"""),"Desktop Computer – (Lenovo M70T)")</f>
        <v>Desktop Computer – (Lenovo M70T)</v>
      </c>
      <c r="D743" s="164" t="str">
        <f ca="1">IFERROR(__xludf.DUMMYFUNCTION("""COMPUTED_VALUE"""),"₱ 75,468.00")</f>
        <v>₱ 75,468.00</v>
      </c>
      <c r="E743" s="164" t="str">
        <f ca="1">IFERROR(__xludf.DUMMYFUNCTION("""COMPUTED_VALUE"""),"₱ -")</f>
        <v>₱ -</v>
      </c>
      <c r="F743" s="164" t="str">
        <f ca="1">IFERROR(__xludf.DUMMYFUNCTION("""COMPUTED_VALUE"""),"2023-05-03-10201SP510-01")</f>
        <v>2023-05-03-10201SP510-01</v>
      </c>
      <c r="G743" s="164" t="str">
        <f ca="1">IFERROR(__xludf.DUMMYFUNCTION("""COMPUTED_VALUE"""),"1S11T5S16200GM0415S9")</f>
        <v>1S11T5S16200GM0415S9</v>
      </c>
      <c r="H743" s="164" t="str">
        <f ca="1">IFERROR(__xludf.DUMMYFUNCTION("""COMPUTED_VALUE"""),"JOCYLYN P. BALLESTRA (c/o Procurement Staff-COS SPLIT)")</f>
        <v>JOCYLYN P. BALLESTRA (c/o Procurement Staff-COS SPLIT)</v>
      </c>
      <c r="I743" s="164" t="str">
        <f ca="1">IFERROR(__xludf.DUMMYFUNCTION("""COMPUTED_VALUE"""),"AO III/Procurement Coordinator")</f>
        <v>AO III/Procurement Coordinator</v>
      </c>
      <c r="J743" s="164" t="str">
        <f ca="1">IFERROR(__xludf.DUMMYFUNCTION("""COMPUTED_VALUE"""),"2023-05-45 SPLIT")</f>
        <v>2023-05-45 SPLIT</v>
      </c>
      <c r="K743" s="164" t="str">
        <f ca="1">IFERROR(__xludf.DUMMYFUNCTION("""COMPUTED_VALUE"""),"JOCYLYN P. BALLESTRA")</f>
        <v>JOCYLYN P. BALLESTRA</v>
      </c>
      <c r="L743" s="164" t="str">
        <f ca="1">IFERROR(__xludf.DUMMYFUNCTION("""COMPUTED_VALUE"""),"DARRO")</f>
        <v>DARRO</v>
      </c>
      <c r="M743" s="164" t="str">
        <f ca="1">IFERROR(__xludf.DUMMYFUNCTION("""COMPUTED_VALUE"""),"SERVICEABLE")</f>
        <v>SERVICEABLE</v>
      </c>
      <c r="N743" s="164"/>
    </row>
    <row r="744" spans="1:14" ht="13.2" hidden="1">
      <c r="A744" s="164" t="str">
        <f ca="1">IFERROR(__xludf.DUMMYFUNCTION("""COMPUTED_VALUE"""),"CAR")</f>
        <v>CAR</v>
      </c>
      <c r="B744" s="164" t="str">
        <f ca="1">IFERROR(__xludf.DUMMYFUNCTION("""COMPUTED_VALUE"""),"Regional Office")</f>
        <v>Regional Office</v>
      </c>
      <c r="C744" s="164" t="str">
        <f ca="1">IFERROR(__xludf.DUMMYFUNCTION("""COMPUTED_VALUE"""),"Desktop Computer – (Lenovo M70T)")</f>
        <v>Desktop Computer – (Lenovo M70T)</v>
      </c>
      <c r="D744" s="164" t="str">
        <f ca="1">IFERROR(__xludf.DUMMYFUNCTION("""COMPUTED_VALUE"""),"₱ 75,468.00")</f>
        <v>₱ 75,468.00</v>
      </c>
      <c r="E744" s="164" t="str">
        <f ca="1">IFERROR(__xludf.DUMMYFUNCTION("""COMPUTED_VALUE"""),"₱ -")</f>
        <v>₱ -</v>
      </c>
      <c r="F744" s="164" t="str">
        <f ca="1">IFERROR(__xludf.DUMMYFUNCTION("""COMPUTED_VALUE"""),"2023-05-03-10201SP511-01")</f>
        <v>2023-05-03-10201SP511-01</v>
      </c>
      <c r="G744" s="164" t="str">
        <f ca="1">IFERROR(__xludf.DUMMYFUNCTION("""COMPUTED_VALUE"""),"1S11T5S16200GM0415SA")</f>
        <v>1S11T5S16200GM0415SA</v>
      </c>
      <c r="H744" s="164" t="str">
        <f ca="1">IFERROR(__xludf.DUMMYFUNCTION("""COMPUTED_VALUE"""),"JULIET C. DUMAPIS (c/o ESS Specialist-COS SPLIT)")</f>
        <v>JULIET C. DUMAPIS (c/o ESS Specialist-COS SPLIT)</v>
      </c>
      <c r="I744" s="164" t="str">
        <f ca="1">IFERROR(__xludf.DUMMYFUNCTION("""COMPUTED_VALUE"""),"CARPO - FOD/ Parcelization Component Coordinator")</f>
        <v>CARPO - FOD/ Parcelization Component Coordinator</v>
      </c>
      <c r="J744" s="164" t="str">
        <f ca="1">IFERROR(__xludf.DUMMYFUNCTION("""COMPUTED_VALUE"""),"2023-05-46 SPLIT")</f>
        <v>2023-05-46 SPLIT</v>
      </c>
      <c r="K744" s="164" t="str">
        <f ca="1">IFERROR(__xludf.DUMMYFUNCTION("""COMPUTED_VALUE"""),"JULIET C. DUMAPIS")</f>
        <v>JULIET C. DUMAPIS</v>
      </c>
      <c r="L744" s="164" t="str">
        <f ca="1">IFERROR(__xludf.DUMMYFUNCTION("""COMPUTED_VALUE"""),"DARRO")</f>
        <v>DARRO</v>
      </c>
      <c r="M744" s="164" t="str">
        <f ca="1">IFERROR(__xludf.DUMMYFUNCTION("""COMPUTED_VALUE"""),"SERVICEABLE")</f>
        <v>SERVICEABLE</v>
      </c>
      <c r="N744" s="164"/>
    </row>
    <row r="745" spans="1:14" ht="13.2" hidden="1">
      <c r="A745" s="164" t="str">
        <f ca="1">IFERROR(__xludf.DUMMYFUNCTION("""COMPUTED_VALUE"""),"CAR")</f>
        <v>CAR</v>
      </c>
      <c r="B745" s="164" t="str">
        <f ca="1">IFERROR(__xludf.DUMMYFUNCTION("""COMPUTED_VALUE"""),"Regional Office")</f>
        <v>Regional Office</v>
      </c>
      <c r="C745" s="164" t="str">
        <f ca="1">IFERROR(__xludf.DUMMYFUNCTION("""COMPUTED_VALUE"""),"Desktop Computer – (Lenovo M70T)")</f>
        <v>Desktop Computer – (Lenovo M70T)</v>
      </c>
      <c r="D745" s="164" t="str">
        <f ca="1">IFERROR(__xludf.DUMMYFUNCTION("""COMPUTED_VALUE"""),"₱ 75,468.00")</f>
        <v>₱ 75,468.00</v>
      </c>
      <c r="E745" s="164" t="str">
        <f ca="1">IFERROR(__xludf.DUMMYFUNCTION("""COMPUTED_VALUE"""),"₱ -")</f>
        <v>₱ -</v>
      </c>
      <c r="F745" s="164" t="str">
        <f ca="1">IFERROR(__xludf.DUMMYFUNCTION("""COMPUTED_VALUE"""),"2023-05-03-10201SP512-01")</f>
        <v>2023-05-03-10201SP512-01</v>
      </c>
      <c r="G745" s="164" t="str">
        <f ca="1">IFERROR(__xludf.DUMMYFUNCTION("""COMPUTED_VALUE"""),"1S11T5S16200GM0415SC")</f>
        <v>1S11T5S16200GM0415SC</v>
      </c>
      <c r="H745" s="164" t="str">
        <f ca="1">IFERROR(__xludf.DUMMYFUNCTION("""COMPUTED_VALUE"""),"ATTY. ESTRELLITA B. BRIONES")</f>
        <v>ATTY. ESTRELLITA B. BRIONES</v>
      </c>
      <c r="I745" s="164" t="str">
        <f ca="1">IFERROR(__xludf.DUMMYFUNCTION("""COMPUTED_VALUE"""),"OIC RARAD/GRM COORDINATOR")</f>
        <v>OIC RARAD/GRM COORDINATOR</v>
      </c>
      <c r="J745" s="164" t="str">
        <f ca="1">IFERROR(__xludf.DUMMYFUNCTION("""COMPUTED_VALUE"""),"2023-05-47 SPLIT")</f>
        <v>2023-05-47 SPLIT</v>
      </c>
      <c r="K745" s="164" t="str">
        <f ca="1">IFERROR(__xludf.DUMMYFUNCTION("""COMPUTED_VALUE"""),"ATTY. ESTRELLITA B. BRIONES")</f>
        <v>ATTY. ESTRELLITA B. BRIONES</v>
      </c>
      <c r="L745" s="164" t="str">
        <f ca="1">IFERROR(__xludf.DUMMYFUNCTION("""COMPUTED_VALUE"""),"DARRO")</f>
        <v>DARRO</v>
      </c>
      <c r="M745" s="164" t="str">
        <f ca="1">IFERROR(__xludf.DUMMYFUNCTION("""COMPUTED_VALUE"""),"SERVICEABLE")</f>
        <v>SERVICEABLE</v>
      </c>
      <c r="N745" s="164"/>
    </row>
    <row r="746" spans="1:14" ht="13.2" hidden="1">
      <c r="A746" s="164" t="str">
        <f ca="1">IFERROR(__xludf.DUMMYFUNCTION("""COMPUTED_VALUE"""),"CAR")</f>
        <v>CAR</v>
      </c>
      <c r="B746" s="164" t="str">
        <f ca="1">IFERROR(__xludf.DUMMYFUNCTION("""COMPUTED_VALUE"""),"Regional Office")</f>
        <v>Regional Office</v>
      </c>
      <c r="C746" s="164" t="str">
        <f ca="1">IFERROR(__xludf.DUMMYFUNCTION("""COMPUTED_VALUE"""),"Desktop Computer – (Lenovo M70T)")</f>
        <v>Desktop Computer – (Lenovo M70T)</v>
      </c>
      <c r="D746" s="164" t="str">
        <f ca="1">IFERROR(__xludf.DUMMYFUNCTION("""COMPUTED_VALUE"""),"₱ 75,468.00")</f>
        <v>₱ 75,468.00</v>
      </c>
      <c r="E746" s="164" t="str">
        <f ca="1">IFERROR(__xludf.DUMMYFUNCTION("""COMPUTED_VALUE"""),"₱ -")</f>
        <v>₱ -</v>
      </c>
      <c r="F746" s="164" t="str">
        <f ca="1">IFERROR(__xludf.DUMMYFUNCTION("""COMPUTED_VALUE"""),"2023-05-03-10201SP513-01")</f>
        <v>2023-05-03-10201SP513-01</v>
      </c>
      <c r="G746" s="164" t="str">
        <f ca="1">IFERROR(__xludf.DUMMYFUNCTION("""COMPUTED_VALUE"""),"1S11T5S16200GM0415SE")</f>
        <v>1S11T5S16200GM0415SE</v>
      </c>
      <c r="H746" s="164" t="str">
        <f ca="1">IFERROR(__xludf.DUMMYFUNCTION("""COMPUTED_VALUE"""),"GEMMA B. AGCAOILI")</f>
        <v>GEMMA B. AGCAOILI</v>
      </c>
      <c r="I746" s="164" t="str">
        <f ca="1">IFERROR(__xludf.DUMMYFUNCTION("""COMPUTED_VALUE"""),"AO III/Project Cashier")</f>
        <v>AO III/Project Cashier</v>
      </c>
      <c r="J746" s="164" t="str">
        <f ca="1">IFERROR(__xludf.DUMMYFUNCTION("""COMPUTED_VALUE"""),"2023-05-48 SPLIT")</f>
        <v>2023-05-48 SPLIT</v>
      </c>
      <c r="K746" s="164" t="str">
        <f ca="1">IFERROR(__xludf.DUMMYFUNCTION("""COMPUTED_VALUE"""),"GEMMA B. AGCAOILI")</f>
        <v>GEMMA B. AGCAOILI</v>
      </c>
      <c r="L746" s="164" t="str">
        <f ca="1">IFERROR(__xludf.DUMMYFUNCTION("""COMPUTED_VALUE"""),"DARRO")</f>
        <v>DARRO</v>
      </c>
      <c r="M746" s="164" t="str">
        <f ca="1">IFERROR(__xludf.DUMMYFUNCTION("""COMPUTED_VALUE"""),"SERVICEABLE")</f>
        <v>SERVICEABLE</v>
      </c>
      <c r="N746" s="164"/>
    </row>
    <row r="747" spans="1:14" ht="13.2" hidden="1">
      <c r="A747" s="164" t="str">
        <f ca="1">IFERROR(__xludf.DUMMYFUNCTION("""COMPUTED_VALUE"""),"CAR")</f>
        <v>CAR</v>
      </c>
      <c r="B747" s="164" t="str">
        <f ca="1">IFERROR(__xludf.DUMMYFUNCTION("""COMPUTED_VALUE"""),"Regional Office")</f>
        <v>Regional Office</v>
      </c>
      <c r="C747" s="164" t="str">
        <f ca="1">IFERROR(__xludf.DUMMYFUNCTION("""COMPUTED_VALUE"""),"Desktop Computer – (Lenovo M70T)")</f>
        <v>Desktop Computer – (Lenovo M70T)</v>
      </c>
      <c r="D747" s="164" t="str">
        <f ca="1">IFERROR(__xludf.DUMMYFUNCTION("""COMPUTED_VALUE"""),"₱ 75,468.00")</f>
        <v>₱ 75,468.00</v>
      </c>
      <c r="E747" s="164" t="str">
        <f ca="1">IFERROR(__xludf.DUMMYFUNCTION("""COMPUTED_VALUE"""),"₱ -")</f>
        <v>₱ -</v>
      </c>
      <c r="F747" s="164" t="str">
        <f ca="1">IFERROR(__xludf.DUMMYFUNCTION("""COMPUTED_VALUE"""),"2023-05-03-10201SP514-01")</f>
        <v>2023-05-03-10201SP514-01</v>
      </c>
      <c r="G747" s="164" t="str">
        <f ca="1">IFERROR(__xludf.DUMMYFUNCTION("""COMPUTED_VALUE"""),"1S11T5S16200GM0415SF")</f>
        <v>1S11T5S16200GM0415SF</v>
      </c>
      <c r="H747" s="164" t="str">
        <f ca="1">IFERROR(__xludf.DUMMYFUNCTION("""COMPUTED_VALUE"""),"AMALIA J. SEPULCHRE")</f>
        <v>AMALIA J. SEPULCHRE</v>
      </c>
      <c r="I747" s="164" t="str">
        <f ca="1">IFERROR(__xludf.DUMMYFUNCTION("""COMPUTED_VALUE"""),"Comp. Prog. II/ MIS Coordinator")</f>
        <v>Comp. Prog. II/ MIS Coordinator</v>
      </c>
      <c r="J747" s="164" t="str">
        <f ca="1">IFERROR(__xludf.DUMMYFUNCTION("""COMPUTED_VALUE"""),"2023-05-49 SPLIT")</f>
        <v>2023-05-49 SPLIT</v>
      </c>
      <c r="K747" s="164" t="str">
        <f ca="1">IFERROR(__xludf.DUMMYFUNCTION("""COMPUTED_VALUE"""),"AMALIA J. SEPULCHRE")</f>
        <v>AMALIA J. SEPULCHRE</v>
      </c>
      <c r="L747" s="164" t="str">
        <f ca="1">IFERROR(__xludf.DUMMYFUNCTION("""COMPUTED_VALUE"""),"DARRO")</f>
        <v>DARRO</v>
      </c>
      <c r="M747" s="164" t="str">
        <f ca="1">IFERROR(__xludf.DUMMYFUNCTION("""COMPUTED_VALUE"""),"SERVICEABLE")</f>
        <v>SERVICEABLE</v>
      </c>
      <c r="N747" s="164"/>
    </row>
    <row r="748" spans="1:14" ht="13.2" hidden="1">
      <c r="A748" s="164" t="str">
        <f ca="1">IFERROR(__xludf.DUMMYFUNCTION("""COMPUTED_VALUE"""),"CAR")</f>
        <v>CAR</v>
      </c>
      <c r="B748" s="164" t="str">
        <f ca="1">IFERROR(__xludf.DUMMYFUNCTION("""COMPUTED_VALUE"""),"Regional Office")</f>
        <v>Regional Office</v>
      </c>
      <c r="C748" s="164" t="str">
        <f ca="1">IFERROR(__xludf.DUMMYFUNCTION("""COMPUTED_VALUE"""),"Desktop Computer – (HP Pro SFF 280G9)")</f>
        <v>Desktop Computer – (HP Pro SFF 280G9)</v>
      </c>
      <c r="D748" s="164" t="str">
        <f ca="1">IFERROR(__xludf.DUMMYFUNCTION("""COMPUTED_VALUE"""),"₱ 78,898.00")</f>
        <v>₱ 78,898.00</v>
      </c>
      <c r="E748" s="164" t="str">
        <f ca="1">IFERROR(__xludf.DUMMYFUNCTION("""COMPUTED_VALUE"""),"₱ -")</f>
        <v>₱ -</v>
      </c>
      <c r="F748" s="164" t="str">
        <f ca="1">IFERROR(__xludf.DUMMYFUNCTION("""COMPUTED_VALUE"""),"2023-05-03-10201SP343-01")</f>
        <v>2023-05-03-10201SP343-01</v>
      </c>
      <c r="G748" s="164" t="str">
        <f ca="1">IFERROR(__xludf.DUMMYFUNCTION("""COMPUTED_VALUE"""),"4CE301DH63")</f>
        <v>4CE301DH63</v>
      </c>
      <c r="H748" s="164" t="str">
        <f ca="1">IFERROR(__xludf.DUMMYFUNCTION("""COMPUTED_VALUE"""),"PERLA M. GARCIA")</f>
        <v>PERLA M. GARCIA</v>
      </c>
      <c r="I748" s="164" t="str">
        <f ca="1">IFERROR(__xludf.DUMMYFUNCTION("""COMPUTED_VALUE"""),"RCAO/Finance Coordinator")</f>
        <v>RCAO/Finance Coordinator</v>
      </c>
      <c r="J748" s="164" t="str">
        <f ca="1">IFERROR(__xludf.DUMMYFUNCTION("""COMPUTED_VALUE"""),"2023-08-54 SPLIT")</f>
        <v>2023-08-54 SPLIT</v>
      </c>
      <c r="K748" s="164" t="str">
        <f ca="1">IFERROR(__xludf.DUMMYFUNCTION("""COMPUTED_VALUE"""),"PERLA M. GARCIA")</f>
        <v>PERLA M. GARCIA</v>
      </c>
      <c r="L748" s="164" t="str">
        <f ca="1">IFERROR(__xludf.DUMMYFUNCTION("""COMPUTED_VALUE"""),"DARRO")</f>
        <v>DARRO</v>
      </c>
      <c r="M748" s="164" t="str">
        <f ca="1">IFERROR(__xludf.DUMMYFUNCTION("""COMPUTED_VALUE"""),"SERVICEABLE")</f>
        <v>SERVICEABLE</v>
      </c>
      <c r="N748" s="164"/>
    </row>
    <row r="749" spans="1:14" ht="13.2" hidden="1">
      <c r="A749" s="164" t="str">
        <f ca="1">IFERROR(__xludf.DUMMYFUNCTION("""COMPUTED_VALUE"""),"CAR")</f>
        <v>CAR</v>
      </c>
      <c r="B749" s="164" t="str">
        <f ca="1">IFERROR(__xludf.DUMMYFUNCTION("""COMPUTED_VALUE"""),"Regional Office")</f>
        <v>Regional Office</v>
      </c>
      <c r="C749" s="164" t="str">
        <f ca="1">IFERROR(__xludf.DUMMYFUNCTION("""COMPUTED_VALUE"""),"Desktop Computer – (HP Pro SFF 280G9)")</f>
        <v>Desktop Computer – (HP Pro SFF 280G9)</v>
      </c>
      <c r="D749" s="164" t="str">
        <f ca="1">IFERROR(__xludf.DUMMYFUNCTION("""COMPUTED_VALUE"""),"₱ 78,898.00")</f>
        <v>₱ 78,898.00</v>
      </c>
      <c r="E749" s="164" t="str">
        <f ca="1">IFERROR(__xludf.DUMMYFUNCTION("""COMPUTED_VALUE"""),"₱ -")</f>
        <v>₱ -</v>
      </c>
      <c r="F749" s="164" t="str">
        <f ca="1">IFERROR(__xludf.DUMMYFUNCTION("""COMPUTED_VALUE"""),"2023-05-03-10201SP344-01")</f>
        <v>2023-05-03-10201SP344-01</v>
      </c>
      <c r="G749" s="164" t="str">
        <f ca="1">IFERROR(__xludf.DUMMYFUNCTION("""COMPUTED_VALUE"""),"4CE301DSR9")</f>
        <v>4CE301DSR9</v>
      </c>
      <c r="H749" s="164" t="str">
        <f ca="1">IFERROR(__xludf.DUMMYFUNCTION("""COMPUTED_VALUE"""),"JOCYLYN P. BALLESTRA")</f>
        <v>JOCYLYN P. BALLESTRA</v>
      </c>
      <c r="I749" s="164" t="str">
        <f ca="1">IFERROR(__xludf.DUMMYFUNCTION("""COMPUTED_VALUE"""),"AO III/Procurement Coordinator")</f>
        <v>AO III/Procurement Coordinator</v>
      </c>
      <c r="J749" s="164" t="str">
        <f ca="1">IFERROR(__xludf.DUMMYFUNCTION("""COMPUTED_VALUE"""),"2023-08-50 SPLIT")</f>
        <v>2023-08-50 SPLIT</v>
      </c>
      <c r="K749" s="164" t="str">
        <f ca="1">IFERROR(__xludf.DUMMYFUNCTION("""COMPUTED_VALUE"""),"JOCYLYN P. BALLESTRA")</f>
        <v>JOCYLYN P. BALLESTRA</v>
      </c>
      <c r="L749" s="164" t="str">
        <f ca="1">IFERROR(__xludf.DUMMYFUNCTION("""COMPUTED_VALUE"""),"DARRO")</f>
        <v>DARRO</v>
      </c>
      <c r="M749" s="164" t="str">
        <f ca="1">IFERROR(__xludf.DUMMYFUNCTION("""COMPUTED_VALUE"""),"SERVICEABLE")</f>
        <v>SERVICEABLE</v>
      </c>
      <c r="N749" s="164"/>
    </row>
    <row r="750" spans="1:14" ht="13.2" hidden="1">
      <c r="A750" s="164" t="str">
        <f ca="1">IFERROR(__xludf.DUMMYFUNCTION("""COMPUTED_VALUE"""),"CAR")</f>
        <v>CAR</v>
      </c>
      <c r="B750" s="164" t="str">
        <f ca="1">IFERROR(__xludf.DUMMYFUNCTION("""COMPUTED_VALUE"""),"Regional Office")</f>
        <v>Regional Office</v>
      </c>
      <c r="C750" s="164" t="str">
        <f ca="1">IFERROR(__xludf.DUMMYFUNCTION("""COMPUTED_VALUE"""),"Desktop Computer – (HP Pro SFF 280G9)")</f>
        <v>Desktop Computer – (HP Pro SFF 280G9)</v>
      </c>
      <c r="D750" s="164" t="str">
        <f ca="1">IFERROR(__xludf.DUMMYFUNCTION("""COMPUTED_VALUE"""),"₱ 78,898.00")</f>
        <v>₱ 78,898.00</v>
      </c>
      <c r="E750" s="164" t="str">
        <f ca="1">IFERROR(__xludf.DUMMYFUNCTION("""COMPUTED_VALUE"""),"₱ -")</f>
        <v>₱ -</v>
      </c>
      <c r="F750" s="164" t="str">
        <f ca="1">IFERROR(__xludf.DUMMYFUNCTION("""COMPUTED_VALUE"""),"2023-05-03-10201SP342-01")</f>
        <v>2023-05-03-10201SP342-01</v>
      </c>
      <c r="G750" s="164" t="str">
        <f ca="1">IFERROR(__xludf.DUMMYFUNCTION("""COMPUTED_VALUE"""),"4CE301DH6W")</f>
        <v>4CE301DH6W</v>
      </c>
      <c r="H750" s="164" t="str">
        <f ca="1">IFERROR(__xludf.DUMMYFUNCTION("""COMPUTED_VALUE"""),"JANE D. TORIBIO")</f>
        <v>JANE D. TORIBIO</v>
      </c>
      <c r="I750" s="164" t="str">
        <f ca="1">IFERROR(__xludf.DUMMYFUNCTION("""COMPUTED_VALUE"""),"CARPO - FOD/Parcelization Component Coordinator")</f>
        <v>CARPO - FOD/Parcelization Component Coordinator</v>
      </c>
      <c r="J750" s="164" t="str">
        <f ca="1">IFERROR(__xludf.DUMMYFUNCTION("""COMPUTED_VALUE"""),"2023-08-53 SPLIT")</f>
        <v>2023-08-53 SPLIT</v>
      </c>
      <c r="K750" s="164" t="str">
        <f ca="1">IFERROR(__xludf.DUMMYFUNCTION("""COMPUTED_VALUE"""),"JANE D. TORIBIO")</f>
        <v>JANE D. TORIBIO</v>
      </c>
      <c r="L750" s="164" t="str">
        <f ca="1">IFERROR(__xludf.DUMMYFUNCTION("""COMPUTED_VALUE"""),"DARRO")</f>
        <v>DARRO</v>
      </c>
      <c r="M750" s="164" t="str">
        <f ca="1">IFERROR(__xludf.DUMMYFUNCTION("""COMPUTED_VALUE"""),"SERVICEABLE")</f>
        <v>SERVICEABLE</v>
      </c>
      <c r="N750" s="164"/>
    </row>
    <row r="751" spans="1:14" ht="13.2" hidden="1">
      <c r="A751" s="164" t="str">
        <f ca="1">IFERROR(__xludf.DUMMYFUNCTION("""COMPUTED_VALUE"""),"CAR")</f>
        <v>CAR</v>
      </c>
      <c r="B751" s="164" t="str">
        <f ca="1">IFERROR(__xludf.DUMMYFUNCTION("""COMPUTED_VALUE"""),"Regional Office")</f>
        <v>Regional Office</v>
      </c>
      <c r="C751" s="164" t="str">
        <f ca="1">IFERROR(__xludf.DUMMYFUNCTION("""COMPUTED_VALUE"""),"Desktop Computer – (HP Pro SFF 280G9)")</f>
        <v>Desktop Computer – (HP Pro SFF 280G9)</v>
      </c>
      <c r="D751" s="164" t="str">
        <f ca="1">IFERROR(__xludf.DUMMYFUNCTION("""COMPUTED_VALUE"""),"₱ 78,898.00")</f>
        <v>₱ 78,898.00</v>
      </c>
      <c r="E751" s="164" t="str">
        <f ca="1">IFERROR(__xludf.DUMMYFUNCTION("""COMPUTED_VALUE"""),"₱ -")</f>
        <v>₱ -</v>
      </c>
      <c r="F751" s="164" t="str">
        <f ca="1">IFERROR(__xludf.DUMMYFUNCTION("""COMPUTED_VALUE"""),"2023-05-03-10201SP338-01")</f>
        <v>2023-05-03-10201SP338-01</v>
      </c>
      <c r="G751" s="164" t="str">
        <f ca="1">IFERROR(__xludf.DUMMYFUNCTION("""COMPUTED_VALUE"""),"4CE301DSRR")</f>
        <v>4CE301DSRR</v>
      </c>
      <c r="H751" s="164" t="str">
        <f ca="1">IFERROR(__xludf.DUMMYFUNCTION("""COMPUTED_VALUE"""),"JANE D. TORIBIO (c/o DENR - RO)")</f>
        <v>JANE D. TORIBIO (c/o DENR - RO)</v>
      </c>
      <c r="I751" s="164" t="str">
        <f ca="1">IFERROR(__xludf.DUMMYFUNCTION("""COMPUTED_VALUE"""),"CARPO - FOD/Parcelization Component Coordinator")</f>
        <v>CARPO - FOD/Parcelization Component Coordinator</v>
      </c>
      <c r="J751" s="164" t="str">
        <f ca="1">IFERROR(__xludf.DUMMYFUNCTION("""COMPUTED_VALUE"""),"2023-08-54 SPLIT")</f>
        <v>2023-08-54 SPLIT</v>
      </c>
      <c r="K751" s="164" t="str">
        <f ca="1">IFERROR(__xludf.DUMMYFUNCTION("""COMPUTED_VALUE"""),"JANE D. TORIBIO")</f>
        <v>JANE D. TORIBIO</v>
      </c>
      <c r="L751" s="164" t="str">
        <f ca="1">IFERROR(__xludf.DUMMYFUNCTION("""COMPUTED_VALUE"""),"DARRO")</f>
        <v>DARRO</v>
      </c>
      <c r="M751" s="164" t="str">
        <f ca="1">IFERROR(__xludf.DUMMYFUNCTION("""COMPUTED_VALUE"""),"SERVICEABLE")</f>
        <v>SERVICEABLE</v>
      </c>
      <c r="N751" s="164"/>
    </row>
    <row r="752" spans="1:14" ht="13.2" hidden="1">
      <c r="A752" s="164" t="str">
        <f ca="1">IFERROR(__xludf.DUMMYFUNCTION("""COMPUTED_VALUE"""),"CAR")</f>
        <v>CAR</v>
      </c>
      <c r="B752" s="164" t="str">
        <f ca="1">IFERROR(__xludf.DUMMYFUNCTION("""COMPUTED_VALUE"""),"Regional Office")</f>
        <v>Regional Office</v>
      </c>
      <c r="C752" s="164" t="str">
        <f ca="1">IFERROR(__xludf.DUMMYFUNCTION("""COMPUTED_VALUE"""),"Desktop Computer – (HP Pro SFF 280G9)")</f>
        <v>Desktop Computer – (HP Pro SFF 280G9)</v>
      </c>
      <c r="D752" s="164" t="str">
        <f ca="1">IFERROR(__xludf.DUMMYFUNCTION("""COMPUTED_VALUE"""),"₱ 78,898.00")</f>
        <v>₱ 78,898.00</v>
      </c>
      <c r="E752" s="164" t="str">
        <f ca="1">IFERROR(__xludf.DUMMYFUNCTION("""COMPUTED_VALUE"""),"₱ -")</f>
        <v>₱ -</v>
      </c>
      <c r="F752" s="164" t="str">
        <f ca="1">IFERROR(__xludf.DUMMYFUNCTION("""COMPUTED_VALUE"""),"2023-05-03-10201SP339-01")</f>
        <v>2023-05-03-10201SP339-01</v>
      </c>
      <c r="G752" s="164" t="str">
        <f ca="1">IFERROR(__xludf.DUMMYFUNCTION("""COMPUTED_VALUE"""),"4CE301DH3T")</f>
        <v>4CE301DH3T</v>
      </c>
      <c r="H752" s="164" t="str">
        <f ca="1">IFERROR(__xludf.DUMMYFUNCTION("""COMPUTED_VALUE"""),"JANE D. TORIBIO (c/o DENR - RO)")</f>
        <v>JANE D. TORIBIO (c/o DENR - RO)</v>
      </c>
      <c r="I752" s="164" t="str">
        <f ca="1">IFERROR(__xludf.DUMMYFUNCTION("""COMPUTED_VALUE"""),"CARPO - FOD/Parcelization Component Coordinator")</f>
        <v>CARPO - FOD/Parcelization Component Coordinator</v>
      </c>
      <c r="J752" s="164" t="str">
        <f ca="1">IFERROR(__xludf.DUMMYFUNCTION("""COMPUTED_VALUE"""),"2023-08-55 SPLIT")</f>
        <v>2023-08-55 SPLIT</v>
      </c>
      <c r="K752" s="164" t="str">
        <f ca="1">IFERROR(__xludf.DUMMYFUNCTION("""COMPUTED_VALUE"""),"JANE D. TORIBIO")</f>
        <v>JANE D. TORIBIO</v>
      </c>
      <c r="L752" s="164" t="str">
        <f ca="1">IFERROR(__xludf.DUMMYFUNCTION("""COMPUTED_VALUE"""),"DARRO")</f>
        <v>DARRO</v>
      </c>
      <c r="M752" s="164" t="str">
        <f ca="1">IFERROR(__xludf.DUMMYFUNCTION("""COMPUTED_VALUE"""),"SERVICEABLE")</f>
        <v>SERVICEABLE</v>
      </c>
      <c r="N752" s="164"/>
    </row>
    <row r="753" spans="1:14" ht="13.2" hidden="1">
      <c r="A753" s="164" t="str">
        <f ca="1">IFERROR(__xludf.DUMMYFUNCTION("""COMPUTED_VALUE"""),"CAR")</f>
        <v>CAR</v>
      </c>
      <c r="B753" s="164" t="str">
        <f ca="1">IFERROR(__xludf.DUMMYFUNCTION("""COMPUTED_VALUE"""),"Regional Office")</f>
        <v>Regional Office</v>
      </c>
      <c r="C753" s="164" t="str">
        <f ca="1">IFERROR(__xludf.DUMMYFUNCTION("""COMPUTED_VALUE"""),"Desktop Computer – (HP Pro SFF 280G9)")</f>
        <v>Desktop Computer – (HP Pro SFF 280G9)</v>
      </c>
      <c r="D753" s="164" t="str">
        <f ca="1">IFERROR(__xludf.DUMMYFUNCTION("""COMPUTED_VALUE"""),"₱ 78,898.00")</f>
        <v>₱ 78,898.00</v>
      </c>
      <c r="E753" s="164" t="str">
        <f ca="1">IFERROR(__xludf.DUMMYFUNCTION("""COMPUTED_VALUE"""),"₱ -")</f>
        <v>₱ -</v>
      </c>
      <c r="F753" s="164" t="str">
        <f ca="1">IFERROR(__xludf.DUMMYFUNCTION("""COMPUTED_VALUE"""),"2023-05-03-10201SP341-01")</f>
        <v>2023-05-03-10201SP341-01</v>
      </c>
      <c r="G753" s="164" t="str">
        <f ca="1">IFERROR(__xludf.DUMMYFUNCTION("""COMPUTED_VALUE"""),"4CE301DSQG")</f>
        <v>4CE301DSQG</v>
      </c>
      <c r="H753" s="164" t="str">
        <f ca="1">IFERROR(__xludf.DUMMYFUNCTION("""COMPUTED_VALUE"""),"ATTY. CHRISTINE M. PUL-OC")</f>
        <v>ATTY. CHRISTINE M. PUL-OC</v>
      </c>
      <c r="I753" s="164" t="str">
        <f ca="1">IFERROR(__xludf.DUMMYFUNCTION("""COMPUTED_VALUE"""),"Atty. V/Legal Coordinator")</f>
        <v>Atty. V/Legal Coordinator</v>
      </c>
      <c r="J753" s="164" t="str">
        <f ca="1">IFERROR(__xludf.DUMMYFUNCTION("""COMPUTED_VALUE"""),"2023-08-52 SPLIT")</f>
        <v>2023-08-52 SPLIT</v>
      </c>
      <c r="K753" s="164" t="str">
        <f ca="1">IFERROR(__xludf.DUMMYFUNCTION("""COMPUTED_VALUE"""),"ATTY. CHRISTINE M. PUL-OC")</f>
        <v>ATTY. CHRISTINE M. PUL-OC</v>
      </c>
      <c r="L753" s="164" t="str">
        <f ca="1">IFERROR(__xludf.DUMMYFUNCTION("""COMPUTED_VALUE"""),"DARRO")</f>
        <v>DARRO</v>
      </c>
      <c r="M753" s="164" t="str">
        <f ca="1">IFERROR(__xludf.DUMMYFUNCTION("""COMPUTED_VALUE"""),"SERVICEABLE")</f>
        <v>SERVICEABLE</v>
      </c>
      <c r="N753" s="164"/>
    </row>
    <row r="754" spans="1:14" ht="13.2" hidden="1">
      <c r="A754" s="164" t="str">
        <f ca="1">IFERROR(__xludf.DUMMYFUNCTION("""COMPUTED_VALUE"""),"CAR")</f>
        <v>CAR</v>
      </c>
      <c r="B754" s="164" t="str">
        <f ca="1">IFERROR(__xludf.DUMMYFUNCTION("""COMPUTED_VALUE"""),"Regional Office")</f>
        <v>Regional Office</v>
      </c>
      <c r="C754" s="164" t="str">
        <f ca="1">IFERROR(__xludf.DUMMYFUNCTION("""COMPUTED_VALUE"""),"Desktop Computer – (HP Pro SFF 280G9)")</f>
        <v>Desktop Computer – (HP Pro SFF 280G9)</v>
      </c>
      <c r="D754" s="164" t="str">
        <f ca="1">IFERROR(__xludf.DUMMYFUNCTION("""COMPUTED_VALUE"""),"₱ 78,898.00")</f>
        <v>₱ 78,898.00</v>
      </c>
      <c r="E754" s="164" t="str">
        <f ca="1">IFERROR(__xludf.DUMMYFUNCTION("""COMPUTED_VALUE"""),"₱ -")</f>
        <v>₱ -</v>
      </c>
      <c r="F754" s="164" t="str">
        <f ca="1">IFERROR(__xludf.DUMMYFUNCTION("""COMPUTED_VALUE"""),"2023-05-03-10201SP340-01")</f>
        <v>2023-05-03-10201SP340-01</v>
      </c>
      <c r="G754" s="164" t="str">
        <f ca="1">IFERROR(__xludf.DUMMYFUNCTION("""COMPUTED_VALUE"""),"4CE301DH5V")</f>
        <v>4CE301DH5V</v>
      </c>
      <c r="H754" s="164" t="str">
        <f ca="1">IFERROR(__xludf.DUMMYFUNCTION("""COMPUTED_VALUE"""),"AMALIA J. SEPULCHRE (c/o COS SPLIT - IT)")</f>
        <v>AMALIA J. SEPULCHRE (c/o COS SPLIT - IT)</v>
      </c>
      <c r="I754" s="164" t="str">
        <f ca="1">IFERROR(__xludf.DUMMYFUNCTION("""COMPUTED_VALUE"""),"Comp. Prog II/MIS Coordinator")</f>
        <v>Comp. Prog II/MIS Coordinator</v>
      </c>
      <c r="J754" s="164" t="str">
        <f ca="1">IFERROR(__xludf.DUMMYFUNCTION("""COMPUTED_VALUE"""),"2023-08-51 SPLIT")</f>
        <v>2023-08-51 SPLIT</v>
      </c>
      <c r="K754" s="164" t="str">
        <f ca="1">IFERROR(__xludf.DUMMYFUNCTION("""COMPUTED_VALUE"""),"AMALIA J. SEPULCHRE")</f>
        <v>AMALIA J. SEPULCHRE</v>
      </c>
      <c r="L754" s="164" t="str">
        <f ca="1">IFERROR(__xludf.DUMMYFUNCTION("""COMPUTED_VALUE"""),"DARRO")</f>
        <v>DARRO</v>
      </c>
      <c r="M754" s="164" t="str">
        <f ca="1">IFERROR(__xludf.DUMMYFUNCTION("""COMPUTED_VALUE"""),"SERVICEABLE")</f>
        <v>SERVICEABLE</v>
      </c>
      <c r="N754" s="164"/>
    </row>
    <row r="755" spans="1:14" ht="13.2" hidden="1">
      <c r="A755" s="164" t="str">
        <f ca="1">IFERROR(__xludf.DUMMYFUNCTION("""COMPUTED_VALUE"""),"CAR")</f>
        <v>CAR</v>
      </c>
      <c r="B755" s="164" t="str">
        <f ca="1">IFERROR(__xludf.DUMMYFUNCTION("""COMPUTED_VALUE"""),"Regional Office")</f>
        <v>Regional Office</v>
      </c>
      <c r="C755" s="164" t="str">
        <f ca="1">IFERROR(__xludf.DUMMYFUNCTION("""COMPUTED_VALUE"""),"Laptop – (ACER EXTENSA EX215-55G i7)")</f>
        <v>Laptop – (ACER EXTENSA EX215-55G i7)</v>
      </c>
      <c r="D755" s="164" t="str">
        <f ca="1">IFERROR(__xludf.DUMMYFUNCTION("""COMPUTED_VALUE"""),"₱ 59,500.00")</f>
        <v>₱ 59,500.00</v>
      </c>
      <c r="E755" s="164" t="str">
        <f ca="1">IFERROR(__xludf.DUMMYFUNCTION("""COMPUTED_VALUE"""),"₱ -")</f>
        <v>₱ -</v>
      </c>
      <c r="F755" s="164" t="str">
        <f ca="1">IFERROR(__xludf.DUMMYFUNCTION("""COMPUTED_VALUE"""),"2023-05-03-10202SP322")</f>
        <v>2023-05-03-10202SP322</v>
      </c>
      <c r="G755" s="164" t="str">
        <f ca="1">IFERROR(__xludf.DUMMYFUNCTION("""COMPUTED_VALUE"""),"NXEGZSP00330801E413400")</f>
        <v>NXEGZSP00330801E413400</v>
      </c>
      <c r="H755" s="164" t="str">
        <f ca="1">IFERROR(__xludf.DUMMYFUNCTION("""COMPUTED_VALUE"""),"SAMUEL S. SOLOMERO")</f>
        <v>SAMUEL S. SOLOMERO</v>
      </c>
      <c r="I755" s="164" t="str">
        <f ca="1">IFERROR(__xludf.DUMMYFUNCTION("""COMPUTED_VALUE"""),"Regional Director/Reg'l Project Manager")</f>
        <v>Regional Director/Reg'l Project Manager</v>
      </c>
      <c r="J755" s="164" t="str">
        <f ca="1">IFERROR(__xludf.DUMMYFUNCTION("""COMPUTED_VALUE"""),"2023-08-56 SPLIT")</f>
        <v>2023-08-56 SPLIT</v>
      </c>
      <c r="K755" s="164" t="str">
        <f ca="1">IFERROR(__xludf.DUMMYFUNCTION("""COMPUTED_VALUE"""),"SAMUEL S. SOLOMERO")</f>
        <v>SAMUEL S. SOLOMERO</v>
      </c>
      <c r="L755" s="164" t="str">
        <f ca="1">IFERROR(__xludf.DUMMYFUNCTION("""COMPUTED_VALUE"""),"DARRO")</f>
        <v>DARRO</v>
      </c>
      <c r="M755" s="164" t="str">
        <f ca="1">IFERROR(__xludf.DUMMYFUNCTION("""COMPUTED_VALUE"""),"SERVICEABLE")</f>
        <v>SERVICEABLE</v>
      </c>
      <c r="N755" s="164"/>
    </row>
    <row r="756" spans="1:14" ht="13.2" hidden="1">
      <c r="A756" s="164" t="str">
        <f ca="1">IFERROR(__xludf.DUMMYFUNCTION("""COMPUTED_VALUE"""),"CAR")</f>
        <v>CAR</v>
      </c>
      <c r="B756" s="164" t="str">
        <f ca="1">IFERROR(__xludf.DUMMYFUNCTION("""COMPUTED_VALUE"""),"Regional Office")</f>
        <v>Regional Office</v>
      </c>
      <c r="C756" s="164" t="str">
        <f ca="1">IFERROR(__xludf.DUMMYFUNCTION("""COMPUTED_VALUE"""),"Laptop – (ACER EXTENSA EX215-55G i7)")</f>
        <v>Laptop – (ACER EXTENSA EX215-55G i7)</v>
      </c>
      <c r="D756" s="164" t="str">
        <f ca="1">IFERROR(__xludf.DUMMYFUNCTION("""COMPUTED_VALUE"""),"₱ 59,500.00")</f>
        <v>₱ 59,500.00</v>
      </c>
      <c r="E756" s="164" t="str">
        <f ca="1">IFERROR(__xludf.DUMMYFUNCTION("""COMPUTED_VALUE"""),"₱ -")</f>
        <v>₱ -</v>
      </c>
      <c r="F756" s="164" t="str">
        <f ca="1">IFERROR(__xludf.DUMMYFUNCTION("""COMPUTED_VALUE"""),"2023-05-03-10202SP323")</f>
        <v>2023-05-03-10202SP323</v>
      </c>
      <c r="G756" s="164" t="str">
        <f ca="1">IFERROR(__xludf.DUMMYFUNCTION("""COMPUTED_VALUE"""),"NXEGZSP00330801CF73400")</f>
        <v>NXEGZSP00330801CF73400</v>
      </c>
      <c r="H756" s="164" t="str">
        <f ca="1">IFERROR(__xludf.DUMMYFUNCTION("""COMPUTED_VALUE"""),"AMALIA J. SEPULCHRE")</f>
        <v>AMALIA J. SEPULCHRE</v>
      </c>
      <c r="I756" s="164" t="str">
        <f ca="1">IFERROR(__xludf.DUMMYFUNCTION("""COMPUTED_VALUE"""),"Comp. Prog. II/MIS Coordinator")</f>
        <v>Comp. Prog. II/MIS Coordinator</v>
      </c>
      <c r="J756" s="164" t="str">
        <f ca="1">IFERROR(__xludf.DUMMYFUNCTION("""COMPUTED_VALUE"""),"2023-08-57 SPLIT")</f>
        <v>2023-08-57 SPLIT</v>
      </c>
      <c r="K756" s="164" t="str">
        <f ca="1">IFERROR(__xludf.DUMMYFUNCTION("""COMPUTED_VALUE"""),"AMALIA J. SEPULCHRE")</f>
        <v>AMALIA J. SEPULCHRE</v>
      </c>
      <c r="L756" s="164" t="str">
        <f ca="1">IFERROR(__xludf.DUMMYFUNCTION("""COMPUTED_VALUE"""),"DARRO")</f>
        <v>DARRO</v>
      </c>
      <c r="M756" s="164" t="str">
        <f ca="1">IFERROR(__xludf.DUMMYFUNCTION("""COMPUTED_VALUE"""),"SERVICEABLE")</f>
        <v>SERVICEABLE</v>
      </c>
      <c r="N756" s="164"/>
    </row>
    <row r="757" spans="1:14" ht="13.2" hidden="1">
      <c r="A757" s="164" t="str">
        <f ca="1">IFERROR(__xludf.DUMMYFUNCTION("""COMPUTED_VALUE"""),"CAR")</f>
        <v>CAR</v>
      </c>
      <c r="B757" s="164" t="str">
        <f ca="1">IFERROR(__xludf.DUMMYFUNCTION("""COMPUTED_VALUE"""),"Regional Office")</f>
        <v>Regional Office</v>
      </c>
      <c r="C757" s="164" t="str">
        <f ca="1">IFERROR(__xludf.DUMMYFUNCTION("""COMPUTED_VALUE"""),"Laptop – (ACER EXTENSA EX215-55G i7)")</f>
        <v>Laptop – (ACER EXTENSA EX215-55G i7)</v>
      </c>
      <c r="D757" s="164" t="str">
        <f ca="1">IFERROR(__xludf.DUMMYFUNCTION("""COMPUTED_VALUE"""),"₱ 59,500.00")</f>
        <v>₱ 59,500.00</v>
      </c>
      <c r="E757" s="164" t="str">
        <f ca="1">IFERROR(__xludf.DUMMYFUNCTION("""COMPUTED_VALUE"""),"₱ -")</f>
        <v>₱ -</v>
      </c>
      <c r="F757" s="164" t="str">
        <f ca="1">IFERROR(__xludf.DUMMYFUNCTION("""COMPUTED_VALUE"""),"2023-05-03-10202SP316")</f>
        <v>2023-05-03-10202SP316</v>
      </c>
      <c r="G757" s="164" t="str">
        <f ca="1">IFERROR(__xludf.DUMMYFUNCTION("""COMPUTED_VALUE"""),"NXEGZSP00330801DC43400")</f>
        <v>NXEGZSP00330801DC43400</v>
      </c>
      <c r="H757" s="164" t="str">
        <f ca="1">IFERROR(__xludf.DUMMYFUNCTION("""COMPUTED_VALUE"""),"AMALIA J. SEPULCHRE")</f>
        <v>AMALIA J. SEPULCHRE</v>
      </c>
      <c r="I757" s="164" t="str">
        <f ca="1">IFERROR(__xludf.DUMMYFUNCTION("""COMPUTED_VALUE"""),"Comp. Prog. II/MIS Coordinator")</f>
        <v>Comp. Prog. II/MIS Coordinator</v>
      </c>
      <c r="J757" s="164" t="str">
        <f ca="1">IFERROR(__xludf.DUMMYFUNCTION("""COMPUTED_VALUE"""),"2023-08-58 SPLIT")</f>
        <v>2023-08-58 SPLIT</v>
      </c>
      <c r="K757" s="164" t="str">
        <f ca="1">IFERROR(__xludf.DUMMYFUNCTION("""COMPUTED_VALUE"""),"c/o MIS Staff-SPLIT")</f>
        <v>c/o MIS Staff-SPLIT</v>
      </c>
      <c r="L757" s="164" t="str">
        <f ca="1">IFERROR(__xludf.DUMMYFUNCTION("""COMPUTED_VALUE"""),"DARRO")</f>
        <v>DARRO</v>
      </c>
      <c r="M757" s="164" t="str">
        <f ca="1">IFERROR(__xludf.DUMMYFUNCTION("""COMPUTED_VALUE"""),"SERVICEABLE")</f>
        <v>SERVICEABLE</v>
      </c>
      <c r="N757" s="164"/>
    </row>
    <row r="758" spans="1:14" ht="13.2" hidden="1">
      <c r="A758" s="164" t="str">
        <f ca="1">IFERROR(__xludf.DUMMYFUNCTION("""COMPUTED_VALUE"""),"CAR")</f>
        <v>CAR</v>
      </c>
      <c r="B758" s="164" t="str">
        <f ca="1">IFERROR(__xludf.DUMMYFUNCTION("""COMPUTED_VALUE"""),"Regional Office")</f>
        <v>Regional Office</v>
      </c>
      <c r="C758" s="164" t="str">
        <f ca="1">IFERROR(__xludf.DUMMYFUNCTION("""COMPUTED_VALUE"""),"Laptop – (ACER EXTENSA EX215-55G i7)")</f>
        <v>Laptop – (ACER EXTENSA EX215-55G i7)</v>
      </c>
      <c r="D758" s="164" t="str">
        <f ca="1">IFERROR(__xludf.DUMMYFUNCTION("""COMPUTED_VALUE"""),"₱ 59,500.00")</f>
        <v>₱ 59,500.00</v>
      </c>
      <c r="E758" s="164" t="str">
        <f ca="1">IFERROR(__xludf.DUMMYFUNCTION("""COMPUTED_VALUE"""),"₱ -")</f>
        <v>₱ -</v>
      </c>
      <c r="F758" s="164" t="str">
        <f ca="1">IFERROR(__xludf.DUMMYFUNCTION("""COMPUTED_VALUE"""),"2023-05-03-10202SP21-01")</f>
        <v>2023-05-03-10202SP21-01</v>
      </c>
      <c r="G758" s="164" t="str">
        <f ca="1">IFERROR(__xludf.DUMMYFUNCTION("""COMPUTED_VALUE"""),"NXEGZSP00330801C7B3400")</f>
        <v>NXEGZSP00330801C7B3400</v>
      </c>
      <c r="H758" s="164" t="str">
        <f ca="1">IFERROR(__xludf.DUMMYFUNCTION("""COMPUTED_VALUE"""),"JESSICA JOY A. FERNANDO")</f>
        <v>JESSICA JOY A. FERNANDO</v>
      </c>
      <c r="I758" s="164" t="str">
        <f ca="1">IFERROR(__xludf.DUMMYFUNCTION("""COMPUTED_VALUE"""),"Info III")</f>
        <v>Info III</v>
      </c>
      <c r="J758" s="164" t="str">
        <f ca="1">IFERROR(__xludf.DUMMYFUNCTION("""COMPUTED_VALUE"""),"2024-01-001")</f>
        <v>2024-01-001</v>
      </c>
      <c r="K758" s="164" t="str">
        <f ca="1">IFERROR(__xludf.DUMMYFUNCTION("""COMPUTED_VALUE"""),"JESSICA JOY A. FERNANDO")</f>
        <v>JESSICA JOY A. FERNANDO</v>
      </c>
      <c r="L758" s="164" t="str">
        <f ca="1">IFERROR(__xludf.DUMMYFUNCTION("""COMPUTED_VALUE"""),"DARRO")</f>
        <v>DARRO</v>
      </c>
      <c r="M758" s="164" t="str">
        <f ca="1">IFERROR(__xludf.DUMMYFUNCTION("""COMPUTED_VALUE"""),"SERVICEABLE")</f>
        <v>SERVICEABLE</v>
      </c>
      <c r="N758" s="164"/>
    </row>
    <row r="759" spans="1:14" ht="13.2" hidden="1">
      <c r="A759" s="164" t="str">
        <f ca="1">IFERROR(__xludf.DUMMYFUNCTION("""COMPUTED_VALUE"""),"CAR")</f>
        <v>CAR</v>
      </c>
      <c r="B759" s="164" t="str">
        <f ca="1">IFERROR(__xludf.DUMMYFUNCTION("""COMPUTED_VALUE"""),"Regional Office")</f>
        <v>Regional Office</v>
      </c>
      <c r="C759" s="164" t="str">
        <f ca="1">IFERROR(__xludf.DUMMYFUNCTION("""COMPUTED_VALUE"""),"A3 PRINTER (BROTHER)")</f>
        <v>A3 PRINTER (BROTHER)</v>
      </c>
      <c r="D759" s="164" t="str">
        <f ca="1">IFERROR(__xludf.DUMMYFUNCTION("""COMPUTED_VALUE"""),"33,508.00")</f>
        <v>33,508.00</v>
      </c>
      <c r="E759" s="164" t="str">
        <f ca="1">IFERROR(__xludf.DUMMYFUNCTION("""COMPUTED_VALUE"""),"₱ -")</f>
        <v>₱ -</v>
      </c>
      <c r="F759" s="164" t="str">
        <f ca="1">IFERROR(__xludf.DUMMYFUNCTION("""COMPUTED_VALUE"""),"HV-SPLIT-102-24-05-06")</f>
        <v>HV-SPLIT-102-24-05-06</v>
      </c>
      <c r="G759" s="164" t="str">
        <f ca="1">IFERROR(__xludf.DUMMYFUNCTION("""COMPUTED_VALUE"""),"E78947L3H871217")</f>
        <v>E78947L3H871217</v>
      </c>
      <c r="H759" s="164" t="str">
        <f ca="1">IFERROR(__xludf.DUMMYFUNCTION("""COMPUTED_VALUE"""),"SAMUEL S. SOLOMERO")</f>
        <v>SAMUEL S. SOLOMERO</v>
      </c>
      <c r="I759" s="164" t="str">
        <f ca="1">IFERROR(__xludf.DUMMYFUNCTION("""COMPUTED_VALUE"""),"REGIONAL DIRECTOR")</f>
        <v>REGIONAL DIRECTOR</v>
      </c>
      <c r="J759" s="164" t="str">
        <f ca="1">IFERROR(__xludf.DUMMYFUNCTION("""COMPUTED_VALUE"""),"2024-03-001")</f>
        <v>2024-03-001</v>
      </c>
      <c r="K759" s="164"/>
      <c r="L759" s="164" t="str">
        <f ca="1">IFERROR(__xludf.DUMMYFUNCTION("""COMPUTED_VALUE"""),"DARRO")</f>
        <v>DARRO</v>
      </c>
      <c r="M759" s="164" t="str">
        <f ca="1">IFERROR(__xludf.DUMMYFUNCTION("""COMPUTED_VALUE"""),"SERVICEABLE")</f>
        <v>SERVICEABLE</v>
      </c>
      <c r="N759" s="164"/>
    </row>
    <row r="760" spans="1:14" ht="13.2" hidden="1">
      <c r="A760" s="164" t="str">
        <f ca="1">IFERROR(__xludf.DUMMYFUNCTION("""COMPUTED_VALUE"""),"CAR")</f>
        <v>CAR</v>
      </c>
      <c r="B760" s="164" t="str">
        <f ca="1">IFERROR(__xludf.DUMMYFUNCTION("""COMPUTED_VALUE"""),"Regional Office")</f>
        <v>Regional Office</v>
      </c>
      <c r="C760" s="164" t="str">
        <f ca="1">IFERROR(__xludf.DUMMYFUNCTION("""COMPUTED_VALUE"""),"ACER TRAVELMATE")</f>
        <v>ACER TRAVELMATE</v>
      </c>
      <c r="D760" s="164" t="str">
        <f ca="1">IFERROR(__xludf.DUMMYFUNCTION("""COMPUTED_VALUE"""),"₱ 46,580.00")</f>
        <v>₱ 46,580.00</v>
      </c>
      <c r="E760" s="164" t="str">
        <f ca="1">IFERROR(__xludf.DUMMYFUNCTION("""COMPUTED_VALUE"""),"₱ -")</f>
        <v>₱ -</v>
      </c>
      <c r="F760" s="164" t="str">
        <f ca="1">IFERROR(__xludf.DUMMYFUNCTION("""COMPUTED_VALUE"""),"2024-05-03-10202SP-302-01")</f>
        <v>2024-05-03-10202SP-302-01</v>
      </c>
      <c r="G760" s="164"/>
      <c r="H760" s="164" t="str">
        <f ca="1">IFERROR(__xludf.DUMMYFUNCTION("""COMPUTED_VALUE"""),"ATTY. ESTRELLITA B. BRIONES")</f>
        <v>ATTY. ESTRELLITA B. BRIONES</v>
      </c>
      <c r="I760" s="164" t="str">
        <f ca="1">IFERROR(__xludf.DUMMYFUNCTION("""COMPUTED_VALUE"""),"RARAD/Grievance Redress Mechanism Coordinator")</f>
        <v>RARAD/Grievance Redress Mechanism Coordinator</v>
      </c>
      <c r="J760" s="164"/>
      <c r="K760" s="164" t="str">
        <f ca="1">IFERROR(__xludf.DUMMYFUNCTION("""COMPUTED_VALUE"""),"ATTY. ESTRELLITA B. BRIONES")</f>
        <v>ATTY. ESTRELLITA B. BRIONES</v>
      </c>
      <c r="L760" s="164" t="str">
        <f ca="1">IFERROR(__xludf.DUMMYFUNCTION("""COMPUTED_VALUE"""),"DARRO")</f>
        <v>DARRO</v>
      </c>
      <c r="M760" s="164" t="str">
        <f ca="1">IFERROR(__xludf.DUMMYFUNCTION("""COMPUTED_VALUE"""),"SERVICEABLE")</f>
        <v>SERVICEABLE</v>
      </c>
      <c r="N760" s="164"/>
    </row>
    <row r="761" spans="1:14" ht="13.2" hidden="1">
      <c r="A761" s="164" t="str">
        <f ca="1">IFERROR(__xludf.DUMMYFUNCTION("""COMPUTED_VALUE"""),"CAR")</f>
        <v>CAR</v>
      </c>
      <c r="B761" s="164" t="str">
        <f ca="1">IFERROR(__xludf.DUMMYFUNCTION("""COMPUTED_VALUE"""),"Regional Office")</f>
        <v>Regional Office</v>
      </c>
      <c r="C761" s="164" t="str">
        <f ca="1">IFERROR(__xludf.DUMMYFUNCTION("""COMPUTED_VALUE"""),"ACER TRAVELMATE")</f>
        <v>ACER TRAVELMATE</v>
      </c>
      <c r="D761" s="164" t="str">
        <f ca="1">IFERROR(__xludf.DUMMYFUNCTION("""COMPUTED_VALUE"""),"₱ 46,580.00")</f>
        <v>₱ 46,580.00</v>
      </c>
      <c r="E761" s="164" t="str">
        <f ca="1">IFERROR(__xludf.DUMMYFUNCTION("""COMPUTED_VALUE"""),"₱ -")</f>
        <v>₱ -</v>
      </c>
      <c r="F761" s="164" t="str">
        <f ca="1">IFERROR(__xludf.DUMMYFUNCTION("""COMPUTED_VALUE"""),"2024-05-03-10202SP-305-01")</f>
        <v>2024-05-03-10202SP-305-01</v>
      </c>
      <c r="G761" s="164"/>
      <c r="H761" s="164" t="str">
        <f ca="1">IFERROR(__xludf.DUMMYFUNCTION("""COMPUTED_VALUE"""),"JESSICA JOY A FERNANDO")</f>
        <v>JESSICA JOY A FERNANDO</v>
      </c>
      <c r="I761" s="164" t="str">
        <f ca="1">IFERROR(__xludf.DUMMYFUNCTION("""COMPUTED_VALUE"""),"Info III")</f>
        <v>Info III</v>
      </c>
      <c r="J761" s="164"/>
      <c r="K761" s="164" t="str">
        <f ca="1">IFERROR(__xludf.DUMMYFUNCTION("""COMPUTED_VALUE"""),"JESSICA JOY A FERNANDO")</f>
        <v>JESSICA JOY A FERNANDO</v>
      </c>
      <c r="L761" s="164" t="str">
        <f ca="1">IFERROR(__xludf.DUMMYFUNCTION("""COMPUTED_VALUE"""),"DARRO")</f>
        <v>DARRO</v>
      </c>
      <c r="M761" s="164" t="str">
        <f ca="1">IFERROR(__xludf.DUMMYFUNCTION("""COMPUTED_VALUE"""),"SERVICEABLE")</f>
        <v>SERVICEABLE</v>
      </c>
      <c r="N761" s="164"/>
    </row>
    <row r="762" spans="1:14" ht="13.2" hidden="1">
      <c r="A762" s="164" t="str">
        <f ca="1">IFERROR(__xludf.DUMMYFUNCTION("""COMPUTED_VALUE"""),"CAR")</f>
        <v>CAR</v>
      </c>
      <c r="B762" s="164" t="str">
        <f ca="1">IFERROR(__xludf.DUMMYFUNCTION("""COMPUTED_VALUE"""),"Regional Office")</f>
        <v>Regional Office</v>
      </c>
      <c r="C762" s="164" t="str">
        <f ca="1">IFERROR(__xludf.DUMMYFUNCTION("""COMPUTED_VALUE"""),"ACER TRAVELMATE")</f>
        <v>ACER TRAVELMATE</v>
      </c>
      <c r="D762" s="164" t="str">
        <f ca="1">IFERROR(__xludf.DUMMYFUNCTION("""COMPUTED_VALUE"""),"₱ 46,580.00")</f>
        <v>₱ 46,580.00</v>
      </c>
      <c r="E762" s="164" t="str">
        <f ca="1">IFERROR(__xludf.DUMMYFUNCTION("""COMPUTED_VALUE"""),"₱ -")</f>
        <v>₱ -</v>
      </c>
      <c r="F762" s="164" t="str">
        <f ca="1">IFERROR(__xludf.DUMMYFUNCTION("""COMPUTED_VALUE"""),"2024-05-03-10202SP-245-01")</f>
        <v>2024-05-03-10202SP-245-01</v>
      </c>
      <c r="G762" s="164" t="str">
        <f ca="1">IFERROR(__xludf.DUMMYFUNCTION("""COMPUTED_VALUE"""),"NXVXSP00341913B907600")</f>
        <v>NXVXSP00341913B907600</v>
      </c>
      <c r="H762" s="164" t="str">
        <f ca="1">IFERROR(__xludf.DUMMYFUNCTION("""COMPUTED_VALUE"""),"THERESE S. SINGIT")</f>
        <v>THERESE S. SINGIT</v>
      </c>
      <c r="I762" s="164" t="str">
        <f ca="1">IFERROR(__xludf.DUMMYFUNCTION("""COMPUTED_VALUE"""),"ARPO II/ESS Coorindator")</f>
        <v>ARPO II/ESS Coorindator</v>
      </c>
      <c r="J762" s="164" t="str">
        <f ca="1">IFERROR(__xludf.DUMMYFUNCTION("""COMPUTED_VALUE"""),"DARRO")</f>
        <v>DARRO</v>
      </c>
      <c r="K762" s="164" t="str">
        <f ca="1">IFERROR(__xludf.DUMMYFUNCTION("""COMPUTED_VALUE"""),"THERESE S. SINGIT")</f>
        <v>THERESE S. SINGIT</v>
      </c>
      <c r="L762" s="164" t="str">
        <f ca="1">IFERROR(__xludf.DUMMYFUNCTION("""COMPUTED_VALUE"""),"DARRO")</f>
        <v>DARRO</v>
      </c>
      <c r="M762" s="164" t="str">
        <f ca="1">IFERROR(__xludf.DUMMYFUNCTION("""COMPUTED_VALUE"""),"SERVICEABLE")</f>
        <v>SERVICEABLE</v>
      </c>
      <c r="N762" s="164"/>
    </row>
    <row r="763" spans="1:14" ht="13.2" hidden="1">
      <c r="A763" s="164" t="str">
        <f ca="1">IFERROR(__xludf.DUMMYFUNCTION("""COMPUTED_VALUE"""),"CAR")</f>
        <v>CAR</v>
      </c>
      <c r="B763" s="164" t="str">
        <f ca="1">IFERROR(__xludf.DUMMYFUNCTION("""COMPUTED_VALUE"""),"Abra")</f>
        <v>Abra</v>
      </c>
      <c r="C763" s="164" t="str">
        <f ca="1">IFERROR(__xludf.DUMMYFUNCTION("""COMPUTED_VALUE"""),"REAL-TIME KINEMATIC – GEOMAX ZENITH60")</f>
        <v>REAL-TIME KINEMATIC – GEOMAX ZENITH60</v>
      </c>
      <c r="D763" s="164" t="str">
        <f ca="1">IFERROR(__xludf.DUMMYFUNCTION("""COMPUTED_VALUE"""),"₱ 1,849,000.00")</f>
        <v>₱ 1,849,000.00</v>
      </c>
      <c r="E763" s="164" t="str">
        <f ca="1">IFERROR(__xludf.DUMMYFUNCTION("""COMPUTED_VALUE"""),"₱ -")</f>
        <v>₱ -</v>
      </c>
      <c r="F763" s="164" t="str">
        <f ca="1">IFERROR(__xludf.DUMMYFUNCTION("""COMPUTED_VALUE"""),"2023-05-14-10201SP08-01")</f>
        <v>2023-05-14-10201SP08-01</v>
      </c>
      <c r="G763" s="164" t="str">
        <f ca="1">IFERROR(__xludf.DUMMYFUNCTION("""COMPUTED_VALUE"""),"Z60ST272200024")</f>
        <v>Z60ST272200024</v>
      </c>
      <c r="H763" s="164" t="str">
        <f ca="1">IFERROR(__xludf.DUMMYFUNCTION("""COMPUTED_VALUE"""),"ATTY. MERCEDES S. BORONGAN")</f>
        <v>ATTY. MERCEDES S. BORONGAN</v>
      </c>
      <c r="I763" s="164" t="str">
        <f ca="1">IFERROR(__xludf.DUMMYFUNCTION("""COMPUTED_VALUE"""),"OIC PARPO II /Project Manager")</f>
        <v>OIC PARPO II /Project Manager</v>
      </c>
      <c r="J763" s="164" t="str">
        <f ca="1">IFERROR(__xludf.DUMMYFUNCTION("""COMPUTED_VALUE"""),"2023-03-09 SPLIT")</f>
        <v>2023-03-09 SPLIT</v>
      </c>
      <c r="K763" s="164" t="str">
        <f ca="1">IFERROR(__xludf.DUMMYFUNCTION("""COMPUTED_VALUE"""),"Engrs. Jerrieco Belisario/Joseph Bajo")</f>
        <v>Engrs. Jerrieco Belisario/Joseph Bajo</v>
      </c>
      <c r="L763" s="164" t="str">
        <f ca="1">IFERROR(__xludf.DUMMYFUNCTION("""COMPUTED_VALUE"""),"DARRO")</f>
        <v>DARRO</v>
      </c>
      <c r="M763" s="164" t="str">
        <f ca="1">IFERROR(__xludf.DUMMYFUNCTION("""COMPUTED_VALUE"""),"SERVICEABLE")</f>
        <v>SERVICEABLE</v>
      </c>
      <c r="N763" s="164"/>
    </row>
    <row r="764" spans="1:14" ht="13.2" hidden="1">
      <c r="A764" s="164" t="str">
        <f ca="1">IFERROR(__xludf.DUMMYFUNCTION("""COMPUTED_VALUE"""),"CAR")</f>
        <v>CAR</v>
      </c>
      <c r="B764" s="164" t="str">
        <f ca="1">IFERROR(__xludf.DUMMYFUNCTION("""COMPUTED_VALUE"""),"Abra")</f>
        <v>Abra</v>
      </c>
      <c r="C764" s="164" t="str">
        <f ca="1">IFERROR(__xludf.DUMMYFUNCTION("""COMPUTED_VALUE"""),"TOTAL STATION – GEOMAX TOTAL STATION ZOOM 50")</f>
        <v>TOTAL STATION – GEOMAX TOTAL STATION ZOOM 50</v>
      </c>
      <c r="D764" s="164" t="str">
        <f ca="1">IFERROR(__xludf.DUMMYFUNCTION("""COMPUTED_VALUE"""),"₱ 648,000.00")</f>
        <v>₱ 648,000.00</v>
      </c>
      <c r="E764" s="164" t="str">
        <f ca="1">IFERROR(__xludf.DUMMYFUNCTION("""COMPUTED_VALUE"""),"₱ -")</f>
        <v>₱ -</v>
      </c>
      <c r="F764" s="164" t="str">
        <f ca="1">IFERROR(__xludf.DUMMYFUNCTION("""COMPUTED_VALUE"""),"2023-05-14-10201SP08-01")</f>
        <v>2023-05-14-10201SP08-01</v>
      </c>
      <c r="G764" s="164"/>
      <c r="H764" s="164" t="str">
        <f ca="1">IFERROR(__xludf.DUMMYFUNCTION("""COMPUTED_VALUE"""),"ATTY. MERCEDES S. BORONGAN")</f>
        <v>ATTY. MERCEDES S. BORONGAN</v>
      </c>
      <c r="I764" s="164" t="str">
        <f ca="1">IFERROR(__xludf.DUMMYFUNCTION("""COMPUTED_VALUE"""),"OIC PARPO II /Project Manager")</f>
        <v>OIC PARPO II /Project Manager</v>
      </c>
      <c r="J764" s="164" t="str">
        <f ca="1">IFERROR(__xludf.DUMMYFUNCTION("""COMPUTED_VALUE"""),"2023-03-14 SPLIT")</f>
        <v>2023-03-14 SPLIT</v>
      </c>
      <c r="K764" s="164" t="str">
        <f ca="1">IFERROR(__xludf.DUMMYFUNCTION("""COMPUTED_VALUE"""),"Engrs. Jerrieco Belisario/Joseph Bajo")</f>
        <v>Engrs. Jerrieco Belisario/Joseph Bajo</v>
      </c>
      <c r="L764" s="164" t="str">
        <f ca="1">IFERROR(__xludf.DUMMYFUNCTION("""COMPUTED_VALUE"""),"DARRO")</f>
        <v>DARRO</v>
      </c>
      <c r="M764" s="164" t="str">
        <f ca="1">IFERROR(__xludf.DUMMYFUNCTION("""COMPUTED_VALUE"""),"SERVICEABLE")</f>
        <v>SERVICEABLE</v>
      </c>
      <c r="N764" s="164"/>
    </row>
    <row r="765" spans="1:14" ht="13.2" hidden="1">
      <c r="A765" s="164" t="str">
        <f ca="1">IFERROR(__xludf.DUMMYFUNCTION("""COMPUTED_VALUE"""),"CAR")</f>
        <v>CAR</v>
      </c>
      <c r="B765" s="164" t="str">
        <f ca="1">IFERROR(__xludf.DUMMYFUNCTION("""COMPUTED_VALUE"""),"Abra")</f>
        <v>Abra</v>
      </c>
      <c r="C765" s="164" t="str">
        <f ca="1">IFERROR(__xludf.DUMMYFUNCTION("""COMPUTED_VALUE"""),"HANDHELD GPS – MODEL P6")</f>
        <v>HANDHELD GPS – MODEL P6</v>
      </c>
      <c r="D765" s="164" t="str">
        <f ca="1">IFERROR(__xludf.DUMMYFUNCTION("""COMPUTED_VALUE"""),"₱ 79,000.00")</f>
        <v>₱ 79,000.00</v>
      </c>
      <c r="E765" s="164" t="str">
        <f ca="1">IFERROR(__xludf.DUMMYFUNCTION("""COMPUTED_VALUE"""),"₱ -")</f>
        <v>₱ -</v>
      </c>
      <c r="F765" s="164" t="str">
        <f ca="1">IFERROR(__xludf.DUMMYFUNCTION("""COMPUTED_VALUE"""),"2023-05-14-10202SP09-01")</f>
        <v>2023-05-14-10202SP09-01</v>
      </c>
      <c r="G765" s="164" t="str">
        <f ca="1">IFERROR(__xludf.DUMMYFUNCTION("""COMPUTED_VALUE"""),"SP10730083")</f>
        <v>SP10730083</v>
      </c>
      <c r="H765" s="164" t="str">
        <f ca="1">IFERROR(__xludf.DUMMYFUNCTION("""COMPUTED_VALUE"""),"ATTY, MERCEDES S. BORONGAN")</f>
        <v>ATTY, MERCEDES S. BORONGAN</v>
      </c>
      <c r="I765" s="164" t="str">
        <f ca="1">IFERROR(__xludf.DUMMYFUNCTION("""COMPUTED_VALUE"""),"OIC PARPO II /Project Manager")</f>
        <v>OIC PARPO II /Project Manager</v>
      </c>
      <c r="J765" s="164" t="str">
        <f ca="1">IFERROR(__xludf.DUMMYFUNCTION("""COMPUTED_VALUE"""),"2023-03-19 SPLIT")</f>
        <v>2023-03-19 SPLIT</v>
      </c>
      <c r="K765" s="164" t="str">
        <f ca="1">IFERROR(__xludf.DUMMYFUNCTION("""COMPUTED_VALUE"""),"Engrs. Jerrieco Belisario/Joseph Bajo")</f>
        <v>Engrs. Jerrieco Belisario/Joseph Bajo</v>
      </c>
      <c r="L765" s="164" t="str">
        <f ca="1">IFERROR(__xludf.DUMMYFUNCTION("""COMPUTED_VALUE"""),"DARRO")</f>
        <v>DARRO</v>
      </c>
      <c r="M765" s="164" t="str">
        <f ca="1">IFERROR(__xludf.DUMMYFUNCTION("""COMPUTED_VALUE"""),"SERVICEABLE")</f>
        <v>SERVICEABLE</v>
      </c>
      <c r="N765" s="164"/>
    </row>
    <row r="766" spans="1:14" ht="13.2" hidden="1">
      <c r="A766" s="164" t="str">
        <f ca="1">IFERROR(__xludf.DUMMYFUNCTION("""COMPUTED_VALUE"""),"CAR")</f>
        <v>CAR</v>
      </c>
      <c r="B766" s="164" t="str">
        <f ca="1">IFERROR(__xludf.DUMMYFUNCTION("""COMPUTED_VALUE"""),"Abra")</f>
        <v>Abra</v>
      </c>
      <c r="C766" s="164" t="str">
        <f ca="1">IFERROR(__xludf.DUMMYFUNCTION("""COMPUTED_VALUE"""),"Desktop Computer – (Lenovo M70T)")</f>
        <v>Desktop Computer – (Lenovo M70T)</v>
      </c>
      <c r="D766" s="164" t="str">
        <f ca="1">IFERROR(__xludf.DUMMYFUNCTION("""COMPUTED_VALUE"""),"₱ 75,468.00")</f>
        <v>₱ 75,468.00</v>
      </c>
      <c r="E766" s="164" t="str">
        <f ca="1">IFERROR(__xludf.DUMMYFUNCTION("""COMPUTED_VALUE"""),"₱ -")</f>
        <v>₱ -</v>
      </c>
      <c r="F766" s="164" t="str">
        <f ca="1">IFERROR(__xludf.DUMMYFUNCTION("""COMPUTED_VALUE"""),"2023-05-03-10201SP515-01")</f>
        <v>2023-05-03-10201SP515-01</v>
      </c>
      <c r="G766" s="164" t="str">
        <f ca="1">IFERROR(__xludf.DUMMYFUNCTION("""COMPUTED_VALUE"""),"1S11T5S16200GM0415SG")</f>
        <v>1S11T5S16200GM0415SG</v>
      </c>
      <c r="H766" s="164" t="str">
        <f ca="1">IFERROR(__xludf.DUMMYFUNCTION("""COMPUTED_VALUE"""),"ERNESTO CABANERO
 RINAH FLORES")</f>
        <v>ERNESTO CABANERO
 RINAH FLORES</v>
      </c>
      <c r="I766" s="164" t="str">
        <f ca="1">IFERROR(__xludf.DUMMYFUNCTION("""COMPUTED_VALUE"""),"Procurement Coordinator")</f>
        <v>Procurement Coordinator</v>
      </c>
      <c r="J766" s="164" t="str">
        <f ca="1">IFERROR(__xludf.DUMMYFUNCTION("""COMPUTED_VALUE"""),"2023-04-31 SPLIT")</f>
        <v>2023-04-31 SPLIT</v>
      </c>
      <c r="K766" s="164" t="str">
        <f ca="1">IFERROR(__xludf.DUMMYFUNCTION("""COMPUTED_VALUE"""),"(Joel Barbadillo)
 JOMAR JADE ADZUARA")</f>
        <v>(Joel Barbadillo)
 JOMAR JADE ADZUARA</v>
      </c>
      <c r="L766" s="164" t="str">
        <f ca="1">IFERROR(__xludf.DUMMYFUNCTION("""COMPUTED_VALUE"""),"DARRO")</f>
        <v>DARRO</v>
      </c>
      <c r="M766" s="164" t="str">
        <f ca="1">IFERROR(__xludf.DUMMYFUNCTION("""COMPUTED_VALUE"""),"SERVICEABLE")</f>
        <v>SERVICEABLE</v>
      </c>
      <c r="N766" s="164"/>
    </row>
    <row r="767" spans="1:14" ht="13.2" hidden="1">
      <c r="A767" s="164" t="str">
        <f ca="1">IFERROR(__xludf.DUMMYFUNCTION("""COMPUTED_VALUE"""),"CAR")</f>
        <v>CAR</v>
      </c>
      <c r="B767" s="164" t="str">
        <f ca="1">IFERROR(__xludf.DUMMYFUNCTION("""COMPUTED_VALUE"""),"Abra")</f>
        <v>Abra</v>
      </c>
      <c r="C767" s="164" t="str">
        <f ca="1">IFERROR(__xludf.DUMMYFUNCTION("""COMPUTED_VALUE"""),"Desktop Computer – (Lenovo M70T)")</f>
        <v>Desktop Computer – (Lenovo M70T)</v>
      </c>
      <c r="D767" s="164" t="str">
        <f ca="1">IFERROR(__xludf.DUMMYFUNCTION("""COMPUTED_VALUE"""),"₱ 75,468.00")</f>
        <v>₱ 75,468.00</v>
      </c>
      <c r="E767" s="164" t="str">
        <f ca="1">IFERROR(__xludf.DUMMYFUNCTION("""COMPUTED_VALUE"""),"₱ -")</f>
        <v>₱ -</v>
      </c>
      <c r="F767" s="164" t="str">
        <f ca="1">IFERROR(__xludf.DUMMYFUNCTION("""COMPUTED_VALUE"""),"2023-05-03-10201SP516-01")</f>
        <v>2023-05-03-10201SP516-01</v>
      </c>
      <c r="G767" s="164" t="str">
        <f ca="1">IFERROR(__xludf.DUMMYFUNCTION("""COMPUTED_VALUE"""),"1S11T5S16200GM0415SH")</f>
        <v>1S11T5S16200GM0415SH</v>
      </c>
      <c r="H767" s="164" t="str">
        <f ca="1">IFERROR(__xludf.DUMMYFUNCTION("""COMPUTED_VALUE"""),"MARITES B. OCAMPO
 DENR")</f>
        <v>MARITES B. OCAMPO
 DENR</v>
      </c>
      <c r="I767" s="164" t="str">
        <f ca="1">IFERROR(__xludf.DUMMYFUNCTION("""COMPUTED_VALUE"""),"ARPO II/ Parcelization Component Coordinator
 DENR")</f>
        <v>ARPO II/ Parcelization Component Coordinator
 DENR</v>
      </c>
      <c r="J767" s="164" t="str">
        <f ca="1">IFERROR(__xludf.DUMMYFUNCTION("""COMPUTED_VALUE"""),"2023-04-31 SPLIT")</f>
        <v>2023-04-31 SPLIT</v>
      </c>
      <c r="K767" s="164" t="str">
        <f ca="1">IFERROR(__xludf.DUMMYFUNCTION("""COMPUTED_VALUE"""),"DENR")</f>
        <v>DENR</v>
      </c>
      <c r="L767" s="164" t="str">
        <f ca="1">IFERROR(__xludf.DUMMYFUNCTION("""COMPUTED_VALUE"""),"DARRO")</f>
        <v>DARRO</v>
      </c>
      <c r="M767" s="164" t="str">
        <f ca="1">IFERROR(__xludf.DUMMYFUNCTION("""COMPUTED_VALUE"""),"SERVICEABLE")</f>
        <v>SERVICEABLE</v>
      </c>
      <c r="N767" s="164"/>
    </row>
    <row r="768" spans="1:14" ht="13.2" hidden="1">
      <c r="A768" s="164" t="str">
        <f ca="1">IFERROR(__xludf.DUMMYFUNCTION("""COMPUTED_VALUE"""),"CAR")</f>
        <v>CAR</v>
      </c>
      <c r="B768" s="164" t="str">
        <f ca="1">IFERROR(__xludf.DUMMYFUNCTION("""COMPUTED_VALUE"""),"Abra")</f>
        <v>Abra</v>
      </c>
      <c r="C768" s="164" t="str">
        <f ca="1">IFERROR(__xludf.DUMMYFUNCTION("""COMPUTED_VALUE"""),"Desktop Computer – (Lenovo M70T)")</f>
        <v>Desktop Computer – (Lenovo M70T)</v>
      </c>
      <c r="D768" s="164" t="str">
        <f ca="1">IFERROR(__xludf.DUMMYFUNCTION("""COMPUTED_VALUE"""),"₱ 75,468.00")</f>
        <v>₱ 75,468.00</v>
      </c>
      <c r="E768" s="164" t="str">
        <f ca="1">IFERROR(__xludf.DUMMYFUNCTION("""COMPUTED_VALUE"""),"₱ -")</f>
        <v>₱ -</v>
      </c>
      <c r="F768" s="164" t="str">
        <f ca="1">IFERROR(__xludf.DUMMYFUNCTION("""COMPUTED_VALUE"""),"2023-05-03-10201SP517-01")</f>
        <v>2023-05-03-10201SP517-01</v>
      </c>
      <c r="G768" s="164" t="str">
        <f ca="1">IFERROR(__xludf.DUMMYFUNCTION("""COMPUTED_VALUE"""),"1S11T5S16200GM0415SI")</f>
        <v>1S11T5S16200GM0415SI</v>
      </c>
      <c r="H768" s="164" t="str">
        <f ca="1">IFERROR(__xludf.DUMMYFUNCTION("""COMPUTED_VALUE"""),"MARITES B. OCAMPO")</f>
        <v>MARITES B. OCAMPO</v>
      </c>
      <c r="I768" s="164" t="str">
        <f ca="1">IFERROR(__xludf.DUMMYFUNCTION("""COMPUTED_VALUE"""),"ARPO II/ Parcelization Component Coordinator")</f>
        <v>ARPO II/ Parcelization Component Coordinator</v>
      </c>
      <c r="J768" s="164" t="str">
        <f ca="1">IFERROR(__xludf.DUMMYFUNCTION("""COMPUTED_VALUE"""),"2023-04-31 SPLIT")</f>
        <v>2023-04-31 SPLIT</v>
      </c>
      <c r="K768" s="164" t="str">
        <f ca="1">IFERROR(__xludf.DUMMYFUNCTION("""COMPUTED_VALUE"""),"FRANCISCO VALEROS III")</f>
        <v>FRANCISCO VALEROS III</v>
      </c>
      <c r="L768" s="164" t="str">
        <f ca="1">IFERROR(__xludf.DUMMYFUNCTION("""COMPUTED_VALUE"""),"DARRO")</f>
        <v>DARRO</v>
      </c>
      <c r="M768" s="164" t="str">
        <f ca="1">IFERROR(__xludf.DUMMYFUNCTION("""COMPUTED_VALUE"""),"SERVICEABLE")</f>
        <v>SERVICEABLE</v>
      </c>
      <c r="N768" s="164"/>
    </row>
    <row r="769" spans="1:14" ht="13.2" hidden="1">
      <c r="A769" s="164" t="str">
        <f ca="1">IFERROR(__xludf.DUMMYFUNCTION("""COMPUTED_VALUE"""),"CAR")</f>
        <v>CAR</v>
      </c>
      <c r="B769" s="164" t="str">
        <f ca="1">IFERROR(__xludf.DUMMYFUNCTION("""COMPUTED_VALUE"""),"Abra")</f>
        <v>Abra</v>
      </c>
      <c r="C769" s="164" t="str">
        <f ca="1">IFERROR(__xludf.DUMMYFUNCTION("""COMPUTED_VALUE"""),"Desktop Computer – (Lenovo M70T)")</f>
        <v>Desktop Computer – (Lenovo M70T)</v>
      </c>
      <c r="D769" s="164" t="str">
        <f ca="1">IFERROR(__xludf.DUMMYFUNCTION("""COMPUTED_VALUE"""),"₱ 75,468.00")</f>
        <v>₱ 75,468.00</v>
      </c>
      <c r="E769" s="164" t="str">
        <f ca="1">IFERROR(__xludf.DUMMYFUNCTION("""COMPUTED_VALUE"""),"₱ -")</f>
        <v>₱ -</v>
      </c>
      <c r="F769" s="164" t="str">
        <f ca="1">IFERROR(__xludf.DUMMYFUNCTION("""COMPUTED_VALUE"""),"2023-05-03-10201SP518-01")</f>
        <v>2023-05-03-10201SP518-01</v>
      </c>
      <c r="G769" s="164" t="str">
        <f ca="1">IFERROR(__xludf.DUMMYFUNCTION("""COMPUTED_VALUE"""),"1S11T5S16200GM0415SL")</f>
        <v>1S11T5S16200GM0415SL</v>
      </c>
      <c r="H769" s="164" t="str">
        <f ca="1">IFERROR(__xludf.DUMMYFUNCTION("""COMPUTED_VALUE"""),"MARITES B. OCAMPO
 CLAMARIE BACANI")</f>
        <v>MARITES B. OCAMPO
 CLAMARIE BACANI</v>
      </c>
      <c r="I769" s="164" t="str">
        <f ca="1">IFERROR(__xludf.DUMMYFUNCTION("""COMPUTED_VALUE"""),"ARPO II/ Parcelization Component Coordinator")</f>
        <v>ARPO II/ Parcelization Component Coordinator</v>
      </c>
      <c r="J769" s="164" t="str">
        <f ca="1">IFERROR(__xludf.DUMMYFUNCTION("""COMPUTED_VALUE"""),"2023-04-31 SPLIT")</f>
        <v>2023-04-31 SPLIT</v>
      </c>
      <c r="K769" s="164" t="str">
        <f ca="1">IFERROR(__xludf.DUMMYFUNCTION("""COMPUTED_VALUE"""),"Team III")</f>
        <v>Team III</v>
      </c>
      <c r="L769" s="164" t="str">
        <f ca="1">IFERROR(__xludf.DUMMYFUNCTION("""COMPUTED_VALUE"""),"DARRO")</f>
        <v>DARRO</v>
      </c>
      <c r="M769" s="164" t="str">
        <f ca="1">IFERROR(__xludf.DUMMYFUNCTION("""COMPUTED_VALUE"""),"SERVICEABLE")</f>
        <v>SERVICEABLE</v>
      </c>
      <c r="N769" s="164"/>
    </row>
    <row r="770" spans="1:14" ht="13.2" hidden="1">
      <c r="A770" s="164" t="str">
        <f ca="1">IFERROR(__xludf.DUMMYFUNCTION("""COMPUTED_VALUE"""),"CAR")</f>
        <v>CAR</v>
      </c>
      <c r="B770" s="164" t="str">
        <f ca="1">IFERROR(__xludf.DUMMYFUNCTION("""COMPUTED_VALUE"""),"Abra")</f>
        <v>Abra</v>
      </c>
      <c r="C770" s="164" t="str">
        <f ca="1">IFERROR(__xludf.DUMMYFUNCTION("""COMPUTED_VALUE"""),"Desktop Computer – (Lenovo M70T)")</f>
        <v>Desktop Computer – (Lenovo M70T)</v>
      </c>
      <c r="D770" s="164" t="str">
        <f ca="1">IFERROR(__xludf.DUMMYFUNCTION("""COMPUTED_VALUE"""),"₱ 75,468.00")</f>
        <v>₱ 75,468.00</v>
      </c>
      <c r="E770" s="164" t="str">
        <f ca="1">IFERROR(__xludf.DUMMYFUNCTION("""COMPUTED_VALUE"""),"₱ -")</f>
        <v>₱ -</v>
      </c>
      <c r="F770" s="164" t="str">
        <f ca="1">IFERROR(__xludf.DUMMYFUNCTION("""COMPUTED_VALUE"""),"2023-05-03-10201SP519-01")</f>
        <v>2023-05-03-10201SP519-01</v>
      </c>
      <c r="G770" s="164" t="str">
        <f ca="1">IFERROR(__xludf.DUMMYFUNCTION("""COMPUTED_VALUE"""),"1S11T5S16200GM0415SN")</f>
        <v>1S11T5S16200GM0415SN</v>
      </c>
      <c r="H770" s="164" t="str">
        <f ca="1">IFERROR(__xludf.DUMMYFUNCTION("""COMPUTED_VALUE"""),"MARITES B. OCAMPO")</f>
        <v>MARITES B. OCAMPO</v>
      </c>
      <c r="I770" s="164" t="str">
        <f ca="1">IFERROR(__xludf.DUMMYFUNCTION("""COMPUTED_VALUE"""),"ARPO II/ Parcelization Component Coordinator")</f>
        <v>ARPO II/ Parcelization Component Coordinator</v>
      </c>
      <c r="J770" s="164" t="str">
        <f ca="1">IFERROR(__xludf.DUMMYFUNCTION("""COMPUTED_VALUE"""),"2023-04-31 SPLIT")</f>
        <v>2023-04-31 SPLIT</v>
      </c>
      <c r="K770" s="164" t="str">
        <f ca="1">IFERROR(__xludf.DUMMYFUNCTION("""COMPUTED_VALUE"""),"MARITES B. OCAMPO")</f>
        <v>MARITES B. OCAMPO</v>
      </c>
      <c r="L770" s="164" t="str">
        <f ca="1">IFERROR(__xludf.DUMMYFUNCTION("""COMPUTED_VALUE"""),"DARRO")</f>
        <v>DARRO</v>
      </c>
      <c r="M770" s="164" t="str">
        <f ca="1">IFERROR(__xludf.DUMMYFUNCTION("""COMPUTED_VALUE"""),"SERVICEABLE")</f>
        <v>SERVICEABLE</v>
      </c>
      <c r="N770" s="164"/>
    </row>
    <row r="771" spans="1:14" ht="13.2" hidden="1">
      <c r="A771" s="164" t="str">
        <f ca="1">IFERROR(__xludf.DUMMYFUNCTION("""COMPUTED_VALUE"""),"CAR")</f>
        <v>CAR</v>
      </c>
      <c r="B771" s="164" t="str">
        <f ca="1">IFERROR(__xludf.DUMMYFUNCTION("""COMPUTED_VALUE"""),"Abra")</f>
        <v>Abra</v>
      </c>
      <c r="C771" s="164" t="str">
        <f ca="1">IFERROR(__xludf.DUMMYFUNCTION("""COMPUTED_VALUE"""),"Desktop Computer – (Lenovo M70T)")</f>
        <v>Desktop Computer – (Lenovo M70T)</v>
      </c>
      <c r="D771" s="164" t="str">
        <f ca="1">IFERROR(__xludf.DUMMYFUNCTION("""COMPUTED_VALUE"""),"₱ 75,468.00")</f>
        <v>₱ 75,468.00</v>
      </c>
      <c r="E771" s="164" t="str">
        <f ca="1">IFERROR(__xludf.DUMMYFUNCTION("""COMPUTED_VALUE"""),"₱ -")</f>
        <v>₱ -</v>
      </c>
      <c r="F771" s="164" t="str">
        <f ca="1">IFERROR(__xludf.DUMMYFUNCTION("""COMPUTED_VALUE"""),"2023-05-03-10201SP520-01")</f>
        <v>2023-05-03-10201SP520-01</v>
      </c>
      <c r="G771" s="164" t="str">
        <f ca="1">IFERROR(__xludf.DUMMYFUNCTION("""COMPUTED_VALUE"""),"1S11T5S16200GM0415T1")</f>
        <v>1S11T5S16200GM0415T1</v>
      </c>
      <c r="H771" s="164" t="str">
        <f ca="1">IFERROR(__xludf.DUMMYFUNCTION("""COMPUTED_VALUE"""),"MARITES B. OCAMPO
 JERBIN PARIÑAG")</f>
        <v>MARITES B. OCAMPO
 JERBIN PARIÑAG</v>
      </c>
      <c r="I771" s="164" t="str">
        <f ca="1">IFERROR(__xludf.DUMMYFUNCTION("""COMPUTED_VALUE"""),"ARPO II/ Parcelization Component Coordinator")</f>
        <v>ARPO II/ Parcelization Component Coordinator</v>
      </c>
      <c r="J771" s="164" t="str">
        <f ca="1">IFERROR(__xludf.DUMMYFUNCTION("""COMPUTED_VALUE"""),"2023-04-31 SPLIT")</f>
        <v>2023-04-31 SPLIT</v>
      </c>
      <c r="K771" s="164" t="str">
        <f ca="1">IFERROR(__xludf.DUMMYFUNCTION("""COMPUTED_VALUE"""),"Team V")</f>
        <v>Team V</v>
      </c>
      <c r="L771" s="164" t="str">
        <f ca="1">IFERROR(__xludf.DUMMYFUNCTION("""COMPUTED_VALUE"""),"DARRO")</f>
        <v>DARRO</v>
      </c>
      <c r="M771" s="164" t="str">
        <f ca="1">IFERROR(__xludf.DUMMYFUNCTION("""COMPUTED_VALUE"""),"SERVICEABLE")</f>
        <v>SERVICEABLE</v>
      </c>
      <c r="N771" s="164" t="str">
        <f ca="1">IFERROR(__xludf.DUMMYFUNCTION("""COMPUTED_VALUE"""),"PRINTER-UNSERVICEABLE UPS-2023-05-03-10201SP528-01")</f>
        <v>PRINTER-UNSERVICEABLE UPS-2023-05-03-10201SP528-01</v>
      </c>
    </row>
    <row r="772" spans="1:14" ht="13.2" hidden="1">
      <c r="A772" s="164" t="str">
        <f ca="1">IFERROR(__xludf.DUMMYFUNCTION("""COMPUTED_VALUE"""),"CAR")</f>
        <v>CAR</v>
      </c>
      <c r="B772" s="164" t="str">
        <f ca="1">IFERROR(__xludf.DUMMYFUNCTION("""COMPUTED_VALUE"""),"Abra")</f>
        <v>Abra</v>
      </c>
      <c r="C772" s="164" t="str">
        <f ca="1">IFERROR(__xludf.DUMMYFUNCTION("""COMPUTED_VALUE"""),"Desktop Computer – (Lenovo M70T)")</f>
        <v>Desktop Computer – (Lenovo M70T)</v>
      </c>
      <c r="D772" s="164" t="str">
        <f ca="1">IFERROR(__xludf.DUMMYFUNCTION("""COMPUTED_VALUE"""),"₱ 75,468.00")</f>
        <v>₱ 75,468.00</v>
      </c>
      <c r="E772" s="164" t="str">
        <f ca="1">IFERROR(__xludf.DUMMYFUNCTION("""COMPUTED_VALUE"""),"₱ -")</f>
        <v>₱ -</v>
      </c>
      <c r="F772" s="164" t="str">
        <f ca="1">IFERROR(__xludf.DUMMYFUNCTION("""COMPUTED_VALUE"""),"2023-05-03-10201SP521-02")</f>
        <v>2023-05-03-10201SP521-02</v>
      </c>
      <c r="G772" s="164" t="str">
        <f ca="1">IFERROR(__xludf.DUMMYFUNCTION("""COMPUTED_VALUE"""),"1S11T5S16200GM0415V0")</f>
        <v>1S11T5S16200GM0415V0</v>
      </c>
      <c r="H772" s="164" t="str">
        <f ca="1">IFERROR(__xludf.DUMMYFUNCTION("""COMPUTED_VALUE"""),"MARITES B. OCAMPO
 MEYLANEE MIGUEL")</f>
        <v>MARITES B. OCAMPO
 MEYLANEE MIGUEL</v>
      </c>
      <c r="I772" s="164" t="str">
        <f ca="1">IFERROR(__xludf.DUMMYFUNCTION("""COMPUTED_VALUE"""),"ARPO II/ Parcelization Component Coordinator")</f>
        <v>ARPO II/ Parcelization Component Coordinator</v>
      </c>
      <c r="J772" s="164" t="str">
        <f ca="1">IFERROR(__xludf.DUMMYFUNCTION("""COMPUTED_VALUE"""),"2023-04-31 SPLIT")</f>
        <v>2023-04-31 SPLIT</v>
      </c>
      <c r="K772" s="164" t="str">
        <f ca="1">IFERROR(__xludf.DUMMYFUNCTION("""COMPUTED_VALUE"""),"MARITES B. OCAMPO
 DARLENE BENIDO")</f>
        <v>MARITES B. OCAMPO
 DARLENE BENIDO</v>
      </c>
      <c r="L772" s="164" t="str">
        <f ca="1">IFERROR(__xludf.DUMMYFUNCTION("""COMPUTED_VALUE"""),"DARRO")</f>
        <v>DARRO</v>
      </c>
      <c r="M772" s="164" t="str">
        <f ca="1">IFERROR(__xludf.DUMMYFUNCTION("""COMPUTED_VALUE"""),"SERVICEABLE")</f>
        <v>SERVICEABLE</v>
      </c>
      <c r="N772" s="164" t="str">
        <f ca="1">IFERROR(__xludf.DUMMYFUNCTION("""COMPUTED_VALUE"""),"PRINTER-UNSERVICEABLE")</f>
        <v>PRINTER-UNSERVICEABLE</v>
      </c>
    </row>
    <row r="773" spans="1:14" ht="13.2" hidden="1">
      <c r="A773" s="164" t="str">
        <f ca="1">IFERROR(__xludf.DUMMYFUNCTION("""COMPUTED_VALUE"""),"CAR")</f>
        <v>CAR</v>
      </c>
      <c r="B773" s="164" t="str">
        <f ca="1">IFERROR(__xludf.DUMMYFUNCTION("""COMPUTED_VALUE"""),"Abra")</f>
        <v>Abra</v>
      </c>
      <c r="C773" s="164" t="str">
        <f ca="1">IFERROR(__xludf.DUMMYFUNCTION("""COMPUTED_VALUE"""),"Desktop Computer – (Lenovo M70T)")</f>
        <v>Desktop Computer – (Lenovo M70T)</v>
      </c>
      <c r="D773" s="164" t="str">
        <f ca="1">IFERROR(__xludf.DUMMYFUNCTION("""COMPUTED_VALUE"""),"₱ 75,468.00")</f>
        <v>₱ 75,468.00</v>
      </c>
      <c r="E773" s="164" t="str">
        <f ca="1">IFERROR(__xludf.DUMMYFUNCTION("""COMPUTED_VALUE"""),"₱ -")</f>
        <v>₱ -</v>
      </c>
      <c r="F773" s="164" t="str">
        <f ca="1">IFERROR(__xludf.DUMMYFUNCTION("""COMPUTED_VALUE"""),"2023-05-03-10201SP522-03")</f>
        <v>2023-05-03-10201SP522-03</v>
      </c>
      <c r="G773" s="164" t="str">
        <f ca="1">IFERROR(__xludf.DUMMYFUNCTION("""COMPUTED_VALUE"""),"1S11T5S16200GM0415W6")</f>
        <v>1S11T5S16200GM0415W6</v>
      </c>
      <c r="H773" s="164" t="str">
        <f ca="1">IFERROR(__xludf.DUMMYFUNCTION("""COMPUTED_VALUE"""),"MAYLANEE P. MIGUEL")</f>
        <v>MAYLANEE P. MIGUEL</v>
      </c>
      <c r="I773" s="164" t="str">
        <f ca="1">IFERROR(__xludf.DUMMYFUNCTION("""COMPUTED_VALUE"""),"M&amp;E Coordinator")</f>
        <v>M&amp;E Coordinator</v>
      </c>
      <c r="J773" s="164" t="str">
        <f ca="1">IFERROR(__xludf.DUMMYFUNCTION("""COMPUTED_VALUE"""),"2023-04-31 SPLIT")</f>
        <v>2023-04-31 SPLIT</v>
      </c>
      <c r="K773" s="164" t="str">
        <f ca="1">IFERROR(__xludf.DUMMYFUNCTION("""COMPUTED_VALUE"""),"(Alyza Marie Bolesa)")</f>
        <v>(Alyza Marie Bolesa)</v>
      </c>
      <c r="L773" s="164" t="str">
        <f ca="1">IFERROR(__xludf.DUMMYFUNCTION("""COMPUTED_VALUE"""),"DARRO")</f>
        <v>DARRO</v>
      </c>
      <c r="M773" s="164" t="str">
        <f ca="1">IFERROR(__xludf.DUMMYFUNCTION("""COMPUTED_VALUE"""),"SERVICEABLE")</f>
        <v>SERVICEABLE</v>
      </c>
      <c r="N773" s="164"/>
    </row>
    <row r="774" spans="1:14" ht="13.2" hidden="1">
      <c r="A774" s="164" t="str">
        <f ca="1">IFERROR(__xludf.DUMMYFUNCTION("""COMPUTED_VALUE"""),"CAR")</f>
        <v>CAR</v>
      </c>
      <c r="B774" s="164" t="str">
        <f ca="1">IFERROR(__xludf.DUMMYFUNCTION("""COMPUTED_VALUE"""),"Abra")</f>
        <v>Abra</v>
      </c>
      <c r="C774" s="164" t="str">
        <f ca="1">IFERROR(__xludf.DUMMYFUNCTION("""COMPUTED_VALUE"""),"Desktop Computer – (Lenovo M70T)")</f>
        <v>Desktop Computer – (Lenovo M70T)</v>
      </c>
      <c r="D774" s="164" t="str">
        <f ca="1">IFERROR(__xludf.DUMMYFUNCTION("""COMPUTED_VALUE"""),"₱ 75,468.00")</f>
        <v>₱ 75,468.00</v>
      </c>
      <c r="E774" s="164" t="str">
        <f ca="1">IFERROR(__xludf.DUMMYFUNCTION("""COMPUTED_VALUE"""),"₱ -")</f>
        <v>₱ -</v>
      </c>
      <c r="F774" s="164" t="str">
        <f ca="1">IFERROR(__xludf.DUMMYFUNCTION("""COMPUTED_VALUE"""),"2023-05-03-10201SP523-01")</f>
        <v>2023-05-03-10201SP523-01</v>
      </c>
      <c r="G774" s="164" t="str">
        <f ca="1">IFERROR(__xludf.DUMMYFUNCTION("""COMPUTED_VALUE"""),"1S11T5S16200GM0415W7")</f>
        <v>1S11T5S16200GM0415W7</v>
      </c>
      <c r="H774" s="164" t="str">
        <f ca="1">IFERROR(__xludf.DUMMYFUNCTION("""COMPUTED_VALUE"""),"MYLENE A. SANTAMARIA")</f>
        <v>MYLENE A. SANTAMARIA</v>
      </c>
      <c r="I774" s="164" t="str">
        <f ca="1">IFERROR(__xludf.DUMMYFUNCTION("""COMPUTED_VALUE"""),"MIS Coordinator")</f>
        <v>MIS Coordinator</v>
      </c>
      <c r="J774" s="164" t="str">
        <f ca="1">IFERROR(__xludf.DUMMYFUNCTION("""COMPUTED_VALUE"""),"2023-04-31 SPLIT")</f>
        <v>2023-04-31 SPLIT</v>
      </c>
      <c r="K774" s="164" t="str">
        <f ca="1">IFERROR(__xludf.DUMMYFUNCTION("""COMPUTED_VALUE"""),"(Rizzi Joyce Tupasi)
 MARIFLOR TORRALIZA")</f>
        <v>(Rizzi Joyce Tupasi)
 MARIFLOR TORRALIZA</v>
      </c>
      <c r="L774" s="164" t="str">
        <f ca="1">IFERROR(__xludf.DUMMYFUNCTION("""COMPUTED_VALUE"""),"DARRO")</f>
        <v>DARRO</v>
      </c>
      <c r="M774" s="164" t="str">
        <f ca="1">IFERROR(__xludf.DUMMYFUNCTION("""COMPUTED_VALUE"""),"SERVICEABLE")</f>
        <v>SERVICEABLE</v>
      </c>
      <c r="N774" s="164" t="str">
        <f ca="1">IFERROR(__xludf.DUMMYFUNCTION("""COMPUTED_VALUE"""),"PRINTER-UNSERVICEABLE")</f>
        <v>PRINTER-UNSERVICEABLE</v>
      </c>
    </row>
    <row r="775" spans="1:14" ht="13.2" hidden="1">
      <c r="A775" s="164" t="str">
        <f ca="1">IFERROR(__xludf.DUMMYFUNCTION("""COMPUTED_VALUE"""),"CAR")</f>
        <v>CAR</v>
      </c>
      <c r="B775" s="164" t="str">
        <f ca="1">IFERROR(__xludf.DUMMYFUNCTION("""COMPUTED_VALUE"""),"Abra")</f>
        <v>Abra</v>
      </c>
      <c r="C775" s="164" t="str">
        <f ca="1">IFERROR(__xludf.DUMMYFUNCTION("""COMPUTED_VALUE"""),"Desktop Computer – (Lenovo M70T)")</f>
        <v>Desktop Computer – (Lenovo M70T)</v>
      </c>
      <c r="D775" s="164" t="str">
        <f ca="1">IFERROR(__xludf.DUMMYFUNCTION("""COMPUTED_VALUE"""),"₱ 75,468.00")</f>
        <v>₱ 75,468.00</v>
      </c>
      <c r="E775" s="164" t="str">
        <f ca="1">IFERROR(__xludf.DUMMYFUNCTION("""COMPUTED_VALUE"""),"₱ -")</f>
        <v>₱ -</v>
      </c>
      <c r="F775" s="164" t="str">
        <f ca="1">IFERROR(__xludf.DUMMYFUNCTION("""COMPUTED_VALUE"""),"2023-05-03-10201SP524-01")</f>
        <v>2023-05-03-10201SP524-01</v>
      </c>
      <c r="G775" s="164" t="str">
        <f ca="1">IFERROR(__xludf.DUMMYFUNCTION("""COMPUTED_VALUE"""),"1S11T5S16200GM0415WH")</f>
        <v>1S11T5S16200GM0415WH</v>
      </c>
      <c r="H775" s="164" t="str">
        <f ca="1">IFERROR(__xludf.DUMMYFUNCTION("""COMPUTED_VALUE"""),"MARIFLOR TORRELIZA
 ATTY. MERCEDES BORONGAN")</f>
        <v>MARIFLOR TORRELIZA
 ATTY. MERCEDES BORONGAN</v>
      </c>
      <c r="I775" s="164" t="str">
        <f ca="1">IFERROR(__xludf.DUMMYFUNCTION("""COMPUTED_VALUE"""),"OIC PCAO/ Technical Staff - Admin &amp; Finance Coordinator
  OIC PARPO II/ Project Manager")</f>
        <v>OIC PCAO/ Technical Staff - Admin &amp; Finance Coordinator
  OIC PARPO II/ Project Manager</v>
      </c>
      <c r="J775" s="164" t="str">
        <f ca="1">IFERROR(__xludf.DUMMYFUNCTION("""COMPUTED_VALUE"""),"2023-04-31 SPLIT")</f>
        <v>2023-04-31 SPLIT</v>
      </c>
      <c r="K775" s="164" t="str">
        <f ca="1">IFERROR(__xludf.DUMMYFUNCTION("""COMPUTED_VALUE"""),"(Angelica Rapisura)")</f>
        <v>(Angelica Rapisura)</v>
      </c>
      <c r="L775" s="164" t="str">
        <f ca="1">IFERROR(__xludf.DUMMYFUNCTION("""COMPUTED_VALUE"""),"DARRO")</f>
        <v>DARRO</v>
      </c>
      <c r="M775" s="164" t="str">
        <f ca="1">IFERROR(__xludf.DUMMYFUNCTION("""COMPUTED_VALUE"""),"SERVICEABLE")</f>
        <v>SERVICEABLE</v>
      </c>
      <c r="N775" s="164"/>
    </row>
    <row r="776" spans="1:14" ht="13.2" hidden="1">
      <c r="A776" s="164" t="str">
        <f ca="1">IFERROR(__xludf.DUMMYFUNCTION("""COMPUTED_VALUE"""),"CAR")</f>
        <v>CAR</v>
      </c>
      <c r="B776" s="164" t="str">
        <f ca="1">IFERROR(__xludf.DUMMYFUNCTION("""COMPUTED_VALUE"""),"Abra")</f>
        <v>Abra</v>
      </c>
      <c r="C776" s="164" t="str">
        <f ca="1">IFERROR(__xludf.DUMMYFUNCTION("""COMPUTED_VALUE"""),"Desktop Computer – (Lenovo M70T)")</f>
        <v>Desktop Computer – (Lenovo M70T)</v>
      </c>
      <c r="D776" s="164" t="str">
        <f ca="1">IFERROR(__xludf.DUMMYFUNCTION("""COMPUTED_VALUE"""),"₱ 75,468.00")</f>
        <v>₱ 75,468.00</v>
      </c>
      <c r="E776" s="164" t="str">
        <f ca="1">IFERROR(__xludf.DUMMYFUNCTION("""COMPUTED_VALUE"""),"₱ -")</f>
        <v>₱ -</v>
      </c>
      <c r="F776" s="164" t="str">
        <f ca="1">IFERROR(__xludf.DUMMYFUNCTION("""COMPUTED_VALUE"""),"2023-05-03-10201SP525-01")</f>
        <v>2023-05-03-10201SP525-01</v>
      </c>
      <c r="G776" s="164" t="str">
        <f ca="1">IFERROR(__xludf.DUMMYFUNCTION("""COMPUTED_VALUE"""),"1S11T5S16200GM0415WZ")</f>
        <v>1S11T5S16200GM0415WZ</v>
      </c>
      <c r="H776" s="164" t="str">
        <f ca="1">IFERROR(__xludf.DUMMYFUNCTION("""COMPUTED_VALUE"""),"MARIFLOR TORRELIZA
 MILAGROS BACTAOAN")</f>
        <v>MARIFLOR TORRELIZA
 MILAGROS BACTAOAN</v>
      </c>
      <c r="I776" s="164" t="str">
        <f ca="1">IFERROR(__xludf.DUMMYFUNCTION("""COMPUTED_VALUE"""),"OIC PCAO/ Technical Staff - Admin &amp; Finance Coordinator")</f>
        <v>OIC PCAO/ Technical Staff - Admin &amp; Finance Coordinator</v>
      </c>
      <c r="J776" s="164" t="str">
        <f ca="1">IFERROR(__xludf.DUMMYFUNCTION("""COMPUTED_VALUE"""),"2023-04-31 SPLIT")</f>
        <v>2023-04-31 SPLIT</v>
      </c>
      <c r="K776" s="164" t="str">
        <f ca="1">IFERROR(__xludf.DUMMYFUNCTION("""COMPUTED_VALUE"""),"MARIFLOR TORRELIZA")</f>
        <v>MARIFLOR TORRELIZA</v>
      </c>
      <c r="L776" s="164" t="str">
        <f ca="1">IFERROR(__xludf.DUMMYFUNCTION("""COMPUTED_VALUE"""),"DARRO")</f>
        <v>DARRO</v>
      </c>
      <c r="M776" s="164" t="str">
        <f ca="1">IFERROR(__xludf.DUMMYFUNCTION("""COMPUTED_VALUE"""),"SERVICEABLE")</f>
        <v>SERVICEABLE</v>
      </c>
      <c r="N776" s="164" t="str">
        <f ca="1">IFERROR(__xludf.DUMMYFUNCTION("""COMPUTED_VALUE"""),"PRINTER-UNSERVICEABLE
 UPS-UNSERVICEABLE")</f>
        <v>PRINTER-UNSERVICEABLE
 UPS-UNSERVICEABLE</v>
      </c>
    </row>
    <row r="777" spans="1:14" ht="13.2" hidden="1">
      <c r="A777" s="164" t="str">
        <f ca="1">IFERROR(__xludf.DUMMYFUNCTION("""COMPUTED_VALUE"""),"CAR")</f>
        <v>CAR</v>
      </c>
      <c r="B777" s="164" t="str">
        <f ca="1">IFERROR(__xludf.DUMMYFUNCTION("""COMPUTED_VALUE"""),"Abra")</f>
        <v>Abra</v>
      </c>
      <c r="C777" s="164" t="str">
        <f ca="1">IFERROR(__xludf.DUMMYFUNCTION("""COMPUTED_VALUE"""),"Desktop Computer – (Lenovo M70T)")</f>
        <v>Desktop Computer – (Lenovo M70T)</v>
      </c>
      <c r="D777" s="164" t="str">
        <f ca="1">IFERROR(__xludf.DUMMYFUNCTION("""COMPUTED_VALUE"""),"₱ 75,468.00")</f>
        <v>₱ 75,468.00</v>
      </c>
      <c r="E777" s="164" t="str">
        <f ca="1">IFERROR(__xludf.DUMMYFUNCTION("""COMPUTED_VALUE"""),"₱ -")</f>
        <v>₱ -</v>
      </c>
      <c r="F777" s="164" t="str">
        <f ca="1">IFERROR(__xludf.DUMMYFUNCTION("""COMPUTED_VALUE"""),"2023-05-03-10201SP526-01")</f>
        <v>2023-05-03-10201SP526-01</v>
      </c>
      <c r="G777" s="164" t="str">
        <f ca="1">IFERROR(__xludf.DUMMYFUNCTION("""COMPUTED_VALUE"""),"1S11T5S16200GM0415X1")</f>
        <v>1S11T5S16200GM0415X1</v>
      </c>
      <c r="H777" s="164" t="str">
        <f ca="1">IFERROR(__xludf.DUMMYFUNCTION("""COMPUTED_VALUE"""),"BENJAMIN REGALADO JR.
 LUNACIA SEGUNDO")</f>
        <v>BENJAMIN REGALADO JR.
 LUNACIA SEGUNDO</v>
      </c>
      <c r="I777" s="164" t="str">
        <f ca="1">IFERROR(__xludf.DUMMYFUNCTION("""COMPUTED_VALUE"""),"ESS Support Staff")</f>
        <v>ESS Support Staff</v>
      </c>
      <c r="J777" s="164" t="str">
        <f ca="1">IFERROR(__xludf.DUMMYFUNCTION("""COMPUTED_VALUE"""),"2023-04-31 SPLIT")</f>
        <v>2023-04-31 SPLIT</v>
      </c>
      <c r="K777" s="164" t="str">
        <f ca="1">IFERROR(__xludf.DUMMYFUNCTION("""COMPUTED_VALUE"""),"BENJAMIN REGALADO JR.
 SHERMINDA SAMBO")</f>
        <v>BENJAMIN REGALADO JR.
 SHERMINDA SAMBO</v>
      </c>
      <c r="L777" s="164" t="str">
        <f ca="1">IFERROR(__xludf.DUMMYFUNCTION("""COMPUTED_VALUE"""),"DARRO")</f>
        <v>DARRO</v>
      </c>
      <c r="M777" s="164" t="str">
        <f ca="1">IFERROR(__xludf.DUMMYFUNCTION("""COMPUTED_VALUE"""),"SERVICEABLE")</f>
        <v>SERVICEABLE</v>
      </c>
      <c r="N777" s="164"/>
    </row>
    <row r="778" spans="1:14" ht="13.2" hidden="1">
      <c r="A778" s="164" t="str">
        <f ca="1">IFERROR(__xludf.DUMMYFUNCTION("""COMPUTED_VALUE"""),"CAR")</f>
        <v>CAR</v>
      </c>
      <c r="B778" s="164" t="str">
        <f ca="1">IFERROR(__xludf.DUMMYFUNCTION("""COMPUTED_VALUE"""),"Abra")</f>
        <v>Abra</v>
      </c>
      <c r="C778" s="164" t="str">
        <f ca="1">IFERROR(__xludf.DUMMYFUNCTION("""COMPUTED_VALUE"""),"Desktop Computer – (Lenovo M70T)")</f>
        <v>Desktop Computer – (Lenovo M70T)</v>
      </c>
      <c r="D778" s="164" t="str">
        <f ca="1">IFERROR(__xludf.DUMMYFUNCTION("""COMPUTED_VALUE"""),"₱ 75,468.00")</f>
        <v>₱ 75,468.00</v>
      </c>
      <c r="E778" s="164" t="str">
        <f ca="1">IFERROR(__xludf.DUMMYFUNCTION("""COMPUTED_VALUE"""),"₱ -")</f>
        <v>₱ -</v>
      </c>
      <c r="F778" s="164" t="str">
        <f ca="1">IFERROR(__xludf.DUMMYFUNCTION("""COMPUTED_VALUE"""),"2023-05-03-10201SP527-01")</f>
        <v>2023-05-03-10201SP527-01</v>
      </c>
      <c r="G778" s="164" t="str">
        <f ca="1">IFERROR(__xludf.DUMMYFUNCTION("""COMPUTED_VALUE"""),"1S11T5S16200GM0415XE")</f>
        <v>1S11T5S16200GM0415XE</v>
      </c>
      <c r="H778" s="164" t="str">
        <f ca="1">IFERROR(__xludf.DUMMYFUNCTION("""COMPUTED_VALUE"""),"FILMA MOLINA")</f>
        <v>FILMA MOLINA</v>
      </c>
      <c r="I778" s="164" t="str">
        <f ca="1">IFERROR(__xludf.DUMMYFUNCTION("""COMPUTED_VALUE"""),"Technical Staff / ESS Coordinator")</f>
        <v>Technical Staff / ESS Coordinator</v>
      </c>
      <c r="J778" s="164" t="str">
        <f ca="1">IFERROR(__xludf.DUMMYFUNCTION("""COMPUTED_VALUE"""),"2023-04-31 SPLIT")</f>
        <v>2023-04-31 SPLIT</v>
      </c>
      <c r="K778" s="164" t="str">
        <f ca="1">IFERROR(__xludf.DUMMYFUNCTION("""COMPUTED_VALUE"""),"(Jeralyn Cariño)
 MARIFLOR TORRELIZA")</f>
        <v>(Jeralyn Cariño)
 MARIFLOR TORRELIZA</v>
      </c>
      <c r="L778" s="164" t="str">
        <f ca="1">IFERROR(__xludf.DUMMYFUNCTION("""COMPUTED_VALUE"""),"DARRO")</f>
        <v>DARRO</v>
      </c>
      <c r="M778" s="164" t="str">
        <f ca="1">IFERROR(__xludf.DUMMYFUNCTION("""COMPUTED_VALUE"""),"SERVICEABLE")</f>
        <v>SERVICEABLE</v>
      </c>
      <c r="N778" s="164" t="str">
        <f ca="1">IFERROR(__xludf.DUMMYFUNCTION("""COMPUTED_VALUE"""),"PRINTER-UNSERVICEABLE")</f>
        <v>PRINTER-UNSERVICEABLE</v>
      </c>
    </row>
    <row r="779" spans="1:14" ht="13.2" hidden="1">
      <c r="A779" s="164" t="str">
        <f ca="1">IFERROR(__xludf.DUMMYFUNCTION("""COMPUTED_VALUE"""),"CAR")</f>
        <v>CAR</v>
      </c>
      <c r="B779" s="164" t="str">
        <f ca="1">IFERROR(__xludf.DUMMYFUNCTION("""COMPUTED_VALUE"""),"Abra")</f>
        <v>Abra</v>
      </c>
      <c r="C779" s="164" t="str">
        <f ca="1">IFERROR(__xludf.DUMMYFUNCTION("""COMPUTED_VALUE"""),"Desktop Computer – (Lenovo M70T)")</f>
        <v>Desktop Computer – (Lenovo M70T)</v>
      </c>
      <c r="D779" s="164" t="str">
        <f ca="1">IFERROR(__xludf.DUMMYFUNCTION("""COMPUTED_VALUE"""),"₱ 75,468.00")</f>
        <v>₱ 75,468.00</v>
      </c>
      <c r="E779" s="164" t="str">
        <f ca="1">IFERROR(__xludf.DUMMYFUNCTION("""COMPUTED_VALUE"""),"₱ -")</f>
        <v>₱ -</v>
      </c>
      <c r="F779" s="164" t="str">
        <f ca="1">IFERROR(__xludf.DUMMYFUNCTION("""COMPUTED_VALUE"""),"2023-05-03-10201SP528-01")</f>
        <v>2023-05-03-10201SP528-01</v>
      </c>
      <c r="G779" s="164" t="str">
        <f ca="1">IFERROR(__xludf.DUMMYFUNCTION("""COMPUTED_VALUE"""),"1S11T5S16200GM0415XI")</f>
        <v>1S11T5S16200GM0415XI</v>
      </c>
      <c r="H779" s="164" t="str">
        <f ca="1">IFERROR(__xludf.DUMMYFUNCTION("""COMPUTED_VALUE"""),"ATTY. MERCEDES BORONGAN")</f>
        <v>ATTY. MERCEDES BORONGAN</v>
      </c>
      <c r="I779" s="164" t="str">
        <f ca="1">IFERROR(__xludf.DUMMYFUNCTION("""COMPUTED_VALUE"""),"OIC PARPO II/ Project Manager")</f>
        <v>OIC PARPO II/ Project Manager</v>
      </c>
      <c r="J779" s="164" t="str">
        <f ca="1">IFERROR(__xludf.DUMMYFUNCTION("""COMPUTED_VALUE"""),"2023-04-31 SPLIT")</f>
        <v>2023-04-31 SPLIT</v>
      </c>
      <c r="K779" s="164" t="str">
        <f ca="1">IFERROR(__xludf.DUMMYFUNCTION("""COMPUTED_VALUE"""),"ATTY. MERCEDES BORONGAN")</f>
        <v>ATTY. MERCEDES BORONGAN</v>
      </c>
      <c r="L779" s="164" t="str">
        <f ca="1">IFERROR(__xludf.DUMMYFUNCTION("""COMPUTED_VALUE"""),"DARRO")</f>
        <v>DARRO</v>
      </c>
      <c r="M779" s="164" t="str">
        <f ca="1">IFERROR(__xludf.DUMMYFUNCTION("""COMPUTED_VALUE"""),"SERVICEABLE")</f>
        <v>SERVICEABLE</v>
      </c>
      <c r="N779" s="164" t="str">
        <f ca="1">IFERROR(__xludf.DUMMYFUNCTION("""COMPUTED_VALUE"""),"PRINTER-UNSERVICEABLE
 UPS-2023-05-03-10201SP520-01")</f>
        <v>PRINTER-UNSERVICEABLE
 UPS-2023-05-03-10201SP520-01</v>
      </c>
    </row>
    <row r="780" spans="1:14" ht="13.2" hidden="1">
      <c r="A780" s="164" t="str">
        <f ca="1">IFERROR(__xludf.DUMMYFUNCTION("""COMPUTED_VALUE"""),"CAR")</f>
        <v>CAR</v>
      </c>
      <c r="B780" s="164" t="str">
        <f ca="1">IFERROR(__xludf.DUMMYFUNCTION("""COMPUTED_VALUE"""),"Abra")</f>
        <v>Abra</v>
      </c>
      <c r="C780" s="164" t="str">
        <f ca="1">IFERROR(__xludf.DUMMYFUNCTION("""COMPUTED_VALUE"""),"Desktop Computer – (HP Pro SFF 280G9)")</f>
        <v>Desktop Computer – (HP Pro SFF 280G9)</v>
      </c>
      <c r="D780" s="164" t="str">
        <f ca="1">IFERROR(__xludf.DUMMYFUNCTION("""COMPUTED_VALUE"""),"₱ 78,898.00")</f>
        <v>₱ 78,898.00</v>
      </c>
      <c r="E780" s="164" t="str">
        <f ca="1">IFERROR(__xludf.DUMMYFUNCTION("""COMPUTED_VALUE"""),"₱ -")</f>
        <v>₱ -</v>
      </c>
      <c r="F780" s="164" t="str">
        <f ca="1">IFERROR(__xludf.DUMMYFUNCTION("""COMPUTED_VALUE"""),"2023-05-03-10201SP345-01")</f>
        <v>2023-05-03-10201SP345-01</v>
      </c>
      <c r="G780" s="164" t="str">
        <f ca="1">IFERROR(__xludf.DUMMYFUNCTION("""COMPUTED_VALUE"""),"4CE301DH9M")</f>
        <v>4CE301DH9M</v>
      </c>
      <c r="H780" s="164" t="str">
        <f ca="1">IFERROR(__xludf.DUMMYFUNCTION("""COMPUTED_VALUE"""),"FILMA MOLINA
 LUNACIA SEGUNDO")</f>
        <v>FILMA MOLINA
 LUNACIA SEGUNDO</v>
      </c>
      <c r="I780" s="164" t="str">
        <f ca="1">IFERROR(__xludf.DUMMYFUNCTION("""COMPUTED_VALUE"""),"Technical Staff / ESS Coordinator")</f>
        <v>Technical Staff / ESS Coordinator</v>
      </c>
      <c r="J780" s="164" t="str">
        <f ca="1">IFERROR(__xludf.DUMMYFUNCTION("""COMPUTED_VALUE"""),"2023-08-59 SPLIT")</f>
        <v>2023-08-59 SPLIT</v>
      </c>
      <c r="K780" s="164" t="str">
        <f ca="1">IFERROR(__xludf.DUMMYFUNCTION("""COMPUTED_VALUE"""),"FILMA MOLINA
 LUNACIA SEGUNDO")</f>
        <v>FILMA MOLINA
 LUNACIA SEGUNDO</v>
      </c>
      <c r="L780" s="164" t="str">
        <f ca="1">IFERROR(__xludf.DUMMYFUNCTION("""COMPUTED_VALUE"""),"DARRO")</f>
        <v>DARRO</v>
      </c>
      <c r="M780" s="164" t="str">
        <f ca="1">IFERROR(__xludf.DUMMYFUNCTION("""COMPUTED_VALUE"""),"SERVICEABLE")</f>
        <v>SERVICEABLE</v>
      </c>
      <c r="N780" s="164" t="str">
        <f ca="1">IFERROR(__xludf.DUMMYFUNCTION("""COMPUTED_VALUE"""),"PRINTER-UNSERVICEABLE")</f>
        <v>PRINTER-UNSERVICEABLE</v>
      </c>
    </row>
    <row r="781" spans="1:14" ht="13.2" hidden="1">
      <c r="A781" s="164" t="str">
        <f ca="1">IFERROR(__xludf.DUMMYFUNCTION("""COMPUTED_VALUE"""),"CAR")</f>
        <v>CAR</v>
      </c>
      <c r="B781" s="164" t="str">
        <f ca="1">IFERROR(__xludf.DUMMYFUNCTION("""COMPUTED_VALUE"""),"Abra")</f>
        <v>Abra</v>
      </c>
      <c r="C781" s="164" t="str">
        <f ca="1">IFERROR(__xludf.DUMMYFUNCTION("""COMPUTED_VALUE"""),"Desktop Computer – (HP Pro SFF 280G9)")</f>
        <v>Desktop Computer – (HP Pro SFF 280G9)</v>
      </c>
      <c r="D781" s="164" t="str">
        <f ca="1">IFERROR(__xludf.DUMMYFUNCTION("""COMPUTED_VALUE"""),"₱ 78,898.00")</f>
        <v>₱ 78,898.00</v>
      </c>
      <c r="E781" s="164" t="str">
        <f ca="1">IFERROR(__xludf.DUMMYFUNCTION("""COMPUTED_VALUE"""),"₱ -")</f>
        <v>₱ -</v>
      </c>
      <c r="F781" s="164" t="str">
        <f ca="1">IFERROR(__xludf.DUMMYFUNCTION("""COMPUTED_VALUE"""),"2023-05-03-10201SP351-01")</f>
        <v>2023-05-03-10201SP351-01</v>
      </c>
      <c r="G781" s="164" t="str">
        <f ca="1">IFERROR(__xludf.DUMMYFUNCTION("""COMPUTED_VALUE"""),"4CE301DH44")</f>
        <v>4CE301DH44</v>
      </c>
      <c r="H781" s="164" t="str">
        <f ca="1">IFERROR(__xludf.DUMMYFUNCTION("""COMPUTED_VALUE"""),"MYLENE A. SANTAMARIA
 DENR")</f>
        <v>MYLENE A. SANTAMARIA
 DENR</v>
      </c>
      <c r="I781" s="164" t="str">
        <f ca="1">IFERROR(__xludf.DUMMYFUNCTION("""COMPUTED_VALUE"""),"MIS Coordinator")</f>
        <v>MIS Coordinator</v>
      </c>
      <c r="J781" s="164" t="str">
        <f ca="1">IFERROR(__xludf.DUMMYFUNCTION("""COMPUTED_VALUE"""),"2023-08-59 SPLIT")</f>
        <v>2023-08-59 SPLIT</v>
      </c>
      <c r="K781" s="164" t="str">
        <f ca="1">IFERROR(__xludf.DUMMYFUNCTION("""COMPUTED_VALUE"""),"(Jhon Mark Banganan)
 DENR")</f>
        <v>(Jhon Mark Banganan)
 DENR</v>
      </c>
      <c r="L781" s="164" t="str">
        <f ca="1">IFERROR(__xludf.DUMMYFUNCTION("""COMPUTED_VALUE"""),"DARRO")</f>
        <v>DARRO</v>
      </c>
      <c r="M781" s="164" t="str">
        <f ca="1">IFERROR(__xludf.DUMMYFUNCTION("""COMPUTED_VALUE"""),"SERVICEABLE")</f>
        <v>SERVICEABLE</v>
      </c>
      <c r="N781" s="164"/>
    </row>
    <row r="782" spans="1:14" ht="13.2" hidden="1">
      <c r="A782" s="164" t="str">
        <f ca="1">IFERROR(__xludf.DUMMYFUNCTION("""COMPUTED_VALUE"""),"CAR")</f>
        <v>CAR</v>
      </c>
      <c r="B782" s="164" t="str">
        <f ca="1">IFERROR(__xludf.DUMMYFUNCTION("""COMPUTED_VALUE"""),"Abra")</f>
        <v>Abra</v>
      </c>
      <c r="C782" s="164" t="str">
        <f ca="1">IFERROR(__xludf.DUMMYFUNCTION("""COMPUTED_VALUE"""),"Desktop Computer – (HP Pro SFF 280G9)")</f>
        <v>Desktop Computer – (HP Pro SFF 280G9)</v>
      </c>
      <c r="D782" s="164" t="str">
        <f ca="1">IFERROR(__xludf.DUMMYFUNCTION("""COMPUTED_VALUE"""),"₱ 78,898.00")</f>
        <v>₱ 78,898.00</v>
      </c>
      <c r="E782" s="164" t="str">
        <f ca="1">IFERROR(__xludf.DUMMYFUNCTION("""COMPUTED_VALUE"""),"₱ -")</f>
        <v>₱ -</v>
      </c>
      <c r="F782" s="164" t="str">
        <f ca="1">IFERROR(__xludf.DUMMYFUNCTION("""COMPUTED_VALUE"""),"2023-05-03-10201SP352-01")</f>
        <v>2023-05-03-10201SP352-01</v>
      </c>
      <c r="G782" s="164" t="str">
        <f ca="1">IFERROR(__xludf.DUMMYFUNCTION("""COMPUTED_VALUE"""),"4CE301DSQR")</f>
        <v>4CE301DSQR</v>
      </c>
      <c r="H782" s="164" t="str">
        <f ca="1">IFERROR(__xludf.DUMMYFUNCTION("""COMPUTED_VALUE"""),"ATTY. MERCEDES BORONGAN")</f>
        <v>ATTY. MERCEDES BORONGAN</v>
      </c>
      <c r="I782" s="164" t="str">
        <f ca="1">IFERROR(__xludf.DUMMYFUNCTION("""COMPUTED_VALUE"""),"OIC PARPO II/ Project Manager")</f>
        <v>OIC PARPO II/ Project Manager</v>
      </c>
      <c r="J782" s="164" t="str">
        <f ca="1">IFERROR(__xludf.DUMMYFUNCTION("""COMPUTED_VALUE"""),"2023-08-59 SPLIT")</f>
        <v>2023-08-59 SPLIT</v>
      </c>
      <c r="K782" s="164" t="str">
        <f ca="1">IFERROR(__xludf.DUMMYFUNCTION("""COMPUTED_VALUE"""),"(Abel Cortel)
 ROD")</f>
        <v>(Abel Cortel)
 ROD</v>
      </c>
      <c r="L782" s="164" t="str">
        <f ca="1">IFERROR(__xludf.DUMMYFUNCTION("""COMPUTED_VALUE"""),"DARRO")</f>
        <v>DARRO</v>
      </c>
      <c r="M782" s="164" t="str">
        <f ca="1">IFERROR(__xludf.DUMMYFUNCTION("""COMPUTED_VALUE"""),"SERVICEABLE")</f>
        <v>SERVICEABLE</v>
      </c>
      <c r="N782" s="164"/>
    </row>
    <row r="783" spans="1:14" ht="13.2" hidden="1">
      <c r="A783" s="164" t="str">
        <f ca="1">IFERROR(__xludf.DUMMYFUNCTION("""COMPUTED_VALUE"""),"CAR")</f>
        <v>CAR</v>
      </c>
      <c r="B783" s="164" t="str">
        <f ca="1">IFERROR(__xludf.DUMMYFUNCTION("""COMPUTED_VALUE"""),"Abra")</f>
        <v>Abra</v>
      </c>
      <c r="C783" s="164" t="str">
        <f ca="1">IFERROR(__xludf.DUMMYFUNCTION("""COMPUTED_VALUE"""),"Desktop Computer – (HP Pro SFF 280G9)")</f>
        <v>Desktop Computer – (HP Pro SFF 280G9)</v>
      </c>
      <c r="D783" s="164" t="str">
        <f ca="1">IFERROR(__xludf.DUMMYFUNCTION("""COMPUTED_VALUE"""),"₱ 78,898.00")</f>
        <v>₱ 78,898.00</v>
      </c>
      <c r="E783" s="164" t="str">
        <f ca="1">IFERROR(__xludf.DUMMYFUNCTION("""COMPUTED_VALUE"""),"₱ -")</f>
        <v>₱ -</v>
      </c>
      <c r="F783" s="164" t="str">
        <f ca="1">IFERROR(__xludf.DUMMYFUNCTION("""COMPUTED_VALUE"""),"2023-05-03-10201SP353-01")</f>
        <v>2023-05-03-10201SP353-01</v>
      </c>
      <c r="G783" s="164" t="str">
        <f ca="1">IFERROR(__xludf.DUMMYFUNCTION("""COMPUTED_VALUE"""),"4CE301DH7P")</f>
        <v>4CE301DH7P</v>
      </c>
      <c r="H783" s="164" t="str">
        <f ca="1">IFERROR(__xludf.DUMMYFUNCTION("""COMPUTED_VALUE"""),"DIVINALYN PADERES
 ATTY. ILLYSA ABQUIREN")</f>
        <v>DIVINALYN PADERES
 ATTY. ILLYSA ABQUIREN</v>
      </c>
      <c r="I783" s="164" t="str">
        <f ca="1">IFERROR(__xludf.DUMMYFUNCTION("""COMPUTED_VALUE"""),"Legal Coordinator")</f>
        <v>Legal Coordinator</v>
      </c>
      <c r="J783" s="164" t="str">
        <f ca="1">IFERROR(__xludf.DUMMYFUNCTION("""COMPUTED_VALUE"""),"2023-08-59 SPLIT")</f>
        <v>2023-08-59 SPLIT</v>
      </c>
      <c r="K783" s="164" t="str">
        <f ca="1">IFERROR(__xludf.DUMMYFUNCTION("""COMPUTED_VALUE"""),"DIVINALYN PADERES
 ANGELO BIGOMLA")</f>
        <v>DIVINALYN PADERES
 ANGELO BIGOMLA</v>
      </c>
      <c r="L783" s="164" t="str">
        <f ca="1">IFERROR(__xludf.DUMMYFUNCTION("""COMPUTED_VALUE"""),"DARRO")</f>
        <v>DARRO</v>
      </c>
      <c r="M783" s="164" t="str">
        <f ca="1">IFERROR(__xludf.DUMMYFUNCTION("""COMPUTED_VALUE"""),"SERVICEABLE")</f>
        <v>SERVICEABLE</v>
      </c>
      <c r="N783" s="164" t="str">
        <f ca="1">IFERROR(__xludf.DUMMYFUNCTION("""COMPUTED_VALUE"""),"PRINTER-UNSERVICEABLE")</f>
        <v>PRINTER-UNSERVICEABLE</v>
      </c>
    </row>
    <row r="784" spans="1:14" ht="13.2" hidden="1">
      <c r="A784" s="164" t="str">
        <f ca="1">IFERROR(__xludf.DUMMYFUNCTION("""COMPUTED_VALUE"""),"CAR")</f>
        <v>CAR</v>
      </c>
      <c r="B784" s="164" t="str">
        <f ca="1">IFERROR(__xludf.DUMMYFUNCTION("""COMPUTED_VALUE"""),"Abra")</f>
        <v>Abra</v>
      </c>
      <c r="C784" s="164" t="str">
        <f ca="1">IFERROR(__xludf.DUMMYFUNCTION("""COMPUTED_VALUE"""),"Desktop Computer – (HP Pro SFF 280G9)")</f>
        <v>Desktop Computer – (HP Pro SFF 280G9)</v>
      </c>
      <c r="D784" s="164" t="str">
        <f ca="1">IFERROR(__xludf.DUMMYFUNCTION("""COMPUTED_VALUE"""),"₱ 78,898.00")</f>
        <v>₱ 78,898.00</v>
      </c>
      <c r="E784" s="164" t="str">
        <f ca="1">IFERROR(__xludf.DUMMYFUNCTION("""COMPUTED_VALUE"""),"₱ -")</f>
        <v>₱ -</v>
      </c>
      <c r="F784" s="164" t="str">
        <f ca="1">IFERROR(__xludf.DUMMYFUNCTION("""COMPUTED_VALUE"""),"2023-05-03-10201SP354-01")</f>
        <v>2023-05-03-10201SP354-01</v>
      </c>
      <c r="G784" s="164" t="str">
        <f ca="1">IFERROR(__xludf.DUMMYFUNCTION("""COMPUTED_VALUE"""),"4CE301DSPF")</f>
        <v>4CE301DSPF</v>
      </c>
      <c r="H784" s="164" t="str">
        <f ca="1">IFERROR(__xludf.DUMMYFUNCTION("""COMPUTED_VALUE"""),"DIVINALYN PADERES
 ATTY. ILLYSA ABQUIREN")</f>
        <v>DIVINALYN PADERES
 ATTY. ILLYSA ABQUIREN</v>
      </c>
      <c r="I784" s="164" t="str">
        <f ca="1">IFERROR(__xludf.DUMMYFUNCTION("""COMPUTED_VALUE"""),"Legal Coordinator")</f>
        <v>Legal Coordinator</v>
      </c>
      <c r="J784" s="164" t="str">
        <f ca="1">IFERROR(__xludf.DUMMYFUNCTION("""COMPUTED_VALUE"""),"2023-08-59 SPLIT")</f>
        <v>2023-08-59 SPLIT</v>
      </c>
      <c r="K784" s="164" t="str">
        <f ca="1">IFERROR(__xludf.DUMMYFUNCTION("""COMPUTED_VALUE"""),"DIVINALYN PADERES
 KRISTINE BALDEMOR")</f>
        <v>DIVINALYN PADERES
 KRISTINE BALDEMOR</v>
      </c>
      <c r="L784" s="164" t="str">
        <f ca="1">IFERROR(__xludf.DUMMYFUNCTION("""COMPUTED_VALUE"""),"DARRO")</f>
        <v>DARRO</v>
      </c>
      <c r="M784" s="164" t="str">
        <f ca="1">IFERROR(__xludf.DUMMYFUNCTION("""COMPUTED_VALUE"""),"SERVICEABLE")</f>
        <v>SERVICEABLE</v>
      </c>
      <c r="N784" s="164" t="str">
        <f ca="1">IFERROR(__xludf.DUMMYFUNCTION("""COMPUTED_VALUE"""),"PRINTER-UNSERVICEABLE")</f>
        <v>PRINTER-UNSERVICEABLE</v>
      </c>
    </row>
    <row r="785" spans="1:14" ht="13.2" hidden="1">
      <c r="A785" s="164" t="str">
        <f ca="1">IFERROR(__xludf.DUMMYFUNCTION("""COMPUTED_VALUE"""),"CAR")</f>
        <v>CAR</v>
      </c>
      <c r="B785" s="164" t="str">
        <f ca="1">IFERROR(__xludf.DUMMYFUNCTION("""COMPUTED_VALUE"""),"Abra")</f>
        <v>Abra</v>
      </c>
      <c r="C785" s="164" t="str">
        <f ca="1">IFERROR(__xludf.DUMMYFUNCTION("""COMPUTED_VALUE"""),"Laptop – (ACER EXTENSA EX215-55G i7)")</f>
        <v>Laptop – (ACER EXTENSA EX215-55G i7)</v>
      </c>
      <c r="D785" s="164" t="str">
        <f ca="1">IFERROR(__xludf.DUMMYFUNCTION("""COMPUTED_VALUE"""),"₱ 59,500.00")</f>
        <v>₱ 59,500.00</v>
      </c>
      <c r="E785" s="164" t="str">
        <f ca="1">IFERROR(__xludf.DUMMYFUNCTION("""COMPUTED_VALUE"""),"₱ -")</f>
        <v>₱ -</v>
      </c>
      <c r="F785" s="164" t="str">
        <f ca="1">IFERROR(__xludf.DUMMYFUNCTION("""COMPUTED_VALUE"""),"2023-05-03-10202SP317-01")</f>
        <v>2023-05-03-10202SP317-01</v>
      </c>
      <c r="G785" s="164" t="str">
        <f ca="1">IFERROR(__xludf.DUMMYFUNCTION("""COMPUTED_VALUE"""),"NXEGZSP00330801E0C3400")</f>
        <v>NXEGZSP00330801E0C3400</v>
      </c>
      <c r="H785" s="164" t="str">
        <f ca="1">IFERROR(__xludf.DUMMYFUNCTION("""COMPUTED_VALUE"""),"JHAY T. ARMINGTON
 MAYLANEE P. MIGUEL")</f>
        <v>JHAY T. ARMINGTON
 MAYLANEE P. MIGUEL</v>
      </c>
      <c r="I785" s="164" t="str">
        <f ca="1">IFERROR(__xludf.DUMMYFUNCTION("""COMPUTED_VALUE"""),"ARPO I")</f>
        <v>ARPO I</v>
      </c>
      <c r="J785" s="164" t="str">
        <f ca="1">IFERROR(__xludf.DUMMYFUNCTION("""COMPUTED_VALUE"""),"2023-08-60 SPLIT")</f>
        <v>2023-08-60 SPLIT</v>
      </c>
      <c r="K785" s="164" t="str">
        <f ca="1">IFERROR(__xludf.DUMMYFUNCTION("""COMPUTED_VALUE"""),"JHAY T. ARMINGTON
 MAYLANEE P. MIGUEL")</f>
        <v>JHAY T. ARMINGTON
 MAYLANEE P. MIGUEL</v>
      </c>
      <c r="L785" s="164" t="str">
        <f ca="1">IFERROR(__xludf.DUMMYFUNCTION("""COMPUTED_VALUE"""),"DARRO")</f>
        <v>DARRO</v>
      </c>
      <c r="M785" s="164" t="str">
        <f ca="1">IFERROR(__xludf.DUMMYFUNCTION("""COMPUTED_VALUE"""),"SERVICEABLE")</f>
        <v>SERVICEABLE</v>
      </c>
      <c r="N785" s="164"/>
    </row>
    <row r="786" spans="1:14" ht="13.2" hidden="1">
      <c r="A786" s="164" t="str">
        <f ca="1">IFERROR(__xludf.DUMMYFUNCTION("""COMPUTED_VALUE"""),"CAR")</f>
        <v>CAR</v>
      </c>
      <c r="B786" s="164" t="str">
        <f ca="1">IFERROR(__xludf.DUMMYFUNCTION("""COMPUTED_VALUE"""),"Abra")</f>
        <v>Abra</v>
      </c>
      <c r="C786" s="164" t="str">
        <f ca="1">IFERROR(__xludf.DUMMYFUNCTION("""COMPUTED_VALUE"""),"Laptop – (ACER EXTENSA EX215-55G i7)")</f>
        <v>Laptop – (ACER EXTENSA EX215-55G i7)</v>
      </c>
      <c r="D786" s="164" t="str">
        <f ca="1">IFERROR(__xludf.DUMMYFUNCTION("""COMPUTED_VALUE"""),"₱ 59,500.00")</f>
        <v>₱ 59,500.00</v>
      </c>
      <c r="E786" s="164" t="str">
        <f ca="1">IFERROR(__xludf.DUMMYFUNCTION("""COMPUTED_VALUE"""),"₱ -")</f>
        <v>₱ -</v>
      </c>
      <c r="F786" s="164" t="str">
        <f ca="1">IFERROR(__xludf.DUMMYFUNCTION("""COMPUTED_VALUE"""),"2023-05-03-10202SP318-02")</f>
        <v>2023-05-03-10202SP318-02</v>
      </c>
      <c r="G786" s="164" t="str">
        <f ca="1">IFERROR(__xludf.DUMMYFUNCTION("""COMPUTED_VALUE"""),"NXEGZSP00330801E7B3400")</f>
        <v>NXEGZSP00330801E7B3400</v>
      </c>
      <c r="H786" s="164" t="str">
        <f ca="1">IFERROR(__xludf.DUMMYFUNCTION("""COMPUTED_VALUE"""),"MAYLANEE P. MIGUEL
 ATTY. MERCEDES S. BORONGAN")</f>
        <v>MAYLANEE P. MIGUEL
 ATTY. MERCEDES S. BORONGAN</v>
      </c>
      <c r="I786" s="164" t="str">
        <f ca="1">IFERROR(__xludf.DUMMYFUNCTION("""COMPUTED_VALUE"""),"M&amp;E Coordinator")</f>
        <v>M&amp;E Coordinator</v>
      </c>
      <c r="J786" s="164" t="str">
        <f ca="1">IFERROR(__xludf.DUMMYFUNCTION("""COMPUTED_VALUE"""),"2023-08-60 SPLIT")</f>
        <v>2023-08-60 SPLIT</v>
      </c>
      <c r="K786" s="164" t="str">
        <f ca="1">IFERROR(__xludf.DUMMYFUNCTION("""COMPUTED_VALUE"""),"MAYLANEE P. MIGUEL
 ATTY. MERCEDES S. BORONGAN")</f>
        <v>MAYLANEE P. MIGUEL
 ATTY. MERCEDES S. BORONGAN</v>
      </c>
      <c r="L786" s="164" t="str">
        <f ca="1">IFERROR(__xludf.DUMMYFUNCTION("""COMPUTED_VALUE"""),"DARRO")</f>
        <v>DARRO</v>
      </c>
      <c r="M786" s="164" t="str">
        <f ca="1">IFERROR(__xludf.DUMMYFUNCTION("""COMPUTED_VALUE"""),"SERVICEABLE")</f>
        <v>SERVICEABLE</v>
      </c>
      <c r="N786" s="164"/>
    </row>
    <row r="787" spans="1:14" ht="13.2" hidden="1">
      <c r="A787" s="164" t="str">
        <f ca="1">IFERROR(__xludf.DUMMYFUNCTION("""COMPUTED_VALUE"""),"CAR")</f>
        <v>CAR</v>
      </c>
      <c r="B787" s="164" t="str">
        <f ca="1">IFERROR(__xludf.DUMMYFUNCTION("""COMPUTED_VALUE"""),"Abra")</f>
        <v>Abra</v>
      </c>
      <c r="C787" s="164" t="str">
        <f ca="1">IFERROR(__xludf.DUMMYFUNCTION("""COMPUTED_VALUE"""),"Laptop – (ACER EXTENSA EX215-55G i7)")</f>
        <v>Laptop – (ACER EXTENSA EX215-55G i7)</v>
      </c>
      <c r="D787" s="164" t="str">
        <f ca="1">IFERROR(__xludf.DUMMYFUNCTION("""COMPUTED_VALUE"""),"₱ 59,500.00")</f>
        <v>₱ 59,500.00</v>
      </c>
      <c r="E787" s="164" t="str">
        <f ca="1">IFERROR(__xludf.DUMMYFUNCTION("""COMPUTED_VALUE"""),"₱ -")</f>
        <v>₱ -</v>
      </c>
      <c r="F787" s="164" t="str">
        <f ca="1">IFERROR(__xludf.DUMMYFUNCTION("""COMPUTED_VALUE"""),"2023-05-03-10202SP319-03")</f>
        <v>2023-05-03-10202SP319-03</v>
      </c>
      <c r="G787" s="164" t="str">
        <f ca="1">IFERROR(__xludf.DUMMYFUNCTION("""COMPUTED_VALUE"""),"NXEGZSP00330801B043400")</f>
        <v>NXEGZSP00330801B043400</v>
      </c>
      <c r="H787" s="164" t="str">
        <f ca="1">IFERROR(__xludf.DUMMYFUNCTION("""COMPUTED_VALUE"""),"ATTY. MERCEDES S. BORONGAN
 MAYLEEN SANTAMARIA")</f>
        <v>ATTY. MERCEDES S. BORONGAN
 MAYLEEN SANTAMARIA</v>
      </c>
      <c r="I787" s="164" t="str">
        <f ca="1">IFERROR(__xludf.DUMMYFUNCTION("""COMPUTED_VALUE"""),"OIC PARPO II/ Project Manager")</f>
        <v>OIC PARPO II/ Project Manager</v>
      </c>
      <c r="J787" s="164" t="str">
        <f ca="1">IFERROR(__xludf.DUMMYFUNCTION("""COMPUTED_VALUE"""),"2023-08-60 SPLIT")</f>
        <v>2023-08-60 SPLIT</v>
      </c>
      <c r="K787" s="164" t="str">
        <f ca="1">IFERROR(__xludf.DUMMYFUNCTION("""COMPUTED_VALUE"""),"ATTY. MERCEDES S. BORONGAN
 MAYLEEN SANTAMARIA")</f>
        <v>ATTY. MERCEDES S. BORONGAN
 MAYLEEN SANTAMARIA</v>
      </c>
      <c r="L787" s="164" t="str">
        <f ca="1">IFERROR(__xludf.DUMMYFUNCTION("""COMPUTED_VALUE"""),"DARRO")</f>
        <v>DARRO</v>
      </c>
      <c r="M787" s="164" t="str">
        <f ca="1">IFERROR(__xludf.DUMMYFUNCTION("""COMPUTED_VALUE"""),"SERVICEABLE")</f>
        <v>SERVICEABLE</v>
      </c>
      <c r="N787" s="164"/>
    </row>
    <row r="788" spans="1:14" ht="13.2" hidden="1">
      <c r="A788" s="164" t="str">
        <f ca="1">IFERROR(__xludf.DUMMYFUNCTION("""COMPUTED_VALUE"""),"CAR")</f>
        <v>CAR</v>
      </c>
      <c r="B788" s="164" t="str">
        <f ca="1">IFERROR(__xludf.DUMMYFUNCTION("""COMPUTED_VALUE"""),"Abra")</f>
        <v>Abra</v>
      </c>
      <c r="C788" s="164" t="str">
        <f ca="1">IFERROR(__xludf.DUMMYFUNCTION("""COMPUTED_VALUE"""),"Photocopier Machine – Kyocera")</f>
        <v>Photocopier Machine – Kyocera</v>
      </c>
      <c r="D788" s="164" t="str">
        <f ca="1">IFERROR(__xludf.DUMMYFUNCTION("""COMPUTED_VALUE"""),"₱ 84,500.00")</f>
        <v>₱ 84,500.00</v>
      </c>
      <c r="E788" s="164" t="str">
        <f ca="1">IFERROR(__xludf.DUMMYFUNCTION("""COMPUTED_VALUE"""),"₱ -")</f>
        <v>₱ -</v>
      </c>
      <c r="F788" s="164" t="str">
        <f ca="1">IFERROR(__xludf.DUMMYFUNCTION("""COMPUTED_VALUE"""),"2022-05-02-10202SP09-01")</f>
        <v>2022-05-02-10202SP09-01</v>
      </c>
      <c r="G788" s="164" t="str">
        <f ca="1">IFERROR(__xludf.DUMMYFUNCTION("""COMPUTED_VALUE"""),"RNK2700209")</f>
        <v>RNK2700209</v>
      </c>
      <c r="H788" s="164" t="str">
        <f ca="1">IFERROR(__xludf.DUMMYFUNCTION("""COMPUTED_VALUE"""),"MARITES B. OCAMPO")</f>
        <v>MARITES B. OCAMPO</v>
      </c>
      <c r="I788" s="164" t="str">
        <f ca="1">IFERROR(__xludf.DUMMYFUNCTION("""COMPUTED_VALUE"""),"ARPO II/ Parcelization Component Coordinator")</f>
        <v>ARPO II/ Parcelization Component Coordinator</v>
      </c>
      <c r="J788" s="164" t="str">
        <f ca="1">IFERROR(__xludf.DUMMYFUNCTION("""COMPUTED_VALUE"""),"12/05/2022")</f>
        <v>12/05/2022</v>
      </c>
      <c r="K788" s="164" t="str">
        <f ca="1">IFERROR(__xludf.DUMMYFUNCTION("""COMPUTED_VALUE"""),"MARITES B. OCAMPO")</f>
        <v>MARITES B. OCAMPO</v>
      </c>
      <c r="L788" s="164" t="str">
        <f ca="1">IFERROR(__xludf.DUMMYFUNCTION("""COMPUTED_VALUE"""),"DARRO")</f>
        <v>DARRO</v>
      </c>
      <c r="M788" s="164" t="str">
        <f ca="1">IFERROR(__xludf.DUMMYFUNCTION("""COMPUTED_VALUE"""),"SERVICEABLE")</f>
        <v>SERVICEABLE</v>
      </c>
      <c r="N788" s="164"/>
    </row>
    <row r="789" spans="1:14" ht="13.2" hidden="1">
      <c r="A789" s="164" t="str">
        <f ca="1">IFERROR(__xludf.DUMMYFUNCTION("""COMPUTED_VALUE"""),"CAR")</f>
        <v>CAR</v>
      </c>
      <c r="B789" s="164" t="str">
        <f ca="1">IFERROR(__xludf.DUMMYFUNCTION("""COMPUTED_VALUE"""),"Abra")</f>
        <v>Abra</v>
      </c>
      <c r="C789" s="164" t="str">
        <f ca="1">IFERROR(__xludf.DUMMYFUNCTION("""COMPUTED_VALUE"""),"Laptop – (ACER EXTENSA EX215-55G i7)")</f>
        <v>Laptop – (ACER EXTENSA EX215-55G i7)</v>
      </c>
      <c r="D789" s="164" t="str">
        <f ca="1">IFERROR(__xludf.DUMMYFUNCTION("""COMPUTED_VALUE"""),"₱ 59,500.00")</f>
        <v>₱ 59,500.00</v>
      </c>
      <c r="E789" s="164" t="str">
        <f ca="1">IFERROR(__xludf.DUMMYFUNCTION("""COMPUTED_VALUE"""),"₱ -")</f>
        <v>₱ -</v>
      </c>
      <c r="F789" s="164" t="str">
        <f ca="1">IFERROR(__xludf.DUMMYFUNCTION("""COMPUTED_VALUE"""),"2023-05-03-10202SP04-01")</f>
        <v>2023-05-03-10202SP04-01</v>
      </c>
      <c r="G789" s="164" t="str">
        <f ca="1">IFERROR(__xludf.DUMMYFUNCTION("""COMPUTED_VALUE"""),"NXEGZSP00330801B8D400")</f>
        <v>NXEGZSP00330801B8D400</v>
      </c>
      <c r="H789" s="164" t="str">
        <f ca="1">IFERROR(__xludf.DUMMYFUNCTION("""COMPUTED_VALUE"""),"MARIFLOR TORRELIZA
 JHAY ARMINGTON")</f>
        <v>MARIFLOR TORRELIZA
 JHAY ARMINGTON</v>
      </c>
      <c r="I789" s="164" t="str">
        <f ca="1">IFERROR(__xludf.DUMMYFUNCTION("""COMPUTED_VALUE"""),"OIC PCAO/ Technical Staff - Admin &amp; Finance Officer")</f>
        <v>OIC PCAO/ Technical Staff - Admin &amp; Finance Officer</v>
      </c>
      <c r="J789" s="164" t="str">
        <f ca="1">IFERROR(__xludf.DUMMYFUNCTION("""COMPUTED_VALUE"""),"PTR# 2024-01-001")</f>
        <v>PTR# 2024-01-001</v>
      </c>
      <c r="K789" s="164" t="str">
        <f ca="1">IFERROR(__xludf.DUMMYFUNCTION("""COMPUTED_VALUE"""),"JHAY ARMINGTON")</f>
        <v>JHAY ARMINGTON</v>
      </c>
      <c r="L789" s="164" t="str">
        <f ca="1">IFERROR(__xludf.DUMMYFUNCTION("""COMPUTED_VALUE"""),"DARRO")</f>
        <v>DARRO</v>
      </c>
      <c r="M789" s="164" t="str">
        <f ca="1">IFERROR(__xludf.DUMMYFUNCTION("""COMPUTED_VALUE"""),"SERVICEABLE")</f>
        <v>SERVICEABLE</v>
      </c>
      <c r="N789" s="164"/>
    </row>
    <row r="790" spans="1:14" ht="13.2" hidden="1">
      <c r="A790" s="164" t="str">
        <f ca="1">IFERROR(__xludf.DUMMYFUNCTION("""COMPUTED_VALUE"""),"CAR")</f>
        <v>CAR</v>
      </c>
      <c r="B790" s="164" t="str">
        <f ca="1">IFERROR(__xludf.DUMMYFUNCTION("""COMPUTED_VALUE"""),"Abra")</f>
        <v>Abra</v>
      </c>
      <c r="C790" s="164" t="str">
        <f ca="1">IFERROR(__xludf.DUMMYFUNCTION("""COMPUTED_VALUE"""),"A3 PRINTER (BROTHER)")</f>
        <v>A3 PRINTER (BROTHER)</v>
      </c>
      <c r="D790" s="164" t="str">
        <f ca="1">IFERROR(__xludf.DUMMYFUNCTION("""COMPUTED_VALUE"""),"33,508.00")</f>
        <v>33,508.00</v>
      </c>
      <c r="E790" s="164" t="str">
        <f ca="1">IFERROR(__xludf.DUMMYFUNCTION("""COMPUTED_VALUE"""),"₱ -")</f>
        <v>₱ -</v>
      </c>
      <c r="F790" s="164" t="str">
        <f ca="1">IFERROR(__xludf.DUMMYFUNCTION("""COMPUTED_VALUE"""),"HV-SPLIT-102-24-05-07
 HV-SPLIT-102-24-05-04-012")</f>
        <v>HV-SPLIT-102-24-05-07
 HV-SPLIT-102-24-05-04-012</v>
      </c>
      <c r="G790" s="164"/>
      <c r="H790" s="164" t="str">
        <f ca="1">IFERROR(__xludf.DUMMYFUNCTION("""COMPUTED_VALUE"""),"SAMUEL S. SOLOMERO")</f>
        <v>SAMUEL S. SOLOMERO</v>
      </c>
      <c r="I790" s="164" t="str">
        <f ca="1">IFERROR(__xludf.DUMMYFUNCTION("""COMPUTED_VALUE"""),"REGIONAL DIRECTOR")</f>
        <v>REGIONAL DIRECTOR</v>
      </c>
      <c r="J790" s="164" t="str">
        <f ca="1">IFERROR(__xludf.DUMMYFUNCTION("""COMPUTED_VALUE"""),"2024-03-001")</f>
        <v>2024-03-001</v>
      </c>
      <c r="K790" s="164"/>
      <c r="L790" s="164" t="str">
        <f ca="1">IFERROR(__xludf.DUMMYFUNCTION("""COMPUTED_VALUE"""),"DARRO")</f>
        <v>DARRO</v>
      </c>
      <c r="M790" s="164" t="str">
        <f ca="1">IFERROR(__xludf.DUMMYFUNCTION("""COMPUTED_VALUE"""),"SERVICEABLE")</f>
        <v>SERVICEABLE</v>
      </c>
      <c r="N790" s="164"/>
    </row>
    <row r="791" spans="1:14" ht="13.2" hidden="1">
      <c r="A791" s="164" t="str">
        <f ca="1">IFERROR(__xludf.DUMMYFUNCTION("""COMPUTED_VALUE"""),"CAR")</f>
        <v>CAR</v>
      </c>
      <c r="B791" s="164" t="str">
        <f ca="1">IFERROR(__xludf.DUMMYFUNCTION("""COMPUTED_VALUE"""),"Apayao")</f>
        <v>Apayao</v>
      </c>
      <c r="C791" s="164" t="str">
        <f ca="1">IFERROR(__xludf.DUMMYFUNCTION("""COMPUTED_VALUE"""),"REAL-TIME KINEMATIC – GEOMAX ZENITH60")</f>
        <v>REAL-TIME KINEMATIC – GEOMAX ZENITH60</v>
      </c>
      <c r="D791" s="164" t="str">
        <f ca="1">IFERROR(__xludf.DUMMYFUNCTION("""COMPUTED_VALUE"""),"₱ 1,849,000.00")</f>
        <v>₱ 1,849,000.00</v>
      </c>
      <c r="E791" s="164" t="str">
        <f ca="1">IFERROR(__xludf.DUMMYFUNCTION("""COMPUTED_VALUE"""),"₱ -")</f>
        <v>₱ -</v>
      </c>
      <c r="F791" s="164" t="str">
        <f ca="1">IFERROR(__xludf.DUMMYFUNCTION("""COMPUTED_VALUE"""),"2023-05-14-10201SP11-01")</f>
        <v>2023-05-14-10201SP11-01</v>
      </c>
      <c r="G791" s="164" t="str">
        <f ca="1">IFERROR(__xludf.DUMMYFUNCTION("""COMPUTED_VALUE"""),"Z60ST272200103")</f>
        <v>Z60ST272200103</v>
      </c>
      <c r="H791" s="164" t="str">
        <f ca="1">IFERROR(__xludf.DUMMYFUNCTION("""COMPUTED_VALUE"""),"ARTEMIO DUMAOANG")</f>
        <v>ARTEMIO DUMAOANG</v>
      </c>
      <c r="I791" s="164" t="str">
        <f ca="1">IFERROR(__xludf.DUMMYFUNCTION("""COMPUTED_VALUE"""),"ARPT/MIS Coordinator")</f>
        <v>ARPT/MIS Coordinator</v>
      </c>
      <c r="J791" s="164" t="str">
        <f ca="1">IFERROR(__xludf.DUMMYFUNCTION("""COMPUTED_VALUE"""),"2023-03-10 SPLIT")</f>
        <v>2023-03-10 SPLIT</v>
      </c>
      <c r="K791" s="164" t="str">
        <f ca="1">IFERROR(__xludf.DUMMYFUNCTION("""COMPUTED_VALUE"""),"Ethyl Kate Pelovello")</f>
        <v>Ethyl Kate Pelovello</v>
      </c>
      <c r="L791" s="164" t="str">
        <f ca="1">IFERROR(__xludf.DUMMYFUNCTION("""COMPUTED_VALUE"""),"DARRO")</f>
        <v>DARRO</v>
      </c>
      <c r="M791" s="164" t="str">
        <f ca="1">IFERROR(__xludf.DUMMYFUNCTION("""COMPUTED_VALUE"""),"SERVICEABLE")</f>
        <v>SERVICEABLE</v>
      </c>
      <c r="N791" s="164"/>
    </row>
    <row r="792" spans="1:14" ht="13.2" hidden="1">
      <c r="A792" s="164" t="str">
        <f ca="1">IFERROR(__xludf.DUMMYFUNCTION("""COMPUTED_VALUE"""),"CAR")</f>
        <v>CAR</v>
      </c>
      <c r="B792" s="164" t="str">
        <f ca="1">IFERROR(__xludf.DUMMYFUNCTION("""COMPUTED_VALUE"""),"Apayao")</f>
        <v>Apayao</v>
      </c>
      <c r="C792" s="164" t="str">
        <f ca="1">IFERROR(__xludf.DUMMYFUNCTION("""COMPUTED_VALUE"""),"TOTAL STATION – GEOMAX TOTAL STATION ZOOM 50")</f>
        <v>TOTAL STATION – GEOMAX TOTAL STATION ZOOM 50</v>
      </c>
      <c r="D792" s="164" t="str">
        <f ca="1">IFERROR(__xludf.DUMMYFUNCTION("""COMPUTED_VALUE"""),"₱ 648,000.00")</f>
        <v>₱ 648,000.00</v>
      </c>
      <c r="E792" s="164" t="str">
        <f ca="1">IFERROR(__xludf.DUMMYFUNCTION("""COMPUTED_VALUE"""),"₱ -")</f>
        <v>₱ -</v>
      </c>
      <c r="F792" s="164" t="str">
        <f ca="1">IFERROR(__xludf.DUMMYFUNCTION("""COMPUTED_VALUE"""),"2023-05-14-10201SP11-01")</f>
        <v>2023-05-14-10201SP11-01</v>
      </c>
      <c r="G792" s="164"/>
      <c r="H792" s="164" t="str">
        <f ca="1">IFERROR(__xludf.DUMMYFUNCTION("""COMPUTED_VALUE"""),"ARTEMIO DUMAOANG")</f>
        <v>ARTEMIO DUMAOANG</v>
      </c>
      <c r="I792" s="164" t="str">
        <f ca="1">IFERROR(__xludf.DUMMYFUNCTION("""COMPUTED_VALUE"""),"ARPT/MIS Coordinator")</f>
        <v>ARPT/MIS Coordinator</v>
      </c>
      <c r="J792" s="164" t="str">
        <f ca="1">IFERROR(__xludf.DUMMYFUNCTION("""COMPUTED_VALUE"""),"2023-03-15 SPLIT")</f>
        <v>2023-03-15 SPLIT</v>
      </c>
      <c r="K792" s="164" t="str">
        <f ca="1">IFERROR(__xludf.DUMMYFUNCTION("""COMPUTED_VALUE"""),"Ethyl Kate Pelovello")</f>
        <v>Ethyl Kate Pelovello</v>
      </c>
      <c r="L792" s="164" t="str">
        <f ca="1">IFERROR(__xludf.DUMMYFUNCTION("""COMPUTED_VALUE"""),"DARRO")</f>
        <v>DARRO</v>
      </c>
      <c r="M792" s="164" t="str">
        <f ca="1">IFERROR(__xludf.DUMMYFUNCTION("""COMPUTED_VALUE"""),"SERVICEABLE")</f>
        <v>SERVICEABLE</v>
      </c>
      <c r="N792" s="164"/>
    </row>
    <row r="793" spans="1:14" ht="13.2" hidden="1">
      <c r="A793" s="164" t="str">
        <f ca="1">IFERROR(__xludf.DUMMYFUNCTION("""COMPUTED_VALUE"""),"CAR")</f>
        <v>CAR</v>
      </c>
      <c r="B793" s="164" t="str">
        <f ca="1">IFERROR(__xludf.DUMMYFUNCTION("""COMPUTED_VALUE"""),"Apayao")</f>
        <v>Apayao</v>
      </c>
      <c r="C793" s="164" t="str">
        <f ca="1">IFERROR(__xludf.DUMMYFUNCTION("""COMPUTED_VALUE"""),"HANDHELD GPS – MODEL P6")</f>
        <v>HANDHELD GPS – MODEL P6</v>
      </c>
      <c r="D793" s="164" t="str">
        <f ca="1">IFERROR(__xludf.DUMMYFUNCTION("""COMPUTED_VALUE"""),"₱ 79,000.00")</f>
        <v>₱ 79,000.00</v>
      </c>
      <c r="E793" s="164" t="str">
        <f ca="1">IFERROR(__xludf.DUMMYFUNCTION("""COMPUTED_VALUE"""),"₱ -")</f>
        <v>₱ -</v>
      </c>
      <c r="F793" s="164" t="str">
        <f ca="1">IFERROR(__xludf.DUMMYFUNCTION("""COMPUTED_VALUE"""),"2023-05-14-10202SP11-01")</f>
        <v>2023-05-14-10202SP11-01</v>
      </c>
      <c r="G793" s="164" t="str">
        <f ca="1">IFERROR(__xludf.DUMMYFUNCTION("""COMPUTED_VALUE"""),"SP10730017")</f>
        <v>SP10730017</v>
      </c>
      <c r="H793" s="164" t="str">
        <f ca="1">IFERROR(__xludf.DUMMYFUNCTION("""COMPUTED_VALUE"""),"ARTEMIO DUMAOANG")</f>
        <v>ARTEMIO DUMAOANG</v>
      </c>
      <c r="I793" s="164" t="str">
        <f ca="1">IFERROR(__xludf.DUMMYFUNCTION("""COMPUTED_VALUE"""),"OIC PARPO II /Project Manager")</f>
        <v>OIC PARPO II /Project Manager</v>
      </c>
      <c r="J793" s="164" t="str">
        <f ca="1">IFERROR(__xludf.DUMMYFUNCTION("""COMPUTED_VALUE"""),"2023-03-20 SPLIT")</f>
        <v>2023-03-20 SPLIT</v>
      </c>
      <c r="K793" s="164" t="str">
        <f ca="1">IFERROR(__xludf.DUMMYFUNCTION("""COMPUTED_VALUE"""),"Ethyl Kate Pelovello")</f>
        <v>Ethyl Kate Pelovello</v>
      </c>
      <c r="L793" s="164" t="str">
        <f ca="1">IFERROR(__xludf.DUMMYFUNCTION("""COMPUTED_VALUE"""),"DARRO")</f>
        <v>DARRO</v>
      </c>
      <c r="M793" s="164" t="str">
        <f ca="1">IFERROR(__xludf.DUMMYFUNCTION("""COMPUTED_VALUE"""),"SERVICEABLE")</f>
        <v>SERVICEABLE</v>
      </c>
      <c r="N793" s="164"/>
    </row>
    <row r="794" spans="1:14" ht="13.2" hidden="1">
      <c r="A794" s="164" t="str">
        <f ca="1">IFERROR(__xludf.DUMMYFUNCTION("""COMPUTED_VALUE"""),"CAR")</f>
        <v>CAR</v>
      </c>
      <c r="B794" s="164" t="str">
        <f ca="1">IFERROR(__xludf.DUMMYFUNCTION("""COMPUTED_VALUE"""),"Apayao")</f>
        <v>Apayao</v>
      </c>
      <c r="C794" s="164" t="str">
        <f ca="1">IFERROR(__xludf.DUMMYFUNCTION("""COMPUTED_VALUE"""),"Desktop Computer – (Lenovo M70T)")</f>
        <v>Desktop Computer – (Lenovo M70T)</v>
      </c>
      <c r="D794" s="164" t="str">
        <f ca="1">IFERROR(__xludf.DUMMYFUNCTION("""COMPUTED_VALUE"""),"₱ 75,468.00")</f>
        <v>₱ 75,468.00</v>
      </c>
      <c r="E794" s="164" t="str">
        <f ca="1">IFERROR(__xludf.DUMMYFUNCTION("""COMPUTED_VALUE"""),"₱ -")</f>
        <v>₱ -</v>
      </c>
      <c r="F794" s="164" t="str">
        <f ca="1">IFERROR(__xludf.DUMMYFUNCTION("""COMPUTED_VALUE"""),"2023-05-03-10201SP529-01")</f>
        <v>2023-05-03-10201SP529-01</v>
      </c>
      <c r="G794" s="164" t="str">
        <f ca="1">IFERROR(__xludf.DUMMYFUNCTION("""COMPUTED_VALUE"""),"1S11T5S16200GM0415XN")</f>
        <v>1S11T5S16200GM0415XN</v>
      </c>
      <c r="H794" s="164" t="str">
        <f ca="1">IFERROR(__xludf.DUMMYFUNCTION("""COMPUTED_VALUE"""),"ISIDRA C. CALUDUCAN")</f>
        <v>ISIDRA C. CALUDUCAN</v>
      </c>
      <c r="I794" s="164" t="str">
        <f ca="1">IFERROR(__xludf.DUMMYFUNCTION("""COMPUTED_VALUE"""),"OIC PCAO/ Technical Staff - Admin &amp; Finance Coordinator")</f>
        <v>OIC PCAO/ Technical Staff - Admin &amp; Finance Coordinator</v>
      </c>
      <c r="J794" s="164" t="str">
        <f ca="1">IFERROR(__xludf.DUMMYFUNCTION("""COMPUTED_VALUE"""),"2023-04-32 SPLIT")</f>
        <v>2023-04-32 SPLIT</v>
      </c>
      <c r="K794" s="164"/>
      <c r="L794" s="164" t="str">
        <f ca="1">IFERROR(__xludf.DUMMYFUNCTION("""COMPUTED_VALUE"""),"DARRO")</f>
        <v>DARRO</v>
      </c>
      <c r="M794" s="164" t="str">
        <f ca="1">IFERROR(__xludf.DUMMYFUNCTION("""COMPUTED_VALUE"""),"SERVICEABLE")</f>
        <v>SERVICEABLE</v>
      </c>
      <c r="N794" s="164"/>
    </row>
    <row r="795" spans="1:14" ht="13.2" hidden="1">
      <c r="A795" s="164" t="str">
        <f ca="1">IFERROR(__xludf.DUMMYFUNCTION("""COMPUTED_VALUE"""),"CAR")</f>
        <v>CAR</v>
      </c>
      <c r="B795" s="164" t="str">
        <f ca="1">IFERROR(__xludf.DUMMYFUNCTION("""COMPUTED_VALUE"""),"Apayao")</f>
        <v>Apayao</v>
      </c>
      <c r="C795" s="164" t="str">
        <f ca="1">IFERROR(__xludf.DUMMYFUNCTION("""COMPUTED_VALUE"""),"Desktop Computer – (Lenovo M70T)")</f>
        <v>Desktop Computer – (Lenovo M70T)</v>
      </c>
      <c r="D795" s="164" t="str">
        <f ca="1">IFERROR(__xludf.DUMMYFUNCTION("""COMPUTED_VALUE"""),"₱ 75,468.00")</f>
        <v>₱ 75,468.00</v>
      </c>
      <c r="E795" s="164" t="str">
        <f ca="1">IFERROR(__xludf.DUMMYFUNCTION("""COMPUTED_VALUE"""),"₱ -")</f>
        <v>₱ -</v>
      </c>
      <c r="F795" s="164" t="str">
        <f ca="1">IFERROR(__xludf.DUMMYFUNCTION("""COMPUTED_VALUE"""),"2023-05-03-10201SP530-01")</f>
        <v>2023-05-03-10201SP530-01</v>
      </c>
      <c r="G795" s="164" t="str">
        <f ca="1">IFERROR(__xludf.DUMMYFUNCTION("""COMPUTED_VALUE"""),"1S11T5S16200GM0415XR")</f>
        <v>1S11T5S16200GM0415XR</v>
      </c>
      <c r="H795" s="164" t="str">
        <f ca="1">IFERROR(__xludf.DUMMYFUNCTION("""COMPUTED_VALUE"""),"ISIDRA C. CALUDUCAN")</f>
        <v>ISIDRA C. CALUDUCAN</v>
      </c>
      <c r="I795" s="164" t="str">
        <f ca="1">IFERROR(__xludf.DUMMYFUNCTION("""COMPUTED_VALUE"""),"OIC PCAO/ Technical Staff - Admin &amp; Finance Coordinator")</f>
        <v>OIC PCAO/ Technical Staff - Admin &amp; Finance Coordinator</v>
      </c>
      <c r="J795" s="164" t="str">
        <f ca="1">IFERROR(__xludf.DUMMYFUNCTION("""COMPUTED_VALUE"""),"2023-04-32 SPLIT")</f>
        <v>2023-04-32 SPLIT</v>
      </c>
      <c r="K795" s="164"/>
      <c r="L795" s="164" t="str">
        <f ca="1">IFERROR(__xludf.DUMMYFUNCTION("""COMPUTED_VALUE"""),"DARRO")</f>
        <v>DARRO</v>
      </c>
      <c r="M795" s="164" t="str">
        <f ca="1">IFERROR(__xludf.DUMMYFUNCTION("""COMPUTED_VALUE"""),"SERVICEABLE")</f>
        <v>SERVICEABLE</v>
      </c>
      <c r="N795" s="164"/>
    </row>
    <row r="796" spans="1:14" ht="13.2" hidden="1">
      <c r="A796" s="164" t="str">
        <f ca="1">IFERROR(__xludf.DUMMYFUNCTION("""COMPUTED_VALUE"""),"CAR")</f>
        <v>CAR</v>
      </c>
      <c r="B796" s="164" t="str">
        <f ca="1">IFERROR(__xludf.DUMMYFUNCTION("""COMPUTED_VALUE"""),"Apayao")</f>
        <v>Apayao</v>
      </c>
      <c r="C796" s="164" t="str">
        <f ca="1">IFERROR(__xludf.DUMMYFUNCTION("""COMPUTED_VALUE"""),"Desktop Computer – (Lenovo M70T)")</f>
        <v>Desktop Computer – (Lenovo M70T)</v>
      </c>
      <c r="D796" s="164" t="str">
        <f ca="1">IFERROR(__xludf.DUMMYFUNCTION("""COMPUTED_VALUE"""),"₱ 75,468.00")</f>
        <v>₱ 75,468.00</v>
      </c>
      <c r="E796" s="164" t="str">
        <f ca="1">IFERROR(__xludf.DUMMYFUNCTION("""COMPUTED_VALUE"""),"₱ -")</f>
        <v>₱ -</v>
      </c>
      <c r="F796" s="164" t="str">
        <f ca="1">IFERROR(__xludf.DUMMYFUNCTION("""COMPUTED_VALUE"""),"2023-05-03-10201SP531-01")</f>
        <v>2023-05-03-10201SP531-01</v>
      </c>
      <c r="G796" s="164" t="str">
        <f ca="1">IFERROR(__xludf.DUMMYFUNCTION("""COMPUTED_VALUE"""),"1S11T5S16200GM0415XS")</f>
        <v>1S11T5S16200GM0415XS</v>
      </c>
      <c r="H796" s="164" t="str">
        <f ca="1">IFERROR(__xludf.DUMMYFUNCTION("""COMPUTED_VALUE"""),"ISIDRA C. CALUDUCAN")</f>
        <v>ISIDRA C. CALUDUCAN</v>
      </c>
      <c r="I796" s="164" t="str">
        <f ca="1">IFERROR(__xludf.DUMMYFUNCTION("""COMPUTED_VALUE"""),"OIC PCAO/ Technical Staff - Admin &amp; Finance Coordinator")</f>
        <v>OIC PCAO/ Technical Staff - Admin &amp; Finance Coordinator</v>
      </c>
      <c r="J796" s="164" t="str">
        <f ca="1">IFERROR(__xludf.DUMMYFUNCTION("""COMPUTED_VALUE"""),"2023-04-32 SPLIT")</f>
        <v>2023-04-32 SPLIT</v>
      </c>
      <c r="K796" s="164"/>
      <c r="L796" s="164" t="str">
        <f ca="1">IFERROR(__xludf.DUMMYFUNCTION("""COMPUTED_VALUE"""),"DARRO")</f>
        <v>DARRO</v>
      </c>
      <c r="M796" s="164" t="str">
        <f ca="1">IFERROR(__xludf.DUMMYFUNCTION("""COMPUTED_VALUE"""),"SERVICEABLE")</f>
        <v>SERVICEABLE</v>
      </c>
      <c r="N796" s="164"/>
    </row>
    <row r="797" spans="1:14" ht="13.2" hidden="1">
      <c r="A797" s="164" t="str">
        <f ca="1">IFERROR(__xludf.DUMMYFUNCTION("""COMPUTED_VALUE"""),"CAR")</f>
        <v>CAR</v>
      </c>
      <c r="B797" s="164" t="str">
        <f ca="1">IFERROR(__xludf.DUMMYFUNCTION("""COMPUTED_VALUE"""),"Apayao")</f>
        <v>Apayao</v>
      </c>
      <c r="C797" s="164" t="str">
        <f ca="1">IFERROR(__xludf.DUMMYFUNCTION("""COMPUTED_VALUE"""),"Desktop Computer – (Lenovo M70T)")</f>
        <v>Desktop Computer – (Lenovo M70T)</v>
      </c>
      <c r="D797" s="164" t="str">
        <f ca="1">IFERROR(__xludf.DUMMYFUNCTION("""COMPUTED_VALUE"""),"₱ 75,468.00")</f>
        <v>₱ 75,468.00</v>
      </c>
      <c r="E797" s="164" t="str">
        <f ca="1">IFERROR(__xludf.DUMMYFUNCTION("""COMPUTED_VALUE"""),"₱ -")</f>
        <v>₱ -</v>
      </c>
      <c r="F797" s="164" t="str">
        <f ca="1">IFERROR(__xludf.DUMMYFUNCTION("""COMPUTED_VALUE"""),"2023-05-03-10201SP532-01")</f>
        <v>2023-05-03-10201SP532-01</v>
      </c>
      <c r="G797" s="164" t="str">
        <f ca="1">IFERROR(__xludf.DUMMYFUNCTION("""COMPUTED_VALUE"""),"1S11T5S16200GM0415XT")</f>
        <v>1S11T5S16200GM0415XT</v>
      </c>
      <c r="H797" s="164" t="str">
        <f ca="1">IFERROR(__xludf.DUMMYFUNCTION("""COMPUTED_VALUE"""),"ISIDRA C. CALUDUCAN")</f>
        <v>ISIDRA C. CALUDUCAN</v>
      </c>
      <c r="I797" s="164" t="str">
        <f ca="1">IFERROR(__xludf.DUMMYFUNCTION("""COMPUTED_VALUE"""),"OIC PCAO/ Technical Staff - Admin &amp; Finance Coordinator")</f>
        <v>OIC PCAO/ Technical Staff - Admin &amp; Finance Coordinator</v>
      </c>
      <c r="J797" s="164" t="str">
        <f ca="1">IFERROR(__xludf.DUMMYFUNCTION("""COMPUTED_VALUE"""),"2023-04-32 SPLIT")</f>
        <v>2023-04-32 SPLIT</v>
      </c>
      <c r="K797" s="164"/>
      <c r="L797" s="164" t="str">
        <f ca="1">IFERROR(__xludf.DUMMYFUNCTION("""COMPUTED_VALUE"""),"DARRO")</f>
        <v>DARRO</v>
      </c>
      <c r="M797" s="164" t="str">
        <f ca="1">IFERROR(__xludf.DUMMYFUNCTION("""COMPUTED_VALUE"""),"SERVICEABLE")</f>
        <v>SERVICEABLE</v>
      </c>
      <c r="N797" s="164"/>
    </row>
    <row r="798" spans="1:14" ht="13.2" hidden="1">
      <c r="A798" s="164" t="str">
        <f ca="1">IFERROR(__xludf.DUMMYFUNCTION("""COMPUTED_VALUE"""),"CAR")</f>
        <v>CAR</v>
      </c>
      <c r="B798" s="164" t="str">
        <f ca="1">IFERROR(__xludf.DUMMYFUNCTION("""COMPUTED_VALUE"""),"Apayao")</f>
        <v>Apayao</v>
      </c>
      <c r="C798" s="164" t="str">
        <f ca="1">IFERROR(__xludf.DUMMYFUNCTION("""COMPUTED_VALUE"""),"Desktop Computer – (Lenovo M70T)")</f>
        <v>Desktop Computer – (Lenovo M70T)</v>
      </c>
      <c r="D798" s="164" t="str">
        <f ca="1">IFERROR(__xludf.DUMMYFUNCTION("""COMPUTED_VALUE"""),"₱ 75,468.00")</f>
        <v>₱ 75,468.00</v>
      </c>
      <c r="E798" s="164" t="str">
        <f ca="1">IFERROR(__xludf.DUMMYFUNCTION("""COMPUTED_VALUE"""),"₱ -")</f>
        <v>₱ -</v>
      </c>
      <c r="F798" s="164" t="str">
        <f ca="1">IFERROR(__xludf.DUMMYFUNCTION("""COMPUTED_VALUE"""),"2023-05-03-10201SP533-01")</f>
        <v>2023-05-03-10201SP533-01</v>
      </c>
      <c r="G798" s="164" t="str">
        <f ca="1">IFERROR(__xludf.DUMMYFUNCTION("""COMPUTED_VALUE"""),"1S11T5S16200GM0415XV")</f>
        <v>1S11T5S16200GM0415XV</v>
      </c>
      <c r="H798" s="164" t="str">
        <f ca="1">IFERROR(__xludf.DUMMYFUNCTION("""COMPUTED_VALUE"""),"ISIDRA C. CALUDUCAN")</f>
        <v>ISIDRA C. CALUDUCAN</v>
      </c>
      <c r="I798" s="164" t="str">
        <f ca="1">IFERROR(__xludf.DUMMYFUNCTION("""COMPUTED_VALUE"""),"OIC PCAO/ Technical Staff - Admin &amp; Finance Coordinator")</f>
        <v>OIC PCAO/ Technical Staff - Admin &amp; Finance Coordinator</v>
      </c>
      <c r="J798" s="164" t="str">
        <f ca="1">IFERROR(__xludf.DUMMYFUNCTION("""COMPUTED_VALUE"""),"2023-04-32 SPLIT")</f>
        <v>2023-04-32 SPLIT</v>
      </c>
      <c r="K798" s="164"/>
      <c r="L798" s="164" t="str">
        <f ca="1">IFERROR(__xludf.DUMMYFUNCTION("""COMPUTED_VALUE"""),"DARRO")</f>
        <v>DARRO</v>
      </c>
      <c r="M798" s="164" t="str">
        <f ca="1">IFERROR(__xludf.DUMMYFUNCTION("""COMPUTED_VALUE"""),"SERVICEABLE")</f>
        <v>SERVICEABLE</v>
      </c>
      <c r="N798" s="164"/>
    </row>
    <row r="799" spans="1:14" ht="13.2" hidden="1">
      <c r="A799" s="164" t="str">
        <f ca="1">IFERROR(__xludf.DUMMYFUNCTION("""COMPUTED_VALUE"""),"CAR")</f>
        <v>CAR</v>
      </c>
      <c r="B799" s="164" t="str">
        <f ca="1">IFERROR(__xludf.DUMMYFUNCTION("""COMPUTED_VALUE"""),"Apayao")</f>
        <v>Apayao</v>
      </c>
      <c r="C799" s="164" t="str">
        <f ca="1">IFERROR(__xludf.DUMMYFUNCTION("""COMPUTED_VALUE"""),"Desktop Computer – (Lenovo M70T)")</f>
        <v>Desktop Computer – (Lenovo M70T)</v>
      </c>
      <c r="D799" s="164" t="str">
        <f ca="1">IFERROR(__xludf.DUMMYFUNCTION("""COMPUTED_VALUE"""),"₱ 75,468.00")</f>
        <v>₱ 75,468.00</v>
      </c>
      <c r="E799" s="164" t="str">
        <f ca="1">IFERROR(__xludf.DUMMYFUNCTION("""COMPUTED_VALUE"""),"₱ -")</f>
        <v>₱ -</v>
      </c>
      <c r="F799" s="164" t="str">
        <f ca="1">IFERROR(__xludf.DUMMYFUNCTION("""COMPUTED_VALUE"""),"2023-05-03-10201SP534-01")</f>
        <v>2023-05-03-10201SP534-01</v>
      </c>
      <c r="G799" s="164" t="str">
        <f ca="1">IFERROR(__xludf.DUMMYFUNCTION("""COMPUTED_VALUE"""),"1S11T5S16200GM0415XW")</f>
        <v>1S11T5S16200GM0415XW</v>
      </c>
      <c r="H799" s="164" t="str">
        <f ca="1">IFERROR(__xludf.DUMMYFUNCTION("""COMPUTED_VALUE"""),"ISIDRA C. CALUDUCAN")</f>
        <v>ISIDRA C. CALUDUCAN</v>
      </c>
      <c r="I799" s="164" t="str">
        <f ca="1">IFERROR(__xludf.DUMMYFUNCTION("""COMPUTED_VALUE"""),"OIC PCAO/ Technical Staff - Admin &amp; Finance Coordinator")</f>
        <v>OIC PCAO/ Technical Staff - Admin &amp; Finance Coordinator</v>
      </c>
      <c r="J799" s="164" t="str">
        <f ca="1">IFERROR(__xludf.DUMMYFUNCTION("""COMPUTED_VALUE"""),"2023-04-32 SPLIT")</f>
        <v>2023-04-32 SPLIT</v>
      </c>
      <c r="K799" s="164"/>
      <c r="L799" s="164" t="str">
        <f ca="1">IFERROR(__xludf.DUMMYFUNCTION("""COMPUTED_VALUE"""),"DARRO")</f>
        <v>DARRO</v>
      </c>
      <c r="M799" s="164" t="str">
        <f ca="1">IFERROR(__xludf.DUMMYFUNCTION("""COMPUTED_VALUE"""),"SERVICEABLE")</f>
        <v>SERVICEABLE</v>
      </c>
      <c r="N799" s="164"/>
    </row>
    <row r="800" spans="1:14" ht="13.2" hidden="1">
      <c r="A800" s="164" t="str">
        <f ca="1">IFERROR(__xludf.DUMMYFUNCTION("""COMPUTED_VALUE"""),"CAR")</f>
        <v>CAR</v>
      </c>
      <c r="B800" s="164" t="str">
        <f ca="1">IFERROR(__xludf.DUMMYFUNCTION("""COMPUTED_VALUE"""),"Apayao")</f>
        <v>Apayao</v>
      </c>
      <c r="C800" s="164" t="str">
        <f ca="1">IFERROR(__xludf.DUMMYFUNCTION("""COMPUTED_VALUE"""),"Desktop Computer – (Lenovo M70T)")</f>
        <v>Desktop Computer – (Lenovo M70T)</v>
      </c>
      <c r="D800" s="164" t="str">
        <f ca="1">IFERROR(__xludf.DUMMYFUNCTION("""COMPUTED_VALUE"""),"₱ 75,468.00")</f>
        <v>₱ 75,468.00</v>
      </c>
      <c r="E800" s="164" t="str">
        <f ca="1">IFERROR(__xludf.DUMMYFUNCTION("""COMPUTED_VALUE"""),"₱ -")</f>
        <v>₱ -</v>
      </c>
      <c r="F800" s="164" t="str">
        <f ca="1">IFERROR(__xludf.DUMMYFUNCTION("""COMPUTED_VALUE"""),"2023-05-03-10201SP535-01")</f>
        <v>2023-05-03-10201SP535-01</v>
      </c>
      <c r="G800" s="164" t="str">
        <f ca="1">IFERROR(__xludf.DUMMYFUNCTION("""COMPUTED_VALUE"""),"1S11T5S16200GM0415XY")</f>
        <v>1S11T5S16200GM0415XY</v>
      </c>
      <c r="H800" s="164" t="str">
        <f ca="1">IFERROR(__xludf.DUMMYFUNCTION("""COMPUTED_VALUE"""),"ISIDRA C. CALUDUCAN")</f>
        <v>ISIDRA C. CALUDUCAN</v>
      </c>
      <c r="I800" s="164" t="str">
        <f ca="1">IFERROR(__xludf.DUMMYFUNCTION("""COMPUTED_VALUE"""),"OIC PCAO/ Technical Staff - Admin &amp; Finance Coordinator")</f>
        <v>OIC PCAO/ Technical Staff - Admin &amp; Finance Coordinator</v>
      </c>
      <c r="J800" s="164" t="str">
        <f ca="1">IFERROR(__xludf.DUMMYFUNCTION("""COMPUTED_VALUE"""),"2023-04-32 SPLIT")</f>
        <v>2023-04-32 SPLIT</v>
      </c>
      <c r="K800" s="164"/>
      <c r="L800" s="164" t="str">
        <f ca="1">IFERROR(__xludf.DUMMYFUNCTION("""COMPUTED_VALUE"""),"DARRO")</f>
        <v>DARRO</v>
      </c>
      <c r="M800" s="164" t="str">
        <f ca="1">IFERROR(__xludf.DUMMYFUNCTION("""COMPUTED_VALUE"""),"SERVICEABLE")</f>
        <v>SERVICEABLE</v>
      </c>
      <c r="N800" s="164"/>
    </row>
    <row r="801" spans="1:14" ht="13.2" hidden="1">
      <c r="A801" s="164" t="str">
        <f ca="1">IFERROR(__xludf.DUMMYFUNCTION("""COMPUTED_VALUE"""),"CAR")</f>
        <v>CAR</v>
      </c>
      <c r="B801" s="164" t="str">
        <f ca="1">IFERROR(__xludf.DUMMYFUNCTION("""COMPUTED_VALUE"""),"Apayao")</f>
        <v>Apayao</v>
      </c>
      <c r="C801" s="164" t="str">
        <f ca="1">IFERROR(__xludf.DUMMYFUNCTION("""COMPUTED_VALUE"""),"Desktop Computer – (Lenovo M70T)")</f>
        <v>Desktop Computer – (Lenovo M70T)</v>
      </c>
      <c r="D801" s="164" t="str">
        <f ca="1">IFERROR(__xludf.DUMMYFUNCTION("""COMPUTED_VALUE"""),"₱ 75,468.00")</f>
        <v>₱ 75,468.00</v>
      </c>
      <c r="E801" s="164" t="str">
        <f ca="1">IFERROR(__xludf.DUMMYFUNCTION("""COMPUTED_VALUE"""),"₱ -")</f>
        <v>₱ -</v>
      </c>
      <c r="F801" s="164" t="str">
        <f ca="1">IFERROR(__xludf.DUMMYFUNCTION("""COMPUTED_VALUE"""),"2023-05-03-10201SP536-01")</f>
        <v>2023-05-03-10201SP536-01</v>
      </c>
      <c r="G801" s="164" t="str">
        <f ca="1">IFERROR(__xludf.DUMMYFUNCTION("""COMPUTED_VALUE"""),"1S11T5S16200GM0415Y0")</f>
        <v>1S11T5S16200GM0415Y0</v>
      </c>
      <c r="H801" s="164" t="str">
        <f ca="1">IFERROR(__xludf.DUMMYFUNCTION("""COMPUTED_VALUE"""),"ISIDRA C. CALUDUCAN")</f>
        <v>ISIDRA C. CALUDUCAN</v>
      </c>
      <c r="I801" s="164" t="str">
        <f ca="1">IFERROR(__xludf.DUMMYFUNCTION("""COMPUTED_VALUE"""),"OIC PCAO/ Technical Staff - Admin &amp; Finance Coordinator")</f>
        <v>OIC PCAO/ Technical Staff - Admin &amp; Finance Coordinator</v>
      </c>
      <c r="J801" s="164" t="str">
        <f ca="1">IFERROR(__xludf.DUMMYFUNCTION("""COMPUTED_VALUE"""),"2023-04-32 SPLIT")</f>
        <v>2023-04-32 SPLIT</v>
      </c>
      <c r="K801" s="164"/>
      <c r="L801" s="164" t="str">
        <f ca="1">IFERROR(__xludf.DUMMYFUNCTION("""COMPUTED_VALUE"""),"DARRO")</f>
        <v>DARRO</v>
      </c>
      <c r="M801" s="164" t="str">
        <f ca="1">IFERROR(__xludf.DUMMYFUNCTION("""COMPUTED_VALUE"""),"SERVICEABLE")</f>
        <v>SERVICEABLE</v>
      </c>
      <c r="N801" s="164"/>
    </row>
    <row r="802" spans="1:14" ht="13.2" hidden="1">
      <c r="A802" s="164" t="str">
        <f ca="1">IFERROR(__xludf.DUMMYFUNCTION("""COMPUTED_VALUE"""),"CAR")</f>
        <v>CAR</v>
      </c>
      <c r="B802" s="164" t="str">
        <f ca="1">IFERROR(__xludf.DUMMYFUNCTION("""COMPUTED_VALUE"""),"Apayao")</f>
        <v>Apayao</v>
      </c>
      <c r="C802" s="164" t="str">
        <f ca="1">IFERROR(__xludf.DUMMYFUNCTION("""COMPUTED_VALUE"""),"Desktop Computer – (Lenovo M70T)")</f>
        <v>Desktop Computer – (Lenovo M70T)</v>
      </c>
      <c r="D802" s="164" t="str">
        <f ca="1">IFERROR(__xludf.DUMMYFUNCTION("""COMPUTED_VALUE"""),"₱ 75,468.00")</f>
        <v>₱ 75,468.00</v>
      </c>
      <c r="E802" s="164" t="str">
        <f ca="1">IFERROR(__xludf.DUMMYFUNCTION("""COMPUTED_VALUE"""),"₱ -")</f>
        <v>₱ -</v>
      </c>
      <c r="F802" s="164" t="str">
        <f ca="1">IFERROR(__xludf.DUMMYFUNCTION("""COMPUTED_VALUE"""),"2023-05-03-10201SP537-01")</f>
        <v>2023-05-03-10201SP537-01</v>
      </c>
      <c r="G802" s="164" t="str">
        <f ca="1">IFERROR(__xludf.DUMMYFUNCTION("""COMPUTED_VALUE"""),"1S11T5S16200GM0415Y1")</f>
        <v>1S11T5S16200GM0415Y1</v>
      </c>
      <c r="H802" s="164" t="str">
        <f ca="1">IFERROR(__xludf.DUMMYFUNCTION("""COMPUTED_VALUE"""),"ISIDRA C. CALUDUCAN")</f>
        <v>ISIDRA C. CALUDUCAN</v>
      </c>
      <c r="I802" s="164" t="str">
        <f ca="1">IFERROR(__xludf.DUMMYFUNCTION("""COMPUTED_VALUE"""),"OIC PCAO/ Technical Staff - Admin &amp; Finance Coordinator")</f>
        <v>OIC PCAO/ Technical Staff - Admin &amp; Finance Coordinator</v>
      </c>
      <c r="J802" s="164" t="str">
        <f ca="1">IFERROR(__xludf.DUMMYFUNCTION("""COMPUTED_VALUE"""),"2023-04-32 SPLIT")</f>
        <v>2023-04-32 SPLIT</v>
      </c>
      <c r="K802" s="164"/>
      <c r="L802" s="164" t="str">
        <f ca="1">IFERROR(__xludf.DUMMYFUNCTION("""COMPUTED_VALUE"""),"DARRO")</f>
        <v>DARRO</v>
      </c>
      <c r="M802" s="164" t="str">
        <f ca="1">IFERROR(__xludf.DUMMYFUNCTION("""COMPUTED_VALUE"""),"SERVICEABLE")</f>
        <v>SERVICEABLE</v>
      </c>
      <c r="N802" s="164"/>
    </row>
    <row r="803" spans="1:14" ht="13.2" hidden="1">
      <c r="A803" s="164" t="str">
        <f ca="1">IFERROR(__xludf.DUMMYFUNCTION("""COMPUTED_VALUE"""),"CAR")</f>
        <v>CAR</v>
      </c>
      <c r="B803" s="164" t="str">
        <f ca="1">IFERROR(__xludf.DUMMYFUNCTION("""COMPUTED_VALUE"""),"Apayao")</f>
        <v>Apayao</v>
      </c>
      <c r="C803" s="164" t="str">
        <f ca="1">IFERROR(__xludf.DUMMYFUNCTION("""COMPUTED_VALUE"""),"Desktop Computer – (Lenovo M70T)")</f>
        <v>Desktop Computer – (Lenovo M70T)</v>
      </c>
      <c r="D803" s="164" t="str">
        <f ca="1">IFERROR(__xludf.DUMMYFUNCTION("""COMPUTED_VALUE"""),"₱ 75,468.00")</f>
        <v>₱ 75,468.00</v>
      </c>
      <c r="E803" s="164" t="str">
        <f ca="1">IFERROR(__xludf.DUMMYFUNCTION("""COMPUTED_VALUE"""),"₱ -")</f>
        <v>₱ -</v>
      </c>
      <c r="F803" s="164" t="str">
        <f ca="1">IFERROR(__xludf.DUMMYFUNCTION("""COMPUTED_VALUE"""),"2023-05-03-10201SP538-01")</f>
        <v>2023-05-03-10201SP538-01</v>
      </c>
      <c r="G803" s="164" t="str">
        <f ca="1">IFERROR(__xludf.DUMMYFUNCTION("""COMPUTED_VALUE"""),"1S11T5S16200GM0415Y2")</f>
        <v>1S11T5S16200GM0415Y2</v>
      </c>
      <c r="H803" s="164" t="str">
        <f ca="1">IFERROR(__xludf.DUMMYFUNCTION("""COMPUTED_VALUE"""),"ISIDRA C. CALUDUCAN")</f>
        <v>ISIDRA C. CALUDUCAN</v>
      </c>
      <c r="I803" s="164" t="str">
        <f ca="1">IFERROR(__xludf.DUMMYFUNCTION("""COMPUTED_VALUE"""),"OIC PCAO/ Technical Staff - Admin &amp; Finance Coordinator")</f>
        <v>OIC PCAO/ Technical Staff - Admin &amp; Finance Coordinator</v>
      </c>
      <c r="J803" s="164" t="str">
        <f ca="1">IFERROR(__xludf.DUMMYFUNCTION("""COMPUTED_VALUE"""),"2023-04-32 SPLIT")</f>
        <v>2023-04-32 SPLIT</v>
      </c>
      <c r="K803" s="164"/>
      <c r="L803" s="164" t="str">
        <f ca="1">IFERROR(__xludf.DUMMYFUNCTION("""COMPUTED_VALUE"""),"DARRO")</f>
        <v>DARRO</v>
      </c>
      <c r="M803" s="164" t="str">
        <f ca="1">IFERROR(__xludf.DUMMYFUNCTION("""COMPUTED_VALUE"""),"SERVICEABLE")</f>
        <v>SERVICEABLE</v>
      </c>
      <c r="N803" s="164"/>
    </row>
    <row r="804" spans="1:14" ht="13.2" hidden="1">
      <c r="A804" s="164" t="str">
        <f ca="1">IFERROR(__xludf.DUMMYFUNCTION("""COMPUTED_VALUE"""),"CAR")</f>
        <v>CAR</v>
      </c>
      <c r="B804" s="164" t="str">
        <f ca="1">IFERROR(__xludf.DUMMYFUNCTION("""COMPUTED_VALUE"""),"Apayao")</f>
        <v>Apayao</v>
      </c>
      <c r="C804" s="164" t="str">
        <f ca="1">IFERROR(__xludf.DUMMYFUNCTION("""COMPUTED_VALUE"""),"Desktop Computer – (Lenovo M70T)")</f>
        <v>Desktop Computer – (Lenovo M70T)</v>
      </c>
      <c r="D804" s="164" t="str">
        <f ca="1">IFERROR(__xludf.DUMMYFUNCTION("""COMPUTED_VALUE"""),"₱ 75,468.00")</f>
        <v>₱ 75,468.00</v>
      </c>
      <c r="E804" s="164" t="str">
        <f ca="1">IFERROR(__xludf.DUMMYFUNCTION("""COMPUTED_VALUE"""),"₱ -")</f>
        <v>₱ -</v>
      </c>
      <c r="F804" s="164" t="str">
        <f ca="1">IFERROR(__xludf.DUMMYFUNCTION("""COMPUTED_VALUE"""),"2023-05-03-10201SP539-01")</f>
        <v>2023-05-03-10201SP539-01</v>
      </c>
      <c r="G804" s="164" t="str">
        <f ca="1">IFERROR(__xludf.DUMMYFUNCTION("""COMPUTED_VALUE"""),"1S11T5S16200GM0415Y4")</f>
        <v>1S11T5S16200GM0415Y4</v>
      </c>
      <c r="H804" s="164" t="str">
        <f ca="1">IFERROR(__xludf.DUMMYFUNCTION("""COMPUTED_VALUE"""),"ISIDRA C. CALUDUCAN")</f>
        <v>ISIDRA C. CALUDUCAN</v>
      </c>
      <c r="I804" s="164" t="str">
        <f ca="1">IFERROR(__xludf.DUMMYFUNCTION("""COMPUTED_VALUE"""),"OIC PCAO/ Technical Staff - Admin &amp; Finance Coordinator")</f>
        <v>OIC PCAO/ Technical Staff - Admin &amp; Finance Coordinator</v>
      </c>
      <c r="J804" s="164" t="str">
        <f ca="1">IFERROR(__xludf.DUMMYFUNCTION("""COMPUTED_VALUE"""),"2023-04-32 SPLIT")</f>
        <v>2023-04-32 SPLIT</v>
      </c>
      <c r="K804" s="164"/>
      <c r="L804" s="164" t="str">
        <f ca="1">IFERROR(__xludf.DUMMYFUNCTION("""COMPUTED_VALUE"""),"DARRO")</f>
        <v>DARRO</v>
      </c>
      <c r="M804" s="164" t="str">
        <f ca="1">IFERROR(__xludf.DUMMYFUNCTION("""COMPUTED_VALUE"""),"SERVICEABLE")</f>
        <v>SERVICEABLE</v>
      </c>
      <c r="N804" s="164"/>
    </row>
    <row r="805" spans="1:14" ht="13.2" hidden="1">
      <c r="A805" s="164" t="str">
        <f ca="1">IFERROR(__xludf.DUMMYFUNCTION("""COMPUTED_VALUE"""),"CAR")</f>
        <v>CAR</v>
      </c>
      <c r="B805" s="164" t="str">
        <f ca="1">IFERROR(__xludf.DUMMYFUNCTION("""COMPUTED_VALUE"""),"Apayao")</f>
        <v>Apayao</v>
      </c>
      <c r="C805" s="164" t="str">
        <f ca="1">IFERROR(__xludf.DUMMYFUNCTION("""COMPUTED_VALUE"""),"Desktop Computer – (Lenovo M70T)")</f>
        <v>Desktop Computer – (Lenovo M70T)</v>
      </c>
      <c r="D805" s="164" t="str">
        <f ca="1">IFERROR(__xludf.DUMMYFUNCTION("""COMPUTED_VALUE"""),"₱ 75,468.00")</f>
        <v>₱ 75,468.00</v>
      </c>
      <c r="E805" s="164" t="str">
        <f ca="1">IFERROR(__xludf.DUMMYFUNCTION("""COMPUTED_VALUE"""),"₱ -")</f>
        <v>₱ -</v>
      </c>
      <c r="F805" s="164" t="str">
        <f ca="1">IFERROR(__xludf.DUMMYFUNCTION("""COMPUTED_VALUE"""),"2023-05-03-10201SP540-01")</f>
        <v>2023-05-03-10201SP540-01</v>
      </c>
      <c r="G805" s="164" t="str">
        <f ca="1">IFERROR(__xludf.DUMMYFUNCTION("""COMPUTED_VALUE"""),"1S11T5S16200GM0415Y5")</f>
        <v>1S11T5S16200GM0415Y5</v>
      </c>
      <c r="H805" s="164" t="str">
        <f ca="1">IFERROR(__xludf.DUMMYFUNCTION("""COMPUTED_VALUE"""),"ISIDRA C. CALUDUCAN")</f>
        <v>ISIDRA C. CALUDUCAN</v>
      </c>
      <c r="I805" s="164" t="str">
        <f ca="1">IFERROR(__xludf.DUMMYFUNCTION("""COMPUTED_VALUE"""),"OIC PCAO/ Technical Staff - Admin &amp; Finance Coordinator")</f>
        <v>OIC PCAO/ Technical Staff - Admin &amp; Finance Coordinator</v>
      </c>
      <c r="J805" s="164" t="str">
        <f ca="1">IFERROR(__xludf.DUMMYFUNCTION("""COMPUTED_VALUE"""),"2023-04-32 SPLIT")</f>
        <v>2023-04-32 SPLIT</v>
      </c>
      <c r="K805" s="164"/>
      <c r="L805" s="164" t="str">
        <f ca="1">IFERROR(__xludf.DUMMYFUNCTION("""COMPUTED_VALUE"""),"DARRO")</f>
        <v>DARRO</v>
      </c>
      <c r="M805" s="164" t="str">
        <f ca="1">IFERROR(__xludf.DUMMYFUNCTION("""COMPUTED_VALUE"""),"SERVICEABLE")</f>
        <v>SERVICEABLE</v>
      </c>
      <c r="N805" s="164"/>
    </row>
    <row r="806" spans="1:14" ht="13.2" hidden="1">
      <c r="A806" s="164" t="str">
        <f ca="1">IFERROR(__xludf.DUMMYFUNCTION("""COMPUTED_VALUE"""),"CAR")</f>
        <v>CAR</v>
      </c>
      <c r="B806" s="164" t="str">
        <f ca="1">IFERROR(__xludf.DUMMYFUNCTION("""COMPUTED_VALUE"""),"Apayao")</f>
        <v>Apayao</v>
      </c>
      <c r="C806" s="164" t="str">
        <f ca="1">IFERROR(__xludf.DUMMYFUNCTION("""COMPUTED_VALUE"""),"Desktop Computer – (Lenovo M70T)")</f>
        <v>Desktop Computer – (Lenovo M70T)</v>
      </c>
      <c r="D806" s="164" t="str">
        <f ca="1">IFERROR(__xludf.DUMMYFUNCTION("""COMPUTED_VALUE"""),"₱ 75,468.00")</f>
        <v>₱ 75,468.00</v>
      </c>
      <c r="E806" s="164" t="str">
        <f ca="1">IFERROR(__xludf.DUMMYFUNCTION("""COMPUTED_VALUE"""),"₱ -")</f>
        <v>₱ -</v>
      </c>
      <c r="F806" s="164" t="str">
        <f ca="1">IFERROR(__xludf.DUMMYFUNCTION("""COMPUTED_VALUE"""),"2023-05-03-10201SP541-01")</f>
        <v>2023-05-03-10201SP541-01</v>
      </c>
      <c r="G806" s="164" t="str">
        <f ca="1">IFERROR(__xludf.DUMMYFUNCTION("""COMPUTED_VALUE"""),"1S11T5S16200GM0415YT")</f>
        <v>1S11T5S16200GM0415YT</v>
      </c>
      <c r="H806" s="164" t="str">
        <f ca="1">IFERROR(__xludf.DUMMYFUNCTION("""COMPUTED_VALUE"""),"ISIDRA C. CALUDUCAN")</f>
        <v>ISIDRA C. CALUDUCAN</v>
      </c>
      <c r="I806" s="164" t="str">
        <f ca="1">IFERROR(__xludf.DUMMYFUNCTION("""COMPUTED_VALUE"""),"OIC PCAO/ Technical Staff - Admin &amp; Finance Coordinator")</f>
        <v>OIC PCAO/ Technical Staff - Admin &amp; Finance Coordinator</v>
      </c>
      <c r="J806" s="164" t="str">
        <f ca="1">IFERROR(__xludf.DUMMYFUNCTION("""COMPUTED_VALUE"""),"2023-04-32 SPLIT")</f>
        <v>2023-04-32 SPLIT</v>
      </c>
      <c r="K806" s="164"/>
      <c r="L806" s="164" t="str">
        <f ca="1">IFERROR(__xludf.DUMMYFUNCTION("""COMPUTED_VALUE"""),"DARRO")</f>
        <v>DARRO</v>
      </c>
      <c r="M806" s="164" t="str">
        <f ca="1">IFERROR(__xludf.DUMMYFUNCTION("""COMPUTED_VALUE"""),"SERVICEABLE")</f>
        <v>SERVICEABLE</v>
      </c>
      <c r="N806" s="164"/>
    </row>
    <row r="807" spans="1:14" ht="13.2" hidden="1">
      <c r="A807" s="164" t="str">
        <f ca="1">IFERROR(__xludf.DUMMYFUNCTION("""COMPUTED_VALUE"""),"CAR")</f>
        <v>CAR</v>
      </c>
      <c r="B807" s="164" t="str">
        <f ca="1">IFERROR(__xludf.DUMMYFUNCTION("""COMPUTED_VALUE"""),"Apayao")</f>
        <v>Apayao</v>
      </c>
      <c r="C807" s="164" t="str">
        <f ca="1">IFERROR(__xludf.DUMMYFUNCTION("""COMPUTED_VALUE"""),"Desktop Computer – (Lenovo M70T)")</f>
        <v>Desktop Computer – (Lenovo M70T)</v>
      </c>
      <c r="D807" s="164" t="str">
        <f ca="1">IFERROR(__xludf.DUMMYFUNCTION("""COMPUTED_VALUE"""),"₱ 75,468.00")</f>
        <v>₱ 75,468.00</v>
      </c>
      <c r="E807" s="164" t="str">
        <f ca="1">IFERROR(__xludf.DUMMYFUNCTION("""COMPUTED_VALUE"""),"₱ -")</f>
        <v>₱ -</v>
      </c>
      <c r="F807" s="164" t="str">
        <f ca="1">IFERROR(__xludf.DUMMYFUNCTION("""COMPUTED_VALUE"""),"2023-05-03-10201SP542-01")</f>
        <v>2023-05-03-10201SP542-01</v>
      </c>
      <c r="G807" s="164" t="str">
        <f ca="1">IFERROR(__xludf.DUMMYFUNCTION("""COMPUTED_VALUE"""),"1S11T5S16200GM0415YY")</f>
        <v>1S11T5S16200GM0415YY</v>
      </c>
      <c r="H807" s="164" t="str">
        <f ca="1">IFERROR(__xludf.DUMMYFUNCTION("""COMPUTED_VALUE"""),"ISIDRA C. CALUDUCAN")</f>
        <v>ISIDRA C. CALUDUCAN</v>
      </c>
      <c r="I807" s="164" t="str">
        <f ca="1">IFERROR(__xludf.DUMMYFUNCTION("""COMPUTED_VALUE"""),"OIC PCAO/ Technical Staff - Admin &amp; Finance Coordinator")</f>
        <v>OIC PCAO/ Technical Staff - Admin &amp; Finance Coordinator</v>
      </c>
      <c r="J807" s="164" t="str">
        <f ca="1">IFERROR(__xludf.DUMMYFUNCTION("""COMPUTED_VALUE"""),"2023-04-32 SPLIT")</f>
        <v>2023-04-32 SPLIT</v>
      </c>
      <c r="K807" s="164"/>
      <c r="L807" s="164" t="str">
        <f ca="1">IFERROR(__xludf.DUMMYFUNCTION("""COMPUTED_VALUE"""),"DARRO")</f>
        <v>DARRO</v>
      </c>
      <c r="M807" s="164" t="str">
        <f ca="1">IFERROR(__xludf.DUMMYFUNCTION("""COMPUTED_VALUE"""),"SERVICEABLE")</f>
        <v>SERVICEABLE</v>
      </c>
      <c r="N807" s="164"/>
    </row>
    <row r="808" spans="1:14" ht="13.2" hidden="1">
      <c r="A808" s="164" t="str">
        <f ca="1">IFERROR(__xludf.DUMMYFUNCTION("""COMPUTED_VALUE"""),"CAR")</f>
        <v>CAR</v>
      </c>
      <c r="B808" s="164" t="str">
        <f ca="1">IFERROR(__xludf.DUMMYFUNCTION("""COMPUTED_VALUE"""),"Apayao")</f>
        <v>Apayao</v>
      </c>
      <c r="C808" s="164" t="str">
        <f ca="1">IFERROR(__xludf.DUMMYFUNCTION("""COMPUTED_VALUE"""),"Desktop Computer – (HP Pro SFF 280G9)")</f>
        <v>Desktop Computer – (HP Pro SFF 280G9)</v>
      </c>
      <c r="D808" s="164" t="str">
        <f ca="1">IFERROR(__xludf.DUMMYFUNCTION("""COMPUTED_VALUE"""),"₱ 78,898.00")</f>
        <v>₱ 78,898.00</v>
      </c>
      <c r="E808" s="164" t="str">
        <f ca="1">IFERROR(__xludf.DUMMYFUNCTION("""COMPUTED_VALUE"""),"₱ -")</f>
        <v>₱ -</v>
      </c>
      <c r="F808" s="164" t="str">
        <f ca="1">IFERROR(__xludf.DUMMYFUNCTION("""COMPUTED_VALUE"""),"2023-05-03-10201SP355-01")</f>
        <v>2023-05-03-10201SP355-01</v>
      </c>
      <c r="G808" s="164" t="str">
        <f ca="1">IFERROR(__xludf.DUMMYFUNCTION("""COMPUTED_VALUE"""),"4CE301DH4H")</f>
        <v>4CE301DH4H</v>
      </c>
      <c r="H808" s="164" t="str">
        <f ca="1">IFERROR(__xludf.DUMMYFUNCTION("""COMPUTED_VALUE"""),"ATTY. PENELOPE B. DE AUSEN")</f>
        <v>ATTY. PENELOPE B. DE AUSEN</v>
      </c>
      <c r="I808" s="164" t="str">
        <f ca="1">IFERROR(__xludf.DUMMYFUNCTION("""COMPUTED_VALUE"""),"OIC PARPO II/ Project Manager")</f>
        <v>OIC PARPO II/ Project Manager</v>
      </c>
      <c r="J808" s="164" t="str">
        <f ca="1">IFERROR(__xludf.DUMMYFUNCTION("""COMPUTED_VALUE"""),"2023-08-62 SPLIT")</f>
        <v>2023-08-62 SPLIT</v>
      </c>
      <c r="K808" s="164" t="str">
        <f ca="1">IFERROR(__xludf.DUMMYFUNCTION("""COMPUTED_VALUE"""),"ATTY. PENELOPE B. DE AUSEN")</f>
        <v>ATTY. PENELOPE B. DE AUSEN</v>
      </c>
      <c r="L808" s="164" t="str">
        <f ca="1">IFERROR(__xludf.DUMMYFUNCTION("""COMPUTED_VALUE"""),"DARRO")</f>
        <v>DARRO</v>
      </c>
      <c r="M808" s="164" t="str">
        <f ca="1">IFERROR(__xludf.DUMMYFUNCTION("""COMPUTED_VALUE"""),"SERVICEABLE")</f>
        <v>SERVICEABLE</v>
      </c>
      <c r="N808" s="164"/>
    </row>
    <row r="809" spans="1:14" ht="13.2" hidden="1">
      <c r="A809" s="164" t="str">
        <f ca="1">IFERROR(__xludf.DUMMYFUNCTION("""COMPUTED_VALUE"""),"CAR")</f>
        <v>CAR</v>
      </c>
      <c r="B809" s="164" t="str">
        <f ca="1">IFERROR(__xludf.DUMMYFUNCTION("""COMPUTED_VALUE"""),"Apayao")</f>
        <v>Apayao</v>
      </c>
      <c r="C809" s="164" t="str">
        <f ca="1">IFERROR(__xludf.DUMMYFUNCTION("""COMPUTED_VALUE"""),"Desktop Computer – (HP Pro SFF 280G9)")</f>
        <v>Desktop Computer – (HP Pro SFF 280G9)</v>
      </c>
      <c r="D809" s="164" t="str">
        <f ca="1">IFERROR(__xludf.DUMMYFUNCTION("""COMPUTED_VALUE"""),"₱ 78,898.00")</f>
        <v>₱ 78,898.00</v>
      </c>
      <c r="E809" s="164" t="str">
        <f ca="1">IFERROR(__xludf.DUMMYFUNCTION("""COMPUTED_VALUE"""),"₱ -")</f>
        <v>₱ -</v>
      </c>
      <c r="F809" s="164" t="str">
        <f ca="1">IFERROR(__xludf.DUMMYFUNCTION("""COMPUTED_VALUE"""),"2023-05-03-10201SP356-01")</f>
        <v>2023-05-03-10201SP356-01</v>
      </c>
      <c r="G809" s="164" t="str">
        <f ca="1">IFERROR(__xludf.DUMMYFUNCTION("""COMPUTED_VALUE"""),"4CE301DH3K")</f>
        <v>4CE301DH3K</v>
      </c>
      <c r="H809" s="164" t="str">
        <f ca="1">IFERROR(__xludf.DUMMYFUNCTION("""COMPUTED_VALUE"""),"ATTY. PENELOPE B. DE AUSEN")</f>
        <v>ATTY. PENELOPE B. DE AUSEN</v>
      </c>
      <c r="I809" s="164" t="str">
        <f ca="1">IFERROR(__xludf.DUMMYFUNCTION("""COMPUTED_VALUE"""),"OIC PARPO II/ Project Manager")</f>
        <v>OIC PARPO II/ Project Manager</v>
      </c>
      <c r="J809" s="164" t="str">
        <f ca="1">IFERROR(__xludf.DUMMYFUNCTION("""COMPUTED_VALUE"""),"2023-08-62 SPLIT")</f>
        <v>2023-08-62 SPLIT</v>
      </c>
      <c r="K809" s="164" t="str">
        <f ca="1">IFERROR(__xludf.DUMMYFUNCTION("""COMPUTED_VALUE"""),"ATTY. PENELOPE B. DE AUSEN")</f>
        <v>ATTY. PENELOPE B. DE AUSEN</v>
      </c>
      <c r="L809" s="164" t="str">
        <f ca="1">IFERROR(__xludf.DUMMYFUNCTION("""COMPUTED_VALUE"""),"DARRO")</f>
        <v>DARRO</v>
      </c>
      <c r="M809" s="164" t="str">
        <f ca="1">IFERROR(__xludf.DUMMYFUNCTION("""COMPUTED_VALUE"""),"SERVICEABLE")</f>
        <v>SERVICEABLE</v>
      </c>
      <c r="N809" s="164"/>
    </row>
    <row r="810" spans="1:14" ht="13.2" hidden="1">
      <c r="A810" s="164" t="str">
        <f ca="1">IFERROR(__xludf.DUMMYFUNCTION("""COMPUTED_VALUE"""),"CAR")</f>
        <v>CAR</v>
      </c>
      <c r="B810" s="164" t="str">
        <f ca="1">IFERROR(__xludf.DUMMYFUNCTION("""COMPUTED_VALUE"""),"Apayao")</f>
        <v>Apayao</v>
      </c>
      <c r="C810" s="164" t="str">
        <f ca="1">IFERROR(__xludf.DUMMYFUNCTION("""COMPUTED_VALUE"""),"Laptop – (ACER EXTENSA EX215-55G i7)")</f>
        <v>Laptop – (ACER EXTENSA EX215-55G i7)</v>
      </c>
      <c r="D810" s="164" t="str">
        <f ca="1">IFERROR(__xludf.DUMMYFUNCTION("""COMPUTED_VALUE"""),"₱ 59,500.00")</f>
        <v>₱ 59,500.00</v>
      </c>
      <c r="E810" s="164" t="str">
        <f ca="1">IFERROR(__xludf.DUMMYFUNCTION("""COMPUTED_VALUE"""),"₱ -")</f>
        <v>₱ -</v>
      </c>
      <c r="F810" s="164" t="str">
        <f ca="1">IFERROR(__xludf.DUMMYFUNCTION("""COMPUTED_VALUE"""),"2023-05-03-10202SP314-01")</f>
        <v>2023-05-03-10202SP314-01</v>
      </c>
      <c r="G810" s="164" t="str">
        <f ca="1">IFERROR(__xludf.DUMMYFUNCTION("""COMPUTED_VALUE"""),"NXEGZSP00330801EA33400")</f>
        <v>NXEGZSP00330801EA33400</v>
      </c>
      <c r="H810" s="164" t="str">
        <f ca="1">IFERROR(__xludf.DUMMYFUNCTION("""COMPUTED_VALUE"""),"ARTEMIO DUMAOANG")</f>
        <v>ARTEMIO DUMAOANG</v>
      </c>
      <c r="I810" s="164" t="str">
        <f ca="1">IFERROR(__xludf.DUMMYFUNCTION("""COMPUTED_VALUE"""),"OIC PARPO II/ Project Manager")</f>
        <v>OIC PARPO II/ Project Manager</v>
      </c>
      <c r="J810" s="164" t="str">
        <f ca="1">IFERROR(__xludf.DUMMYFUNCTION("""COMPUTED_VALUE"""),"2023-08-62 SPLIT")</f>
        <v>2023-08-62 SPLIT</v>
      </c>
      <c r="K810" s="164" t="str">
        <f ca="1">IFERROR(__xludf.DUMMYFUNCTION("""COMPUTED_VALUE"""),"ARTEMIO DUMAOANG")</f>
        <v>ARTEMIO DUMAOANG</v>
      </c>
      <c r="L810" s="164" t="str">
        <f ca="1">IFERROR(__xludf.DUMMYFUNCTION("""COMPUTED_VALUE"""),"DARRO")</f>
        <v>DARRO</v>
      </c>
      <c r="M810" s="164" t="str">
        <f ca="1">IFERROR(__xludf.DUMMYFUNCTION("""COMPUTED_VALUE"""),"SERVICEABLE")</f>
        <v>SERVICEABLE</v>
      </c>
      <c r="N810" s="164"/>
    </row>
    <row r="811" spans="1:14" ht="13.2" hidden="1">
      <c r="A811" s="164" t="str">
        <f ca="1">IFERROR(__xludf.DUMMYFUNCTION("""COMPUTED_VALUE"""),"CAR")</f>
        <v>CAR</v>
      </c>
      <c r="B811" s="164" t="str">
        <f ca="1">IFERROR(__xludf.DUMMYFUNCTION("""COMPUTED_VALUE"""),"Apayao")</f>
        <v>Apayao</v>
      </c>
      <c r="C811" s="164" t="str">
        <f ca="1">IFERROR(__xludf.DUMMYFUNCTION("""COMPUTED_VALUE"""),"Laptop – (ACER EXTENSA EX215-55G i7)")</f>
        <v>Laptop – (ACER EXTENSA EX215-55G i7)</v>
      </c>
      <c r="D811" s="164" t="str">
        <f ca="1">IFERROR(__xludf.DUMMYFUNCTION("""COMPUTED_VALUE"""),"₱ 59,500.00")</f>
        <v>₱ 59,500.00</v>
      </c>
      <c r="E811" s="164" t="str">
        <f ca="1">IFERROR(__xludf.DUMMYFUNCTION("""COMPUTED_VALUE"""),"₱ -")</f>
        <v>₱ -</v>
      </c>
      <c r="F811" s="164" t="str">
        <f ca="1">IFERROR(__xludf.DUMMYFUNCTION("""COMPUTED_VALUE"""),"2023-05-03-10202SP315-01")</f>
        <v>2023-05-03-10202SP315-01</v>
      </c>
      <c r="G811" s="164" t="str">
        <f ca="1">IFERROR(__xludf.DUMMYFUNCTION("""COMPUTED_VALUE"""),"NXEGZSP00330801E0C3401")</f>
        <v>NXEGZSP00330801E0C3401</v>
      </c>
      <c r="H811" s="164" t="str">
        <f ca="1">IFERROR(__xludf.DUMMYFUNCTION("""COMPUTED_VALUE"""),"ARTEMIO DUMAOANG")</f>
        <v>ARTEMIO DUMAOANG</v>
      </c>
      <c r="I811" s="164" t="str">
        <f ca="1">IFERROR(__xludf.DUMMYFUNCTION("""COMPUTED_VALUE"""),"OIC PARPO II/ Project Manager")</f>
        <v>OIC PARPO II/ Project Manager</v>
      </c>
      <c r="J811" s="164" t="str">
        <f ca="1">IFERROR(__xludf.DUMMYFUNCTION("""COMPUTED_VALUE"""),"2023-08-62 SPLIT")</f>
        <v>2023-08-62 SPLIT</v>
      </c>
      <c r="K811" s="164" t="str">
        <f ca="1">IFERROR(__xludf.DUMMYFUNCTION("""COMPUTED_VALUE"""),"ARTEMIO DUMAOANG")</f>
        <v>ARTEMIO DUMAOANG</v>
      </c>
      <c r="L811" s="164" t="str">
        <f ca="1">IFERROR(__xludf.DUMMYFUNCTION("""COMPUTED_VALUE"""),"DARRO")</f>
        <v>DARRO</v>
      </c>
      <c r="M811" s="164" t="str">
        <f ca="1">IFERROR(__xludf.DUMMYFUNCTION("""COMPUTED_VALUE"""),"SERVICEABLE")</f>
        <v>SERVICEABLE</v>
      </c>
      <c r="N811" s="164"/>
    </row>
    <row r="812" spans="1:14" ht="13.2" hidden="1">
      <c r="A812" s="164" t="str">
        <f ca="1">IFERROR(__xludf.DUMMYFUNCTION("""COMPUTED_VALUE"""),"CAR")</f>
        <v>CAR</v>
      </c>
      <c r="B812" s="164" t="str">
        <f ca="1">IFERROR(__xludf.DUMMYFUNCTION("""COMPUTED_VALUE"""),"Apayao")</f>
        <v>Apayao</v>
      </c>
      <c r="C812" s="164" t="str">
        <f ca="1">IFERROR(__xludf.DUMMYFUNCTION("""COMPUTED_VALUE"""),"Photocopier Machine – Kyocera")</f>
        <v>Photocopier Machine – Kyocera</v>
      </c>
      <c r="D812" s="164" t="str">
        <f ca="1">IFERROR(__xludf.DUMMYFUNCTION("""COMPUTED_VALUE"""),"₱ 84,500.00")</f>
        <v>₱ 84,500.00</v>
      </c>
      <c r="E812" s="164" t="str">
        <f ca="1">IFERROR(__xludf.DUMMYFUNCTION("""COMPUTED_VALUE"""),"₱ -")</f>
        <v>₱ -</v>
      </c>
      <c r="F812" s="164" t="str">
        <f ca="1">IFERROR(__xludf.DUMMYFUNCTION("""COMPUTED_VALUE"""),"2022-05-02-10202SP10-01")</f>
        <v>2022-05-02-10202SP10-01</v>
      </c>
      <c r="G812" s="164" t="str">
        <f ca="1">IFERROR(__xludf.DUMMYFUNCTION("""COMPUTED_VALUE"""),"RNK2700212")</f>
        <v>RNK2700212</v>
      </c>
      <c r="H812" s="164" t="str">
        <f ca="1">IFERROR(__xludf.DUMMYFUNCTION("""COMPUTED_VALUE"""),"FEDELINA LIBATIQUE")</f>
        <v>FEDELINA LIBATIQUE</v>
      </c>
      <c r="I812" s="164" t="str">
        <f ca="1">IFERROR(__xludf.DUMMYFUNCTION("""COMPUTED_VALUE"""),"AO IV/Procurement Coordinator")</f>
        <v>AO IV/Procurement Coordinator</v>
      </c>
      <c r="J812" s="164" t="str">
        <f ca="1">IFERROR(__xludf.DUMMYFUNCTION("""COMPUTED_VALUE"""),"12/06/2022")</f>
        <v>12/06/2022</v>
      </c>
      <c r="K812" s="164" t="str">
        <f ca="1">IFERROR(__xludf.DUMMYFUNCTION("""COMPUTED_VALUE"""),"FEDELINA LIBATIQUE")</f>
        <v>FEDELINA LIBATIQUE</v>
      </c>
      <c r="L812" s="164" t="str">
        <f ca="1">IFERROR(__xludf.DUMMYFUNCTION("""COMPUTED_VALUE"""),"DARRO")</f>
        <v>DARRO</v>
      </c>
      <c r="M812" s="164" t="str">
        <f ca="1">IFERROR(__xludf.DUMMYFUNCTION("""COMPUTED_VALUE"""),"SERVICEABLE")</f>
        <v>SERVICEABLE</v>
      </c>
      <c r="N812" s="164"/>
    </row>
    <row r="813" spans="1:14" ht="13.2" hidden="1">
      <c r="A813" s="164" t="str">
        <f ca="1">IFERROR(__xludf.DUMMYFUNCTION("""COMPUTED_VALUE"""),"CAR")</f>
        <v>CAR</v>
      </c>
      <c r="B813" s="164" t="str">
        <f ca="1">IFERROR(__xludf.DUMMYFUNCTION("""COMPUTED_VALUE"""),"Apayao")</f>
        <v>Apayao</v>
      </c>
      <c r="C813" s="164" t="str">
        <f ca="1">IFERROR(__xludf.DUMMYFUNCTION("""COMPUTED_VALUE"""),"Laptop – (ACER EXTENSA EX215-55G i7)")</f>
        <v>Laptop – (ACER EXTENSA EX215-55G i7)</v>
      </c>
      <c r="D813" s="164" t="str">
        <f ca="1">IFERROR(__xludf.DUMMYFUNCTION("""COMPUTED_VALUE"""),"₱ 59,500.00")</f>
        <v>₱ 59,500.00</v>
      </c>
      <c r="E813" s="164" t="str">
        <f ca="1">IFERROR(__xludf.DUMMYFUNCTION("""COMPUTED_VALUE"""),"₱ -")</f>
        <v>₱ -</v>
      </c>
      <c r="F813" s="164" t="str">
        <f ca="1">IFERROR(__xludf.DUMMYFUNCTION("""COMPUTED_VALUE"""),"2023-05-03-10202SP05-01")</f>
        <v>2023-05-03-10202SP05-01</v>
      </c>
      <c r="G813" s="164" t="str">
        <f ca="1">IFERROR(__xludf.DUMMYFUNCTION("""COMPUTED_VALUE"""),"NXEGZP00330801D823400")</f>
        <v>NXEGZP00330801D823400</v>
      </c>
      <c r="H813" s="164" t="str">
        <f ca="1">IFERROR(__xludf.DUMMYFUNCTION("""COMPUTED_VALUE"""),"EDNALYN G. SALAZAR")</f>
        <v>EDNALYN G. SALAZAR</v>
      </c>
      <c r="I813" s="164" t="str">
        <f ca="1">IFERROR(__xludf.DUMMYFUNCTION("""COMPUTED_VALUE"""),"PCAO/ Technical Staff - Admin &amp; Finance Officer")</f>
        <v>PCAO/ Technical Staff - Admin &amp; Finance Officer</v>
      </c>
      <c r="J813" s="164" t="str">
        <f ca="1">IFERROR(__xludf.DUMMYFUNCTION("""COMPUTED_VALUE"""),"PTR# 2024-01-002")</f>
        <v>PTR# 2024-01-002</v>
      </c>
      <c r="K813" s="164" t="str">
        <f ca="1">IFERROR(__xludf.DUMMYFUNCTION("""COMPUTED_VALUE"""),"YZIEL JANE CAMARISTA")</f>
        <v>YZIEL JANE CAMARISTA</v>
      </c>
      <c r="L813" s="164" t="str">
        <f ca="1">IFERROR(__xludf.DUMMYFUNCTION("""COMPUTED_VALUE"""),"DARRO")</f>
        <v>DARRO</v>
      </c>
      <c r="M813" s="164" t="str">
        <f ca="1">IFERROR(__xludf.DUMMYFUNCTION("""COMPUTED_VALUE"""),"SERVICEABLE")</f>
        <v>SERVICEABLE</v>
      </c>
      <c r="N813" s="164"/>
    </row>
    <row r="814" spans="1:14" ht="13.2" hidden="1">
      <c r="A814" s="164" t="str">
        <f ca="1">IFERROR(__xludf.DUMMYFUNCTION("""COMPUTED_VALUE"""),"CAR")</f>
        <v>CAR</v>
      </c>
      <c r="B814" s="164" t="str">
        <f ca="1">IFERROR(__xludf.DUMMYFUNCTION("""COMPUTED_VALUE"""),"Apayao")</f>
        <v>Apayao</v>
      </c>
      <c r="C814" s="164" t="str">
        <f ca="1">IFERROR(__xludf.DUMMYFUNCTION("""COMPUTED_VALUE"""),"A3 PRINTER (BROTHER)")</f>
        <v>A3 PRINTER (BROTHER)</v>
      </c>
      <c r="D814" s="164" t="str">
        <f ca="1">IFERROR(__xludf.DUMMYFUNCTION("""COMPUTED_VALUE"""),"33,508.00")</f>
        <v>33,508.00</v>
      </c>
      <c r="E814" s="164" t="str">
        <f ca="1">IFERROR(__xludf.DUMMYFUNCTION("""COMPUTED_VALUE"""),"₱ -")</f>
        <v>₱ -</v>
      </c>
      <c r="F814" s="164" t="str">
        <f ca="1">IFERROR(__xludf.DUMMYFUNCTION("""COMPUTED_VALUE"""),"HV-SPLIT-102-24-05-08")</f>
        <v>HV-SPLIT-102-24-05-08</v>
      </c>
      <c r="G814" s="164" t="str">
        <f ca="1">IFERROR(__xludf.DUMMYFUNCTION("""COMPUTED_VALUE"""),"FB8AE0043766615")</f>
        <v>FB8AE0043766615</v>
      </c>
      <c r="H814" s="164" t="str">
        <f ca="1">IFERROR(__xludf.DUMMYFUNCTION("""COMPUTED_VALUE"""),"SAMUEL S. SOLOMERO")</f>
        <v>SAMUEL S. SOLOMERO</v>
      </c>
      <c r="I814" s="164" t="str">
        <f ca="1">IFERROR(__xludf.DUMMYFUNCTION("""COMPUTED_VALUE"""),"REGIONAL DIRECTOR")</f>
        <v>REGIONAL DIRECTOR</v>
      </c>
      <c r="J814" s="164" t="str">
        <f ca="1">IFERROR(__xludf.DUMMYFUNCTION("""COMPUTED_VALUE"""),"2024-03-001")</f>
        <v>2024-03-001</v>
      </c>
      <c r="K814" s="164"/>
      <c r="L814" s="164" t="str">
        <f ca="1">IFERROR(__xludf.DUMMYFUNCTION("""COMPUTED_VALUE"""),"DARRO")</f>
        <v>DARRO</v>
      </c>
      <c r="M814" s="164" t="str">
        <f ca="1">IFERROR(__xludf.DUMMYFUNCTION("""COMPUTED_VALUE"""),"SERVICEABLE")</f>
        <v>SERVICEABLE</v>
      </c>
      <c r="N814" s="164"/>
    </row>
    <row r="815" spans="1:14" ht="13.2" hidden="1">
      <c r="A815" s="164" t="str">
        <f ca="1">IFERROR(__xludf.DUMMYFUNCTION("""COMPUTED_VALUE"""),"CAR")</f>
        <v>CAR</v>
      </c>
      <c r="B815" s="164" t="str">
        <f ca="1">IFERROR(__xludf.DUMMYFUNCTION("""COMPUTED_VALUE"""),"Benguet")</f>
        <v>Benguet</v>
      </c>
      <c r="C815" s="164" t="str">
        <f ca="1">IFERROR(__xludf.DUMMYFUNCTION("""COMPUTED_VALUE"""),"REAL-TIME KINEMATIC – GEOMAX ZENITH60")</f>
        <v>REAL-TIME KINEMATIC – GEOMAX ZENITH60</v>
      </c>
      <c r="D815" s="164" t="str">
        <f ca="1">IFERROR(__xludf.DUMMYFUNCTION("""COMPUTED_VALUE"""),"₱ 1,849,000.00")</f>
        <v>₱ 1,849,000.00</v>
      </c>
      <c r="E815" s="164" t="str">
        <f ca="1">IFERROR(__xludf.DUMMYFUNCTION("""COMPUTED_VALUE"""),"₱ -")</f>
        <v>₱ -</v>
      </c>
      <c r="F815" s="164" t="str">
        <f ca="1">IFERROR(__xludf.DUMMYFUNCTION("""COMPUTED_VALUE"""),"2023-05-14-10201SP10-01")</f>
        <v>2023-05-14-10201SP10-01</v>
      </c>
      <c r="G815" s="164" t="str">
        <f ca="1">IFERROR(__xludf.DUMMYFUNCTION("""COMPUTED_VALUE"""),"Z60ST272200124")</f>
        <v>Z60ST272200124</v>
      </c>
      <c r="H815" s="164" t="str">
        <f ca="1">IFERROR(__xludf.DUMMYFUNCTION("""COMPUTED_VALUE"""),"LAILANI A. CORTEZ")</f>
        <v>LAILANI A. CORTEZ</v>
      </c>
      <c r="I815" s="164" t="str">
        <f ca="1">IFERROR(__xludf.DUMMYFUNCTION("""COMPUTED_VALUE"""),"DENR,LRA/ROD Survey Coordinator")</f>
        <v>DENR,LRA/ROD Survey Coordinator</v>
      </c>
      <c r="J815" s="164" t="str">
        <f ca="1">IFERROR(__xludf.DUMMYFUNCTION("""COMPUTED_VALUE"""),"2023-03-11 SPLIT")</f>
        <v>2023-03-11 SPLIT</v>
      </c>
      <c r="K815" s="164" t="str">
        <f ca="1">IFERROR(__xludf.DUMMYFUNCTION("""COMPUTED_VALUE"""),"Fernando Perazo")</f>
        <v>Fernando Perazo</v>
      </c>
      <c r="L815" s="164" t="str">
        <f ca="1">IFERROR(__xludf.DUMMYFUNCTION("""COMPUTED_VALUE"""),"DARRO")</f>
        <v>DARRO</v>
      </c>
      <c r="M815" s="164" t="str">
        <f ca="1">IFERROR(__xludf.DUMMYFUNCTION("""COMPUTED_VALUE"""),"SERVICEABLE")</f>
        <v>SERVICEABLE</v>
      </c>
      <c r="N815" s="164"/>
    </row>
    <row r="816" spans="1:14" ht="13.2" hidden="1">
      <c r="A816" s="164" t="str">
        <f ca="1">IFERROR(__xludf.DUMMYFUNCTION("""COMPUTED_VALUE"""),"CAR")</f>
        <v>CAR</v>
      </c>
      <c r="B816" s="164" t="str">
        <f ca="1">IFERROR(__xludf.DUMMYFUNCTION("""COMPUTED_VALUE"""),"Benguet")</f>
        <v>Benguet</v>
      </c>
      <c r="C816" s="164" t="str">
        <f ca="1">IFERROR(__xludf.DUMMYFUNCTION("""COMPUTED_VALUE"""),"TOTAL STATION – GEOMAX TOTAL STATION ZOOM 50")</f>
        <v>TOTAL STATION – GEOMAX TOTAL STATION ZOOM 50</v>
      </c>
      <c r="D816" s="164" t="str">
        <f ca="1">IFERROR(__xludf.DUMMYFUNCTION("""COMPUTED_VALUE"""),"₱ 648,000.00")</f>
        <v>₱ 648,000.00</v>
      </c>
      <c r="E816" s="164" t="str">
        <f ca="1">IFERROR(__xludf.DUMMYFUNCTION("""COMPUTED_VALUE"""),"₱ -")</f>
        <v>₱ -</v>
      </c>
      <c r="F816" s="164" t="str">
        <f ca="1">IFERROR(__xludf.DUMMYFUNCTION("""COMPUTED_VALUE"""),"2023-05-14-10201SP10-01")</f>
        <v>2023-05-14-10201SP10-01</v>
      </c>
      <c r="G816" s="164"/>
      <c r="H816" s="164" t="str">
        <f ca="1">IFERROR(__xludf.DUMMYFUNCTION("""COMPUTED_VALUE"""),"LAILANI A. CORTEZ")</f>
        <v>LAILANI A. CORTEZ</v>
      </c>
      <c r="I816" s="164" t="str">
        <f ca="1">IFERROR(__xludf.DUMMYFUNCTION("""COMPUTED_VALUE"""),"DENR,LRA/ROD Survey Coordinator")</f>
        <v>DENR,LRA/ROD Survey Coordinator</v>
      </c>
      <c r="J816" s="164" t="str">
        <f ca="1">IFERROR(__xludf.DUMMYFUNCTION("""COMPUTED_VALUE"""),"2023-03-16 SPLIT")</f>
        <v>2023-03-16 SPLIT</v>
      </c>
      <c r="K816" s="164" t="str">
        <f ca="1">IFERROR(__xludf.DUMMYFUNCTION("""COMPUTED_VALUE"""),"Fernando Perazo")</f>
        <v>Fernando Perazo</v>
      </c>
      <c r="L816" s="164" t="str">
        <f ca="1">IFERROR(__xludf.DUMMYFUNCTION("""COMPUTED_VALUE"""),"DARRO")</f>
        <v>DARRO</v>
      </c>
      <c r="M816" s="164" t="str">
        <f ca="1">IFERROR(__xludf.DUMMYFUNCTION("""COMPUTED_VALUE"""),"SERVICEABLE")</f>
        <v>SERVICEABLE</v>
      </c>
      <c r="N816" s="164"/>
    </row>
    <row r="817" spans="1:14" ht="13.2" hidden="1">
      <c r="A817" s="164" t="str">
        <f ca="1">IFERROR(__xludf.DUMMYFUNCTION("""COMPUTED_VALUE"""),"CAR")</f>
        <v>CAR</v>
      </c>
      <c r="B817" s="164" t="str">
        <f ca="1">IFERROR(__xludf.DUMMYFUNCTION("""COMPUTED_VALUE"""),"Benguet")</f>
        <v>Benguet</v>
      </c>
      <c r="C817" s="164" t="str">
        <f ca="1">IFERROR(__xludf.DUMMYFUNCTION("""COMPUTED_VALUE"""),"HANDHELD GPS – MODEL P6")</f>
        <v>HANDHELD GPS – MODEL P6</v>
      </c>
      <c r="D817" s="164" t="str">
        <f ca="1">IFERROR(__xludf.DUMMYFUNCTION("""COMPUTED_VALUE"""),"₱ 79,000.00")</f>
        <v>₱ 79,000.00</v>
      </c>
      <c r="E817" s="164" t="str">
        <f ca="1">IFERROR(__xludf.DUMMYFUNCTION("""COMPUTED_VALUE"""),"₱ -")</f>
        <v>₱ -</v>
      </c>
      <c r="F817" s="164" t="str">
        <f ca="1">IFERROR(__xludf.DUMMYFUNCTION("""COMPUTED_VALUE"""),"2023-05-14-10202SP10-01")</f>
        <v>2023-05-14-10202SP10-01</v>
      </c>
      <c r="G817" s="164" t="str">
        <f ca="1">IFERROR(__xludf.DUMMYFUNCTION("""COMPUTED_VALUE"""),"SP10730089")</f>
        <v>SP10730089</v>
      </c>
      <c r="H817" s="164" t="str">
        <f ca="1">IFERROR(__xludf.DUMMYFUNCTION("""COMPUTED_VALUE"""),"LAILANI A. CORTEZ")</f>
        <v>LAILANI A. CORTEZ</v>
      </c>
      <c r="I817" s="164" t="str">
        <f ca="1">IFERROR(__xludf.DUMMYFUNCTION("""COMPUTED_VALUE"""),"OIC PARPO II /Project Manager")</f>
        <v>OIC PARPO II /Project Manager</v>
      </c>
      <c r="J817" s="164" t="str">
        <f ca="1">IFERROR(__xludf.DUMMYFUNCTION("""COMPUTED_VALUE"""),"2023-03-21 SPLIT")</f>
        <v>2023-03-21 SPLIT</v>
      </c>
      <c r="K817" s="164" t="str">
        <f ca="1">IFERROR(__xludf.DUMMYFUNCTION("""COMPUTED_VALUE"""),"Fernando Perazo")</f>
        <v>Fernando Perazo</v>
      </c>
      <c r="L817" s="164" t="str">
        <f ca="1">IFERROR(__xludf.DUMMYFUNCTION("""COMPUTED_VALUE"""),"DARRO")</f>
        <v>DARRO</v>
      </c>
      <c r="M817" s="164" t="str">
        <f ca="1">IFERROR(__xludf.DUMMYFUNCTION("""COMPUTED_VALUE"""),"SERVICEABLE")</f>
        <v>SERVICEABLE</v>
      </c>
      <c r="N817" s="164"/>
    </row>
    <row r="818" spans="1:14" ht="13.2" hidden="1">
      <c r="A818" s="164" t="str">
        <f ca="1">IFERROR(__xludf.DUMMYFUNCTION("""COMPUTED_VALUE"""),"CAR")</f>
        <v>CAR</v>
      </c>
      <c r="B818" s="164" t="str">
        <f ca="1">IFERROR(__xludf.DUMMYFUNCTION("""COMPUTED_VALUE"""),"Benguet")</f>
        <v>Benguet</v>
      </c>
      <c r="C818" s="164" t="str">
        <f ca="1">IFERROR(__xludf.DUMMYFUNCTION("""COMPUTED_VALUE"""),"Desktop Computer – (Lenovo M70T)")</f>
        <v>Desktop Computer – (Lenovo M70T)</v>
      </c>
      <c r="D818" s="164" t="str">
        <f ca="1">IFERROR(__xludf.DUMMYFUNCTION("""COMPUTED_VALUE"""),"₱ 75,468.00")</f>
        <v>₱ 75,468.00</v>
      </c>
      <c r="E818" s="164" t="str">
        <f ca="1">IFERROR(__xludf.DUMMYFUNCTION("""COMPUTED_VALUE"""),"₱ -")</f>
        <v>₱ -</v>
      </c>
      <c r="F818" s="164" t="str">
        <f ca="1">IFERROR(__xludf.DUMMYFUNCTION("""COMPUTED_VALUE"""),"2023-05-03-10201SP543-01")</f>
        <v>2023-05-03-10201SP543-01</v>
      </c>
      <c r="G818" s="164" t="str">
        <f ca="1">IFERROR(__xludf.DUMMYFUNCTION("""COMPUTED_VALUE"""),"1S11T5S16200GM0415YZ")</f>
        <v>1S11T5S16200GM0415YZ</v>
      </c>
      <c r="H818" s="164" t="str">
        <f ca="1">IFERROR(__xludf.DUMMYFUNCTION("""COMPUTED_VALUE"""),"ERNESTO CONTERO")</f>
        <v>ERNESTO CONTERO</v>
      </c>
      <c r="I818" s="164" t="str">
        <f ca="1">IFERROR(__xludf.DUMMYFUNCTION("""COMPUTED_VALUE"""),"SARPO / SPLIT Focal Person")</f>
        <v>SARPO / SPLIT Focal Person</v>
      </c>
      <c r="J818" s="164" t="str">
        <f ca="1">IFERROR(__xludf.DUMMYFUNCTION("""COMPUTED_VALUE"""),"2023-04-33 SPLIT")</f>
        <v>2023-04-33 SPLIT</v>
      </c>
      <c r="K818" s="164" t="str">
        <f ca="1">IFERROR(__xludf.DUMMYFUNCTION("""COMPUTED_VALUE"""),"ERNESTO CONTERO")</f>
        <v>ERNESTO CONTERO</v>
      </c>
      <c r="L818" s="164" t="str">
        <f ca="1">IFERROR(__xludf.DUMMYFUNCTION("""COMPUTED_VALUE"""),"DARRO")</f>
        <v>DARRO</v>
      </c>
      <c r="M818" s="164" t="str">
        <f ca="1">IFERROR(__xludf.DUMMYFUNCTION("""COMPUTED_VALUE"""),"SERVICEABLE")</f>
        <v>SERVICEABLE</v>
      </c>
      <c r="N818" s="164"/>
    </row>
    <row r="819" spans="1:14" ht="13.2" hidden="1">
      <c r="A819" s="164" t="str">
        <f ca="1">IFERROR(__xludf.DUMMYFUNCTION("""COMPUTED_VALUE"""),"CAR")</f>
        <v>CAR</v>
      </c>
      <c r="B819" s="164" t="str">
        <f ca="1">IFERROR(__xludf.DUMMYFUNCTION("""COMPUTED_VALUE"""),"Benguet")</f>
        <v>Benguet</v>
      </c>
      <c r="C819" s="164" t="str">
        <f ca="1">IFERROR(__xludf.DUMMYFUNCTION("""COMPUTED_VALUE"""),"Desktop Computer – (Lenovo M70T)")</f>
        <v>Desktop Computer – (Lenovo M70T)</v>
      </c>
      <c r="D819" s="164" t="str">
        <f ca="1">IFERROR(__xludf.DUMMYFUNCTION("""COMPUTED_VALUE"""),"₱ 75,468.00")</f>
        <v>₱ 75,468.00</v>
      </c>
      <c r="E819" s="164" t="str">
        <f ca="1">IFERROR(__xludf.DUMMYFUNCTION("""COMPUTED_VALUE"""),"₱ -")</f>
        <v>₱ -</v>
      </c>
      <c r="F819" s="164" t="str">
        <f ca="1">IFERROR(__xludf.DUMMYFUNCTION("""COMPUTED_VALUE"""),"2023-05-03-10201SP544-01")</f>
        <v>2023-05-03-10201SP544-01</v>
      </c>
      <c r="G819" s="164" t="str">
        <f ca="1">IFERROR(__xludf.DUMMYFUNCTION("""COMPUTED_VALUE"""),"1S11T5S16200GM0415ZF")</f>
        <v>1S11T5S16200GM0415ZF</v>
      </c>
      <c r="H819" s="164" t="str">
        <f ca="1">IFERROR(__xludf.DUMMYFUNCTION("""COMPUTED_VALUE"""),"JIJIE MANUEL")</f>
        <v>JIJIE MANUEL</v>
      </c>
      <c r="I819" s="164" t="str">
        <f ca="1">IFERROR(__xludf.DUMMYFUNCTION("""COMPUTED_VALUE"""),"ACCOUNTANT II")</f>
        <v>ACCOUNTANT II</v>
      </c>
      <c r="J819" s="164" t="str">
        <f ca="1">IFERROR(__xludf.DUMMYFUNCTION("""COMPUTED_VALUE"""),"2023-04-33 SPLIT")</f>
        <v>2023-04-33 SPLIT</v>
      </c>
      <c r="K819" s="164" t="str">
        <f ca="1">IFERROR(__xludf.DUMMYFUNCTION("""COMPUTED_VALUE"""),"JIJIE MANUEL")</f>
        <v>JIJIE MANUEL</v>
      </c>
      <c r="L819" s="164" t="str">
        <f ca="1">IFERROR(__xludf.DUMMYFUNCTION("""COMPUTED_VALUE"""),"DARRO")</f>
        <v>DARRO</v>
      </c>
      <c r="M819" s="164" t="str">
        <f ca="1">IFERROR(__xludf.DUMMYFUNCTION("""COMPUTED_VALUE"""),"SERVICEABLE")</f>
        <v>SERVICEABLE</v>
      </c>
      <c r="N819" s="164"/>
    </row>
    <row r="820" spans="1:14" ht="13.2" hidden="1">
      <c r="A820" s="164" t="str">
        <f ca="1">IFERROR(__xludf.DUMMYFUNCTION("""COMPUTED_VALUE"""),"CAR")</f>
        <v>CAR</v>
      </c>
      <c r="B820" s="164" t="str">
        <f ca="1">IFERROR(__xludf.DUMMYFUNCTION("""COMPUTED_VALUE"""),"Benguet")</f>
        <v>Benguet</v>
      </c>
      <c r="C820" s="164" t="str">
        <f ca="1">IFERROR(__xludf.DUMMYFUNCTION("""COMPUTED_VALUE"""),"Desktop Computer – (Lenovo M70T)")</f>
        <v>Desktop Computer – (Lenovo M70T)</v>
      </c>
      <c r="D820" s="164" t="str">
        <f ca="1">IFERROR(__xludf.DUMMYFUNCTION("""COMPUTED_VALUE"""),"₱ 75,468.00")</f>
        <v>₱ 75,468.00</v>
      </c>
      <c r="E820" s="164" t="str">
        <f ca="1">IFERROR(__xludf.DUMMYFUNCTION("""COMPUTED_VALUE"""),"₱ -")</f>
        <v>₱ -</v>
      </c>
      <c r="F820" s="164" t="str">
        <f ca="1">IFERROR(__xludf.DUMMYFUNCTION("""COMPUTED_VALUE"""),"2023-05-03-10201SP545-01")</f>
        <v>2023-05-03-10201SP545-01</v>
      </c>
      <c r="G820" s="164" t="str">
        <f ca="1">IFERROR(__xludf.DUMMYFUNCTION("""COMPUTED_VALUE"""),"1S11T5S16200GM0415ZH")</f>
        <v>1S11T5S16200GM0415ZH</v>
      </c>
      <c r="H820" s="164" t="str">
        <f ca="1">IFERROR(__xludf.DUMMYFUNCTION("""COMPUTED_VALUE"""),"ERNESTO CONTERO")</f>
        <v>ERNESTO CONTERO</v>
      </c>
      <c r="I820" s="164" t="str">
        <f ca="1">IFERROR(__xludf.DUMMYFUNCTION("""COMPUTED_VALUE"""),"SARPO / SPLIT Focal Person")</f>
        <v>SARPO / SPLIT Focal Person</v>
      </c>
      <c r="J820" s="164" t="str">
        <f ca="1">IFERROR(__xludf.DUMMYFUNCTION("""COMPUTED_VALUE"""),"2023-04-33 SPLIT")</f>
        <v>2023-04-33 SPLIT</v>
      </c>
      <c r="K820" s="164" t="str">
        <f ca="1">IFERROR(__xludf.DUMMYFUNCTION("""COMPUTED_VALUE"""),"ERNESTO CONTERO")</f>
        <v>ERNESTO CONTERO</v>
      </c>
      <c r="L820" s="164" t="str">
        <f ca="1">IFERROR(__xludf.DUMMYFUNCTION("""COMPUTED_VALUE"""),"DARRO")</f>
        <v>DARRO</v>
      </c>
      <c r="M820" s="164" t="str">
        <f ca="1">IFERROR(__xludf.DUMMYFUNCTION("""COMPUTED_VALUE"""),"SERVICEABLE")</f>
        <v>SERVICEABLE</v>
      </c>
      <c r="N820" s="164"/>
    </row>
    <row r="821" spans="1:14" ht="13.2" hidden="1">
      <c r="A821" s="164" t="str">
        <f ca="1">IFERROR(__xludf.DUMMYFUNCTION("""COMPUTED_VALUE"""),"CAR")</f>
        <v>CAR</v>
      </c>
      <c r="B821" s="164" t="str">
        <f ca="1">IFERROR(__xludf.DUMMYFUNCTION("""COMPUTED_VALUE"""),"Benguet")</f>
        <v>Benguet</v>
      </c>
      <c r="C821" s="164" t="str">
        <f ca="1">IFERROR(__xludf.DUMMYFUNCTION("""COMPUTED_VALUE"""),"Desktop Computer – (Lenovo M70T)")</f>
        <v>Desktop Computer – (Lenovo M70T)</v>
      </c>
      <c r="D821" s="164" t="str">
        <f ca="1">IFERROR(__xludf.DUMMYFUNCTION("""COMPUTED_VALUE"""),"₱ 75,468.00")</f>
        <v>₱ 75,468.00</v>
      </c>
      <c r="E821" s="164" t="str">
        <f ca="1">IFERROR(__xludf.DUMMYFUNCTION("""COMPUTED_VALUE"""),"₱ -")</f>
        <v>₱ -</v>
      </c>
      <c r="F821" s="164" t="str">
        <f ca="1">IFERROR(__xludf.DUMMYFUNCTION("""COMPUTED_VALUE"""),"2023-05-03-10201SP546-01")</f>
        <v>2023-05-03-10201SP546-01</v>
      </c>
      <c r="G821" s="164" t="str">
        <f ca="1">IFERROR(__xludf.DUMMYFUNCTION("""COMPUTED_VALUE"""),"1S11T5S16200GM0415ZS")</f>
        <v>1S11T5S16200GM0415ZS</v>
      </c>
      <c r="H821" s="164" t="str">
        <f ca="1">IFERROR(__xludf.DUMMYFUNCTION("""COMPUTED_VALUE"""),"YVONNE KRYZA LUNES")</f>
        <v>YVONNE KRYZA LUNES</v>
      </c>
      <c r="I821" s="164" t="str">
        <f ca="1">IFERROR(__xludf.DUMMYFUNCTION("""COMPUTED_VALUE"""),"ADMIN AIDE VI")</f>
        <v>ADMIN AIDE VI</v>
      </c>
      <c r="J821" s="164" t="str">
        <f ca="1">IFERROR(__xludf.DUMMYFUNCTION("""COMPUTED_VALUE"""),"2023-04-33 SPLIT")</f>
        <v>2023-04-33 SPLIT</v>
      </c>
      <c r="K821" s="164" t="str">
        <f ca="1">IFERROR(__xludf.DUMMYFUNCTION("""COMPUTED_VALUE"""),"YVONNE KRYZA LUNES")</f>
        <v>YVONNE KRYZA LUNES</v>
      </c>
      <c r="L821" s="164" t="str">
        <f ca="1">IFERROR(__xludf.DUMMYFUNCTION("""COMPUTED_VALUE"""),"DARRO")</f>
        <v>DARRO</v>
      </c>
      <c r="M821" s="164" t="str">
        <f ca="1">IFERROR(__xludf.DUMMYFUNCTION("""COMPUTED_VALUE"""),"SERVICEABLE")</f>
        <v>SERVICEABLE</v>
      </c>
      <c r="N821" s="164"/>
    </row>
    <row r="822" spans="1:14" ht="13.2" hidden="1">
      <c r="A822" s="164" t="str">
        <f ca="1">IFERROR(__xludf.DUMMYFUNCTION("""COMPUTED_VALUE"""),"CAR")</f>
        <v>CAR</v>
      </c>
      <c r="B822" s="164" t="str">
        <f ca="1">IFERROR(__xludf.DUMMYFUNCTION("""COMPUTED_VALUE"""),"Benguet")</f>
        <v>Benguet</v>
      </c>
      <c r="C822" s="164" t="str">
        <f ca="1">IFERROR(__xludf.DUMMYFUNCTION("""COMPUTED_VALUE"""),"Desktop Computer – (Lenovo M70T)")</f>
        <v>Desktop Computer – (Lenovo M70T)</v>
      </c>
      <c r="D822" s="164" t="str">
        <f ca="1">IFERROR(__xludf.DUMMYFUNCTION("""COMPUTED_VALUE"""),"₱ 75,468.00")</f>
        <v>₱ 75,468.00</v>
      </c>
      <c r="E822" s="164" t="str">
        <f ca="1">IFERROR(__xludf.DUMMYFUNCTION("""COMPUTED_VALUE"""),"₱ -")</f>
        <v>₱ -</v>
      </c>
      <c r="F822" s="164" t="str">
        <f ca="1">IFERROR(__xludf.DUMMYFUNCTION("""COMPUTED_VALUE"""),"2023-05-03-10201SP547-01")</f>
        <v>2023-05-03-10201SP547-01</v>
      </c>
      <c r="G822" s="164" t="str">
        <f ca="1">IFERROR(__xludf.DUMMYFUNCTION("""COMPUTED_VALUE"""),"1S11T5S16200GM04160E")</f>
        <v>1S11T5S16200GM04160E</v>
      </c>
      <c r="H822" s="164" t="str">
        <f ca="1">IFERROR(__xludf.DUMMYFUNCTION("""COMPUTED_VALUE"""),"ERNESTO CONTERO")</f>
        <v>ERNESTO CONTERO</v>
      </c>
      <c r="I822" s="164" t="str">
        <f ca="1">IFERROR(__xludf.DUMMYFUNCTION("""COMPUTED_VALUE"""),"SARPO / SPLIT Focal Person")</f>
        <v>SARPO / SPLIT Focal Person</v>
      </c>
      <c r="J822" s="164" t="str">
        <f ca="1">IFERROR(__xludf.DUMMYFUNCTION("""COMPUTED_VALUE"""),"2023-04-33 SPLIT")</f>
        <v>2023-04-33 SPLIT</v>
      </c>
      <c r="K822" s="164" t="str">
        <f ca="1">IFERROR(__xludf.DUMMYFUNCTION("""COMPUTED_VALUE"""),"ERNESTO CONTERO")</f>
        <v>ERNESTO CONTERO</v>
      </c>
      <c r="L822" s="164" t="str">
        <f ca="1">IFERROR(__xludf.DUMMYFUNCTION("""COMPUTED_VALUE"""),"DARRO")</f>
        <v>DARRO</v>
      </c>
      <c r="M822" s="164" t="str">
        <f ca="1">IFERROR(__xludf.DUMMYFUNCTION("""COMPUTED_VALUE"""),"SERVICEABLE")</f>
        <v>SERVICEABLE</v>
      </c>
      <c r="N822" s="164"/>
    </row>
    <row r="823" spans="1:14" ht="13.2" hidden="1">
      <c r="A823" s="164" t="str">
        <f ca="1">IFERROR(__xludf.DUMMYFUNCTION("""COMPUTED_VALUE"""),"CAR")</f>
        <v>CAR</v>
      </c>
      <c r="B823" s="164" t="str">
        <f ca="1">IFERROR(__xludf.DUMMYFUNCTION("""COMPUTED_VALUE"""),"Benguet")</f>
        <v>Benguet</v>
      </c>
      <c r="C823" s="164" t="str">
        <f ca="1">IFERROR(__xludf.DUMMYFUNCTION("""COMPUTED_VALUE"""),"Desktop Computer – (Lenovo M70T)")</f>
        <v>Desktop Computer – (Lenovo M70T)</v>
      </c>
      <c r="D823" s="164" t="str">
        <f ca="1">IFERROR(__xludf.DUMMYFUNCTION("""COMPUTED_VALUE"""),"₱ 75,468.00")</f>
        <v>₱ 75,468.00</v>
      </c>
      <c r="E823" s="164" t="str">
        <f ca="1">IFERROR(__xludf.DUMMYFUNCTION("""COMPUTED_VALUE"""),"₱ -")</f>
        <v>₱ -</v>
      </c>
      <c r="F823" s="164" t="str">
        <f ca="1">IFERROR(__xludf.DUMMYFUNCTION("""COMPUTED_VALUE"""),"2023-05-03-10201SP548-01")</f>
        <v>2023-05-03-10201SP548-01</v>
      </c>
      <c r="G823" s="164" t="str">
        <f ca="1">IFERROR(__xludf.DUMMYFUNCTION("""COMPUTED_VALUE"""),"1S11T5S16200GM0418CB")</f>
        <v>1S11T5S16200GM0418CB</v>
      </c>
      <c r="H823" s="164" t="str">
        <f ca="1">IFERROR(__xludf.DUMMYFUNCTION("""COMPUTED_VALUE"""),"FERNANDO PERAZO")</f>
        <v>FERNANDO PERAZO</v>
      </c>
      <c r="I823" s="164" t="str">
        <f ca="1">IFERROR(__xludf.DUMMYFUNCTION("""COMPUTED_VALUE"""),"ARPO I / DENR, ROD Coordinator")</f>
        <v>ARPO I / DENR, ROD Coordinator</v>
      </c>
      <c r="J823" s="164" t="str">
        <f ca="1">IFERROR(__xludf.DUMMYFUNCTION("""COMPUTED_VALUE"""),"2023-04-33 SPLIT")</f>
        <v>2023-04-33 SPLIT</v>
      </c>
      <c r="K823" s="164" t="str">
        <f ca="1">IFERROR(__xludf.DUMMYFUNCTION("""COMPUTED_VALUE"""),"FERNANDO PERAZO")</f>
        <v>FERNANDO PERAZO</v>
      </c>
      <c r="L823" s="164" t="str">
        <f ca="1">IFERROR(__xludf.DUMMYFUNCTION("""COMPUTED_VALUE"""),"DARRO")</f>
        <v>DARRO</v>
      </c>
      <c r="M823" s="164" t="str">
        <f ca="1">IFERROR(__xludf.DUMMYFUNCTION("""COMPUTED_VALUE"""),"SERVICEABLE")</f>
        <v>SERVICEABLE</v>
      </c>
      <c r="N823" s="164" t="str">
        <f ca="1">IFERROR(__xludf.DUMMYFUNCTION("""COMPUTED_VALUE"""),"PRINTER-2023-05-03-10201SP545-01")</f>
        <v>PRINTER-2023-05-03-10201SP545-01</v>
      </c>
    </row>
    <row r="824" spans="1:14" ht="13.2" hidden="1">
      <c r="A824" s="164" t="str">
        <f ca="1">IFERROR(__xludf.DUMMYFUNCTION("""COMPUTED_VALUE"""),"CAR")</f>
        <v>CAR</v>
      </c>
      <c r="B824" s="164" t="str">
        <f ca="1">IFERROR(__xludf.DUMMYFUNCTION("""COMPUTED_VALUE"""),"Benguet")</f>
        <v>Benguet</v>
      </c>
      <c r="C824" s="164" t="str">
        <f ca="1">IFERROR(__xludf.DUMMYFUNCTION("""COMPUTED_VALUE"""),"Desktop Computer – (Lenovo M70T)")</f>
        <v>Desktop Computer – (Lenovo M70T)</v>
      </c>
      <c r="D824" s="164" t="str">
        <f ca="1">IFERROR(__xludf.DUMMYFUNCTION("""COMPUTED_VALUE"""),"₱ 75,468.00")</f>
        <v>₱ 75,468.00</v>
      </c>
      <c r="E824" s="164" t="str">
        <f ca="1">IFERROR(__xludf.DUMMYFUNCTION("""COMPUTED_VALUE"""),"₱ -")</f>
        <v>₱ -</v>
      </c>
      <c r="F824" s="164" t="str">
        <f ca="1">IFERROR(__xludf.DUMMYFUNCTION("""COMPUTED_VALUE"""),"2023-05-03-10201SP549-01")</f>
        <v>2023-05-03-10201SP549-01</v>
      </c>
      <c r="G824" s="164" t="str">
        <f ca="1">IFERROR(__xludf.DUMMYFUNCTION("""COMPUTED_VALUE"""),"1S11T5S16200GM0418CM")</f>
        <v>1S11T5S16200GM0418CM</v>
      </c>
      <c r="H824" s="164" t="str">
        <f ca="1">IFERROR(__xludf.DUMMYFUNCTION("""COMPUTED_VALUE"""),"ATTY. JOHN A. BAYANGAN")</f>
        <v>ATTY. JOHN A. BAYANGAN</v>
      </c>
      <c r="I824" s="164" t="str">
        <f ca="1">IFERROR(__xludf.DUMMYFUNCTION("""COMPUTED_VALUE"""),"ATTY. V / Legal Officer")</f>
        <v>ATTY. V / Legal Officer</v>
      </c>
      <c r="J824" s="164" t="str">
        <f ca="1">IFERROR(__xludf.DUMMYFUNCTION("""COMPUTED_VALUE"""),"2023-04-33 SPLIT")</f>
        <v>2023-04-33 SPLIT</v>
      </c>
      <c r="K824" s="164" t="str">
        <f ca="1">IFERROR(__xludf.DUMMYFUNCTION("""COMPUTED_VALUE"""),"ATTY. JOHN A. BAYANGAN")</f>
        <v>ATTY. JOHN A. BAYANGAN</v>
      </c>
      <c r="L824" s="164" t="str">
        <f ca="1">IFERROR(__xludf.DUMMYFUNCTION("""COMPUTED_VALUE"""),"DARRO")</f>
        <v>DARRO</v>
      </c>
      <c r="M824" s="164" t="str">
        <f ca="1">IFERROR(__xludf.DUMMYFUNCTION("""COMPUTED_VALUE"""),"SERVICEABLE")</f>
        <v>SERVICEABLE</v>
      </c>
      <c r="N824" s="164"/>
    </row>
    <row r="825" spans="1:14" ht="13.2" hidden="1">
      <c r="A825" s="164" t="str">
        <f ca="1">IFERROR(__xludf.DUMMYFUNCTION("""COMPUTED_VALUE"""),"CAR")</f>
        <v>CAR</v>
      </c>
      <c r="B825" s="164" t="str">
        <f ca="1">IFERROR(__xludf.DUMMYFUNCTION("""COMPUTED_VALUE"""),"Benguet")</f>
        <v>Benguet</v>
      </c>
      <c r="C825" s="164" t="str">
        <f ca="1">IFERROR(__xludf.DUMMYFUNCTION("""COMPUTED_VALUE"""),"Desktop Computer – (Lenovo M70T)")</f>
        <v>Desktop Computer – (Lenovo M70T)</v>
      </c>
      <c r="D825" s="164" t="str">
        <f ca="1">IFERROR(__xludf.DUMMYFUNCTION("""COMPUTED_VALUE"""),"₱ 75,468.00")</f>
        <v>₱ 75,468.00</v>
      </c>
      <c r="E825" s="164" t="str">
        <f ca="1">IFERROR(__xludf.DUMMYFUNCTION("""COMPUTED_VALUE"""),"₱ -")</f>
        <v>₱ -</v>
      </c>
      <c r="F825" s="164" t="str">
        <f ca="1">IFERROR(__xludf.DUMMYFUNCTION("""COMPUTED_VALUE"""),"2023-05-03-10201SP550-01")</f>
        <v>2023-05-03-10201SP550-01</v>
      </c>
      <c r="G825" s="164" t="str">
        <f ca="1">IFERROR(__xludf.DUMMYFUNCTION("""COMPUTED_VALUE"""),"1S11T5S16200GM0418CP")</f>
        <v>1S11T5S16200GM0418CP</v>
      </c>
      <c r="H825" s="164" t="str">
        <f ca="1">IFERROR(__xludf.DUMMYFUNCTION("""COMPUTED_VALUE"""),"VIOLETA WA-IS")</f>
        <v>VIOLETA WA-IS</v>
      </c>
      <c r="I825" s="164" t="str">
        <f ca="1">IFERROR(__xludf.DUMMYFUNCTION("""COMPUTED_VALUE"""),"AO IV - GSO")</f>
        <v>AO IV - GSO</v>
      </c>
      <c r="J825" s="164" t="str">
        <f ca="1">IFERROR(__xludf.DUMMYFUNCTION("""COMPUTED_VALUE"""),"2023-04-33 SPLIT")</f>
        <v>2023-04-33 SPLIT</v>
      </c>
      <c r="K825" s="164" t="str">
        <f ca="1">IFERROR(__xludf.DUMMYFUNCTION("""COMPUTED_VALUE"""),"VIOLETA WA-IS")</f>
        <v>VIOLETA WA-IS</v>
      </c>
      <c r="L825" s="164" t="str">
        <f ca="1">IFERROR(__xludf.DUMMYFUNCTION("""COMPUTED_VALUE"""),"DARRO")</f>
        <v>DARRO</v>
      </c>
      <c r="M825" s="164" t="str">
        <f ca="1">IFERROR(__xludf.DUMMYFUNCTION("""COMPUTED_VALUE"""),"SERVICEABLE")</f>
        <v>SERVICEABLE</v>
      </c>
      <c r="N825" s="164" t="str">
        <f ca="1">IFERROR(__xludf.DUMMYFUNCTION("""COMPUTED_VALUE"""),"MONITOR-FOR REPAIR")</f>
        <v>MONITOR-FOR REPAIR</v>
      </c>
    </row>
    <row r="826" spans="1:14" ht="13.2" hidden="1">
      <c r="A826" s="164" t="str">
        <f ca="1">IFERROR(__xludf.DUMMYFUNCTION("""COMPUTED_VALUE"""),"CAR")</f>
        <v>CAR</v>
      </c>
      <c r="B826" s="164" t="str">
        <f ca="1">IFERROR(__xludf.DUMMYFUNCTION("""COMPUTED_VALUE"""),"Benguet")</f>
        <v>Benguet</v>
      </c>
      <c r="C826" s="164" t="str">
        <f ca="1">IFERROR(__xludf.DUMMYFUNCTION("""COMPUTED_VALUE"""),"Desktop Computer – (Lenovo M70T)")</f>
        <v>Desktop Computer – (Lenovo M70T)</v>
      </c>
      <c r="D826" s="164" t="str">
        <f ca="1">IFERROR(__xludf.DUMMYFUNCTION("""COMPUTED_VALUE"""),"₱ 75,468.00")</f>
        <v>₱ 75,468.00</v>
      </c>
      <c r="E826" s="164" t="str">
        <f ca="1">IFERROR(__xludf.DUMMYFUNCTION("""COMPUTED_VALUE"""),"₱ -")</f>
        <v>₱ -</v>
      </c>
      <c r="F826" s="164" t="str">
        <f ca="1">IFERROR(__xludf.DUMMYFUNCTION("""COMPUTED_VALUE"""),"2023-05-03-10201SP551-01")</f>
        <v>2023-05-03-10201SP551-01</v>
      </c>
      <c r="G826" s="164" t="str">
        <f ca="1">IFERROR(__xludf.DUMMYFUNCTION("""COMPUTED_VALUE"""),"1S11T5S16200GM0418CR")</f>
        <v>1S11T5S16200GM0418CR</v>
      </c>
      <c r="H826" s="164" t="str">
        <f ca="1">IFERROR(__xludf.DUMMYFUNCTION("""COMPUTED_VALUE"""),"RODOLFO AGUSTIN")</f>
        <v>RODOLFO AGUSTIN</v>
      </c>
      <c r="I826" s="164" t="str">
        <f ca="1">IFERROR(__xludf.DUMMYFUNCTION("""COMPUTED_VALUE"""),"SARPO / M &amp; E Coordinator")</f>
        <v>SARPO / M &amp; E Coordinator</v>
      </c>
      <c r="J826" s="164" t="str">
        <f ca="1">IFERROR(__xludf.DUMMYFUNCTION("""COMPUTED_VALUE"""),"2023-04-33 SPLIT")</f>
        <v>2023-04-33 SPLIT</v>
      </c>
      <c r="K826" s="164" t="str">
        <f ca="1">IFERROR(__xludf.DUMMYFUNCTION("""COMPUTED_VALUE"""),"RODOLFO AGUSTIN")</f>
        <v>RODOLFO AGUSTIN</v>
      </c>
      <c r="L826" s="164" t="str">
        <f ca="1">IFERROR(__xludf.DUMMYFUNCTION("""COMPUTED_VALUE"""),"DARRO")</f>
        <v>DARRO</v>
      </c>
      <c r="M826" s="164" t="str">
        <f ca="1">IFERROR(__xludf.DUMMYFUNCTION("""COMPUTED_VALUE"""),"SERVICEABLE")</f>
        <v>SERVICEABLE</v>
      </c>
      <c r="N826" s="164"/>
    </row>
    <row r="827" spans="1:14" ht="13.2" hidden="1">
      <c r="A827" s="164" t="str">
        <f ca="1">IFERROR(__xludf.DUMMYFUNCTION("""COMPUTED_VALUE"""),"CAR")</f>
        <v>CAR</v>
      </c>
      <c r="B827" s="164" t="str">
        <f ca="1">IFERROR(__xludf.DUMMYFUNCTION("""COMPUTED_VALUE"""),"Benguet")</f>
        <v>Benguet</v>
      </c>
      <c r="C827" s="164" t="str">
        <f ca="1">IFERROR(__xludf.DUMMYFUNCTION("""COMPUTED_VALUE"""),"Desktop Computer – (Lenovo M70T)")</f>
        <v>Desktop Computer – (Lenovo M70T)</v>
      </c>
      <c r="D827" s="164" t="str">
        <f ca="1">IFERROR(__xludf.DUMMYFUNCTION("""COMPUTED_VALUE"""),"₱ 75,468.00")</f>
        <v>₱ 75,468.00</v>
      </c>
      <c r="E827" s="164" t="str">
        <f ca="1">IFERROR(__xludf.DUMMYFUNCTION("""COMPUTED_VALUE"""),"₱ -")</f>
        <v>₱ -</v>
      </c>
      <c r="F827" s="164" t="str">
        <f ca="1">IFERROR(__xludf.DUMMYFUNCTION("""COMPUTED_VALUE"""),"2023-05-03-10201SP552-01")</f>
        <v>2023-05-03-10201SP552-01</v>
      </c>
      <c r="G827" s="164" t="str">
        <f ca="1">IFERROR(__xludf.DUMMYFUNCTION("""COMPUTED_VALUE"""),"1S11T5S16200GM0418CT")</f>
        <v>1S11T5S16200GM0418CT</v>
      </c>
      <c r="H827" s="164" t="str">
        <f ca="1">IFERROR(__xludf.DUMMYFUNCTION("""COMPUTED_VALUE"""),"VIOLETA WA-IS")</f>
        <v>VIOLETA WA-IS</v>
      </c>
      <c r="I827" s="164" t="str">
        <f ca="1">IFERROR(__xludf.DUMMYFUNCTION("""COMPUTED_VALUE"""),"AO IV - GSO")</f>
        <v>AO IV - GSO</v>
      </c>
      <c r="J827" s="164" t="str">
        <f ca="1">IFERROR(__xludf.DUMMYFUNCTION("""COMPUTED_VALUE"""),"2023-04-33 SPLIT")</f>
        <v>2023-04-33 SPLIT</v>
      </c>
      <c r="K827" s="164" t="str">
        <f ca="1">IFERROR(__xludf.DUMMYFUNCTION("""COMPUTED_VALUE"""),"VIOLETA WA-IS")</f>
        <v>VIOLETA WA-IS</v>
      </c>
      <c r="L827" s="164" t="str">
        <f ca="1">IFERROR(__xludf.DUMMYFUNCTION("""COMPUTED_VALUE"""),"DARRO")</f>
        <v>DARRO</v>
      </c>
      <c r="M827" s="164" t="str">
        <f ca="1">IFERROR(__xludf.DUMMYFUNCTION("""COMPUTED_VALUE"""),"SERVICEABLE")</f>
        <v>SERVICEABLE</v>
      </c>
      <c r="N827" s="164"/>
    </row>
    <row r="828" spans="1:14" ht="13.2" hidden="1">
      <c r="A828" s="164" t="str">
        <f ca="1">IFERROR(__xludf.DUMMYFUNCTION("""COMPUTED_VALUE"""),"CAR")</f>
        <v>CAR</v>
      </c>
      <c r="B828" s="164" t="str">
        <f ca="1">IFERROR(__xludf.DUMMYFUNCTION("""COMPUTED_VALUE"""),"Benguet")</f>
        <v>Benguet</v>
      </c>
      <c r="C828" s="164" t="str">
        <f ca="1">IFERROR(__xludf.DUMMYFUNCTION("""COMPUTED_VALUE"""),"Desktop Computer – (Lenovo M70T)")</f>
        <v>Desktop Computer – (Lenovo M70T)</v>
      </c>
      <c r="D828" s="164" t="str">
        <f ca="1">IFERROR(__xludf.DUMMYFUNCTION("""COMPUTED_VALUE"""),"₱ 75,468.00")</f>
        <v>₱ 75,468.00</v>
      </c>
      <c r="E828" s="164" t="str">
        <f ca="1">IFERROR(__xludf.DUMMYFUNCTION("""COMPUTED_VALUE"""),"₱ -")</f>
        <v>₱ -</v>
      </c>
      <c r="F828" s="164" t="str">
        <f ca="1">IFERROR(__xludf.DUMMYFUNCTION("""COMPUTED_VALUE"""),"2023-05-03-10201SP553-01")</f>
        <v>2023-05-03-10201SP553-01</v>
      </c>
      <c r="G828" s="164" t="str">
        <f ca="1">IFERROR(__xludf.DUMMYFUNCTION("""COMPUTED_VALUE"""),"1S11T5S16200GM0418CX")</f>
        <v>1S11T5S16200GM0418CX</v>
      </c>
      <c r="H828" s="164" t="str">
        <f ca="1">IFERROR(__xludf.DUMMYFUNCTION("""COMPUTED_VALUE"""),"ATTY. JOHN A. BAYANGAN")</f>
        <v>ATTY. JOHN A. BAYANGAN</v>
      </c>
      <c r="I828" s="164" t="str">
        <f ca="1">IFERROR(__xludf.DUMMYFUNCTION("""COMPUTED_VALUE"""),"ATTY. V / Legal Officer")</f>
        <v>ATTY. V / Legal Officer</v>
      </c>
      <c r="J828" s="164" t="str">
        <f ca="1">IFERROR(__xludf.DUMMYFUNCTION("""COMPUTED_VALUE"""),"2023-04-33 SPLIT")</f>
        <v>2023-04-33 SPLIT</v>
      </c>
      <c r="K828" s="164" t="str">
        <f ca="1">IFERROR(__xludf.DUMMYFUNCTION("""COMPUTED_VALUE"""),"ATTY. JOHN A. BAYANGAN")</f>
        <v>ATTY. JOHN A. BAYANGAN</v>
      </c>
      <c r="L828" s="164" t="str">
        <f ca="1">IFERROR(__xludf.DUMMYFUNCTION("""COMPUTED_VALUE"""),"DARRO")</f>
        <v>DARRO</v>
      </c>
      <c r="M828" s="164" t="str">
        <f ca="1">IFERROR(__xludf.DUMMYFUNCTION("""COMPUTED_VALUE"""),"SERVICEABLE")</f>
        <v>SERVICEABLE</v>
      </c>
      <c r="N828" s="164" t="str">
        <f ca="1">IFERROR(__xludf.DUMMYFUNCTION("""COMPUTED_VALUE"""),"MONITOR AND UPS - 2023-05-03-10201SP554-01")</f>
        <v>MONITOR AND UPS - 2023-05-03-10201SP554-01</v>
      </c>
    </row>
    <row r="829" spans="1:14" ht="13.2" hidden="1">
      <c r="A829" s="164" t="str">
        <f ca="1">IFERROR(__xludf.DUMMYFUNCTION("""COMPUTED_VALUE"""),"CAR")</f>
        <v>CAR</v>
      </c>
      <c r="B829" s="164" t="str">
        <f ca="1">IFERROR(__xludf.DUMMYFUNCTION("""COMPUTED_VALUE"""),"Benguet")</f>
        <v>Benguet</v>
      </c>
      <c r="C829" s="164" t="str">
        <f ca="1">IFERROR(__xludf.DUMMYFUNCTION("""COMPUTED_VALUE"""),"Desktop Computer – (Lenovo M70T)")</f>
        <v>Desktop Computer – (Lenovo M70T)</v>
      </c>
      <c r="D829" s="164" t="str">
        <f ca="1">IFERROR(__xludf.DUMMYFUNCTION("""COMPUTED_VALUE"""),"₱ 75,468.00")</f>
        <v>₱ 75,468.00</v>
      </c>
      <c r="E829" s="164" t="str">
        <f ca="1">IFERROR(__xludf.DUMMYFUNCTION("""COMPUTED_VALUE"""),"₱ -")</f>
        <v>₱ -</v>
      </c>
      <c r="F829" s="164" t="str">
        <f ca="1">IFERROR(__xludf.DUMMYFUNCTION("""COMPUTED_VALUE"""),"2023-05-03-10201SP554-01")</f>
        <v>2023-05-03-10201SP554-01</v>
      </c>
      <c r="G829" s="164" t="str">
        <f ca="1">IFERROR(__xludf.DUMMYFUNCTION("""COMPUTED_VALUE"""),"1S11T5S16200GM0418CY")</f>
        <v>1S11T5S16200GM0418CY</v>
      </c>
      <c r="H829" s="164" t="str">
        <f ca="1">IFERROR(__xludf.DUMMYFUNCTION("""COMPUTED_VALUE"""),"ERNESTO CONTERO")</f>
        <v>ERNESTO CONTERO</v>
      </c>
      <c r="I829" s="164" t="str">
        <f ca="1">IFERROR(__xludf.DUMMYFUNCTION("""COMPUTED_VALUE"""),"SARPO / SPLIT Focal Person")</f>
        <v>SARPO / SPLIT Focal Person</v>
      </c>
      <c r="J829" s="164" t="str">
        <f ca="1">IFERROR(__xludf.DUMMYFUNCTION("""COMPUTED_VALUE"""),"2023-04-33 SPLIT")</f>
        <v>2023-04-33 SPLIT</v>
      </c>
      <c r="K829" s="164" t="str">
        <f ca="1">IFERROR(__xludf.DUMMYFUNCTION("""COMPUTED_VALUE"""),"ERNESTO CONTERO")</f>
        <v>ERNESTO CONTERO</v>
      </c>
      <c r="L829" s="164" t="str">
        <f ca="1">IFERROR(__xludf.DUMMYFUNCTION("""COMPUTED_VALUE"""),"DARRO")</f>
        <v>DARRO</v>
      </c>
      <c r="M829" s="164" t="str">
        <f ca="1">IFERROR(__xludf.DUMMYFUNCTION("""COMPUTED_VALUE"""),"SERVICEABLE")</f>
        <v>SERVICEABLE</v>
      </c>
      <c r="N829" s="164"/>
    </row>
    <row r="830" spans="1:14" ht="13.2" hidden="1">
      <c r="A830" s="164" t="str">
        <f ca="1">IFERROR(__xludf.DUMMYFUNCTION("""COMPUTED_VALUE"""),"CAR")</f>
        <v>CAR</v>
      </c>
      <c r="B830" s="164" t="str">
        <f ca="1">IFERROR(__xludf.DUMMYFUNCTION("""COMPUTED_VALUE"""),"Benguet")</f>
        <v>Benguet</v>
      </c>
      <c r="C830" s="164" t="str">
        <f ca="1">IFERROR(__xludf.DUMMYFUNCTION("""COMPUTED_VALUE"""),"Desktop Computer – (Lenovo M70T)")</f>
        <v>Desktop Computer – (Lenovo M70T)</v>
      </c>
      <c r="D830" s="164" t="str">
        <f ca="1">IFERROR(__xludf.DUMMYFUNCTION("""COMPUTED_VALUE"""),"₱ 75,468.00")</f>
        <v>₱ 75,468.00</v>
      </c>
      <c r="E830" s="164" t="str">
        <f ca="1">IFERROR(__xludf.DUMMYFUNCTION("""COMPUTED_VALUE"""),"₱ -")</f>
        <v>₱ -</v>
      </c>
      <c r="F830" s="164" t="str">
        <f ca="1">IFERROR(__xludf.DUMMYFUNCTION("""COMPUTED_VALUE"""),"2023-05-03-10201SP555-01")</f>
        <v>2023-05-03-10201SP555-01</v>
      </c>
      <c r="G830" s="164" t="str">
        <f ca="1">IFERROR(__xludf.DUMMYFUNCTION("""COMPUTED_VALUE"""),"1S11T5S16200GM0418D1")</f>
        <v>1S11T5S16200GM0418D1</v>
      </c>
      <c r="H830" s="164" t="str">
        <f ca="1">IFERROR(__xludf.DUMMYFUNCTION("""COMPUTED_VALUE"""),"RODOLFO AGUSTIN")</f>
        <v>RODOLFO AGUSTIN</v>
      </c>
      <c r="I830" s="164" t="str">
        <f ca="1">IFERROR(__xludf.DUMMYFUNCTION("""COMPUTED_VALUE"""),"SARPO / M &amp; E Coordinator")</f>
        <v>SARPO / M &amp; E Coordinator</v>
      </c>
      <c r="J830" s="164" t="str">
        <f ca="1">IFERROR(__xludf.DUMMYFUNCTION("""COMPUTED_VALUE"""),"2023-04-33 SPLIT")</f>
        <v>2023-04-33 SPLIT</v>
      </c>
      <c r="K830" s="164" t="str">
        <f ca="1">IFERROR(__xludf.DUMMYFUNCTION("""COMPUTED_VALUE"""),"RODOLFO AGUSTIN")</f>
        <v>RODOLFO AGUSTIN</v>
      </c>
      <c r="L830" s="164" t="str">
        <f ca="1">IFERROR(__xludf.DUMMYFUNCTION("""COMPUTED_VALUE"""),"DARRO")</f>
        <v>DARRO</v>
      </c>
      <c r="M830" s="164" t="str">
        <f ca="1">IFERROR(__xludf.DUMMYFUNCTION("""COMPUTED_VALUE"""),"SERVICEABLE")</f>
        <v>SERVICEABLE</v>
      </c>
      <c r="N830" s="164" t="str">
        <f ca="1">IFERROR(__xludf.DUMMYFUNCTION("""COMPUTED_VALUE"""),"PRINTER - 2023-05-03-10201SP547-01")</f>
        <v>PRINTER - 2023-05-03-10201SP547-01</v>
      </c>
    </row>
    <row r="831" spans="1:14" ht="13.2" hidden="1">
      <c r="A831" s="164" t="str">
        <f ca="1">IFERROR(__xludf.DUMMYFUNCTION("""COMPUTED_VALUE"""),"CAR")</f>
        <v>CAR</v>
      </c>
      <c r="B831" s="164" t="str">
        <f ca="1">IFERROR(__xludf.DUMMYFUNCTION("""COMPUTED_VALUE"""),"Benguet")</f>
        <v>Benguet</v>
      </c>
      <c r="C831" s="164" t="str">
        <f ca="1">IFERROR(__xludf.DUMMYFUNCTION("""COMPUTED_VALUE"""),"Desktop Computer – (Lenovo M70T)")</f>
        <v>Desktop Computer – (Lenovo M70T)</v>
      </c>
      <c r="D831" s="164" t="str">
        <f ca="1">IFERROR(__xludf.DUMMYFUNCTION("""COMPUTED_VALUE"""),"₱ 75,468.00")</f>
        <v>₱ 75,468.00</v>
      </c>
      <c r="E831" s="164" t="str">
        <f ca="1">IFERROR(__xludf.DUMMYFUNCTION("""COMPUTED_VALUE"""),"₱ -")</f>
        <v>₱ -</v>
      </c>
      <c r="F831" s="164" t="str">
        <f ca="1">IFERROR(__xludf.DUMMYFUNCTION("""COMPUTED_VALUE"""),"2023-05-03-10201SP556-01")</f>
        <v>2023-05-03-10201SP556-01</v>
      </c>
      <c r="G831" s="164" t="str">
        <f ca="1">IFERROR(__xludf.DUMMYFUNCTION("""COMPUTED_VALUE"""),"1S11T5S16200GM0418D3")</f>
        <v>1S11T5S16200GM0418D3</v>
      </c>
      <c r="H831" s="164" t="str">
        <f ca="1">IFERROR(__xludf.DUMMYFUNCTION("""COMPUTED_VALUE"""),"FERDINOVEM DEPAYSO")</f>
        <v>FERDINOVEM DEPAYSO</v>
      </c>
      <c r="I831" s="164" t="str">
        <f ca="1">IFERROR(__xludf.DUMMYFUNCTION("""COMPUTED_VALUE"""),"OIC PCAO")</f>
        <v>OIC PCAO</v>
      </c>
      <c r="J831" s="164" t="str">
        <f ca="1">IFERROR(__xludf.DUMMYFUNCTION("""COMPUTED_VALUE"""),"2023-04-33 SPLIT")</f>
        <v>2023-04-33 SPLIT</v>
      </c>
      <c r="K831" s="164" t="str">
        <f ca="1">IFERROR(__xludf.DUMMYFUNCTION("""COMPUTED_VALUE"""),"FERDINOVEM DEPAYSO")</f>
        <v>FERDINOVEM DEPAYSO</v>
      </c>
      <c r="L831" s="164" t="str">
        <f ca="1">IFERROR(__xludf.DUMMYFUNCTION("""COMPUTED_VALUE"""),"DARRO")</f>
        <v>DARRO</v>
      </c>
      <c r="M831" s="164" t="str">
        <f ca="1">IFERROR(__xludf.DUMMYFUNCTION("""COMPUTED_VALUE"""),"SERVICEABLE")</f>
        <v>SERVICEABLE</v>
      </c>
      <c r="N831" s="164"/>
    </row>
    <row r="832" spans="1:14" ht="13.2" hidden="1">
      <c r="A832" s="164" t="str">
        <f ca="1">IFERROR(__xludf.DUMMYFUNCTION("""COMPUTED_VALUE"""),"CAR")</f>
        <v>CAR</v>
      </c>
      <c r="B832" s="164" t="str">
        <f ca="1">IFERROR(__xludf.DUMMYFUNCTION("""COMPUTED_VALUE"""),"Benguet")</f>
        <v>Benguet</v>
      </c>
      <c r="C832" s="164" t="str">
        <f ca="1">IFERROR(__xludf.DUMMYFUNCTION("""COMPUTED_VALUE"""),"Desktop Computer – (HP Pro SFF 280G9)")</f>
        <v>Desktop Computer – (HP Pro SFF 280G9)</v>
      </c>
      <c r="D832" s="164" t="str">
        <f ca="1">IFERROR(__xludf.DUMMYFUNCTION("""COMPUTED_VALUE"""),"₱ 78,898.00")</f>
        <v>₱ 78,898.00</v>
      </c>
      <c r="E832" s="164" t="str">
        <f ca="1">IFERROR(__xludf.DUMMYFUNCTION("""COMPUTED_VALUE"""),"₱ -")</f>
        <v>₱ -</v>
      </c>
      <c r="F832" s="164" t="str">
        <f ca="1">IFERROR(__xludf.DUMMYFUNCTION("""COMPUTED_VALUE"""),"2023-05-03-10201SP357-01")</f>
        <v>2023-05-03-10201SP357-01</v>
      </c>
      <c r="G832" s="164" t="str">
        <f ca="1">IFERROR(__xludf.DUMMYFUNCTION("""COMPUTED_VALUE"""),"4CE301DH62")</f>
        <v>4CE301DH62</v>
      </c>
      <c r="H832" s="164" t="str">
        <f ca="1">IFERROR(__xludf.DUMMYFUNCTION("""COMPUTED_VALUE"""),"VIOLETA WA-IS")</f>
        <v>VIOLETA WA-IS</v>
      </c>
      <c r="I832" s="164" t="str">
        <f ca="1">IFERROR(__xludf.DUMMYFUNCTION("""COMPUTED_VALUE"""),"AO IV/Procurement Coordinator")</f>
        <v>AO IV/Procurement Coordinator</v>
      </c>
      <c r="J832" s="164" t="str">
        <f ca="1">IFERROR(__xludf.DUMMYFUNCTION("""COMPUTED_VALUE"""),"2023-08-63 SPLIT")</f>
        <v>2023-08-63 SPLIT</v>
      </c>
      <c r="K832" s="164" t="str">
        <f ca="1">IFERROR(__xludf.DUMMYFUNCTION("""COMPUTED_VALUE"""),"VIOLETA WA-IS")</f>
        <v>VIOLETA WA-IS</v>
      </c>
      <c r="L832" s="164" t="str">
        <f ca="1">IFERROR(__xludf.DUMMYFUNCTION("""COMPUTED_VALUE"""),"DARRO")</f>
        <v>DARRO</v>
      </c>
      <c r="M832" s="164" t="str">
        <f ca="1">IFERROR(__xludf.DUMMYFUNCTION("""COMPUTED_VALUE"""),"SERVICEABLE")</f>
        <v>SERVICEABLE</v>
      </c>
      <c r="N832" s="164" t="str">
        <f ca="1">IFERROR(__xludf.DUMMYFUNCTION("""COMPUTED_VALUE"""),"MONITOR - 2023-05-03-10201SP358-01")</f>
        <v>MONITOR - 2023-05-03-10201SP358-01</v>
      </c>
    </row>
    <row r="833" spans="1:14" ht="13.2" hidden="1">
      <c r="A833" s="164" t="str">
        <f ca="1">IFERROR(__xludf.DUMMYFUNCTION("""COMPUTED_VALUE"""),"CAR")</f>
        <v>CAR</v>
      </c>
      <c r="B833" s="164" t="str">
        <f ca="1">IFERROR(__xludf.DUMMYFUNCTION("""COMPUTED_VALUE"""),"Benguet")</f>
        <v>Benguet</v>
      </c>
      <c r="C833" s="164" t="str">
        <f ca="1">IFERROR(__xludf.DUMMYFUNCTION("""COMPUTED_VALUE"""),"Desktop Computer – (HP Pro SFF 280G9)")</f>
        <v>Desktop Computer – (HP Pro SFF 280G9)</v>
      </c>
      <c r="D833" s="164" t="str">
        <f ca="1">IFERROR(__xludf.DUMMYFUNCTION("""COMPUTED_VALUE"""),"₱ 78,898.00")</f>
        <v>₱ 78,898.00</v>
      </c>
      <c r="E833" s="164" t="str">
        <f ca="1">IFERROR(__xludf.DUMMYFUNCTION("""COMPUTED_VALUE"""),"₱ -")</f>
        <v>₱ -</v>
      </c>
      <c r="F833" s="164" t="str">
        <f ca="1">IFERROR(__xludf.DUMMYFUNCTION("""COMPUTED_VALUE"""),"2023-05-03-10201SP358-01")</f>
        <v>2023-05-03-10201SP358-01</v>
      </c>
      <c r="G833" s="164" t="str">
        <f ca="1">IFERROR(__xludf.DUMMYFUNCTION("""COMPUTED_VALUE"""),"4CE301DH66")</f>
        <v>4CE301DH66</v>
      </c>
      <c r="H833" s="164" t="str">
        <f ca="1">IFERROR(__xludf.DUMMYFUNCTION("""COMPUTED_VALUE"""),"GLORIA DATIC")</f>
        <v>GLORIA DATIC</v>
      </c>
      <c r="I833" s="164" t="str">
        <f ca="1">IFERROR(__xludf.DUMMYFUNCTION("""COMPUTED_VALUE"""),"ARPO I")</f>
        <v>ARPO I</v>
      </c>
      <c r="J833" s="164" t="str">
        <f ca="1">IFERROR(__xludf.DUMMYFUNCTION("""COMPUTED_VALUE"""),"2023-08-63 SPLIT")</f>
        <v>2023-08-63 SPLIT</v>
      </c>
      <c r="K833" s="164" t="str">
        <f ca="1">IFERROR(__xludf.DUMMYFUNCTION("""COMPUTED_VALUE"""),"GLORIA DATIC")</f>
        <v>GLORIA DATIC</v>
      </c>
      <c r="L833" s="164" t="str">
        <f ca="1">IFERROR(__xludf.DUMMYFUNCTION("""COMPUTED_VALUE"""),"DARRO")</f>
        <v>DARRO</v>
      </c>
      <c r="M833" s="164" t="str">
        <f ca="1">IFERROR(__xludf.DUMMYFUNCTION("""COMPUTED_VALUE"""),"SERVICEABLE")</f>
        <v>SERVICEABLE</v>
      </c>
      <c r="N833" s="164" t="str">
        <f ca="1">IFERROR(__xludf.DUMMYFUNCTION("""COMPUTED_VALUE"""),"MONITOR - 2023-05-03-10201SP359-01")</f>
        <v>MONITOR - 2023-05-03-10201SP359-01</v>
      </c>
    </row>
    <row r="834" spans="1:14" ht="13.2" hidden="1">
      <c r="A834" s="164" t="str">
        <f ca="1">IFERROR(__xludf.DUMMYFUNCTION("""COMPUTED_VALUE"""),"CAR")</f>
        <v>CAR</v>
      </c>
      <c r="B834" s="164" t="str">
        <f ca="1">IFERROR(__xludf.DUMMYFUNCTION("""COMPUTED_VALUE"""),"Benguet")</f>
        <v>Benguet</v>
      </c>
      <c r="C834" s="164" t="str">
        <f ca="1">IFERROR(__xludf.DUMMYFUNCTION("""COMPUTED_VALUE"""),"Desktop Computer – (HP Pro SFF 280G9)")</f>
        <v>Desktop Computer – (HP Pro SFF 280G9)</v>
      </c>
      <c r="D834" s="164" t="str">
        <f ca="1">IFERROR(__xludf.DUMMYFUNCTION("""COMPUTED_VALUE"""),"₱ 78,898.00")</f>
        <v>₱ 78,898.00</v>
      </c>
      <c r="E834" s="164" t="str">
        <f ca="1">IFERROR(__xludf.DUMMYFUNCTION("""COMPUTED_VALUE"""),"₱ -")</f>
        <v>₱ -</v>
      </c>
      <c r="F834" s="164" t="str">
        <f ca="1">IFERROR(__xludf.DUMMYFUNCTION("""COMPUTED_VALUE"""),"2023-05-03-10201SP359-01")</f>
        <v>2023-05-03-10201SP359-01</v>
      </c>
      <c r="G834" s="164" t="str">
        <f ca="1">IFERROR(__xludf.DUMMYFUNCTION("""COMPUTED_VALUE"""),"4CE301DH32")</f>
        <v>4CE301DH32</v>
      </c>
      <c r="H834" s="164" t="str">
        <f ca="1">IFERROR(__xludf.DUMMYFUNCTION("""COMPUTED_VALUE"""),"DONNA LYN CHING")</f>
        <v>DONNA LYN CHING</v>
      </c>
      <c r="I834" s="164" t="str">
        <f ca="1">IFERROR(__xludf.DUMMYFUNCTION("""COMPUTED_VALUE"""),"AO IV/Project Budget Officer")</f>
        <v>AO IV/Project Budget Officer</v>
      </c>
      <c r="J834" s="164" t="str">
        <f ca="1">IFERROR(__xludf.DUMMYFUNCTION("""COMPUTED_VALUE"""),"2023-08-63 SPLIT")</f>
        <v>2023-08-63 SPLIT</v>
      </c>
      <c r="K834" s="164" t="str">
        <f ca="1">IFERROR(__xludf.DUMMYFUNCTION("""COMPUTED_VALUE"""),"DONNA LYN CHING")</f>
        <v>DONNA LYN CHING</v>
      </c>
      <c r="L834" s="164" t="str">
        <f ca="1">IFERROR(__xludf.DUMMYFUNCTION("""COMPUTED_VALUE"""),"DARRO")</f>
        <v>DARRO</v>
      </c>
      <c r="M834" s="164" t="str">
        <f ca="1">IFERROR(__xludf.DUMMYFUNCTION("""COMPUTED_VALUE"""),"SERVICEABLE")</f>
        <v>SERVICEABLE</v>
      </c>
      <c r="N834" s="164" t="str">
        <f ca="1">IFERROR(__xludf.DUMMYFUNCTION("""COMPUTED_VALUE"""),"MONITOR - 2023-05-03-10201SP357-01")</f>
        <v>MONITOR - 2023-05-03-10201SP357-01</v>
      </c>
    </row>
    <row r="835" spans="1:14" ht="13.2" hidden="1">
      <c r="A835" s="164" t="str">
        <f ca="1">IFERROR(__xludf.DUMMYFUNCTION("""COMPUTED_VALUE"""),"CAR")</f>
        <v>CAR</v>
      </c>
      <c r="B835" s="164" t="str">
        <f ca="1">IFERROR(__xludf.DUMMYFUNCTION("""COMPUTED_VALUE"""),"Benguet")</f>
        <v>Benguet</v>
      </c>
      <c r="C835" s="164" t="str">
        <f ca="1">IFERROR(__xludf.DUMMYFUNCTION("""COMPUTED_VALUE"""),"Laptop – (ACER EXTENSA EX215-55G i7)")</f>
        <v>Laptop – (ACER EXTENSA EX215-55G i7)</v>
      </c>
      <c r="D835" s="164" t="str">
        <f ca="1">IFERROR(__xludf.DUMMYFUNCTION("""COMPUTED_VALUE"""),"₱ 59,500.00")</f>
        <v>₱ 59,500.00</v>
      </c>
      <c r="E835" s="164" t="str">
        <f ca="1">IFERROR(__xludf.DUMMYFUNCTION("""COMPUTED_VALUE"""),"₱ -")</f>
        <v>₱ -</v>
      </c>
      <c r="F835" s="164" t="str">
        <f ca="1">IFERROR(__xludf.DUMMYFUNCTION("""COMPUTED_VALUE"""),"2023-05-03-10202SP320-01")</f>
        <v>2023-05-03-10202SP320-01</v>
      </c>
      <c r="G835" s="164" t="str">
        <f ca="1">IFERROR(__xludf.DUMMYFUNCTION("""COMPUTED_VALUE"""),"NXEGZSP00330801AB63400")</f>
        <v>NXEGZSP00330801AB63400</v>
      </c>
      <c r="H835" s="164" t="str">
        <f ca="1">IFERROR(__xludf.DUMMYFUNCTION("""COMPUTED_VALUE"""),"MARIBEL BINAY-AN")</f>
        <v>MARIBEL BINAY-AN</v>
      </c>
      <c r="I835" s="164" t="str">
        <f ca="1">IFERROR(__xludf.DUMMYFUNCTION("""COMPUTED_VALUE"""),"Records Officer - Registry of Deeds")</f>
        <v>Records Officer - Registry of Deeds</v>
      </c>
      <c r="J835" s="164" t="str">
        <f ca="1">IFERROR(__xludf.DUMMYFUNCTION("""COMPUTED_VALUE"""),"2023-08-64 SPLIT")</f>
        <v>2023-08-64 SPLIT</v>
      </c>
      <c r="K835" s="164" t="str">
        <f ca="1">IFERROR(__xludf.DUMMYFUNCTION("""COMPUTED_VALUE"""),"MARIBEL BINAY-AN")</f>
        <v>MARIBEL BINAY-AN</v>
      </c>
      <c r="L835" s="164" t="str">
        <f ca="1">IFERROR(__xludf.DUMMYFUNCTION("""COMPUTED_VALUE"""),"DARRO")</f>
        <v>DARRO</v>
      </c>
      <c r="M835" s="164" t="str">
        <f ca="1">IFERROR(__xludf.DUMMYFUNCTION("""COMPUTED_VALUE"""),"SERVICEABLE")</f>
        <v>SERVICEABLE</v>
      </c>
      <c r="N835" s="164"/>
    </row>
    <row r="836" spans="1:14" ht="13.2" hidden="1">
      <c r="A836" s="164" t="str">
        <f ca="1">IFERROR(__xludf.DUMMYFUNCTION("""COMPUTED_VALUE"""),"CAR")</f>
        <v>CAR</v>
      </c>
      <c r="B836" s="164" t="str">
        <f ca="1">IFERROR(__xludf.DUMMYFUNCTION("""COMPUTED_VALUE"""),"Benguet")</f>
        <v>Benguet</v>
      </c>
      <c r="C836" s="164" t="str">
        <f ca="1">IFERROR(__xludf.DUMMYFUNCTION("""COMPUTED_VALUE"""),"Laptop – (ACER EXTENSA EX215-55G i7)")</f>
        <v>Laptop – (ACER EXTENSA EX215-55G i7)</v>
      </c>
      <c r="D836" s="164" t="str">
        <f ca="1">IFERROR(__xludf.DUMMYFUNCTION("""COMPUTED_VALUE"""),"₱ 59,500.00")</f>
        <v>₱ 59,500.00</v>
      </c>
      <c r="E836" s="164" t="str">
        <f ca="1">IFERROR(__xludf.DUMMYFUNCTION("""COMPUTED_VALUE"""),"₱ -")</f>
        <v>₱ -</v>
      </c>
      <c r="F836" s="164" t="str">
        <f ca="1">IFERROR(__xludf.DUMMYFUNCTION("""COMPUTED_VALUE"""),"2023-05-03-10202SP321-01")</f>
        <v>2023-05-03-10202SP321-01</v>
      </c>
      <c r="G836" s="164" t="str">
        <f ca="1">IFERROR(__xludf.DUMMYFUNCTION("""COMPUTED_VALUE"""),"NXEGZSP00330801B453400")</f>
        <v>NXEGZSP00330801B453400</v>
      </c>
      <c r="H836" s="164" t="str">
        <f ca="1">IFERROR(__xludf.DUMMYFUNCTION("""COMPUTED_VALUE"""),"FERNANDO PERAZO (c/o Project Engineer)")</f>
        <v>FERNANDO PERAZO (c/o Project Engineer)</v>
      </c>
      <c r="I836" s="164" t="str">
        <f ca="1">IFERROR(__xludf.DUMMYFUNCTION("""COMPUTED_VALUE"""),"DENR,LRA/ROD Survey Coordinator")</f>
        <v>DENR,LRA/ROD Survey Coordinator</v>
      </c>
      <c r="J836" s="164" t="str">
        <f ca="1">IFERROR(__xludf.DUMMYFUNCTION("""COMPUTED_VALUE"""),"2023-08-64 SPLIT")</f>
        <v>2023-08-64 SPLIT</v>
      </c>
      <c r="K836" s="164" t="str">
        <f ca="1">IFERROR(__xludf.DUMMYFUNCTION("""COMPUTED_VALUE"""),"(c/o Project Engineer)")</f>
        <v>(c/o Project Engineer)</v>
      </c>
      <c r="L836" s="164" t="str">
        <f ca="1">IFERROR(__xludf.DUMMYFUNCTION("""COMPUTED_VALUE"""),"DARRO")</f>
        <v>DARRO</v>
      </c>
      <c r="M836" s="164" t="str">
        <f ca="1">IFERROR(__xludf.DUMMYFUNCTION("""COMPUTED_VALUE"""),"SERVICEABLE")</f>
        <v>SERVICEABLE</v>
      </c>
      <c r="N836" s="164"/>
    </row>
    <row r="837" spans="1:14" ht="13.2" hidden="1">
      <c r="A837" s="164" t="str">
        <f ca="1">IFERROR(__xludf.DUMMYFUNCTION("""COMPUTED_VALUE"""),"CAR")</f>
        <v>CAR</v>
      </c>
      <c r="B837" s="164" t="str">
        <f ca="1">IFERROR(__xludf.DUMMYFUNCTION("""COMPUTED_VALUE"""),"Benguet")</f>
        <v>Benguet</v>
      </c>
      <c r="C837" s="164" t="str">
        <f ca="1">IFERROR(__xludf.DUMMYFUNCTION("""COMPUTED_VALUE"""),"Photocopier Machine – Kyocera")</f>
        <v>Photocopier Machine – Kyocera</v>
      </c>
      <c r="D837" s="164" t="str">
        <f ca="1">IFERROR(__xludf.DUMMYFUNCTION("""COMPUTED_VALUE"""),"₱ 84,500.00")</f>
        <v>₱ 84,500.00</v>
      </c>
      <c r="E837" s="164" t="str">
        <f ca="1">IFERROR(__xludf.DUMMYFUNCTION("""COMPUTED_VALUE"""),"₱ -")</f>
        <v>₱ -</v>
      </c>
      <c r="F837" s="164" t="str">
        <f ca="1">IFERROR(__xludf.DUMMYFUNCTION("""COMPUTED_VALUE"""),"2022-05-02-10202SP05-01")</f>
        <v>2022-05-02-10202SP05-01</v>
      </c>
      <c r="G837" s="164" t="str">
        <f ca="1">IFERROR(__xludf.DUMMYFUNCTION("""COMPUTED_VALUE"""),"RNK2700177")</f>
        <v>RNK2700177</v>
      </c>
      <c r="H837" s="164" t="str">
        <f ca="1">IFERROR(__xludf.DUMMYFUNCTION("""COMPUTED_VALUE"""),"VIOLETA WA-IS")</f>
        <v>VIOLETA WA-IS</v>
      </c>
      <c r="I837" s="164" t="str">
        <f ca="1">IFERROR(__xludf.DUMMYFUNCTION("""COMPUTED_VALUE"""),"AO IV/Procurement Coordinator")</f>
        <v>AO IV/Procurement Coordinator</v>
      </c>
      <c r="J837" s="164" t="str">
        <f ca="1">IFERROR(__xludf.DUMMYFUNCTION("""COMPUTED_VALUE"""),"11/01/2022")</f>
        <v>11/01/2022</v>
      </c>
      <c r="K837" s="164" t="str">
        <f ca="1">IFERROR(__xludf.DUMMYFUNCTION("""COMPUTED_VALUE"""),"VIOLETA WA-IS")</f>
        <v>VIOLETA WA-IS</v>
      </c>
      <c r="L837" s="164" t="str">
        <f ca="1">IFERROR(__xludf.DUMMYFUNCTION("""COMPUTED_VALUE"""),"DARRO")</f>
        <v>DARRO</v>
      </c>
      <c r="M837" s="164" t="str">
        <f ca="1">IFERROR(__xludf.DUMMYFUNCTION("""COMPUTED_VALUE"""),"SERVICEABLE")</f>
        <v>SERVICEABLE</v>
      </c>
      <c r="N837" s="164"/>
    </row>
    <row r="838" spans="1:14" ht="13.2" hidden="1">
      <c r="A838" s="164" t="str">
        <f ca="1">IFERROR(__xludf.DUMMYFUNCTION("""COMPUTED_VALUE"""),"CAR")</f>
        <v>CAR</v>
      </c>
      <c r="B838" s="164" t="str">
        <f ca="1">IFERROR(__xludf.DUMMYFUNCTION("""COMPUTED_VALUE"""),"Benguet")</f>
        <v>Benguet</v>
      </c>
      <c r="C838" s="164" t="str">
        <f ca="1">IFERROR(__xludf.DUMMYFUNCTION("""COMPUTED_VALUE"""),"Laptop – (ACER EXTENSA EX215-55G i7)")</f>
        <v>Laptop – (ACER EXTENSA EX215-55G i7)</v>
      </c>
      <c r="D838" s="164" t="str">
        <f ca="1">IFERROR(__xludf.DUMMYFUNCTION("""COMPUTED_VALUE"""),"₱ 59,500.00")</f>
        <v>₱ 59,500.00</v>
      </c>
      <c r="E838" s="164" t="str">
        <f ca="1">IFERROR(__xludf.DUMMYFUNCTION("""COMPUTED_VALUE"""),"₱ -")</f>
        <v>₱ -</v>
      </c>
      <c r="F838" s="164" t="str">
        <f ca="1">IFERROR(__xludf.DUMMYFUNCTION("""COMPUTED_VALUE"""),"2023-05-03-10202SP22-01")</f>
        <v>2023-05-03-10202SP22-01</v>
      </c>
      <c r="G838" s="164" t="str">
        <f ca="1">IFERROR(__xludf.DUMMYFUNCTION("""COMPUTED_VALUE"""),"NXEGZSP00330801C583400")</f>
        <v>NXEGZSP00330801C583400</v>
      </c>
      <c r="H838" s="164" t="str">
        <f ca="1">IFERROR(__xludf.DUMMYFUNCTION("""COMPUTED_VALUE"""),"FERDINOVEM W. DEPAYSO")</f>
        <v>FERDINOVEM W. DEPAYSO</v>
      </c>
      <c r="I838" s="164" t="str">
        <f ca="1">IFERROR(__xludf.DUMMYFUNCTION("""COMPUTED_VALUE"""),"OIC PCAO/ Technical Staff - Admin &amp; Finance Officer")</f>
        <v>OIC PCAO/ Technical Staff - Admin &amp; Finance Officer</v>
      </c>
      <c r="J838" s="164" t="str">
        <f ca="1">IFERROR(__xludf.DUMMYFUNCTION("""COMPUTED_VALUE"""),"PTR# 2024-01-003")</f>
        <v>PTR# 2024-01-003</v>
      </c>
      <c r="K838" s="164" t="str">
        <f ca="1">IFERROR(__xludf.DUMMYFUNCTION("""COMPUTED_VALUE"""),"TEOFILO TAMID-AY")</f>
        <v>TEOFILO TAMID-AY</v>
      </c>
      <c r="L838" s="164" t="str">
        <f ca="1">IFERROR(__xludf.DUMMYFUNCTION("""COMPUTED_VALUE"""),"DARRO")</f>
        <v>DARRO</v>
      </c>
      <c r="M838" s="164" t="str">
        <f ca="1">IFERROR(__xludf.DUMMYFUNCTION("""COMPUTED_VALUE"""),"SERVICEABLE")</f>
        <v>SERVICEABLE</v>
      </c>
      <c r="N838" s="164"/>
    </row>
    <row r="839" spans="1:14" ht="13.2" hidden="1">
      <c r="A839" s="164" t="str">
        <f ca="1">IFERROR(__xludf.DUMMYFUNCTION("""COMPUTED_VALUE"""),"CAR")</f>
        <v>CAR</v>
      </c>
      <c r="B839" s="164" t="str">
        <f ca="1">IFERROR(__xludf.DUMMYFUNCTION("""COMPUTED_VALUE"""),"Regional Office")</f>
        <v>Regional Office</v>
      </c>
      <c r="C839" s="164" t="str">
        <f ca="1">IFERROR(__xludf.DUMMYFUNCTION("""COMPUTED_VALUE"""),"Desktop Computer – (MSI PRO DP180)")</f>
        <v>Desktop Computer – (MSI PRO DP180)</v>
      </c>
      <c r="D839" s="164" t="str">
        <f ca="1">IFERROR(__xludf.DUMMYFUNCTION("""COMPUTED_VALUE"""),"₱ 49,300.00")</f>
        <v>₱ 49,300.00</v>
      </c>
      <c r="E839" s="164" t="str">
        <f ca="1">IFERROR(__xludf.DUMMYFUNCTION("""COMPUTED_VALUE"""),"₱ -")</f>
        <v>₱ -</v>
      </c>
      <c r="F839" s="164" t="str">
        <f ca="1">IFERROR(__xludf.DUMMYFUNCTION("""COMPUTED_VALUE"""),"HVSPLIT-102-24-05-01-167")</f>
        <v>HVSPLIT-102-24-05-01-167</v>
      </c>
      <c r="G839" s="164"/>
      <c r="H839" s="164" t="str">
        <f ca="1">IFERROR(__xludf.DUMMYFUNCTION("""COMPUTED_VALUE"""),"VIOLETA WA-IS")</f>
        <v>VIOLETA WA-IS</v>
      </c>
      <c r="I839" s="164" t="str">
        <f ca="1">IFERROR(__xludf.DUMMYFUNCTION("""COMPUTED_VALUE"""),"AO IV - GSO")</f>
        <v>AO IV - GSO</v>
      </c>
      <c r="J839" s="164"/>
      <c r="K839" s="164" t="str">
        <f ca="1">IFERROR(__xludf.DUMMYFUNCTION("""COMPUTED_VALUE"""),"VIOLETA WA-IS")</f>
        <v>VIOLETA WA-IS</v>
      </c>
      <c r="L839" s="164" t="str">
        <f ca="1">IFERROR(__xludf.DUMMYFUNCTION("""COMPUTED_VALUE"""),"DARRO")</f>
        <v>DARRO</v>
      </c>
      <c r="M839" s="164" t="str">
        <f ca="1">IFERROR(__xludf.DUMMYFUNCTION("""COMPUTED_VALUE"""),"SERVICEABLE")</f>
        <v>SERVICEABLE</v>
      </c>
      <c r="N839" s="164"/>
    </row>
    <row r="840" spans="1:14" ht="13.2" hidden="1">
      <c r="A840" s="164" t="str">
        <f ca="1">IFERROR(__xludf.DUMMYFUNCTION("""COMPUTED_VALUE"""),"CAR")</f>
        <v>CAR</v>
      </c>
      <c r="B840" s="164" t="str">
        <f ca="1">IFERROR(__xludf.DUMMYFUNCTION("""COMPUTED_VALUE"""),"Regional Office")</f>
        <v>Regional Office</v>
      </c>
      <c r="C840" s="164" t="str">
        <f ca="1">IFERROR(__xludf.DUMMYFUNCTION("""COMPUTED_VALUE"""),"Desktop Computer – (MSI PRO DP180)")</f>
        <v>Desktop Computer – (MSI PRO DP180)</v>
      </c>
      <c r="D840" s="164" t="str">
        <f ca="1">IFERROR(__xludf.DUMMYFUNCTION("""COMPUTED_VALUE"""),"₱ 49,300.00")</f>
        <v>₱ 49,300.00</v>
      </c>
      <c r="E840" s="164" t="str">
        <f ca="1">IFERROR(__xludf.DUMMYFUNCTION("""COMPUTED_VALUE"""),"₱ -")</f>
        <v>₱ -</v>
      </c>
      <c r="F840" s="164" t="str">
        <f ca="1">IFERROR(__xludf.DUMMYFUNCTION("""COMPUTED_VALUE"""),"HVSPLIT-102-24-05-01-350")</f>
        <v>HVSPLIT-102-24-05-01-350</v>
      </c>
      <c r="G840" s="164"/>
      <c r="H840" s="164" t="str">
        <f ca="1">IFERROR(__xludf.DUMMYFUNCTION("""COMPUTED_VALUE"""),"VIOLETA WA-IS")</f>
        <v>VIOLETA WA-IS</v>
      </c>
      <c r="I840" s="164" t="str">
        <f ca="1">IFERROR(__xludf.DUMMYFUNCTION("""COMPUTED_VALUE"""),"AO IV - GSO")</f>
        <v>AO IV - GSO</v>
      </c>
      <c r="J840" s="164"/>
      <c r="K840" s="164" t="str">
        <f ca="1">IFERROR(__xludf.DUMMYFUNCTION("""COMPUTED_VALUE"""),"VIOLETA WA-IS")</f>
        <v>VIOLETA WA-IS</v>
      </c>
      <c r="L840" s="164" t="str">
        <f ca="1">IFERROR(__xludf.DUMMYFUNCTION("""COMPUTED_VALUE"""),"DARRO")</f>
        <v>DARRO</v>
      </c>
      <c r="M840" s="164" t="str">
        <f ca="1">IFERROR(__xludf.DUMMYFUNCTION("""COMPUTED_VALUE"""),"SERVICEABLE")</f>
        <v>SERVICEABLE</v>
      </c>
      <c r="N840" s="164"/>
    </row>
    <row r="841" spans="1:14" ht="13.2" hidden="1">
      <c r="A841" s="164" t="str">
        <f ca="1">IFERROR(__xludf.DUMMYFUNCTION("""COMPUTED_VALUE"""),"CAR")</f>
        <v>CAR</v>
      </c>
      <c r="B841" s="164" t="str">
        <f ca="1">IFERROR(__xludf.DUMMYFUNCTION("""COMPUTED_VALUE"""),"Regional Office")</f>
        <v>Regional Office</v>
      </c>
      <c r="C841" s="164" t="str">
        <f ca="1">IFERROR(__xludf.DUMMYFUNCTION("""COMPUTED_VALUE"""),"Desktop Computer – (MSI PRO DP180)")</f>
        <v>Desktop Computer – (MSI PRO DP180)</v>
      </c>
      <c r="D841" s="164" t="str">
        <f ca="1">IFERROR(__xludf.DUMMYFUNCTION("""COMPUTED_VALUE"""),"₱ 49,300.00")</f>
        <v>₱ 49,300.00</v>
      </c>
      <c r="E841" s="164" t="str">
        <f ca="1">IFERROR(__xludf.DUMMYFUNCTION("""COMPUTED_VALUE"""),"₱ -")</f>
        <v>₱ -</v>
      </c>
      <c r="F841" s="164" t="str">
        <f ca="1">IFERROR(__xludf.DUMMYFUNCTION("""COMPUTED_VALUE"""),"HVSPLIT-102-24-05-01-351")</f>
        <v>HVSPLIT-102-24-05-01-351</v>
      </c>
      <c r="G841" s="164"/>
      <c r="H841" s="164" t="str">
        <f ca="1">IFERROR(__xludf.DUMMYFUNCTION("""COMPUTED_VALUE"""),"VIOLETA WA-IS")</f>
        <v>VIOLETA WA-IS</v>
      </c>
      <c r="I841" s="164" t="str">
        <f ca="1">IFERROR(__xludf.DUMMYFUNCTION("""COMPUTED_VALUE"""),"AO IV - GSO")</f>
        <v>AO IV - GSO</v>
      </c>
      <c r="J841" s="164"/>
      <c r="K841" s="164" t="str">
        <f ca="1">IFERROR(__xludf.DUMMYFUNCTION("""COMPUTED_VALUE"""),"VIOLETA WA-IS")</f>
        <v>VIOLETA WA-IS</v>
      </c>
      <c r="L841" s="164" t="str">
        <f ca="1">IFERROR(__xludf.DUMMYFUNCTION("""COMPUTED_VALUE"""),"DARRO")</f>
        <v>DARRO</v>
      </c>
      <c r="M841" s="164" t="str">
        <f ca="1">IFERROR(__xludf.DUMMYFUNCTION("""COMPUTED_VALUE"""),"SERVICEABLE")</f>
        <v>SERVICEABLE</v>
      </c>
      <c r="N841" s="164"/>
    </row>
    <row r="842" spans="1:14" ht="13.2" hidden="1">
      <c r="A842" s="164" t="str">
        <f ca="1">IFERROR(__xludf.DUMMYFUNCTION("""COMPUTED_VALUE"""),"CAR")</f>
        <v>CAR</v>
      </c>
      <c r="B842" s="164" t="str">
        <f ca="1">IFERROR(__xludf.DUMMYFUNCTION("""COMPUTED_VALUE"""),"Regional Office")</f>
        <v>Regional Office</v>
      </c>
      <c r="C842" s="164" t="str">
        <f ca="1">IFERROR(__xludf.DUMMYFUNCTION("""COMPUTED_VALUE"""),"Desktop Computer – (MSI PRO DP180)")</f>
        <v>Desktop Computer – (MSI PRO DP180)</v>
      </c>
      <c r="D842" s="164" t="str">
        <f ca="1">IFERROR(__xludf.DUMMYFUNCTION("""COMPUTED_VALUE"""),"₱ 49,300.00")</f>
        <v>₱ 49,300.00</v>
      </c>
      <c r="E842" s="164" t="str">
        <f ca="1">IFERROR(__xludf.DUMMYFUNCTION("""COMPUTED_VALUE"""),"₱ -")</f>
        <v>₱ -</v>
      </c>
      <c r="F842" s="164" t="str">
        <f ca="1">IFERROR(__xludf.DUMMYFUNCTION("""COMPUTED_VALUE"""),"HVSPLIT-102-24-05-01-352")</f>
        <v>HVSPLIT-102-24-05-01-352</v>
      </c>
      <c r="G842" s="164"/>
      <c r="H842" s="164" t="str">
        <f ca="1">IFERROR(__xludf.DUMMYFUNCTION("""COMPUTED_VALUE"""),"VIOLETA WA-IS")</f>
        <v>VIOLETA WA-IS</v>
      </c>
      <c r="I842" s="164" t="str">
        <f ca="1">IFERROR(__xludf.DUMMYFUNCTION("""COMPUTED_VALUE"""),"AO IV - GSO")</f>
        <v>AO IV - GSO</v>
      </c>
      <c r="J842" s="164"/>
      <c r="K842" s="164" t="str">
        <f ca="1">IFERROR(__xludf.DUMMYFUNCTION("""COMPUTED_VALUE"""),"VIOLETA WA-IS")</f>
        <v>VIOLETA WA-IS</v>
      </c>
      <c r="L842" s="164" t="str">
        <f ca="1">IFERROR(__xludf.DUMMYFUNCTION("""COMPUTED_VALUE"""),"DARRO")</f>
        <v>DARRO</v>
      </c>
      <c r="M842" s="164" t="str">
        <f ca="1">IFERROR(__xludf.DUMMYFUNCTION("""COMPUTED_VALUE"""),"SERVICEABLE")</f>
        <v>SERVICEABLE</v>
      </c>
      <c r="N842" s="164"/>
    </row>
    <row r="843" spans="1:14" ht="13.2" hidden="1">
      <c r="A843" s="164" t="str">
        <f ca="1">IFERROR(__xludf.DUMMYFUNCTION("""COMPUTED_VALUE"""),"CAR")</f>
        <v>CAR</v>
      </c>
      <c r="B843" s="164" t="str">
        <f ca="1">IFERROR(__xludf.DUMMYFUNCTION("""COMPUTED_VALUE"""),"Regional Office")</f>
        <v>Regional Office</v>
      </c>
      <c r="C843" s="164" t="str">
        <f ca="1">IFERROR(__xludf.DUMMYFUNCTION("""COMPUTED_VALUE"""),"Desktop Computer – (MSI PRO DP180)")</f>
        <v>Desktop Computer – (MSI PRO DP180)</v>
      </c>
      <c r="D843" s="164" t="str">
        <f ca="1">IFERROR(__xludf.DUMMYFUNCTION("""COMPUTED_VALUE"""),"₱ 49,300.00")</f>
        <v>₱ 49,300.00</v>
      </c>
      <c r="E843" s="164" t="str">
        <f ca="1">IFERROR(__xludf.DUMMYFUNCTION("""COMPUTED_VALUE"""),"₱ -")</f>
        <v>₱ -</v>
      </c>
      <c r="F843" s="164" t="str">
        <f ca="1">IFERROR(__xludf.DUMMYFUNCTION("""COMPUTED_VALUE"""),"HVSPLIT-102-24-05-01-353")</f>
        <v>HVSPLIT-102-24-05-01-353</v>
      </c>
      <c r="G843" s="164"/>
      <c r="H843" s="164" t="str">
        <f ca="1">IFERROR(__xludf.DUMMYFUNCTION("""COMPUTED_VALUE"""),"VIOLETA WA-IS")</f>
        <v>VIOLETA WA-IS</v>
      </c>
      <c r="I843" s="164" t="str">
        <f ca="1">IFERROR(__xludf.DUMMYFUNCTION("""COMPUTED_VALUE"""),"AO IV - GSO")</f>
        <v>AO IV - GSO</v>
      </c>
      <c r="J843" s="164"/>
      <c r="K843" s="164" t="str">
        <f ca="1">IFERROR(__xludf.DUMMYFUNCTION("""COMPUTED_VALUE"""),"VIOLETA WA-IS")</f>
        <v>VIOLETA WA-IS</v>
      </c>
      <c r="L843" s="164" t="str">
        <f ca="1">IFERROR(__xludf.DUMMYFUNCTION("""COMPUTED_VALUE"""),"DARRO")</f>
        <v>DARRO</v>
      </c>
      <c r="M843" s="164" t="str">
        <f ca="1">IFERROR(__xludf.DUMMYFUNCTION("""COMPUTED_VALUE"""),"SERVICEABLE")</f>
        <v>SERVICEABLE</v>
      </c>
      <c r="N843" s="164"/>
    </row>
    <row r="844" spans="1:14" ht="13.2" hidden="1">
      <c r="A844" s="164" t="str">
        <f ca="1">IFERROR(__xludf.DUMMYFUNCTION("""COMPUTED_VALUE"""),"CAR")</f>
        <v>CAR</v>
      </c>
      <c r="B844" s="164" t="str">
        <f ca="1">IFERROR(__xludf.DUMMYFUNCTION("""COMPUTED_VALUE"""),"Regional Office")</f>
        <v>Regional Office</v>
      </c>
      <c r="C844" s="164" t="str">
        <f ca="1">IFERROR(__xludf.DUMMYFUNCTION("""COMPUTED_VALUE"""),"Desktop Computer – (MSI PRO DP180)")</f>
        <v>Desktop Computer – (MSI PRO DP180)</v>
      </c>
      <c r="D844" s="164" t="str">
        <f ca="1">IFERROR(__xludf.DUMMYFUNCTION("""COMPUTED_VALUE"""),"₱ 49,300.00")</f>
        <v>₱ 49,300.00</v>
      </c>
      <c r="E844" s="164" t="str">
        <f ca="1">IFERROR(__xludf.DUMMYFUNCTION("""COMPUTED_VALUE"""),"₱ -")</f>
        <v>₱ -</v>
      </c>
      <c r="F844" s="164" t="str">
        <f ca="1">IFERROR(__xludf.DUMMYFUNCTION("""COMPUTED_VALUE"""),"HVSPLIT-102-24-05-01-354")</f>
        <v>HVSPLIT-102-24-05-01-354</v>
      </c>
      <c r="G844" s="164"/>
      <c r="H844" s="164" t="str">
        <f ca="1">IFERROR(__xludf.DUMMYFUNCTION("""COMPUTED_VALUE"""),"VIOLETA WA-IS")</f>
        <v>VIOLETA WA-IS</v>
      </c>
      <c r="I844" s="164" t="str">
        <f ca="1">IFERROR(__xludf.DUMMYFUNCTION("""COMPUTED_VALUE"""),"AO IV - GSO")</f>
        <v>AO IV - GSO</v>
      </c>
      <c r="J844" s="164"/>
      <c r="K844" s="164" t="str">
        <f ca="1">IFERROR(__xludf.DUMMYFUNCTION("""COMPUTED_VALUE"""),"VIOLETA WA-IS")</f>
        <v>VIOLETA WA-IS</v>
      </c>
      <c r="L844" s="164" t="str">
        <f ca="1">IFERROR(__xludf.DUMMYFUNCTION("""COMPUTED_VALUE"""),"DARRO")</f>
        <v>DARRO</v>
      </c>
      <c r="M844" s="164" t="str">
        <f ca="1">IFERROR(__xludf.DUMMYFUNCTION("""COMPUTED_VALUE"""),"SERVICEABLE")</f>
        <v>SERVICEABLE</v>
      </c>
      <c r="N844" s="164"/>
    </row>
    <row r="845" spans="1:14" ht="13.2" hidden="1">
      <c r="A845" s="164" t="str">
        <f ca="1">IFERROR(__xludf.DUMMYFUNCTION("""COMPUTED_VALUE"""),"CAR")</f>
        <v>CAR</v>
      </c>
      <c r="B845" s="164" t="str">
        <f ca="1">IFERROR(__xludf.DUMMYFUNCTION("""COMPUTED_VALUE"""),"Regional Office")</f>
        <v>Regional Office</v>
      </c>
      <c r="C845" s="164" t="str">
        <f ca="1">IFERROR(__xludf.DUMMYFUNCTION("""COMPUTED_VALUE"""),"Desktop Computer – (MSI PRO DP180)")</f>
        <v>Desktop Computer – (MSI PRO DP180)</v>
      </c>
      <c r="D845" s="164" t="str">
        <f ca="1">IFERROR(__xludf.DUMMYFUNCTION("""COMPUTED_VALUE"""),"₱ 49,300.00")</f>
        <v>₱ 49,300.00</v>
      </c>
      <c r="E845" s="164" t="str">
        <f ca="1">IFERROR(__xludf.DUMMYFUNCTION("""COMPUTED_VALUE"""),"₱ -")</f>
        <v>₱ -</v>
      </c>
      <c r="F845" s="164" t="str">
        <f ca="1">IFERROR(__xludf.DUMMYFUNCTION("""COMPUTED_VALUE"""),"HVSPLIT-102-24-05-01-355")</f>
        <v>HVSPLIT-102-24-05-01-355</v>
      </c>
      <c r="G845" s="164"/>
      <c r="H845" s="164" t="str">
        <f ca="1">IFERROR(__xludf.DUMMYFUNCTION("""COMPUTED_VALUE"""),"VIOLETA WA-IS")</f>
        <v>VIOLETA WA-IS</v>
      </c>
      <c r="I845" s="164" t="str">
        <f ca="1">IFERROR(__xludf.DUMMYFUNCTION("""COMPUTED_VALUE"""),"AO IV - GSO")</f>
        <v>AO IV - GSO</v>
      </c>
      <c r="J845" s="164"/>
      <c r="K845" s="164" t="str">
        <f ca="1">IFERROR(__xludf.DUMMYFUNCTION("""COMPUTED_VALUE"""),"VIOLETA WA-IS")</f>
        <v>VIOLETA WA-IS</v>
      </c>
      <c r="L845" s="164" t="str">
        <f ca="1">IFERROR(__xludf.DUMMYFUNCTION("""COMPUTED_VALUE"""),"DARRO")</f>
        <v>DARRO</v>
      </c>
      <c r="M845" s="164" t="str">
        <f ca="1">IFERROR(__xludf.DUMMYFUNCTION("""COMPUTED_VALUE"""),"SERVICEABLE")</f>
        <v>SERVICEABLE</v>
      </c>
      <c r="N845" s="164"/>
    </row>
    <row r="846" spans="1:14" ht="13.2" hidden="1">
      <c r="A846" s="164" t="str">
        <f ca="1">IFERROR(__xludf.DUMMYFUNCTION("""COMPUTED_VALUE"""),"CAR")</f>
        <v>CAR</v>
      </c>
      <c r="B846" s="164" t="str">
        <f ca="1">IFERROR(__xludf.DUMMYFUNCTION("""COMPUTED_VALUE"""),"Regional Office")</f>
        <v>Regional Office</v>
      </c>
      <c r="C846" s="164" t="str">
        <f ca="1">IFERROR(__xludf.DUMMYFUNCTION("""COMPUTED_VALUE"""),"Desktop Computer – (MSI PRO DP180)")</f>
        <v>Desktop Computer – (MSI PRO DP180)</v>
      </c>
      <c r="D846" s="164" t="str">
        <f ca="1">IFERROR(__xludf.DUMMYFUNCTION("""COMPUTED_VALUE"""),"₱ 49,300.00")</f>
        <v>₱ 49,300.00</v>
      </c>
      <c r="E846" s="164" t="str">
        <f ca="1">IFERROR(__xludf.DUMMYFUNCTION("""COMPUTED_VALUE"""),"₱ -")</f>
        <v>₱ -</v>
      </c>
      <c r="F846" s="164" t="str">
        <f ca="1">IFERROR(__xludf.DUMMYFUNCTION("""COMPUTED_VALUE"""),"HVSPLIT-102-24-05-01-356")</f>
        <v>HVSPLIT-102-24-05-01-356</v>
      </c>
      <c r="G846" s="164"/>
      <c r="H846" s="164" t="str">
        <f ca="1">IFERROR(__xludf.DUMMYFUNCTION("""COMPUTED_VALUE"""),"VIOLETA WA-IS")</f>
        <v>VIOLETA WA-IS</v>
      </c>
      <c r="I846" s="164" t="str">
        <f ca="1">IFERROR(__xludf.DUMMYFUNCTION("""COMPUTED_VALUE"""),"AO IV - GSO")</f>
        <v>AO IV - GSO</v>
      </c>
      <c r="J846" s="164"/>
      <c r="K846" s="164" t="str">
        <f ca="1">IFERROR(__xludf.DUMMYFUNCTION("""COMPUTED_VALUE"""),"VIOLETA WA-IS")</f>
        <v>VIOLETA WA-IS</v>
      </c>
      <c r="L846" s="164" t="str">
        <f ca="1">IFERROR(__xludf.DUMMYFUNCTION("""COMPUTED_VALUE"""),"DARRO")</f>
        <v>DARRO</v>
      </c>
      <c r="M846" s="164" t="str">
        <f ca="1">IFERROR(__xludf.DUMMYFUNCTION("""COMPUTED_VALUE"""),"SERVICEABLE")</f>
        <v>SERVICEABLE</v>
      </c>
      <c r="N846" s="164"/>
    </row>
    <row r="847" spans="1:14" ht="13.2" hidden="1">
      <c r="A847" s="164" t="str">
        <f ca="1">IFERROR(__xludf.DUMMYFUNCTION("""COMPUTED_VALUE"""),"CAR")</f>
        <v>CAR</v>
      </c>
      <c r="B847" s="164" t="str">
        <f ca="1">IFERROR(__xludf.DUMMYFUNCTION("""COMPUTED_VALUE"""),"Regional Office")</f>
        <v>Regional Office</v>
      </c>
      <c r="C847" s="164" t="str">
        <f ca="1">IFERROR(__xludf.DUMMYFUNCTION("""COMPUTED_VALUE"""),"Desktop Computer – (MSI PRO DP180)")</f>
        <v>Desktop Computer – (MSI PRO DP180)</v>
      </c>
      <c r="D847" s="164" t="str">
        <f ca="1">IFERROR(__xludf.DUMMYFUNCTION("""COMPUTED_VALUE"""),"₱ 49,300.00")</f>
        <v>₱ 49,300.00</v>
      </c>
      <c r="E847" s="164" t="str">
        <f ca="1">IFERROR(__xludf.DUMMYFUNCTION("""COMPUTED_VALUE"""),"₱ -")</f>
        <v>₱ -</v>
      </c>
      <c r="F847" s="164" t="str">
        <f ca="1">IFERROR(__xludf.DUMMYFUNCTION("""COMPUTED_VALUE"""),"HVSPLIT-102-24-05-01-357")</f>
        <v>HVSPLIT-102-24-05-01-357</v>
      </c>
      <c r="G847" s="164"/>
      <c r="H847" s="164" t="str">
        <f ca="1">IFERROR(__xludf.DUMMYFUNCTION("""COMPUTED_VALUE"""),"VIOLETA WA-IS")</f>
        <v>VIOLETA WA-IS</v>
      </c>
      <c r="I847" s="164" t="str">
        <f ca="1">IFERROR(__xludf.DUMMYFUNCTION("""COMPUTED_VALUE"""),"AO IV - GSO")</f>
        <v>AO IV - GSO</v>
      </c>
      <c r="J847" s="164"/>
      <c r="K847" s="164" t="str">
        <f ca="1">IFERROR(__xludf.DUMMYFUNCTION("""COMPUTED_VALUE"""),"VIOLETA WA-IS")</f>
        <v>VIOLETA WA-IS</v>
      </c>
      <c r="L847" s="164" t="str">
        <f ca="1">IFERROR(__xludf.DUMMYFUNCTION("""COMPUTED_VALUE"""),"DARRO")</f>
        <v>DARRO</v>
      </c>
      <c r="M847" s="164" t="str">
        <f ca="1">IFERROR(__xludf.DUMMYFUNCTION("""COMPUTED_VALUE"""),"SERVICEABLE")</f>
        <v>SERVICEABLE</v>
      </c>
      <c r="N847" s="164"/>
    </row>
    <row r="848" spans="1:14" ht="13.2" hidden="1">
      <c r="A848" s="164" t="str">
        <f ca="1">IFERROR(__xludf.DUMMYFUNCTION("""COMPUTED_VALUE"""),"CAR")</f>
        <v>CAR</v>
      </c>
      <c r="B848" s="164" t="str">
        <f ca="1">IFERROR(__xludf.DUMMYFUNCTION("""COMPUTED_VALUE"""),"Regional Office")</f>
        <v>Regional Office</v>
      </c>
      <c r="C848" s="164" t="str">
        <f ca="1">IFERROR(__xludf.DUMMYFUNCTION("""COMPUTED_VALUE"""),"Desktop Computer – (MSI PRO DP180)")</f>
        <v>Desktop Computer – (MSI PRO DP180)</v>
      </c>
      <c r="D848" s="164" t="str">
        <f ca="1">IFERROR(__xludf.DUMMYFUNCTION("""COMPUTED_VALUE"""),"₱ 49,300.00")</f>
        <v>₱ 49,300.00</v>
      </c>
      <c r="E848" s="164" t="str">
        <f ca="1">IFERROR(__xludf.DUMMYFUNCTION("""COMPUTED_VALUE"""),"₱ -")</f>
        <v>₱ -</v>
      </c>
      <c r="F848" s="164" t="str">
        <f ca="1">IFERROR(__xludf.DUMMYFUNCTION("""COMPUTED_VALUE"""),"HVSPLIT-102-24-05-01-358")</f>
        <v>HVSPLIT-102-24-05-01-358</v>
      </c>
      <c r="G848" s="164"/>
      <c r="H848" s="164" t="str">
        <f ca="1">IFERROR(__xludf.DUMMYFUNCTION("""COMPUTED_VALUE"""),"VIOLETA WA-IS")</f>
        <v>VIOLETA WA-IS</v>
      </c>
      <c r="I848" s="164" t="str">
        <f ca="1">IFERROR(__xludf.DUMMYFUNCTION("""COMPUTED_VALUE"""),"AO IV - GSO")</f>
        <v>AO IV - GSO</v>
      </c>
      <c r="J848" s="164"/>
      <c r="K848" s="164" t="str">
        <f ca="1">IFERROR(__xludf.DUMMYFUNCTION("""COMPUTED_VALUE"""),"VIOLETA WA-IS")</f>
        <v>VIOLETA WA-IS</v>
      </c>
      <c r="L848" s="164" t="str">
        <f ca="1">IFERROR(__xludf.DUMMYFUNCTION("""COMPUTED_VALUE"""),"DARRO")</f>
        <v>DARRO</v>
      </c>
      <c r="M848" s="164" t="str">
        <f ca="1">IFERROR(__xludf.DUMMYFUNCTION("""COMPUTED_VALUE"""),"SERVICEABLE")</f>
        <v>SERVICEABLE</v>
      </c>
      <c r="N848" s="164"/>
    </row>
    <row r="849" spans="1:14" ht="13.2" hidden="1">
      <c r="A849" s="164" t="str">
        <f ca="1">IFERROR(__xludf.DUMMYFUNCTION("""COMPUTED_VALUE"""),"CAR")</f>
        <v>CAR</v>
      </c>
      <c r="B849" s="164" t="str">
        <f ca="1">IFERROR(__xludf.DUMMYFUNCTION("""COMPUTED_VALUE"""),"Regional Office")</f>
        <v>Regional Office</v>
      </c>
      <c r="C849" s="164" t="str">
        <f ca="1">IFERROR(__xludf.DUMMYFUNCTION("""COMPUTED_VALUE"""),"Desktop Computer – (MSI PRO DP180)")</f>
        <v>Desktop Computer – (MSI PRO DP180)</v>
      </c>
      <c r="D849" s="164" t="str">
        <f ca="1">IFERROR(__xludf.DUMMYFUNCTION("""COMPUTED_VALUE"""),"₱ 49,300.00")</f>
        <v>₱ 49,300.00</v>
      </c>
      <c r="E849" s="164" t="str">
        <f ca="1">IFERROR(__xludf.DUMMYFUNCTION("""COMPUTED_VALUE"""),"₱ -")</f>
        <v>₱ -</v>
      </c>
      <c r="F849" s="164" t="str">
        <f ca="1">IFERROR(__xludf.DUMMYFUNCTION("""COMPUTED_VALUE"""),"HVSPLIT-102-24-05-01-359")</f>
        <v>HVSPLIT-102-24-05-01-359</v>
      </c>
      <c r="G849" s="164"/>
      <c r="H849" s="164" t="str">
        <f ca="1">IFERROR(__xludf.DUMMYFUNCTION("""COMPUTED_VALUE"""),"VIOLETA WA-IS")</f>
        <v>VIOLETA WA-IS</v>
      </c>
      <c r="I849" s="164" t="str">
        <f ca="1">IFERROR(__xludf.DUMMYFUNCTION("""COMPUTED_VALUE"""),"AO IV - GSO")</f>
        <v>AO IV - GSO</v>
      </c>
      <c r="J849" s="164"/>
      <c r="K849" s="164" t="str">
        <f ca="1">IFERROR(__xludf.DUMMYFUNCTION("""COMPUTED_VALUE"""),"VIOLETA WA-IS")</f>
        <v>VIOLETA WA-IS</v>
      </c>
      <c r="L849" s="164" t="str">
        <f ca="1">IFERROR(__xludf.DUMMYFUNCTION("""COMPUTED_VALUE"""),"DARRO")</f>
        <v>DARRO</v>
      </c>
      <c r="M849" s="164" t="str">
        <f ca="1">IFERROR(__xludf.DUMMYFUNCTION("""COMPUTED_VALUE"""),"SERVICEABLE")</f>
        <v>SERVICEABLE</v>
      </c>
      <c r="N849" s="164"/>
    </row>
    <row r="850" spans="1:14" ht="13.2" hidden="1">
      <c r="A850" s="164" t="str">
        <f ca="1">IFERROR(__xludf.DUMMYFUNCTION("""COMPUTED_VALUE"""),"CAR")</f>
        <v>CAR</v>
      </c>
      <c r="B850" s="164" t="str">
        <f ca="1">IFERROR(__xludf.DUMMYFUNCTION("""COMPUTED_VALUE"""),"Regional Office")</f>
        <v>Regional Office</v>
      </c>
      <c r="C850" s="164" t="str">
        <f ca="1">IFERROR(__xludf.DUMMYFUNCTION("""COMPUTED_VALUE"""),"Desktop Computer – (MSI PRO DP180)")</f>
        <v>Desktop Computer – (MSI PRO DP180)</v>
      </c>
      <c r="D850" s="164" t="str">
        <f ca="1">IFERROR(__xludf.DUMMYFUNCTION("""COMPUTED_VALUE"""),"₱ 49,300.00")</f>
        <v>₱ 49,300.00</v>
      </c>
      <c r="E850" s="164" t="str">
        <f ca="1">IFERROR(__xludf.DUMMYFUNCTION("""COMPUTED_VALUE"""),"₱ -")</f>
        <v>₱ -</v>
      </c>
      <c r="F850" s="164" t="str">
        <f ca="1">IFERROR(__xludf.DUMMYFUNCTION("""COMPUTED_VALUE"""),"HVSPLIT-102-24-05-01-360")</f>
        <v>HVSPLIT-102-24-05-01-360</v>
      </c>
      <c r="G850" s="164"/>
      <c r="H850" s="164" t="str">
        <f ca="1">IFERROR(__xludf.DUMMYFUNCTION("""COMPUTED_VALUE"""),"VIOLETA WA-IS")</f>
        <v>VIOLETA WA-IS</v>
      </c>
      <c r="I850" s="164" t="str">
        <f ca="1">IFERROR(__xludf.DUMMYFUNCTION("""COMPUTED_VALUE"""),"AO IV - GSO")</f>
        <v>AO IV - GSO</v>
      </c>
      <c r="J850" s="164"/>
      <c r="K850" s="164" t="str">
        <f ca="1">IFERROR(__xludf.DUMMYFUNCTION("""COMPUTED_VALUE"""),"VIOLETA WA-IS")</f>
        <v>VIOLETA WA-IS</v>
      </c>
      <c r="L850" s="164" t="str">
        <f ca="1">IFERROR(__xludf.DUMMYFUNCTION("""COMPUTED_VALUE"""),"DARRO")</f>
        <v>DARRO</v>
      </c>
      <c r="M850" s="164" t="str">
        <f ca="1">IFERROR(__xludf.DUMMYFUNCTION("""COMPUTED_VALUE"""),"SERVICEABLE")</f>
        <v>SERVICEABLE</v>
      </c>
      <c r="N850" s="164"/>
    </row>
    <row r="851" spans="1:14" ht="13.2" hidden="1">
      <c r="A851" s="164" t="str">
        <f ca="1">IFERROR(__xludf.DUMMYFUNCTION("""COMPUTED_VALUE"""),"CAR")</f>
        <v>CAR</v>
      </c>
      <c r="B851" s="164" t="str">
        <f ca="1">IFERROR(__xludf.DUMMYFUNCTION("""COMPUTED_VALUE"""),"Regional Office")</f>
        <v>Regional Office</v>
      </c>
      <c r="C851" s="164" t="str">
        <f ca="1">IFERROR(__xludf.DUMMYFUNCTION("""COMPUTED_VALUE"""),"Desktop Computer – (MSI PRO DP180)")</f>
        <v>Desktop Computer – (MSI PRO DP180)</v>
      </c>
      <c r="D851" s="164" t="str">
        <f ca="1">IFERROR(__xludf.DUMMYFUNCTION("""COMPUTED_VALUE"""),"₱ 49,300.00")</f>
        <v>₱ 49,300.00</v>
      </c>
      <c r="E851" s="164" t="str">
        <f ca="1">IFERROR(__xludf.DUMMYFUNCTION("""COMPUTED_VALUE"""),"₱ -")</f>
        <v>₱ -</v>
      </c>
      <c r="F851" s="164" t="str">
        <f ca="1">IFERROR(__xludf.DUMMYFUNCTION("""COMPUTED_VALUE"""),"HVSPLIT-102-24-05-01-361")</f>
        <v>HVSPLIT-102-24-05-01-361</v>
      </c>
      <c r="G851" s="164"/>
      <c r="H851" s="164" t="str">
        <f ca="1">IFERROR(__xludf.DUMMYFUNCTION("""COMPUTED_VALUE"""),"VIOLETA WA-IS")</f>
        <v>VIOLETA WA-IS</v>
      </c>
      <c r="I851" s="164" t="str">
        <f ca="1">IFERROR(__xludf.DUMMYFUNCTION("""COMPUTED_VALUE"""),"AO IV - GSO")</f>
        <v>AO IV - GSO</v>
      </c>
      <c r="J851" s="164"/>
      <c r="K851" s="164" t="str">
        <f ca="1">IFERROR(__xludf.DUMMYFUNCTION("""COMPUTED_VALUE"""),"VIOLETA WA-IS")</f>
        <v>VIOLETA WA-IS</v>
      </c>
      <c r="L851" s="164" t="str">
        <f ca="1">IFERROR(__xludf.DUMMYFUNCTION("""COMPUTED_VALUE"""),"DARRO")</f>
        <v>DARRO</v>
      </c>
      <c r="M851" s="164" t="str">
        <f ca="1">IFERROR(__xludf.DUMMYFUNCTION("""COMPUTED_VALUE"""),"SERVICEABLE")</f>
        <v>SERVICEABLE</v>
      </c>
      <c r="N851" s="164"/>
    </row>
    <row r="852" spans="1:14" ht="13.2" hidden="1">
      <c r="A852" s="164" t="str">
        <f ca="1">IFERROR(__xludf.DUMMYFUNCTION("""COMPUTED_VALUE"""),"CAR")</f>
        <v>CAR</v>
      </c>
      <c r="B852" s="164" t="str">
        <f ca="1">IFERROR(__xludf.DUMMYFUNCTION("""COMPUTED_VALUE"""),"Regional Office")</f>
        <v>Regional Office</v>
      </c>
      <c r="C852" s="164" t="str">
        <f ca="1">IFERROR(__xludf.DUMMYFUNCTION("""COMPUTED_VALUE"""),"Desktop Computer – (MSI PRO DP180)")</f>
        <v>Desktop Computer – (MSI PRO DP180)</v>
      </c>
      <c r="D852" s="164" t="str">
        <f ca="1">IFERROR(__xludf.DUMMYFUNCTION("""COMPUTED_VALUE"""),"₱ 49,300.00")</f>
        <v>₱ 49,300.00</v>
      </c>
      <c r="E852" s="164" t="str">
        <f ca="1">IFERROR(__xludf.DUMMYFUNCTION("""COMPUTED_VALUE"""),"₱ -")</f>
        <v>₱ -</v>
      </c>
      <c r="F852" s="164" t="str">
        <f ca="1">IFERROR(__xludf.DUMMYFUNCTION("""COMPUTED_VALUE"""),"HVSPLIT-102-24-05-01-362")</f>
        <v>HVSPLIT-102-24-05-01-362</v>
      </c>
      <c r="G852" s="164"/>
      <c r="H852" s="164" t="str">
        <f ca="1">IFERROR(__xludf.DUMMYFUNCTION("""COMPUTED_VALUE"""),"VIOLETA WA-IS")</f>
        <v>VIOLETA WA-IS</v>
      </c>
      <c r="I852" s="164" t="str">
        <f ca="1">IFERROR(__xludf.DUMMYFUNCTION("""COMPUTED_VALUE"""),"AO IV - GSO")</f>
        <v>AO IV - GSO</v>
      </c>
      <c r="J852" s="164"/>
      <c r="K852" s="164" t="str">
        <f ca="1">IFERROR(__xludf.DUMMYFUNCTION("""COMPUTED_VALUE"""),"VIOLETA WA-IS")</f>
        <v>VIOLETA WA-IS</v>
      </c>
      <c r="L852" s="164" t="str">
        <f ca="1">IFERROR(__xludf.DUMMYFUNCTION("""COMPUTED_VALUE"""),"DARRO")</f>
        <v>DARRO</v>
      </c>
      <c r="M852" s="164" t="str">
        <f ca="1">IFERROR(__xludf.DUMMYFUNCTION("""COMPUTED_VALUE"""),"SERVICEABLE")</f>
        <v>SERVICEABLE</v>
      </c>
      <c r="N852" s="164"/>
    </row>
    <row r="853" spans="1:14" ht="13.2" hidden="1">
      <c r="A853" s="164" t="str">
        <f ca="1">IFERROR(__xludf.DUMMYFUNCTION("""COMPUTED_VALUE"""),"CAR")</f>
        <v>CAR</v>
      </c>
      <c r="B853" s="164" t="str">
        <f ca="1">IFERROR(__xludf.DUMMYFUNCTION("""COMPUTED_VALUE"""),"Regional Office")</f>
        <v>Regional Office</v>
      </c>
      <c r="C853" s="164" t="str">
        <f ca="1">IFERROR(__xludf.DUMMYFUNCTION("""COMPUTED_VALUE"""),"Desktop Computer – (MSI PRO DP180)")</f>
        <v>Desktop Computer – (MSI PRO DP180)</v>
      </c>
      <c r="D853" s="164" t="str">
        <f ca="1">IFERROR(__xludf.DUMMYFUNCTION("""COMPUTED_VALUE"""),"₱ 49,300.00")</f>
        <v>₱ 49,300.00</v>
      </c>
      <c r="E853" s="164" t="str">
        <f ca="1">IFERROR(__xludf.DUMMYFUNCTION("""COMPUTED_VALUE"""),"₱ -")</f>
        <v>₱ -</v>
      </c>
      <c r="F853" s="164" t="str">
        <f ca="1">IFERROR(__xludf.DUMMYFUNCTION("""COMPUTED_VALUE"""),"HVSPLIT-102-24-05-01-363")</f>
        <v>HVSPLIT-102-24-05-01-363</v>
      </c>
      <c r="G853" s="164"/>
      <c r="H853" s="164" t="str">
        <f ca="1">IFERROR(__xludf.DUMMYFUNCTION("""COMPUTED_VALUE"""),"VIOLETA WA-IS")</f>
        <v>VIOLETA WA-IS</v>
      </c>
      <c r="I853" s="164" t="str">
        <f ca="1">IFERROR(__xludf.DUMMYFUNCTION("""COMPUTED_VALUE"""),"AO IV - GSO")</f>
        <v>AO IV - GSO</v>
      </c>
      <c r="J853" s="164"/>
      <c r="K853" s="164" t="str">
        <f ca="1">IFERROR(__xludf.DUMMYFUNCTION("""COMPUTED_VALUE"""),"VIOLETA WA-IS")</f>
        <v>VIOLETA WA-IS</v>
      </c>
      <c r="L853" s="164" t="str">
        <f ca="1">IFERROR(__xludf.DUMMYFUNCTION("""COMPUTED_VALUE"""),"DARRO")</f>
        <v>DARRO</v>
      </c>
      <c r="M853" s="164" t="str">
        <f ca="1">IFERROR(__xludf.DUMMYFUNCTION("""COMPUTED_VALUE"""),"SERVICEABLE")</f>
        <v>SERVICEABLE</v>
      </c>
      <c r="N853" s="164"/>
    </row>
    <row r="854" spans="1:14" ht="13.2" hidden="1">
      <c r="A854" s="164" t="str">
        <f ca="1">IFERROR(__xludf.DUMMYFUNCTION("""COMPUTED_VALUE"""),"CAR")</f>
        <v>CAR</v>
      </c>
      <c r="B854" s="164" t="str">
        <f ca="1">IFERROR(__xludf.DUMMYFUNCTION("""COMPUTED_VALUE"""),"Regional Office")</f>
        <v>Regional Office</v>
      </c>
      <c r="C854" s="164" t="str">
        <f ca="1">IFERROR(__xludf.DUMMYFUNCTION("""COMPUTED_VALUE"""),"Desktop Computer – (MSI PRO DP180)")</f>
        <v>Desktop Computer – (MSI PRO DP180)</v>
      </c>
      <c r="D854" s="164" t="str">
        <f ca="1">IFERROR(__xludf.DUMMYFUNCTION("""COMPUTED_VALUE"""),"₱ 49,300.00")</f>
        <v>₱ 49,300.00</v>
      </c>
      <c r="E854" s="164" t="str">
        <f ca="1">IFERROR(__xludf.DUMMYFUNCTION("""COMPUTED_VALUE"""),"₱ -")</f>
        <v>₱ -</v>
      </c>
      <c r="F854" s="164" t="str">
        <f ca="1">IFERROR(__xludf.DUMMYFUNCTION("""COMPUTED_VALUE"""),"HVSPLIT-102-24-05-01-364")</f>
        <v>HVSPLIT-102-24-05-01-364</v>
      </c>
      <c r="G854" s="164"/>
      <c r="H854" s="164" t="str">
        <f ca="1">IFERROR(__xludf.DUMMYFUNCTION("""COMPUTED_VALUE"""),"VIOLETA WA-IS")</f>
        <v>VIOLETA WA-IS</v>
      </c>
      <c r="I854" s="164" t="str">
        <f ca="1">IFERROR(__xludf.DUMMYFUNCTION("""COMPUTED_VALUE"""),"AO IV - GSO")</f>
        <v>AO IV - GSO</v>
      </c>
      <c r="J854" s="164"/>
      <c r="K854" s="164" t="str">
        <f ca="1">IFERROR(__xludf.DUMMYFUNCTION("""COMPUTED_VALUE"""),"VIOLETA WA-IS")</f>
        <v>VIOLETA WA-IS</v>
      </c>
      <c r="L854" s="164" t="str">
        <f ca="1">IFERROR(__xludf.DUMMYFUNCTION("""COMPUTED_VALUE"""),"DARRO")</f>
        <v>DARRO</v>
      </c>
      <c r="M854" s="164" t="str">
        <f ca="1">IFERROR(__xludf.DUMMYFUNCTION("""COMPUTED_VALUE"""),"SERVICEABLE")</f>
        <v>SERVICEABLE</v>
      </c>
      <c r="N854" s="164"/>
    </row>
    <row r="855" spans="1:14" ht="13.2" hidden="1">
      <c r="A855" s="164" t="str">
        <f ca="1">IFERROR(__xludf.DUMMYFUNCTION("""COMPUTED_VALUE"""),"CAR")</f>
        <v>CAR</v>
      </c>
      <c r="B855" s="164" t="str">
        <f ca="1">IFERROR(__xludf.DUMMYFUNCTION("""COMPUTED_VALUE"""),"Benguet")</f>
        <v>Benguet</v>
      </c>
      <c r="C855" s="164" t="str">
        <f ca="1">IFERROR(__xludf.DUMMYFUNCTION("""COMPUTED_VALUE"""),"Desktop Computer – (MSI PRO DP180)")</f>
        <v>Desktop Computer – (MSI PRO DP180)</v>
      </c>
      <c r="D855" s="164" t="str">
        <f ca="1">IFERROR(__xludf.DUMMYFUNCTION("""COMPUTED_VALUE"""),"₱ 49,300.00")</f>
        <v>₱ 49,300.00</v>
      </c>
      <c r="E855" s="164" t="str">
        <f ca="1">IFERROR(__xludf.DUMMYFUNCTION("""COMPUTED_VALUE"""),"₱ -")</f>
        <v>₱ -</v>
      </c>
      <c r="F855" s="164" t="str">
        <f ca="1">IFERROR(__xludf.DUMMYFUNCTION("""COMPUTED_VALUE"""),"HVSPLIT-102-24-05-01-365")</f>
        <v>HVSPLIT-102-24-05-01-365</v>
      </c>
      <c r="G855" s="164"/>
      <c r="H855" s="164" t="str">
        <f ca="1">IFERROR(__xludf.DUMMYFUNCTION("""COMPUTED_VALUE"""),"DENR")</f>
        <v>DENR</v>
      </c>
      <c r="I855" s="164" t="str">
        <f ca="1">IFERROR(__xludf.DUMMYFUNCTION("""COMPUTED_VALUE"""),"DENR")</f>
        <v>DENR</v>
      </c>
      <c r="J855" s="164"/>
      <c r="K855" s="164" t="str">
        <f ca="1">IFERROR(__xludf.DUMMYFUNCTION("""COMPUTED_VALUE"""),"DENR")</f>
        <v>DENR</v>
      </c>
      <c r="L855" s="164" t="str">
        <f ca="1">IFERROR(__xludf.DUMMYFUNCTION("""COMPUTED_VALUE"""),"DENR")</f>
        <v>DENR</v>
      </c>
      <c r="M855" s="164" t="str">
        <f ca="1">IFERROR(__xludf.DUMMYFUNCTION("""COMPUTED_VALUE"""),"SERVICEABLE")</f>
        <v>SERVICEABLE</v>
      </c>
      <c r="N855" s="164"/>
    </row>
    <row r="856" spans="1:14" ht="13.2" hidden="1">
      <c r="A856" s="164" t="str">
        <f ca="1">IFERROR(__xludf.DUMMYFUNCTION("""COMPUTED_VALUE"""),"CAR")</f>
        <v>CAR</v>
      </c>
      <c r="B856" s="164" t="str">
        <f ca="1">IFERROR(__xludf.DUMMYFUNCTION("""COMPUTED_VALUE"""),"Benguet")</f>
        <v>Benguet</v>
      </c>
      <c r="C856" s="164" t="str">
        <f ca="1">IFERROR(__xludf.DUMMYFUNCTION("""COMPUTED_VALUE"""),"A3 PRINTER (BROTHER)")</f>
        <v>A3 PRINTER (BROTHER)</v>
      </c>
      <c r="D856" s="164" t="str">
        <f ca="1">IFERROR(__xludf.DUMMYFUNCTION("""COMPUTED_VALUE"""),"33,508.00")</f>
        <v>33,508.00</v>
      </c>
      <c r="E856" s="164" t="str">
        <f ca="1">IFERROR(__xludf.DUMMYFUNCTION("""COMPUTED_VALUE"""),"₱ -")</f>
        <v>₱ -</v>
      </c>
      <c r="F856" s="164" t="str">
        <f ca="1">IFERROR(__xludf.DUMMYFUNCTION("""COMPUTED_VALUE"""),"HV-SPLIT-102-24-05-09")</f>
        <v>HV-SPLIT-102-24-05-09</v>
      </c>
      <c r="G856" s="164"/>
      <c r="H856" s="164" t="str">
        <f ca="1">IFERROR(__xludf.DUMMYFUNCTION("""COMPUTED_VALUE"""),"SAMUEL S. SOLOMERO")</f>
        <v>SAMUEL S. SOLOMERO</v>
      </c>
      <c r="I856" s="164" t="str">
        <f ca="1">IFERROR(__xludf.DUMMYFUNCTION("""COMPUTED_VALUE"""),"REGIONAL DIRECTOR")</f>
        <v>REGIONAL DIRECTOR</v>
      </c>
      <c r="J856" s="164" t="str">
        <f ca="1">IFERROR(__xludf.DUMMYFUNCTION("""COMPUTED_VALUE"""),"2024-03-001")</f>
        <v>2024-03-001</v>
      </c>
      <c r="K856" s="164" t="str">
        <f ca="1">IFERROR(__xludf.DUMMYFUNCTION("""COMPUTED_VALUE"""),"SAMUEL S. SOLOMERO")</f>
        <v>SAMUEL S. SOLOMERO</v>
      </c>
      <c r="L856" s="164" t="str">
        <f ca="1">IFERROR(__xludf.DUMMYFUNCTION("""COMPUTED_VALUE"""),"DARPO BENGUET")</f>
        <v>DARPO BENGUET</v>
      </c>
      <c r="M856" s="164" t="str">
        <f ca="1">IFERROR(__xludf.DUMMYFUNCTION("""COMPUTED_VALUE"""),"SERVICEABLE")</f>
        <v>SERVICEABLE</v>
      </c>
      <c r="N856" s="164"/>
    </row>
    <row r="857" spans="1:14" ht="13.2" hidden="1">
      <c r="A857" s="164" t="str">
        <f ca="1">IFERROR(__xludf.DUMMYFUNCTION("""COMPUTED_VALUE"""),"CAR")</f>
        <v>CAR</v>
      </c>
      <c r="B857" s="164" t="str">
        <f ca="1">IFERROR(__xludf.DUMMYFUNCTION("""COMPUTED_VALUE"""),"Ifugao")</f>
        <v>Ifugao</v>
      </c>
      <c r="C857" s="164" t="str">
        <f ca="1">IFERROR(__xludf.DUMMYFUNCTION("""COMPUTED_VALUE"""),"REAL-TIME KINEMATIC – GEOMAX ZENITH60")</f>
        <v>REAL-TIME KINEMATIC – GEOMAX ZENITH60</v>
      </c>
      <c r="D857" s="164" t="str">
        <f ca="1">IFERROR(__xludf.DUMMYFUNCTION("""COMPUTED_VALUE"""),"₱ 1,849,000.00")</f>
        <v>₱ 1,849,000.00</v>
      </c>
      <c r="E857" s="164" t="str">
        <f ca="1">IFERROR(__xludf.DUMMYFUNCTION("""COMPUTED_VALUE"""),"₱ -")</f>
        <v>₱ -</v>
      </c>
      <c r="F857" s="164" t="str">
        <f ca="1">IFERROR(__xludf.DUMMYFUNCTION("""COMPUTED_VALUE"""),"2023-05-14-10201SP17-01")</f>
        <v>2023-05-14-10201SP17-01</v>
      </c>
      <c r="G857" s="164" t="str">
        <f ca="1">IFERROR(__xludf.DUMMYFUNCTION("""COMPUTED_VALUE"""),"Z60ST272200380")</f>
        <v>Z60ST272200380</v>
      </c>
      <c r="H857" s="164" t="str">
        <f ca="1">IFERROR(__xludf.DUMMYFUNCTION("""COMPUTED_VALUE"""),"BRENDA LAFASNI")</f>
        <v>BRENDA LAFASNI</v>
      </c>
      <c r="I857" s="164" t="str">
        <f ca="1">IFERROR(__xludf.DUMMYFUNCTION("""COMPUTED_VALUE"""),"OIC PARPO II /Project Manager")</f>
        <v>OIC PARPO II /Project Manager</v>
      </c>
      <c r="J857" s="164" t="str">
        <f ca="1">IFERROR(__xludf.DUMMYFUNCTION("""COMPUTED_VALUE"""),"2023-11-81 SPLIT")</f>
        <v>2023-11-81 SPLIT</v>
      </c>
      <c r="K857" s="164" t="str">
        <f ca="1">IFERROR(__xludf.DUMMYFUNCTION("""COMPUTED_VALUE"""),"BRENDA LAFASNI")</f>
        <v>BRENDA LAFASNI</v>
      </c>
      <c r="L857" s="164" t="str">
        <f ca="1">IFERROR(__xludf.DUMMYFUNCTION("""COMPUTED_VALUE"""),"DARPO")</f>
        <v>DARPO</v>
      </c>
      <c r="M857" s="164" t="str">
        <f ca="1">IFERROR(__xludf.DUMMYFUNCTION("""COMPUTED_VALUE"""),"SERVICEABLE")</f>
        <v>SERVICEABLE</v>
      </c>
      <c r="N857" s="164"/>
    </row>
    <row r="858" spans="1:14" ht="13.2" hidden="1">
      <c r="A858" s="164" t="str">
        <f ca="1">IFERROR(__xludf.DUMMYFUNCTION("""COMPUTED_VALUE"""),"CAR")</f>
        <v>CAR</v>
      </c>
      <c r="B858" s="164" t="str">
        <f ca="1">IFERROR(__xludf.DUMMYFUNCTION("""COMPUTED_VALUE"""),"Ifugao")</f>
        <v>Ifugao</v>
      </c>
      <c r="C858" s="164" t="str">
        <f ca="1">IFERROR(__xludf.DUMMYFUNCTION("""COMPUTED_VALUE"""),"TOTAL STATION – GEOMAX TOTAL STATION ZOOM 50")</f>
        <v>TOTAL STATION – GEOMAX TOTAL STATION ZOOM 50</v>
      </c>
      <c r="D858" s="164" t="str">
        <f ca="1">IFERROR(__xludf.DUMMYFUNCTION("""COMPUTED_VALUE"""),"₱ 648,000.00")</f>
        <v>₱ 648,000.00</v>
      </c>
      <c r="E858" s="164" t="str">
        <f ca="1">IFERROR(__xludf.DUMMYFUNCTION("""COMPUTED_VALUE"""),"₱ -")</f>
        <v>₱ -</v>
      </c>
      <c r="F858" s="164" t="str">
        <f ca="1">IFERROR(__xludf.DUMMYFUNCTION("""COMPUTED_VALUE"""),"2023-05-14-10201SP17-01")</f>
        <v>2023-05-14-10201SP17-01</v>
      </c>
      <c r="G858" s="164"/>
      <c r="H858" s="164" t="str">
        <f ca="1">IFERROR(__xludf.DUMMYFUNCTION("""COMPUTED_VALUE"""),"BRENDA LAFASNI")</f>
        <v>BRENDA LAFASNI</v>
      </c>
      <c r="I858" s="164" t="str">
        <f ca="1">IFERROR(__xludf.DUMMYFUNCTION("""COMPUTED_VALUE"""),"OIC PARPO II /Project Manager")</f>
        <v>OIC PARPO II /Project Manager</v>
      </c>
      <c r="J858" s="164" t="str">
        <f ca="1">IFERROR(__xludf.DUMMYFUNCTION("""COMPUTED_VALUE"""),"2023-11-82 SPLIT")</f>
        <v>2023-11-82 SPLIT</v>
      </c>
      <c r="K858" s="164"/>
      <c r="L858" s="164"/>
      <c r="M858" s="164" t="str">
        <f ca="1">IFERROR(__xludf.DUMMYFUNCTION("""COMPUTED_VALUE"""),"SERVICEABLE")</f>
        <v>SERVICEABLE</v>
      </c>
      <c r="N858" s="164"/>
    </row>
    <row r="859" spans="1:14" ht="13.2" hidden="1">
      <c r="A859" s="164" t="str">
        <f ca="1">IFERROR(__xludf.DUMMYFUNCTION("""COMPUTED_VALUE"""),"CAR")</f>
        <v>CAR</v>
      </c>
      <c r="B859" s="164" t="str">
        <f ca="1">IFERROR(__xludf.DUMMYFUNCTION("""COMPUTED_VALUE"""),"Ifugao")</f>
        <v>Ifugao</v>
      </c>
      <c r="C859" s="164" t="str">
        <f ca="1">IFERROR(__xludf.DUMMYFUNCTION("""COMPUTED_VALUE"""),"Desktop Computer – (Lenovo M70T)")</f>
        <v>Desktop Computer – (Lenovo M70T)</v>
      </c>
      <c r="D859" s="164" t="str">
        <f ca="1">IFERROR(__xludf.DUMMYFUNCTION("""COMPUTED_VALUE"""),"₱ 75,468.00")</f>
        <v>₱ 75,468.00</v>
      </c>
      <c r="E859" s="164" t="str">
        <f ca="1">IFERROR(__xludf.DUMMYFUNCTION("""COMPUTED_VALUE"""),"₱ -")</f>
        <v>₱ -</v>
      </c>
      <c r="F859" s="164" t="str">
        <f ca="1">IFERROR(__xludf.DUMMYFUNCTION("""COMPUTED_VALUE"""),"2023-05-03-10201SP557-01")</f>
        <v>2023-05-03-10201SP557-01</v>
      </c>
      <c r="G859" s="164" t="str">
        <f ca="1">IFERROR(__xludf.DUMMYFUNCTION("""COMPUTED_VALUE"""),"1S11T5S16200GM0418D4")</f>
        <v>1S11T5S16200GM0418D4</v>
      </c>
      <c r="H859" s="164" t="str">
        <f ca="1">IFERROR(__xludf.DUMMYFUNCTION("""COMPUTED_VALUE"""),"ALONA A. PADILLA")</f>
        <v>ALONA A. PADILLA</v>
      </c>
      <c r="I859" s="164" t="str">
        <f ca="1">IFERROR(__xludf.DUMMYFUNCTION("""COMPUTED_VALUE"""),"FVT Coordinator")</f>
        <v>FVT Coordinator</v>
      </c>
      <c r="J859" s="164" t="str">
        <f ca="1">IFERROR(__xludf.DUMMYFUNCTION("""COMPUTED_VALUE"""),"2023-04-34 SPLIT")</f>
        <v>2023-04-34 SPLIT</v>
      </c>
      <c r="K859" s="164" t="str">
        <f ca="1">IFERROR(__xludf.DUMMYFUNCTION("""COMPUTED_VALUE"""),"ALONA A. PADILLA")</f>
        <v>ALONA A. PADILLA</v>
      </c>
      <c r="L859" s="164"/>
      <c r="M859" s="164" t="str">
        <f ca="1">IFERROR(__xludf.DUMMYFUNCTION("""COMPUTED_VALUE"""),"SERVICEABLE")</f>
        <v>SERVICEABLE</v>
      </c>
      <c r="N859" s="164"/>
    </row>
    <row r="860" spans="1:14" ht="13.2" hidden="1">
      <c r="A860" s="164" t="str">
        <f ca="1">IFERROR(__xludf.DUMMYFUNCTION("""COMPUTED_VALUE"""),"CAR")</f>
        <v>CAR</v>
      </c>
      <c r="B860" s="164" t="str">
        <f ca="1">IFERROR(__xludf.DUMMYFUNCTION("""COMPUTED_VALUE"""),"Ifugao")</f>
        <v>Ifugao</v>
      </c>
      <c r="C860" s="164" t="str">
        <f ca="1">IFERROR(__xludf.DUMMYFUNCTION("""COMPUTED_VALUE"""),"Desktop Computer – (Lenovo M70T)")</f>
        <v>Desktop Computer – (Lenovo M70T)</v>
      </c>
      <c r="D860" s="164" t="str">
        <f ca="1">IFERROR(__xludf.DUMMYFUNCTION("""COMPUTED_VALUE"""),"₱ 75,468.00")</f>
        <v>₱ 75,468.00</v>
      </c>
      <c r="E860" s="164" t="str">
        <f ca="1">IFERROR(__xludf.DUMMYFUNCTION("""COMPUTED_VALUE"""),"₱ -")</f>
        <v>₱ -</v>
      </c>
      <c r="F860" s="164" t="str">
        <f ca="1">IFERROR(__xludf.DUMMYFUNCTION("""COMPUTED_VALUE"""),"2023-05-03-10201SP558-01")</f>
        <v>2023-05-03-10201SP558-01</v>
      </c>
      <c r="G860" s="164" t="str">
        <f ca="1">IFERROR(__xludf.DUMMYFUNCTION("""COMPUTED_VALUE"""),"1S11T5S16200GM0418DB")</f>
        <v>1S11T5S16200GM0418DB</v>
      </c>
      <c r="H860" s="164" t="str">
        <f ca="1">IFERROR(__xludf.DUMMYFUNCTION("""COMPUTED_VALUE"""),"ATTY. JOHNSON P. NASDOMAN")</f>
        <v>ATTY. JOHNSON P. NASDOMAN</v>
      </c>
      <c r="I860" s="164" t="str">
        <f ca="1">IFERROR(__xludf.DUMMYFUNCTION("""COMPUTED_VALUE"""),"Legal Coordinator")</f>
        <v>Legal Coordinator</v>
      </c>
      <c r="J860" s="164" t="str">
        <f ca="1">IFERROR(__xludf.DUMMYFUNCTION("""COMPUTED_VALUE"""),"2023-04-34 SPLIT")</f>
        <v>2023-04-34 SPLIT</v>
      </c>
      <c r="K860" s="164" t="str">
        <f ca="1">IFERROR(__xludf.DUMMYFUNCTION("""COMPUTED_VALUE"""),"ATTY. JOHNSON P. NASDOMAN")</f>
        <v>ATTY. JOHNSON P. NASDOMAN</v>
      </c>
      <c r="L860" s="164"/>
      <c r="M860" s="164" t="str">
        <f ca="1">IFERROR(__xludf.DUMMYFUNCTION("""COMPUTED_VALUE"""),"SERVICEABLE")</f>
        <v>SERVICEABLE</v>
      </c>
      <c r="N860" s="164"/>
    </row>
    <row r="861" spans="1:14" ht="13.2" hidden="1">
      <c r="A861" s="164" t="str">
        <f ca="1">IFERROR(__xludf.DUMMYFUNCTION("""COMPUTED_VALUE"""),"CAR")</f>
        <v>CAR</v>
      </c>
      <c r="B861" s="164" t="str">
        <f ca="1">IFERROR(__xludf.DUMMYFUNCTION("""COMPUTED_VALUE"""),"Ifugao")</f>
        <v>Ifugao</v>
      </c>
      <c r="C861" s="164" t="str">
        <f ca="1">IFERROR(__xludf.DUMMYFUNCTION("""COMPUTED_VALUE"""),"Desktop Computer – (Lenovo M70T)")</f>
        <v>Desktop Computer – (Lenovo M70T)</v>
      </c>
      <c r="D861" s="164" t="str">
        <f ca="1">IFERROR(__xludf.DUMMYFUNCTION("""COMPUTED_VALUE"""),"₱ 75,468.00")</f>
        <v>₱ 75,468.00</v>
      </c>
      <c r="E861" s="164" t="str">
        <f ca="1">IFERROR(__xludf.DUMMYFUNCTION("""COMPUTED_VALUE"""),"₱ -")</f>
        <v>₱ -</v>
      </c>
      <c r="F861" s="164" t="str">
        <f ca="1">IFERROR(__xludf.DUMMYFUNCTION("""COMPUTED_VALUE"""),"2023-05-03-10201SP559-01")</f>
        <v>2023-05-03-10201SP559-01</v>
      </c>
      <c r="G861" s="164" t="str">
        <f ca="1">IFERROR(__xludf.DUMMYFUNCTION("""COMPUTED_VALUE"""),"1S11T5S16200GM0418DL")</f>
        <v>1S11T5S16200GM0418DL</v>
      </c>
      <c r="H861" s="164" t="str">
        <f ca="1">IFERROR(__xludf.DUMMYFUNCTION("""COMPUTED_VALUE"""),"LITO MIGUEL C. CACAYURAN")</f>
        <v>LITO MIGUEL C. CACAYURAN</v>
      </c>
      <c r="I861" s="164" t="str">
        <f ca="1">IFERROR(__xludf.DUMMYFUNCTION("""COMPUTED_VALUE"""),"Procurement Coordinator")</f>
        <v>Procurement Coordinator</v>
      </c>
      <c r="J861" s="164" t="str">
        <f ca="1">IFERROR(__xludf.DUMMYFUNCTION("""COMPUTED_VALUE"""),"2023-04-34 SPLIT")</f>
        <v>2023-04-34 SPLIT</v>
      </c>
      <c r="K861" s="164" t="str">
        <f ca="1">IFERROR(__xludf.DUMMYFUNCTION("""COMPUTED_VALUE"""),"LITO MIGUEL C. CACAYURAN")</f>
        <v>LITO MIGUEL C. CACAYURAN</v>
      </c>
      <c r="L861" s="164"/>
      <c r="M861" s="164" t="str">
        <f ca="1">IFERROR(__xludf.DUMMYFUNCTION("""COMPUTED_VALUE"""),"SERVICEABLE")</f>
        <v>SERVICEABLE</v>
      </c>
      <c r="N861" s="164"/>
    </row>
    <row r="862" spans="1:14" ht="13.2" hidden="1">
      <c r="A862" s="164" t="str">
        <f ca="1">IFERROR(__xludf.DUMMYFUNCTION("""COMPUTED_VALUE"""),"CAR")</f>
        <v>CAR</v>
      </c>
      <c r="B862" s="164" t="str">
        <f ca="1">IFERROR(__xludf.DUMMYFUNCTION("""COMPUTED_VALUE"""),"Ifugao")</f>
        <v>Ifugao</v>
      </c>
      <c r="C862" s="164" t="str">
        <f ca="1">IFERROR(__xludf.DUMMYFUNCTION("""COMPUTED_VALUE"""),"Desktop Computer – (Lenovo M70T)")</f>
        <v>Desktop Computer – (Lenovo M70T)</v>
      </c>
      <c r="D862" s="164" t="str">
        <f ca="1">IFERROR(__xludf.DUMMYFUNCTION("""COMPUTED_VALUE"""),"₱ 75,468.00")</f>
        <v>₱ 75,468.00</v>
      </c>
      <c r="E862" s="164" t="str">
        <f ca="1">IFERROR(__xludf.DUMMYFUNCTION("""COMPUTED_VALUE"""),"₱ -")</f>
        <v>₱ -</v>
      </c>
      <c r="F862" s="164" t="str">
        <f ca="1">IFERROR(__xludf.DUMMYFUNCTION("""COMPUTED_VALUE"""),"2023-05-03-10201SP560-01")</f>
        <v>2023-05-03-10201SP560-01</v>
      </c>
      <c r="G862" s="164" t="str">
        <f ca="1">IFERROR(__xludf.DUMMYFUNCTION("""COMPUTED_VALUE"""),"1S11T5S16200GM0418DQ")</f>
        <v>1S11T5S16200GM0418DQ</v>
      </c>
      <c r="H862" s="164" t="str">
        <f ca="1">IFERROR(__xludf.DUMMYFUNCTION("""COMPUTED_VALUE"""),"BRENDA P. LAFASNI")</f>
        <v>BRENDA P. LAFASNI</v>
      </c>
      <c r="I862" s="164" t="str">
        <f ca="1">IFERROR(__xludf.DUMMYFUNCTION("""COMPUTED_VALUE"""),"OIC-PARPO II / Project Manager")</f>
        <v>OIC-PARPO II / Project Manager</v>
      </c>
      <c r="J862" s="164" t="str">
        <f ca="1">IFERROR(__xludf.DUMMYFUNCTION("""COMPUTED_VALUE"""),"2023-04-34 SPLIT")</f>
        <v>2023-04-34 SPLIT</v>
      </c>
      <c r="K862" s="164" t="str">
        <f ca="1">IFERROR(__xludf.DUMMYFUNCTION("""COMPUTED_VALUE"""),"BRENDA P. LAFASNI")</f>
        <v>BRENDA P. LAFASNI</v>
      </c>
      <c r="L862" s="164"/>
      <c r="M862" s="164" t="str">
        <f ca="1">IFERROR(__xludf.DUMMYFUNCTION("""COMPUTED_VALUE"""),"SERVICEABLE")</f>
        <v>SERVICEABLE</v>
      </c>
      <c r="N862" s="164"/>
    </row>
    <row r="863" spans="1:14" ht="13.2" hidden="1">
      <c r="A863" s="164" t="str">
        <f ca="1">IFERROR(__xludf.DUMMYFUNCTION("""COMPUTED_VALUE"""),"CAR")</f>
        <v>CAR</v>
      </c>
      <c r="B863" s="164" t="str">
        <f ca="1">IFERROR(__xludf.DUMMYFUNCTION("""COMPUTED_VALUE"""),"Ifugao")</f>
        <v>Ifugao</v>
      </c>
      <c r="C863" s="164" t="str">
        <f ca="1">IFERROR(__xludf.DUMMYFUNCTION("""COMPUTED_VALUE"""),"Desktop Computer – (Lenovo M70T)")</f>
        <v>Desktop Computer – (Lenovo M70T)</v>
      </c>
      <c r="D863" s="164" t="str">
        <f ca="1">IFERROR(__xludf.DUMMYFUNCTION("""COMPUTED_VALUE"""),"₱ 75,468.00")</f>
        <v>₱ 75,468.00</v>
      </c>
      <c r="E863" s="164" t="str">
        <f ca="1">IFERROR(__xludf.DUMMYFUNCTION("""COMPUTED_VALUE"""),"₱ -")</f>
        <v>₱ -</v>
      </c>
      <c r="F863" s="164" t="str">
        <f ca="1">IFERROR(__xludf.DUMMYFUNCTION("""COMPUTED_VALUE"""),"2023-05-03-10201SP561-01")</f>
        <v>2023-05-03-10201SP561-01</v>
      </c>
      <c r="G863" s="164" t="str">
        <f ca="1">IFERROR(__xludf.DUMMYFUNCTION("""COMPUTED_VALUE"""),"1S11T5S16200GM0418DR")</f>
        <v>1S11T5S16200GM0418DR</v>
      </c>
      <c r="H863" s="164" t="str">
        <f ca="1">IFERROR(__xludf.DUMMYFUNCTION("""COMPUTED_VALUE"""),"BRENDA P. LAFASNI")</f>
        <v>BRENDA P. LAFASNI</v>
      </c>
      <c r="I863" s="164" t="str">
        <f ca="1">IFERROR(__xludf.DUMMYFUNCTION("""COMPUTED_VALUE"""),"OIC-PARPO II / Project Manager")</f>
        <v>OIC-PARPO II / Project Manager</v>
      </c>
      <c r="J863" s="164" t="str">
        <f ca="1">IFERROR(__xludf.DUMMYFUNCTION("""COMPUTED_VALUE"""),"2023-04-34 SPLIT")</f>
        <v>2023-04-34 SPLIT</v>
      </c>
      <c r="K863" s="164" t="str">
        <f ca="1">IFERROR(__xludf.DUMMYFUNCTION("""COMPUTED_VALUE"""),"BRENDA P. LAFASNI")</f>
        <v>BRENDA P. LAFASNI</v>
      </c>
      <c r="L863" s="164"/>
      <c r="M863" s="164" t="str">
        <f ca="1">IFERROR(__xludf.DUMMYFUNCTION("""COMPUTED_VALUE"""),"SERVICEABLE")</f>
        <v>SERVICEABLE</v>
      </c>
      <c r="N863" s="164"/>
    </row>
    <row r="864" spans="1:14" ht="13.2" hidden="1">
      <c r="A864" s="164" t="str">
        <f ca="1">IFERROR(__xludf.DUMMYFUNCTION("""COMPUTED_VALUE"""),"CAR")</f>
        <v>CAR</v>
      </c>
      <c r="B864" s="164" t="str">
        <f ca="1">IFERROR(__xludf.DUMMYFUNCTION("""COMPUTED_VALUE"""),"Ifugao")</f>
        <v>Ifugao</v>
      </c>
      <c r="C864" s="164" t="str">
        <f ca="1">IFERROR(__xludf.DUMMYFUNCTION("""COMPUTED_VALUE"""),"Desktop Computer – (Lenovo M70T)")</f>
        <v>Desktop Computer – (Lenovo M70T)</v>
      </c>
      <c r="D864" s="164" t="str">
        <f ca="1">IFERROR(__xludf.DUMMYFUNCTION("""COMPUTED_VALUE"""),"₱ 75,468.00")</f>
        <v>₱ 75,468.00</v>
      </c>
      <c r="E864" s="164" t="str">
        <f ca="1">IFERROR(__xludf.DUMMYFUNCTION("""COMPUTED_VALUE"""),"₱ -")</f>
        <v>₱ -</v>
      </c>
      <c r="F864" s="164" t="str">
        <f ca="1">IFERROR(__xludf.DUMMYFUNCTION("""COMPUTED_VALUE"""),"2023-05-03-10201SP562-01")</f>
        <v>2023-05-03-10201SP562-01</v>
      </c>
      <c r="G864" s="164" t="str">
        <f ca="1">IFERROR(__xludf.DUMMYFUNCTION("""COMPUTED_VALUE"""),"1S11T5S16200GM0418FW")</f>
        <v>1S11T5S16200GM0418FW</v>
      </c>
      <c r="H864" s="164" t="str">
        <f ca="1">IFERROR(__xludf.DUMMYFUNCTION("""COMPUTED_VALUE"""),"BRENDA P. LAFASNI")</f>
        <v>BRENDA P. LAFASNI</v>
      </c>
      <c r="I864" s="164" t="str">
        <f ca="1">IFERROR(__xludf.DUMMYFUNCTION("""COMPUTED_VALUE"""),"OIC-PARPO II / Project Manager")</f>
        <v>OIC-PARPO II / Project Manager</v>
      </c>
      <c r="J864" s="164" t="str">
        <f ca="1">IFERROR(__xludf.DUMMYFUNCTION("""COMPUTED_VALUE"""),"2023-04-34 SPLIT")</f>
        <v>2023-04-34 SPLIT</v>
      </c>
      <c r="K864" s="164" t="str">
        <f ca="1">IFERROR(__xludf.DUMMYFUNCTION("""COMPUTED_VALUE"""),"BRENDA P. LAFASNI")</f>
        <v>BRENDA P. LAFASNI</v>
      </c>
      <c r="L864" s="164"/>
      <c r="M864" s="164" t="str">
        <f ca="1">IFERROR(__xludf.DUMMYFUNCTION("""COMPUTED_VALUE"""),"SERVICEABLE")</f>
        <v>SERVICEABLE</v>
      </c>
      <c r="N864" s="164"/>
    </row>
    <row r="865" spans="1:14" ht="13.2" hidden="1">
      <c r="A865" s="164" t="str">
        <f ca="1">IFERROR(__xludf.DUMMYFUNCTION("""COMPUTED_VALUE"""),"CAR")</f>
        <v>CAR</v>
      </c>
      <c r="B865" s="164" t="str">
        <f ca="1">IFERROR(__xludf.DUMMYFUNCTION("""COMPUTED_VALUE"""),"Ifugao")</f>
        <v>Ifugao</v>
      </c>
      <c r="C865" s="164" t="str">
        <f ca="1">IFERROR(__xludf.DUMMYFUNCTION("""COMPUTED_VALUE"""),"Desktop Computer – (Lenovo M70T)")</f>
        <v>Desktop Computer – (Lenovo M70T)</v>
      </c>
      <c r="D865" s="164" t="str">
        <f ca="1">IFERROR(__xludf.DUMMYFUNCTION("""COMPUTED_VALUE"""),"₱ 75,468.00")</f>
        <v>₱ 75,468.00</v>
      </c>
      <c r="E865" s="164" t="str">
        <f ca="1">IFERROR(__xludf.DUMMYFUNCTION("""COMPUTED_VALUE"""),"₱ -")</f>
        <v>₱ -</v>
      </c>
      <c r="F865" s="164" t="str">
        <f ca="1">IFERROR(__xludf.DUMMYFUNCTION("""COMPUTED_VALUE"""),"2023-05-03-10201SP563-01")</f>
        <v>2023-05-03-10201SP563-01</v>
      </c>
      <c r="G865" s="164" t="str">
        <f ca="1">IFERROR(__xludf.DUMMYFUNCTION("""COMPUTED_VALUE"""),"1S11T5S16200GM0418K7")</f>
        <v>1S11T5S16200GM0418K7</v>
      </c>
      <c r="H865" s="164" t="str">
        <f ca="1">IFERROR(__xludf.DUMMYFUNCTION("""COMPUTED_VALUE"""),"BRENDA P. LAFASNI")</f>
        <v>BRENDA P. LAFASNI</v>
      </c>
      <c r="I865" s="164" t="str">
        <f ca="1">IFERROR(__xludf.DUMMYFUNCTION("""COMPUTED_VALUE"""),"OIC-PARPO II / Project Manager")</f>
        <v>OIC-PARPO II / Project Manager</v>
      </c>
      <c r="J865" s="164" t="str">
        <f ca="1">IFERROR(__xludf.DUMMYFUNCTION("""COMPUTED_VALUE"""),"2023-04-34 SPLIT")</f>
        <v>2023-04-34 SPLIT</v>
      </c>
      <c r="K865" s="164" t="str">
        <f ca="1">IFERROR(__xludf.DUMMYFUNCTION("""COMPUTED_VALUE"""),"BRENDA P. LAFASNI")</f>
        <v>BRENDA P. LAFASNI</v>
      </c>
      <c r="L865" s="164"/>
      <c r="M865" s="164" t="str">
        <f ca="1">IFERROR(__xludf.DUMMYFUNCTION("""COMPUTED_VALUE"""),"SERVICEABLE")</f>
        <v>SERVICEABLE</v>
      </c>
      <c r="N865" s="164"/>
    </row>
    <row r="866" spans="1:14" ht="13.2" hidden="1">
      <c r="A866" s="164" t="str">
        <f ca="1">IFERROR(__xludf.DUMMYFUNCTION("""COMPUTED_VALUE"""),"CAR")</f>
        <v>CAR</v>
      </c>
      <c r="B866" s="164" t="str">
        <f ca="1">IFERROR(__xludf.DUMMYFUNCTION("""COMPUTED_VALUE"""),"Ifugao")</f>
        <v>Ifugao</v>
      </c>
      <c r="C866" s="164" t="str">
        <f ca="1">IFERROR(__xludf.DUMMYFUNCTION("""COMPUTED_VALUE"""),"Desktop Computer – (Lenovo M70T)")</f>
        <v>Desktop Computer – (Lenovo M70T)</v>
      </c>
      <c r="D866" s="164" t="str">
        <f ca="1">IFERROR(__xludf.DUMMYFUNCTION("""COMPUTED_VALUE"""),"₱ 75,468.00")</f>
        <v>₱ 75,468.00</v>
      </c>
      <c r="E866" s="164" t="str">
        <f ca="1">IFERROR(__xludf.DUMMYFUNCTION("""COMPUTED_VALUE"""),"₱ -")</f>
        <v>₱ -</v>
      </c>
      <c r="F866" s="164" t="str">
        <f ca="1">IFERROR(__xludf.DUMMYFUNCTION("""COMPUTED_VALUE"""),"2023-05-03-10201SP564-01")</f>
        <v>2023-05-03-10201SP564-01</v>
      </c>
      <c r="G866" s="164" t="str">
        <f ca="1">IFERROR(__xludf.DUMMYFUNCTION("""COMPUTED_VALUE"""),"1S11T5S16200GM0418KF")</f>
        <v>1S11T5S16200GM0418KF</v>
      </c>
      <c r="H866" s="164" t="str">
        <f ca="1">IFERROR(__xludf.DUMMYFUNCTION("""COMPUTED_VALUE"""),"BRENDA P. LAFASNI")</f>
        <v>BRENDA P. LAFASNI</v>
      </c>
      <c r="I866" s="164" t="str">
        <f ca="1">IFERROR(__xludf.DUMMYFUNCTION("""COMPUTED_VALUE"""),"OIC-PARPO II / Project Manager")</f>
        <v>OIC-PARPO II / Project Manager</v>
      </c>
      <c r="J866" s="164" t="str">
        <f ca="1">IFERROR(__xludf.DUMMYFUNCTION("""COMPUTED_VALUE"""),"2023-04-34 SPLIT")</f>
        <v>2023-04-34 SPLIT</v>
      </c>
      <c r="K866" s="164" t="str">
        <f ca="1">IFERROR(__xludf.DUMMYFUNCTION("""COMPUTED_VALUE"""),"BRENDA P. LAFASNI")</f>
        <v>BRENDA P. LAFASNI</v>
      </c>
      <c r="L866" s="164"/>
      <c r="M866" s="164" t="str">
        <f ca="1">IFERROR(__xludf.DUMMYFUNCTION("""COMPUTED_VALUE"""),"SERVICEABLE")</f>
        <v>SERVICEABLE</v>
      </c>
      <c r="N866" s="164"/>
    </row>
    <row r="867" spans="1:14" ht="13.2" hidden="1">
      <c r="A867" s="164" t="str">
        <f ca="1">IFERROR(__xludf.DUMMYFUNCTION("""COMPUTED_VALUE"""),"CAR")</f>
        <v>CAR</v>
      </c>
      <c r="B867" s="164" t="str">
        <f ca="1">IFERROR(__xludf.DUMMYFUNCTION("""COMPUTED_VALUE"""),"Ifugao")</f>
        <v>Ifugao</v>
      </c>
      <c r="C867" s="164" t="str">
        <f ca="1">IFERROR(__xludf.DUMMYFUNCTION("""COMPUTED_VALUE"""),"Desktop Computer – (Lenovo M70T)")</f>
        <v>Desktop Computer – (Lenovo M70T)</v>
      </c>
      <c r="D867" s="164" t="str">
        <f ca="1">IFERROR(__xludf.DUMMYFUNCTION("""COMPUTED_VALUE"""),"₱ 75,468.00")</f>
        <v>₱ 75,468.00</v>
      </c>
      <c r="E867" s="164" t="str">
        <f ca="1">IFERROR(__xludf.DUMMYFUNCTION("""COMPUTED_VALUE"""),"₱ -")</f>
        <v>₱ -</v>
      </c>
      <c r="F867" s="164" t="str">
        <f ca="1">IFERROR(__xludf.DUMMYFUNCTION("""COMPUTED_VALUE"""),"2023-05-03-10201SP565-01")</f>
        <v>2023-05-03-10201SP565-01</v>
      </c>
      <c r="G867" s="164" t="str">
        <f ca="1">IFERROR(__xludf.DUMMYFUNCTION("""COMPUTED_VALUE"""),"1S11T5S16200GM0418KN")</f>
        <v>1S11T5S16200GM0418KN</v>
      </c>
      <c r="H867" s="164" t="str">
        <f ca="1">IFERROR(__xludf.DUMMYFUNCTION("""COMPUTED_VALUE"""),"ADRIEL B. ALIGUYON")</f>
        <v>ADRIEL B. ALIGUYON</v>
      </c>
      <c r="I867" s="164" t="str">
        <f ca="1">IFERROR(__xludf.DUMMYFUNCTION("""COMPUTED_VALUE"""),"ARPT")</f>
        <v>ARPT</v>
      </c>
      <c r="J867" s="164" t="str">
        <f ca="1">IFERROR(__xludf.DUMMYFUNCTION("""COMPUTED_VALUE"""),"2023-04-34 SPLIT")</f>
        <v>2023-04-34 SPLIT</v>
      </c>
      <c r="K867" s="164" t="str">
        <f ca="1">IFERROR(__xludf.DUMMYFUNCTION("""COMPUTED_VALUE"""),"ADRIEL B. ALIGUYON")</f>
        <v>ADRIEL B. ALIGUYON</v>
      </c>
      <c r="L867" s="164"/>
      <c r="M867" s="164" t="str">
        <f ca="1">IFERROR(__xludf.DUMMYFUNCTION("""COMPUTED_VALUE"""),"SERVICEABLE")</f>
        <v>SERVICEABLE</v>
      </c>
      <c r="N867" s="164"/>
    </row>
    <row r="868" spans="1:14" ht="13.2" hidden="1">
      <c r="A868" s="164" t="str">
        <f ca="1">IFERROR(__xludf.DUMMYFUNCTION("""COMPUTED_VALUE"""),"CAR")</f>
        <v>CAR</v>
      </c>
      <c r="B868" s="164" t="str">
        <f ca="1">IFERROR(__xludf.DUMMYFUNCTION("""COMPUTED_VALUE"""),"Ifugao")</f>
        <v>Ifugao</v>
      </c>
      <c r="C868" s="164" t="str">
        <f ca="1">IFERROR(__xludf.DUMMYFUNCTION("""COMPUTED_VALUE"""),"Desktop Computer – (Lenovo M70T)")</f>
        <v>Desktop Computer – (Lenovo M70T)</v>
      </c>
      <c r="D868" s="164" t="str">
        <f ca="1">IFERROR(__xludf.DUMMYFUNCTION("""COMPUTED_VALUE"""),"₱ 75,468.00")</f>
        <v>₱ 75,468.00</v>
      </c>
      <c r="E868" s="164" t="str">
        <f ca="1">IFERROR(__xludf.DUMMYFUNCTION("""COMPUTED_VALUE"""),"₱ -")</f>
        <v>₱ -</v>
      </c>
      <c r="F868" s="164" t="str">
        <f ca="1">IFERROR(__xludf.DUMMYFUNCTION("""COMPUTED_VALUE"""),"2023-05-03-10201SP566-01")</f>
        <v>2023-05-03-10201SP566-01</v>
      </c>
      <c r="G868" s="164" t="str">
        <f ca="1">IFERROR(__xludf.DUMMYFUNCTION("""COMPUTED_VALUE"""),"1S11T5S16200GM0418KQ")</f>
        <v>1S11T5S16200GM0418KQ</v>
      </c>
      <c r="H868" s="164" t="str">
        <f ca="1">IFERROR(__xludf.DUMMYFUNCTION("""COMPUTED_VALUE"""),"JOHN B. BUYA-AO")</f>
        <v>JOHN B. BUYA-AO</v>
      </c>
      <c r="I868" s="164" t="str">
        <f ca="1">IFERROR(__xludf.DUMMYFUNCTION("""COMPUTED_VALUE"""),"MnE Coordinator")</f>
        <v>MnE Coordinator</v>
      </c>
      <c r="J868" s="164" t="str">
        <f ca="1">IFERROR(__xludf.DUMMYFUNCTION("""COMPUTED_VALUE"""),"2023-04-34 SPLIT")</f>
        <v>2023-04-34 SPLIT</v>
      </c>
      <c r="K868" s="164" t="str">
        <f ca="1">IFERROR(__xludf.DUMMYFUNCTION("""COMPUTED_VALUE"""),"JOHN B. BUYA-AO")</f>
        <v>JOHN B. BUYA-AO</v>
      </c>
      <c r="L868" s="164"/>
      <c r="M868" s="164" t="str">
        <f ca="1">IFERROR(__xludf.DUMMYFUNCTION("""COMPUTED_VALUE"""),"SERVICEABLE")</f>
        <v>SERVICEABLE</v>
      </c>
      <c r="N868" s="164"/>
    </row>
    <row r="869" spans="1:14" ht="13.2" hidden="1">
      <c r="A869" s="164" t="str">
        <f ca="1">IFERROR(__xludf.DUMMYFUNCTION("""COMPUTED_VALUE"""),"CAR")</f>
        <v>CAR</v>
      </c>
      <c r="B869" s="164" t="str">
        <f ca="1">IFERROR(__xludf.DUMMYFUNCTION("""COMPUTED_VALUE"""),"Ifugao")</f>
        <v>Ifugao</v>
      </c>
      <c r="C869" s="164" t="str">
        <f ca="1">IFERROR(__xludf.DUMMYFUNCTION("""COMPUTED_VALUE"""),"Desktop Computer – (Lenovo M70T)")</f>
        <v>Desktop Computer – (Lenovo M70T)</v>
      </c>
      <c r="D869" s="164" t="str">
        <f ca="1">IFERROR(__xludf.DUMMYFUNCTION("""COMPUTED_VALUE"""),"₱ 75,468.00")</f>
        <v>₱ 75,468.00</v>
      </c>
      <c r="E869" s="164" t="str">
        <f ca="1">IFERROR(__xludf.DUMMYFUNCTION("""COMPUTED_VALUE"""),"₱ -")</f>
        <v>₱ -</v>
      </c>
      <c r="F869" s="164" t="str">
        <f ca="1">IFERROR(__xludf.DUMMYFUNCTION("""COMPUTED_VALUE"""),"2023-05-03-10201SP567-01")</f>
        <v>2023-05-03-10201SP567-01</v>
      </c>
      <c r="G869" s="164" t="str">
        <f ca="1">IFERROR(__xludf.DUMMYFUNCTION("""COMPUTED_VALUE"""),"1S11T5S16200GM0418KZ")</f>
        <v>1S11T5S16200GM0418KZ</v>
      </c>
      <c r="H869" s="164" t="str">
        <f ca="1">IFERROR(__xludf.DUMMYFUNCTION("""COMPUTED_VALUE"""),"ALMA H. TACTAC")</f>
        <v>ALMA H. TACTAC</v>
      </c>
      <c r="I869" s="164" t="str">
        <f ca="1">IFERROR(__xludf.DUMMYFUNCTION("""COMPUTED_VALUE"""),"MIS Coordinator")</f>
        <v>MIS Coordinator</v>
      </c>
      <c r="J869" s="164" t="str">
        <f ca="1">IFERROR(__xludf.DUMMYFUNCTION("""COMPUTED_VALUE"""),"2023-04-34 SPLIT")</f>
        <v>2023-04-34 SPLIT</v>
      </c>
      <c r="K869" s="164" t="str">
        <f ca="1">IFERROR(__xludf.DUMMYFUNCTION("""COMPUTED_VALUE"""),"ALMA H. TACTAC")</f>
        <v>ALMA H. TACTAC</v>
      </c>
      <c r="L869" s="164"/>
      <c r="M869" s="164" t="str">
        <f ca="1">IFERROR(__xludf.DUMMYFUNCTION("""COMPUTED_VALUE"""),"SERVICEABLE")</f>
        <v>SERVICEABLE</v>
      </c>
      <c r="N869" s="164"/>
    </row>
    <row r="870" spans="1:14" ht="13.2" hidden="1">
      <c r="A870" s="164" t="str">
        <f ca="1">IFERROR(__xludf.DUMMYFUNCTION("""COMPUTED_VALUE"""),"CAR")</f>
        <v>CAR</v>
      </c>
      <c r="B870" s="164" t="str">
        <f ca="1">IFERROR(__xludf.DUMMYFUNCTION("""COMPUTED_VALUE"""),"Ifugao")</f>
        <v>Ifugao</v>
      </c>
      <c r="C870" s="164" t="str">
        <f ca="1">IFERROR(__xludf.DUMMYFUNCTION("""COMPUTED_VALUE"""),"Desktop Computer – (Lenovo M70T)")</f>
        <v>Desktop Computer – (Lenovo M70T)</v>
      </c>
      <c r="D870" s="164" t="str">
        <f ca="1">IFERROR(__xludf.DUMMYFUNCTION("""COMPUTED_VALUE"""),"₱ 75,468.00")</f>
        <v>₱ 75,468.00</v>
      </c>
      <c r="E870" s="164" t="str">
        <f ca="1">IFERROR(__xludf.DUMMYFUNCTION("""COMPUTED_VALUE"""),"₱ -")</f>
        <v>₱ -</v>
      </c>
      <c r="F870" s="164" t="str">
        <f ca="1">IFERROR(__xludf.DUMMYFUNCTION("""COMPUTED_VALUE"""),"2023-05-03-10201SP568-01")</f>
        <v>2023-05-03-10201SP568-01</v>
      </c>
      <c r="G870" s="164" t="str">
        <f ca="1">IFERROR(__xludf.DUMMYFUNCTION("""COMPUTED_VALUE"""),"1S11T5S16200GM041AP1")</f>
        <v>1S11T5S16200GM041AP1</v>
      </c>
      <c r="H870" s="164" t="str">
        <f ca="1">IFERROR(__xludf.DUMMYFUNCTION("""COMPUTED_VALUE"""),"MARY GRACE A. DAYAO")</f>
        <v>MARY GRACE A. DAYAO</v>
      </c>
      <c r="I870" s="164" t="str">
        <f ca="1">IFERROR(__xludf.DUMMYFUNCTION("""COMPUTED_VALUE"""),"Project Accountant")</f>
        <v>Project Accountant</v>
      </c>
      <c r="J870" s="164" t="str">
        <f ca="1">IFERROR(__xludf.DUMMYFUNCTION("""COMPUTED_VALUE"""),"2023-04-34 SPLIT")</f>
        <v>2023-04-34 SPLIT</v>
      </c>
      <c r="K870" s="164" t="str">
        <f ca="1">IFERROR(__xludf.DUMMYFUNCTION("""COMPUTED_VALUE"""),"MARY GRACE A. DAYAO")</f>
        <v>MARY GRACE A. DAYAO</v>
      </c>
      <c r="L870" s="164"/>
      <c r="M870" s="164" t="str">
        <f ca="1">IFERROR(__xludf.DUMMYFUNCTION("""COMPUTED_VALUE"""),"SERVICEABLE")</f>
        <v>SERVICEABLE</v>
      </c>
      <c r="N870" s="164"/>
    </row>
    <row r="871" spans="1:14" ht="13.2" hidden="1">
      <c r="A871" s="164" t="str">
        <f ca="1">IFERROR(__xludf.DUMMYFUNCTION("""COMPUTED_VALUE"""),"CAR")</f>
        <v>CAR</v>
      </c>
      <c r="B871" s="164" t="str">
        <f ca="1">IFERROR(__xludf.DUMMYFUNCTION("""COMPUTED_VALUE"""),"Ifugao")</f>
        <v>Ifugao</v>
      </c>
      <c r="C871" s="164" t="str">
        <f ca="1">IFERROR(__xludf.DUMMYFUNCTION("""COMPUTED_VALUE"""),"Desktop Computer – (Lenovo M70T)")</f>
        <v>Desktop Computer – (Lenovo M70T)</v>
      </c>
      <c r="D871" s="164" t="str">
        <f ca="1">IFERROR(__xludf.DUMMYFUNCTION("""COMPUTED_VALUE"""),"₱ 75,468.00")</f>
        <v>₱ 75,468.00</v>
      </c>
      <c r="E871" s="164" t="str">
        <f ca="1">IFERROR(__xludf.DUMMYFUNCTION("""COMPUTED_VALUE"""),"₱ -")</f>
        <v>₱ -</v>
      </c>
      <c r="F871" s="164" t="str">
        <f ca="1">IFERROR(__xludf.DUMMYFUNCTION("""COMPUTED_VALUE"""),"2023-05-03-10201SP569-01")</f>
        <v>2023-05-03-10201SP569-01</v>
      </c>
      <c r="G871" s="164" t="str">
        <f ca="1">IFERROR(__xludf.DUMMYFUNCTION("""COMPUTED_VALUE"""),"1S11T5S16200GM041APL")</f>
        <v>1S11T5S16200GM041APL</v>
      </c>
      <c r="H871" s="164" t="str">
        <f ca="1">IFERROR(__xludf.DUMMYFUNCTION("""COMPUTED_VALUE"""),"FLORIZEL B. TUL-O")</f>
        <v>FLORIZEL B. TUL-O</v>
      </c>
      <c r="I871" s="164" t="str">
        <f ca="1">IFERROR(__xludf.DUMMYFUNCTION("""COMPUTED_VALUE"""),"ESS Support Staff")</f>
        <v>ESS Support Staff</v>
      </c>
      <c r="J871" s="164" t="str">
        <f ca="1">IFERROR(__xludf.DUMMYFUNCTION("""COMPUTED_VALUE"""),"2023-04-34 SPLIT")</f>
        <v>2023-04-34 SPLIT</v>
      </c>
      <c r="K871" s="164" t="str">
        <f ca="1">IFERROR(__xludf.DUMMYFUNCTION("""COMPUTED_VALUE"""),"FLORIZEL B. TUL-O")</f>
        <v>FLORIZEL B. TUL-O</v>
      </c>
      <c r="L871" s="164"/>
      <c r="M871" s="164" t="str">
        <f ca="1">IFERROR(__xludf.DUMMYFUNCTION("""COMPUTED_VALUE"""),"SERVICEABLE")</f>
        <v>SERVICEABLE</v>
      </c>
      <c r="N871" s="164"/>
    </row>
    <row r="872" spans="1:14" ht="13.2" hidden="1">
      <c r="A872" s="164" t="str">
        <f ca="1">IFERROR(__xludf.DUMMYFUNCTION("""COMPUTED_VALUE"""),"CAR")</f>
        <v>CAR</v>
      </c>
      <c r="B872" s="164" t="str">
        <f ca="1">IFERROR(__xludf.DUMMYFUNCTION("""COMPUTED_VALUE"""),"Ifugao")</f>
        <v>Ifugao</v>
      </c>
      <c r="C872" s="164" t="str">
        <f ca="1">IFERROR(__xludf.DUMMYFUNCTION("""COMPUTED_VALUE"""),"Desktop Computer – (Lenovo M70T)")</f>
        <v>Desktop Computer – (Lenovo M70T)</v>
      </c>
      <c r="D872" s="164" t="str">
        <f ca="1">IFERROR(__xludf.DUMMYFUNCTION("""COMPUTED_VALUE"""),"₱ 75,468.00")</f>
        <v>₱ 75,468.00</v>
      </c>
      <c r="E872" s="164" t="str">
        <f ca="1">IFERROR(__xludf.DUMMYFUNCTION("""COMPUTED_VALUE"""),"₱ -")</f>
        <v>₱ -</v>
      </c>
      <c r="F872" s="164" t="str">
        <f ca="1">IFERROR(__xludf.DUMMYFUNCTION("""COMPUTED_VALUE"""),"2023-05-03-10201SP570-01")</f>
        <v>2023-05-03-10201SP570-01</v>
      </c>
      <c r="G872" s="164" t="str">
        <f ca="1">IFERROR(__xludf.DUMMYFUNCTION("""COMPUTED_VALUE"""),"1S11T5S16200GM041APW")</f>
        <v>1S11T5S16200GM041APW</v>
      </c>
      <c r="H872" s="164" t="str">
        <f ca="1">IFERROR(__xludf.DUMMYFUNCTION("""COMPUTED_VALUE"""),"BUENA U. TAYABAN")</f>
        <v>BUENA U. TAYABAN</v>
      </c>
      <c r="I872" s="164" t="str">
        <f ca="1">IFERROR(__xludf.DUMMYFUNCTION("""COMPUTED_VALUE"""),"Project Budget Officer")</f>
        <v>Project Budget Officer</v>
      </c>
      <c r="J872" s="164" t="str">
        <f ca="1">IFERROR(__xludf.DUMMYFUNCTION("""COMPUTED_VALUE"""),"2023-04-34 SPLIT")</f>
        <v>2023-04-34 SPLIT</v>
      </c>
      <c r="K872" s="164" t="str">
        <f ca="1">IFERROR(__xludf.DUMMYFUNCTION("""COMPUTED_VALUE"""),"BUENA U. TAYABAN")</f>
        <v>BUENA U. TAYABAN</v>
      </c>
      <c r="L872" s="164"/>
      <c r="M872" s="164" t="str">
        <f ca="1">IFERROR(__xludf.DUMMYFUNCTION("""COMPUTED_VALUE"""),"SERVICEABLE")</f>
        <v>SERVICEABLE</v>
      </c>
      <c r="N872" s="164"/>
    </row>
    <row r="873" spans="1:14" ht="13.2" hidden="1">
      <c r="A873" s="164" t="str">
        <f ca="1">IFERROR(__xludf.DUMMYFUNCTION("""COMPUTED_VALUE"""),"CAR")</f>
        <v>CAR</v>
      </c>
      <c r="B873" s="164" t="str">
        <f ca="1">IFERROR(__xludf.DUMMYFUNCTION("""COMPUTED_VALUE"""),"Ifugao")</f>
        <v>Ifugao</v>
      </c>
      <c r="C873" s="164" t="str">
        <f ca="1">IFERROR(__xludf.DUMMYFUNCTION("""COMPUTED_VALUE"""),"Desktop Computer – (HP Pro SFF 280G9)")</f>
        <v>Desktop Computer – (HP Pro SFF 280G9)</v>
      </c>
      <c r="D873" s="164" t="str">
        <f ca="1">IFERROR(__xludf.DUMMYFUNCTION("""COMPUTED_VALUE"""),"₱ 78,898.00")</f>
        <v>₱ 78,898.00</v>
      </c>
      <c r="E873" s="164" t="str">
        <f ca="1">IFERROR(__xludf.DUMMYFUNCTION("""COMPUTED_VALUE"""),"₱ -")</f>
        <v>₱ -</v>
      </c>
      <c r="F873" s="164" t="str">
        <f ca="1">IFERROR(__xludf.DUMMYFUNCTION("""COMPUTED_VALUE"""),"2023-05-03-10201SP360-01")</f>
        <v>2023-05-03-10201SP360-01</v>
      </c>
      <c r="G873" s="164" t="str">
        <f ca="1">IFERROR(__xludf.DUMMYFUNCTION("""COMPUTED_VALUE"""),"4CE301DHB3")</f>
        <v>4CE301DHB3</v>
      </c>
      <c r="H873" s="164" t="str">
        <f ca="1">IFERROR(__xludf.DUMMYFUNCTION("""COMPUTED_VALUE"""),"DOMINADOR G. ATITIW")</f>
        <v>DOMINADOR G. ATITIW</v>
      </c>
      <c r="I873" s="164" t="str">
        <f ca="1">IFERROR(__xludf.DUMMYFUNCTION("""COMPUTED_VALUE"""),"PCAO/ Admin &amp; Finance Coordinator")</f>
        <v>PCAO/ Admin &amp; Finance Coordinator</v>
      </c>
      <c r="J873" s="164" t="str">
        <f ca="1">IFERROR(__xludf.DUMMYFUNCTION("""COMPUTED_VALUE"""),"2023-08-65 SPLIT")</f>
        <v>2023-08-65 SPLIT</v>
      </c>
      <c r="K873" s="164" t="str">
        <f ca="1">IFERROR(__xludf.DUMMYFUNCTION("""COMPUTED_VALUE"""),"DOMINADOR G. ATITIW")</f>
        <v>DOMINADOR G. ATITIW</v>
      </c>
      <c r="L873" s="164"/>
      <c r="M873" s="164" t="str">
        <f ca="1">IFERROR(__xludf.DUMMYFUNCTION("""COMPUTED_VALUE"""),"SERVICEABLE")</f>
        <v>SERVICEABLE</v>
      </c>
      <c r="N873" s="164"/>
    </row>
    <row r="874" spans="1:14" ht="13.2" hidden="1">
      <c r="A874" s="164" t="str">
        <f ca="1">IFERROR(__xludf.DUMMYFUNCTION("""COMPUTED_VALUE"""),"CAR")</f>
        <v>CAR</v>
      </c>
      <c r="B874" s="164" t="str">
        <f ca="1">IFERROR(__xludf.DUMMYFUNCTION("""COMPUTED_VALUE"""),"Ifugao")</f>
        <v>Ifugao</v>
      </c>
      <c r="C874" s="164" t="str">
        <f ca="1">IFERROR(__xludf.DUMMYFUNCTION("""COMPUTED_VALUE"""),"Desktop Computer – (HP Pro SFF 280G9)")</f>
        <v>Desktop Computer – (HP Pro SFF 280G9)</v>
      </c>
      <c r="D874" s="164" t="str">
        <f ca="1">IFERROR(__xludf.DUMMYFUNCTION("""COMPUTED_VALUE"""),"₱ 78,898.00")</f>
        <v>₱ 78,898.00</v>
      </c>
      <c r="E874" s="164" t="str">
        <f ca="1">IFERROR(__xludf.DUMMYFUNCTION("""COMPUTED_VALUE"""),"₱ -")</f>
        <v>₱ -</v>
      </c>
      <c r="F874" s="164" t="str">
        <f ca="1">IFERROR(__xludf.DUMMYFUNCTION("""COMPUTED_VALUE"""),"2023-05-03-10201SP361-01")</f>
        <v>2023-05-03-10201SP361-01</v>
      </c>
      <c r="G874" s="164" t="str">
        <f ca="1">IFERROR(__xludf.DUMMYFUNCTION("""COMPUTED_VALUE"""),"4CE301DH6H")</f>
        <v>4CE301DH6H</v>
      </c>
      <c r="H874" s="164" t="str">
        <f ca="1">IFERROR(__xludf.DUMMYFUNCTION("""COMPUTED_VALUE"""),"BETTY YOGYOG")</f>
        <v>BETTY YOGYOG</v>
      </c>
      <c r="I874" s="164" t="str">
        <f ca="1">IFERROR(__xludf.DUMMYFUNCTION("""COMPUTED_VALUE"""),"Records Officer")</f>
        <v>Records Officer</v>
      </c>
      <c r="J874" s="164" t="str">
        <f ca="1">IFERROR(__xludf.DUMMYFUNCTION("""COMPUTED_VALUE"""),"2023-08-65 SPLIT")</f>
        <v>2023-08-65 SPLIT</v>
      </c>
      <c r="K874" s="164" t="str">
        <f ca="1">IFERROR(__xludf.DUMMYFUNCTION("""COMPUTED_VALUE"""),"BETTY YOGYOG")</f>
        <v>BETTY YOGYOG</v>
      </c>
      <c r="L874" s="164"/>
      <c r="M874" s="164" t="str">
        <f ca="1">IFERROR(__xludf.DUMMYFUNCTION("""COMPUTED_VALUE"""),"SERVICEABLE")</f>
        <v>SERVICEABLE</v>
      </c>
      <c r="N874" s="164"/>
    </row>
    <row r="875" spans="1:14" ht="13.2" hidden="1">
      <c r="A875" s="164" t="str">
        <f ca="1">IFERROR(__xludf.DUMMYFUNCTION("""COMPUTED_VALUE"""),"CAR")</f>
        <v>CAR</v>
      </c>
      <c r="B875" s="164" t="str">
        <f ca="1">IFERROR(__xludf.DUMMYFUNCTION("""COMPUTED_VALUE"""),"Ifugao")</f>
        <v>Ifugao</v>
      </c>
      <c r="C875" s="164" t="str">
        <f ca="1">IFERROR(__xludf.DUMMYFUNCTION("""COMPUTED_VALUE"""),"Desktop Computer – (HP Pro SFF 280G9)")</f>
        <v>Desktop Computer – (HP Pro SFF 280G9)</v>
      </c>
      <c r="D875" s="164" t="str">
        <f ca="1">IFERROR(__xludf.DUMMYFUNCTION("""COMPUTED_VALUE"""),"₱ 78,898.00")</f>
        <v>₱ 78,898.00</v>
      </c>
      <c r="E875" s="164" t="str">
        <f ca="1">IFERROR(__xludf.DUMMYFUNCTION("""COMPUTED_VALUE"""),"₱ -")</f>
        <v>₱ -</v>
      </c>
      <c r="F875" s="164" t="str">
        <f ca="1">IFERROR(__xludf.DUMMYFUNCTION("""COMPUTED_VALUE"""),"2023-05-03-10201SP362-01")</f>
        <v>2023-05-03-10201SP362-01</v>
      </c>
      <c r="G875" s="164" t="str">
        <f ca="1">IFERROR(__xludf.DUMMYFUNCTION("""COMPUTED_VALUE"""),"4CE301DH95")</f>
        <v>4CE301DH95</v>
      </c>
      <c r="H875" s="164" t="str">
        <f ca="1">IFERROR(__xludf.DUMMYFUNCTION("""COMPUTED_VALUE"""),"c/o Gedeon")</f>
        <v>c/o Gedeon</v>
      </c>
      <c r="I875" s="164" t="str">
        <f ca="1">IFERROR(__xludf.DUMMYFUNCTION("""COMPUTED_VALUE"""),"SPLIT")</f>
        <v>SPLIT</v>
      </c>
      <c r="J875" s="164" t="str">
        <f ca="1">IFERROR(__xludf.DUMMYFUNCTION("""COMPUTED_VALUE"""),"2023-08-65 SPLIT")</f>
        <v>2023-08-65 SPLIT</v>
      </c>
      <c r="K875" s="164" t="str">
        <f ca="1">IFERROR(__xludf.DUMMYFUNCTION("""COMPUTED_VALUE"""),"c/o Gedeon")</f>
        <v>c/o Gedeon</v>
      </c>
      <c r="L875" s="164"/>
      <c r="M875" s="164" t="str">
        <f ca="1">IFERROR(__xludf.DUMMYFUNCTION("""COMPUTED_VALUE"""),"SERVICEABLE")</f>
        <v>SERVICEABLE</v>
      </c>
      <c r="N875" s="164"/>
    </row>
    <row r="876" spans="1:14" ht="13.2" hidden="1">
      <c r="A876" s="164" t="str">
        <f ca="1">IFERROR(__xludf.DUMMYFUNCTION("""COMPUTED_VALUE"""),"CAR")</f>
        <v>CAR</v>
      </c>
      <c r="B876" s="164" t="str">
        <f ca="1">IFERROR(__xludf.DUMMYFUNCTION("""COMPUTED_VALUE"""),"Ifugao")</f>
        <v>Ifugao</v>
      </c>
      <c r="C876" s="164" t="str">
        <f ca="1">IFERROR(__xludf.DUMMYFUNCTION("""COMPUTED_VALUE"""),"Laptop – (ACER EXTENSA EX215-55G i7)")</f>
        <v>Laptop – (ACER EXTENSA EX215-55G i7)</v>
      </c>
      <c r="D876" s="164" t="str">
        <f ca="1">IFERROR(__xludf.DUMMYFUNCTION("""COMPUTED_VALUE"""),"₱ 59,500.00")</f>
        <v>₱ 59,500.00</v>
      </c>
      <c r="E876" s="164" t="str">
        <f ca="1">IFERROR(__xludf.DUMMYFUNCTION("""COMPUTED_VALUE"""),"₱ -")</f>
        <v>₱ -</v>
      </c>
      <c r="F876" s="164" t="str">
        <f ca="1">IFERROR(__xludf.DUMMYFUNCTION("""COMPUTED_VALUE"""),"2023-05-03-10202SP324-01")</f>
        <v>2023-05-03-10202SP324-01</v>
      </c>
      <c r="G876" s="164" t="str">
        <f ca="1">IFERROR(__xludf.DUMMYFUNCTION("""COMPUTED_VALUE"""),"NXEGZSP00330801D193400")</f>
        <v>NXEGZSP00330801D193400</v>
      </c>
      <c r="H876" s="164" t="str">
        <f ca="1">IFERROR(__xludf.DUMMYFUNCTION("""COMPUTED_VALUE"""),"ALONA A. PADILLA")</f>
        <v>ALONA A. PADILLA</v>
      </c>
      <c r="I876" s="164" t="str">
        <f ca="1">IFERROR(__xludf.DUMMYFUNCTION("""COMPUTED_VALUE"""),"FVT Coordinator")</f>
        <v>FVT Coordinator</v>
      </c>
      <c r="J876" s="164" t="str">
        <f ca="1">IFERROR(__xludf.DUMMYFUNCTION("""COMPUTED_VALUE"""),"2023-08-66 SPLIT")</f>
        <v>2023-08-66 SPLIT</v>
      </c>
      <c r="K876" s="164" t="str">
        <f ca="1">IFERROR(__xludf.DUMMYFUNCTION("""COMPUTED_VALUE"""),"ALONA A. PADILLA")</f>
        <v>ALONA A. PADILLA</v>
      </c>
      <c r="L876" s="164" t="str">
        <f ca="1">IFERROR(__xludf.DUMMYFUNCTION("""COMPUTED_VALUE"""),"DARPO")</f>
        <v>DARPO</v>
      </c>
      <c r="M876" s="164" t="str">
        <f ca="1">IFERROR(__xludf.DUMMYFUNCTION("""COMPUTED_VALUE"""),"SERVICEABLE")</f>
        <v>SERVICEABLE</v>
      </c>
      <c r="N876" s="164"/>
    </row>
    <row r="877" spans="1:14" ht="13.2" hidden="1">
      <c r="A877" s="164" t="str">
        <f ca="1">IFERROR(__xludf.DUMMYFUNCTION("""COMPUTED_VALUE"""),"CAR")</f>
        <v>CAR</v>
      </c>
      <c r="B877" s="164" t="str">
        <f ca="1">IFERROR(__xludf.DUMMYFUNCTION("""COMPUTED_VALUE"""),"Ifugao")</f>
        <v>Ifugao</v>
      </c>
      <c r="C877" s="164" t="str">
        <f ca="1">IFERROR(__xludf.DUMMYFUNCTION("""COMPUTED_VALUE"""),"Laptop – (ACER EXTENSA EX215-55G i7)")</f>
        <v>Laptop – (ACER EXTENSA EX215-55G i7)</v>
      </c>
      <c r="D877" s="164" t="str">
        <f ca="1">IFERROR(__xludf.DUMMYFUNCTION("""COMPUTED_VALUE"""),"₱ 59,500.00")</f>
        <v>₱ 59,500.00</v>
      </c>
      <c r="E877" s="164" t="str">
        <f ca="1">IFERROR(__xludf.DUMMYFUNCTION("""COMPUTED_VALUE"""),"₱ -")</f>
        <v>₱ -</v>
      </c>
      <c r="F877" s="164" t="str">
        <f ca="1">IFERROR(__xludf.DUMMYFUNCTION("""COMPUTED_VALUE"""),"2023-05-03-10202SP325-01")</f>
        <v>2023-05-03-10202SP325-01</v>
      </c>
      <c r="G877" s="164" t="str">
        <f ca="1">IFERROR(__xludf.DUMMYFUNCTION("""COMPUTED_VALUE"""),"NXEGZSP00330801E113400")</f>
        <v>NXEGZSP00330801E113400</v>
      </c>
      <c r="H877" s="164" t="str">
        <f ca="1">IFERROR(__xludf.DUMMYFUNCTION("""COMPUTED_VALUE"""),"ALMA H. TACTAC")</f>
        <v>ALMA H. TACTAC</v>
      </c>
      <c r="I877" s="164" t="str">
        <f ca="1">IFERROR(__xludf.DUMMYFUNCTION("""COMPUTED_VALUE"""),"MIS Coordinator")</f>
        <v>MIS Coordinator</v>
      </c>
      <c r="J877" s="164" t="str">
        <f ca="1">IFERROR(__xludf.DUMMYFUNCTION("""COMPUTED_VALUE"""),"2023-08-66 SPLIT")</f>
        <v>2023-08-66 SPLIT</v>
      </c>
      <c r="K877" s="164" t="str">
        <f ca="1">IFERROR(__xludf.DUMMYFUNCTION("""COMPUTED_VALUE"""),"ALMA H. TACTAC")</f>
        <v>ALMA H. TACTAC</v>
      </c>
      <c r="L877" s="164" t="str">
        <f ca="1">IFERROR(__xludf.DUMMYFUNCTION("""COMPUTED_VALUE"""),"DARPO")</f>
        <v>DARPO</v>
      </c>
      <c r="M877" s="164" t="str">
        <f ca="1">IFERROR(__xludf.DUMMYFUNCTION("""COMPUTED_VALUE"""),"SERVICEABLE")</f>
        <v>SERVICEABLE</v>
      </c>
      <c r="N877" s="164"/>
    </row>
    <row r="878" spans="1:14" ht="13.2" hidden="1">
      <c r="A878" s="164" t="str">
        <f ca="1">IFERROR(__xludf.DUMMYFUNCTION("""COMPUTED_VALUE"""),"CAR")</f>
        <v>CAR</v>
      </c>
      <c r="B878" s="164" t="str">
        <f ca="1">IFERROR(__xludf.DUMMYFUNCTION("""COMPUTED_VALUE"""),"Ifugao")</f>
        <v>Ifugao</v>
      </c>
      <c r="C878" s="164" t="str">
        <f ca="1">IFERROR(__xludf.DUMMYFUNCTION("""COMPUTED_VALUE"""),"Photocopier Machine – Kyocera")</f>
        <v>Photocopier Machine – Kyocera</v>
      </c>
      <c r="D878" s="164" t="str">
        <f ca="1">IFERROR(__xludf.DUMMYFUNCTION("""COMPUTED_VALUE"""),"₱ 84,500.00")</f>
        <v>₱ 84,500.00</v>
      </c>
      <c r="E878" s="164" t="str">
        <f ca="1">IFERROR(__xludf.DUMMYFUNCTION("""COMPUTED_VALUE"""),"₱ -")</f>
        <v>₱ -</v>
      </c>
      <c r="F878" s="164" t="str">
        <f ca="1">IFERROR(__xludf.DUMMYFUNCTION("""COMPUTED_VALUE"""),"2022-05-02-10202SP06-01")</f>
        <v>2022-05-02-10202SP06-01</v>
      </c>
      <c r="G878" s="164" t="str">
        <f ca="1">IFERROR(__xludf.DUMMYFUNCTION("""COMPUTED_VALUE"""),"RNK2700181")</f>
        <v>RNK2700181</v>
      </c>
      <c r="H878" s="164" t="str">
        <f ca="1">IFERROR(__xludf.DUMMYFUNCTION("""COMPUTED_VALUE"""),"ALONA A. PADILLA")</f>
        <v>ALONA A. PADILLA</v>
      </c>
      <c r="I878" s="164" t="str">
        <f ca="1">IFERROR(__xludf.DUMMYFUNCTION("""COMPUTED_VALUE"""),"FVT Coordinator")</f>
        <v>FVT Coordinator</v>
      </c>
      <c r="J878" s="164" t="str">
        <f ca="1">IFERROR(__xludf.DUMMYFUNCTION("""COMPUTED_VALUE"""),"12/02/2022")</f>
        <v>12/02/2022</v>
      </c>
      <c r="K878" s="164" t="str">
        <f ca="1">IFERROR(__xludf.DUMMYFUNCTION("""COMPUTED_VALUE"""),"ALONA A. PADILLA")</f>
        <v>ALONA A. PADILLA</v>
      </c>
      <c r="L878" s="164"/>
      <c r="M878" s="164" t="str">
        <f ca="1">IFERROR(__xludf.DUMMYFUNCTION("""COMPUTED_VALUE"""),"SERVICEABLE")</f>
        <v>SERVICEABLE</v>
      </c>
      <c r="N878" s="164"/>
    </row>
    <row r="879" spans="1:14" ht="13.2" hidden="1">
      <c r="A879" s="164" t="str">
        <f ca="1">IFERROR(__xludf.DUMMYFUNCTION("""COMPUTED_VALUE"""),"CAR")</f>
        <v>CAR</v>
      </c>
      <c r="B879" s="164" t="str">
        <f ca="1">IFERROR(__xludf.DUMMYFUNCTION("""COMPUTED_VALUE"""),"Ifugao")</f>
        <v>Ifugao</v>
      </c>
      <c r="C879" s="164" t="str">
        <f ca="1">IFERROR(__xludf.DUMMYFUNCTION("""COMPUTED_VALUE"""),"Laptop – (ACER EXTENSA EX215-55G i7)")</f>
        <v>Laptop – (ACER EXTENSA EX215-55G i7)</v>
      </c>
      <c r="D879" s="164" t="str">
        <f ca="1">IFERROR(__xludf.DUMMYFUNCTION("""COMPUTED_VALUE"""),"₱ 59,500.00")</f>
        <v>₱ 59,500.00</v>
      </c>
      <c r="E879" s="164" t="str">
        <f ca="1">IFERROR(__xludf.DUMMYFUNCTION("""COMPUTED_VALUE"""),"₱ -")</f>
        <v>₱ -</v>
      </c>
      <c r="F879" s="164" t="str">
        <f ca="1">IFERROR(__xludf.DUMMYFUNCTION("""COMPUTED_VALUE"""),"2023-05-03-10202SP07-01")</f>
        <v>2023-05-03-10202SP07-01</v>
      </c>
      <c r="G879" s="164" t="str">
        <f ca="1">IFERROR(__xludf.DUMMYFUNCTION("""COMPUTED_VALUE"""),"NXEGZSP00330801CAB3400")</f>
        <v>NXEGZSP00330801CAB3400</v>
      </c>
      <c r="H879" s="164" t="str">
        <f ca="1">IFERROR(__xludf.DUMMYFUNCTION("""COMPUTED_VALUE"""),"DOMINADOR G. ATITIW")</f>
        <v>DOMINADOR G. ATITIW</v>
      </c>
      <c r="I879" s="164" t="str">
        <f ca="1">IFERROR(__xludf.DUMMYFUNCTION("""COMPUTED_VALUE"""),"PCAO/ Technical Staff - Admin &amp; Finance Officer")</f>
        <v>PCAO/ Technical Staff - Admin &amp; Finance Officer</v>
      </c>
      <c r="J879" s="164" t="str">
        <f ca="1">IFERROR(__xludf.DUMMYFUNCTION("""COMPUTED_VALUE"""),"PTR# 2024-01-004")</f>
        <v>PTR# 2024-01-004</v>
      </c>
      <c r="K879" s="164" t="str">
        <f ca="1">IFERROR(__xludf.DUMMYFUNCTION("""COMPUTED_VALUE"""),"JAMILLE ANG")</f>
        <v>JAMILLE ANG</v>
      </c>
      <c r="L879" s="164" t="str">
        <f ca="1">IFERROR(__xludf.DUMMYFUNCTION("""COMPUTED_VALUE"""),"DARPO")</f>
        <v>DARPO</v>
      </c>
      <c r="M879" s="164" t="str">
        <f ca="1">IFERROR(__xludf.DUMMYFUNCTION("""COMPUTED_VALUE"""),"SERVICEABLE")</f>
        <v>SERVICEABLE</v>
      </c>
      <c r="N879" s="164"/>
    </row>
    <row r="880" spans="1:14" ht="13.2" hidden="1">
      <c r="A880" s="164" t="str">
        <f ca="1">IFERROR(__xludf.DUMMYFUNCTION("""COMPUTED_VALUE"""),"CAR")</f>
        <v>CAR</v>
      </c>
      <c r="B880" s="164" t="str">
        <f ca="1">IFERROR(__xludf.DUMMYFUNCTION("""COMPUTED_VALUE"""),"Ifugao")</f>
        <v>Ifugao</v>
      </c>
      <c r="C880" s="164" t="str">
        <f ca="1">IFERROR(__xludf.DUMMYFUNCTION("""COMPUTED_VALUE"""),"A3 PRINTER (BROTHER)")</f>
        <v>A3 PRINTER (BROTHER)</v>
      </c>
      <c r="D880" s="164" t="str">
        <f ca="1">IFERROR(__xludf.DUMMYFUNCTION("""COMPUTED_VALUE"""),"33,508.00")</f>
        <v>33,508.00</v>
      </c>
      <c r="E880" s="164" t="str">
        <f ca="1">IFERROR(__xludf.DUMMYFUNCTION("""COMPUTED_VALUE"""),"₱ -")</f>
        <v>₱ -</v>
      </c>
      <c r="F880" s="164" t="str">
        <f ca="1">IFERROR(__xludf.DUMMYFUNCTION("""COMPUTED_VALUE"""),"HV-SPLIT-102-24-05-10")</f>
        <v>HV-SPLIT-102-24-05-10</v>
      </c>
      <c r="G880" s="164"/>
      <c r="H880" s="164" t="str">
        <f ca="1">IFERROR(__xludf.DUMMYFUNCTION("""COMPUTED_VALUE"""),"SAMUEL S. SOLOMERO")</f>
        <v>SAMUEL S. SOLOMERO</v>
      </c>
      <c r="I880" s="164" t="str">
        <f ca="1">IFERROR(__xludf.DUMMYFUNCTION("""COMPUTED_VALUE"""),"REGIONAL DIRECTOR")</f>
        <v>REGIONAL DIRECTOR</v>
      </c>
      <c r="J880" s="164" t="str">
        <f ca="1">IFERROR(__xludf.DUMMYFUNCTION("""COMPUTED_VALUE"""),"2024-03-001")</f>
        <v>2024-03-001</v>
      </c>
      <c r="K880" s="164"/>
      <c r="L880" s="164" t="str">
        <f ca="1">IFERROR(__xludf.DUMMYFUNCTION("""COMPUTED_VALUE"""),"DARPO IFUGAO")</f>
        <v>DARPO IFUGAO</v>
      </c>
      <c r="M880" s="164" t="str">
        <f ca="1">IFERROR(__xludf.DUMMYFUNCTION("""COMPUTED_VALUE"""),"SERVICEABLE")</f>
        <v>SERVICEABLE</v>
      </c>
      <c r="N880" s="164"/>
    </row>
    <row r="881" spans="1:14" ht="13.2" hidden="1">
      <c r="A881" s="164" t="str">
        <f ca="1">IFERROR(__xludf.DUMMYFUNCTION("""COMPUTED_VALUE"""),"CAR")</f>
        <v>CAR</v>
      </c>
      <c r="B881" s="164" t="str">
        <f ca="1">IFERROR(__xludf.DUMMYFUNCTION("""COMPUTED_VALUE"""),"Kalinga")</f>
        <v>Kalinga</v>
      </c>
      <c r="C881" s="164" t="str">
        <f ca="1">IFERROR(__xludf.DUMMYFUNCTION("""COMPUTED_VALUE"""),"REAL-TIME KINEMATIC – GEOMAX ZENITH60")</f>
        <v>REAL-TIME KINEMATIC – GEOMAX ZENITH60</v>
      </c>
      <c r="D881" s="164" t="str">
        <f ca="1">IFERROR(__xludf.DUMMYFUNCTION("""COMPUTED_VALUE"""),"₱ 1,849,000.00")</f>
        <v>₱ 1,849,000.00</v>
      </c>
      <c r="E881" s="164" t="str">
        <f ca="1">IFERROR(__xludf.DUMMYFUNCTION("""COMPUTED_VALUE"""),"₱ -")</f>
        <v>₱ -</v>
      </c>
      <c r="F881" s="164" t="str">
        <f ca="1">IFERROR(__xludf.DUMMYFUNCTION("""COMPUTED_VALUE"""),"2023-05-14-10201SP09-01")</f>
        <v>2023-05-14-10201SP09-01</v>
      </c>
      <c r="G881" s="164" t="str">
        <f ca="1">IFERROR(__xludf.DUMMYFUNCTION("""COMPUTED_VALUE"""),"Z60ST272200128")</f>
        <v>Z60ST272200128</v>
      </c>
      <c r="H881" s="164" t="str">
        <f ca="1">IFERROR(__xludf.DUMMYFUNCTION("""COMPUTED_VALUE"""),"ADELA S. DAMASO")</f>
        <v>ADELA S. DAMASO</v>
      </c>
      <c r="I881" s="164" t="str">
        <f ca="1">IFERROR(__xludf.DUMMYFUNCTION("""COMPUTED_VALUE"""),"Engineer II")</f>
        <v>Engineer II</v>
      </c>
      <c r="J881" s="164" t="str">
        <f ca="1">IFERROR(__xludf.DUMMYFUNCTION("""COMPUTED_VALUE"""),"2023-03-12 SPLIT")</f>
        <v>2023-03-12 SPLIT</v>
      </c>
      <c r="K881" s="164" t="str">
        <f ca="1">IFERROR(__xludf.DUMMYFUNCTION("""COMPUTED_VALUE"""),"Joseph Dondon Calderon")</f>
        <v>Joseph Dondon Calderon</v>
      </c>
      <c r="L881" s="164" t="str">
        <f ca="1">IFERROR(__xludf.DUMMYFUNCTION("""COMPUTED_VALUE"""),"DARPO")</f>
        <v>DARPO</v>
      </c>
      <c r="M881" s="164" t="str">
        <f ca="1">IFERROR(__xludf.DUMMYFUNCTION("""COMPUTED_VALUE"""),"SERVICEABLE")</f>
        <v>SERVICEABLE</v>
      </c>
      <c r="N881" s="164"/>
    </row>
    <row r="882" spans="1:14" ht="13.2" hidden="1">
      <c r="A882" s="164" t="str">
        <f ca="1">IFERROR(__xludf.DUMMYFUNCTION("""COMPUTED_VALUE"""),"CAR")</f>
        <v>CAR</v>
      </c>
      <c r="B882" s="164" t="str">
        <f ca="1">IFERROR(__xludf.DUMMYFUNCTION("""COMPUTED_VALUE"""),"Kalinga")</f>
        <v>Kalinga</v>
      </c>
      <c r="C882" s="164" t="str">
        <f ca="1">IFERROR(__xludf.DUMMYFUNCTION("""COMPUTED_VALUE"""),"TOTAL STATION – GEOMAX TOTAL STATION ZOOM 50")</f>
        <v>TOTAL STATION – GEOMAX TOTAL STATION ZOOM 50</v>
      </c>
      <c r="D882" s="164" t="str">
        <f ca="1">IFERROR(__xludf.DUMMYFUNCTION("""COMPUTED_VALUE"""),"₱ 648,000.00")</f>
        <v>₱ 648,000.00</v>
      </c>
      <c r="E882" s="164" t="str">
        <f ca="1">IFERROR(__xludf.DUMMYFUNCTION("""COMPUTED_VALUE"""),"₱ -")</f>
        <v>₱ -</v>
      </c>
      <c r="F882" s="164" t="str">
        <f ca="1">IFERROR(__xludf.DUMMYFUNCTION("""COMPUTED_VALUE"""),"2023-05-14-10201SP12-01")</f>
        <v>2023-05-14-10201SP12-01</v>
      </c>
      <c r="G882" s="164"/>
      <c r="H882" s="164" t="str">
        <f ca="1">IFERROR(__xludf.DUMMYFUNCTION("""COMPUTED_VALUE"""),"ADELA S. DAMASO")</f>
        <v>ADELA S. DAMASO</v>
      </c>
      <c r="I882" s="164" t="str">
        <f ca="1">IFERROR(__xludf.DUMMYFUNCTION("""COMPUTED_VALUE"""),"PARPO II/PROJECT MANAGER")</f>
        <v>PARPO II/PROJECT MANAGER</v>
      </c>
      <c r="J882" s="164" t="str">
        <f ca="1">IFERROR(__xludf.DUMMYFUNCTION("""COMPUTED_VALUE"""),"2023-03-17 SPLIT")</f>
        <v>2023-03-17 SPLIT</v>
      </c>
      <c r="K882" s="164" t="str">
        <f ca="1">IFERROR(__xludf.DUMMYFUNCTION("""COMPUTED_VALUE"""),"Joseph Dondon Calderon")</f>
        <v>Joseph Dondon Calderon</v>
      </c>
      <c r="L882" s="164"/>
      <c r="M882" s="164" t="str">
        <f ca="1">IFERROR(__xludf.DUMMYFUNCTION("""COMPUTED_VALUE"""),"SERVICEABLE")</f>
        <v>SERVICEABLE</v>
      </c>
      <c r="N882" s="164"/>
    </row>
    <row r="883" spans="1:14" ht="13.2" hidden="1">
      <c r="A883" s="164" t="str">
        <f ca="1">IFERROR(__xludf.DUMMYFUNCTION("""COMPUTED_VALUE"""),"CAR")</f>
        <v>CAR</v>
      </c>
      <c r="B883" s="164" t="str">
        <f ca="1">IFERROR(__xludf.DUMMYFUNCTION("""COMPUTED_VALUE"""),"Kalinga")</f>
        <v>Kalinga</v>
      </c>
      <c r="C883" s="164" t="str">
        <f ca="1">IFERROR(__xludf.DUMMYFUNCTION("""COMPUTED_VALUE"""),"HANDHELD GPS – MODEL P6")</f>
        <v>HANDHELD GPS – MODEL P6</v>
      </c>
      <c r="D883" s="164" t="str">
        <f ca="1">IFERROR(__xludf.DUMMYFUNCTION("""COMPUTED_VALUE"""),"₱ 79,000.00")</f>
        <v>₱ 79,000.00</v>
      </c>
      <c r="E883" s="164" t="str">
        <f ca="1">IFERROR(__xludf.DUMMYFUNCTION("""COMPUTED_VALUE"""),"₱ -")</f>
        <v>₱ -</v>
      </c>
      <c r="F883" s="164" t="str">
        <f ca="1">IFERROR(__xludf.DUMMYFUNCTION("""COMPUTED_VALUE"""),"2023-05-14-10202SP12-01")</f>
        <v>2023-05-14-10202SP12-01</v>
      </c>
      <c r="G883" s="164" t="str">
        <f ca="1">IFERROR(__xludf.DUMMYFUNCTION("""COMPUTED_VALUE"""),"SP10730016")</f>
        <v>SP10730016</v>
      </c>
      <c r="H883" s="164" t="str">
        <f ca="1">IFERROR(__xludf.DUMMYFUNCTION("""COMPUTED_VALUE"""),"ADELA S. DAMASO")</f>
        <v>ADELA S. DAMASO</v>
      </c>
      <c r="I883" s="164" t="str">
        <f ca="1">IFERROR(__xludf.DUMMYFUNCTION("""COMPUTED_VALUE"""),"PARPO II/PROJECT MANAGER")</f>
        <v>PARPO II/PROJECT MANAGER</v>
      </c>
      <c r="J883" s="164" t="str">
        <f ca="1">IFERROR(__xludf.DUMMYFUNCTION("""COMPUTED_VALUE"""),"2023-03-22 SPLIT")</f>
        <v>2023-03-22 SPLIT</v>
      </c>
      <c r="K883" s="164" t="str">
        <f ca="1">IFERROR(__xludf.DUMMYFUNCTION("""COMPUTED_VALUE"""),"Joseph Dondon Calderon")</f>
        <v>Joseph Dondon Calderon</v>
      </c>
      <c r="L883" s="164" t="str">
        <f ca="1">IFERROR(__xludf.DUMMYFUNCTION("""COMPUTED_VALUE"""),"DARPO")</f>
        <v>DARPO</v>
      </c>
      <c r="M883" s="164" t="str">
        <f ca="1">IFERROR(__xludf.DUMMYFUNCTION("""COMPUTED_VALUE"""),"SERVICEABLE")</f>
        <v>SERVICEABLE</v>
      </c>
      <c r="N883" s="164"/>
    </row>
    <row r="884" spans="1:14" ht="13.2" hidden="1">
      <c r="A884" s="164" t="str">
        <f ca="1">IFERROR(__xludf.DUMMYFUNCTION("""COMPUTED_VALUE"""),"CAR")</f>
        <v>CAR</v>
      </c>
      <c r="B884" s="164" t="str">
        <f ca="1">IFERROR(__xludf.DUMMYFUNCTION("""COMPUTED_VALUE"""),"Kalinga")</f>
        <v>Kalinga</v>
      </c>
      <c r="C884" s="164" t="str">
        <f ca="1">IFERROR(__xludf.DUMMYFUNCTION("""COMPUTED_VALUE"""),"A3 PRINTER (BROTHER)")</f>
        <v>A3 PRINTER (BROTHER)</v>
      </c>
      <c r="D884" s="164" t="str">
        <f ca="1">IFERROR(__xludf.DUMMYFUNCTION("""COMPUTED_VALUE"""),"33,508.00")</f>
        <v>33,508.00</v>
      </c>
      <c r="E884" s="164" t="str">
        <f ca="1">IFERROR(__xludf.DUMMYFUNCTION("""COMPUTED_VALUE"""),"₱ -")</f>
        <v>₱ -</v>
      </c>
      <c r="F884" s="164" t="str">
        <f ca="1">IFERROR(__xludf.DUMMYFUNCTION("""COMPUTED_VALUE"""),"HV-SPLIT-102-24-05-11")</f>
        <v>HV-SPLIT-102-24-05-11</v>
      </c>
      <c r="G884" s="164"/>
      <c r="H884" s="164" t="str">
        <f ca="1">IFERROR(__xludf.DUMMYFUNCTION("""COMPUTED_VALUE"""),"SAMUEL S. SOLOMERO")</f>
        <v>SAMUEL S. SOLOMERO</v>
      </c>
      <c r="I884" s="164" t="str">
        <f ca="1">IFERROR(__xludf.DUMMYFUNCTION("""COMPUTED_VALUE"""),"REGIONAL DIRECTOR")</f>
        <v>REGIONAL DIRECTOR</v>
      </c>
      <c r="J884" s="164" t="str">
        <f ca="1">IFERROR(__xludf.DUMMYFUNCTION("""COMPUTED_VALUE"""),"2024-03-001")</f>
        <v>2024-03-001</v>
      </c>
      <c r="K884" s="164"/>
      <c r="L884" s="164" t="str">
        <f ca="1">IFERROR(__xludf.DUMMYFUNCTION("""COMPUTED_VALUE"""),"DARPO KALINGA")</f>
        <v>DARPO KALINGA</v>
      </c>
      <c r="M884" s="164" t="str">
        <f ca="1">IFERROR(__xludf.DUMMYFUNCTION("""COMPUTED_VALUE"""),"SERVICEABLE")</f>
        <v>SERVICEABLE</v>
      </c>
      <c r="N884" s="164"/>
    </row>
    <row r="885" spans="1:14" ht="13.2" hidden="1">
      <c r="A885" s="164" t="str">
        <f ca="1">IFERROR(__xludf.DUMMYFUNCTION("""COMPUTED_VALUE"""),"CAR")</f>
        <v>CAR</v>
      </c>
      <c r="B885" s="164" t="str">
        <f ca="1">IFERROR(__xludf.DUMMYFUNCTION("""COMPUTED_VALUE"""),"Regional Office")</f>
        <v>Regional Office</v>
      </c>
      <c r="C885" s="164" t="str">
        <f ca="1">IFERROR(__xludf.DUMMYFUNCTION("""COMPUTED_VALUE"""),"HANDHELD GPS – MODEL P6")</f>
        <v>HANDHELD GPS – MODEL P6</v>
      </c>
      <c r="D885" s="164" t="str">
        <f ca="1">IFERROR(__xludf.DUMMYFUNCTION("""COMPUTED_VALUE"""),"₱ 79,000.00")</f>
        <v>₱ 79,000.00</v>
      </c>
      <c r="E885" s="164" t="str">
        <f ca="1">IFERROR(__xludf.DUMMYFUNCTION("""COMPUTED_VALUE"""),"₱ -")</f>
        <v>₱ -</v>
      </c>
      <c r="F885" s="164" t="str">
        <f ca="1">IFERROR(__xludf.DUMMYFUNCTION("""COMPUTED_VALUE"""),"2023-05-14-10202SP50-01")</f>
        <v>2023-05-14-10202SP50-01</v>
      </c>
      <c r="G885" s="164" t="str">
        <f ca="1">IFERROR(__xludf.DUMMYFUNCTION("""COMPUTED_VALUE"""),"SP10730107")</f>
        <v>SP10730107</v>
      </c>
      <c r="H885" s="164" t="str">
        <f ca="1">IFERROR(__xludf.DUMMYFUNCTION("""COMPUTED_VALUE"""),"ENGR. MOLINES A EWIS")</f>
        <v>ENGR. MOLINES A EWIS</v>
      </c>
      <c r="I885" s="164" t="str">
        <f ca="1">IFERROR(__xludf.DUMMYFUNCTION("""COMPUTED_VALUE"""),"ENGR II/DENR/LRA Coordinator")</f>
        <v>ENGR II/DENR/LRA Coordinator</v>
      </c>
      <c r="J885" s="164" t="str">
        <f ca="1">IFERROR(__xludf.DUMMYFUNCTION("""COMPUTED_VALUE"""),"2024-04-001-SPLIT")</f>
        <v>2024-04-001-SPLIT</v>
      </c>
      <c r="K885" s="164" t="str">
        <f ca="1">IFERROR(__xludf.DUMMYFUNCTION("""COMPUTED_VALUE"""),"ENGR MOLINES EWIS/ ANTONIO MARTIN")</f>
        <v>ENGR MOLINES EWIS/ ANTONIO MARTIN</v>
      </c>
      <c r="L885" s="164" t="str">
        <f ca="1">IFERROR(__xludf.DUMMYFUNCTION("""COMPUTED_VALUE"""),"DARRO")</f>
        <v>DARRO</v>
      </c>
      <c r="M885" s="164" t="str">
        <f ca="1">IFERROR(__xludf.DUMMYFUNCTION("""COMPUTED_VALUE"""),"SERVICEABLE")</f>
        <v>SERVICEABLE</v>
      </c>
      <c r="N885" s="164"/>
    </row>
    <row r="886" spans="1:14" ht="13.2" hidden="1">
      <c r="A886" s="164" t="str">
        <f ca="1">IFERROR(__xludf.DUMMYFUNCTION("""COMPUTED_VALUE"""),"CAR")</f>
        <v>CAR</v>
      </c>
      <c r="B886" s="164" t="str">
        <f ca="1">IFERROR(__xludf.DUMMYFUNCTION("""COMPUTED_VALUE"""),"Regional Office")</f>
        <v>Regional Office</v>
      </c>
      <c r="C886" s="164" t="str">
        <f ca="1">IFERROR(__xludf.DUMMYFUNCTION("""COMPUTED_VALUE"""),"HANDHELD GPS – MODEL P6")</f>
        <v>HANDHELD GPS – MODEL P6</v>
      </c>
      <c r="D886" s="164" t="str">
        <f ca="1">IFERROR(__xludf.DUMMYFUNCTION("""COMPUTED_VALUE"""),"₱ 79,000.00")</f>
        <v>₱ 79,000.00</v>
      </c>
      <c r="E886" s="164" t="str">
        <f ca="1">IFERROR(__xludf.DUMMYFUNCTION("""COMPUTED_VALUE"""),"₱ -")</f>
        <v>₱ -</v>
      </c>
      <c r="F886" s="164" t="str">
        <f ca="1">IFERROR(__xludf.DUMMYFUNCTION("""COMPUTED_VALUE"""),"2023-05-14-10202SP51-01")</f>
        <v>2023-05-14-10202SP51-01</v>
      </c>
      <c r="G886" s="164" t="str">
        <f ca="1">IFERROR(__xludf.DUMMYFUNCTION("""COMPUTED_VALUE"""),"SP10730101")</f>
        <v>SP10730101</v>
      </c>
      <c r="H886" s="164" t="str">
        <f ca="1">IFERROR(__xludf.DUMMYFUNCTION("""COMPUTED_VALUE"""),"ENGR. MOLINES A EWIS")</f>
        <v>ENGR. MOLINES A EWIS</v>
      </c>
      <c r="I886" s="164" t="str">
        <f ca="1">IFERROR(__xludf.DUMMYFUNCTION("""COMPUTED_VALUE"""),"ENGR II/DENR/LRA Coordinator")</f>
        <v>ENGR II/DENR/LRA Coordinator</v>
      </c>
      <c r="J886" s="164" t="str">
        <f ca="1">IFERROR(__xludf.DUMMYFUNCTION("""COMPUTED_VALUE"""),"2024-04-001-SPLIT")</f>
        <v>2024-04-001-SPLIT</v>
      </c>
      <c r="K886" s="164" t="str">
        <f ca="1">IFERROR(__xludf.DUMMYFUNCTION("""COMPUTED_VALUE"""),"ENGR MOLINES EWIS/ ANTONIO MARTIN")</f>
        <v>ENGR MOLINES EWIS/ ANTONIO MARTIN</v>
      </c>
      <c r="L886" s="164" t="str">
        <f ca="1">IFERROR(__xludf.DUMMYFUNCTION("""COMPUTED_VALUE"""),"DARRO")</f>
        <v>DARRO</v>
      </c>
      <c r="M886" s="164" t="str">
        <f ca="1">IFERROR(__xludf.DUMMYFUNCTION("""COMPUTED_VALUE"""),"SERVICEABLE")</f>
        <v>SERVICEABLE</v>
      </c>
      <c r="N886" s="164"/>
    </row>
    <row r="887" spans="1:14" ht="13.2" hidden="1">
      <c r="A887" s="164" t="str">
        <f ca="1">IFERROR(__xludf.DUMMYFUNCTION("""COMPUTED_VALUE"""),"CAR")</f>
        <v>CAR</v>
      </c>
      <c r="B887" s="164" t="str">
        <f ca="1">IFERROR(__xludf.DUMMYFUNCTION("""COMPUTED_VALUE"""),"Kalinga")</f>
        <v>Kalinga</v>
      </c>
      <c r="C887" s="164" t="str">
        <f ca="1">IFERROR(__xludf.DUMMYFUNCTION("""COMPUTED_VALUE"""),"Desktop Computer – (Lenovo M70T)")</f>
        <v>Desktop Computer – (Lenovo M70T)</v>
      </c>
      <c r="D887" s="164" t="str">
        <f ca="1">IFERROR(__xludf.DUMMYFUNCTION("""COMPUTED_VALUE"""),"₱ 75,468.00")</f>
        <v>₱ 75,468.00</v>
      </c>
      <c r="E887" s="164" t="str">
        <f ca="1">IFERROR(__xludf.DUMMYFUNCTION("""COMPUTED_VALUE"""),"₱ -")</f>
        <v>₱ -</v>
      </c>
      <c r="F887" s="164" t="str">
        <f ca="1">IFERROR(__xludf.DUMMYFUNCTION("""COMPUTED_VALUE"""),"2023-05-03-10201SP571-01")</f>
        <v>2023-05-03-10201SP571-01</v>
      </c>
      <c r="G887" s="164" t="str">
        <f ca="1">IFERROR(__xludf.DUMMYFUNCTION("""COMPUTED_VALUE"""),"1S11T5S16200GM041AT4")</f>
        <v>1S11T5S16200GM041AT4</v>
      </c>
      <c r="H887" s="164" t="str">
        <f ca="1">IFERROR(__xludf.DUMMYFUNCTION("""COMPUTED_VALUE"""),"REYNALDO S. MANONGYAO")</f>
        <v>REYNALDO S. MANONGYAO</v>
      </c>
      <c r="I887" s="164" t="str">
        <f ca="1">IFERROR(__xludf.DUMMYFUNCTION("""COMPUTED_VALUE"""),"Parcelization Component and Field Validation Team Coordinator")</f>
        <v>Parcelization Component and Field Validation Team Coordinator</v>
      </c>
      <c r="J887" s="164" t="str">
        <f ca="1">IFERROR(__xludf.DUMMYFUNCTION("""COMPUTED_VALUE"""),"2023-04-35 SPLIT")</f>
        <v>2023-04-35 SPLIT</v>
      </c>
      <c r="K887" s="164" t="str">
        <f ca="1">IFERROR(__xludf.DUMMYFUNCTION("""COMPUTED_VALUE"""),"REYNALDO S. MANONGYAO")</f>
        <v>REYNALDO S. MANONGYAO</v>
      </c>
      <c r="L887" s="164"/>
      <c r="M887" s="164" t="str">
        <f ca="1">IFERROR(__xludf.DUMMYFUNCTION("""COMPUTED_VALUE"""),"SERVICEABLE")</f>
        <v>SERVICEABLE</v>
      </c>
      <c r="N887" s="164"/>
    </row>
    <row r="888" spans="1:14" ht="13.2" hidden="1">
      <c r="A888" s="164" t="str">
        <f ca="1">IFERROR(__xludf.DUMMYFUNCTION("""COMPUTED_VALUE"""),"CAR")</f>
        <v>CAR</v>
      </c>
      <c r="B888" s="164" t="str">
        <f ca="1">IFERROR(__xludf.DUMMYFUNCTION("""COMPUTED_VALUE"""),"Kalinga")</f>
        <v>Kalinga</v>
      </c>
      <c r="C888" s="164" t="str">
        <f ca="1">IFERROR(__xludf.DUMMYFUNCTION("""COMPUTED_VALUE"""),"Desktop Computer – (Lenovo M70T)")</f>
        <v>Desktop Computer – (Lenovo M70T)</v>
      </c>
      <c r="D888" s="164" t="str">
        <f ca="1">IFERROR(__xludf.DUMMYFUNCTION("""COMPUTED_VALUE"""),"₱ 75,468.00")</f>
        <v>₱ 75,468.00</v>
      </c>
      <c r="E888" s="164" t="str">
        <f ca="1">IFERROR(__xludf.DUMMYFUNCTION("""COMPUTED_VALUE"""),"₱ -")</f>
        <v>₱ -</v>
      </c>
      <c r="F888" s="164" t="str">
        <f ca="1">IFERROR(__xludf.DUMMYFUNCTION("""COMPUTED_VALUE"""),"2023-05-03-10201SP572-01")</f>
        <v>2023-05-03-10201SP572-01</v>
      </c>
      <c r="G888" s="164" t="str">
        <f ca="1">IFERROR(__xludf.DUMMYFUNCTION("""COMPUTED_VALUE"""),"1S11T5S16200GM041AT8")</f>
        <v>1S11T5S16200GM041AT8</v>
      </c>
      <c r="H888" s="164" t="str">
        <f ca="1">IFERROR(__xludf.DUMMYFUNCTION("""COMPUTED_VALUE"""),"REYNALDO S. MANONGYAO")</f>
        <v>REYNALDO S. MANONGYAO</v>
      </c>
      <c r="I888" s="164" t="str">
        <f ca="1">IFERROR(__xludf.DUMMYFUNCTION("""COMPUTED_VALUE"""),"Parcelization Component and Field Validation Team Coordinator")</f>
        <v>Parcelization Component and Field Validation Team Coordinator</v>
      </c>
      <c r="J888" s="164" t="str">
        <f ca="1">IFERROR(__xludf.DUMMYFUNCTION("""COMPUTED_VALUE"""),"2023-04-35 SPLIT")</f>
        <v>2023-04-35 SPLIT</v>
      </c>
      <c r="K888" s="164" t="str">
        <f ca="1">IFERROR(__xludf.DUMMYFUNCTION("""COMPUTED_VALUE"""),"REYNALDO S. MANONGYAO")</f>
        <v>REYNALDO S. MANONGYAO</v>
      </c>
      <c r="L888" s="164"/>
      <c r="M888" s="164" t="str">
        <f ca="1">IFERROR(__xludf.DUMMYFUNCTION("""COMPUTED_VALUE"""),"SERVICEABLE")</f>
        <v>SERVICEABLE</v>
      </c>
      <c r="N888" s="164"/>
    </row>
    <row r="889" spans="1:14" ht="13.2" hidden="1">
      <c r="A889" s="164" t="str">
        <f ca="1">IFERROR(__xludf.DUMMYFUNCTION("""COMPUTED_VALUE"""),"CAR")</f>
        <v>CAR</v>
      </c>
      <c r="B889" s="164" t="str">
        <f ca="1">IFERROR(__xludf.DUMMYFUNCTION("""COMPUTED_VALUE"""),"Kalinga")</f>
        <v>Kalinga</v>
      </c>
      <c r="C889" s="164" t="str">
        <f ca="1">IFERROR(__xludf.DUMMYFUNCTION("""COMPUTED_VALUE"""),"Desktop Computer – (Lenovo M70T)")</f>
        <v>Desktop Computer – (Lenovo M70T)</v>
      </c>
      <c r="D889" s="164" t="str">
        <f ca="1">IFERROR(__xludf.DUMMYFUNCTION("""COMPUTED_VALUE"""),"₱ 75,468.00")</f>
        <v>₱ 75,468.00</v>
      </c>
      <c r="E889" s="164" t="str">
        <f ca="1">IFERROR(__xludf.DUMMYFUNCTION("""COMPUTED_VALUE"""),"₱ -")</f>
        <v>₱ -</v>
      </c>
      <c r="F889" s="164" t="str">
        <f ca="1">IFERROR(__xludf.DUMMYFUNCTION("""COMPUTED_VALUE"""),"2023-05-03-10201SP573-01")</f>
        <v>2023-05-03-10201SP573-01</v>
      </c>
      <c r="G889" s="164" t="str">
        <f ca="1">IFERROR(__xludf.DUMMYFUNCTION("""COMPUTED_VALUE"""),"1S11T5S16200GM041ATB")</f>
        <v>1S11T5S16200GM041ATB</v>
      </c>
      <c r="H889" s="164" t="str">
        <f ca="1">IFERROR(__xludf.DUMMYFUNCTION("""COMPUTED_VALUE"""),"REYNALDO S. MANONGYAO")</f>
        <v>REYNALDO S. MANONGYAO</v>
      </c>
      <c r="I889" s="164" t="str">
        <f ca="1">IFERROR(__xludf.DUMMYFUNCTION("""COMPUTED_VALUE"""),"Parcelization Component and Field Validation Team Coordinator")</f>
        <v>Parcelization Component and Field Validation Team Coordinator</v>
      </c>
      <c r="J889" s="164" t="str">
        <f ca="1">IFERROR(__xludf.DUMMYFUNCTION("""COMPUTED_VALUE"""),"2023-04-35 SPLIT")</f>
        <v>2023-04-35 SPLIT</v>
      </c>
      <c r="K889" s="164" t="str">
        <f ca="1">IFERROR(__xludf.DUMMYFUNCTION("""COMPUTED_VALUE"""),"REYNALDO S. MANONGYAO")</f>
        <v>REYNALDO S. MANONGYAO</v>
      </c>
      <c r="L889" s="164"/>
      <c r="M889" s="164" t="str">
        <f ca="1">IFERROR(__xludf.DUMMYFUNCTION("""COMPUTED_VALUE"""),"SERVICEABLE")</f>
        <v>SERVICEABLE</v>
      </c>
      <c r="N889" s="164"/>
    </row>
    <row r="890" spans="1:14" ht="13.2" hidden="1">
      <c r="A890" s="164" t="str">
        <f ca="1">IFERROR(__xludf.DUMMYFUNCTION("""COMPUTED_VALUE"""),"CAR")</f>
        <v>CAR</v>
      </c>
      <c r="B890" s="164" t="str">
        <f ca="1">IFERROR(__xludf.DUMMYFUNCTION("""COMPUTED_VALUE"""),"Kalinga")</f>
        <v>Kalinga</v>
      </c>
      <c r="C890" s="164" t="str">
        <f ca="1">IFERROR(__xludf.DUMMYFUNCTION("""COMPUTED_VALUE"""),"Desktop Computer – (Lenovo M70T)")</f>
        <v>Desktop Computer – (Lenovo M70T)</v>
      </c>
      <c r="D890" s="164" t="str">
        <f ca="1">IFERROR(__xludf.DUMMYFUNCTION("""COMPUTED_VALUE"""),"₱ 75,468.00")</f>
        <v>₱ 75,468.00</v>
      </c>
      <c r="E890" s="164" t="str">
        <f ca="1">IFERROR(__xludf.DUMMYFUNCTION("""COMPUTED_VALUE"""),"₱ -")</f>
        <v>₱ -</v>
      </c>
      <c r="F890" s="164" t="str">
        <f ca="1">IFERROR(__xludf.DUMMYFUNCTION("""COMPUTED_VALUE"""),"2023-05-03-10201SP574-01")</f>
        <v>2023-05-03-10201SP574-01</v>
      </c>
      <c r="G890" s="164" t="str">
        <f ca="1">IFERROR(__xludf.DUMMYFUNCTION("""COMPUTED_VALUE"""),"1S11T5S16200GM041ATC")</f>
        <v>1S11T5S16200GM041ATC</v>
      </c>
      <c r="H890" s="164" t="str">
        <f ca="1">IFERROR(__xludf.DUMMYFUNCTION("""COMPUTED_VALUE"""),"REYNALDO S. MANONGYAO")</f>
        <v>REYNALDO S. MANONGYAO</v>
      </c>
      <c r="I890" s="164" t="str">
        <f ca="1">IFERROR(__xludf.DUMMYFUNCTION("""COMPUTED_VALUE"""),"Parcelization Component and Field Validation Team Coordinator")</f>
        <v>Parcelization Component and Field Validation Team Coordinator</v>
      </c>
      <c r="J890" s="164" t="str">
        <f ca="1">IFERROR(__xludf.DUMMYFUNCTION("""COMPUTED_VALUE"""),"2023-04-35 SPLIT")</f>
        <v>2023-04-35 SPLIT</v>
      </c>
      <c r="K890" s="164" t="str">
        <f ca="1">IFERROR(__xludf.DUMMYFUNCTION("""COMPUTED_VALUE"""),"REYNALDO S. MANONGYAO")</f>
        <v>REYNALDO S. MANONGYAO</v>
      </c>
      <c r="L890" s="164"/>
      <c r="M890" s="164" t="str">
        <f ca="1">IFERROR(__xludf.DUMMYFUNCTION("""COMPUTED_VALUE"""),"SERVICEABLE")</f>
        <v>SERVICEABLE</v>
      </c>
      <c r="N890" s="164"/>
    </row>
    <row r="891" spans="1:14" ht="13.2" hidden="1">
      <c r="A891" s="164" t="str">
        <f ca="1">IFERROR(__xludf.DUMMYFUNCTION("""COMPUTED_VALUE"""),"CAR")</f>
        <v>CAR</v>
      </c>
      <c r="B891" s="164" t="str">
        <f ca="1">IFERROR(__xludf.DUMMYFUNCTION("""COMPUTED_VALUE"""),"Kalinga")</f>
        <v>Kalinga</v>
      </c>
      <c r="C891" s="164" t="str">
        <f ca="1">IFERROR(__xludf.DUMMYFUNCTION("""COMPUTED_VALUE"""),"Desktop Computer – (Lenovo M70T)")</f>
        <v>Desktop Computer – (Lenovo M70T)</v>
      </c>
      <c r="D891" s="164" t="str">
        <f ca="1">IFERROR(__xludf.DUMMYFUNCTION("""COMPUTED_VALUE"""),"₱ 75,468.00")</f>
        <v>₱ 75,468.00</v>
      </c>
      <c r="E891" s="164" t="str">
        <f ca="1">IFERROR(__xludf.DUMMYFUNCTION("""COMPUTED_VALUE"""),"₱ -")</f>
        <v>₱ -</v>
      </c>
      <c r="F891" s="164" t="str">
        <f ca="1">IFERROR(__xludf.DUMMYFUNCTION("""COMPUTED_VALUE"""),"2023-05-03-10201SP575-01")</f>
        <v>2023-05-03-10201SP575-01</v>
      </c>
      <c r="G891" s="164" t="str">
        <f ca="1">IFERROR(__xludf.DUMMYFUNCTION("""COMPUTED_VALUE"""),"1S11T5S16200GM041ATD")</f>
        <v>1S11T5S16200GM041ATD</v>
      </c>
      <c r="H891" s="164" t="str">
        <f ca="1">IFERROR(__xludf.DUMMYFUNCTION("""COMPUTED_VALUE"""),"REYNALDO S. MANONGYAO")</f>
        <v>REYNALDO S. MANONGYAO</v>
      </c>
      <c r="I891" s="164" t="str">
        <f ca="1">IFERROR(__xludf.DUMMYFUNCTION("""COMPUTED_VALUE"""),"Parcelization Component and Field Validation Team Coordinator")</f>
        <v>Parcelization Component and Field Validation Team Coordinator</v>
      </c>
      <c r="J891" s="164" t="str">
        <f ca="1">IFERROR(__xludf.DUMMYFUNCTION("""COMPUTED_VALUE"""),"2023-04-35 SPLIT")</f>
        <v>2023-04-35 SPLIT</v>
      </c>
      <c r="K891" s="164" t="str">
        <f ca="1">IFERROR(__xludf.DUMMYFUNCTION("""COMPUTED_VALUE"""),"REYNALDO S. MANONGYAO")</f>
        <v>REYNALDO S. MANONGYAO</v>
      </c>
      <c r="L891" s="164"/>
      <c r="M891" s="164" t="str">
        <f ca="1">IFERROR(__xludf.DUMMYFUNCTION("""COMPUTED_VALUE"""),"SERVICEABLE")</f>
        <v>SERVICEABLE</v>
      </c>
      <c r="N891" s="164"/>
    </row>
    <row r="892" spans="1:14" ht="13.2" hidden="1">
      <c r="A892" s="164" t="str">
        <f ca="1">IFERROR(__xludf.DUMMYFUNCTION("""COMPUTED_VALUE"""),"CAR")</f>
        <v>CAR</v>
      </c>
      <c r="B892" s="164" t="str">
        <f ca="1">IFERROR(__xludf.DUMMYFUNCTION("""COMPUTED_VALUE"""),"Kalinga")</f>
        <v>Kalinga</v>
      </c>
      <c r="C892" s="164" t="str">
        <f ca="1">IFERROR(__xludf.DUMMYFUNCTION("""COMPUTED_VALUE"""),"Desktop Computer – (Lenovo M70T)")</f>
        <v>Desktop Computer – (Lenovo M70T)</v>
      </c>
      <c r="D892" s="164" t="str">
        <f ca="1">IFERROR(__xludf.DUMMYFUNCTION("""COMPUTED_VALUE"""),"₱ 75,468.00")</f>
        <v>₱ 75,468.00</v>
      </c>
      <c r="E892" s="164" t="str">
        <f ca="1">IFERROR(__xludf.DUMMYFUNCTION("""COMPUTED_VALUE"""),"₱ -")</f>
        <v>₱ -</v>
      </c>
      <c r="F892" s="164" t="str">
        <f ca="1">IFERROR(__xludf.DUMMYFUNCTION("""COMPUTED_VALUE"""),"2023-05-03-10201SP576-01")</f>
        <v>2023-05-03-10201SP576-01</v>
      </c>
      <c r="G892" s="164" t="str">
        <f ca="1">IFERROR(__xludf.DUMMYFUNCTION("""COMPUTED_VALUE"""),"1S11T5S16200GM041ATE")</f>
        <v>1S11T5S16200GM041ATE</v>
      </c>
      <c r="H892" s="164" t="str">
        <f ca="1">IFERROR(__xludf.DUMMYFUNCTION("""COMPUTED_VALUE"""),"REYNALDO S. MANONGYAO")</f>
        <v>REYNALDO S. MANONGYAO</v>
      </c>
      <c r="I892" s="164" t="str">
        <f ca="1">IFERROR(__xludf.DUMMYFUNCTION("""COMPUTED_VALUE"""),"Parcelization Component and Field Validation Team Coordinator")</f>
        <v>Parcelization Component and Field Validation Team Coordinator</v>
      </c>
      <c r="J892" s="164" t="str">
        <f ca="1">IFERROR(__xludf.DUMMYFUNCTION("""COMPUTED_VALUE"""),"2023-04-35 SPLIT")</f>
        <v>2023-04-35 SPLIT</v>
      </c>
      <c r="K892" s="164" t="str">
        <f ca="1">IFERROR(__xludf.DUMMYFUNCTION("""COMPUTED_VALUE"""),"REYNALDO S. MANONGYAO")</f>
        <v>REYNALDO S. MANONGYAO</v>
      </c>
      <c r="L892" s="164"/>
      <c r="M892" s="164" t="str">
        <f ca="1">IFERROR(__xludf.DUMMYFUNCTION("""COMPUTED_VALUE"""),"SERVICEABLE")</f>
        <v>SERVICEABLE</v>
      </c>
      <c r="N892" s="164"/>
    </row>
    <row r="893" spans="1:14" ht="13.2" hidden="1">
      <c r="A893" s="164" t="str">
        <f ca="1">IFERROR(__xludf.DUMMYFUNCTION("""COMPUTED_VALUE"""),"CAR")</f>
        <v>CAR</v>
      </c>
      <c r="B893" s="164" t="str">
        <f ca="1">IFERROR(__xludf.DUMMYFUNCTION("""COMPUTED_VALUE"""),"Kalinga")</f>
        <v>Kalinga</v>
      </c>
      <c r="C893" s="164" t="str">
        <f ca="1">IFERROR(__xludf.DUMMYFUNCTION("""COMPUTED_VALUE"""),"Desktop Computer – (Lenovo M70T)")</f>
        <v>Desktop Computer – (Lenovo M70T)</v>
      </c>
      <c r="D893" s="164" t="str">
        <f ca="1">IFERROR(__xludf.DUMMYFUNCTION("""COMPUTED_VALUE"""),"₱ 75,468.00")</f>
        <v>₱ 75,468.00</v>
      </c>
      <c r="E893" s="164" t="str">
        <f ca="1">IFERROR(__xludf.DUMMYFUNCTION("""COMPUTED_VALUE"""),"₱ -")</f>
        <v>₱ -</v>
      </c>
      <c r="F893" s="164" t="str">
        <f ca="1">IFERROR(__xludf.DUMMYFUNCTION("""COMPUTED_VALUE"""),"2023-05-03-10201SP577-01")</f>
        <v>2023-05-03-10201SP577-01</v>
      </c>
      <c r="G893" s="164" t="str">
        <f ca="1">IFERROR(__xludf.DUMMYFUNCTION("""COMPUTED_VALUE"""),"1S11T5S16200GM041ATF")</f>
        <v>1S11T5S16200GM041ATF</v>
      </c>
      <c r="H893" s="164" t="str">
        <f ca="1">IFERROR(__xludf.DUMMYFUNCTION("""COMPUTED_VALUE"""),"GERALDO L. ALCANTARA")</f>
        <v>GERALDO L. ALCANTARA</v>
      </c>
      <c r="I893" s="164" t="str">
        <f ca="1">IFERROR(__xludf.DUMMYFUNCTION("""COMPUTED_VALUE"""),"Admin &amp; Fin/CBTA Coordinator")</f>
        <v>Admin &amp; Fin/CBTA Coordinator</v>
      </c>
      <c r="J893" s="164" t="str">
        <f ca="1">IFERROR(__xludf.DUMMYFUNCTION("""COMPUTED_VALUE"""),"2023-04-35 SPLIT")</f>
        <v>2023-04-35 SPLIT</v>
      </c>
      <c r="K893" s="164" t="str">
        <f ca="1">IFERROR(__xludf.DUMMYFUNCTION("""COMPUTED_VALUE"""),"GERALDO L. ALCANTARA")</f>
        <v>GERALDO L. ALCANTARA</v>
      </c>
      <c r="L893" s="164"/>
      <c r="M893" s="164" t="str">
        <f ca="1">IFERROR(__xludf.DUMMYFUNCTION("""COMPUTED_VALUE"""),"SERVICEABLE")</f>
        <v>SERVICEABLE</v>
      </c>
      <c r="N893" s="164"/>
    </row>
    <row r="894" spans="1:14" ht="13.2" hidden="1">
      <c r="A894" s="164" t="str">
        <f ca="1">IFERROR(__xludf.DUMMYFUNCTION("""COMPUTED_VALUE"""),"CAR")</f>
        <v>CAR</v>
      </c>
      <c r="B894" s="164" t="str">
        <f ca="1">IFERROR(__xludf.DUMMYFUNCTION("""COMPUTED_VALUE"""),"Kalinga")</f>
        <v>Kalinga</v>
      </c>
      <c r="C894" s="164" t="str">
        <f ca="1">IFERROR(__xludf.DUMMYFUNCTION("""COMPUTED_VALUE"""),"Desktop Computer – (Lenovo M70T)")</f>
        <v>Desktop Computer – (Lenovo M70T)</v>
      </c>
      <c r="D894" s="164" t="str">
        <f ca="1">IFERROR(__xludf.DUMMYFUNCTION("""COMPUTED_VALUE"""),"₱ 75,468.00")</f>
        <v>₱ 75,468.00</v>
      </c>
      <c r="E894" s="164" t="str">
        <f ca="1">IFERROR(__xludf.DUMMYFUNCTION("""COMPUTED_VALUE"""),"₱ -")</f>
        <v>₱ -</v>
      </c>
      <c r="F894" s="164" t="str">
        <f ca="1">IFERROR(__xludf.DUMMYFUNCTION("""COMPUTED_VALUE"""),"2023-05-03-10201SP578-01")</f>
        <v>2023-05-03-10201SP578-01</v>
      </c>
      <c r="G894" s="164" t="str">
        <f ca="1">IFERROR(__xludf.DUMMYFUNCTION("""COMPUTED_VALUE"""),"1S11T5S16200GM041AVP")</f>
        <v>1S11T5S16200GM041AVP</v>
      </c>
      <c r="H894" s="164" t="str">
        <f ca="1">IFERROR(__xludf.DUMMYFUNCTION("""COMPUTED_VALUE"""),"GERALDO L. ALCANTARA")</f>
        <v>GERALDO L. ALCANTARA</v>
      </c>
      <c r="I894" s="164" t="str">
        <f ca="1">IFERROR(__xludf.DUMMYFUNCTION("""COMPUTED_VALUE"""),"Admin &amp; Fin/CBTA Coordinator")</f>
        <v>Admin &amp; Fin/CBTA Coordinator</v>
      </c>
      <c r="J894" s="164" t="str">
        <f ca="1">IFERROR(__xludf.DUMMYFUNCTION("""COMPUTED_VALUE"""),"2023-04-35 SPLIT")</f>
        <v>2023-04-35 SPLIT</v>
      </c>
      <c r="K894" s="164" t="str">
        <f ca="1">IFERROR(__xludf.DUMMYFUNCTION("""COMPUTED_VALUE"""),"GERALDO L. ALCANTARA")</f>
        <v>GERALDO L. ALCANTARA</v>
      </c>
      <c r="L894" s="164"/>
      <c r="M894" s="164" t="str">
        <f ca="1">IFERROR(__xludf.DUMMYFUNCTION("""COMPUTED_VALUE"""),"SERVICEABLE")</f>
        <v>SERVICEABLE</v>
      </c>
      <c r="N894" s="164"/>
    </row>
    <row r="895" spans="1:14" ht="13.2" hidden="1">
      <c r="A895" s="164" t="str">
        <f ca="1">IFERROR(__xludf.DUMMYFUNCTION("""COMPUTED_VALUE"""),"CAR")</f>
        <v>CAR</v>
      </c>
      <c r="B895" s="164" t="str">
        <f ca="1">IFERROR(__xludf.DUMMYFUNCTION("""COMPUTED_VALUE"""),"Kalinga")</f>
        <v>Kalinga</v>
      </c>
      <c r="C895" s="164" t="str">
        <f ca="1">IFERROR(__xludf.DUMMYFUNCTION("""COMPUTED_VALUE"""),"Desktop Computer – (Lenovo M70T)")</f>
        <v>Desktop Computer – (Lenovo M70T)</v>
      </c>
      <c r="D895" s="164" t="str">
        <f ca="1">IFERROR(__xludf.DUMMYFUNCTION("""COMPUTED_VALUE"""),"₱ 75,468.00")</f>
        <v>₱ 75,468.00</v>
      </c>
      <c r="E895" s="164" t="str">
        <f ca="1">IFERROR(__xludf.DUMMYFUNCTION("""COMPUTED_VALUE"""),"₱ -")</f>
        <v>₱ -</v>
      </c>
      <c r="F895" s="164" t="str">
        <f ca="1">IFERROR(__xludf.DUMMYFUNCTION("""COMPUTED_VALUE"""),"2023-05-03-10201SP579-01")</f>
        <v>2023-05-03-10201SP579-01</v>
      </c>
      <c r="G895" s="164" t="str">
        <f ca="1">IFERROR(__xludf.DUMMYFUNCTION("""COMPUTED_VALUE"""),"1S11T5S16200GM041AVR")</f>
        <v>1S11T5S16200GM041AVR</v>
      </c>
      <c r="H895" s="164" t="str">
        <f ca="1">IFERROR(__xludf.DUMMYFUNCTION("""COMPUTED_VALUE"""),"GERALDO L. ALCANTARA")</f>
        <v>GERALDO L. ALCANTARA</v>
      </c>
      <c r="I895" s="164" t="str">
        <f ca="1">IFERROR(__xludf.DUMMYFUNCTION("""COMPUTED_VALUE"""),"Admin &amp; Fin/CBTA Coordinator")</f>
        <v>Admin &amp; Fin/CBTA Coordinator</v>
      </c>
      <c r="J895" s="164" t="str">
        <f ca="1">IFERROR(__xludf.DUMMYFUNCTION("""COMPUTED_VALUE"""),"2023-04-35 SPLIT")</f>
        <v>2023-04-35 SPLIT</v>
      </c>
      <c r="K895" s="164" t="str">
        <f ca="1">IFERROR(__xludf.DUMMYFUNCTION("""COMPUTED_VALUE"""),"GERALDO L. ALCANTARA")</f>
        <v>GERALDO L. ALCANTARA</v>
      </c>
      <c r="L895" s="164"/>
      <c r="M895" s="164" t="str">
        <f ca="1">IFERROR(__xludf.DUMMYFUNCTION("""COMPUTED_VALUE"""),"SERVICEABLE")</f>
        <v>SERVICEABLE</v>
      </c>
      <c r="N895" s="164"/>
    </row>
    <row r="896" spans="1:14" ht="13.2" hidden="1">
      <c r="A896" s="164" t="str">
        <f ca="1">IFERROR(__xludf.DUMMYFUNCTION("""COMPUTED_VALUE"""),"CAR")</f>
        <v>CAR</v>
      </c>
      <c r="B896" s="164" t="str">
        <f ca="1">IFERROR(__xludf.DUMMYFUNCTION("""COMPUTED_VALUE"""),"Kalinga")</f>
        <v>Kalinga</v>
      </c>
      <c r="C896" s="164" t="str">
        <f ca="1">IFERROR(__xludf.DUMMYFUNCTION("""COMPUTED_VALUE"""),"Desktop Computer – (Lenovo M70T)")</f>
        <v>Desktop Computer – (Lenovo M70T)</v>
      </c>
      <c r="D896" s="164" t="str">
        <f ca="1">IFERROR(__xludf.DUMMYFUNCTION("""COMPUTED_VALUE"""),"₱ 75,468.00")</f>
        <v>₱ 75,468.00</v>
      </c>
      <c r="E896" s="164" t="str">
        <f ca="1">IFERROR(__xludf.DUMMYFUNCTION("""COMPUTED_VALUE"""),"₱ -")</f>
        <v>₱ -</v>
      </c>
      <c r="F896" s="164" t="str">
        <f ca="1">IFERROR(__xludf.DUMMYFUNCTION("""COMPUTED_VALUE"""),"2023-05-03-10201SP580-01")</f>
        <v>2023-05-03-10201SP580-01</v>
      </c>
      <c r="G896" s="164" t="str">
        <f ca="1">IFERROR(__xludf.DUMMYFUNCTION("""COMPUTED_VALUE"""),"1S11T5S16200GM041AVS")</f>
        <v>1S11T5S16200GM041AVS</v>
      </c>
      <c r="H896" s="164" t="str">
        <f ca="1">IFERROR(__xludf.DUMMYFUNCTION("""COMPUTED_VALUE"""),"GERALDO L. ALCANTARA")</f>
        <v>GERALDO L. ALCANTARA</v>
      </c>
      <c r="I896" s="164" t="str">
        <f ca="1">IFERROR(__xludf.DUMMYFUNCTION("""COMPUTED_VALUE"""),"Admin &amp; Fin/CBTA Coordinator")</f>
        <v>Admin &amp; Fin/CBTA Coordinator</v>
      </c>
      <c r="J896" s="164" t="str">
        <f ca="1">IFERROR(__xludf.DUMMYFUNCTION("""COMPUTED_VALUE"""),"2023-04-35 SPLIT")</f>
        <v>2023-04-35 SPLIT</v>
      </c>
      <c r="K896" s="164" t="str">
        <f ca="1">IFERROR(__xludf.DUMMYFUNCTION("""COMPUTED_VALUE"""),"GERALDO L. ALCANTARA")</f>
        <v>GERALDO L. ALCANTARA</v>
      </c>
      <c r="L896" s="164"/>
      <c r="M896" s="164" t="str">
        <f ca="1">IFERROR(__xludf.DUMMYFUNCTION("""COMPUTED_VALUE"""),"SERVICEABLE")</f>
        <v>SERVICEABLE</v>
      </c>
      <c r="N896" s="164"/>
    </row>
    <row r="897" spans="1:14" ht="13.2" hidden="1">
      <c r="A897" s="164" t="str">
        <f ca="1">IFERROR(__xludf.DUMMYFUNCTION("""COMPUTED_VALUE"""),"CAR")</f>
        <v>CAR</v>
      </c>
      <c r="B897" s="164" t="str">
        <f ca="1">IFERROR(__xludf.DUMMYFUNCTION("""COMPUTED_VALUE"""),"Kalinga")</f>
        <v>Kalinga</v>
      </c>
      <c r="C897" s="164" t="str">
        <f ca="1">IFERROR(__xludf.DUMMYFUNCTION("""COMPUTED_VALUE"""),"Desktop Computer – (Lenovo M70T)")</f>
        <v>Desktop Computer – (Lenovo M70T)</v>
      </c>
      <c r="D897" s="164" t="str">
        <f ca="1">IFERROR(__xludf.DUMMYFUNCTION("""COMPUTED_VALUE"""),"₱ 75,468.00")</f>
        <v>₱ 75,468.00</v>
      </c>
      <c r="E897" s="164" t="str">
        <f ca="1">IFERROR(__xludf.DUMMYFUNCTION("""COMPUTED_VALUE"""),"₱ -")</f>
        <v>₱ -</v>
      </c>
      <c r="F897" s="164" t="str">
        <f ca="1">IFERROR(__xludf.DUMMYFUNCTION("""COMPUTED_VALUE"""),"2023-05-03-10201SP581-01")</f>
        <v>2023-05-03-10201SP581-01</v>
      </c>
      <c r="G897" s="164" t="str">
        <f ca="1">IFERROR(__xludf.DUMMYFUNCTION("""COMPUTED_VALUE"""),"1S11T5S16200GM041AVY")</f>
        <v>1S11T5S16200GM041AVY</v>
      </c>
      <c r="H897" s="164" t="str">
        <f ca="1">IFERROR(__xludf.DUMMYFUNCTION("""COMPUTED_VALUE"""),"MICHAEL JOHN S. GILLIES")</f>
        <v>MICHAEL JOHN S. GILLIES</v>
      </c>
      <c r="I897" s="164" t="str">
        <f ca="1">IFERROR(__xludf.DUMMYFUNCTION("""COMPUTED_VALUE"""),"ESS Coordinator")</f>
        <v>ESS Coordinator</v>
      </c>
      <c r="J897" s="164" t="str">
        <f ca="1">IFERROR(__xludf.DUMMYFUNCTION("""COMPUTED_VALUE"""),"2023-04-35 SPLIT")</f>
        <v>2023-04-35 SPLIT</v>
      </c>
      <c r="K897" s="164" t="str">
        <f ca="1">IFERROR(__xludf.DUMMYFUNCTION("""COMPUTED_VALUE"""),"MICHAEL JOHN S. GILLIES")</f>
        <v>MICHAEL JOHN S. GILLIES</v>
      </c>
      <c r="L897" s="164"/>
      <c r="M897" s="164" t="str">
        <f ca="1">IFERROR(__xludf.DUMMYFUNCTION("""COMPUTED_VALUE"""),"SERVICEABLE")</f>
        <v>SERVICEABLE</v>
      </c>
      <c r="N897" s="164"/>
    </row>
    <row r="898" spans="1:14" ht="13.2" hidden="1">
      <c r="A898" s="164" t="str">
        <f ca="1">IFERROR(__xludf.DUMMYFUNCTION("""COMPUTED_VALUE"""),"CAR")</f>
        <v>CAR</v>
      </c>
      <c r="B898" s="164" t="str">
        <f ca="1">IFERROR(__xludf.DUMMYFUNCTION("""COMPUTED_VALUE"""),"Kalinga")</f>
        <v>Kalinga</v>
      </c>
      <c r="C898" s="164" t="str">
        <f ca="1">IFERROR(__xludf.DUMMYFUNCTION("""COMPUTED_VALUE"""),"Desktop Computer – (Lenovo M70T)")</f>
        <v>Desktop Computer – (Lenovo M70T)</v>
      </c>
      <c r="D898" s="164" t="str">
        <f ca="1">IFERROR(__xludf.DUMMYFUNCTION("""COMPUTED_VALUE"""),"₱ 75,468.00")</f>
        <v>₱ 75,468.00</v>
      </c>
      <c r="E898" s="164" t="str">
        <f ca="1">IFERROR(__xludf.DUMMYFUNCTION("""COMPUTED_VALUE"""),"₱ -")</f>
        <v>₱ -</v>
      </c>
      <c r="F898" s="164" t="str">
        <f ca="1">IFERROR(__xludf.DUMMYFUNCTION("""COMPUTED_VALUE"""),"2023-05-03-10201SP582-01")</f>
        <v>2023-05-03-10201SP582-01</v>
      </c>
      <c r="G898" s="164" t="str">
        <f ca="1">IFERROR(__xludf.DUMMYFUNCTION("""COMPUTED_VALUE"""),"1S11T5S16200GM041AW0")</f>
        <v>1S11T5S16200GM041AW0</v>
      </c>
      <c r="H898" s="164" t="str">
        <f ca="1">IFERROR(__xludf.DUMMYFUNCTION("""COMPUTED_VALUE"""),"ROSALINA E. BAYAONA")</f>
        <v>ROSALINA E. BAYAONA</v>
      </c>
      <c r="I898" s="164" t="str">
        <f ca="1">IFERROR(__xludf.DUMMYFUNCTION("""COMPUTED_VALUE"""),"Procurement Coordinator")</f>
        <v>Procurement Coordinator</v>
      </c>
      <c r="J898" s="164" t="str">
        <f ca="1">IFERROR(__xludf.DUMMYFUNCTION("""COMPUTED_VALUE"""),"2023-04-35 SPLIT")</f>
        <v>2023-04-35 SPLIT</v>
      </c>
      <c r="K898" s="164" t="str">
        <f ca="1">IFERROR(__xludf.DUMMYFUNCTION("""COMPUTED_VALUE"""),"ROSALINA E. BAYAONA")</f>
        <v>ROSALINA E. BAYAONA</v>
      </c>
      <c r="L898" s="164"/>
      <c r="M898" s="164" t="str">
        <f ca="1">IFERROR(__xludf.DUMMYFUNCTION("""COMPUTED_VALUE"""),"SERVICEABLE")</f>
        <v>SERVICEABLE</v>
      </c>
      <c r="N898" s="164"/>
    </row>
    <row r="899" spans="1:14" ht="13.2" hidden="1">
      <c r="A899" s="164" t="str">
        <f ca="1">IFERROR(__xludf.DUMMYFUNCTION("""COMPUTED_VALUE"""),"CAR")</f>
        <v>CAR</v>
      </c>
      <c r="B899" s="164" t="str">
        <f ca="1">IFERROR(__xludf.DUMMYFUNCTION("""COMPUTED_VALUE"""),"Kalinga")</f>
        <v>Kalinga</v>
      </c>
      <c r="C899" s="164" t="str">
        <f ca="1">IFERROR(__xludf.DUMMYFUNCTION("""COMPUTED_VALUE"""),"Desktop Computer – (Lenovo M70T)")</f>
        <v>Desktop Computer – (Lenovo M70T)</v>
      </c>
      <c r="D899" s="164" t="str">
        <f ca="1">IFERROR(__xludf.DUMMYFUNCTION("""COMPUTED_VALUE"""),"₱ 75,468.00")</f>
        <v>₱ 75,468.00</v>
      </c>
      <c r="E899" s="164" t="str">
        <f ca="1">IFERROR(__xludf.DUMMYFUNCTION("""COMPUTED_VALUE"""),"₱ -")</f>
        <v>₱ -</v>
      </c>
      <c r="F899" s="164" t="str">
        <f ca="1">IFERROR(__xludf.DUMMYFUNCTION("""COMPUTED_VALUE"""),"2023-05-03-10201SP583-01")</f>
        <v>2023-05-03-10201SP583-01</v>
      </c>
      <c r="G899" s="164" t="str">
        <f ca="1">IFERROR(__xludf.DUMMYFUNCTION("""COMPUTED_VALUE"""),"1S11T5S16200GM041AYV")</f>
        <v>1S11T5S16200GM041AYV</v>
      </c>
      <c r="H899" s="164" t="str">
        <f ca="1">IFERROR(__xludf.DUMMYFUNCTION("""COMPUTED_VALUE"""),"RODELIO S. COSIDON")</f>
        <v>RODELIO S. COSIDON</v>
      </c>
      <c r="I899" s="164" t="str">
        <f ca="1">IFERROR(__xludf.DUMMYFUNCTION("""COMPUTED_VALUE"""),"AR to LRA Coordinator")</f>
        <v>AR to LRA Coordinator</v>
      </c>
      <c r="J899" s="164" t="str">
        <f ca="1">IFERROR(__xludf.DUMMYFUNCTION("""COMPUTED_VALUE"""),"2023-04-35 SPLIT")</f>
        <v>2023-04-35 SPLIT</v>
      </c>
      <c r="K899" s="164" t="str">
        <f ca="1">IFERROR(__xludf.DUMMYFUNCTION("""COMPUTED_VALUE"""),"RODELIO S. COSIDON")</f>
        <v>RODELIO S. COSIDON</v>
      </c>
      <c r="L899" s="164"/>
      <c r="M899" s="164" t="str">
        <f ca="1">IFERROR(__xludf.DUMMYFUNCTION("""COMPUTED_VALUE"""),"SERVICEABLE")</f>
        <v>SERVICEABLE</v>
      </c>
      <c r="N899" s="164"/>
    </row>
    <row r="900" spans="1:14" ht="13.2" hidden="1">
      <c r="A900" s="164" t="str">
        <f ca="1">IFERROR(__xludf.DUMMYFUNCTION("""COMPUTED_VALUE"""),"CAR")</f>
        <v>CAR</v>
      </c>
      <c r="B900" s="164" t="str">
        <f ca="1">IFERROR(__xludf.DUMMYFUNCTION("""COMPUTED_VALUE"""),"Kalinga")</f>
        <v>Kalinga</v>
      </c>
      <c r="C900" s="164" t="str">
        <f ca="1">IFERROR(__xludf.DUMMYFUNCTION("""COMPUTED_VALUE"""),"Desktop Computer – (Lenovo M70T)")</f>
        <v>Desktop Computer – (Lenovo M70T)</v>
      </c>
      <c r="D900" s="164" t="str">
        <f ca="1">IFERROR(__xludf.DUMMYFUNCTION("""COMPUTED_VALUE"""),"₱ 75,468.00")</f>
        <v>₱ 75,468.00</v>
      </c>
      <c r="E900" s="164" t="str">
        <f ca="1">IFERROR(__xludf.DUMMYFUNCTION("""COMPUTED_VALUE"""),"₱ -")</f>
        <v>₱ -</v>
      </c>
      <c r="F900" s="164" t="str">
        <f ca="1">IFERROR(__xludf.DUMMYFUNCTION("""COMPUTED_VALUE"""),"2023-05-03-10201SP584-01")</f>
        <v>2023-05-03-10201SP584-01</v>
      </c>
      <c r="G900" s="164" t="str">
        <f ca="1">IFERROR(__xludf.DUMMYFUNCTION("""COMPUTED_VALUE"""),"1S11T5S16200GM041B4L")</f>
        <v>1S11T5S16200GM041B4L</v>
      </c>
      <c r="H900" s="164" t="str">
        <f ca="1">IFERROR(__xludf.DUMMYFUNCTION("""COMPUTED_VALUE"""),"JERRY B. ANGNGALAO")</f>
        <v>JERRY B. ANGNGALAO</v>
      </c>
      <c r="I900" s="164" t="str">
        <f ca="1">IFERROR(__xludf.DUMMYFUNCTION("""COMPUTED_VALUE"""),"ESS Support Staff")</f>
        <v>ESS Support Staff</v>
      </c>
      <c r="J900" s="164" t="str">
        <f ca="1">IFERROR(__xludf.DUMMYFUNCTION("""COMPUTED_VALUE"""),"2023-04-35 SPLIT")</f>
        <v>2023-04-35 SPLIT</v>
      </c>
      <c r="K900" s="164" t="str">
        <f ca="1">IFERROR(__xludf.DUMMYFUNCTION("""COMPUTED_VALUE"""),"JERRY B. ANGNGALAO")</f>
        <v>JERRY B. ANGNGALAO</v>
      </c>
      <c r="L900" s="164"/>
      <c r="M900" s="164" t="str">
        <f ca="1">IFERROR(__xludf.DUMMYFUNCTION("""COMPUTED_VALUE"""),"SERVICEABLE")</f>
        <v>SERVICEABLE</v>
      </c>
      <c r="N900" s="164"/>
    </row>
    <row r="901" spans="1:14" ht="13.2" hidden="1">
      <c r="A901" s="164" t="str">
        <f ca="1">IFERROR(__xludf.DUMMYFUNCTION("""COMPUTED_VALUE"""),"CAR")</f>
        <v>CAR</v>
      </c>
      <c r="B901" s="164" t="str">
        <f ca="1">IFERROR(__xludf.DUMMYFUNCTION("""COMPUTED_VALUE"""),"Kalinga")</f>
        <v>Kalinga</v>
      </c>
      <c r="C901" s="164" t="str">
        <f ca="1">IFERROR(__xludf.DUMMYFUNCTION("""COMPUTED_VALUE"""),"Desktop Computer – (HP Pro SFF 280G9)")</f>
        <v>Desktop Computer – (HP Pro SFF 280G9)</v>
      </c>
      <c r="D901" s="164" t="str">
        <f ca="1">IFERROR(__xludf.DUMMYFUNCTION("""COMPUTED_VALUE"""),"₱ 78,898.00")</f>
        <v>₱ 78,898.00</v>
      </c>
      <c r="E901" s="164" t="str">
        <f ca="1">IFERROR(__xludf.DUMMYFUNCTION("""COMPUTED_VALUE"""),"₱ -")</f>
        <v>₱ -</v>
      </c>
      <c r="F901" s="164" t="str">
        <f ca="1">IFERROR(__xludf.DUMMYFUNCTION("""COMPUTED_VALUE"""),"2023-05-03-10201SP363-01")</f>
        <v>2023-05-03-10201SP363-01</v>
      </c>
      <c r="G901" s="164" t="str">
        <f ca="1">IFERROR(__xludf.DUMMYFUNCTION("""COMPUTED_VALUE"""),"4CE301DH3R")</f>
        <v>4CE301DH3R</v>
      </c>
      <c r="H901" s="164" t="str">
        <f ca="1">IFERROR(__xludf.DUMMYFUNCTION("""COMPUTED_VALUE"""),"REYNALDO S. MANONGYAO")</f>
        <v>REYNALDO S. MANONGYAO</v>
      </c>
      <c r="I901" s="164" t="str">
        <f ca="1">IFERROR(__xludf.DUMMYFUNCTION("""COMPUTED_VALUE"""),"Parcelization Component and Field Validation Team Coordinator")</f>
        <v>Parcelization Component and Field Validation Team Coordinator</v>
      </c>
      <c r="J901" s="164" t="str">
        <f ca="1">IFERROR(__xludf.DUMMYFUNCTION("""COMPUTED_VALUE"""),"2023-08-67 SPLIT")</f>
        <v>2023-08-67 SPLIT</v>
      </c>
      <c r="K901" s="164" t="str">
        <f ca="1">IFERROR(__xludf.DUMMYFUNCTION("""COMPUTED_VALUE"""),"REYNALDO S. MANONGYAO")</f>
        <v>REYNALDO S. MANONGYAO</v>
      </c>
      <c r="L901" s="164"/>
      <c r="M901" s="164" t="str">
        <f ca="1">IFERROR(__xludf.DUMMYFUNCTION("""COMPUTED_VALUE"""),"SERVICEABLE")</f>
        <v>SERVICEABLE</v>
      </c>
      <c r="N901" s="164"/>
    </row>
    <row r="902" spans="1:14" ht="13.2" hidden="1">
      <c r="A902" s="164" t="str">
        <f ca="1">IFERROR(__xludf.DUMMYFUNCTION("""COMPUTED_VALUE"""),"CAR")</f>
        <v>CAR</v>
      </c>
      <c r="B902" s="164" t="str">
        <f ca="1">IFERROR(__xludf.DUMMYFUNCTION("""COMPUTED_VALUE"""),"Kalinga")</f>
        <v>Kalinga</v>
      </c>
      <c r="C902" s="164" t="str">
        <f ca="1">IFERROR(__xludf.DUMMYFUNCTION("""COMPUTED_VALUE"""),"Desktop Computer – (HP Pro SFF 280G9)")</f>
        <v>Desktop Computer – (HP Pro SFF 280G9)</v>
      </c>
      <c r="D902" s="164" t="str">
        <f ca="1">IFERROR(__xludf.DUMMYFUNCTION("""COMPUTED_VALUE"""),"₱ 78,898.00")</f>
        <v>₱ 78,898.00</v>
      </c>
      <c r="E902" s="164" t="str">
        <f ca="1">IFERROR(__xludf.DUMMYFUNCTION("""COMPUTED_VALUE"""),"₱ -")</f>
        <v>₱ -</v>
      </c>
      <c r="F902" s="164" t="str">
        <f ca="1">IFERROR(__xludf.DUMMYFUNCTION("""COMPUTED_VALUE"""),"2023-05-03-10201SP364-01")</f>
        <v>2023-05-03-10201SP364-01</v>
      </c>
      <c r="G902" s="164" t="str">
        <f ca="1">IFERROR(__xludf.DUMMYFUNCTION("""COMPUTED_VALUE"""),"4CE301DH7D")</f>
        <v>4CE301DH7D</v>
      </c>
      <c r="H902" s="164" t="str">
        <f ca="1">IFERROR(__xludf.DUMMYFUNCTION("""COMPUTED_VALUE"""),"REYNALDO S. MANONGYAO")</f>
        <v>REYNALDO S. MANONGYAO</v>
      </c>
      <c r="I902" s="164" t="str">
        <f ca="1">IFERROR(__xludf.DUMMYFUNCTION("""COMPUTED_VALUE"""),"Parcelization Component and Field Validation Team Coordinator")</f>
        <v>Parcelization Component and Field Validation Team Coordinator</v>
      </c>
      <c r="J902" s="164" t="str">
        <f ca="1">IFERROR(__xludf.DUMMYFUNCTION("""COMPUTED_VALUE"""),"2023-08-67 SPLIT")</f>
        <v>2023-08-67 SPLIT</v>
      </c>
      <c r="K902" s="164" t="str">
        <f ca="1">IFERROR(__xludf.DUMMYFUNCTION("""COMPUTED_VALUE"""),"REYNALDO S. MANONGYAO")</f>
        <v>REYNALDO S. MANONGYAO</v>
      </c>
      <c r="L902" s="164"/>
      <c r="M902" s="164" t="str">
        <f ca="1">IFERROR(__xludf.DUMMYFUNCTION("""COMPUTED_VALUE"""),"SERVICEABLE")</f>
        <v>SERVICEABLE</v>
      </c>
      <c r="N902" s="164"/>
    </row>
    <row r="903" spans="1:14" ht="13.2" hidden="1">
      <c r="A903" s="164" t="str">
        <f ca="1">IFERROR(__xludf.DUMMYFUNCTION("""COMPUTED_VALUE"""),"CAR")</f>
        <v>CAR</v>
      </c>
      <c r="B903" s="164" t="str">
        <f ca="1">IFERROR(__xludf.DUMMYFUNCTION("""COMPUTED_VALUE"""),"Kalinga")</f>
        <v>Kalinga</v>
      </c>
      <c r="C903" s="164" t="str">
        <f ca="1">IFERROR(__xludf.DUMMYFUNCTION("""COMPUTED_VALUE"""),"Desktop Computer – (HP Pro SFF 280G9)")</f>
        <v>Desktop Computer – (HP Pro SFF 280G9)</v>
      </c>
      <c r="D903" s="164" t="str">
        <f ca="1">IFERROR(__xludf.DUMMYFUNCTION("""COMPUTED_VALUE"""),"₱ 78,898.00")</f>
        <v>₱ 78,898.00</v>
      </c>
      <c r="E903" s="164" t="str">
        <f ca="1">IFERROR(__xludf.DUMMYFUNCTION("""COMPUTED_VALUE"""),"₱ -")</f>
        <v>₱ -</v>
      </c>
      <c r="F903" s="164" t="str">
        <f ca="1">IFERROR(__xludf.DUMMYFUNCTION("""COMPUTED_VALUE"""),"2023-05-03-10201SP365-01")</f>
        <v>2023-05-03-10201SP365-01</v>
      </c>
      <c r="G903" s="164" t="str">
        <f ca="1">IFERROR(__xludf.DUMMYFUNCTION("""COMPUTED_VALUE"""),"4CE301DH8H")</f>
        <v>4CE301DH8H</v>
      </c>
      <c r="H903" s="164" t="str">
        <f ca="1">IFERROR(__xludf.DUMMYFUNCTION("""COMPUTED_VALUE"""),"REYNALDO S. MANONGYAO")</f>
        <v>REYNALDO S. MANONGYAO</v>
      </c>
      <c r="I903" s="164" t="str">
        <f ca="1">IFERROR(__xludf.DUMMYFUNCTION("""COMPUTED_VALUE"""),"Parcelization Component and Field Validation Team Coordinator")</f>
        <v>Parcelization Component and Field Validation Team Coordinator</v>
      </c>
      <c r="J903" s="164" t="str">
        <f ca="1">IFERROR(__xludf.DUMMYFUNCTION("""COMPUTED_VALUE"""),"2023-08-67 SPLIT")</f>
        <v>2023-08-67 SPLIT</v>
      </c>
      <c r="K903" s="164" t="str">
        <f ca="1">IFERROR(__xludf.DUMMYFUNCTION("""COMPUTED_VALUE"""),"REYNALDO S. MANONGYAO")</f>
        <v>REYNALDO S. MANONGYAO</v>
      </c>
      <c r="L903" s="164"/>
      <c r="M903" s="164" t="str">
        <f ca="1">IFERROR(__xludf.DUMMYFUNCTION("""COMPUTED_VALUE"""),"SERVICEABLE")</f>
        <v>SERVICEABLE</v>
      </c>
      <c r="N903" s="164"/>
    </row>
    <row r="904" spans="1:14" ht="13.2" hidden="1">
      <c r="A904" s="164" t="str">
        <f ca="1">IFERROR(__xludf.DUMMYFUNCTION("""COMPUTED_VALUE"""),"CAR")</f>
        <v>CAR</v>
      </c>
      <c r="B904" s="164" t="str">
        <f ca="1">IFERROR(__xludf.DUMMYFUNCTION("""COMPUTED_VALUE"""),"Kalinga")</f>
        <v>Kalinga</v>
      </c>
      <c r="C904" s="164" t="str">
        <f ca="1">IFERROR(__xludf.DUMMYFUNCTION("""COMPUTED_VALUE"""),"Laptop – (ACER EXTENSA EX215-55G i7)")</f>
        <v>Laptop – (ACER EXTENSA EX215-55G i7)</v>
      </c>
      <c r="D904" s="164" t="str">
        <f ca="1">IFERROR(__xludf.DUMMYFUNCTION("""COMPUTED_VALUE"""),"₱ 59,500.00")</f>
        <v>₱ 59,500.00</v>
      </c>
      <c r="E904" s="164" t="str">
        <f ca="1">IFERROR(__xludf.DUMMYFUNCTION("""COMPUTED_VALUE"""),"₱ -")</f>
        <v>₱ -</v>
      </c>
      <c r="F904" s="164" t="str">
        <f ca="1">IFERROR(__xludf.DUMMYFUNCTION("""COMPUTED_VALUE"""),"2023-05-03-10202SP326-01")</f>
        <v>2023-05-03-10202SP326-01</v>
      </c>
      <c r="G904" s="164" t="str">
        <f ca="1">IFERROR(__xludf.DUMMYFUNCTION("""COMPUTED_VALUE"""),"NXEGZSP00330801CD03400")</f>
        <v>NXEGZSP00330801CD03400</v>
      </c>
      <c r="H904" s="164" t="str">
        <f ca="1">IFERROR(__xludf.DUMMYFUNCTION("""COMPUTED_VALUE"""),"REYNALDO S. MANONGYAO")</f>
        <v>REYNALDO S. MANONGYAO</v>
      </c>
      <c r="I904" s="164" t="str">
        <f ca="1">IFERROR(__xludf.DUMMYFUNCTION("""COMPUTED_VALUE"""),"Parcelization Component and Field Validation Team Coordinator")</f>
        <v>Parcelization Component and Field Validation Team Coordinator</v>
      </c>
      <c r="J904" s="164" t="str">
        <f ca="1">IFERROR(__xludf.DUMMYFUNCTION("""COMPUTED_VALUE"""),"2023-08-68 SPLIT")</f>
        <v>2023-08-68 SPLIT</v>
      </c>
      <c r="K904" s="164" t="str">
        <f ca="1">IFERROR(__xludf.DUMMYFUNCTION("""COMPUTED_VALUE"""),"REYNALDO S. MANONGYAO")</f>
        <v>REYNALDO S. MANONGYAO</v>
      </c>
      <c r="L904" s="164" t="str">
        <f ca="1">IFERROR(__xludf.DUMMYFUNCTION("""COMPUTED_VALUE"""),"DARPO")</f>
        <v>DARPO</v>
      </c>
      <c r="M904" s="164" t="str">
        <f ca="1">IFERROR(__xludf.DUMMYFUNCTION("""COMPUTED_VALUE"""),"SERVICEABLE")</f>
        <v>SERVICEABLE</v>
      </c>
      <c r="N904" s="164"/>
    </row>
    <row r="905" spans="1:14" ht="13.2" hidden="1">
      <c r="A905" s="164" t="str">
        <f ca="1">IFERROR(__xludf.DUMMYFUNCTION("""COMPUTED_VALUE"""),"CAR")</f>
        <v>CAR</v>
      </c>
      <c r="B905" s="164" t="str">
        <f ca="1">IFERROR(__xludf.DUMMYFUNCTION("""COMPUTED_VALUE"""),"Kalinga")</f>
        <v>Kalinga</v>
      </c>
      <c r="C905" s="164" t="str">
        <f ca="1">IFERROR(__xludf.DUMMYFUNCTION("""COMPUTED_VALUE"""),"Laptop – (ACER EXTENSA EX215-55G i7)")</f>
        <v>Laptop – (ACER EXTENSA EX215-55G i7)</v>
      </c>
      <c r="D905" s="164" t="str">
        <f ca="1">IFERROR(__xludf.DUMMYFUNCTION("""COMPUTED_VALUE"""),"₱ 59,500.00")</f>
        <v>₱ 59,500.00</v>
      </c>
      <c r="E905" s="164" t="str">
        <f ca="1">IFERROR(__xludf.DUMMYFUNCTION("""COMPUTED_VALUE"""),"₱ -")</f>
        <v>₱ -</v>
      </c>
      <c r="F905" s="164" t="str">
        <f ca="1">IFERROR(__xludf.DUMMYFUNCTION("""COMPUTED_VALUE"""),"2023-05-03-10202SP327-01")</f>
        <v>2023-05-03-10202SP327-01</v>
      </c>
      <c r="G905" s="164" t="str">
        <f ca="1">IFERROR(__xludf.DUMMYFUNCTION("""COMPUTED_VALUE"""),"NXEGZSP00330801ED33400")</f>
        <v>NXEGZSP00330801ED33400</v>
      </c>
      <c r="H905" s="164" t="str">
        <f ca="1">IFERROR(__xludf.DUMMYFUNCTION("""COMPUTED_VALUE"""),"REYNALDO S. MANONGYAO")</f>
        <v>REYNALDO S. MANONGYAO</v>
      </c>
      <c r="I905" s="164" t="str">
        <f ca="1">IFERROR(__xludf.DUMMYFUNCTION("""COMPUTED_VALUE"""),"Parcelization Component and Field Validation Team Coordinator")</f>
        <v>Parcelization Component and Field Validation Team Coordinator</v>
      </c>
      <c r="J905" s="164" t="str">
        <f ca="1">IFERROR(__xludf.DUMMYFUNCTION("""COMPUTED_VALUE"""),"2023-08-68 SPLIT")</f>
        <v>2023-08-68 SPLIT</v>
      </c>
      <c r="K905" s="164" t="str">
        <f ca="1">IFERROR(__xludf.DUMMYFUNCTION("""COMPUTED_VALUE"""),"REYNALDO S. MANONGYAO")</f>
        <v>REYNALDO S. MANONGYAO</v>
      </c>
      <c r="L905" s="164" t="str">
        <f ca="1">IFERROR(__xludf.DUMMYFUNCTION("""COMPUTED_VALUE"""),"DARPO")</f>
        <v>DARPO</v>
      </c>
      <c r="M905" s="164" t="str">
        <f ca="1">IFERROR(__xludf.DUMMYFUNCTION("""COMPUTED_VALUE"""),"SERVICEABLE")</f>
        <v>SERVICEABLE</v>
      </c>
      <c r="N905" s="164"/>
    </row>
    <row r="906" spans="1:14" ht="13.2" hidden="1">
      <c r="A906" s="164" t="str">
        <f ca="1">IFERROR(__xludf.DUMMYFUNCTION("""COMPUTED_VALUE"""),"CAR")</f>
        <v>CAR</v>
      </c>
      <c r="B906" s="164" t="str">
        <f ca="1">IFERROR(__xludf.DUMMYFUNCTION("""COMPUTED_VALUE"""),"Kalinga")</f>
        <v>Kalinga</v>
      </c>
      <c r="C906" s="164" t="str">
        <f ca="1">IFERROR(__xludf.DUMMYFUNCTION("""COMPUTED_VALUE"""),"Photocopier Machine – Kyocera")</f>
        <v>Photocopier Machine – Kyocera</v>
      </c>
      <c r="D906" s="164" t="str">
        <f ca="1">IFERROR(__xludf.DUMMYFUNCTION("""COMPUTED_VALUE"""),"₱ 84,500.00")</f>
        <v>₱ 84,500.00</v>
      </c>
      <c r="E906" s="164" t="str">
        <f ca="1">IFERROR(__xludf.DUMMYFUNCTION("""COMPUTED_VALUE"""),"₱ -")</f>
        <v>₱ -</v>
      </c>
      <c r="F906" s="164" t="str">
        <f ca="1">IFERROR(__xludf.DUMMYFUNCTION("""COMPUTED_VALUE"""),"2022-05-02-10202SP08-01")</f>
        <v>2022-05-02-10202SP08-01</v>
      </c>
      <c r="G906" s="164" t="str">
        <f ca="1">IFERROR(__xludf.DUMMYFUNCTION("""COMPUTED_VALUE"""),"RNK2700205")</f>
        <v>RNK2700205</v>
      </c>
      <c r="H906" s="164" t="str">
        <f ca="1">IFERROR(__xludf.DUMMYFUNCTION("""COMPUTED_VALUE"""),"ROSALINA BAYAONA")</f>
        <v>ROSALINA BAYAONA</v>
      </c>
      <c r="I906" s="164" t="str">
        <f ca="1">IFERROR(__xludf.DUMMYFUNCTION("""COMPUTED_VALUE"""),"Procurement Coordinator")</f>
        <v>Procurement Coordinator</v>
      </c>
      <c r="J906" s="164" t="str">
        <f ca="1">IFERROR(__xludf.DUMMYFUNCTION("""COMPUTED_VALUE"""),"12/04/2022")</f>
        <v>12/04/2022</v>
      </c>
      <c r="K906" s="164" t="str">
        <f ca="1">IFERROR(__xludf.DUMMYFUNCTION("""COMPUTED_VALUE"""),"ROSALINA BAYAONA")</f>
        <v>ROSALINA BAYAONA</v>
      </c>
      <c r="L906" s="164"/>
      <c r="M906" s="164" t="str">
        <f ca="1">IFERROR(__xludf.DUMMYFUNCTION("""COMPUTED_VALUE"""),"SERVICEABLE")</f>
        <v>SERVICEABLE</v>
      </c>
      <c r="N906" s="164"/>
    </row>
    <row r="907" spans="1:14" ht="13.2" hidden="1">
      <c r="A907" s="164" t="str">
        <f ca="1">IFERROR(__xludf.DUMMYFUNCTION("""COMPUTED_VALUE"""),"CAR")</f>
        <v>CAR</v>
      </c>
      <c r="B907" s="164" t="str">
        <f ca="1">IFERROR(__xludf.DUMMYFUNCTION("""COMPUTED_VALUE"""),"Kalinga")</f>
        <v>Kalinga</v>
      </c>
      <c r="C907" s="164" t="str">
        <f ca="1">IFERROR(__xludf.DUMMYFUNCTION("""COMPUTED_VALUE"""),"Laptop – (ACER EXTENSA EX215-55G i7)")</f>
        <v>Laptop – (ACER EXTENSA EX215-55G i7)</v>
      </c>
      <c r="D907" s="164" t="str">
        <f ca="1">IFERROR(__xludf.DUMMYFUNCTION("""COMPUTED_VALUE"""),"₱ 59,500.00")</f>
        <v>₱ 59,500.00</v>
      </c>
      <c r="E907" s="164" t="str">
        <f ca="1">IFERROR(__xludf.DUMMYFUNCTION("""COMPUTED_VALUE"""),"₱ -")</f>
        <v>₱ -</v>
      </c>
      <c r="F907" s="164" t="str">
        <f ca="1">IFERROR(__xludf.DUMMYFUNCTION("""COMPUTED_VALUE"""),"2023-05-03-10202SP08-01")</f>
        <v>2023-05-03-10202SP08-01</v>
      </c>
      <c r="G907" s="164" t="str">
        <f ca="1">IFERROR(__xludf.DUMMYFUNCTION("""COMPUTED_VALUE"""),"NXEGZSP00330801C5F3400")</f>
        <v>NXEGZSP00330801C5F3400</v>
      </c>
      <c r="H907" s="164" t="str">
        <f ca="1">IFERROR(__xludf.DUMMYFUNCTION("""COMPUTED_VALUE"""),"GERARDO L. ALCANTARA")</f>
        <v>GERARDO L. ALCANTARA</v>
      </c>
      <c r="I907" s="164" t="str">
        <f ca="1">IFERROR(__xludf.DUMMYFUNCTION("""COMPUTED_VALUE"""),"PCAO/ Technical Staff - Admin &amp; Finance Officer")</f>
        <v>PCAO/ Technical Staff - Admin &amp; Finance Officer</v>
      </c>
      <c r="J907" s="164" t="str">
        <f ca="1">IFERROR(__xludf.DUMMYFUNCTION("""COMPUTED_VALUE"""),"PTR# 2024-01-005")</f>
        <v>PTR# 2024-01-005</v>
      </c>
      <c r="K907" s="164" t="str">
        <f ca="1">IFERROR(__xludf.DUMMYFUNCTION("""COMPUTED_VALUE"""),"JUDITH LONGID")</f>
        <v>JUDITH LONGID</v>
      </c>
      <c r="L907" s="164" t="str">
        <f ca="1">IFERROR(__xludf.DUMMYFUNCTION("""COMPUTED_VALUE"""),"DARPO")</f>
        <v>DARPO</v>
      </c>
      <c r="M907" s="164" t="str">
        <f ca="1">IFERROR(__xludf.DUMMYFUNCTION("""COMPUTED_VALUE"""),"SERVICEABLE")</f>
        <v>SERVICEABLE</v>
      </c>
      <c r="N907" s="164"/>
    </row>
    <row r="908" spans="1:14" ht="13.2" hidden="1">
      <c r="A908" s="164" t="str">
        <f ca="1">IFERROR(__xludf.DUMMYFUNCTION("""COMPUTED_VALUE"""),"CAR")</f>
        <v>CAR</v>
      </c>
      <c r="B908" s="164" t="str">
        <f ca="1">IFERROR(__xludf.DUMMYFUNCTION("""COMPUTED_VALUE"""),"Mt. Province")</f>
        <v>Mt. Province</v>
      </c>
      <c r="C908" s="164" t="str">
        <f ca="1">IFERROR(__xludf.DUMMYFUNCTION("""COMPUTED_VALUE"""),"Desktop Computer – (Lenovo M70T)")</f>
        <v>Desktop Computer – (Lenovo M70T)</v>
      </c>
      <c r="D908" s="164" t="str">
        <f ca="1">IFERROR(__xludf.DUMMYFUNCTION("""COMPUTED_VALUE"""),"₱ 75,468.00")</f>
        <v>₱ 75,468.00</v>
      </c>
      <c r="E908" s="164" t="str">
        <f ca="1">IFERROR(__xludf.DUMMYFUNCTION("""COMPUTED_VALUE"""),"₱ -")</f>
        <v>₱ -</v>
      </c>
      <c r="F908" s="164" t="str">
        <f ca="1">IFERROR(__xludf.DUMMYFUNCTION("""COMPUTED_VALUE"""),"2023-05-03-10201SP585-01")</f>
        <v>2023-05-03-10201SP585-01</v>
      </c>
      <c r="G908" s="164" t="str">
        <f ca="1">IFERROR(__xludf.DUMMYFUNCTION("""COMPUTED_VALUE"""),"1S11T5S16200GM041B4M")</f>
        <v>1S11T5S16200GM041B4M</v>
      </c>
      <c r="H908" s="164" t="str">
        <f ca="1">IFERROR(__xludf.DUMMYFUNCTION("""COMPUTED_VALUE"""),"RAYMUND SALIOAN")</f>
        <v>RAYMUND SALIOAN</v>
      </c>
      <c r="I908" s="164" t="str">
        <f ca="1">IFERROR(__xludf.DUMMYFUNCTION("""COMPUTED_VALUE"""),"excel")</f>
        <v>excel</v>
      </c>
      <c r="J908" s="164" t="str">
        <f ca="1">IFERROR(__xludf.DUMMYFUNCTION("""COMPUTED_VALUE"""),"2023-04-36 SPLIT")</f>
        <v>2023-04-36 SPLIT</v>
      </c>
      <c r="K908" s="164" t="str">
        <f ca="1">IFERROR(__xludf.DUMMYFUNCTION("""COMPUTED_VALUE"""),"Distributed to SPLIT Coordinators")</f>
        <v>Distributed to SPLIT Coordinators</v>
      </c>
      <c r="L908" s="164"/>
      <c r="M908" s="164" t="str">
        <f ca="1">IFERROR(__xludf.DUMMYFUNCTION("""COMPUTED_VALUE"""),"SERVICEABLE")</f>
        <v>SERVICEABLE</v>
      </c>
      <c r="N908" s="164"/>
    </row>
    <row r="909" spans="1:14" ht="13.2" hidden="1">
      <c r="A909" s="164" t="str">
        <f ca="1">IFERROR(__xludf.DUMMYFUNCTION("""COMPUTED_VALUE"""),"CAR")</f>
        <v>CAR</v>
      </c>
      <c r="B909" s="164" t="str">
        <f ca="1">IFERROR(__xludf.DUMMYFUNCTION("""COMPUTED_VALUE"""),"Mt. Province")</f>
        <v>Mt. Province</v>
      </c>
      <c r="C909" s="164" t="str">
        <f ca="1">IFERROR(__xludf.DUMMYFUNCTION("""COMPUTED_VALUE"""),"Desktop Computer – (Lenovo M70T)")</f>
        <v>Desktop Computer – (Lenovo M70T)</v>
      </c>
      <c r="D909" s="164" t="str">
        <f ca="1">IFERROR(__xludf.DUMMYFUNCTION("""COMPUTED_VALUE"""),"₱ 75,468.00")</f>
        <v>₱ 75,468.00</v>
      </c>
      <c r="E909" s="164" t="str">
        <f ca="1">IFERROR(__xludf.DUMMYFUNCTION("""COMPUTED_VALUE"""),"₱ -")</f>
        <v>₱ -</v>
      </c>
      <c r="F909" s="164" t="str">
        <f ca="1">IFERROR(__xludf.DUMMYFUNCTION("""COMPUTED_VALUE"""),"2023-05-03-10201SP586-01")</f>
        <v>2023-05-03-10201SP586-01</v>
      </c>
      <c r="G909" s="164" t="str">
        <f ca="1">IFERROR(__xludf.DUMMYFUNCTION("""COMPUTED_VALUE"""),"1S11T5S16200GM041B4V")</f>
        <v>1S11T5S16200GM041B4V</v>
      </c>
      <c r="H909" s="164" t="str">
        <f ca="1">IFERROR(__xludf.DUMMYFUNCTION("""COMPUTED_VALUE"""),"RAYMUND SALIOAN")</f>
        <v>RAYMUND SALIOAN</v>
      </c>
      <c r="I909" s="164" t="str">
        <f ca="1">IFERROR(__xludf.DUMMYFUNCTION("""COMPUTED_VALUE"""),"excel")</f>
        <v>excel</v>
      </c>
      <c r="J909" s="164" t="str">
        <f ca="1">IFERROR(__xludf.DUMMYFUNCTION("""COMPUTED_VALUE"""),"2023-04-36 SPLIT")</f>
        <v>2023-04-36 SPLIT</v>
      </c>
      <c r="K909" s="164" t="str">
        <f ca="1">IFERROR(__xludf.DUMMYFUNCTION("""COMPUTED_VALUE"""),"Distributed to SPLIT Coordinators")</f>
        <v>Distributed to SPLIT Coordinators</v>
      </c>
      <c r="L909" s="164"/>
      <c r="M909" s="164" t="str">
        <f ca="1">IFERROR(__xludf.DUMMYFUNCTION("""COMPUTED_VALUE"""),"SERVICEABLE")</f>
        <v>SERVICEABLE</v>
      </c>
      <c r="N909" s="164"/>
    </row>
    <row r="910" spans="1:14" ht="13.2" hidden="1">
      <c r="A910" s="164" t="str">
        <f ca="1">IFERROR(__xludf.DUMMYFUNCTION("""COMPUTED_VALUE"""),"CAR")</f>
        <v>CAR</v>
      </c>
      <c r="B910" s="164" t="str">
        <f ca="1">IFERROR(__xludf.DUMMYFUNCTION("""COMPUTED_VALUE"""),"Mt. Province")</f>
        <v>Mt. Province</v>
      </c>
      <c r="C910" s="164" t="str">
        <f ca="1">IFERROR(__xludf.DUMMYFUNCTION("""COMPUTED_VALUE"""),"Desktop Computer – (Lenovo M70T)")</f>
        <v>Desktop Computer – (Lenovo M70T)</v>
      </c>
      <c r="D910" s="164" t="str">
        <f ca="1">IFERROR(__xludf.DUMMYFUNCTION("""COMPUTED_VALUE"""),"₱ 75,468.00")</f>
        <v>₱ 75,468.00</v>
      </c>
      <c r="E910" s="164" t="str">
        <f ca="1">IFERROR(__xludf.DUMMYFUNCTION("""COMPUTED_VALUE"""),"₱ -")</f>
        <v>₱ -</v>
      </c>
      <c r="F910" s="164" t="str">
        <f ca="1">IFERROR(__xludf.DUMMYFUNCTION("""COMPUTED_VALUE"""),"2023-05-03-10201SP587-01")</f>
        <v>2023-05-03-10201SP587-01</v>
      </c>
      <c r="G910" s="164" t="str">
        <f ca="1">IFERROR(__xludf.DUMMYFUNCTION("""COMPUTED_VALUE"""),"1S11T5S16200GM041B4X")</f>
        <v>1S11T5S16200GM041B4X</v>
      </c>
      <c r="H910" s="164" t="str">
        <f ca="1">IFERROR(__xludf.DUMMYFUNCTION("""COMPUTED_VALUE"""),"RAYMUND SALIOAN")</f>
        <v>RAYMUND SALIOAN</v>
      </c>
      <c r="I910" s="164" t="str">
        <f ca="1">IFERROR(__xludf.DUMMYFUNCTION("""COMPUTED_VALUE"""),"excel")</f>
        <v>excel</v>
      </c>
      <c r="J910" s="164" t="str">
        <f ca="1">IFERROR(__xludf.DUMMYFUNCTION("""COMPUTED_VALUE"""),"2023-04-36 SPLIT")</f>
        <v>2023-04-36 SPLIT</v>
      </c>
      <c r="K910" s="164" t="str">
        <f ca="1">IFERROR(__xludf.DUMMYFUNCTION("""COMPUTED_VALUE"""),"Distributed to SPLIT Coordinators")</f>
        <v>Distributed to SPLIT Coordinators</v>
      </c>
      <c r="L910" s="164"/>
      <c r="M910" s="164" t="str">
        <f ca="1">IFERROR(__xludf.DUMMYFUNCTION("""COMPUTED_VALUE"""),"SERVICEABLE")</f>
        <v>SERVICEABLE</v>
      </c>
      <c r="N910" s="164"/>
    </row>
    <row r="911" spans="1:14" ht="13.2" hidden="1">
      <c r="A911" s="164" t="str">
        <f ca="1">IFERROR(__xludf.DUMMYFUNCTION("""COMPUTED_VALUE"""),"CAR")</f>
        <v>CAR</v>
      </c>
      <c r="B911" s="164" t="str">
        <f ca="1">IFERROR(__xludf.DUMMYFUNCTION("""COMPUTED_VALUE"""),"Mt. Province")</f>
        <v>Mt. Province</v>
      </c>
      <c r="C911" s="164" t="str">
        <f ca="1">IFERROR(__xludf.DUMMYFUNCTION("""COMPUTED_VALUE"""),"Desktop Computer – (Lenovo M70T)")</f>
        <v>Desktop Computer – (Lenovo M70T)</v>
      </c>
      <c r="D911" s="164" t="str">
        <f ca="1">IFERROR(__xludf.DUMMYFUNCTION("""COMPUTED_VALUE"""),"₱ 75,468.00")</f>
        <v>₱ 75,468.00</v>
      </c>
      <c r="E911" s="164" t="str">
        <f ca="1">IFERROR(__xludf.DUMMYFUNCTION("""COMPUTED_VALUE"""),"₱ -")</f>
        <v>₱ -</v>
      </c>
      <c r="F911" s="164" t="str">
        <f ca="1">IFERROR(__xludf.DUMMYFUNCTION("""COMPUTED_VALUE"""),"2023-05-03-10201SP588-01")</f>
        <v>2023-05-03-10201SP588-01</v>
      </c>
      <c r="G911" s="164" t="str">
        <f ca="1">IFERROR(__xludf.DUMMYFUNCTION("""COMPUTED_VALUE"""),"1S11T5S16200GM041B4Y")</f>
        <v>1S11T5S16200GM041B4Y</v>
      </c>
      <c r="H911" s="164" t="str">
        <f ca="1">IFERROR(__xludf.DUMMYFUNCTION("""COMPUTED_VALUE"""),"RAYMUND SALIOAN")</f>
        <v>RAYMUND SALIOAN</v>
      </c>
      <c r="I911" s="164" t="str">
        <f ca="1">IFERROR(__xludf.DUMMYFUNCTION("""COMPUTED_VALUE"""),"excel")</f>
        <v>excel</v>
      </c>
      <c r="J911" s="164" t="str">
        <f ca="1">IFERROR(__xludf.DUMMYFUNCTION("""COMPUTED_VALUE"""),"2023-04-36 SPLIT")</f>
        <v>2023-04-36 SPLIT</v>
      </c>
      <c r="K911" s="164" t="str">
        <f ca="1">IFERROR(__xludf.DUMMYFUNCTION("""COMPUTED_VALUE"""),"Distributed to SPLIT Coordinators")</f>
        <v>Distributed to SPLIT Coordinators</v>
      </c>
      <c r="L911" s="164"/>
      <c r="M911" s="164" t="str">
        <f ca="1">IFERROR(__xludf.DUMMYFUNCTION("""COMPUTED_VALUE"""),"SERVICEABLE")</f>
        <v>SERVICEABLE</v>
      </c>
      <c r="N911" s="164"/>
    </row>
    <row r="912" spans="1:14" ht="13.2" hidden="1">
      <c r="A912" s="164" t="str">
        <f ca="1">IFERROR(__xludf.DUMMYFUNCTION("""COMPUTED_VALUE"""),"CAR")</f>
        <v>CAR</v>
      </c>
      <c r="B912" s="164" t="str">
        <f ca="1">IFERROR(__xludf.DUMMYFUNCTION("""COMPUTED_VALUE"""),"Mt. Province")</f>
        <v>Mt. Province</v>
      </c>
      <c r="C912" s="164" t="str">
        <f ca="1">IFERROR(__xludf.DUMMYFUNCTION("""COMPUTED_VALUE"""),"Desktop Computer – (Lenovo M70T)")</f>
        <v>Desktop Computer – (Lenovo M70T)</v>
      </c>
      <c r="D912" s="164" t="str">
        <f ca="1">IFERROR(__xludf.DUMMYFUNCTION("""COMPUTED_VALUE"""),"₱ 75,468.00")</f>
        <v>₱ 75,468.00</v>
      </c>
      <c r="E912" s="164" t="str">
        <f ca="1">IFERROR(__xludf.DUMMYFUNCTION("""COMPUTED_VALUE"""),"₱ -")</f>
        <v>₱ -</v>
      </c>
      <c r="F912" s="164" t="str">
        <f ca="1">IFERROR(__xludf.DUMMYFUNCTION("""COMPUTED_VALUE"""),"2023-05-03-10201SP589-01")</f>
        <v>2023-05-03-10201SP589-01</v>
      </c>
      <c r="G912" s="164" t="str">
        <f ca="1">IFERROR(__xludf.DUMMYFUNCTION("""COMPUTED_VALUE"""),"1S11T5S16200GM041B51")</f>
        <v>1S11T5S16200GM041B51</v>
      </c>
      <c r="H912" s="164" t="str">
        <f ca="1">IFERROR(__xludf.DUMMYFUNCTION("""COMPUTED_VALUE"""),"RAYMUND SALIOAN")</f>
        <v>RAYMUND SALIOAN</v>
      </c>
      <c r="I912" s="164" t="str">
        <f ca="1">IFERROR(__xludf.DUMMYFUNCTION("""COMPUTED_VALUE"""),"excel")</f>
        <v>excel</v>
      </c>
      <c r="J912" s="164" t="str">
        <f ca="1">IFERROR(__xludf.DUMMYFUNCTION("""COMPUTED_VALUE"""),"2023-04-36 SPLIT")</f>
        <v>2023-04-36 SPLIT</v>
      </c>
      <c r="K912" s="164" t="str">
        <f ca="1">IFERROR(__xludf.DUMMYFUNCTION("""COMPUTED_VALUE"""),"Distributed to SPLIT Coordinators")</f>
        <v>Distributed to SPLIT Coordinators</v>
      </c>
      <c r="L912" s="164"/>
      <c r="M912" s="164" t="str">
        <f ca="1">IFERROR(__xludf.DUMMYFUNCTION("""COMPUTED_VALUE"""),"SERVICEABLE")</f>
        <v>SERVICEABLE</v>
      </c>
      <c r="N912" s="164"/>
    </row>
    <row r="913" spans="1:14" ht="13.2" hidden="1">
      <c r="A913" s="164" t="str">
        <f ca="1">IFERROR(__xludf.DUMMYFUNCTION("""COMPUTED_VALUE"""),"CAR")</f>
        <v>CAR</v>
      </c>
      <c r="B913" s="164" t="str">
        <f ca="1">IFERROR(__xludf.DUMMYFUNCTION("""COMPUTED_VALUE"""),"Mt. Province")</f>
        <v>Mt. Province</v>
      </c>
      <c r="C913" s="164" t="str">
        <f ca="1">IFERROR(__xludf.DUMMYFUNCTION("""COMPUTED_VALUE"""),"Desktop Computer – (Lenovo M70T)")</f>
        <v>Desktop Computer – (Lenovo M70T)</v>
      </c>
      <c r="D913" s="164" t="str">
        <f ca="1">IFERROR(__xludf.DUMMYFUNCTION("""COMPUTED_VALUE"""),"₱ 75,468.00")</f>
        <v>₱ 75,468.00</v>
      </c>
      <c r="E913" s="164" t="str">
        <f ca="1">IFERROR(__xludf.DUMMYFUNCTION("""COMPUTED_VALUE"""),"₱ -")</f>
        <v>₱ -</v>
      </c>
      <c r="F913" s="164" t="str">
        <f ca="1">IFERROR(__xludf.DUMMYFUNCTION("""COMPUTED_VALUE"""),"2023-05-03-10201SP590-01")</f>
        <v>2023-05-03-10201SP590-01</v>
      </c>
      <c r="G913" s="164" t="str">
        <f ca="1">IFERROR(__xludf.DUMMYFUNCTION("""COMPUTED_VALUE"""),"1S11T5S16200GM041B6A")</f>
        <v>1S11T5S16200GM041B6A</v>
      </c>
      <c r="H913" s="164" t="str">
        <f ca="1">IFERROR(__xludf.DUMMYFUNCTION("""COMPUTED_VALUE"""),"RAYMUND SALIOAN")</f>
        <v>RAYMUND SALIOAN</v>
      </c>
      <c r="I913" s="164" t="str">
        <f ca="1">IFERROR(__xludf.DUMMYFUNCTION("""COMPUTED_VALUE"""),"excel")</f>
        <v>excel</v>
      </c>
      <c r="J913" s="164" t="str">
        <f ca="1">IFERROR(__xludf.DUMMYFUNCTION("""COMPUTED_VALUE"""),"2023-04-36 SPLIT")</f>
        <v>2023-04-36 SPLIT</v>
      </c>
      <c r="K913" s="164" t="str">
        <f ca="1">IFERROR(__xludf.DUMMYFUNCTION("""COMPUTED_VALUE"""),"Distributed to SPLIT Coordinators")</f>
        <v>Distributed to SPLIT Coordinators</v>
      </c>
      <c r="L913" s="164"/>
      <c r="M913" s="164" t="str">
        <f ca="1">IFERROR(__xludf.DUMMYFUNCTION("""COMPUTED_VALUE"""),"SERVICEABLE")</f>
        <v>SERVICEABLE</v>
      </c>
      <c r="N913" s="164"/>
    </row>
    <row r="914" spans="1:14" ht="13.2" hidden="1">
      <c r="A914" s="164" t="str">
        <f ca="1">IFERROR(__xludf.DUMMYFUNCTION("""COMPUTED_VALUE"""),"CAR")</f>
        <v>CAR</v>
      </c>
      <c r="B914" s="164" t="str">
        <f ca="1">IFERROR(__xludf.DUMMYFUNCTION("""COMPUTED_VALUE"""),"Mt. Province")</f>
        <v>Mt. Province</v>
      </c>
      <c r="C914" s="164" t="str">
        <f ca="1">IFERROR(__xludf.DUMMYFUNCTION("""COMPUTED_VALUE"""),"Desktop Computer – (Lenovo M70T)")</f>
        <v>Desktop Computer – (Lenovo M70T)</v>
      </c>
      <c r="D914" s="164" t="str">
        <f ca="1">IFERROR(__xludf.DUMMYFUNCTION("""COMPUTED_VALUE"""),"₱ 75,468.00")</f>
        <v>₱ 75,468.00</v>
      </c>
      <c r="E914" s="164" t="str">
        <f ca="1">IFERROR(__xludf.DUMMYFUNCTION("""COMPUTED_VALUE"""),"₱ -")</f>
        <v>₱ -</v>
      </c>
      <c r="F914" s="164" t="str">
        <f ca="1">IFERROR(__xludf.DUMMYFUNCTION("""COMPUTED_VALUE"""),"2023-05-03-10201SP591-01")</f>
        <v>2023-05-03-10201SP591-01</v>
      </c>
      <c r="G914" s="164" t="str">
        <f ca="1">IFERROR(__xludf.DUMMYFUNCTION("""COMPUTED_VALUE"""),"1S11T5S16200GM041B6B")</f>
        <v>1S11T5S16200GM041B6B</v>
      </c>
      <c r="H914" s="164" t="str">
        <f ca="1">IFERROR(__xludf.DUMMYFUNCTION("""COMPUTED_VALUE"""),"RAYMUND SALIOAN")</f>
        <v>RAYMUND SALIOAN</v>
      </c>
      <c r="I914" s="164" t="str">
        <f ca="1">IFERROR(__xludf.DUMMYFUNCTION("""COMPUTED_VALUE"""),"excel")</f>
        <v>excel</v>
      </c>
      <c r="J914" s="164" t="str">
        <f ca="1">IFERROR(__xludf.DUMMYFUNCTION("""COMPUTED_VALUE"""),"2023-04-36 SPLIT")</f>
        <v>2023-04-36 SPLIT</v>
      </c>
      <c r="K914" s="164" t="str">
        <f ca="1">IFERROR(__xludf.DUMMYFUNCTION("""COMPUTED_VALUE"""),"Distributed to SPLIT Coordinators")</f>
        <v>Distributed to SPLIT Coordinators</v>
      </c>
      <c r="L914" s="164"/>
      <c r="M914" s="164" t="str">
        <f ca="1">IFERROR(__xludf.DUMMYFUNCTION("""COMPUTED_VALUE"""),"SERVICEABLE")</f>
        <v>SERVICEABLE</v>
      </c>
      <c r="N914" s="164"/>
    </row>
    <row r="915" spans="1:14" ht="13.2" hidden="1">
      <c r="A915" s="164" t="str">
        <f ca="1">IFERROR(__xludf.DUMMYFUNCTION("""COMPUTED_VALUE"""),"CAR")</f>
        <v>CAR</v>
      </c>
      <c r="B915" s="164" t="str">
        <f ca="1">IFERROR(__xludf.DUMMYFUNCTION("""COMPUTED_VALUE"""),"Mt. Province")</f>
        <v>Mt. Province</v>
      </c>
      <c r="C915" s="164" t="str">
        <f ca="1">IFERROR(__xludf.DUMMYFUNCTION("""COMPUTED_VALUE"""),"Desktop Computer – (Lenovo M70T)")</f>
        <v>Desktop Computer – (Lenovo M70T)</v>
      </c>
      <c r="D915" s="164" t="str">
        <f ca="1">IFERROR(__xludf.DUMMYFUNCTION("""COMPUTED_VALUE"""),"₱ 75,468.00")</f>
        <v>₱ 75,468.00</v>
      </c>
      <c r="E915" s="164" t="str">
        <f ca="1">IFERROR(__xludf.DUMMYFUNCTION("""COMPUTED_VALUE"""),"₱ -")</f>
        <v>₱ -</v>
      </c>
      <c r="F915" s="164" t="str">
        <f ca="1">IFERROR(__xludf.DUMMYFUNCTION("""COMPUTED_VALUE"""),"2023-05-03-10201SP592-01")</f>
        <v>2023-05-03-10201SP592-01</v>
      </c>
      <c r="G915" s="164" t="str">
        <f ca="1">IFERROR(__xludf.DUMMYFUNCTION("""COMPUTED_VALUE"""),"1S11T5S16200GM041B6D")</f>
        <v>1S11T5S16200GM041B6D</v>
      </c>
      <c r="H915" s="164" t="str">
        <f ca="1">IFERROR(__xludf.DUMMYFUNCTION("""COMPUTED_VALUE"""),"RAYMUND SALIOAN")</f>
        <v>RAYMUND SALIOAN</v>
      </c>
      <c r="I915" s="164" t="str">
        <f ca="1">IFERROR(__xludf.DUMMYFUNCTION("""COMPUTED_VALUE"""),"excel")</f>
        <v>excel</v>
      </c>
      <c r="J915" s="164" t="str">
        <f ca="1">IFERROR(__xludf.DUMMYFUNCTION("""COMPUTED_VALUE"""),"2023-04-36 SPLIT")</f>
        <v>2023-04-36 SPLIT</v>
      </c>
      <c r="K915" s="164" t="str">
        <f ca="1">IFERROR(__xludf.DUMMYFUNCTION("""COMPUTED_VALUE"""),"Distributed to SPLIT Coordinators")</f>
        <v>Distributed to SPLIT Coordinators</v>
      </c>
      <c r="L915" s="164"/>
      <c r="M915" s="164" t="str">
        <f ca="1">IFERROR(__xludf.DUMMYFUNCTION("""COMPUTED_VALUE"""),"SERVICEABLE")</f>
        <v>SERVICEABLE</v>
      </c>
      <c r="N915" s="164"/>
    </row>
    <row r="916" spans="1:14" ht="13.2" hidden="1">
      <c r="A916" s="164" t="str">
        <f ca="1">IFERROR(__xludf.DUMMYFUNCTION("""COMPUTED_VALUE"""),"CAR")</f>
        <v>CAR</v>
      </c>
      <c r="B916" s="164" t="str">
        <f ca="1">IFERROR(__xludf.DUMMYFUNCTION("""COMPUTED_VALUE"""),"Mt. Province")</f>
        <v>Mt. Province</v>
      </c>
      <c r="C916" s="164" t="str">
        <f ca="1">IFERROR(__xludf.DUMMYFUNCTION("""COMPUTED_VALUE"""),"Desktop Computer – (Lenovo M70T)")</f>
        <v>Desktop Computer – (Lenovo M70T)</v>
      </c>
      <c r="D916" s="164" t="str">
        <f ca="1">IFERROR(__xludf.DUMMYFUNCTION("""COMPUTED_VALUE"""),"₱ 75,468.00")</f>
        <v>₱ 75,468.00</v>
      </c>
      <c r="E916" s="164" t="str">
        <f ca="1">IFERROR(__xludf.DUMMYFUNCTION("""COMPUTED_VALUE"""),"₱ -")</f>
        <v>₱ -</v>
      </c>
      <c r="F916" s="164" t="str">
        <f ca="1">IFERROR(__xludf.DUMMYFUNCTION("""COMPUTED_VALUE"""),"2023-05-03-10201SP593-01")</f>
        <v>2023-05-03-10201SP593-01</v>
      </c>
      <c r="G916" s="164" t="str">
        <f ca="1">IFERROR(__xludf.DUMMYFUNCTION("""COMPUTED_VALUE"""),"1S11T5S16200GM041B6L")</f>
        <v>1S11T5S16200GM041B6L</v>
      </c>
      <c r="H916" s="164" t="str">
        <f ca="1">IFERROR(__xludf.DUMMYFUNCTION("""COMPUTED_VALUE"""),"RAYMUND SALIOAN")</f>
        <v>RAYMUND SALIOAN</v>
      </c>
      <c r="I916" s="164" t="str">
        <f ca="1">IFERROR(__xludf.DUMMYFUNCTION("""COMPUTED_VALUE"""),"excel")</f>
        <v>excel</v>
      </c>
      <c r="J916" s="164" t="str">
        <f ca="1">IFERROR(__xludf.DUMMYFUNCTION("""COMPUTED_VALUE"""),"2023-04-36 SPLIT")</f>
        <v>2023-04-36 SPLIT</v>
      </c>
      <c r="K916" s="164" t="str">
        <f ca="1">IFERROR(__xludf.DUMMYFUNCTION("""COMPUTED_VALUE"""),"Distributed to SPLIT Coordinators")</f>
        <v>Distributed to SPLIT Coordinators</v>
      </c>
      <c r="L916" s="164"/>
      <c r="M916" s="164" t="str">
        <f ca="1">IFERROR(__xludf.DUMMYFUNCTION("""COMPUTED_VALUE"""),"SERVICEABLE")</f>
        <v>SERVICEABLE</v>
      </c>
      <c r="N916" s="164"/>
    </row>
    <row r="917" spans="1:14" ht="13.2" hidden="1">
      <c r="A917" s="164" t="str">
        <f ca="1">IFERROR(__xludf.DUMMYFUNCTION("""COMPUTED_VALUE"""),"CAR")</f>
        <v>CAR</v>
      </c>
      <c r="B917" s="164" t="str">
        <f ca="1">IFERROR(__xludf.DUMMYFUNCTION("""COMPUTED_VALUE"""),"Mt. Province")</f>
        <v>Mt. Province</v>
      </c>
      <c r="C917" s="164" t="str">
        <f ca="1">IFERROR(__xludf.DUMMYFUNCTION("""COMPUTED_VALUE"""),"Desktop Computer – (Lenovo M70T)")</f>
        <v>Desktop Computer – (Lenovo M70T)</v>
      </c>
      <c r="D917" s="164" t="str">
        <f ca="1">IFERROR(__xludf.DUMMYFUNCTION("""COMPUTED_VALUE"""),"₱ 75,468.00")</f>
        <v>₱ 75,468.00</v>
      </c>
      <c r="E917" s="164" t="str">
        <f ca="1">IFERROR(__xludf.DUMMYFUNCTION("""COMPUTED_VALUE"""),"₱ -")</f>
        <v>₱ -</v>
      </c>
      <c r="F917" s="164" t="str">
        <f ca="1">IFERROR(__xludf.DUMMYFUNCTION("""COMPUTED_VALUE"""),"2023-05-03-10201SP594-01")</f>
        <v>2023-05-03-10201SP594-01</v>
      </c>
      <c r="G917" s="164" t="str">
        <f ca="1">IFERROR(__xludf.DUMMYFUNCTION("""COMPUTED_VALUE"""),"1S11T5S16200GM041B6M")</f>
        <v>1S11T5S16200GM041B6M</v>
      </c>
      <c r="H917" s="164" t="str">
        <f ca="1">IFERROR(__xludf.DUMMYFUNCTION("""COMPUTED_VALUE"""),"RAYMUND SALIOAN")</f>
        <v>RAYMUND SALIOAN</v>
      </c>
      <c r="I917" s="164" t="str">
        <f ca="1">IFERROR(__xludf.DUMMYFUNCTION("""COMPUTED_VALUE"""),"excel")</f>
        <v>excel</v>
      </c>
      <c r="J917" s="164" t="str">
        <f ca="1">IFERROR(__xludf.DUMMYFUNCTION("""COMPUTED_VALUE"""),"2023-04-36 SPLIT")</f>
        <v>2023-04-36 SPLIT</v>
      </c>
      <c r="K917" s="164" t="str">
        <f ca="1">IFERROR(__xludf.DUMMYFUNCTION("""COMPUTED_VALUE"""),"Distributed to SPLIT Coordinators")</f>
        <v>Distributed to SPLIT Coordinators</v>
      </c>
      <c r="L917" s="164"/>
      <c r="M917" s="164" t="str">
        <f ca="1">IFERROR(__xludf.DUMMYFUNCTION("""COMPUTED_VALUE"""),"SERVICEABLE")</f>
        <v>SERVICEABLE</v>
      </c>
      <c r="N917" s="164"/>
    </row>
    <row r="918" spans="1:14" ht="13.2" hidden="1">
      <c r="A918" s="164" t="str">
        <f ca="1">IFERROR(__xludf.DUMMYFUNCTION("""COMPUTED_VALUE"""),"CAR")</f>
        <v>CAR</v>
      </c>
      <c r="B918" s="164" t="str">
        <f ca="1">IFERROR(__xludf.DUMMYFUNCTION("""COMPUTED_VALUE"""),"Mt. Province")</f>
        <v>Mt. Province</v>
      </c>
      <c r="C918" s="164" t="str">
        <f ca="1">IFERROR(__xludf.DUMMYFUNCTION("""COMPUTED_VALUE"""),"Desktop Computer – (Lenovo M70T)")</f>
        <v>Desktop Computer – (Lenovo M70T)</v>
      </c>
      <c r="D918" s="164" t="str">
        <f ca="1">IFERROR(__xludf.DUMMYFUNCTION("""COMPUTED_VALUE"""),"₱ 75,468.00")</f>
        <v>₱ 75,468.00</v>
      </c>
      <c r="E918" s="164" t="str">
        <f ca="1">IFERROR(__xludf.DUMMYFUNCTION("""COMPUTED_VALUE"""),"₱ -")</f>
        <v>₱ -</v>
      </c>
      <c r="F918" s="164" t="str">
        <f ca="1">IFERROR(__xludf.DUMMYFUNCTION("""COMPUTED_VALUE"""),"2023-05-03-10201SP595-01")</f>
        <v>2023-05-03-10201SP595-01</v>
      </c>
      <c r="G918" s="164" t="str">
        <f ca="1">IFERROR(__xludf.DUMMYFUNCTION("""COMPUTED_VALUE"""),"1S11T5S16200GM041B6P")</f>
        <v>1S11T5S16200GM041B6P</v>
      </c>
      <c r="H918" s="164" t="str">
        <f ca="1">IFERROR(__xludf.DUMMYFUNCTION("""COMPUTED_VALUE"""),"RAYMUND SALIOAN")</f>
        <v>RAYMUND SALIOAN</v>
      </c>
      <c r="I918" s="164" t="str">
        <f ca="1">IFERROR(__xludf.DUMMYFUNCTION("""COMPUTED_VALUE"""),"excel")</f>
        <v>excel</v>
      </c>
      <c r="J918" s="164" t="str">
        <f ca="1">IFERROR(__xludf.DUMMYFUNCTION("""COMPUTED_VALUE"""),"2023-04-36 SPLIT")</f>
        <v>2023-04-36 SPLIT</v>
      </c>
      <c r="K918" s="164" t="str">
        <f ca="1">IFERROR(__xludf.DUMMYFUNCTION("""COMPUTED_VALUE"""),"Distributed to SPLIT Coordinators")</f>
        <v>Distributed to SPLIT Coordinators</v>
      </c>
      <c r="L918" s="164"/>
      <c r="M918" s="164" t="str">
        <f ca="1">IFERROR(__xludf.DUMMYFUNCTION("""COMPUTED_VALUE"""),"SERVICEABLE")</f>
        <v>SERVICEABLE</v>
      </c>
      <c r="N918" s="164"/>
    </row>
    <row r="919" spans="1:14" ht="13.2" hidden="1">
      <c r="A919" s="164" t="str">
        <f ca="1">IFERROR(__xludf.DUMMYFUNCTION("""COMPUTED_VALUE"""),"CAR")</f>
        <v>CAR</v>
      </c>
      <c r="B919" s="164" t="str">
        <f ca="1">IFERROR(__xludf.DUMMYFUNCTION("""COMPUTED_VALUE"""),"Mt. Province")</f>
        <v>Mt. Province</v>
      </c>
      <c r="C919" s="164" t="str">
        <f ca="1">IFERROR(__xludf.DUMMYFUNCTION("""COMPUTED_VALUE"""),"Desktop Computer – (Lenovo M70T)")</f>
        <v>Desktop Computer – (Lenovo M70T)</v>
      </c>
      <c r="D919" s="164" t="str">
        <f ca="1">IFERROR(__xludf.DUMMYFUNCTION("""COMPUTED_VALUE"""),"₱ 75,468.00")</f>
        <v>₱ 75,468.00</v>
      </c>
      <c r="E919" s="164" t="str">
        <f ca="1">IFERROR(__xludf.DUMMYFUNCTION("""COMPUTED_VALUE"""),"₱ -")</f>
        <v>₱ -</v>
      </c>
      <c r="F919" s="164" t="str">
        <f ca="1">IFERROR(__xludf.DUMMYFUNCTION("""COMPUTED_VALUE"""),"2023-05-03-10201SP596-01")</f>
        <v>2023-05-03-10201SP596-01</v>
      </c>
      <c r="G919" s="164" t="str">
        <f ca="1">IFERROR(__xludf.DUMMYFUNCTION("""COMPUTED_VALUE"""),"1S11T5S16200GM041B6Q")</f>
        <v>1S11T5S16200GM041B6Q</v>
      </c>
      <c r="H919" s="164" t="str">
        <f ca="1">IFERROR(__xludf.DUMMYFUNCTION("""COMPUTED_VALUE"""),"RAYMUND SALIOAN")</f>
        <v>RAYMUND SALIOAN</v>
      </c>
      <c r="I919" s="164" t="str">
        <f ca="1">IFERROR(__xludf.DUMMYFUNCTION("""COMPUTED_VALUE"""),"excel")</f>
        <v>excel</v>
      </c>
      <c r="J919" s="164" t="str">
        <f ca="1">IFERROR(__xludf.DUMMYFUNCTION("""COMPUTED_VALUE"""),"2023-04-36 SPLIT")</f>
        <v>2023-04-36 SPLIT</v>
      </c>
      <c r="K919" s="164" t="str">
        <f ca="1">IFERROR(__xludf.DUMMYFUNCTION("""COMPUTED_VALUE"""),"Distributed to SPLIT Coordinators")</f>
        <v>Distributed to SPLIT Coordinators</v>
      </c>
      <c r="L919" s="164"/>
      <c r="M919" s="164" t="str">
        <f ca="1">IFERROR(__xludf.DUMMYFUNCTION("""COMPUTED_VALUE"""),"SERVICEABLE")</f>
        <v>SERVICEABLE</v>
      </c>
      <c r="N919" s="164"/>
    </row>
    <row r="920" spans="1:14" ht="13.2" hidden="1">
      <c r="A920" s="164" t="str">
        <f ca="1">IFERROR(__xludf.DUMMYFUNCTION("""COMPUTED_VALUE"""),"CAR")</f>
        <v>CAR</v>
      </c>
      <c r="B920" s="164" t="str">
        <f ca="1">IFERROR(__xludf.DUMMYFUNCTION("""COMPUTED_VALUE"""),"Mt. Province")</f>
        <v>Mt. Province</v>
      </c>
      <c r="C920" s="164" t="str">
        <f ca="1">IFERROR(__xludf.DUMMYFUNCTION("""COMPUTED_VALUE"""),"Desktop Computer – (Lenovo M70T)")</f>
        <v>Desktop Computer – (Lenovo M70T)</v>
      </c>
      <c r="D920" s="164" t="str">
        <f ca="1">IFERROR(__xludf.DUMMYFUNCTION("""COMPUTED_VALUE"""),"₱ 75,468.00")</f>
        <v>₱ 75,468.00</v>
      </c>
      <c r="E920" s="164" t="str">
        <f ca="1">IFERROR(__xludf.DUMMYFUNCTION("""COMPUTED_VALUE"""),"₱ -")</f>
        <v>₱ -</v>
      </c>
      <c r="F920" s="164" t="str">
        <f ca="1">IFERROR(__xludf.DUMMYFUNCTION("""COMPUTED_VALUE"""),"2023-05-03-10201SP597-01")</f>
        <v>2023-05-03-10201SP597-01</v>
      </c>
      <c r="G920" s="164" t="str">
        <f ca="1">IFERROR(__xludf.DUMMYFUNCTION("""COMPUTED_VALUE"""),"1S11T5S16200GM041B6R")</f>
        <v>1S11T5S16200GM041B6R</v>
      </c>
      <c r="H920" s="164" t="str">
        <f ca="1">IFERROR(__xludf.DUMMYFUNCTION("""COMPUTED_VALUE"""),"RAYMUND SALIOAN")</f>
        <v>RAYMUND SALIOAN</v>
      </c>
      <c r="I920" s="164" t="str">
        <f ca="1">IFERROR(__xludf.DUMMYFUNCTION("""COMPUTED_VALUE"""),"excel")</f>
        <v>excel</v>
      </c>
      <c r="J920" s="164" t="str">
        <f ca="1">IFERROR(__xludf.DUMMYFUNCTION("""COMPUTED_VALUE"""),"2023-04-36 SPLIT")</f>
        <v>2023-04-36 SPLIT</v>
      </c>
      <c r="K920" s="164" t="str">
        <f ca="1">IFERROR(__xludf.DUMMYFUNCTION("""COMPUTED_VALUE"""),"Distributed to SPLIT Coordinators")</f>
        <v>Distributed to SPLIT Coordinators</v>
      </c>
      <c r="L920" s="164"/>
      <c r="M920" s="164" t="str">
        <f ca="1">IFERROR(__xludf.DUMMYFUNCTION("""COMPUTED_VALUE"""),"SERVICEABLE")</f>
        <v>SERVICEABLE</v>
      </c>
      <c r="N920" s="164"/>
    </row>
    <row r="921" spans="1:14" ht="13.2" hidden="1">
      <c r="A921" s="164" t="str">
        <f ca="1">IFERROR(__xludf.DUMMYFUNCTION("""COMPUTED_VALUE"""),"CAR")</f>
        <v>CAR</v>
      </c>
      <c r="B921" s="164" t="str">
        <f ca="1">IFERROR(__xludf.DUMMYFUNCTION("""COMPUTED_VALUE"""),"Mt. Province")</f>
        <v>Mt. Province</v>
      </c>
      <c r="C921" s="164" t="str">
        <f ca="1">IFERROR(__xludf.DUMMYFUNCTION("""COMPUTED_VALUE"""),"Desktop Computer – (Lenovo M70T)")</f>
        <v>Desktop Computer – (Lenovo M70T)</v>
      </c>
      <c r="D921" s="164" t="str">
        <f ca="1">IFERROR(__xludf.DUMMYFUNCTION("""COMPUTED_VALUE"""),"₱ 75,468.00")</f>
        <v>₱ 75,468.00</v>
      </c>
      <c r="E921" s="164" t="str">
        <f ca="1">IFERROR(__xludf.DUMMYFUNCTION("""COMPUTED_VALUE"""),"₱ -")</f>
        <v>₱ -</v>
      </c>
      <c r="F921" s="164" t="str">
        <f ca="1">IFERROR(__xludf.DUMMYFUNCTION("""COMPUTED_VALUE"""),"2023-05-03-10201SP598-01")</f>
        <v>2023-05-03-10201SP598-01</v>
      </c>
      <c r="G921" s="164" t="str">
        <f ca="1">IFERROR(__xludf.DUMMYFUNCTION("""COMPUTED_VALUE"""),"1S11T5S16200GM041B6S")</f>
        <v>1S11T5S16200GM041B6S</v>
      </c>
      <c r="H921" s="164" t="str">
        <f ca="1">IFERROR(__xludf.DUMMYFUNCTION("""COMPUTED_VALUE"""),"RAYMUND SALIOAN")</f>
        <v>RAYMUND SALIOAN</v>
      </c>
      <c r="I921" s="164" t="str">
        <f ca="1">IFERROR(__xludf.DUMMYFUNCTION("""COMPUTED_VALUE"""),"excel")</f>
        <v>excel</v>
      </c>
      <c r="J921" s="164" t="str">
        <f ca="1">IFERROR(__xludf.DUMMYFUNCTION("""COMPUTED_VALUE"""),"2023-04-36 SPLIT")</f>
        <v>2023-04-36 SPLIT</v>
      </c>
      <c r="K921" s="164" t="str">
        <f ca="1">IFERROR(__xludf.DUMMYFUNCTION("""COMPUTED_VALUE"""),"Distributed to SPLIT Coordinators")</f>
        <v>Distributed to SPLIT Coordinators</v>
      </c>
      <c r="L921" s="164"/>
      <c r="M921" s="164" t="str">
        <f ca="1">IFERROR(__xludf.DUMMYFUNCTION("""COMPUTED_VALUE"""),"SERVICEABLE")</f>
        <v>SERVICEABLE</v>
      </c>
      <c r="N921" s="164"/>
    </row>
    <row r="922" spans="1:14" ht="13.2" hidden="1">
      <c r="A922" s="164" t="str">
        <f ca="1">IFERROR(__xludf.DUMMYFUNCTION("""COMPUTED_VALUE"""),"CAR")</f>
        <v>CAR</v>
      </c>
      <c r="B922" s="164" t="str">
        <f ca="1">IFERROR(__xludf.DUMMYFUNCTION("""COMPUTED_VALUE"""),"Mt. Province")</f>
        <v>Mt. Province</v>
      </c>
      <c r="C922" s="164" t="str">
        <f ca="1">IFERROR(__xludf.DUMMYFUNCTION("""COMPUTED_VALUE"""),"Desktop Computer – (HP Pro SFF 280G9)")</f>
        <v>Desktop Computer – (HP Pro SFF 280G9)</v>
      </c>
      <c r="D922" s="164" t="str">
        <f ca="1">IFERROR(__xludf.DUMMYFUNCTION("""COMPUTED_VALUE"""),"₱ 78,898.00")</f>
        <v>₱ 78,898.00</v>
      </c>
      <c r="E922" s="164" t="str">
        <f ca="1">IFERROR(__xludf.DUMMYFUNCTION("""COMPUTED_VALUE"""),"₱ -")</f>
        <v>₱ -</v>
      </c>
      <c r="F922" s="164" t="str">
        <f ca="1">IFERROR(__xludf.DUMMYFUNCTION("""COMPUTED_VALUE"""),"2023-05-03-10201SP366-01")</f>
        <v>2023-05-03-10201SP366-01</v>
      </c>
      <c r="G922" s="164" t="str">
        <f ca="1">IFERROR(__xludf.DUMMYFUNCTION("""COMPUTED_VALUE"""),"4CE301DH5N")</f>
        <v>4CE301DH5N</v>
      </c>
      <c r="H922" s="164" t="str">
        <f ca="1">IFERROR(__xludf.DUMMYFUNCTION("""COMPUTED_VALUE"""),"RAYMUND SALIOAN")</f>
        <v>RAYMUND SALIOAN</v>
      </c>
      <c r="I922" s="164" t="str">
        <f ca="1">IFERROR(__xludf.DUMMYFUNCTION("""COMPUTED_VALUE"""),"PCAO/ Admin &amp; Finance Coordinator")</f>
        <v>PCAO/ Admin &amp; Finance Coordinator</v>
      </c>
      <c r="J922" s="164" t="str">
        <f ca="1">IFERROR(__xludf.DUMMYFUNCTION("""COMPUTED_VALUE"""),"2023-08-69 SPLIT")</f>
        <v>2023-08-69 SPLIT</v>
      </c>
      <c r="K922" s="164" t="str">
        <f ca="1">IFERROR(__xludf.DUMMYFUNCTION("""COMPUTED_VALUE"""),"RAYMUND SALIOAN")</f>
        <v>RAYMUND SALIOAN</v>
      </c>
      <c r="L922" s="164"/>
      <c r="M922" s="164" t="str">
        <f ca="1">IFERROR(__xludf.DUMMYFUNCTION("""COMPUTED_VALUE"""),"SERVICEABLE")</f>
        <v>SERVICEABLE</v>
      </c>
      <c r="N922" s="164"/>
    </row>
    <row r="923" spans="1:14" ht="13.2" hidden="1">
      <c r="A923" s="164" t="str">
        <f ca="1">IFERROR(__xludf.DUMMYFUNCTION("""COMPUTED_VALUE"""),"CAR")</f>
        <v>CAR</v>
      </c>
      <c r="B923" s="164" t="str">
        <f ca="1">IFERROR(__xludf.DUMMYFUNCTION("""COMPUTED_VALUE"""),"Mt. Province")</f>
        <v>Mt. Province</v>
      </c>
      <c r="C923" s="164" t="str">
        <f ca="1">IFERROR(__xludf.DUMMYFUNCTION("""COMPUTED_VALUE"""),"Desktop Computer – (HP Pro SFF 280G9)")</f>
        <v>Desktop Computer – (HP Pro SFF 280G9)</v>
      </c>
      <c r="D923" s="164" t="str">
        <f ca="1">IFERROR(__xludf.DUMMYFUNCTION("""COMPUTED_VALUE"""),"₱ 78,898.00")</f>
        <v>₱ 78,898.00</v>
      </c>
      <c r="E923" s="164" t="str">
        <f ca="1">IFERROR(__xludf.DUMMYFUNCTION("""COMPUTED_VALUE"""),"₱ -")</f>
        <v>₱ -</v>
      </c>
      <c r="F923" s="164" t="str">
        <f ca="1">IFERROR(__xludf.DUMMYFUNCTION("""COMPUTED_VALUE"""),"2023-05-03-10201SP367-01")</f>
        <v>2023-05-03-10201SP367-01</v>
      </c>
      <c r="G923" s="164" t="str">
        <f ca="1">IFERROR(__xludf.DUMMYFUNCTION("""COMPUTED_VALUE"""),"4CE301DH8S")</f>
        <v>4CE301DH8S</v>
      </c>
      <c r="H923" s="164" t="str">
        <f ca="1">IFERROR(__xludf.DUMMYFUNCTION("""COMPUTED_VALUE"""),"RAYMUND SALIOAN")</f>
        <v>RAYMUND SALIOAN</v>
      </c>
      <c r="I923" s="164" t="str">
        <f ca="1">IFERROR(__xludf.DUMMYFUNCTION("""COMPUTED_VALUE"""),"PCAO/ Admin &amp; Finance Coordinator")</f>
        <v>PCAO/ Admin &amp; Finance Coordinator</v>
      </c>
      <c r="J923" s="164" t="str">
        <f ca="1">IFERROR(__xludf.DUMMYFUNCTION("""COMPUTED_VALUE"""),"2023-08-69 SPLIT")</f>
        <v>2023-08-69 SPLIT</v>
      </c>
      <c r="K923" s="164" t="str">
        <f ca="1">IFERROR(__xludf.DUMMYFUNCTION("""COMPUTED_VALUE"""),"RAYMUND SALIOAN")</f>
        <v>RAYMUND SALIOAN</v>
      </c>
      <c r="L923" s="164"/>
      <c r="M923" s="164" t="str">
        <f ca="1">IFERROR(__xludf.DUMMYFUNCTION("""COMPUTED_VALUE"""),"SERVICEABLE")</f>
        <v>SERVICEABLE</v>
      </c>
      <c r="N923" s="164"/>
    </row>
    <row r="924" spans="1:14" ht="13.2" hidden="1">
      <c r="A924" s="164" t="str">
        <f ca="1">IFERROR(__xludf.DUMMYFUNCTION("""COMPUTED_VALUE"""),"CAR")</f>
        <v>CAR</v>
      </c>
      <c r="B924" s="164" t="str">
        <f ca="1">IFERROR(__xludf.DUMMYFUNCTION("""COMPUTED_VALUE"""),"Mt. Province")</f>
        <v>Mt. Province</v>
      </c>
      <c r="C924" s="164" t="str">
        <f ca="1">IFERROR(__xludf.DUMMYFUNCTION("""COMPUTED_VALUE"""),"Desktop Computer – (HP Pro SFF 280G9)")</f>
        <v>Desktop Computer – (HP Pro SFF 280G9)</v>
      </c>
      <c r="D924" s="164" t="str">
        <f ca="1">IFERROR(__xludf.DUMMYFUNCTION("""COMPUTED_VALUE"""),"₱ 78,898.00")</f>
        <v>₱ 78,898.00</v>
      </c>
      <c r="E924" s="164" t="str">
        <f ca="1">IFERROR(__xludf.DUMMYFUNCTION("""COMPUTED_VALUE"""),"₱ -")</f>
        <v>₱ -</v>
      </c>
      <c r="F924" s="164" t="str">
        <f ca="1">IFERROR(__xludf.DUMMYFUNCTION("""COMPUTED_VALUE"""),"2023-05-03-10201SP368-01")</f>
        <v>2023-05-03-10201SP368-01</v>
      </c>
      <c r="G924" s="164" t="str">
        <f ca="1">IFERROR(__xludf.DUMMYFUNCTION("""COMPUTED_VALUE"""),"4CE301DSH5F")</f>
        <v>4CE301DSH5F</v>
      </c>
      <c r="H924" s="164" t="str">
        <f ca="1">IFERROR(__xludf.DUMMYFUNCTION("""COMPUTED_VALUE"""),"RAYMUND SALIOAN")</f>
        <v>RAYMUND SALIOAN</v>
      </c>
      <c r="I924" s="164" t="str">
        <f ca="1">IFERROR(__xludf.DUMMYFUNCTION("""COMPUTED_VALUE"""),"PCAO/ Admin &amp; Finance Coordinator")</f>
        <v>PCAO/ Admin &amp; Finance Coordinator</v>
      </c>
      <c r="J924" s="164" t="str">
        <f ca="1">IFERROR(__xludf.DUMMYFUNCTION("""COMPUTED_VALUE"""),"2023-08-69 SPLIT")</f>
        <v>2023-08-69 SPLIT</v>
      </c>
      <c r="K924" s="164" t="str">
        <f ca="1">IFERROR(__xludf.DUMMYFUNCTION("""COMPUTED_VALUE"""),"RAYMUND SALIOAN")</f>
        <v>RAYMUND SALIOAN</v>
      </c>
      <c r="L924" s="164"/>
      <c r="M924" s="164" t="str">
        <f ca="1">IFERROR(__xludf.DUMMYFUNCTION("""COMPUTED_VALUE"""),"SERVICEABLE")</f>
        <v>SERVICEABLE</v>
      </c>
      <c r="N924" s="164"/>
    </row>
    <row r="925" spans="1:14" ht="13.2" hidden="1">
      <c r="A925" s="164" t="str">
        <f ca="1">IFERROR(__xludf.DUMMYFUNCTION("""COMPUTED_VALUE"""),"CAR")</f>
        <v>CAR</v>
      </c>
      <c r="B925" s="164" t="str">
        <f ca="1">IFERROR(__xludf.DUMMYFUNCTION("""COMPUTED_VALUE"""),"Mt. Province")</f>
        <v>Mt. Province</v>
      </c>
      <c r="C925" s="164" t="str">
        <f ca="1">IFERROR(__xludf.DUMMYFUNCTION("""COMPUTED_VALUE"""),"Laptop – (ACER EXTENSA EX215-55G i7)")</f>
        <v>Laptop – (ACER EXTENSA EX215-55G i7)</v>
      </c>
      <c r="D925" s="164" t="str">
        <f ca="1">IFERROR(__xludf.DUMMYFUNCTION("""COMPUTED_VALUE"""),"₱ 59,500.00")</f>
        <v>₱ 59,500.00</v>
      </c>
      <c r="E925" s="164" t="str">
        <f ca="1">IFERROR(__xludf.DUMMYFUNCTION("""COMPUTED_VALUE"""),"₱ -")</f>
        <v>₱ -</v>
      </c>
      <c r="F925" s="164" t="str">
        <f ca="1">IFERROR(__xludf.DUMMYFUNCTION("""COMPUTED_VALUE"""),"2023-05-03-10202SP328-01")</f>
        <v>2023-05-03-10202SP328-01</v>
      </c>
      <c r="G925" s="164" t="str">
        <f ca="1">IFERROR(__xludf.DUMMYFUNCTION("""COMPUTED_VALUE"""),"NXEGZSP00330801EDF3400")</f>
        <v>NXEGZSP00330801EDF3400</v>
      </c>
      <c r="H925" s="164" t="str">
        <f ca="1">IFERROR(__xludf.DUMMYFUNCTION("""COMPUTED_VALUE"""),"RAYMUND SALIOAN")</f>
        <v>RAYMUND SALIOAN</v>
      </c>
      <c r="I925" s="164" t="str">
        <f ca="1">IFERROR(__xludf.DUMMYFUNCTION("""COMPUTED_VALUE"""),"OIC PCAO/ Technical Staff - Admin &amp; Finance Officer")</f>
        <v>OIC PCAO/ Technical Staff - Admin &amp; Finance Officer</v>
      </c>
      <c r="J925" s="164" t="str">
        <f ca="1">IFERROR(__xludf.DUMMYFUNCTION("""COMPUTED_VALUE"""),"2023-08-70 SPLIT")</f>
        <v>2023-08-70 SPLIT</v>
      </c>
      <c r="K925" s="164" t="str">
        <f ca="1">IFERROR(__xludf.DUMMYFUNCTION("""COMPUTED_VALUE"""),"RAYMUND SALIOAN")</f>
        <v>RAYMUND SALIOAN</v>
      </c>
      <c r="L925" s="164" t="str">
        <f ca="1">IFERROR(__xludf.DUMMYFUNCTION("""COMPUTED_VALUE"""),"DARPO")</f>
        <v>DARPO</v>
      </c>
      <c r="M925" s="164" t="str">
        <f ca="1">IFERROR(__xludf.DUMMYFUNCTION("""COMPUTED_VALUE"""),"SERVICEABLE")</f>
        <v>SERVICEABLE</v>
      </c>
      <c r="N925" s="164"/>
    </row>
    <row r="926" spans="1:14" ht="13.2" hidden="1">
      <c r="A926" s="164" t="str">
        <f ca="1">IFERROR(__xludf.DUMMYFUNCTION("""COMPUTED_VALUE"""),"CAR")</f>
        <v>CAR</v>
      </c>
      <c r="B926" s="164" t="str">
        <f ca="1">IFERROR(__xludf.DUMMYFUNCTION("""COMPUTED_VALUE"""),"Mt. Province")</f>
        <v>Mt. Province</v>
      </c>
      <c r="C926" s="164" t="str">
        <f ca="1">IFERROR(__xludf.DUMMYFUNCTION("""COMPUTED_VALUE"""),"Laptop – (ACER EXTENSA EX215-55G i7)")</f>
        <v>Laptop – (ACER EXTENSA EX215-55G i7)</v>
      </c>
      <c r="D926" s="164" t="str">
        <f ca="1">IFERROR(__xludf.DUMMYFUNCTION("""COMPUTED_VALUE"""),"₱ 59,500.00")</f>
        <v>₱ 59,500.00</v>
      </c>
      <c r="E926" s="164" t="str">
        <f ca="1">IFERROR(__xludf.DUMMYFUNCTION("""COMPUTED_VALUE"""),"₱ -")</f>
        <v>₱ -</v>
      </c>
      <c r="F926" s="164" t="str">
        <f ca="1">IFERROR(__xludf.DUMMYFUNCTION("""COMPUTED_VALUE"""),"2023-05-03-10202SP329-01")</f>
        <v>2023-05-03-10202SP329-01</v>
      </c>
      <c r="G926" s="164" t="str">
        <f ca="1">IFERROR(__xludf.DUMMYFUNCTION("""COMPUTED_VALUE"""),"NXEGZSP00330801BA23400")</f>
        <v>NXEGZSP00330801BA23400</v>
      </c>
      <c r="H926" s="164" t="str">
        <f ca="1">IFERROR(__xludf.DUMMYFUNCTION("""COMPUTED_VALUE"""),"RAYMUND SALIOAN")</f>
        <v>RAYMUND SALIOAN</v>
      </c>
      <c r="I926" s="164" t="str">
        <f ca="1">IFERROR(__xludf.DUMMYFUNCTION("""COMPUTED_VALUE"""),"OIC PCAO/ Technical Staff - Admin &amp; Finance Officer")</f>
        <v>OIC PCAO/ Technical Staff - Admin &amp; Finance Officer</v>
      </c>
      <c r="J926" s="164" t="str">
        <f ca="1">IFERROR(__xludf.DUMMYFUNCTION("""COMPUTED_VALUE"""),"2023-08-70 SPLIT")</f>
        <v>2023-08-70 SPLIT</v>
      </c>
      <c r="K926" s="164" t="str">
        <f ca="1">IFERROR(__xludf.DUMMYFUNCTION("""COMPUTED_VALUE"""),"RAYMUND SALIOAN")</f>
        <v>RAYMUND SALIOAN</v>
      </c>
      <c r="L926" s="164" t="str">
        <f ca="1">IFERROR(__xludf.DUMMYFUNCTION("""COMPUTED_VALUE"""),"DARPO")</f>
        <v>DARPO</v>
      </c>
      <c r="M926" s="164" t="str">
        <f ca="1">IFERROR(__xludf.DUMMYFUNCTION("""COMPUTED_VALUE"""),"SERVICEABLE")</f>
        <v>SERVICEABLE</v>
      </c>
      <c r="N926" s="164"/>
    </row>
    <row r="927" spans="1:14" ht="13.2" hidden="1">
      <c r="A927" s="164" t="str">
        <f ca="1">IFERROR(__xludf.DUMMYFUNCTION("""COMPUTED_VALUE"""),"CAR")</f>
        <v>CAR</v>
      </c>
      <c r="B927" s="164" t="str">
        <f ca="1">IFERROR(__xludf.DUMMYFUNCTION("""COMPUTED_VALUE"""),"Mt. Province")</f>
        <v>Mt. Province</v>
      </c>
      <c r="C927" s="164" t="str">
        <f ca="1">IFERROR(__xludf.DUMMYFUNCTION("""COMPUTED_VALUE"""),"Photocopier Machine – Kyocera")</f>
        <v>Photocopier Machine – Kyocera</v>
      </c>
      <c r="D927" s="164" t="str">
        <f ca="1">IFERROR(__xludf.DUMMYFUNCTION("""COMPUTED_VALUE"""),"₱ 84,500.00")</f>
        <v>₱ 84,500.00</v>
      </c>
      <c r="E927" s="164" t="str">
        <f ca="1">IFERROR(__xludf.DUMMYFUNCTION("""COMPUTED_VALUE"""),"₱ -")</f>
        <v>₱ -</v>
      </c>
      <c r="F927" s="164" t="str">
        <f ca="1">IFERROR(__xludf.DUMMYFUNCTION("""COMPUTED_VALUE"""),"2022-05-02-10202SP07-01")</f>
        <v>2022-05-02-10202SP07-01</v>
      </c>
      <c r="G927" s="164" t="str">
        <f ca="1">IFERROR(__xludf.DUMMYFUNCTION("""COMPUTED_VALUE"""),"RNK2700190")</f>
        <v>RNK2700190</v>
      </c>
      <c r="H927" s="164" t="str">
        <f ca="1">IFERROR(__xludf.DUMMYFUNCTION("""COMPUTED_VALUE"""),"BERNADETTE NAVARRA")</f>
        <v>BERNADETTE NAVARRA</v>
      </c>
      <c r="I927" s="164" t="str">
        <f ca="1">IFERROR(__xludf.DUMMYFUNCTION("""COMPUTED_VALUE"""),"Procurement Coordinator")</f>
        <v>Procurement Coordinator</v>
      </c>
      <c r="J927" s="164" t="str">
        <f ca="1">IFERROR(__xludf.DUMMYFUNCTION("""COMPUTED_VALUE"""),"12/03/2022")</f>
        <v>12/03/2022</v>
      </c>
      <c r="K927" s="164" t="str">
        <f ca="1">IFERROR(__xludf.DUMMYFUNCTION("""COMPUTED_VALUE"""),"Bernadette Navarra")</f>
        <v>Bernadette Navarra</v>
      </c>
      <c r="L927" s="164"/>
      <c r="M927" s="164" t="str">
        <f ca="1">IFERROR(__xludf.DUMMYFUNCTION("""COMPUTED_VALUE"""),"SERVICEABLE")</f>
        <v>SERVICEABLE</v>
      </c>
      <c r="N927" s="164"/>
    </row>
    <row r="928" spans="1:14" ht="13.2" hidden="1">
      <c r="A928" s="164" t="str">
        <f ca="1">IFERROR(__xludf.DUMMYFUNCTION("""COMPUTED_VALUE"""),"CAR")</f>
        <v>CAR</v>
      </c>
      <c r="B928" s="164" t="str">
        <f ca="1">IFERROR(__xludf.DUMMYFUNCTION("""COMPUTED_VALUE"""),"Mt. Province")</f>
        <v>Mt. Province</v>
      </c>
      <c r="C928" s="164" t="str">
        <f ca="1">IFERROR(__xludf.DUMMYFUNCTION("""COMPUTED_VALUE"""),"Laptop – (ACER EXTENSA EX215-55G i7)")</f>
        <v>Laptop – (ACER EXTENSA EX215-55G i7)</v>
      </c>
      <c r="D928" s="164" t="str">
        <f ca="1">IFERROR(__xludf.DUMMYFUNCTION("""COMPUTED_VALUE"""),"₱ 59,500.00")</f>
        <v>₱ 59,500.00</v>
      </c>
      <c r="E928" s="164" t="str">
        <f ca="1">IFERROR(__xludf.DUMMYFUNCTION("""COMPUTED_VALUE"""),"₱ -")</f>
        <v>₱ -</v>
      </c>
      <c r="F928" s="164" t="str">
        <f ca="1">IFERROR(__xludf.DUMMYFUNCTION("""COMPUTED_VALUE"""),"2023-05-03-10202SP09-01")</f>
        <v>2023-05-03-10202SP09-01</v>
      </c>
      <c r="G928" s="164" t="str">
        <f ca="1">IFERROR(__xludf.DUMMYFUNCTION("""COMPUTED_VALUE"""),"NXEGZSP00330801B113400")</f>
        <v>NXEGZSP00330801B113400</v>
      </c>
      <c r="H928" s="164" t="str">
        <f ca="1">IFERROR(__xludf.DUMMYFUNCTION("""COMPUTED_VALUE"""),"RAYMUND W. SALIOAN")</f>
        <v>RAYMUND W. SALIOAN</v>
      </c>
      <c r="I928" s="164" t="str">
        <f ca="1">IFERROR(__xludf.DUMMYFUNCTION("""COMPUTED_VALUE"""),"OIC PCAO/ Technical Staff - Admin &amp; Finance Officer")</f>
        <v>OIC PCAO/ Technical Staff - Admin &amp; Finance Officer</v>
      </c>
      <c r="J928" s="164" t="str">
        <f ca="1">IFERROR(__xludf.DUMMYFUNCTION("""COMPUTED_VALUE"""),"PTR# 2024-01-006")</f>
        <v>PTR# 2024-01-006</v>
      </c>
      <c r="K928" s="164" t="str">
        <f ca="1">IFERROR(__xludf.DUMMYFUNCTION("""COMPUTED_VALUE"""),"HYDE LICLICAN")</f>
        <v>HYDE LICLICAN</v>
      </c>
      <c r="L928" s="164" t="str">
        <f ca="1">IFERROR(__xludf.DUMMYFUNCTION("""COMPUTED_VALUE"""),"DARPO")</f>
        <v>DARPO</v>
      </c>
      <c r="M928" s="164" t="str">
        <f ca="1">IFERROR(__xludf.DUMMYFUNCTION("""COMPUTED_VALUE"""),"SERVICEABLE")</f>
        <v>SERVICEABLE</v>
      </c>
      <c r="N928" s="164"/>
    </row>
    <row r="929" spans="1:14" ht="13.2" hidden="1">
      <c r="A929" s="164" t="str">
        <f ca="1">IFERROR(__xludf.DUMMYFUNCTION("""COMPUTED_VALUE"""),"CAR")</f>
        <v>CAR</v>
      </c>
      <c r="B929" s="164" t="str">
        <f ca="1">IFERROR(__xludf.DUMMYFUNCTION("""COMPUTED_VALUE"""),"Mt. Province")</f>
        <v>Mt. Province</v>
      </c>
      <c r="C929" s="164" t="str">
        <f ca="1">IFERROR(__xludf.DUMMYFUNCTION("""COMPUTED_VALUE"""),"PLOTTER (3IN1)")</f>
        <v>PLOTTER (3IN1)</v>
      </c>
      <c r="D929" s="164" t="str">
        <f ca="1">IFERROR(__xludf.DUMMYFUNCTION("""COMPUTED_VALUE"""),"₱ 648,000.00")</f>
        <v>₱ 648,000.00</v>
      </c>
      <c r="E929" s="164" t="str">
        <f ca="1">IFERROR(__xludf.DUMMYFUNCTION("""COMPUTED_VALUE"""),"₱ -")</f>
        <v>₱ -</v>
      </c>
      <c r="F929" s="164"/>
      <c r="G929" s="164"/>
      <c r="H929" s="164"/>
      <c r="I929" s="164"/>
      <c r="J929" s="164"/>
      <c r="K929" s="164"/>
      <c r="L929" s="164"/>
      <c r="M929" s="164"/>
      <c r="N929" s="164"/>
    </row>
    <row r="930" spans="1:14" ht="13.2" hidden="1">
      <c r="A930" s="164" t="str">
        <f ca="1">IFERROR(__xludf.DUMMYFUNCTION("""COMPUTED_VALUE"""),"CAR")</f>
        <v>CAR</v>
      </c>
      <c r="B930" s="164" t="str">
        <f ca="1">IFERROR(__xludf.DUMMYFUNCTION("""COMPUTED_VALUE"""),"Mt. Province")</f>
        <v>Mt. Province</v>
      </c>
      <c r="C930" s="164" t="str">
        <f ca="1">IFERROR(__xludf.DUMMYFUNCTION("""COMPUTED_VALUE"""),"A3 PRINTER (BROTHER)")</f>
        <v>A3 PRINTER (BROTHER)</v>
      </c>
      <c r="D930" s="164" t="str">
        <f ca="1">IFERROR(__xludf.DUMMYFUNCTION("""COMPUTED_VALUE"""),"33,508.00")</f>
        <v>33,508.00</v>
      </c>
      <c r="E930" s="164" t="str">
        <f ca="1">IFERROR(__xludf.DUMMYFUNCTION("""COMPUTED_VALUE"""),"₱ -")</f>
        <v>₱ -</v>
      </c>
      <c r="F930" s="164" t="str">
        <f ca="1">IFERROR(__xludf.DUMMYFUNCTION("""COMPUTED_VALUE"""),"HV-SPLIT-102-24-05-12")</f>
        <v>HV-SPLIT-102-24-05-12</v>
      </c>
      <c r="G930" s="164"/>
      <c r="H930" s="164" t="str">
        <f ca="1">IFERROR(__xludf.DUMMYFUNCTION("""COMPUTED_VALUE"""),"SAMUEL S. SOLOMERO")</f>
        <v>SAMUEL S. SOLOMERO</v>
      </c>
      <c r="I930" s="164" t="str">
        <f ca="1">IFERROR(__xludf.DUMMYFUNCTION("""COMPUTED_VALUE"""),"REGIONAL DIRECTOR")</f>
        <v>REGIONAL DIRECTOR</v>
      </c>
      <c r="J930" s="164" t="str">
        <f ca="1">IFERROR(__xludf.DUMMYFUNCTION("""COMPUTED_VALUE"""),"2024-03-001")</f>
        <v>2024-03-001</v>
      </c>
      <c r="K930" s="164"/>
      <c r="L930" s="164" t="str">
        <f ca="1">IFERROR(__xludf.DUMMYFUNCTION("""COMPUTED_VALUE"""),"DARPO MT PROVINCE")</f>
        <v>DARPO MT PROVINCE</v>
      </c>
      <c r="M930" s="164" t="str">
        <f ca="1">IFERROR(__xludf.DUMMYFUNCTION("""COMPUTED_VALUE"""),"SERVICEABLE")</f>
        <v>SERVICEABLE</v>
      </c>
      <c r="N930" s="164"/>
    </row>
    <row r="931" spans="1:14" ht="13.2" hidden="1">
      <c r="A931" s="164" t="str">
        <f ca="1">IFERROR(__xludf.DUMMYFUNCTION("""COMPUTED_VALUE"""),"CAR")</f>
        <v>CAR</v>
      </c>
      <c r="B931" s="164" t="str">
        <f ca="1">IFERROR(__xludf.DUMMYFUNCTION("""COMPUTED_VALUE"""),"Regional Office")</f>
        <v>Regional Office</v>
      </c>
      <c r="C931" s="164" t="str">
        <f ca="1">IFERROR(__xludf.DUMMYFUNCTION("""COMPUTED_VALUE"""),"Double Cabin Pick-up Vehicles – Mitsubishi Strada")</f>
        <v>Double Cabin Pick-up Vehicles – Mitsubishi Strada</v>
      </c>
      <c r="D931" s="164" t="str">
        <f ca="1">IFERROR(__xludf.DUMMYFUNCTION("""COMPUTED_VALUE"""),"₱ 1,752,400.00")</f>
        <v>₱ 1,752,400.00</v>
      </c>
      <c r="E931" s="164" t="str">
        <f ca="1">IFERROR(__xludf.DUMMYFUNCTION("""COMPUTED_VALUE"""),"₱ -")</f>
        <v>₱ -</v>
      </c>
      <c r="F931" s="164" t="str">
        <f ca="1">IFERROR(__xludf.DUMMYFUNCTION("""COMPUTED_VALUE"""),"2023-06-01-10201SP38-01")</f>
        <v>2023-06-01-10201SP38-01</v>
      </c>
      <c r="G931" s="164" t="str">
        <f ca="1">IFERROR(__xludf.DUMMYFUNCTION("""COMPUTED_VALUE"""),"SNC 1061")</f>
        <v>SNC 1061</v>
      </c>
      <c r="H931" s="164" t="str">
        <f ca="1">IFERROR(__xludf.DUMMYFUNCTION("""COMPUTED_VALUE"""),"SAMAUEL S. SOLOMERO")</f>
        <v>SAMAUEL S. SOLOMERO</v>
      </c>
      <c r="I931" s="164" t="str">
        <f ca="1">IFERROR(__xludf.DUMMYFUNCTION("""COMPUTED_VALUE"""),"REGIONAL PROJECT MANAGER")</f>
        <v>REGIONAL PROJECT MANAGER</v>
      </c>
      <c r="J931" s="164" t="str">
        <f ca="1">IFERROR(__xludf.DUMMYFUNCTION("""COMPUTED_VALUE"""),"2023-10-77 SPLIT")</f>
        <v>2023-10-77 SPLIT</v>
      </c>
      <c r="K931" s="164" t="str">
        <f ca="1">IFERROR(__xludf.DUMMYFUNCTION("""COMPUTED_VALUE"""),"SAMUEL S. SOLOMERO")</f>
        <v>SAMUEL S. SOLOMERO</v>
      </c>
      <c r="L931" s="164" t="str">
        <f ca="1">IFERROR(__xludf.DUMMYFUNCTION("""COMPUTED_VALUE"""),"ORD's OFFICE")</f>
        <v>ORD's OFFICE</v>
      </c>
      <c r="M931" s="164" t="str">
        <f ca="1">IFERROR(__xludf.DUMMYFUNCTION("""COMPUTED_VALUE"""),"SERVICEABLE")</f>
        <v>SERVICEABLE</v>
      </c>
      <c r="N931" s="164"/>
    </row>
    <row r="932" spans="1:14" ht="13.2" hidden="1">
      <c r="A932" s="164" t="str">
        <f ca="1">IFERROR(__xludf.DUMMYFUNCTION("""COMPUTED_VALUE"""),"CAR")</f>
        <v>CAR</v>
      </c>
      <c r="B932" s="164" t="str">
        <f ca="1">IFERROR(__xludf.DUMMYFUNCTION("""COMPUTED_VALUE"""),"Regional Office")</f>
        <v>Regional Office</v>
      </c>
      <c r="C932" s="164" t="str">
        <f ca="1">IFERROR(__xludf.DUMMYFUNCTION("""COMPUTED_VALUE"""),"Double Cabin Pick-up Vehicles – Mitsubishi Strada")</f>
        <v>Double Cabin Pick-up Vehicles – Mitsubishi Strada</v>
      </c>
      <c r="D932" s="164" t="str">
        <f ca="1">IFERROR(__xludf.DUMMYFUNCTION("""COMPUTED_VALUE"""),"₱ 1,752,400.00")</f>
        <v>₱ 1,752,400.00</v>
      </c>
      <c r="E932" s="164" t="str">
        <f ca="1">IFERROR(__xludf.DUMMYFUNCTION("""COMPUTED_VALUE"""),"₱ -")</f>
        <v>₱ -</v>
      </c>
      <c r="F932" s="164" t="str">
        <f ca="1">IFERROR(__xludf.DUMMYFUNCTION("""COMPUTED_VALUE"""),"2023-06-01-10201SP39-01")</f>
        <v>2023-06-01-10201SP39-01</v>
      </c>
      <c r="G932" s="164" t="str">
        <f ca="1">IFERROR(__xludf.DUMMYFUNCTION("""COMPUTED_VALUE"""),"SNC 1107")</f>
        <v>SNC 1107</v>
      </c>
      <c r="H932" s="164" t="str">
        <f ca="1">IFERROR(__xludf.DUMMYFUNCTION("""COMPUTED_VALUE"""),"For General Dispatch (SPLIT Activities)")</f>
        <v>For General Dispatch (SPLIT Activities)</v>
      </c>
      <c r="I932" s="164" t="str">
        <f ca="1">IFERROR(__xludf.DUMMYFUNCTION("""COMPUTED_VALUE"""),"REGIONAL PROJECT MANAGER")</f>
        <v>REGIONAL PROJECT MANAGER</v>
      </c>
      <c r="J932" s="164"/>
      <c r="K932" s="164" t="str">
        <f ca="1">IFERROR(__xludf.DUMMYFUNCTION("""COMPUTED_VALUE"""),"For general dispatch (SPLIT Activities)")</f>
        <v>For general dispatch (SPLIT Activities)</v>
      </c>
      <c r="L932" s="164" t="str">
        <f ca="1">IFERROR(__xludf.DUMMYFUNCTION("""COMPUTED_VALUE"""),"ORD's OFFICE")</f>
        <v>ORD's OFFICE</v>
      </c>
      <c r="M932" s="164" t="str">
        <f ca="1">IFERROR(__xludf.DUMMYFUNCTION("""COMPUTED_VALUE"""),"SERVICEABLE")</f>
        <v>SERVICEABLE</v>
      </c>
      <c r="N932" s="164"/>
    </row>
    <row r="933" spans="1:14" ht="13.2" hidden="1">
      <c r="A933" s="164" t="str">
        <f ca="1">IFERROR(__xludf.DUMMYFUNCTION("""COMPUTED_VALUE"""),"CAR")</f>
        <v>CAR</v>
      </c>
      <c r="B933" s="164" t="str">
        <f ca="1">IFERROR(__xludf.DUMMYFUNCTION("""COMPUTED_VALUE"""),"Abra")</f>
        <v>Abra</v>
      </c>
      <c r="C933" s="164" t="str">
        <f ca="1">IFERROR(__xludf.DUMMYFUNCTION("""COMPUTED_VALUE"""),"Motorcycle – (Honda XRL 150)")</f>
        <v>Motorcycle – (Honda XRL 150)</v>
      </c>
      <c r="D933" s="164" t="str">
        <f ca="1">IFERROR(__xludf.DUMMYFUNCTION("""COMPUTED_VALUE"""),"₱ 124,900.00")</f>
        <v>₱ 124,900.00</v>
      </c>
      <c r="E933" s="164" t="str">
        <f ca="1">IFERROR(__xludf.DUMMYFUNCTION("""COMPUTED_VALUE"""),"₱ -")</f>
        <v>₱ -</v>
      </c>
      <c r="F933" s="164" t="str">
        <f ca="1">IFERROR(__xludf.DUMMYFUNCTION("""COMPUTED_VALUE"""),"2023-06-01-1020SP04-01")</f>
        <v>2023-06-01-1020SP04-01</v>
      </c>
      <c r="G933" s="164" t="str">
        <f ca="1">IFERROR(__xludf.DUMMYFUNCTION("""COMPUTED_VALUE"""),"no plate available")</f>
        <v>no plate available</v>
      </c>
      <c r="H933" s="164" t="str">
        <f ca="1">IFERROR(__xludf.DUMMYFUNCTION("""COMPUTED_VALUE"""),"ENGR. JOSEPH B. BAJO")</f>
        <v>ENGR. JOSEPH B. BAJO</v>
      </c>
      <c r="I933" s="164" t="str">
        <f ca="1">IFERROR(__xludf.DUMMYFUNCTION("""COMPUTED_VALUE"""),"DENR/ LRA-ROD Coordinator")</f>
        <v>DENR/ LRA-ROD Coordinator</v>
      </c>
      <c r="J933" s="164" t="str">
        <f ca="1">IFERROR(__xludf.DUMMYFUNCTION("""COMPUTED_VALUE"""),"2023-01-01 SPLIT")</f>
        <v>2023-01-01 SPLIT</v>
      </c>
      <c r="K933" s="164" t="str">
        <f ca="1">IFERROR(__xludf.DUMMYFUNCTION("""COMPUTED_VALUE"""),"ENGR. JOSEPH B. BAJO")</f>
        <v>ENGR. JOSEPH B. BAJO</v>
      </c>
      <c r="L933" s="164"/>
      <c r="M933" s="164" t="str">
        <f ca="1">IFERROR(__xludf.DUMMYFUNCTION("""COMPUTED_VALUE"""),"SERVICEABLE")</f>
        <v>SERVICEABLE</v>
      </c>
      <c r="N933" s="164"/>
    </row>
    <row r="934" spans="1:14" ht="13.2" hidden="1">
      <c r="A934" s="164" t="str">
        <f ca="1">IFERROR(__xludf.DUMMYFUNCTION("""COMPUTED_VALUE"""),"CAR")</f>
        <v>CAR</v>
      </c>
      <c r="B934" s="164" t="str">
        <f ca="1">IFERROR(__xludf.DUMMYFUNCTION("""COMPUTED_VALUE"""),"Abra")</f>
        <v>Abra</v>
      </c>
      <c r="C934" s="164" t="str">
        <f ca="1">IFERROR(__xludf.DUMMYFUNCTION("""COMPUTED_VALUE"""),"Motorcycle – (Honda XRL 150)")</f>
        <v>Motorcycle – (Honda XRL 150)</v>
      </c>
      <c r="D934" s="164" t="str">
        <f ca="1">IFERROR(__xludf.DUMMYFUNCTION("""COMPUTED_VALUE"""),"₱ 124,900.00")</f>
        <v>₱ 124,900.00</v>
      </c>
      <c r="E934" s="164" t="str">
        <f ca="1">IFERROR(__xludf.DUMMYFUNCTION("""COMPUTED_VALUE"""),"₱ -")</f>
        <v>₱ -</v>
      </c>
      <c r="F934" s="164" t="str">
        <f ca="1">IFERROR(__xludf.DUMMYFUNCTION("""COMPUTED_VALUE"""),"2023-06-01-1020SP05-01")</f>
        <v>2023-06-01-1020SP05-01</v>
      </c>
      <c r="G934" s="164" t="str">
        <f ca="1">IFERROR(__xludf.DUMMYFUNCTION("""COMPUTED_VALUE"""),"no plate available")</f>
        <v>no plate available</v>
      </c>
      <c r="H934" s="164" t="str">
        <f ca="1">IFERROR(__xludf.DUMMYFUNCTION("""COMPUTED_VALUE"""),"FILMA T. MOLINA
 ATTY. MERCEDES S. BORONGAN")</f>
        <v>FILMA T. MOLINA
 ATTY. MERCEDES S. BORONGAN</v>
      </c>
      <c r="I934" s="164" t="str">
        <f ca="1">IFERROR(__xludf.DUMMYFUNCTION("""COMPUTED_VALUE"""),"Technical Staff / ESS Coordinator")</f>
        <v>Technical Staff / ESS Coordinator</v>
      </c>
      <c r="J934" s="164" t="str">
        <f ca="1">IFERROR(__xludf.DUMMYFUNCTION("""COMPUTED_VALUE"""),"2023-01-01 SPLIT")</f>
        <v>2023-01-01 SPLIT</v>
      </c>
      <c r="K934" s="164" t="str">
        <f ca="1">IFERROR(__xludf.DUMMYFUNCTION("""COMPUTED_VALUE"""),"FILMA T. MOLINA")</f>
        <v>FILMA T. MOLINA</v>
      </c>
      <c r="L934" s="164"/>
      <c r="M934" s="164" t="str">
        <f ca="1">IFERROR(__xludf.DUMMYFUNCTION("""COMPUTED_VALUE"""),"SERVICEABLE")</f>
        <v>SERVICEABLE</v>
      </c>
      <c r="N934" s="164"/>
    </row>
    <row r="935" spans="1:14" ht="13.2" hidden="1">
      <c r="A935" s="164" t="str">
        <f ca="1">IFERROR(__xludf.DUMMYFUNCTION("""COMPUTED_VALUE"""),"CAR")</f>
        <v>CAR</v>
      </c>
      <c r="B935" s="164" t="str">
        <f ca="1">IFERROR(__xludf.DUMMYFUNCTION("""COMPUTED_VALUE"""),"Abra")</f>
        <v>Abra</v>
      </c>
      <c r="C935" s="164" t="str">
        <f ca="1">IFERROR(__xludf.DUMMYFUNCTION("""COMPUTED_VALUE"""),"Motorcycle – (Honda XRL 150)")</f>
        <v>Motorcycle – (Honda XRL 150)</v>
      </c>
      <c r="D935" s="164" t="str">
        <f ca="1">IFERROR(__xludf.DUMMYFUNCTION("""COMPUTED_VALUE"""),"₱ 124,900.00")</f>
        <v>₱ 124,900.00</v>
      </c>
      <c r="E935" s="164" t="str">
        <f ca="1">IFERROR(__xludf.DUMMYFUNCTION("""COMPUTED_VALUE"""),"₱ -")</f>
        <v>₱ -</v>
      </c>
      <c r="F935" s="164" t="str">
        <f ca="1">IFERROR(__xludf.DUMMYFUNCTION("""COMPUTED_VALUE"""),"2023-06-01-1020SP06-01")</f>
        <v>2023-06-01-1020SP06-01</v>
      </c>
      <c r="G935" s="164" t="str">
        <f ca="1">IFERROR(__xludf.DUMMYFUNCTION("""COMPUTED_VALUE"""),"no plate available")</f>
        <v>no plate available</v>
      </c>
      <c r="H935" s="164" t="str">
        <f ca="1">IFERROR(__xludf.DUMMYFUNCTION("""COMPUTED_VALUE"""),"JAYSON T. RAPISURA")</f>
        <v>JAYSON T. RAPISURA</v>
      </c>
      <c r="I935" s="164" t="str">
        <f ca="1">IFERROR(__xludf.DUMMYFUNCTION("""COMPUTED_VALUE"""),"Project Budget Officer")</f>
        <v>Project Budget Officer</v>
      </c>
      <c r="J935" s="164" t="str">
        <f ca="1">IFERROR(__xludf.DUMMYFUNCTION("""COMPUTED_VALUE"""),"2023-01-01 SPLIT")</f>
        <v>2023-01-01 SPLIT</v>
      </c>
      <c r="K935" s="164" t="str">
        <f ca="1">IFERROR(__xludf.DUMMYFUNCTION("""COMPUTED_VALUE"""),"JAYSON T. RAPISURA")</f>
        <v>JAYSON T. RAPISURA</v>
      </c>
      <c r="L935" s="164"/>
      <c r="M935" s="164" t="str">
        <f ca="1">IFERROR(__xludf.DUMMYFUNCTION("""COMPUTED_VALUE"""),"SERVICEABLE")</f>
        <v>SERVICEABLE</v>
      </c>
      <c r="N935" s="164"/>
    </row>
    <row r="936" spans="1:14" ht="13.2" hidden="1">
      <c r="A936" s="164" t="str">
        <f ca="1">IFERROR(__xludf.DUMMYFUNCTION("""COMPUTED_VALUE"""),"CAR")</f>
        <v>CAR</v>
      </c>
      <c r="B936" s="164" t="str">
        <f ca="1">IFERROR(__xludf.DUMMYFUNCTION("""COMPUTED_VALUE"""),"Abra")</f>
        <v>Abra</v>
      </c>
      <c r="C936" s="164" t="str">
        <f ca="1">IFERROR(__xludf.DUMMYFUNCTION("""COMPUTED_VALUE"""),"Motorcycle – (Honda XRL 150)")</f>
        <v>Motorcycle – (Honda XRL 150)</v>
      </c>
      <c r="D936" s="164" t="str">
        <f ca="1">IFERROR(__xludf.DUMMYFUNCTION("""COMPUTED_VALUE"""),"₱ 124,900.00")</f>
        <v>₱ 124,900.00</v>
      </c>
      <c r="E936" s="164" t="str">
        <f ca="1">IFERROR(__xludf.DUMMYFUNCTION("""COMPUTED_VALUE"""),"₱ -")</f>
        <v>₱ -</v>
      </c>
      <c r="F936" s="164" t="str">
        <f ca="1">IFERROR(__xludf.DUMMYFUNCTION("""COMPUTED_VALUE"""),"2023-06-01-1020SP07-01")</f>
        <v>2023-06-01-1020SP07-01</v>
      </c>
      <c r="G936" s="164" t="str">
        <f ca="1">IFERROR(__xludf.DUMMYFUNCTION("""COMPUTED_VALUE"""),"no plate available")</f>
        <v>no plate available</v>
      </c>
      <c r="H936" s="164" t="str">
        <f ca="1">IFERROR(__xludf.DUMMYFUNCTION("""COMPUTED_VALUE"""),"BENJAMIN T. REGALADO JR.")</f>
        <v>BENJAMIN T. REGALADO JR.</v>
      </c>
      <c r="I936" s="164" t="str">
        <f ca="1">IFERROR(__xludf.DUMMYFUNCTION("""COMPUTED_VALUE"""),"ESS Support Staff")</f>
        <v>ESS Support Staff</v>
      </c>
      <c r="J936" s="164" t="str">
        <f ca="1">IFERROR(__xludf.DUMMYFUNCTION("""COMPUTED_VALUE"""),"2023-01-01 SPLIT")</f>
        <v>2023-01-01 SPLIT</v>
      </c>
      <c r="K936" s="164" t="str">
        <f ca="1">IFERROR(__xludf.DUMMYFUNCTION("""COMPUTED_VALUE"""),"BENJAMIN T. REGALADO JR.")</f>
        <v>BENJAMIN T. REGALADO JR.</v>
      </c>
      <c r="L936" s="164"/>
      <c r="M936" s="164" t="str">
        <f ca="1">IFERROR(__xludf.DUMMYFUNCTION("""COMPUTED_VALUE"""),"SERVICEABLE")</f>
        <v>SERVICEABLE</v>
      </c>
      <c r="N936" s="164"/>
    </row>
    <row r="937" spans="1:14" ht="13.2" hidden="1">
      <c r="A937" s="164" t="str">
        <f ca="1">IFERROR(__xludf.DUMMYFUNCTION("""COMPUTED_VALUE"""),"CAR")</f>
        <v>CAR</v>
      </c>
      <c r="B937" s="164" t="str">
        <f ca="1">IFERROR(__xludf.DUMMYFUNCTION("""COMPUTED_VALUE"""),"Abra")</f>
        <v>Abra</v>
      </c>
      <c r="C937" s="164" t="str">
        <f ca="1">IFERROR(__xludf.DUMMYFUNCTION("""COMPUTED_VALUE"""),"Motorcycle – (Honda XRL 150)")</f>
        <v>Motorcycle – (Honda XRL 150)</v>
      </c>
      <c r="D937" s="164" t="str">
        <f ca="1">IFERROR(__xludf.DUMMYFUNCTION("""COMPUTED_VALUE"""),"₱ 124,900.00")</f>
        <v>₱ 124,900.00</v>
      </c>
      <c r="E937" s="164" t="str">
        <f ca="1">IFERROR(__xludf.DUMMYFUNCTION("""COMPUTED_VALUE"""),"₱ -")</f>
        <v>₱ -</v>
      </c>
      <c r="F937" s="164" t="str">
        <f ca="1">IFERROR(__xludf.DUMMYFUNCTION("""COMPUTED_VALUE"""),"2023-06-01-1020SP08-01")</f>
        <v>2023-06-01-1020SP08-01</v>
      </c>
      <c r="G937" s="164" t="str">
        <f ca="1">IFERROR(__xludf.DUMMYFUNCTION("""COMPUTED_VALUE"""),"no plate available")</f>
        <v>no plate available</v>
      </c>
      <c r="H937" s="164" t="str">
        <f ca="1">IFERROR(__xludf.DUMMYFUNCTION("""COMPUTED_VALUE"""),"ENGR. JERRIECO D. BELISARIO
 JAN EURIE RAFAL")</f>
        <v>ENGR. JERRIECO D. BELISARIO
 JAN EURIE RAFAL</v>
      </c>
      <c r="I937" s="164" t="str">
        <f ca="1">IFERROR(__xludf.DUMMYFUNCTION("""COMPUTED_VALUE"""),"ARPT")</f>
        <v>ARPT</v>
      </c>
      <c r="J937" s="164" t="str">
        <f ca="1">IFERROR(__xludf.DUMMYFUNCTION("""COMPUTED_VALUE"""),"2023-01-01 SPLIT")</f>
        <v>2023-01-01 SPLIT</v>
      </c>
      <c r="K937" s="164" t="str">
        <f ca="1">IFERROR(__xludf.DUMMYFUNCTION("""COMPUTED_VALUE"""),"ENGR. JERRIECO D. BELISARIO
 JAN EURIE RAFAL")</f>
        <v>ENGR. JERRIECO D. BELISARIO
 JAN EURIE RAFAL</v>
      </c>
      <c r="L937" s="164"/>
      <c r="M937" s="164" t="str">
        <f ca="1">IFERROR(__xludf.DUMMYFUNCTION("""COMPUTED_VALUE"""),"SERVICEABLE")</f>
        <v>SERVICEABLE</v>
      </c>
      <c r="N937" s="164"/>
    </row>
    <row r="938" spans="1:14" ht="13.2" hidden="1">
      <c r="A938" s="164" t="str">
        <f ca="1">IFERROR(__xludf.DUMMYFUNCTION("""COMPUTED_VALUE"""),"CAR")</f>
        <v>CAR</v>
      </c>
      <c r="B938" s="164" t="str">
        <f ca="1">IFERROR(__xludf.DUMMYFUNCTION("""COMPUTED_VALUE"""),"Abra")</f>
        <v>Abra</v>
      </c>
      <c r="C938" s="164" t="str">
        <f ca="1">IFERROR(__xludf.DUMMYFUNCTION("""COMPUTED_VALUE"""),"Motorcycle – (Honda XRL 150)")</f>
        <v>Motorcycle – (Honda XRL 150)</v>
      </c>
      <c r="D938" s="164" t="str">
        <f ca="1">IFERROR(__xludf.DUMMYFUNCTION("""COMPUTED_VALUE"""),"₱ 124,900.00")</f>
        <v>₱ 124,900.00</v>
      </c>
      <c r="E938" s="164" t="str">
        <f ca="1">IFERROR(__xludf.DUMMYFUNCTION("""COMPUTED_VALUE"""),"₱ -")</f>
        <v>₱ -</v>
      </c>
      <c r="F938" s="164" t="str">
        <f ca="1">IFERROR(__xludf.DUMMYFUNCTION("""COMPUTED_VALUE"""),"2023-06-01-1020SP09-01")</f>
        <v>2023-06-01-1020SP09-01</v>
      </c>
      <c r="G938" s="164" t="str">
        <f ca="1">IFERROR(__xludf.DUMMYFUNCTION("""COMPUTED_VALUE"""),"no plate available")</f>
        <v>no plate available</v>
      </c>
      <c r="H938" s="164" t="str">
        <f ca="1">IFERROR(__xludf.DUMMYFUNCTION("""COMPUTED_VALUE"""),"MARITES B. OCAMPO (Noel Balmaceda)")</f>
        <v>MARITES B. OCAMPO (Noel Balmaceda)</v>
      </c>
      <c r="I938" s="164" t="str">
        <f ca="1">IFERROR(__xludf.DUMMYFUNCTION("""COMPUTED_VALUE"""),"ARPO II/ Parcelization Component Coordinator")</f>
        <v>ARPO II/ Parcelization Component Coordinator</v>
      </c>
      <c r="J938" s="164" t="str">
        <f ca="1">IFERROR(__xludf.DUMMYFUNCTION("""COMPUTED_VALUE"""),"2023-01-01 SPLIT")</f>
        <v>2023-01-01 SPLIT</v>
      </c>
      <c r="K938" s="164" t="str">
        <f ca="1">IFERROR(__xludf.DUMMYFUNCTION("""COMPUTED_VALUE"""),"(c/o Noel Balmaceda)")</f>
        <v>(c/o Noel Balmaceda)</v>
      </c>
      <c r="L938" s="164"/>
      <c r="M938" s="164" t="str">
        <f ca="1">IFERROR(__xludf.DUMMYFUNCTION("""COMPUTED_VALUE"""),"SERVICEABLE")</f>
        <v>SERVICEABLE</v>
      </c>
      <c r="N938" s="164"/>
    </row>
    <row r="939" spans="1:14" ht="13.2" hidden="1">
      <c r="A939" s="164" t="str">
        <f ca="1">IFERROR(__xludf.DUMMYFUNCTION("""COMPUTED_VALUE"""),"CAR")</f>
        <v>CAR</v>
      </c>
      <c r="B939" s="164" t="str">
        <f ca="1">IFERROR(__xludf.DUMMYFUNCTION("""COMPUTED_VALUE"""),"Abra")</f>
        <v>Abra</v>
      </c>
      <c r="C939" s="164" t="str">
        <f ca="1">IFERROR(__xludf.DUMMYFUNCTION("""COMPUTED_VALUE"""),"Motorcycle – (Honda XRL 150)")</f>
        <v>Motorcycle – (Honda XRL 150)</v>
      </c>
      <c r="D939" s="164" t="str">
        <f ca="1">IFERROR(__xludf.DUMMYFUNCTION("""COMPUTED_VALUE"""),"₱ 124,900.00")</f>
        <v>₱ 124,900.00</v>
      </c>
      <c r="E939" s="164" t="str">
        <f ca="1">IFERROR(__xludf.DUMMYFUNCTION("""COMPUTED_VALUE"""),"₱ -")</f>
        <v>₱ -</v>
      </c>
      <c r="F939" s="164" t="str">
        <f ca="1">IFERROR(__xludf.DUMMYFUNCTION("""COMPUTED_VALUE"""),"2023-06-01-1020SP10-01")</f>
        <v>2023-06-01-1020SP10-01</v>
      </c>
      <c r="G939" s="164" t="str">
        <f ca="1">IFERROR(__xludf.DUMMYFUNCTION("""COMPUTED_VALUE"""),"no plate available")</f>
        <v>no plate available</v>
      </c>
      <c r="H939" s="164" t="str">
        <f ca="1">IFERROR(__xludf.DUMMYFUNCTION("""COMPUTED_VALUE"""),"ERNESTO B. CABAŇERO
 RINAH P. FLORES")</f>
        <v>ERNESTO B. CABAŇERO
 RINAH P. FLORES</v>
      </c>
      <c r="I939" s="164" t="str">
        <f ca="1">IFERROR(__xludf.DUMMYFUNCTION("""COMPUTED_VALUE"""),"Project Procurement Officer")</f>
        <v>Project Procurement Officer</v>
      </c>
      <c r="J939" s="164" t="str">
        <f ca="1">IFERROR(__xludf.DUMMYFUNCTION("""COMPUTED_VALUE"""),"2023-01-01 SPLIT")</f>
        <v>2023-01-01 SPLIT</v>
      </c>
      <c r="K939" s="164" t="str">
        <f ca="1">IFERROR(__xludf.DUMMYFUNCTION("""COMPUTED_VALUE"""),"ERNESTO B. CABAŇERO")</f>
        <v>ERNESTO B. CABAŇERO</v>
      </c>
      <c r="L939" s="164"/>
      <c r="M939" s="164" t="str">
        <f ca="1">IFERROR(__xludf.DUMMYFUNCTION("""COMPUTED_VALUE"""),"SERVICEABLE")</f>
        <v>SERVICEABLE</v>
      </c>
      <c r="N939" s="164"/>
    </row>
    <row r="940" spans="1:14" ht="13.2" hidden="1">
      <c r="A940" s="164" t="str">
        <f ca="1">IFERROR(__xludf.DUMMYFUNCTION("""COMPUTED_VALUE"""),"CAR")</f>
        <v>CAR</v>
      </c>
      <c r="B940" s="164" t="str">
        <f ca="1">IFERROR(__xludf.DUMMYFUNCTION("""COMPUTED_VALUE"""),"Abra")</f>
        <v>Abra</v>
      </c>
      <c r="C940" s="164" t="str">
        <f ca="1">IFERROR(__xludf.DUMMYFUNCTION("""COMPUTED_VALUE"""),"Motorcycle – (Honda XRL 150)")</f>
        <v>Motorcycle – (Honda XRL 150)</v>
      </c>
      <c r="D940" s="164" t="str">
        <f ca="1">IFERROR(__xludf.DUMMYFUNCTION("""COMPUTED_VALUE"""),"₱ 124,900.00")</f>
        <v>₱ 124,900.00</v>
      </c>
      <c r="E940" s="164" t="str">
        <f ca="1">IFERROR(__xludf.DUMMYFUNCTION("""COMPUTED_VALUE"""),"₱ -")</f>
        <v>₱ -</v>
      </c>
      <c r="F940" s="164" t="str">
        <f ca="1">IFERROR(__xludf.DUMMYFUNCTION("""COMPUTED_VALUE"""),"2023-06-01-1020SP11-01")</f>
        <v>2023-06-01-1020SP11-01</v>
      </c>
      <c r="G940" s="164" t="str">
        <f ca="1">IFERROR(__xludf.DUMMYFUNCTION("""COMPUTED_VALUE"""),"no plate available")</f>
        <v>no plate available</v>
      </c>
      <c r="H940" s="164" t="str">
        <f ca="1">IFERROR(__xludf.DUMMYFUNCTION("""COMPUTED_VALUE"""),"MARIFLOR B. TORRELIZA (Deogracias Balmaceda)
 ATTY. ALLYSA ABQUIRAN")</f>
        <v>MARIFLOR B. TORRELIZA (Deogracias Balmaceda)
 ATTY. ALLYSA ABQUIRAN</v>
      </c>
      <c r="I940" s="164" t="str">
        <f ca="1">IFERROR(__xludf.DUMMYFUNCTION("""COMPUTED_VALUE"""),"OIC PCAO/ Technical Staff - Admin &amp; Finance Officer")</f>
        <v>OIC PCAO/ Technical Staff - Admin &amp; Finance Officer</v>
      </c>
      <c r="J940" s="164" t="str">
        <f ca="1">IFERROR(__xludf.DUMMYFUNCTION("""COMPUTED_VALUE"""),"2023-01-01 SPLIT")</f>
        <v>2023-01-01 SPLIT</v>
      </c>
      <c r="K940" s="164" t="str">
        <f ca="1">IFERROR(__xludf.DUMMYFUNCTION("""COMPUTED_VALUE"""),"(c/o Deogracias Balmaceda)")</f>
        <v>(c/o Deogracias Balmaceda)</v>
      </c>
      <c r="L940" s="164"/>
      <c r="M940" s="164" t="str">
        <f ca="1">IFERROR(__xludf.DUMMYFUNCTION("""COMPUTED_VALUE"""),"SERVICEABLE")</f>
        <v>SERVICEABLE</v>
      </c>
      <c r="N940" s="164"/>
    </row>
    <row r="941" spans="1:14" ht="13.2" hidden="1">
      <c r="A941" s="164" t="str">
        <f ca="1">IFERROR(__xludf.DUMMYFUNCTION("""COMPUTED_VALUE"""),"CAR")</f>
        <v>CAR</v>
      </c>
      <c r="B941" s="164" t="str">
        <f ca="1">IFERROR(__xludf.DUMMYFUNCTION("""COMPUTED_VALUE"""),"Abra")</f>
        <v>Abra</v>
      </c>
      <c r="C941" s="164" t="str">
        <f ca="1">IFERROR(__xludf.DUMMYFUNCTION("""COMPUTED_VALUE"""),"Motorcycle – (Honda XRL 150)")</f>
        <v>Motorcycle – (Honda XRL 150)</v>
      </c>
      <c r="D941" s="164" t="str">
        <f ca="1">IFERROR(__xludf.DUMMYFUNCTION("""COMPUTED_VALUE"""),"₱ 124,900.00")</f>
        <v>₱ 124,900.00</v>
      </c>
      <c r="E941" s="164" t="str">
        <f ca="1">IFERROR(__xludf.DUMMYFUNCTION("""COMPUTED_VALUE"""),"₱ -")</f>
        <v>₱ -</v>
      </c>
      <c r="F941" s="164" t="str">
        <f ca="1">IFERROR(__xludf.DUMMYFUNCTION("""COMPUTED_VALUE"""),"2023-06-01-1020SP14-01")</f>
        <v>2023-06-01-1020SP14-01</v>
      </c>
      <c r="G941" s="164" t="str">
        <f ca="1">IFERROR(__xludf.DUMMYFUNCTION("""COMPUTED_VALUE"""),"no plate available")</f>
        <v>no plate available</v>
      </c>
      <c r="H941" s="164" t="str">
        <f ca="1">IFERROR(__xludf.DUMMYFUNCTION("""COMPUTED_VALUE"""),"ATTY. MERCEDES S. BORONGAN (Glenn Aquino)")</f>
        <v>ATTY. MERCEDES S. BORONGAN (Glenn Aquino)</v>
      </c>
      <c r="I941" s="164" t="str">
        <f ca="1">IFERROR(__xludf.DUMMYFUNCTION("""COMPUTED_VALUE"""),"OIC PARPO II/ Project Manager")</f>
        <v>OIC PARPO II/ Project Manager</v>
      </c>
      <c r="J941" s="164" t="str">
        <f ca="1">IFERROR(__xludf.DUMMYFUNCTION("""COMPUTED_VALUE"""),"2023-09-72 SPLIT")</f>
        <v>2023-09-72 SPLIT</v>
      </c>
      <c r="K941" s="164" t="str">
        <f ca="1">IFERROR(__xludf.DUMMYFUNCTION("""COMPUTED_VALUE"""),"(c/o Glenn Aquino)")</f>
        <v>(c/o Glenn Aquino)</v>
      </c>
      <c r="L941" s="164"/>
      <c r="M941" s="164" t="str">
        <f ca="1">IFERROR(__xludf.DUMMYFUNCTION("""COMPUTED_VALUE"""),"SERVICEABLE")</f>
        <v>SERVICEABLE</v>
      </c>
      <c r="N941" s="164"/>
    </row>
    <row r="942" spans="1:14" ht="13.2" hidden="1">
      <c r="A942" s="164" t="str">
        <f ca="1">IFERROR(__xludf.DUMMYFUNCTION("""COMPUTED_VALUE"""),"CAR")</f>
        <v>CAR</v>
      </c>
      <c r="B942" s="164" t="str">
        <f ca="1">IFERROR(__xludf.DUMMYFUNCTION("""COMPUTED_VALUE"""),"Abra")</f>
        <v>Abra</v>
      </c>
      <c r="C942" s="164" t="str">
        <f ca="1">IFERROR(__xludf.DUMMYFUNCTION("""COMPUTED_VALUE"""),"Motorcycle – (Honda XRL 150)")</f>
        <v>Motorcycle – (Honda XRL 150)</v>
      </c>
      <c r="D942" s="164" t="str">
        <f ca="1">IFERROR(__xludf.DUMMYFUNCTION("""COMPUTED_VALUE"""),"₱ 124,900.00")</f>
        <v>₱ 124,900.00</v>
      </c>
      <c r="E942" s="164" t="str">
        <f ca="1">IFERROR(__xludf.DUMMYFUNCTION("""COMPUTED_VALUE"""),"₱ -")</f>
        <v>₱ -</v>
      </c>
      <c r="F942" s="164" t="str">
        <f ca="1">IFERROR(__xludf.DUMMYFUNCTION("""COMPUTED_VALUE"""),"2023-06-01-1020SP15-01")</f>
        <v>2023-06-01-1020SP15-01</v>
      </c>
      <c r="G942" s="164" t="str">
        <f ca="1">IFERROR(__xludf.DUMMYFUNCTION("""COMPUTED_VALUE"""),"no plate available")</f>
        <v>no plate available</v>
      </c>
      <c r="H942" s="164" t="str">
        <f ca="1">IFERROR(__xludf.DUMMYFUNCTION("""COMPUTED_VALUE"""),"ATTY. MERCEDES S. BORONGAN (for general dispatch)")</f>
        <v>ATTY. MERCEDES S. BORONGAN (for general dispatch)</v>
      </c>
      <c r="I942" s="164" t="str">
        <f ca="1">IFERROR(__xludf.DUMMYFUNCTION("""COMPUTED_VALUE"""),"OIC PARPO II/ Project Manager")</f>
        <v>OIC PARPO II/ Project Manager</v>
      </c>
      <c r="J942" s="164" t="str">
        <f ca="1">IFERROR(__xludf.DUMMYFUNCTION("""COMPUTED_VALUE"""),"2023-09-72 SPLIT")</f>
        <v>2023-09-72 SPLIT</v>
      </c>
      <c r="K942" s="164" t="str">
        <f ca="1">IFERROR(__xludf.DUMMYFUNCTION("""COMPUTED_VALUE"""),"ATTY. MERCEDES S. BORONGAN (for general dispatch)")</f>
        <v>ATTY. MERCEDES S. BORONGAN (for general dispatch)</v>
      </c>
      <c r="L942" s="164"/>
      <c r="M942" s="164" t="str">
        <f ca="1">IFERROR(__xludf.DUMMYFUNCTION("""COMPUTED_VALUE"""),"SERVICEABLE")</f>
        <v>SERVICEABLE</v>
      </c>
      <c r="N942" s="164"/>
    </row>
    <row r="943" spans="1:14" ht="13.2" hidden="1">
      <c r="A943" s="164" t="str">
        <f ca="1">IFERROR(__xludf.DUMMYFUNCTION("""COMPUTED_VALUE"""),"CAR")</f>
        <v>CAR</v>
      </c>
      <c r="B943" s="164" t="str">
        <f ca="1">IFERROR(__xludf.DUMMYFUNCTION("""COMPUTED_VALUE"""),"Abra")</f>
        <v>Abra</v>
      </c>
      <c r="C943" s="164" t="str">
        <f ca="1">IFERROR(__xludf.DUMMYFUNCTION("""COMPUTED_VALUE"""),"Double Cabin Pick-up Vehicles – Mitsubishi Strada")</f>
        <v>Double Cabin Pick-up Vehicles – Mitsubishi Strada</v>
      </c>
      <c r="D943" s="164" t="str">
        <f ca="1">IFERROR(__xludf.DUMMYFUNCTION("""COMPUTED_VALUE"""),"₱ 1,752,400.00")</f>
        <v>₱ 1,752,400.00</v>
      </c>
      <c r="E943" s="164" t="str">
        <f ca="1">IFERROR(__xludf.DUMMYFUNCTION("""COMPUTED_VALUE"""),"₱ -")</f>
        <v>₱ -</v>
      </c>
      <c r="F943" s="164" t="str">
        <f ca="1">IFERROR(__xludf.DUMMYFUNCTION("""COMPUTED_VALUE"""),"2023-06-01-10201SP40-01")</f>
        <v>2023-06-01-10201SP40-01</v>
      </c>
      <c r="G943" s="164" t="str">
        <f ca="1">IFERROR(__xludf.DUMMYFUNCTION("""COMPUTED_VALUE"""),"SNC1209")</f>
        <v>SNC1209</v>
      </c>
      <c r="H943" s="164" t="str">
        <f ca="1">IFERROR(__xludf.DUMMYFUNCTION("""COMPUTED_VALUE"""),"ATTY. MERCEDES S. BORONGAN")</f>
        <v>ATTY. MERCEDES S. BORONGAN</v>
      </c>
      <c r="I943" s="164" t="str">
        <f ca="1">IFERROR(__xludf.DUMMYFUNCTION("""COMPUTED_VALUE"""),"OIC PARPO II/PROV'L PROJECT MANAGER")</f>
        <v>OIC PARPO II/PROV'L PROJECT MANAGER</v>
      </c>
      <c r="J943" s="164" t="str">
        <f ca="1">IFERROR(__xludf.DUMMYFUNCTION("""COMPUTED_VALUE"""),"2023-10-75 SPLIT")</f>
        <v>2023-10-75 SPLIT</v>
      </c>
      <c r="K943" s="164" t="str">
        <f ca="1">IFERROR(__xludf.DUMMYFUNCTION("""COMPUTED_VALUE"""),"ATTY. MERCEDES S. BORONGAN")</f>
        <v>ATTY. MERCEDES S. BORONGAN</v>
      </c>
      <c r="L943" s="164" t="str">
        <f ca="1">IFERROR(__xludf.DUMMYFUNCTION("""COMPUTED_VALUE"""),"PARPO's OFFICE")</f>
        <v>PARPO's OFFICE</v>
      </c>
      <c r="M943" s="164" t="str">
        <f ca="1">IFERROR(__xludf.DUMMYFUNCTION("""COMPUTED_VALUE"""),"SERVICEABLE")</f>
        <v>SERVICEABLE</v>
      </c>
      <c r="N943" s="164"/>
    </row>
    <row r="944" spans="1:14" ht="13.2" hidden="1">
      <c r="A944" s="164" t="str">
        <f ca="1">IFERROR(__xludf.DUMMYFUNCTION("""COMPUTED_VALUE"""),"CAR")</f>
        <v>CAR</v>
      </c>
      <c r="B944" s="164" t="str">
        <f ca="1">IFERROR(__xludf.DUMMYFUNCTION("""COMPUTED_VALUE"""),"Apayao")</f>
        <v>Apayao</v>
      </c>
      <c r="C944" s="164" t="str">
        <f ca="1">IFERROR(__xludf.DUMMYFUNCTION("""COMPUTED_VALUE"""),"Motorcycle – (Honda XRL 150)")</f>
        <v>Motorcycle – (Honda XRL 150)</v>
      </c>
      <c r="D944" s="164" t="str">
        <f ca="1">IFERROR(__xludf.DUMMYFUNCTION("""COMPUTED_VALUE"""),"₱ 124,900.00")</f>
        <v>₱ 124,900.00</v>
      </c>
      <c r="E944" s="164" t="str">
        <f ca="1">IFERROR(__xludf.DUMMYFUNCTION("""COMPUTED_VALUE"""),"₱ -")</f>
        <v>₱ -</v>
      </c>
      <c r="F944" s="164" t="str">
        <f ca="1">IFERROR(__xludf.DUMMYFUNCTION("""COMPUTED_VALUE"""),"2023-06-01-1020SP12-01")</f>
        <v>2023-06-01-1020SP12-01</v>
      </c>
      <c r="G944" s="164" t="str">
        <f ca="1">IFERROR(__xludf.DUMMYFUNCTION("""COMPUTED_VALUE"""),"no plate available")</f>
        <v>no plate available</v>
      </c>
      <c r="H944" s="164" t="str">
        <f ca="1">IFERROR(__xludf.DUMMYFUNCTION("""COMPUTED_VALUE"""),"ARTEMIO DUMAOANG")</f>
        <v>ARTEMIO DUMAOANG</v>
      </c>
      <c r="I944" s="164"/>
      <c r="J944" s="164" t="str">
        <f ca="1">IFERROR(__xludf.DUMMYFUNCTION("""COMPUTED_VALUE"""),"2023-01-02 SPLIT")</f>
        <v>2023-01-02 SPLIT</v>
      </c>
      <c r="K944" s="164"/>
      <c r="L944" s="164"/>
      <c r="M944" s="164" t="str">
        <f ca="1">IFERROR(__xludf.DUMMYFUNCTION("""COMPUTED_VALUE"""),"SERVICEABLE")</f>
        <v>SERVICEABLE</v>
      </c>
      <c r="N944" s="164"/>
    </row>
    <row r="945" spans="1:14" ht="13.2" hidden="1">
      <c r="A945" s="164" t="str">
        <f ca="1">IFERROR(__xludf.DUMMYFUNCTION("""COMPUTED_VALUE"""),"CAR")</f>
        <v>CAR</v>
      </c>
      <c r="B945" s="164" t="str">
        <f ca="1">IFERROR(__xludf.DUMMYFUNCTION("""COMPUTED_VALUE"""),"Apayao")</f>
        <v>Apayao</v>
      </c>
      <c r="C945" s="164" t="str">
        <f ca="1">IFERROR(__xludf.DUMMYFUNCTION("""COMPUTED_VALUE"""),"Motorcycle – (Honda XRL 150)")</f>
        <v>Motorcycle – (Honda XRL 150)</v>
      </c>
      <c r="D945" s="164" t="str">
        <f ca="1">IFERROR(__xludf.DUMMYFUNCTION("""COMPUTED_VALUE"""),"₱ 124,900.00")</f>
        <v>₱ 124,900.00</v>
      </c>
      <c r="E945" s="164" t="str">
        <f ca="1">IFERROR(__xludf.DUMMYFUNCTION("""COMPUTED_VALUE"""),"₱ -")</f>
        <v>₱ -</v>
      </c>
      <c r="F945" s="164" t="str">
        <f ca="1">IFERROR(__xludf.DUMMYFUNCTION("""COMPUTED_VALUE"""),"2023-06-01-1020SP13-01")</f>
        <v>2023-06-01-1020SP13-01</v>
      </c>
      <c r="G945" s="164" t="str">
        <f ca="1">IFERROR(__xludf.DUMMYFUNCTION("""COMPUTED_VALUE"""),"no plate available")</f>
        <v>no plate available</v>
      </c>
      <c r="H945" s="164" t="str">
        <f ca="1">IFERROR(__xludf.DUMMYFUNCTION("""COMPUTED_VALUE"""),"ARTEMIO DUMAOANG")</f>
        <v>ARTEMIO DUMAOANG</v>
      </c>
      <c r="I945" s="164"/>
      <c r="J945" s="164" t="str">
        <f ca="1">IFERROR(__xludf.DUMMYFUNCTION("""COMPUTED_VALUE"""),"2023-01-02 SPLIT")</f>
        <v>2023-01-02 SPLIT</v>
      </c>
      <c r="K945" s="164"/>
      <c r="L945" s="164"/>
      <c r="M945" s="164" t="str">
        <f ca="1">IFERROR(__xludf.DUMMYFUNCTION("""COMPUTED_VALUE"""),"SERVICEABLE")</f>
        <v>SERVICEABLE</v>
      </c>
      <c r="N945" s="164"/>
    </row>
    <row r="946" spans="1:14" ht="13.2" hidden="1">
      <c r="A946" s="164" t="str">
        <f ca="1">IFERROR(__xludf.DUMMYFUNCTION("""COMPUTED_VALUE"""),"CAR")</f>
        <v>CAR</v>
      </c>
      <c r="B946" s="164" t="str">
        <f ca="1">IFERROR(__xludf.DUMMYFUNCTION("""COMPUTED_VALUE"""),"Apayao")</f>
        <v>Apayao</v>
      </c>
      <c r="C946" s="164" t="str">
        <f ca="1">IFERROR(__xludf.DUMMYFUNCTION("""COMPUTED_VALUE"""),"Motorcycle – (Honda XRL 150)")</f>
        <v>Motorcycle – (Honda XRL 150)</v>
      </c>
      <c r="D946" s="164" t="str">
        <f ca="1">IFERROR(__xludf.DUMMYFUNCTION("""COMPUTED_VALUE"""),"₱ 124,900.00")</f>
        <v>₱ 124,900.00</v>
      </c>
      <c r="E946" s="164" t="str">
        <f ca="1">IFERROR(__xludf.DUMMYFUNCTION("""COMPUTED_VALUE"""),"₱ -")</f>
        <v>₱ -</v>
      </c>
      <c r="F946" s="164" t="str">
        <f ca="1">IFERROR(__xludf.DUMMYFUNCTION("""COMPUTED_VALUE"""),"2023-06-01-1020SP27-01")</f>
        <v>2023-06-01-1020SP27-01</v>
      </c>
      <c r="G946" s="164" t="str">
        <f ca="1">IFERROR(__xludf.DUMMYFUNCTION("""COMPUTED_VALUE"""),"no plate available")</f>
        <v>no plate available</v>
      </c>
      <c r="H946" s="164" t="str">
        <f ca="1">IFERROR(__xludf.DUMMYFUNCTION("""COMPUTED_VALUE"""),"ARTEMIO DUMAOANG")</f>
        <v>ARTEMIO DUMAOANG</v>
      </c>
      <c r="I946" s="164"/>
      <c r="J946" s="164" t="str">
        <f ca="1">IFERROR(__xludf.DUMMYFUNCTION("""COMPUTED_VALUE"""),"2023-03-08 SPLIT")</f>
        <v>2023-03-08 SPLIT</v>
      </c>
      <c r="K946" s="164"/>
      <c r="L946" s="164"/>
      <c r="M946" s="164" t="str">
        <f ca="1">IFERROR(__xludf.DUMMYFUNCTION("""COMPUTED_VALUE"""),"SERVICEABLE")</f>
        <v>SERVICEABLE</v>
      </c>
      <c r="N946" s="164"/>
    </row>
    <row r="947" spans="1:14" ht="13.2" hidden="1">
      <c r="A947" s="164" t="str">
        <f ca="1">IFERROR(__xludf.DUMMYFUNCTION("""COMPUTED_VALUE"""),"CAR")</f>
        <v>CAR</v>
      </c>
      <c r="B947" s="164" t="str">
        <f ca="1">IFERROR(__xludf.DUMMYFUNCTION("""COMPUTED_VALUE"""),"Apayao")</f>
        <v>Apayao</v>
      </c>
      <c r="C947" s="164" t="str">
        <f ca="1">IFERROR(__xludf.DUMMYFUNCTION("""COMPUTED_VALUE"""),"Double Cabin Pick-up Vehicles – Mitsubishi Strada")</f>
        <v>Double Cabin Pick-up Vehicles – Mitsubishi Strada</v>
      </c>
      <c r="D947" s="164" t="str">
        <f ca="1">IFERROR(__xludf.DUMMYFUNCTION("""COMPUTED_VALUE"""),"₱ 1,752,400.00")</f>
        <v>₱ 1,752,400.00</v>
      </c>
      <c r="E947" s="164" t="str">
        <f ca="1">IFERROR(__xludf.DUMMYFUNCTION("""COMPUTED_VALUE"""),"₱ -")</f>
        <v>₱ -</v>
      </c>
      <c r="F947" s="164" t="str">
        <f ca="1">IFERROR(__xludf.DUMMYFUNCTION("""COMPUTED_VALUE"""),"2023-06-01-10201SP42-01")</f>
        <v>2023-06-01-10201SP42-01</v>
      </c>
      <c r="G947" s="164" t="str">
        <f ca="1">IFERROR(__xludf.DUMMYFUNCTION("""COMPUTED_VALUE"""),"SNC1115")</f>
        <v>SNC1115</v>
      </c>
      <c r="H947" s="164" t="str">
        <f ca="1">IFERROR(__xludf.DUMMYFUNCTION("""COMPUTED_VALUE"""),"FEDELINA C. LIBATIQUE")</f>
        <v>FEDELINA C. LIBATIQUE</v>
      </c>
      <c r="I947" s="164" t="str">
        <f ca="1">IFERROR(__xludf.DUMMYFUNCTION("""COMPUTED_VALUE"""),"A.O. IV/ACTING PROPERTY CUSTODIAN")</f>
        <v>A.O. IV/ACTING PROPERTY CUSTODIAN</v>
      </c>
      <c r="J947" s="164" t="str">
        <f ca="1">IFERROR(__xludf.DUMMYFUNCTION("""COMPUTED_VALUE"""),"2023-10-77 SPLIT")</f>
        <v>2023-10-77 SPLIT</v>
      </c>
      <c r="K947" s="164" t="str">
        <f ca="1">IFERROR(__xludf.DUMMYFUNCTION("""COMPUTED_VALUE"""),"ATTY. PENELOPE DE AUSEN")</f>
        <v>ATTY. PENELOPE DE AUSEN</v>
      </c>
      <c r="L947" s="164" t="str">
        <f ca="1">IFERROR(__xludf.DUMMYFUNCTION("""COMPUTED_VALUE"""),"STOD-GSS")</f>
        <v>STOD-GSS</v>
      </c>
      <c r="M947" s="164" t="str">
        <f ca="1">IFERROR(__xludf.DUMMYFUNCTION("""COMPUTED_VALUE"""),"SERVICEABLE")</f>
        <v>SERVICEABLE</v>
      </c>
      <c r="N947" s="164"/>
    </row>
    <row r="948" spans="1:14" ht="13.2" hidden="1">
      <c r="A948" s="164" t="str">
        <f ca="1">IFERROR(__xludf.DUMMYFUNCTION("""COMPUTED_VALUE"""),"CAR")</f>
        <v>CAR</v>
      </c>
      <c r="B948" s="164" t="str">
        <f ca="1">IFERROR(__xludf.DUMMYFUNCTION("""COMPUTED_VALUE"""),"Benguet")</f>
        <v>Benguet</v>
      </c>
      <c r="C948" s="164" t="str">
        <f ca="1">IFERROR(__xludf.DUMMYFUNCTION("""COMPUTED_VALUE"""),"Motorcycle – (Honda XRL 150)")</f>
        <v>Motorcycle – (Honda XRL 150)</v>
      </c>
      <c r="D948" s="164" t="str">
        <f ca="1">IFERROR(__xludf.DUMMYFUNCTION("""COMPUTED_VALUE"""),"₱ 124,900.00")</f>
        <v>₱ 124,900.00</v>
      </c>
      <c r="E948" s="164" t="str">
        <f ca="1">IFERROR(__xludf.DUMMYFUNCTION("""COMPUTED_VALUE"""),"₱ -")</f>
        <v>₱ -</v>
      </c>
      <c r="F948" s="164" t="str">
        <f ca="1">IFERROR(__xludf.DUMMYFUNCTION("""COMPUTED_VALUE"""),"2023-06-01-1020SP16-01")</f>
        <v>2023-06-01-1020SP16-01</v>
      </c>
      <c r="G948" s="164" t="str">
        <f ca="1">IFERROR(__xludf.DUMMYFUNCTION("""COMPUTED_VALUE"""),"no plate available")</f>
        <v>no plate available</v>
      </c>
      <c r="H948" s="164" t="str">
        <f ca="1">IFERROR(__xludf.DUMMYFUNCTION("""COMPUTED_VALUE"""),"FERDINOVEM DEPAYSO
 DONA LYN CHING")</f>
        <v>FERDINOVEM DEPAYSO
 DONA LYN CHING</v>
      </c>
      <c r="I948" s="164" t="str">
        <f ca="1">IFERROR(__xludf.DUMMYFUNCTION("""COMPUTED_VALUE"""),"OIC CAO / Admin&amp; Fin Coordinator")</f>
        <v>OIC CAO / Admin&amp; Fin Coordinator</v>
      </c>
      <c r="J948" s="164"/>
      <c r="K948" s="164" t="str">
        <f ca="1">IFERROR(__xludf.DUMMYFUNCTION("""COMPUTED_VALUE"""),"FERDINOVEM DEPAYSO")</f>
        <v>FERDINOVEM DEPAYSO</v>
      </c>
      <c r="L948" s="164" t="str">
        <f ca="1">IFERROR(__xludf.DUMMYFUNCTION("""COMPUTED_VALUE"""),"C/O DONNALYN CHING")</f>
        <v>C/O DONNALYN CHING</v>
      </c>
      <c r="M948" s="164" t="str">
        <f ca="1">IFERROR(__xludf.DUMMYFUNCTION("""COMPUTED_VALUE"""),"SERVICEABLE")</f>
        <v>SERVICEABLE</v>
      </c>
      <c r="N948" s="164"/>
    </row>
    <row r="949" spans="1:14" ht="13.2" hidden="1">
      <c r="A949" s="164" t="str">
        <f ca="1">IFERROR(__xludf.DUMMYFUNCTION("""COMPUTED_VALUE"""),"CAR")</f>
        <v>CAR</v>
      </c>
      <c r="B949" s="164" t="str">
        <f ca="1">IFERROR(__xludf.DUMMYFUNCTION("""COMPUTED_VALUE"""),"Benguet")</f>
        <v>Benguet</v>
      </c>
      <c r="C949" s="164" t="str">
        <f ca="1">IFERROR(__xludf.DUMMYFUNCTION("""COMPUTED_VALUE"""),"Double Cabin Pick-up Vehicles – Mitsubishi Strada")</f>
        <v>Double Cabin Pick-up Vehicles – Mitsubishi Strada</v>
      </c>
      <c r="D949" s="164" t="str">
        <f ca="1">IFERROR(__xludf.DUMMYFUNCTION("""COMPUTED_VALUE"""),"₱ 1,752,400.00")</f>
        <v>₱ 1,752,400.00</v>
      </c>
      <c r="E949" s="164" t="str">
        <f ca="1">IFERROR(__xludf.DUMMYFUNCTION("""COMPUTED_VALUE"""),"₱ -")</f>
        <v>₱ -</v>
      </c>
      <c r="F949" s="164" t="str">
        <f ca="1">IFERROR(__xludf.DUMMYFUNCTION("""COMPUTED_VALUE"""),"2023-06-01-10201SP43-01")</f>
        <v>2023-06-01-10201SP43-01</v>
      </c>
      <c r="G949" s="164" t="str">
        <f ca="1">IFERROR(__xludf.DUMMYFUNCTION("""COMPUTED_VALUE"""),"SNC 1113")</f>
        <v>SNC 1113</v>
      </c>
      <c r="H949" s="164" t="str">
        <f ca="1">IFERROR(__xludf.DUMMYFUNCTION("""COMPUTED_VALUE"""),"LAILANI A. CORTEZ")</f>
        <v>LAILANI A. CORTEZ</v>
      </c>
      <c r="I949" s="164" t="str">
        <f ca="1">IFERROR(__xludf.DUMMYFUNCTION("""COMPUTED_VALUE"""),"OIC PARPO II/PROV'L PROJECT MANAGER")</f>
        <v>OIC PARPO II/PROV'L PROJECT MANAGER</v>
      </c>
      <c r="J949" s="164" t="str">
        <f ca="1">IFERROR(__xludf.DUMMYFUNCTION("""COMPUTED_VALUE"""),"2023-10-78 SPLIT")</f>
        <v>2023-10-78 SPLIT</v>
      </c>
      <c r="K949" s="164" t="str">
        <f ca="1">IFERROR(__xludf.DUMMYFUNCTION("""COMPUTED_VALUE"""),"LAILANI A. CORTEZ")</f>
        <v>LAILANI A. CORTEZ</v>
      </c>
      <c r="L949" s="164" t="str">
        <f ca="1">IFERROR(__xludf.DUMMYFUNCTION("""COMPUTED_VALUE"""),"DARPO-BEN GUET")</f>
        <v>DARPO-BEN GUET</v>
      </c>
      <c r="M949" s="164" t="str">
        <f ca="1">IFERROR(__xludf.DUMMYFUNCTION("""COMPUTED_VALUE"""),"SERVICEABLE")</f>
        <v>SERVICEABLE</v>
      </c>
      <c r="N949" s="164"/>
    </row>
    <row r="950" spans="1:14" ht="13.2" hidden="1">
      <c r="A950" s="164" t="str">
        <f ca="1">IFERROR(__xludf.DUMMYFUNCTION("""COMPUTED_VALUE"""),"CAR")</f>
        <v>CAR</v>
      </c>
      <c r="B950" s="164" t="str">
        <f ca="1">IFERROR(__xludf.DUMMYFUNCTION("""COMPUTED_VALUE"""),"Ifugao")</f>
        <v>Ifugao</v>
      </c>
      <c r="C950" s="164" t="str">
        <f ca="1">IFERROR(__xludf.DUMMYFUNCTION("""COMPUTED_VALUE"""),"Motorcycle – (Honda XRL 150)")</f>
        <v>Motorcycle – (Honda XRL 150)</v>
      </c>
      <c r="D950" s="164" t="str">
        <f ca="1">IFERROR(__xludf.DUMMYFUNCTION("""COMPUTED_VALUE"""),"₱ 124,900.00")</f>
        <v>₱ 124,900.00</v>
      </c>
      <c r="E950" s="164" t="str">
        <f ca="1">IFERROR(__xludf.DUMMYFUNCTION("""COMPUTED_VALUE"""),"₱ -")</f>
        <v>₱ -</v>
      </c>
      <c r="F950" s="164" t="str">
        <f ca="1">IFERROR(__xludf.DUMMYFUNCTION("""COMPUTED_VALUE"""),"2023-06-01-1020SP17-01")</f>
        <v>2023-06-01-1020SP17-01</v>
      </c>
      <c r="G950" s="164" t="str">
        <f ca="1">IFERROR(__xludf.DUMMYFUNCTION("""COMPUTED_VALUE"""),"no plate available")</f>
        <v>no plate available</v>
      </c>
      <c r="H950" s="164" t="str">
        <f ca="1">IFERROR(__xludf.DUMMYFUNCTION("""COMPUTED_VALUE"""),"BRENDA P. LAFASNI")</f>
        <v>BRENDA P. LAFASNI</v>
      </c>
      <c r="I950" s="164" t="str">
        <f ca="1">IFERROR(__xludf.DUMMYFUNCTION("""COMPUTED_VALUE"""),"OIC-PARPO II / Project Manager")</f>
        <v>OIC-PARPO II / Project Manager</v>
      </c>
      <c r="J950" s="164" t="str">
        <f ca="1">IFERROR(__xludf.DUMMYFUNCTION("""COMPUTED_VALUE"""),"2023-01-04 SPLIT")</f>
        <v>2023-01-04 SPLIT</v>
      </c>
      <c r="K950" s="164" t="str">
        <f ca="1">IFERROR(__xludf.DUMMYFUNCTION("""COMPUTED_VALUE"""),"BRENDA P. LAFASNI")</f>
        <v>BRENDA P. LAFASNI</v>
      </c>
      <c r="L950" s="164"/>
      <c r="M950" s="164" t="str">
        <f ca="1">IFERROR(__xludf.DUMMYFUNCTION("""COMPUTED_VALUE"""),"SERVICEABLE")</f>
        <v>SERVICEABLE</v>
      </c>
      <c r="N950" s="164"/>
    </row>
    <row r="951" spans="1:14" ht="13.2" hidden="1">
      <c r="A951" s="164" t="str">
        <f ca="1">IFERROR(__xludf.DUMMYFUNCTION("""COMPUTED_VALUE"""),"CAR")</f>
        <v>CAR</v>
      </c>
      <c r="B951" s="164" t="str">
        <f ca="1">IFERROR(__xludf.DUMMYFUNCTION("""COMPUTED_VALUE"""),"Ifugao")</f>
        <v>Ifugao</v>
      </c>
      <c r="C951" s="164" t="str">
        <f ca="1">IFERROR(__xludf.DUMMYFUNCTION("""COMPUTED_VALUE"""),"Motorcycle – (Honda XRL 150)")</f>
        <v>Motorcycle – (Honda XRL 150)</v>
      </c>
      <c r="D951" s="164" t="str">
        <f ca="1">IFERROR(__xludf.DUMMYFUNCTION("""COMPUTED_VALUE"""),"₱ 124,900.00")</f>
        <v>₱ 124,900.00</v>
      </c>
      <c r="E951" s="164" t="str">
        <f ca="1">IFERROR(__xludf.DUMMYFUNCTION("""COMPUTED_VALUE"""),"₱ -")</f>
        <v>₱ -</v>
      </c>
      <c r="F951" s="164" t="str">
        <f ca="1">IFERROR(__xludf.DUMMYFUNCTION("""COMPUTED_VALUE"""),"2023-06-01-1020SP18-01")</f>
        <v>2023-06-01-1020SP18-01</v>
      </c>
      <c r="G951" s="164" t="str">
        <f ca="1">IFERROR(__xludf.DUMMYFUNCTION("""COMPUTED_VALUE"""),"no plate available")</f>
        <v>no plate available</v>
      </c>
      <c r="H951" s="164" t="str">
        <f ca="1">IFERROR(__xludf.DUMMYFUNCTION("""COMPUTED_VALUE"""),"BRENDA P. LAFASNI")</f>
        <v>BRENDA P. LAFASNI</v>
      </c>
      <c r="I951" s="164" t="str">
        <f ca="1">IFERROR(__xludf.DUMMYFUNCTION("""COMPUTED_VALUE"""),"OIC-PARPO II / Project Manager")</f>
        <v>OIC-PARPO II / Project Manager</v>
      </c>
      <c r="J951" s="164" t="str">
        <f ca="1">IFERROR(__xludf.DUMMYFUNCTION("""COMPUTED_VALUE"""),"2023-01-04 SPLIT")</f>
        <v>2023-01-04 SPLIT</v>
      </c>
      <c r="K951" s="164" t="str">
        <f ca="1">IFERROR(__xludf.DUMMYFUNCTION("""COMPUTED_VALUE"""),"BRENDA P. LAFASNI")</f>
        <v>BRENDA P. LAFASNI</v>
      </c>
      <c r="L951" s="164"/>
      <c r="M951" s="164" t="str">
        <f ca="1">IFERROR(__xludf.DUMMYFUNCTION("""COMPUTED_VALUE"""),"SERVICEABLE")</f>
        <v>SERVICEABLE</v>
      </c>
      <c r="N951" s="164"/>
    </row>
    <row r="952" spans="1:14" ht="13.2" hidden="1">
      <c r="A952" s="164" t="str">
        <f ca="1">IFERROR(__xludf.DUMMYFUNCTION("""COMPUTED_VALUE"""),"CAR")</f>
        <v>CAR</v>
      </c>
      <c r="B952" s="164" t="str">
        <f ca="1">IFERROR(__xludf.DUMMYFUNCTION("""COMPUTED_VALUE"""),"Ifugao")</f>
        <v>Ifugao</v>
      </c>
      <c r="C952" s="164" t="str">
        <f ca="1">IFERROR(__xludf.DUMMYFUNCTION("""COMPUTED_VALUE"""),"Motorcycle – (Honda XRL 150)")</f>
        <v>Motorcycle – (Honda XRL 150)</v>
      </c>
      <c r="D952" s="164" t="str">
        <f ca="1">IFERROR(__xludf.DUMMYFUNCTION("""COMPUTED_VALUE"""),"₱ 124,900.00")</f>
        <v>₱ 124,900.00</v>
      </c>
      <c r="E952" s="164" t="str">
        <f ca="1">IFERROR(__xludf.DUMMYFUNCTION("""COMPUTED_VALUE"""),"₱ -")</f>
        <v>₱ -</v>
      </c>
      <c r="F952" s="164" t="str">
        <f ca="1">IFERROR(__xludf.DUMMYFUNCTION("""COMPUTED_VALUE"""),"2023-06-01-1020SP19-01")</f>
        <v>2023-06-01-1020SP19-01</v>
      </c>
      <c r="G952" s="164" t="str">
        <f ca="1">IFERROR(__xludf.DUMMYFUNCTION("""COMPUTED_VALUE"""),"no plate available")</f>
        <v>no plate available</v>
      </c>
      <c r="H952" s="164" t="str">
        <f ca="1">IFERROR(__xludf.DUMMYFUNCTION("""COMPUTED_VALUE"""),"BRENDA P. LAFASNI")</f>
        <v>BRENDA P. LAFASNI</v>
      </c>
      <c r="I952" s="164" t="str">
        <f ca="1">IFERROR(__xludf.DUMMYFUNCTION("""COMPUTED_VALUE"""),"OIC-PARPO II / Project Manager")</f>
        <v>OIC-PARPO II / Project Manager</v>
      </c>
      <c r="J952" s="164" t="str">
        <f ca="1">IFERROR(__xludf.DUMMYFUNCTION("""COMPUTED_VALUE"""),"2023-01-04 SPLIT")</f>
        <v>2023-01-04 SPLIT</v>
      </c>
      <c r="K952" s="164" t="str">
        <f ca="1">IFERROR(__xludf.DUMMYFUNCTION("""COMPUTED_VALUE"""),"BRENDA P. LAFASNI")</f>
        <v>BRENDA P. LAFASNI</v>
      </c>
      <c r="L952" s="164"/>
      <c r="M952" s="164" t="str">
        <f ca="1">IFERROR(__xludf.DUMMYFUNCTION("""COMPUTED_VALUE"""),"SERVICEABLE")</f>
        <v>SERVICEABLE</v>
      </c>
      <c r="N952" s="164"/>
    </row>
    <row r="953" spans="1:14" ht="13.2" hidden="1">
      <c r="A953" s="164" t="str">
        <f ca="1">IFERROR(__xludf.DUMMYFUNCTION("""COMPUTED_VALUE"""),"CAR")</f>
        <v>CAR</v>
      </c>
      <c r="B953" s="164" t="str">
        <f ca="1">IFERROR(__xludf.DUMMYFUNCTION("""COMPUTED_VALUE"""),"Ifugao")</f>
        <v>Ifugao</v>
      </c>
      <c r="C953" s="164" t="str">
        <f ca="1">IFERROR(__xludf.DUMMYFUNCTION("""COMPUTED_VALUE"""),"Motorcycle – (Honda XRL 150)")</f>
        <v>Motorcycle – (Honda XRL 150)</v>
      </c>
      <c r="D953" s="164" t="str">
        <f ca="1">IFERROR(__xludf.DUMMYFUNCTION("""COMPUTED_VALUE"""),"₱ 124,900.00")</f>
        <v>₱ 124,900.00</v>
      </c>
      <c r="E953" s="164" t="str">
        <f ca="1">IFERROR(__xludf.DUMMYFUNCTION("""COMPUTED_VALUE"""),"₱ -")</f>
        <v>₱ -</v>
      </c>
      <c r="F953" s="164" t="str">
        <f ca="1">IFERROR(__xludf.DUMMYFUNCTION("""COMPUTED_VALUE"""),"2023-06-01-1020SP20-01")</f>
        <v>2023-06-01-1020SP20-01</v>
      </c>
      <c r="G953" s="164" t="str">
        <f ca="1">IFERROR(__xludf.DUMMYFUNCTION("""COMPUTED_VALUE"""),"no plate available")</f>
        <v>no plate available</v>
      </c>
      <c r="H953" s="164" t="str">
        <f ca="1">IFERROR(__xludf.DUMMYFUNCTION("""COMPUTED_VALUE"""),"BRENDA P. LAFASNI")</f>
        <v>BRENDA P. LAFASNI</v>
      </c>
      <c r="I953" s="164" t="str">
        <f ca="1">IFERROR(__xludf.DUMMYFUNCTION("""COMPUTED_VALUE"""),"OIC-PARPO II / Project Manager")</f>
        <v>OIC-PARPO II / Project Manager</v>
      </c>
      <c r="J953" s="164" t="str">
        <f ca="1">IFERROR(__xludf.DUMMYFUNCTION("""COMPUTED_VALUE"""),"2023-01-04 SPLIT")</f>
        <v>2023-01-04 SPLIT</v>
      </c>
      <c r="K953" s="164" t="str">
        <f ca="1">IFERROR(__xludf.DUMMYFUNCTION("""COMPUTED_VALUE"""),"BRENDA P. LAFASNI")</f>
        <v>BRENDA P. LAFASNI</v>
      </c>
      <c r="L953" s="164"/>
      <c r="M953" s="164" t="str">
        <f ca="1">IFERROR(__xludf.DUMMYFUNCTION("""COMPUTED_VALUE"""),"SERVICEABLE")</f>
        <v>SERVICEABLE</v>
      </c>
      <c r="N953" s="164"/>
    </row>
    <row r="954" spans="1:14" ht="13.2" hidden="1">
      <c r="A954" s="164" t="str">
        <f ca="1">IFERROR(__xludf.DUMMYFUNCTION("""COMPUTED_VALUE"""),"CAR")</f>
        <v>CAR</v>
      </c>
      <c r="B954" s="164" t="str">
        <f ca="1">IFERROR(__xludf.DUMMYFUNCTION("""COMPUTED_VALUE"""),"Ifugao")</f>
        <v>Ifugao</v>
      </c>
      <c r="C954" s="164" t="str">
        <f ca="1">IFERROR(__xludf.DUMMYFUNCTION("""COMPUTED_VALUE"""),"Double Cabin Pick-up Vehicles – Mitsubishi Strada")</f>
        <v>Double Cabin Pick-up Vehicles – Mitsubishi Strada</v>
      </c>
      <c r="D954" s="164" t="str">
        <f ca="1">IFERROR(__xludf.DUMMYFUNCTION("""COMPUTED_VALUE"""),"₱ 1,752,400.00")</f>
        <v>₱ 1,752,400.00</v>
      </c>
      <c r="E954" s="164" t="str">
        <f ca="1">IFERROR(__xludf.DUMMYFUNCTION("""COMPUTED_VALUE"""),"₱ -")</f>
        <v>₱ -</v>
      </c>
      <c r="F954" s="164" t="str">
        <f ca="1">IFERROR(__xludf.DUMMYFUNCTION("""COMPUTED_VALUE"""),"2023-06-01-10201S44-01")</f>
        <v>2023-06-01-10201S44-01</v>
      </c>
      <c r="G954" s="164" t="str">
        <f ca="1">IFERROR(__xludf.DUMMYFUNCTION("""COMPUTED_VALUE"""),"SNC 1125")</f>
        <v>SNC 1125</v>
      </c>
      <c r="H954" s="164" t="str">
        <f ca="1">IFERROR(__xludf.DUMMYFUNCTION("""COMPUTED_VALUE"""),"PARO- IFUGAO")</f>
        <v>PARO- IFUGAO</v>
      </c>
      <c r="I954" s="164"/>
      <c r="J954" s="164" t="str">
        <f ca="1">IFERROR(__xludf.DUMMYFUNCTION("""COMPUTED_VALUE"""),"2023-10-79 SPLIT")</f>
        <v>2023-10-79 SPLIT</v>
      </c>
      <c r="K954" s="164"/>
      <c r="L954" s="164"/>
      <c r="M954" s="164" t="str">
        <f ca="1">IFERROR(__xludf.DUMMYFUNCTION("""COMPUTED_VALUE"""),"SERVICEABLE")</f>
        <v>SERVICEABLE</v>
      </c>
      <c r="N954" s="164"/>
    </row>
    <row r="955" spans="1:14" ht="13.2" hidden="1">
      <c r="A955" s="164" t="str">
        <f ca="1">IFERROR(__xludf.DUMMYFUNCTION("""COMPUTED_VALUE"""),"CAR")</f>
        <v>CAR</v>
      </c>
      <c r="B955" s="164" t="str">
        <f ca="1">IFERROR(__xludf.DUMMYFUNCTION("""COMPUTED_VALUE"""),"Kalinga")</f>
        <v>Kalinga</v>
      </c>
      <c r="C955" s="164" t="str">
        <f ca="1">IFERROR(__xludf.DUMMYFUNCTION("""COMPUTED_VALUE"""),"Motorcycle – (Honda XRL 150)")</f>
        <v>Motorcycle – (Honda XRL 150)</v>
      </c>
      <c r="D955" s="164" t="str">
        <f ca="1">IFERROR(__xludf.DUMMYFUNCTION("""COMPUTED_VALUE"""),"₱ 124,900.00")</f>
        <v>₱ 124,900.00</v>
      </c>
      <c r="E955" s="164" t="str">
        <f ca="1">IFERROR(__xludf.DUMMYFUNCTION("""COMPUTED_VALUE"""),"₱ -")</f>
        <v>₱ -</v>
      </c>
      <c r="F955" s="164" t="str">
        <f ca="1">IFERROR(__xludf.DUMMYFUNCTION("""COMPUTED_VALUE"""),"2023-06-01-1020SP21-01")</f>
        <v>2023-06-01-1020SP21-01</v>
      </c>
      <c r="G955" s="164" t="str">
        <f ca="1">IFERROR(__xludf.DUMMYFUNCTION("""COMPUTED_VALUE"""),"no plate available")</f>
        <v>no plate available</v>
      </c>
      <c r="H955" s="164" t="str">
        <f ca="1">IFERROR(__xludf.DUMMYFUNCTION("""COMPUTED_VALUE"""),"REYNALDO S. MANONGYAO")</f>
        <v>REYNALDO S. MANONGYAO</v>
      </c>
      <c r="I955" s="164" t="str">
        <f ca="1">IFERROR(__xludf.DUMMYFUNCTION("""COMPUTED_VALUE"""),"Parcelization Component and Field Validation Team Coordinator")</f>
        <v>Parcelization Component and Field Validation Team Coordinator</v>
      </c>
      <c r="J955" s="164" t="str">
        <f ca="1">IFERROR(__xludf.DUMMYFUNCTION("""COMPUTED_VALUE"""),"2023-01-05 SPLIT")</f>
        <v>2023-01-05 SPLIT</v>
      </c>
      <c r="K955" s="164" t="str">
        <f ca="1">IFERROR(__xludf.DUMMYFUNCTION("""COMPUTED_VALUE"""),"REYNALDO S. MANONGYAO")</f>
        <v>REYNALDO S. MANONGYAO</v>
      </c>
      <c r="L955" s="164"/>
      <c r="M955" s="164" t="str">
        <f ca="1">IFERROR(__xludf.DUMMYFUNCTION("""COMPUTED_VALUE"""),"SERVICEABLE")</f>
        <v>SERVICEABLE</v>
      </c>
      <c r="N955" s="164"/>
    </row>
    <row r="956" spans="1:14" ht="13.2" hidden="1">
      <c r="A956" s="164" t="str">
        <f ca="1">IFERROR(__xludf.DUMMYFUNCTION("""COMPUTED_VALUE"""),"CAR")</f>
        <v>CAR</v>
      </c>
      <c r="B956" s="164" t="str">
        <f ca="1">IFERROR(__xludf.DUMMYFUNCTION("""COMPUTED_VALUE"""),"Kalinga")</f>
        <v>Kalinga</v>
      </c>
      <c r="C956" s="164" t="str">
        <f ca="1">IFERROR(__xludf.DUMMYFUNCTION("""COMPUTED_VALUE"""),"Motorcycle – (Honda XRL 150)")</f>
        <v>Motorcycle – (Honda XRL 150)</v>
      </c>
      <c r="D956" s="164" t="str">
        <f ca="1">IFERROR(__xludf.DUMMYFUNCTION("""COMPUTED_VALUE"""),"₱ 124,900.00")</f>
        <v>₱ 124,900.00</v>
      </c>
      <c r="E956" s="164" t="str">
        <f ca="1">IFERROR(__xludf.DUMMYFUNCTION("""COMPUTED_VALUE"""),"₱ -")</f>
        <v>₱ -</v>
      </c>
      <c r="F956" s="164" t="str">
        <f ca="1">IFERROR(__xludf.DUMMYFUNCTION("""COMPUTED_VALUE"""),"2023-06-01-1020SP22-01")</f>
        <v>2023-06-01-1020SP22-01</v>
      </c>
      <c r="G956" s="164" t="str">
        <f ca="1">IFERROR(__xludf.DUMMYFUNCTION("""COMPUTED_VALUE"""),"no plate available")</f>
        <v>no plate available</v>
      </c>
      <c r="H956" s="164" t="str">
        <f ca="1">IFERROR(__xludf.DUMMYFUNCTION("""COMPUTED_VALUE"""),"REYNALDO S. MANONGYAO")</f>
        <v>REYNALDO S. MANONGYAO</v>
      </c>
      <c r="I956" s="164" t="str">
        <f ca="1">IFERROR(__xludf.DUMMYFUNCTION("""COMPUTED_VALUE"""),"Parcelization Component and Field Validation Team Coordinator")</f>
        <v>Parcelization Component and Field Validation Team Coordinator</v>
      </c>
      <c r="J956" s="164" t="str">
        <f ca="1">IFERROR(__xludf.DUMMYFUNCTION("""COMPUTED_VALUE"""),"2023-01-05 SPLIT")</f>
        <v>2023-01-05 SPLIT</v>
      </c>
      <c r="K956" s="164" t="str">
        <f ca="1">IFERROR(__xludf.DUMMYFUNCTION("""COMPUTED_VALUE"""),"REYNALDO S. MANONGYAO")</f>
        <v>REYNALDO S. MANONGYAO</v>
      </c>
      <c r="L956" s="164"/>
      <c r="M956" s="164" t="str">
        <f ca="1">IFERROR(__xludf.DUMMYFUNCTION("""COMPUTED_VALUE"""),"SERVICEABLE")</f>
        <v>SERVICEABLE</v>
      </c>
      <c r="N956" s="164"/>
    </row>
    <row r="957" spans="1:14" ht="13.2" hidden="1">
      <c r="A957" s="164" t="str">
        <f ca="1">IFERROR(__xludf.DUMMYFUNCTION("""COMPUTED_VALUE"""),"CAR")</f>
        <v>CAR</v>
      </c>
      <c r="B957" s="164" t="str">
        <f ca="1">IFERROR(__xludf.DUMMYFUNCTION("""COMPUTED_VALUE"""),"Kalinga")</f>
        <v>Kalinga</v>
      </c>
      <c r="C957" s="164" t="str">
        <f ca="1">IFERROR(__xludf.DUMMYFUNCTION("""COMPUTED_VALUE"""),"Motorcycle – (Honda XRL 150)")</f>
        <v>Motorcycle – (Honda XRL 150)</v>
      </c>
      <c r="D957" s="164" t="str">
        <f ca="1">IFERROR(__xludf.DUMMYFUNCTION("""COMPUTED_VALUE"""),"₱ 124,900.00")</f>
        <v>₱ 124,900.00</v>
      </c>
      <c r="E957" s="164" t="str">
        <f ca="1">IFERROR(__xludf.DUMMYFUNCTION("""COMPUTED_VALUE"""),"₱ -")</f>
        <v>₱ -</v>
      </c>
      <c r="F957" s="164" t="str">
        <f ca="1">IFERROR(__xludf.DUMMYFUNCTION("""COMPUTED_VALUE"""),"2023-06-01-1020SP23-01")</f>
        <v>2023-06-01-1020SP23-01</v>
      </c>
      <c r="G957" s="164" t="str">
        <f ca="1">IFERROR(__xludf.DUMMYFUNCTION("""COMPUTED_VALUE"""),"no plate available")</f>
        <v>no plate available</v>
      </c>
      <c r="H957" s="164" t="str">
        <f ca="1">IFERROR(__xludf.DUMMYFUNCTION("""COMPUTED_VALUE"""),"REYNALDO S. MANONGYAO")</f>
        <v>REYNALDO S. MANONGYAO</v>
      </c>
      <c r="I957" s="164" t="str">
        <f ca="1">IFERROR(__xludf.DUMMYFUNCTION("""COMPUTED_VALUE"""),"Parcelization Component and Field Validation Team Coordinator")</f>
        <v>Parcelization Component and Field Validation Team Coordinator</v>
      </c>
      <c r="J957" s="164" t="str">
        <f ca="1">IFERROR(__xludf.DUMMYFUNCTION("""COMPUTED_VALUE"""),"2023-01-05 SPLIT")</f>
        <v>2023-01-05 SPLIT</v>
      </c>
      <c r="K957" s="164" t="str">
        <f ca="1">IFERROR(__xludf.DUMMYFUNCTION("""COMPUTED_VALUE"""),"REYNALDO S. MANONGYAO")</f>
        <v>REYNALDO S. MANONGYAO</v>
      </c>
      <c r="L957" s="164"/>
      <c r="M957" s="164" t="str">
        <f ca="1">IFERROR(__xludf.DUMMYFUNCTION("""COMPUTED_VALUE"""),"SERVICEABLE")</f>
        <v>SERVICEABLE</v>
      </c>
      <c r="N957" s="164"/>
    </row>
    <row r="958" spans="1:14" ht="13.2" hidden="1">
      <c r="A958" s="164" t="str">
        <f ca="1">IFERROR(__xludf.DUMMYFUNCTION("""COMPUTED_VALUE"""),"CAR")</f>
        <v>CAR</v>
      </c>
      <c r="B958" s="164" t="str">
        <f ca="1">IFERROR(__xludf.DUMMYFUNCTION("""COMPUTED_VALUE"""),"Kalinga")</f>
        <v>Kalinga</v>
      </c>
      <c r="C958" s="164" t="str">
        <f ca="1">IFERROR(__xludf.DUMMYFUNCTION("""COMPUTED_VALUE"""),"Double Cabin Pick-up Vehicles – Mitsubishi Strada")</f>
        <v>Double Cabin Pick-up Vehicles – Mitsubishi Strada</v>
      </c>
      <c r="D958" s="164" t="str">
        <f ca="1">IFERROR(__xludf.DUMMYFUNCTION("""COMPUTED_VALUE"""),"₱ 1,752,400.00")</f>
        <v>₱ 1,752,400.00</v>
      </c>
      <c r="E958" s="164" t="str">
        <f ca="1">IFERROR(__xludf.DUMMYFUNCTION("""COMPUTED_VALUE"""),"₱ -")</f>
        <v>₱ -</v>
      </c>
      <c r="F958" s="164" t="str">
        <f ca="1">IFERROR(__xludf.DUMMYFUNCTION("""COMPUTED_VALUE"""),"2023-06-01-10201SP45-01")</f>
        <v>2023-06-01-10201SP45-01</v>
      </c>
      <c r="G958" s="164" t="str">
        <f ca="1">IFERROR(__xludf.DUMMYFUNCTION("""COMPUTED_VALUE"""),"SNC 1195")</f>
        <v>SNC 1195</v>
      </c>
      <c r="H958" s="164" t="str">
        <f ca="1">IFERROR(__xludf.DUMMYFUNCTION("""COMPUTED_VALUE"""),"ROSALINA E. BAYAONA C/O MIGUEL K. BANCILO JR")</f>
        <v>ROSALINA E. BAYAONA C/O MIGUEL K. BANCILO JR</v>
      </c>
      <c r="I958" s="164" t="str">
        <f ca="1">IFERROR(__xludf.DUMMYFUNCTION("""COMPUTED_VALUE"""),"A.O IV / COS")</f>
        <v>A.O IV / COS</v>
      </c>
      <c r="J958" s="164" t="str">
        <f ca="1">IFERROR(__xludf.DUMMYFUNCTION("""COMPUTED_VALUE"""),"2023-10-80 SPLIT")</f>
        <v>2023-10-80 SPLIT</v>
      </c>
      <c r="K958" s="164" t="str">
        <f ca="1">IFERROR(__xludf.DUMMYFUNCTION("""COMPUTED_VALUE"""),"ROSALINA E. BAYAONA C/O MIGUEL K. BANCILO JR")</f>
        <v>ROSALINA E. BAYAONA C/O MIGUEL K. BANCILO JR</v>
      </c>
      <c r="L958" s="164" t="str">
        <f ca="1">IFERROR(__xludf.DUMMYFUNCTION("""COMPUTED_VALUE"""),"GSS / SPLIT")</f>
        <v>GSS / SPLIT</v>
      </c>
      <c r="M958" s="164" t="str">
        <f ca="1">IFERROR(__xludf.DUMMYFUNCTION("""COMPUTED_VALUE"""),"SERVICEABLE")</f>
        <v>SERVICEABLE</v>
      </c>
      <c r="N958" s="164"/>
    </row>
    <row r="959" spans="1:14" ht="13.2" hidden="1">
      <c r="A959" s="164" t="str">
        <f ca="1">IFERROR(__xludf.DUMMYFUNCTION("""COMPUTED_VALUE"""),"CAR")</f>
        <v>CAR</v>
      </c>
      <c r="B959" s="164" t="str">
        <f ca="1">IFERROR(__xludf.DUMMYFUNCTION("""COMPUTED_VALUE"""),"Mt. Province")</f>
        <v>Mt. Province</v>
      </c>
      <c r="C959" s="164" t="str">
        <f ca="1">IFERROR(__xludf.DUMMYFUNCTION("""COMPUTED_VALUE"""),"Motorcycle – (Honda XRL 150)")</f>
        <v>Motorcycle – (Honda XRL 150)</v>
      </c>
      <c r="D959" s="164" t="str">
        <f ca="1">IFERROR(__xludf.DUMMYFUNCTION("""COMPUTED_VALUE"""),"₱ 124,900.00")</f>
        <v>₱ 124,900.00</v>
      </c>
      <c r="E959" s="164" t="str">
        <f ca="1">IFERROR(__xludf.DUMMYFUNCTION("""COMPUTED_VALUE"""),"₱ -")</f>
        <v>₱ -</v>
      </c>
      <c r="F959" s="164" t="str">
        <f ca="1">IFERROR(__xludf.DUMMYFUNCTION("""COMPUTED_VALUE"""),"2023-06-01-1020SP24-01")</f>
        <v>2023-06-01-1020SP24-01</v>
      </c>
      <c r="G959" s="164" t="str">
        <f ca="1">IFERROR(__xludf.DUMMYFUNCTION("""COMPUTED_VALUE"""),"no plate available")</f>
        <v>no plate available</v>
      </c>
      <c r="H959" s="164" t="str">
        <f ca="1">IFERROR(__xludf.DUMMYFUNCTION("""COMPUTED_VALUE"""),"PACITA MANAYOS")</f>
        <v>PACITA MANAYOS</v>
      </c>
      <c r="I959" s="164"/>
      <c r="J959" s="164" t="str">
        <f ca="1">IFERROR(__xludf.DUMMYFUNCTION("""COMPUTED_VALUE"""),"2023-01-06 SPLIT")</f>
        <v>2023-01-06 SPLIT</v>
      </c>
      <c r="K959" s="164"/>
      <c r="L959" s="164"/>
      <c r="M959" s="164" t="str">
        <f ca="1">IFERROR(__xludf.DUMMYFUNCTION("""COMPUTED_VALUE"""),"SERVICEABLE")</f>
        <v>SERVICEABLE</v>
      </c>
      <c r="N959" s="164"/>
    </row>
    <row r="960" spans="1:14" ht="13.2" hidden="1">
      <c r="A960" s="164" t="str">
        <f ca="1">IFERROR(__xludf.DUMMYFUNCTION("""COMPUTED_VALUE"""),"CAR")</f>
        <v>CAR</v>
      </c>
      <c r="B960" s="164" t="str">
        <f ca="1">IFERROR(__xludf.DUMMYFUNCTION("""COMPUTED_VALUE"""),"Mt. Province")</f>
        <v>Mt. Province</v>
      </c>
      <c r="C960" s="164" t="str">
        <f ca="1">IFERROR(__xludf.DUMMYFUNCTION("""COMPUTED_VALUE"""),"Motorcycle – (Honda XRL 150)")</f>
        <v>Motorcycle – (Honda XRL 150)</v>
      </c>
      <c r="D960" s="164" t="str">
        <f ca="1">IFERROR(__xludf.DUMMYFUNCTION("""COMPUTED_VALUE"""),"₱ 124,900.00")</f>
        <v>₱ 124,900.00</v>
      </c>
      <c r="E960" s="164" t="str">
        <f ca="1">IFERROR(__xludf.DUMMYFUNCTION("""COMPUTED_VALUE"""),"₱ -")</f>
        <v>₱ -</v>
      </c>
      <c r="F960" s="164" t="str">
        <f ca="1">IFERROR(__xludf.DUMMYFUNCTION("""COMPUTED_VALUE"""),"2023-06-01-1020SP25-01")</f>
        <v>2023-06-01-1020SP25-01</v>
      </c>
      <c r="G960" s="164" t="str">
        <f ca="1">IFERROR(__xludf.DUMMYFUNCTION("""COMPUTED_VALUE"""),"no plate available")</f>
        <v>no plate available</v>
      </c>
      <c r="H960" s="164" t="str">
        <f ca="1">IFERROR(__xludf.DUMMYFUNCTION("""COMPUTED_VALUE"""),"PACITA MANAYOS")</f>
        <v>PACITA MANAYOS</v>
      </c>
      <c r="I960" s="164"/>
      <c r="J960" s="164" t="str">
        <f ca="1">IFERROR(__xludf.DUMMYFUNCTION("""COMPUTED_VALUE"""),"2023-01-06 SPLIT")</f>
        <v>2023-01-06 SPLIT</v>
      </c>
      <c r="K960" s="164"/>
      <c r="L960" s="164"/>
      <c r="M960" s="164" t="str">
        <f ca="1">IFERROR(__xludf.DUMMYFUNCTION("""COMPUTED_VALUE"""),"SERVICEABLE")</f>
        <v>SERVICEABLE</v>
      </c>
      <c r="N960" s="164"/>
    </row>
    <row r="961" spans="1:14" ht="13.2" hidden="1">
      <c r="A961" s="164" t="str">
        <f ca="1">IFERROR(__xludf.DUMMYFUNCTION("""COMPUTED_VALUE"""),"CAR")</f>
        <v>CAR</v>
      </c>
      <c r="B961" s="164" t="str">
        <f ca="1">IFERROR(__xludf.DUMMYFUNCTION("""COMPUTED_VALUE"""),"Mt. Province")</f>
        <v>Mt. Province</v>
      </c>
      <c r="C961" s="164" t="str">
        <f ca="1">IFERROR(__xludf.DUMMYFUNCTION("""COMPUTED_VALUE"""),"Motorcycle – (Honda XRL 150)")</f>
        <v>Motorcycle – (Honda XRL 150)</v>
      </c>
      <c r="D961" s="164" t="str">
        <f ca="1">IFERROR(__xludf.DUMMYFUNCTION("""COMPUTED_VALUE"""),"₱ 124,900.00")</f>
        <v>₱ 124,900.00</v>
      </c>
      <c r="E961" s="164" t="str">
        <f ca="1">IFERROR(__xludf.DUMMYFUNCTION("""COMPUTED_VALUE"""),"₱ -")</f>
        <v>₱ -</v>
      </c>
      <c r="F961" s="164" t="str">
        <f ca="1">IFERROR(__xludf.DUMMYFUNCTION("""COMPUTED_VALUE"""),"2023-06-01-1020SP26-01")</f>
        <v>2023-06-01-1020SP26-01</v>
      </c>
      <c r="G961" s="164" t="str">
        <f ca="1">IFERROR(__xludf.DUMMYFUNCTION("""COMPUTED_VALUE"""),"no plate available")</f>
        <v>no plate available</v>
      </c>
      <c r="H961" s="164" t="str">
        <f ca="1">IFERROR(__xludf.DUMMYFUNCTION("""COMPUTED_VALUE"""),"PACITA MANAYOS")</f>
        <v>PACITA MANAYOS</v>
      </c>
      <c r="I961" s="164"/>
      <c r="J961" s="164" t="str">
        <f ca="1">IFERROR(__xludf.DUMMYFUNCTION("""COMPUTED_VALUE"""),"2023-01-06 SPLIT")</f>
        <v>2023-01-06 SPLIT</v>
      </c>
      <c r="K961" s="164"/>
      <c r="L961" s="164"/>
      <c r="M961" s="164" t="str">
        <f ca="1">IFERROR(__xludf.DUMMYFUNCTION("""COMPUTED_VALUE"""),"SERVICEABLE")</f>
        <v>SERVICEABLE</v>
      </c>
      <c r="N961" s="164"/>
    </row>
    <row r="962" spans="1:14" ht="13.2" hidden="1">
      <c r="A962" s="164" t="str">
        <f ca="1">IFERROR(__xludf.DUMMYFUNCTION("""COMPUTED_VALUE"""),"CAR")</f>
        <v>CAR</v>
      </c>
      <c r="B962" s="164" t="str">
        <f ca="1">IFERROR(__xludf.DUMMYFUNCTION("""COMPUTED_VALUE"""),"Mt. Province")</f>
        <v>Mt. Province</v>
      </c>
      <c r="C962" s="164" t="str">
        <f ca="1">IFERROR(__xludf.DUMMYFUNCTION("""COMPUTED_VALUE"""),"Motorcycle – (Honda XRL 150)")</f>
        <v>Motorcycle – (Honda XRL 150)</v>
      </c>
      <c r="D962" s="164" t="str">
        <f ca="1">IFERROR(__xludf.DUMMYFUNCTION("""COMPUTED_VALUE"""),"₱ 124,900.00")</f>
        <v>₱ 124,900.00</v>
      </c>
      <c r="E962" s="164" t="str">
        <f ca="1">IFERROR(__xludf.DUMMYFUNCTION("""COMPUTED_VALUE"""),"₱ -")</f>
        <v>₱ -</v>
      </c>
      <c r="F962" s="164" t="str">
        <f ca="1">IFERROR(__xludf.DUMMYFUNCTION("""COMPUTED_VALUE"""),"2023-06-01-1020SP03-01")</f>
        <v>2023-06-01-1020SP03-01</v>
      </c>
      <c r="G962" s="164" t="str">
        <f ca="1">IFERROR(__xludf.DUMMYFUNCTION("""COMPUTED_VALUE"""),"no plate available")</f>
        <v>no plate available</v>
      </c>
      <c r="H962" s="164" t="str">
        <f ca="1">IFERROR(__xludf.DUMMYFUNCTION("""COMPUTED_VALUE"""),"PETER D. BANTASAN")</f>
        <v>PETER D. BANTASAN</v>
      </c>
      <c r="I962" s="164" t="str">
        <f ca="1">IFERROR(__xludf.DUMMYFUNCTION("""COMPUTED_VALUE"""),"OIC PARPO II/PROJECT MANAGER")</f>
        <v>OIC PARPO II/PROJECT MANAGER</v>
      </c>
      <c r="J962" s="164" t="str">
        <f ca="1">IFERROR(__xludf.DUMMYFUNCTION("""COMPUTED_VALUE"""),"2023-09-71 SPLIT")</f>
        <v>2023-09-71 SPLIT</v>
      </c>
      <c r="K962" s="164"/>
      <c r="L962" s="164"/>
      <c r="M962" s="164" t="str">
        <f ca="1">IFERROR(__xludf.DUMMYFUNCTION("""COMPUTED_VALUE"""),"SERVICEABLE")</f>
        <v>SERVICEABLE</v>
      </c>
      <c r="N962" s="164"/>
    </row>
    <row r="963" spans="1:14" ht="13.2" hidden="1">
      <c r="A963" s="164" t="str">
        <f ca="1">IFERROR(__xludf.DUMMYFUNCTION("""COMPUTED_VALUE"""),"CAR")</f>
        <v>CAR</v>
      </c>
      <c r="B963" s="164" t="str">
        <f ca="1">IFERROR(__xludf.DUMMYFUNCTION("""COMPUTED_VALUE"""),"Mt. Province")</f>
        <v>Mt. Province</v>
      </c>
      <c r="C963" s="164" t="str">
        <f ca="1">IFERROR(__xludf.DUMMYFUNCTION("""COMPUTED_VALUE"""),"Double Cabin Pick-up Vehicles – Mitsubishi Strada")</f>
        <v>Double Cabin Pick-up Vehicles – Mitsubishi Strada</v>
      </c>
      <c r="D963" s="164" t="str">
        <f ca="1">IFERROR(__xludf.DUMMYFUNCTION("""COMPUTED_VALUE"""),"₱ 1,752,400.00")</f>
        <v>₱ 1,752,400.00</v>
      </c>
      <c r="E963" s="164" t="str">
        <f ca="1">IFERROR(__xludf.DUMMYFUNCTION("""COMPUTED_VALUE"""),"₱ -")</f>
        <v>₱ -</v>
      </c>
      <c r="F963" s="164" t="str">
        <f ca="1">IFERROR(__xludf.DUMMYFUNCTION("""COMPUTED_VALUE"""),"2023-06-01-1020ISP41-01")</f>
        <v>2023-06-01-1020ISP41-01</v>
      </c>
      <c r="G963" s="164" t="str">
        <f ca="1">IFERROR(__xludf.DUMMYFUNCTION("""COMPUTED_VALUE"""),"SNC 1304")</f>
        <v>SNC 1304</v>
      </c>
      <c r="H963" s="164" t="str">
        <f ca="1">IFERROR(__xludf.DUMMYFUNCTION("""COMPUTED_VALUE"""),"BRENDA P. LAFASNI")</f>
        <v>BRENDA P. LAFASNI</v>
      </c>
      <c r="I963" s="164" t="str">
        <f ca="1">IFERROR(__xludf.DUMMYFUNCTION("""COMPUTED_VALUE"""),"OIC PARPO II/PROV'L PROJECT MANAGER")</f>
        <v>OIC PARPO II/PROV'L PROJECT MANAGER</v>
      </c>
      <c r="J963" s="164" t="str">
        <f ca="1">IFERROR(__xludf.DUMMYFUNCTION("""COMPUTED_VALUE"""),"2023-10-76 SPLIT")</f>
        <v>2023-10-76 SPLIT</v>
      </c>
      <c r="K963" s="164" t="str">
        <f ca="1">IFERROR(__xludf.DUMMYFUNCTION("""COMPUTED_VALUE"""),"PETER D. BANTASAN")</f>
        <v>PETER D. BANTASAN</v>
      </c>
      <c r="L963" s="164" t="str">
        <f ca="1">IFERROR(__xludf.DUMMYFUNCTION("""COMPUTED_VALUE"""),"PARPOs OFFICE")</f>
        <v>PARPOs OFFICE</v>
      </c>
      <c r="M963" s="164" t="str">
        <f ca="1">IFERROR(__xludf.DUMMYFUNCTION("""COMPUTED_VALUE"""),"SERVICEABLE")</f>
        <v>SERVICEABLE</v>
      </c>
      <c r="N963" s="164"/>
    </row>
    <row r="964" spans="1:14" ht="13.2" hidden="1">
      <c r="A964" s="164" t="str">
        <f ca="1">IFERROR(__xludf.DUMMYFUNCTION("""COMPUTED_VALUE"""),"Region I")</f>
        <v>Region I</v>
      </c>
      <c r="B964" s="164" t="str">
        <f ca="1">IFERROR(__xludf.DUMMYFUNCTION("""COMPUTED_VALUE"""),"Ilocos Sur")</f>
        <v>Ilocos Sur</v>
      </c>
      <c r="C964" s="164" t="str">
        <f ca="1">IFERROR(__xludf.DUMMYFUNCTION("""COMPUTED_VALUE"""),"Photocopier Machine – Kyocera")</f>
        <v>Photocopier Machine – Kyocera</v>
      </c>
      <c r="D964" s="164" t="str">
        <f ca="1">IFERROR(__xludf.DUMMYFUNCTION("""COMPUTED_VALUE"""),"₱ 84,500.00")</f>
        <v>₱ 84,500.00</v>
      </c>
      <c r="E964" s="164" t="str">
        <f ca="1">IFERROR(__xludf.DUMMYFUNCTION("""COMPUTED_VALUE"""),"₱ -")</f>
        <v>₱ -</v>
      </c>
      <c r="F964" s="164" t="str">
        <f ca="1">IFERROR(__xludf.DUMMYFUNCTION("""COMPUTED_VALUE"""),"2022-05-02-10202SP11-01")</f>
        <v>2022-05-02-10202SP11-01</v>
      </c>
      <c r="G964" s="164" t="str">
        <f ca="1">IFERROR(__xludf.DUMMYFUNCTION("""COMPUTED_VALUE"""),"RNK2700213")</f>
        <v>RNK2700213</v>
      </c>
      <c r="H964" s="164" t="str">
        <f ca="1">IFERROR(__xludf.DUMMYFUNCTION("""COMPUTED_VALUE"""),"Gemma Tablada")</f>
        <v>Gemma Tablada</v>
      </c>
      <c r="I964" s="164" t="str">
        <f ca="1">IFERROR(__xludf.DUMMYFUNCTION("""COMPUTED_VALUE"""),"ARPO II")</f>
        <v>ARPO II</v>
      </c>
      <c r="J964" s="164" t="str">
        <f ca="1">IFERROR(__xludf.DUMMYFUNCTION("""COMPUTED_VALUE"""),"2022-11-40-SPLIT")</f>
        <v>2022-11-40-SPLIT</v>
      </c>
      <c r="K964" s="164" t="str">
        <f ca="1">IFERROR(__xludf.DUMMYFUNCTION("""COMPUTED_VALUE"""),"Gemma Tablada")</f>
        <v>Gemma Tablada</v>
      </c>
      <c r="L964" s="164" t="str">
        <f ca="1">IFERROR(__xludf.DUMMYFUNCTION("""COMPUTED_VALUE"""),"DARPO Ilocos Norte")</f>
        <v>DARPO Ilocos Norte</v>
      </c>
      <c r="M964" s="164" t="str">
        <f ca="1">IFERROR(__xludf.DUMMYFUNCTION("""COMPUTED_VALUE"""),"SERVICEABLE")</f>
        <v>SERVICEABLE</v>
      </c>
      <c r="N964" s="164"/>
    </row>
    <row r="965" spans="1:14" ht="13.2" hidden="1">
      <c r="A965" s="164" t="str">
        <f ca="1">IFERROR(__xludf.DUMMYFUNCTION("""COMPUTED_VALUE"""),"Region I")</f>
        <v>Region I</v>
      </c>
      <c r="B965" s="164" t="str">
        <f ca="1">IFERROR(__xludf.DUMMYFUNCTION("""COMPUTED_VALUE"""),"Pangasinan")</f>
        <v>Pangasinan</v>
      </c>
      <c r="C965" s="164" t="str">
        <f ca="1">IFERROR(__xludf.DUMMYFUNCTION("""COMPUTED_VALUE"""),"Photocopier Machine – Kyocera")</f>
        <v>Photocopier Machine – Kyocera</v>
      </c>
      <c r="D965" s="164" t="str">
        <f ca="1">IFERROR(__xludf.DUMMYFUNCTION("""COMPUTED_VALUE"""),"₱ 84,500.00")</f>
        <v>₱ 84,500.00</v>
      </c>
      <c r="E965" s="164" t="str">
        <f ca="1">IFERROR(__xludf.DUMMYFUNCTION("""COMPUTED_VALUE"""),"₱ -")</f>
        <v>₱ -</v>
      </c>
      <c r="F965" s="164" t="str">
        <f ca="1">IFERROR(__xludf.DUMMYFUNCTION("""COMPUTED_VALUE"""),"2022-05-02-10202SP12-01")</f>
        <v>2022-05-02-10202SP12-01</v>
      </c>
      <c r="G965" s="164" t="str">
        <f ca="1">IFERROR(__xludf.DUMMYFUNCTION("""COMPUTED_VALUE"""),"RNK2700192")</f>
        <v>RNK2700192</v>
      </c>
      <c r="H965" s="164" t="str">
        <f ca="1">IFERROR(__xludf.DUMMYFUNCTION("""COMPUTED_VALUE"""),"Andres B. De Leon")</f>
        <v>Andres B. De Leon</v>
      </c>
      <c r="I965" s="164" t="str">
        <f ca="1">IFERROR(__xludf.DUMMYFUNCTION("""COMPUTED_VALUE"""),"Regional Director")</f>
        <v>Regional Director</v>
      </c>
      <c r="J965" s="164" t="str">
        <f ca="1">IFERROR(__xludf.DUMMYFUNCTION("""COMPUTED_VALUE"""),"2022-11-42-SPLIT")</f>
        <v>2022-11-42-SPLIT</v>
      </c>
      <c r="K965" s="164" t="str">
        <f ca="1">IFERROR(__xludf.DUMMYFUNCTION("""COMPUTED_VALUE"""),"Andres B. De Leon")</f>
        <v>Andres B. De Leon</v>
      </c>
      <c r="L965" s="164" t="str">
        <f ca="1">IFERROR(__xludf.DUMMYFUNCTION("""COMPUTED_VALUE"""),"DARPO Pangasinan")</f>
        <v>DARPO Pangasinan</v>
      </c>
      <c r="M965" s="164" t="str">
        <f ca="1">IFERROR(__xludf.DUMMYFUNCTION("""COMPUTED_VALUE"""),"SERVICEABLE")</f>
        <v>SERVICEABLE</v>
      </c>
      <c r="N965" s="164"/>
    </row>
    <row r="966" spans="1:14" ht="13.2" hidden="1">
      <c r="A966" s="164" t="str">
        <f ca="1">IFERROR(__xludf.DUMMYFUNCTION("""COMPUTED_VALUE"""),"Region I")</f>
        <v>Region I</v>
      </c>
      <c r="B966" s="164" t="str">
        <f ca="1">IFERROR(__xludf.DUMMYFUNCTION("""COMPUTED_VALUE"""),"La Union")</f>
        <v>La Union</v>
      </c>
      <c r="C966" s="164" t="str">
        <f ca="1">IFERROR(__xludf.DUMMYFUNCTION("""COMPUTED_VALUE"""),"Photocopier Machine – Kyocera")</f>
        <v>Photocopier Machine – Kyocera</v>
      </c>
      <c r="D966" s="164" t="str">
        <f ca="1">IFERROR(__xludf.DUMMYFUNCTION("""COMPUTED_VALUE"""),"₱ 84,500.00")</f>
        <v>₱ 84,500.00</v>
      </c>
      <c r="E966" s="164" t="str">
        <f ca="1">IFERROR(__xludf.DUMMYFUNCTION("""COMPUTED_VALUE"""),"₱ -")</f>
        <v>₱ -</v>
      </c>
      <c r="F966" s="164" t="str">
        <f ca="1">IFERROR(__xludf.DUMMYFUNCTION("""COMPUTED_VALUE"""),"2022-05-02-10202SP14-01")</f>
        <v>2022-05-02-10202SP14-01</v>
      </c>
      <c r="G966" s="164" t="str">
        <f ca="1">IFERROR(__xludf.DUMMYFUNCTION("""COMPUTED_VALUE"""),"RNK2700210")</f>
        <v>RNK2700210</v>
      </c>
      <c r="H966" s="164" t="str">
        <f ca="1">IFERROR(__xludf.DUMMYFUNCTION("""COMPUTED_VALUE"""),"PRESNELIE S. GALVES")</f>
        <v>PRESNELIE S. GALVES</v>
      </c>
      <c r="I966" s="164" t="str">
        <f ca="1">IFERROR(__xludf.DUMMYFUNCTION("""COMPUTED_VALUE"""),"PARPO II")</f>
        <v>PARPO II</v>
      </c>
      <c r="J966" s="164" t="str">
        <f ca="1">IFERROR(__xludf.DUMMYFUNCTION("""COMPUTED_VALUE"""),"2022-11-43-SPLIT")</f>
        <v>2022-11-43-SPLIT</v>
      </c>
      <c r="K966" s="164" t="str">
        <f ca="1">IFERROR(__xludf.DUMMYFUNCTION("""COMPUTED_VALUE"""),"PRESNELIE S. GALVES")</f>
        <v>PRESNELIE S. GALVES</v>
      </c>
      <c r="L966" s="164" t="str">
        <f ca="1">IFERROR(__xludf.DUMMYFUNCTION("""COMPUTED_VALUE"""),"DARPO La Union")</f>
        <v>DARPO La Union</v>
      </c>
      <c r="M966" s="164" t="str">
        <f ca="1">IFERROR(__xludf.DUMMYFUNCTION("""COMPUTED_VALUE"""),"SERVICEABLE")</f>
        <v>SERVICEABLE</v>
      </c>
      <c r="N966" s="164"/>
    </row>
    <row r="967" spans="1:14" ht="13.2" hidden="1">
      <c r="A967" s="164" t="str">
        <f ca="1">IFERROR(__xludf.DUMMYFUNCTION("""COMPUTED_VALUE"""),"Region I")</f>
        <v>Region I</v>
      </c>
      <c r="B967" s="164" t="str">
        <f ca="1">IFERROR(__xludf.DUMMYFUNCTION("""COMPUTED_VALUE"""),"ILOCOS NORTE")</f>
        <v>ILOCOS NORTE</v>
      </c>
      <c r="C967" s="164" t="str">
        <f ca="1">IFERROR(__xludf.DUMMYFUNCTION("""COMPUTED_VALUE"""),"Photocopier Machine – Kyocera")</f>
        <v>Photocopier Machine – Kyocera</v>
      </c>
      <c r="D967" s="164" t="str">
        <f ca="1">IFERROR(__xludf.DUMMYFUNCTION("""COMPUTED_VALUE"""),"₱ 84,500.00")</f>
        <v>₱ 84,500.00</v>
      </c>
      <c r="E967" s="164" t="str">
        <f ca="1">IFERROR(__xludf.DUMMYFUNCTION("""COMPUTED_VALUE"""),"₱ -")</f>
        <v>₱ -</v>
      </c>
      <c r="F967" s="164" t="str">
        <f ca="1">IFERROR(__xludf.DUMMYFUNCTION("""COMPUTED_VALUE"""),"2022-05-02-10202SP13-01")</f>
        <v>2022-05-02-10202SP13-01</v>
      </c>
      <c r="G967" s="164" t="str">
        <f ca="1">IFERROR(__xludf.DUMMYFUNCTION("""COMPUTED_VALUE"""),"RNK2700184")</f>
        <v>RNK2700184</v>
      </c>
      <c r="H967" s="164" t="str">
        <f ca="1">IFERROR(__xludf.DUMMYFUNCTION("""COMPUTED_VALUE"""),"ENGR. JESUS R. ASUNCION")</f>
        <v>ENGR. JESUS R. ASUNCION</v>
      </c>
      <c r="I967" s="164" t="str">
        <f ca="1">IFERROR(__xludf.DUMMYFUNCTION("""COMPUTED_VALUE"""),"PARPO II")</f>
        <v>PARPO II</v>
      </c>
      <c r="J967" s="164" t="str">
        <f ca="1">IFERROR(__xludf.DUMMYFUNCTION("""COMPUTED_VALUE"""),"2022-11-41-SPLIT")</f>
        <v>2022-11-41-SPLIT</v>
      </c>
      <c r="K967" s="164" t="str">
        <f ca="1">IFERROR(__xludf.DUMMYFUNCTION("""COMPUTED_VALUE"""),"ENGR. JESUS R. ASUNCION")</f>
        <v>ENGR. JESUS R. ASUNCION</v>
      </c>
      <c r="L967" s="164" t="str">
        <f ca="1">IFERROR(__xludf.DUMMYFUNCTION("""COMPUTED_VALUE"""),"DARPO Ilocos Sur")</f>
        <v>DARPO Ilocos Sur</v>
      </c>
      <c r="M967" s="164" t="str">
        <f ca="1">IFERROR(__xludf.DUMMYFUNCTION("""COMPUTED_VALUE"""),"SERVICEABLE")</f>
        <v>SERVICEABLE</v>
      </c>
      <c r="N967" s="164"/>
    </row>
    <row r="968" spans="1:14" ht="13.2" hidden="1">
      <c r="A968" s="164" t="str">
        <f ca="1">IFERROR(__xludf.DUMMYFUNCTION("""COMPUTED_VALUE"""),"Region I")</f>
        <v>Region I</v>
      </c>
      <c r="B968" s="164" t="str">
        <f ca="1">IFERROR(__xludf.DUMMYFUNCTION("""COMPUTED_VALUE"""),"Regional Office")</f>
        <v>Regional Office</v>
      </c>
      <c r="C968" s="164" t="str">
        <f ca="1">IFERROR(__xludf.DUMMYFUNCTION("""COMPUTED_VALUE"""),"A3 PRINTER (BROTHER)")</f>
        <v>A3 PRINTER (BROTHER)</v>
      </c>
      <c r="D968" s="164" t="str">
        <f ca="1">IFERROR(__xludf.DUMMYFUNCTION("""COMPUTED_VALUE"""),"₱ 33,508.00")</f>
        <v>₱ 33,508.00</v>
      </c>
      <c r="E968" s="164" t="str">
        <f ca="1">IFERROR(__xludf.DUMMYFUNCTION("""COMPUTED_VALUE"""),"₱ -")</f>
        <v>₱ -</v>
      </c>
      <c r="F968" s="164" t="str">
        <f ca="1">IFERROR(__xludf.DUMMYFUNCTION("""COMPUTED_VALUE"""),"HV-SPLIT-102-24-05-13")</f>
        <v>HV-SPLIT-102-24-05-13</v>
      </c>
      <c r="G968" s="164"/>
      <c r="H968" s="164" t="str">
        <f ca="1">IFERROR(__xludf.DUMMYFUNCTION("""COMPUTED_VALUE"""),"Bobby S. Baltazar")</f>
        <v>Bobby S. Baltazar</v>
      </c>
      <c r="I968" s="164" t="str">
        <f ca="1">IFERROR(__xludf.DUMMYFUNCTION("""COMPUTED_VALUE"""),"SARPO")</f>
        <v>SARPO</v>
      </c>
      <c r="J968" s="164" t="str">
        <f ca="1">IFERROR(__xludf.DUMMYFUNCTION("""COMPUTED_VALUE"""),"06/06/2024")</f>
        <v>06/06/2024</v>
      </c>
      <c r="K968" s="164"/>
      <c r="L968" s="164" t="str">
        <f ca="1">IFERROR(__xludf.DUMMYFUNCTION("""COMPUTED_VALUE"""),"DARPO ILOCOS NORTE")</f>
        <v>DARPO ILOCOS NORTE</v>
      </c>
      <c r="M968" s="164" t="str">
        <f ca="1">IFERROR(__xludf.DUMMYFUNCTION("""COMPUTED_VALUE"""),"SERVICEABLE")</f>
        <v>SERVICEABLE</v>
      </c>
      <c r="N968" s="164"/>
    </row>
    <row r="969" spans="1:14" ht="13.2" hidden="1">
      <c r="A969" s="164" t="str">
        <f ca="1">IFERROR(__xludf.DUMMYFUNCTION("""COMPUTED_VALUE"""),"Region I")</f>
        <v>Region I</v>
      </c>
      <c r="B969" s="164" t="str">
        <f ca="1">IFERROR(__xludf.DUMMYFUNCTION("""COMPUTED_VALUE"""),"Ilocos Sur")</f>
        <v>Ilocos Sur</v>
      </c>
      <c r="C969" s="164" t="str">
        <f ca="1">IFERROR(__xludf.DUMMYFUNCTION("""COMPUTED_VALUE"""),"A3 PRINTER (BROTHER)")</f>
        <v>A3 PRINTER (BROTHER)</v>
      </c>
      <c r="D969" s="164" t="str">
        <f ca="1">IFERROR(__xludf.DUMMYFUNCTION("""COMPUTED_VALUE"""),"₱ 33,508.00")</f>
        <v>₱ 33,508.00</v>
      </c>
      <c r="E969" s="164" t="str">
        <f ca="1">IFERROR(__xludf.DUMMYFUNCTION("""COMPUTED_VALUE"""),"₱ -")</f>
        <v>₱ -</v>
      </c>
      <c r="F969" s="164" t="str">
        <f ca="1">IFERROR(__xludf.DUMMYFUNCTION("""COMPUTED_VALUE"""),"HV-SPLIT-102-24-05-14")</f>
        <v>HV-SPLIT-102-24-05-14</v>
      </c>
      <c r="G969" s="164"/>
      <c r="H969" s="164" t="str">
        <f ca="1">IFERROR(__xludf.DUMMYFUNCTION("""COMPUTED_VALUE"""),"Genaro M. Ballesteros Jr.")</f>
        <v>Genaro M. Ballesteros Jr.</v>
      </c>
      <c r="I969" s="164" t="str">
        <f ca="1">IFERROR(__xludf.DUMMYFUNCTION("""COMPUTED_VALUE"""),"REGIONAL DIRECTOR")</f>
        <v>REGIONAL DIRECTOR</v>
      </c>
      <c r="J969" s="164" t="str">
        <f ca="1">IFERROR(__xludf.DUMMYFUNCTION("""COMPUTED_VALUE"""),"2024-03-002")</f>
        <v>2024-03-002</v>
      </c>
      <c r="K969" s="164" t="str">
        <f ca="1">IFERROR(__xludf.DUMMYFUNCTION("""COMPUTED_VALUE"""),"Maryrose Lavaro &amp;STOD staff")</f>
        <v>Maryrose Lavaro &amp;STOD staff</v>
      </c>
      <c r="L969" s="164" t="str">
        <f ca="1">IFERROR(__xludf.DUMMYFUNCTION("""COMPUTED_VALUE"""),"STOD")</f>
        <v>STOD</v>
      </c>
      <c r="M969" s="164" t="str">
        <f ca="1">IFERROR(__xludf.DUMMYFUNCTION("""COMPUTED_VALUE"""),"SERVICEABLE")</f>
        <v>SERVICEABLE</v>
      </c>
      <c r="N969" s="164"/>
    </row>
    <row r="970" spans="1:14" ht="13.2" hidden="1">
      <c r="A970" s="164" t="str">
        <f ca="1">IFERROR(__xludf.DUMMYFUNCTION("""COMPUTED_VALUE"""),"Region I")</f>
        <v>Region I</v>
      </c>
      <c r="B970" s="164" t="str">
        <f ca="1">IFERROR(__xludf.DUMMYFUNCTION("""COMPUTED_VALUE"""),"La Union")</f>
        <v>La Union</v>
      </c>
      <c r="C970" s="164" t="str">
        <f ca="1">IFERROR(__xludf.DUMMYFUNCTION("""COMPUTED_VALUE"""),"A3 PRINTER (BROTHER)")</f>
        <v>A3 PRINTER (BROTHER)</v>
      </c>
      <c r="D970" s="164" t="str">
        <f ca="1">IFERROR(__xludf.DUMMYFUNCTION("""COMPUTED_VALUE"""),"₱ 33,508.00")</f>
        <v>₱ 33,508.00</v>
      </c>
      <c r="E970" s="164" t="str">
        <f ca="1">IFERROR(__xludf.DUMMYFUNCTION("""COMPUTED_VALUE"""),"₱ -")</f>
        <v>₱ -</v>
      </c>
      <c r="F970" s="164" t="str">
        <f ca="1">IFERROR(__xludf.DUMMYFUNCTION("""COMPUTED_VALUE"""),"HV-SPLIT-102-24-05-15")</f>
        <v>HV-SPLIT-102-24-05-15</v>
      </c>
      <c r="G970" s="164"/>
      <c r="H970" s="164" t="str">
        <f ca="1">IFERROR(__xludf.DUMMYFUNCTION("""COMPUTED_VALUE"""),"PRESNELIE S. GALVES")</f>
        <v>PRESNELIE S. GALVES</v>
      </c>
      <c r="I970" s="164" t="str">
        <f ca="1">IFERROR(__xludf.DUMMYFUNCTION("""COMPUTED_VALUE"""),"Parcelization Component &amp; FVT coordinator")</f>
        <v>Parcelization Component &amp; FVT coordinator</v>
      </c>
      <c r="J970" s="164" t="str">
        <f ca="1">IFERROR(__xludf.DUMMYFUNCTION("""COMPUTED_VALUE"""),"2024-03-002")</f>
        <v>2024-03-002</v>
      </c>
      <c r="K970" s="164" t="str">
        <f ca="1">IFERROR(__xludf.DUMMYFUNCTION("""COMPUTED_VALUE"""),"PRESNELIE S. GALVES")</f>
        <v>PRESNELIE S. GALVES</v>
      </c>
      <c r="L970" s="164" t="str">
        <f ca="1">IFERROR(__xludf.DUMMYFUNCTION("""COMPUTED_VALUE"""),"LTSD")</f>
        <v>LTSD</v>
      </c>
      <c r="M970" s="164" t="str">
        <f ca="1">IFERROR(__xludf.DUMMYFUNCTION("""COMPUTED_VALUE"""),"SERVICEABLE")</f>
        <v>SERVICEABLE</v>
      </c>
      <c r="N970" s="164"/>
    </row>
    <row r="971" spans="1:14" ht="13.2" hidden="1">
      <c r="A971" s="164" t="str">
        <f ca="1">IFERROR(__xludf.DUMMYFUNCTION("""COMPUTED_VALUE"""),"Region I")</f>
        <v>Region I</v>
      </c>
      <c r="B971" s="164" t="str">
        <f ca="1">IFERROR(__xludf.DUMMYFUNCTION("""COMPUTED_VALUE"""),"Ilocos Norte")</f>
        <v>Ilocos Norte</v>
      </c>
      <c r="C971" s="164" t="str">
        <f ca="1">IFERROR(__xludf.DUMMYFUNCTION("""COMPUTED_VALUE"""),"A3 PRINTER (BROTHER)")</f>
        <v>A3 PRINTER (BROTHER)</v>
      </c>
      <c r="D971" s="164" t="str">
        <f ca="1">IFERROR(__xludf.DUMMYFUNCTION("""COMPUTED_VALUE"""),"₱ 33,508.00")</f>
        <v>₱ 33,508.00</v>
      </c>
      <c r="E971" s="164" t="str">
        <f ca="1">IFERROR(__xludf.DUMMYFUNCTION("""COMPUTED_VALUE"""),"₱ -")</f>
        <v>₱ -</v>
      </c>
      <c r="F971" s="164" t="str">
        <f ca="1">IFERROR(__xludf.DUMMYFUNCTION("""COMPUTED_VALUE"""),"HV-SPLIT-102-24-05-16")</f>
        <v>HV-SPLIT-102-24-05-16</v>
      </c>
      <c r="G971" s="164"/>
      <c r="H971" s="164" t="str">
        <f ca="1">IFERROR(__xludf.DUMMYFUNCTION("""COMPUTED_VALUE"""),"ENGR. JESUS R. ASUNCION")</f>
        <v>ENGR. JESUS R. ASUNCION</v>
      </c>
      <c r="I971" s="164" t="str">
        <f ca="1">IFERROR(__xludf.DUMMYFUNCTION("""COMPUTED_VALUE"""),"FVT Coordinator")</f>
        <v>FVT Coordinator</v>
      </c>
      <c r="J971" s="164" t="str">
        <f ca="1">IFERROR(__xludf.DUMMYFUNCTION("""COMPUTED_VALUE"""),"2024-03-002")</f>
        <v>2024-03-002</v>
      </c>
      <c r="K971" s="164" t="str">
        <f ca="1">IFERROR(__xludf.DUMMYFUNCTION("""COMPUTED_VALUE"""),"ENGR. JESUS R. ASUNCION")</f>
        <v>ENGR. JESUS R. ASUNCION</v>
      </c>
      <c r="L971" s="164" t="str">
        <f ca="1">IFERROR(__xludf.DUMMYFUNCTION("""COMPUTED_VALUE"""),"DARPO PANGASINAN")</f>
        <v>DARPO PANGASINAN</v>
      </c>
      <c r="M971" s="164" t="str">
        <f ca="1">IFERROR(__xludf.DUMMYFUNCTION("""COMPUTED_VALUE"""),"SERVICEABLE")</f>
        <v>SERVICEABLE</v>
      </c>
      <c r="N971" s="164"/>
    </row>
    <row r="972" spans="1:14" ht="13.2" hidden="1">
      <c r="A972" s="164" t="str">
        <f ca="1">IFERROR(__xludf.DUMMYFUNCTION("""COMPUTED_VALUE"""),"Region I")</f>
        <v>Region I</v>
      </c>
      <c r="B972" s="164" t="str">
        <f ca="1">IFERROR(__xludf.DUMMYFUNCTION("""COMPUTED_VALUE"""),"Ilocos Norte")</f>
        <v>Ilocos Norte</v>
      </c>
      <c r="C972" s="164" t="str">
        <f ca="1">IFERROR(__xludf.DUMMYFUNCTION("""COMPUTED_VALUE"""),"Laptop – (ACER EXTENSA EX215-55G i7)")</f>
        <v>Laptop – (ACER EXTENSA EX215-55G i7)</v>
      </c>
      <c r="D972" s="164" t="str">
        <f ca="1">IFERROR(__xludf.DUMMYFUNCTION("""COMPUTED_VALUE"""),"₱ 59,500.00")</f>
        <v>₱ 59,500.00</v>
      </c>
      <c r="E972" s="164" t="str">
        <f ca="1">IFERROR(__xludf.DUMMYFUNCTION("""COMPUTED_VALUE"""),"₱ -")</f>
        <v>₱ -</v>
      </c>
      <c r="F972" s="164" t="str">
        <f ca="1">IFERROR(__xludf.DUMMYFUNCTION("""COMPUTED_VALUE"""),"2023-05-03-10202SP301-01")</f>
        <v>2023-05-03-10202SP301-01</v>
      </c>
      <c r="G972" s="164"/>
      <c r="H972" s="164" t="str">
        <f ca="1">IFERROR(__xludf.DUMMYFUNCTION("""COMPUTED_VALUE"""),"Vic M. Ines")</f>
        <v>Vic M. Ines</v>
      </c>
      <c r="I972" s="164" t="str">
        <f ca="1">IFERROR(__xludf.DUMMYFUNCTION("""COMPUTED_VALUE"""),"PARPO II")</f>
        <v>PARPO II</v>
      </c>
      <c r="J972" s="164" t="str">
        <f ca="1">IFERROR(__xludf.DUMMYFUNCTION("""COMPUTED_VALUE"""),"2023-08-01-SPLIT")</f>
        <v>2023-08-01-SPLIT</v>
      </c>
      <c r="K972" s="164" t="str">
        <f ca="1">IFERROR(__xludf.DUMMYFUNCTION("""COMPUTED_VALUE"""),"Engr. Jesus R. Asuncion")</f>
        <v>Engr. Jesus R. Asuncion</v>
      </c>
      <c r="L972" s="164" t="str">
        <f ca="1">IFERROR(__xludf.DUMMYFUNCTION("""COMPUTED_VALUE"""),"DARPO Ilocos Norte")</f>
        <v>DARPO Ilocos Norte</v>
      </c>
      <c r="M972" s="164" t="str">
        <f ca="1">IFERROR(__xludf.DUMMYFUNCTION("""COMPUTED_VALUE"""),"SERVICEABLE")</f>
        <v>SERVICEABLE</v>
      </c>
      <c r="N972" s="164"/>
    </row>
    <row r="973" spans="1:14" ht="13.2" hidden="1">
      <c r="A973" s="164" t="str">
        <f ca="1">IFERROR(__xludf.DUMMYFUNCTION("""COMPUTED_VALUE"""),"Region I")</f>
        <v>Region I</v>
      </c>
      <c r="B973" s="164" t="str">
        <f ca="1">IFERROR(__xludf.DUMMYFUNCTION("""COMPUTED_VALUE"""),"Ilocos Norte")</f>
        <v>Ilocos Norte</v>
      </c>
      <c r="C973" s="164" t="str">
        <f ca="1">IFERROR(__xludf.DUMMYFUNCTION("""COMPUTED_VALUE"""),"Laptop – (ACER EXTENSA EX215-55G i7)")</f>
        <v>Laptop – (ACER EXTENSA EX215-55G i7)</v>
      </c>
      <c r="D973" s="164" t="str">
        <f ca="1">IFERROR(__xludf.DUMMYFUNCTION("""COMPUTED_VALUE"""),"₱ 59,500.00")</f>
        <v>₱ 59,500.00</v>
      </c>
      <c r="E973" s="164" t="str">
        <f ca="1">IFERROR(__xludf.DUMMYFUNCTION("""COMPUTED_VALUE"""),"₱ -")</f>
        <v>₱ -</v>
      </c>
      <c r="F973" s="164" t="str">
        <f ca="1">IFERROR(__xludf.DUMMYFUNCTION("""COMPUTED_VALUE"""),"2023-05-03-10202SP302-01")</f>
        <v>2023-05-03-10202SP302-01</v>
      </c>
      <c r="G973" s="164"/>
      <c r="H973" s="164" t="str">
        <f ca="1">IFERROR(__xludf.DUMMYFUNCTION("""COMPUTED_VALUE"""),"Vic M. Ines")</f>
        <v>Vic M. Ines</v>
      </c>
      <c r="I973" s="164" t="str">
        <f ca="1">IFERROR(__xludf.DUMMYFUNCTION("""COMPUTED_VALUE"""),"PARPO II")</f>
        <v>PARPO II</v>
      </c>
      <c r="J973" s="164" t="str">
        <f ca="1">IFERROR(__xludf.DUMMYFUNCTION("""COMPUTED_VALUE"""),"2023-08-01-SPLIT")</f>
        <v>2023-08-01-SPLIT</v>
      </c>
      <c r="K973" s="164" t="str">
        <f ca="1">IFERROR(__xludf.DUMMYFUNCTION("""COMPUTED_VALUE"""),"Rodelle T. Pascual")</f>
        <v>Rodelle T. Pascual</v>
      </c>
      <c r="L973" s="164" t="str">
        <f ca="1">IFERROR(__xludf.DUMMYFUNCTION("""COMPUTED_VALUE"""),"DARPO Ilocos Norte")</f>
        <v>DARPO Ilocos Norte</v>
      </c>
      <c r="M973" s="164" t="str">
        <f ca="1">IFERROR(__xludf.DUMMYFUNCTION("""COMPUTED_VALUE"""),"SERVICEABLE")</f>
        <v>SERVICEABLE</v>
      </c>
      <c r="N973" s="164"/>
    </row>
    <row r="974" spans="1:14" ht="13.2" hidden="1">
      <c r="A974" s="164" t="str">
        <f ca="1">IFERROR(__xludf.DUMMYFUNCTION("""COMPUTED_VALUE"""),"Region I")</f>
        <v>Region I</v>
      </c>
      <c r="B974" s="164" t="str">
        <f ca="1">IFERROR(__xludf.DUMMYFUNCTION("""COMPUTED_VALUE"""),"Ilocos Norte")</f>
        <v>Ilocos Norte</v>
      </c>
      <c r="C974" s="164" t="str">
        <f ca="1">IFERROR(__xludf.DUMMYFUNCTION("""COMPUTED_VALUE"""),"Laptop – (ACER EXTENSA EX215-55G i7)")</f>
        <v>Laptop – (ACER EXTENSA EX215-55G i7)</v>
      </c>
      <c r="D974" s="164" t="str">
        <f ca="1">IFERROR(__xludf.DUMMYFUNCTION("""COMPUTED_VALUE"""),"₱ 59,500.00")</f>
        <v>₱ 59,500.00</v>
      </c>
      <c r="E974" s="164" t="str">
        <f ca="1">IFERROR(__xludf.DUMMYFUNCTION("""COMPUTED_VALUE"""),"₱ -")</f>
        <v>₱ -</v>
      </c>
      <c r="F974" s="164" t="str">
        <f ca="1">IFERROR(__xludf.DUMMYFUNCTION("""COMPUTED_VALUE"""),"2023-05-03-10202SP303-01")</f>
        <v>2023-05-03-10202SP303-01</v>
      </c>
      <c r="G974" s="164"/>
      <c r="H974" s="164" t="str">
        <f ca="1">IFERROR(__xludf.DUMMYFUNCTION("""COMPUTED_VALUE"""),"Vic M. Ines")</f>
        <v>Vic M. Ines</v>
      </c>
      <c r="I974" s="164" t="str">
        <f ca="1">IFERROR(__xludf.DUMMYFUNCTION("""COMPUTED_VALUE"""),"PARPO II")</f>
        <v>PARPO II</v>
      </c>
      <c r="J974" s="164" t="str">
        <f ca="1">IFERROR(__xludf.DUMMYFUNCTION("""COMPUTED_VALUE"""),"2023-08-01-SPLIT")</f>
        <v>2023-08-01-SPLIT</v>
      </c>
      <c r="K974" s="164" t="str">
        <f ca="1">IFERROR(__xludf.DUMMYFUNCTION("""COMPUTED_VALUE"""),"Reynalda T. Quiamas")</f>
        <v>Reynalda T. Quiamas</v>
      </c>
      <c r="L974" s="164" t="str">
        <f ca="1">IFERROR(__xludf.DUMMYFUNCTION("""COMPUTED_VALUE"""),"DARPO Ilocos Norte")</f>
        <v>DARPO Ilocos Norte</v>
      </c>
      <c r="M974" s="164" t="str">
        <f ca="1">IFERROR(__xludf.DUMMYFUNCTION("""COMPUTED_VALUE"""),"SERVICEABLE")</f>
        <v>SERVICEABLE</v>
      </c>
      <c r="N974" s="164"/>
    </row>
    <row r="975" spans="1:14" ht="13.2" hidden="1">
      <c r="A975" s="164" t="str">
        <f ca="1">IFERROR(__xludf.DUMMYFUNCTION("""COMPUTED_VALUE"""),"Region I")</f>
        <v>Region I</v>
      </c>
      <c r="B975" s="164" t="str">
        <f ca="1">IFERROR(__xludf.DUMMYFUNCTION("""COMPUTED_VALUE"""),"Ilocos Sur")</f>
        <v>Ilocos Sur</v>
      </c>
      <c r="C975" s="164" t="str">
        <f ca="1">IFERROR(__xludf.DUMMYFUNCTION("""COMPUTED_VALUE"""),"Laptop – (ACER EXTENSA EX215-55G i7)")</f>
        <v>Laptop – (ACER EXTENSA EX215-55G i7)</v>
      </c>
      <c r="D975" s="164" t="str">
        <f ca="1">IFERROR(__xludf.DUMMYFUNCTION("""COMPUTED_VALUE"""),"₱ 59,500.00")</f>
        <v>₱ 59,500.00</v>
      </c>
      <c r="E975" s="164" t="str">
        <f ca="1">IFERROR(__xludf.DUMMYFUNCTION("""COMPUTED_VALUE"""),"₱ -")</f>
        <v>₱ -</v>
      </c>
      <c r="F975" s="164" t="str">
        <f ca="1">IFERROR(__xludf.DUMMYFUNCTION("""COMPUTED_VALUE"""),"2023-05-03-10202SP304-01")</f>
        <v>2023-05-03-10202SP304-01</v>
      </c>
      <c r="G975" s="164"/>
      <c r="H975" s="164" t="str">
        <f ca="1">IFERROR(__xludf.DUMMYFUNCTION("""COMPUTED_VALUE"""),"Vic M. Ines")</f>
        <v>Vic M. Ines</v>
      </c>
      <c r="I975" s="164" t="str">
        <f ca="1">IFERROR(__xludf.DUMMYFUNCTION("""COMPUTED_VALUE"""),"PARPO II")</f>
        <v>PARPO II</v>
      </c>
      <c r="J975" s="164" t="str">
        <f ca="1">IFERROR(__xludf.DUMMYFUNCTION("""COMPUTED_VALUE"""),"2023-08-03-SPLIT")</f>
        <v>2023-08-03-SPLIT</v>
      </c>
      <c r="K975" s="164" t="str">
        <f ca="1">IFERROR(__xludf.DUMMYFUNCTION("""COMPUTED_VALUE"""),"Gemma C. Tablada")</f>
        <v>Gemma C. Tablada</v>
      </c>
      <c r="L975" s="164" t="str">
        <f ca="1">IFERROR(__xludf.DUMMYFUNCTION("""COMPUTED_VALUE"""),"DARPO Ilocos Sur")</f>
        <v>DARPO Ilocos Sur</v>
      </c>
      <c r="M975" s="164" t="str">
        <f ca="1">IFERROR(__xludf.DUMMYFUNCTION("""COMPUTED_VALUE"""),"SERVICEABLE")</f>
        <v>SERVICEABLE</v>
      </c>
      <c r="N975" s="164"/>
    </row>
    <row r="976" spans="1:14" ht="13.2" hidden="1">
      <c r="A976" s="164" t="str">
        <f ca="1">IFERROR(__xludf.DUMMYFUNCTION("""COMPUTED_VALUE"""),"Region I")</f>
        <v>Region I</v>
      </c>
      <c r="B976" s="164" t="str">
        <f ca="1">IFERROR(__xludf.DUMMYFUNCTION("""COMPUTED_VALUE"""),"Ilocos Sur")</f>
        <v>Ilocos Sur</v>
      </c>
      <c r="C976" s="164" t="str">
        <f ca="1">IFERROR(__xludf.DUMMYFUNCTION("""COMPUTED_VALUE"""),"Laptop – (ACER EXTENSA EX215-55G i7)")</f>
        <v>Laptop – (ACER EXTENSA EX215-55G i7)</v>
      </c>
      <c r="D976" s="164" t="str">
        <f ca="1">IFERROR(__xludf.DUMMYFUNCTION("""COMPUTED_VALUE"""),"₱ 59,500.00")</f>
        <v>₱ 59,500.00</v>
      </c>
      <c r="E976" s="164" t="str">
        <f ca="1">IFERROR(__xludf.DUMMYFUNCTION("""COMPUTED_VALUE"""),"₱ -")</f>
        <v>₱ -</v>
      </c>
      <c r="F976" s="164" t="str">
        <f ca="1">IFERROR(__xludf.DUMMYFUNCTION("""COMPUTED_VALUE"""),"2023-05-03-10202SP305-01")</f>
        <v>2023-05-03-10202SP305-01</v>
      </c>
      <c r="G976" s="164"/>
      <c r="H976" s="164" t="str">
        <f ca="1">IFERROR(__xludf.DUMMYFUNCTION("""COMPUTED_VALUE"""),"Vic M. Ines")</f>
        <v>Vic M. Ines</v>
      </c>
      <c r="I976" s="164" t="str">
        <f ca="1">IFERROR(__xludf.DUMMYFUNCTION("""COMPUTED_VALUE"""),"PARPO II")</f>
        <v>PARPO II</v>
      </c>
      <c r="J976" s="164" t="str">
        <f ca="1">IFERROR(__xludf.DUMMYFUNCTION("""COMPUTED_VALUE"""),"2023-08-03-SPLIT")</f>
        <v>2023-08-03-SPLIT</v>
      </c>
      <c r="K976" s="164" t="str">
        <f ca="1">IFERROR(__xludf.DUMMYFUNCTION("""COMPUTED_VALUE"""),"Ma. Victoria L. Castaneda")</f>
        <v>Ma. Victoria L. Castaneda</v>
      </c>
      <c r="L976" s="164" t="str">
        <f ca="1">IFERROR(__xludf.DUMMYFUNCTION("""COMPUTED_VALUE"""),"DARPO Ilocos Sur")</f>
        <v>DARPO Ilocos Sur</v>
      </c>
      <c r="M976" s="164" t="str">
        <f ca="1">IFERROR(__xludf.DUMMYFUNCTION("""COMPUTED_VALUE"""),"SERVICEABLE")</f>
        <v>SERVICEABLE</v>
      </c>
      <c r="N976" s="164"/>
    </row>
    <row r="977" spans="1:14" ht="13.2" hidden="1">
      <c r="A977" s="164" t="str">
        <f ca="1">IFERROR(__xludf.DUMMYFUNCTION("""COMPUTED_VALUE"""),"Region I")</f>
        <v>Region I</v>
      </c>
      <c r="B977" s="164" t="str">
        <f ca="1">IFERROR(__xludf.DUMMYFUNCTION("""COMPUTED_VALUE"""),"La Union")</f>
        <v>La Union</v>
      </c>
      <c r="C977" s="164" t="str">
        <f ca="1">IFERROR(__xludf.DUMMYFUNCTION("""COMPUTED_VALUE"""),"Laptop – (ACER EXTENSA EX215-55G i7)")</f>
        <v>Laptop – (ACER EXTENSA EX215-55G i7)</v>
      </c>
      <c r="D977" s="164" t="str">
        <f ca="1">IFERROR(__xludf.DUMMYFUNCTION("""COMPUTED_VALUE"""),"₱ 59,500.00")</f>
        <v>₱ 59,500.00</v>
      </c>
      <c r="E977" s="164" t="str">
        <f ca="1">IFERROR(__xludf.DUMMYFUNCTION("""COMPUTED_VALUE"""),"₱ -")</f>
        <v>₱ -</v>
      </c>
      <c r="F977" s="164" t="str">
        <f ca="1">IFERROR(__xludf.DUMMYFUNCTION("""COMPUTED_VALUE"""),"2023-05-03-10202SP306-01")</f>
        <v>2023-05-03-10202SP306-01</v>
      </c>
      <c r="G977" s="164"/>
      <c r="H977" s="164" t="str">
        <f ca="1">IFERROR(__xludf.DUMMYFUNCTION("""COMPUTED_VALUE"""),"Christianne C. Suguitan")</f>
        <v>Christianne C. Suguitan</v>
      </c>
      <c r="I977" s="164" t="str">
        <f ca="1">IFERROR(__xludf.DUMMYFUNCTION("""COMPUTED_VALUE"""),"PARPO II")</f>
        <v>PARPO II</v>
      </c>
      <c r="J977" s="164" t="str">
        <f ca="1">IFERROR(__xludf.DUMMYFUNCTION("""COMPUTED_VALUE"""),"2023-08-06-SPLIT")</f>
        <v>2023-08-06-SPLIT</v>
      </c>
      <c r="K977" s="164" t="str">
        <f ca="1">IFERROR(__xludf.DUMMYFUNCTION("""COMPUTED_VALUE"""),"Eric Winlove M. Mendoza")</f>
        <v>Eric Winlove M. Mendoza</v>
      </c>
      <c r="L977" s="164" t="str">
        <f ca="1">IFERROR(__xludf.DUMMYFUNCTION("""COMPUTED_VALUE"""),"DARPO La Union")</f>
        <v>DARPO La Union</v>
      </c>
      <c r="M977" s="164" t="str">
        <f ca="1">IFERROR(__xludf.DUMMYFUNCTION("""COMPUTED_VALUE"""),"SERVICEABLE")</f>
        <v>SERVICEABLE</v>
      </c>
      <c r="N977" s="164"/>
    </row>
    <row r="978" spans="1:14" ht="13.2" hidden="1">
      <c r="A978" s="164" t="str">
        <f ca="1">IFERROR(__xludf.DUMMYFUNCTION("""COMPUTED_VALUE"""),"Region I")</f>
        <v>Region I</v>
      </c>
      <c r="B978" s="164" t="str">
        <f ca="1">IFERROR(__xludf.DUMMYFUNCTION("""COMPUTED_VALUE"""),"La Union")</f>
        <v>La Union</v>
      </c>
      <c r="C978" s="164" t="str">
        <f ca="1">IFERROR(__xludf.DUMMYFUNCTION("""COMPUTED_VALUE"""),"Laptop – (ACER EXTENSA EX215-55G i7)")</f>
        <v>Laptop – (ACER EXTENSA EX215-55G i7)</v>
      </c>
      <c r="D978" s="164" t="str">
        <f ca="1">IFERROR(__xludf.DUMMYFUNCTION("""COMPUTED_VALUE"""),"₱ 59,500.00")</f>
        <v>₱ 59,500.00</v>
      </c>
      <c r="E978" s="164" t="str">
        <f ca="1">IFERROR(__xludf.DUMMYFUNCTION("""COMPUTED_VALUE"""),"₱ -")</f>
        <v>₱ -</v>
      </c>
      <c r="F978" s="164" t="str">
        <f ca="1">IFERROR(__xludf.DUMMYFUNCTION("""COMPUTED_VALUE"""),"2023-05-03-10202SP307-01")</f>
        <v>2023-05-03-10202SP307-01</v>
      </c>
      <c r="G978" s="164"/>
      <c r="H978" s="164" t="str">
        <f ca="1">IFERROR(__xludf.DUMMYFUNCTION("""COMPUTED_VALUE"""),"Christianne C. Suguitan")</f>
        <v>Christianne C. Suguitan</v>
      </c>
      <c r="I978" s="164" t="str">
        <f ca="1">IFERROR(__xludf.DUMMYFUNCTION("""COMPUTED_VALUE"""),"PARPO II")</f>
        <v>PARPO II</v>
      </c>
      <c r="J978" s="164" t="str">
        <f ca="1">IFERROR(__xludf.DUMMYFUNCTION("""COMPUTED_VALUE"""),"2023-08-06-SPLIT")</f>
        <v>2023-08-06-SPLIT</v>
      </c>
      <c r="K978" s="164" t="str">
        <f ca="1">IFERROR(__xludf.DUMMYFUNCTION("""COMPUTED_VALUE"""),"Presnelie S. Galvez")</f>
        <v>Presnelie S. Galvez</v>
      </c>
      <c r="L978" s="164" t="str">
        <f ca="1">IFERROR(__xludf.DUMMYFUNCTION("""COMPUTED_VALUE"""),"DARPO La Union")</f>
        <v>DARPO La Union</v>
      </c>
      <c r="M978" s="164" t="str">
        <f ca="1">IFERROR(__xludf.DUMMYFUNCTION("""COMPUTED_VALUE"""),"SERVICEABLE")</f>
        <v>SERVICEABLE</v>
      </c>
      <c r="N978" s="164"/>
    </row>
    <row r="979" spans="1:14" ht="13.2" hidden="1">
      <c r="A979" s="164" t="str">
        <f ca="1">IFERROR(__xludf.DUMMYFUNCTION("""COMPUTED_VALUE"""),"Region I")</f>
        <v>Region I</v>
      </c>
      <c r="B979" s="164" t="str">
        <f ca="1">IFERROR(__xludf.DUMMYFUNCTION("""COMPUTED_VALUE"""),"Pangasinan")</f>
        <v>Pangasinan</v>
      </c>
      <c r="C979" s="164" t="str">
        <f ca="1">IFERROR(__xludf.DUMMYFUNCTION("""COMPUTED_VALUE"""),"Laptop – (ACER EXTENSA EX215-55G i7)")</f>
        <v>Laptop – (ACER EXTENSA EX215-55G i7)</v>
      </c>
      <c r="D979" s="164" t="str">
        <f ca="1">IFERROR(__xludf.DUMMYFUNCTION("""COMPUTED_VALUE"""),"₱ 59,500.00")</f>
        <v>₱ 59,500.00</v>
      </c>
      <c r="E979" s="164" t="str">
        <f ca="1">IFERROR(__xludf.DUMMYFUNCTION("""COMPUTED_VALUE"""),"₱ -")</f>
        <v>₱ -</v>
      </c>
      <c r="F979" s="164" t="str">
        <f ca="1">IFERROR(__xludf.DUMMYFUNCTION("""COMPUTED_VALUE"""),"2023-05-03-10202SP308-01")</f>
        <v>2023-05-03-10202SP308-01</v>
      </c>
      <c r="G979" s="164"/>
      <c r="H979" s="164" t="str">
        <f ca="1">IFERROR(__xludf.DUMMYFUNCTION("""COMPUTED_VALUE"""),"Maria Ana V. Francisco")</f>
        <v>Maria Ana V. Francisco</v>
      </c>
      <c r="I979" s="164" t="str">
        <f ca="1">IFERROR(__xludf.DUMMYFUNCTION("""COMPUTED_VALUE"""),"Regional Director")</f>
        <v>Regional Director</v>
      </c>
      <c r="J979" s="164" t="str">
        <f ca="1">IFERROR(__xludf.DUMMYFUNCTION("""COMPUTED_VALUE"""),"2023-08-07-SPLIT")</f>
        <v>2023-08-07-SPLIT</v>
      </c>
      <c r="K979" s="164" t="str">
        <f ca="1">IFERROR(__xludf.DUMMYFUNCTION("""COMPUTED_VALUE"""),"Dexter A. Miranda")</f>
        <v>Dexter A. Miranda</v>
      </c>
      <c r="L979" s="164" t="str">
        <f ca="1">IFERROR(__xludf.DUMMYFUNCTION("""COMPUTED_VALUE"""),"DARPO Pangasinan")</f>
        <v>DARPO Pangasinan</v>
      </c>
      <c r="M979" s="164" t="str">
        <f ca="1">IFERROR(__xludf.DUMMYFUNCTION("""COMPUTED_VALUE"""),"SERVICEABLE")</f>
        <v>SERVICEABLE</v>
      </c>
      <c r="N979" s="164"/>
    </row>
    <row r="980" spans="1:14" ht="13.2" hidden="1">
      <c r="A980" s="164" t="str">
        <f ca="1">IFERROR(__xludf.DUMMYFUNCTION("""COMPUTED_VALUE"""),"Region I")</f>
        <v>Region I</v>
      </c>
      <c r="B980" s="164" t="str">
        <f ca="1">IFERROR(__xludf.DUMMYFUNCTION("""COMPUTED_VALUE"""),"Pangasinan")</f>
        <v>Pangasinan</v>
      </c>
      <c r="C980" s="164" t="str">
        <f ca="1">IFERROR(__xludf.DUMMYFUNCTION("""COMPUTED_VALUE"""),"Laptop – (ACER EXTENSA EX215-55G i7)")</f>
        <v>Laptop – (ACER EXTENSA EX215-55G i7)</v>
      </c>
      <c r="D980" s="164" t="str">
        <f ca="1">IFERROR(__xludf.DUMMYFUNCTION("""COMPUTED_VALUE"""),"₱ 59,500.00")</f>
        <v>₱ 59,500.00</v>
      </c>
      <c r="E980" s="164" t="str">
        <f ca="1">IFERROR(__xludf.DUMMYFUNCTION("""COMPUTED_VALUE"""),"₱ -")</f>
        <v>₱ -</v>
      </c>
      <c r="F980" s="164" t="str">
        <f ca="1">IFERROR(__xludf.DUMMYFUNCTION("""COMPUTED_VALUE"""),"2023-05-03-10202SP309-01")</f>
        <v>2023-05-03-10202SP309-01</v>
      </c>
      <c r="G980" s="164"/>
      <c r="H980" s="164" t="str">
        <f ca="1">IFERROR(__xludf.DUMMYFUNCTION("""COMPUTED_VALUE"""),"Maria Ana V. Francisco")</f>
        <v>Maria Ana V. Francisco</v>
      </c>
      <c r="I980" s="164" t="str">
        <f ca="1">IFERROR(__xludf.DUMMYFUNCTION("""COMPUTED_VALUE"""),"Regional Director")</f>
        <v>Regional Director</v>
      </c>
      <c r="J980" s="164" t="str">
        <f ca="1">IFERROR(__xludf.DUMMYFUNCTION("""COMPUTED_VALUE"""),"2023-08-07-SPLIT")</f>
        <v>2023-08-07-SPLIT</v>
      </c>
      <c r="K980" s="164" t="str">
        <f ca="1">IFERROR(__xludf.DUMMYFUNCTION("""COMPUTED_VALUE"""),"Maribel A. Valdez")</f>
        <v>Maribel A. Valdez</v>
      </c>
      <c r="L980" s="164" t="str">
        <f ca="1">IFERROR(__xludf.DUMMYFUNCTION("""COMPUTED_VALUE"""),"DARPO Pangasinan")</f>
        <v>DARPO Pangasinan</v>
      </c>
      <c r="M980" s="164" t="str">
        <f ca="1">IFERROR(__xludf.DUMMYFUNCTION("""COMPUTED_VALUE"""),"SERVICEABLE")</f>
        <v>SERVICEABLE</v>
      </c>
      <c r="N980" s="164"/>
    </row>
    <row r="981" spans="1:14" ht="13.2" hidden="1">
      <c r="A981" s="164" t="str">
        <f ca="1">IFERROR(__xludf.DUMMYFUNCTION("""COMPUTED_VALUE"""),"Region I")</f>
        <v>Region I</v>
      </c>
      <c r="B981" s="164" t="str">
        <f ca="1">IFERROR(__xludf.DUMMYFUNCTION("""COMPUTED_VALUE"""),"Pangasinan")</f>
        <v>Pangasinan</v>
      </c>
      <c r="C981" s="164" t="str">
        <f ca="1">IFERROR(__xludf.DUMMYFUNCTION("""COMPUTED_VALUE"""),"Laptop – (ACER EXTENSA EX215-55G i7)")</f>
        <v>Laptop – (ACER EXTENSA EX215-55G i7)</v>
      </c>
      <c r="D981" s="164" t="str">
        <f ca="1">IFERROR(__xludf.DUMMYFUNCTION("""COMPUTED_VALUE"""),"₱ 59,500.00")</f>
        <v>₱ 59,500.00</v>
      </c>
      <c r="E981" s="164" t="str">
        <f ca="1">IFERROR(__xludf.DUMMYFUNCTION("""COMPUTED_VALUE"""),"₱ -")</f>
        <v>₱ -</v>
      </c>
      <c r="F981" s="164" t="str">
        <f ca="1">IFERROR(__xludf.DUMMYFUNCTION("""COMPUTED_VALUE"""),"2023-05-03-10202SP310-01")</f>
        <v>2023-05-03-10202SP310-01</v>
      </c>
      <c r="G981" s="164"/>
      <c r="H981" s="164" t="str">
        <f ca="1">IFERROR(__xludf.DUMMYFUNCTION("""COMPUTED_VALUE"""),"Maria Ana V. Francisco")</f>
        <v>Maria Ana V. Francisco</v>
      </c>
      <c r="I981" s="164" t="str">
        <f ca="1">IFERROR(__xludf.DUMMYFUNCTION("""COMPUTED_VALUE"""),"Regional Director")</f>
        <v>Regional Director</v>
      </c>
      <c r="J981" s="164" t="str">
        <f ca="1">IFERROR(__xludf.DUMMYFUNCTION("""COMPUTED_VALUE"""),"2023-08-07-SPLIT")</f>
        <v>2023-08-07-SPLIT</v>
      </c>
      <c r="K981" s="164" t="str">
        <f ca="1">IFERROR(__xludf.DUMMYFUNCTION("""COMPUTED_VALUE"""),"Tyreen F. Lacap")</f>
        <v>Tyreen F. Lacap</v>
      </c>
      <c r="L981" s="164" t="str">
        <f ca="1">IFERROR(__xludf.DUMMYFUNCTION("""COMPUTED_VALUE"""),"DARPO Pangasinan")</f>
        <v>DARPO Pangasinan</v>
      </c>
      <c r="M981" s="164" t="str">
        <f ca="1">IFERROR(__xludf.DUMMYFUNCTION("""COMPUTED_VALUE"""),"SERVICEABLE")</f>
        <v>SERVICEABLE</v>
      </c>
      <c r="N981" s="164"/>
    </row>
    <row r="982" spans="1:14" ht="13.2" hidden="1">
      <c r="A982" s="164" t="str">
        <f ca="1">IFERROR(__xludf.DUMMYFUNCTION("""COMPUTED_VALUE"""),"Region I")</f>
        <v>Region I</v>
      </c>
      <c r="B982" s="164" t="str">
        <f ca="1">IFERROR(__xludf.DUMMYFUNCTION("""COMPUTED_VALUE"""),"Regional Office")</f>
        <v>Regional Office</v>
      </c>
      <c r="C982" s="164" t="str">
        <f ca="1">IFERROR(__xludf.DUMMYFUNCTION("""COMPUTED_VALUE"""),"Laptop – (ACER EXTENSA EX215-55G i7)")</f>
        <v>Laptop – (ACER EXTENSA EX215-55G i7)</v>
      </c>
      <c r="D982" s="164" t="str">
        <f ca="1">IFERROR(__xludf.DUMMYFUNCTION("""COMPUTED_VALUE"""),"₱ 59,500.00")</f>
        <v>₱ 59,500.00</v>
      </c>
      <c r="E982" s="164" t="str">
        <f ca="1">IFERROR(__xludf.DUMMYFUNCTION("""COMPUTED_VALUE"""),"₱ -")</f>
        <v>₱ -</v>
      </c>
      <c r="F982" s="164" t="str">
        <f ca="1">IFERROR(__xludf.DUMMYFUNCTION("""COMPUTED_VALUE"""),"2023-05-03-10202SP311-01")</f>
        <v>2023-05-03-10202SP311-01</v>
      </c>
      <c r="G982" s="164"/>
      <c r="H982" s="164" t="str">
        <f ca="1">IFERROR(__xludf.DUMMYFUNCTION("""COMPUTED_VALUE"""),"Maria Ana V. Francisco")</f>
        <v>Maria Ana V. Francisco</v>
      </c>
      <c r="I982" s="164" t="str">
        <f ca="1">IFERROR(__xludf.DUMMYFUNCTION("""COMPUTED_VALUE"""),"Regional Director")</f>
        <v>Regional Director</v>
      </c>
      <c r="J982" s="164" t="str">
        <f ca="1">IFERROR(__xludf.DUMMYFUNCTION("""COMPUTED_VALUE"""),"2023-08-24-SPLIT")</f>
        <v>2023-08-24-SPLIT</v>
      </c>
      <c r="K982" s="164" t="str">
        <f ca="1">IFERROR(__xludf.DUMMYFUNCTION("""COMPUTED_VALUE"""),"Bethy Jane M. Dulay")</f>
        <v>Bethy Jane M. Dulay</v>
      </c>
      <c r="L982" s="164" t="str">
        <f ca="1">IFERROR(__xludf.DUMMYFUNCTION("""COMPUTED_VALUE"""),"DAR Regional Office")</f>
        <v>DAR Regional Office</v>
      </c>
      <c r="M982" s="164" t="str">
        <f ca="1">IFERROR(__xludf.DUMMYFUNCTION("""COMPUTED_VALUE"""),"SERVICEABLE")</f>
        <v>SERVICEABLE</v>
      </c>
      <c r="N982" s="164"/>
    </row>
    <row r="983" spans="1:14" ht="13.2" hidden="1">
      <c r="A983" s="164" t="str">
        <f ca="1">IFERROR(__xludf.DUMMYFUNCTION("""COMPUTED_VALUE"""),"Region I")</f>
        <v>Region I</v>
      </c>
      <c r="B983" s="164" t="str">
        <f ca="1">IFERROR(__xludf.DUMMYFUNCTION("""COMPUTED_VALUE"""),"Regional Office")</f>
        <v>Regional Office</v>
      </c>
      <c r="C983" s="164" t="str">
        <f ca="1">IFERROR(__xludf.DUMMYFUNCTION("""COMPUTED_VALUE"""),"Laptop – (ACER EXTENSA EX215-55G i7)")</f>
        <v>Laptop – (ACER EXTENSA EX215-55G i7)</v>
      </c>
      <c r="D983" s="164" t="str">
        <f ca="1">IFERROR(__xludf.DUMMYFUNCTION("""COMPUTED_VALUE"""),"₱ 59,500.00")</f>
        <v>₱ 59,500.00</v>
      </c>
      <c r="E983" s="164" t="str">
        <f ca="1">IFERROR(__xludf.DUMMYFUNCTION("""COMPUTED_VALUE"""),"₱ -")</f>
        <v>₱ -</v>
      </c>
      <c r="F983" s="164" t="str">
        <f ca="1">IFERROR(__xludf.DUMMYFUNCTION("""COMPUTED_VALUE"""),"2023-05-03-10202SP312-01")</f>
        <v>2023-05-03-10202SP312-01</v>
      </c>
      <c r="G983" s="164"/>
      <c r="H983" s="164" t="str">
        <f ca="1">IFERROR(__xludf.DUMMYFUNCTION("""COMPUTED_VALUE"""),"Maria Ana V. Francisco")</f>
        <v>Maria Ana V. Francisco</v>
      </c>
      <c r="I983" s="164" t="str">
        <f ca="1">IFERROR(__xludf.DUMMYFUNCTION("""COMPUTED_VALUE"""),"Regional Director")</f>
        <v>Regional Director</v>
      </c>
      <c r="J983" s="164" t="str">
        <f ca="1">IFERROR(__xludf.DUMMYFUNCTION("""COMPUTED_VALUE"""),"2023-08-25-SPLIT")</f>
        <v>2023-08-25-SPLIT</v>
      </c>
      <c r="K983" s="164" t="str">
        <f ca="1">IFERROR(__xludf.DUMMYFUNCTION("""COMPUTED_VALUE"""),"Atty. Margielene Cabulang")</f>
        <v>Atty. Margielene Cabulang</v>
      </c>
      <c r="L983" s="164" t="str">
        <f ca="1">IFERROR(__xludf.DUMMYFUNCTION("""COMPUTED_VALUE"""),"DAR Regional Office")</f>
        <v>DAR Regional Office</v>
      </c>
      <c r="M983" s="164" t="str">
        <f ca="1">IFERROR(__xludf.DUMMYFUNCTION("""COMPUTED_VALUE"""),"SERVICEABLE")</f>
        <v>SERVICEABLE</v>
      </c>
      <c r="N983" s="164"/>
    </row>
    <row r="984" spans="1:14" ht="13.2" hidden="1">
      <c r="A984" s="164" t="str">
        <f ca="1">IFERROR(__xludf.DUMMYFUNCTION("""COMPUTED_VALUE"""),"Region I")</f>
        <v>Region I</v>
      </c>
      <c r="B984" s="164" t="str">
        <f ca="1">IFERROR(__xludf.DUMMYFUNCTION("""COMPUTED_VALUE"""),"Regional Office")</f>
        <v>Regional Office</v>
      </c>
      <c r="C984" s="164" t="str">
        <f ca="1">IFERROR(__xludf.DUMMYFUNCTION("""COMPUTED_VALUE"""),"Laptop – (ACER EXTENSA EX215-55G i7)")</f>
        <v>Laptop – (ACER EXTENSA EX215-55G i7)</v>
      </c>
      <c r="D984" s="164" t="str">
        <f ca="1">IFERROR(__xludf.DUMMYFUNCTION("""COMPUTED_VALUE"""),"₱ 59,500.00")</f>
        <v>₱ 59,500.00</v>
      </c>
      <c r="E984" s="164" t="str">
        <f ca="1">IFERROR(__xludf.DUMMYFUNCTION("""COMPUTED_VALUE"""),"₱ -")</f>
        <v>₱ -</v>
      </c>
      <c r="F984" s="164" t="str">
        <f ca="1">IFERROR(__xludf.DUMMYFUNCTION("""COMPUTED_VALUE"""),"2023-05-03-10202SP313-01")</f>
        <v>2023-05-03-10202SP313-01</v>
      </c>
      <c r="G984" s="164"/>
      <c r="H984" s="164" t="str">
        <f ca="1">IFERROR(__xludf.DUMMYFUNCTION("""COMPUTED_VALUE"""),"Maria Ana V. Francisco")</f>
        <v>Maria Ana V. Francisco</v>
      </c>
      <c r="I984" s="164" t="str">
        <f ca="1">IFERROR(__xludf.DUMMYFUNCTION("""COMPUTED_VALUE"""),"Regional Director")</f>
        <v>Regional Director</v>
      </c>
      <c r="J984" s="164" t="str">
        <f ca="1">IFERROR(__xludf.DUMMYFUNCTION("""COMPUTED_VALUE"""),"2023-09-44-SPLIT")</f>
        <v>2023-09-44-SPLIT</v>
      </c>
      <c r="K984" s="164" t="str">
        <f ca="1">IFERROR(__xludf.DUMMYFUNCTION("""COMPUTED_VALUE"""),"RARAD Marivic c. Casabar")</f>
        <v>RARAD Marivic c. Casabar</v>
      </c>
      <c r="L984" s="164" t="str">
        <f ca="1">IFERROR(__xludf.DUMMYFUNCTION("""COMPUTED_VALUE"""),"DAR Regional Office")</f>
        <v>DAR Regional Office</v>
      </c>
      <c r="M984" s="164" t="str">
        <f ca="1">IFERROR(__xludf.DUMMYFUNCTION("""COMPUTED_VALUE"""),"SERVICEABLE")</f>
        <v>SERVICEABLE</v>
      </c>
      <c r="N984" s="164"/>
    </row>
    <row r="985" spans="1:14" ht="13.2" hidden="1">
      <c r="A985" s="164" t="str">
        <f ca="1">IFERROR(__xludf.DUMMYFUNCTION("""COMPUTED_VALUE"""),"Region I")</f>
        <v>Region I</v>
      </c>
      <c r="B985" s="164" t="str">
        <f ca="1">IFERROR(__xludf.DUMMYFUNCTION("""COMPUTED_VALUE"""),"Regional Office")</f>
        <v>Regional Office</v>
      </c>
      <c r="C985" s="164" t="str">
        <f ca="1">IFERROR(__xludf.DUMMYFUNCTION("""COMPUTED_VALUE"""),"Laptop – (ACER EXTENSA EX215-55G i7)")</f>
        <v>Laptop – (ACER EXTENSA EX215-55G i7)</v>
      </c>
      <c r="D985" s="164" t="str">
        <f ca="1">IFERROR(__xludf.DUMMYFUNCTION("""COMPUTED_VALUE"""),"₱ 59,500.00")</f>
        <v>₱ 59,500.00</v>
      </c>
      <c r="E985" s="164" t="str">
        <f ca="1">IFERROR(__xludf.DUMMYFUNCTION("""COMPUTED_VALUE"""),"₱ -")</f>
        <v>₱ -</v>
      </c>
      <c r="F985" s="164" t="str">
        <f ca="1">IFERROR(__xludf.DUMMYFUNCTION("""COMPUTED_VALUE"""),"2023-05-03-10202SP10-01")</f>
        <v>2023-05-03-10202SP10-01</v>
      </c>
      <c r="G985" s="164"/>
      <c r="H985" s="164" t="str">
        <f ca="1">IFERROR(__xludf.DUMMYFUNCTION("""COMPUTED_VALUE"""),"Ma. Katherine P. Somera")</f>
        <v>Ma. Katherine P. Somera</v>
      </c>
      <c r="I985" s="164" t="str">
        <f ca="1">IFERROR(__xludf.DUMMYFUNCTION("""COMPUTED_VALUE"""),"Information Officer III")</f>
        <v>Information Officer III</v>
      </c>
      <c r="J985" s="164" t="str">
        <f ca="1">IFERROR(__xludf.DUMMYFUNCTION("""COMPUTED_VALUE"""),"2023-11-51-SPLIT")</f>
        <v>2023-11-51-SPLIT</v>
      </c>
      <c r="K985" s="164" t="str">
        <f ca="1">IFERROR(__xludf.DUMMYFUNCTION("""COMPUTED_VALUE"""),"Ma. Katherine P. Somera")</f>
        <v>Ma. Katherine P. Somera</v>
      </c>
      <c r="L985" s="164" t="str">
        <f ca="1">IFERROR(__xludf.DUMMYFUNCTION("""COMPUTED_VALUE"""),"DAR Regional Office")</f>
        <v>DAR Regional Office</v>
      </c>
      <c r="M985" s="164" t="str">
        <f ca="1">IFERROR(__xludf.DUMMYFUNCTION("""COMPUTED_VALUE"""),"SERVICEABLE")</f>
        <v>SERVICEABLE</v>
      </c>
      <c r="N985" s="164"/>
    </row>
    <row r="986" spans="1:14" ht="13.2" hidden="1">
      <c r="A986" s="164" t="str">
        <f ca="1">IFERROR(__xludf.DUMMYFUNCTION("""COMPUTED_VALUE"""),"Region I")</f>
        <v>Region I</v>
      </c>
      <c r="B986" s="164" t="str">
        <f ca="1">IFERROR(__xludf.DUMMYFUNCTION("""COMPUTED_VALUE"""),"La Union")</f>
        <v>La Union</v>
      </c>
      <c r="C986" s="164" t="str">
        <f ca="1">IFERROR(__xludf.DUMMYFUNCTION("""COMPUTED_VALUE"""),"Laptop – (ACER EXTENSA EX215-55G i7)")</f>
        <v>Laptop – (ACER EXTENSA EX215-55G i7)</v>
      </c>
      <c r="D986" s="164" t="str">
        <f ca="1">IFERROR(__xludf.DUMMYFUNCTION("""COMPUTED_VALUE"""),"₱ 59,500.00")</f>
        <v>₱ 59,500.00</v>
      </c>
      <c r="E986" s="164" t="str">
        <f ca="1">IFERROR(__xludf.DUMMYFUNCTION("""COMPUTED_VALUE"""),"₱ -")</f>
        <v>₱ -</v>
      </c>
      <c r="F986" s="164" t="str">
        <f ca="1">IFERROR(__xludf.DUMMYFUNCTION("""COMPUTED_VALUE"""),"2023-05-03-10202SP11-01")</f>
        <v>2023-05-03-10202SP11-01</v>
      </c>
      <c r="G986" s="164"/>
      <c r="H986" s="164" t="str">
        <f ca="1">IFERROR(__xludf.DUMMYFUNCTION("""COMPUTED_VALUE"""),"Ma. Katherine P. Somera")</f>
        <v>Ma. Katherine P. Somera</v>
      </c>
      <c r="I986" s="164" t="str">
        <f ca="1">IFERROR(__xludf.DUMMYFUNCTION("""COMPUTED_VALUE"""),"Information Officer III")</f>
        <v>Information Officer III</v>
      </c>
      <c r="J986" s="164" t="str">
        <f ca="1">IFERROR(__xludf.DUMMYFUNCTION("""COMPUTED_VALUE"""),"2023-11-52-SPLIT")</f>
        <v>2023-11-52-SPLIT</v>
      </c>
      <c r="K986" s="164" t="str">
        <f ca="1">IFERROR(__xludf.DUMMYFUNCTION("""COMPUTED_VALUE"""),"Daniel Andrada")</f>
        <v>Daniel Andrada</v>
      </c>
      <c r="L986" s="164" t="str">
        <f ca="1">IFERROR(__xludf.DUMMYFUNCTION("""COMPUTED_VALUE"""),"DAR Regional Office")</f>
        <v>DAR Regional Office</v>
      </c>
      <c r="M986" s="164" t="str">
        <f ca="1">IFERROR(__xludf.DUMMYFUNCTION("""COMPUTED_VALUE"""),"SERVICEABLE")</f>
        <v>SERVICEABLE</v>
      </c>
      <c r="N986" s="164"/>
    </row>
    <row r="987" spans="1:14" ht="13.2" hidden="1">
      <c r="A987" s="164" t="str">
        <f ca="1">IFERROR(__xludf.DUMMYFUNCTION("""COMPUTED_VALUE"""),"Region I")</f>
        <v>Region I</v>
      </c>
      <c r="B987" s="164" t="str">
        <f ca="1">IFERROR(__xludf.DUMMYFUNCTION("""COMPUTED_VALUE"""),"Pangasinan")</f>
        <v>Pangasinan</v>
      </c>
      <c r="C987" s="164" t="str">
        <f ca="1">IFERROR(__xludf.DUMMYFUNCTION("""COMPUTED_VALUE"""),"Laptop – (ACER EXTENSA EX215-55G i7)")</f>
        <v>Laptop – (ACER EXTENSA EX215-55G i7)</v>
      </c>
      <c r="D987" s="164" t="str">
        <f ca="1">IFERROR(__xludf.DUMMYFUNCTION("""COMPUTED_VALUE"""),"₱ 59,500.00")</f>
        <v>₱ 59,500.00</v>
      </c>
      <c r="E987" s="164" t="str">
        <f ca="1">IFERROR(__xludf.DUMMYFUNCTION("""COMPUTED_VALUE"""),"₱ -")</f>
        <v>₱ -</v>
      </c>
      <c r="F987" s="164" t="str">
        <f ca="1">IFERROR(__xludf.DUMMYFUNCTION("""COMPUTED_VALUE"""),"2023-05-03-10202SP12-01")</f>
        <v>2023-05-03-10202SP12-01</v>
      </c>
      <c r="G987" s="164"/>
      <c r="H987" s="164" t="str">
        <f ca="1">IFERROR(__xludf.DUMMYFUNCTION("""COMPUTED_VALUE"""),"Ma. Katherine P. Somera")</f>
        <v>Ma. Katherine P. Somera</v>
      </c>
      <c r="I987" s="164" t="str">
        <f ca="1">IFERROR(__xludf.DUMMYFUNCTION("""COMPUTED_VALUE"""),"Information Officer III")</f>
        <v>Information Officer III</v>
      </c>
      <c r="J987" s="164" t="str">
        <f ca="1">IFERROR(__xludf.DUMMYFUNCTION("""COMPUTED_VALUE"""),"2023-11-53-SPLIT")</f>
        <v>2023-11-53-SPLIT</v>
      </c>
      <c r="K987" s="164" t="str">
        <f ca="1">IFERROR(__xludf.DUMMYFUNCTION("""COMPUTED_VALUE"""),"Zarena Ann D. Amado")</f>
        <v>Zarena Ann D. Amado</v>
      </c>
      <c r="L987" s="164" t="str">
        <f ca="1">IFERROR(__xludf.DUMMYFUNCTION("""COMPUTED_VALUE"""),"DAR Regional Office")</f>
        <v>DAR Regional Office</v>
      </c>
      <c r="M987" s="164" t="str">
        <f ca="1">IFERROR(__xludf.DUMMYFUNCTION("""COMPUTED_VALUE"""),"SERVICEABLE")</f>
        <v>SERVICEABLE</v>
      </c>
      <c r="N987" s="164"/>
    </row>
    <row r="988" spans="1:14" ht="13.2" hidden="1">
      <c r="A988" s="164" t="str">
        <f ca="1">IFERROR(__xludf.DUMMYFUNCTION("""COMPUTED_VALUE"""),"Region I")</f>
        <v>Region I</v>
      </c>
      <c r="B988" s="164" t="str">
        <f ca="1">IFERROR(__xludf.DUMMYFUNCTION("""COMPUTED_VALUE"""),"Pangasinan")</f>
        <v>Pangasinan</v>
      </c>
      <c r="C988" s="164" t="str">
        <f ca="1">IFERROR(__xludf.DUMMYFUNCTION("""COMPUTED_VALUE"""),"Laptop – (ACER EXTENSA EX215-55G i7)")</f>
        <v>Laptop – (ACER EXTENSA EX215-55G i7)</v>
      </c>
      <c r="D988" s="164" t="str">
        <f ca="1">IFERROR(__xludf.DUMMYFUNCTION("""COMPUTED_VALUE"""),"₱ 59,500.00")</f>
        <v>₱ 59,500.00</v>
      </c>
      <c r="E988" s="164" t="str">
        <f ca="1">IFERROR(__xludf.DUMMYFUNCTION("""COMPUTED_VALUE"""),"₱ -")</f>
        <v>₱ -</v>
      </c>
      <c r="F988" s="164" t="str">
        <f ca="1">IFERROR(__xludf.DUMMYFUNCTION("""COMPUTED_VALUE"""),"2023-05-03-10202SP13-01")</f>
        <v>2023-05-03-10202SP13-01</v>
      </c>
      <c r="G988" s="164"/>
      <c r="H988" s="164" t="str">
        <f ca="1">IFERROR(__xludf.DUMMYFUNCTION("""COMPUTED_VALUE"""),"Ma. Katherine P. Somera")</f>
        <v>Ma. Katherine P. Somera</v>
      </c>
      <c r="I988" s="164" t="str">
        <f ca="1">IFERROR(__xludf.DUMMYFUNCTION("""COMPUTED_VALUE"""),"Information Officer III")</f>
        <v>Information Officer III</v>
      </c>
      <c r="J988" s="164" t="str">
        <f ca="1">IFERROR(__xludf.DUMMYFUNCTION("""COMPUTED_VALUE"""),"2023-11-54-SPLIT")</f>
        <v>2023-11-54-SPLIT</v>
      </c>
      <c r="K988" s="164" t="str">
        <f ca="1">IFERROR(__xludf.DUMMYFUNCTION("""COMPUTED_VALUE"""),"Dexter A. Miranda")</f>
        <v>Dexter A. Miranda</v>
      </c>
      <c r="L988" s="164" t="str">
        <f ca="1">IFERROR(__xludf.DUMMYFUNCTION("""COMPUTED_VALUE"""),"DAR Regional Office")</f>
        <v>DAR Regional Office</v>
      </c>
      <c r="M988" s="164" t="str">
        <f ca="1">IFERROR(__xludf.DUMMYFUNCTION("""COMPUTED_VALUE"""),"SERVICEABLE")</f>
        <v>SERVICEABLE</v>
      </c>
      <c r="N988" s="164"/>
    </row>
    <row r="989" spans="1:14" ht="13.2" hidden="1">
      <c r="A989" s="164" t="str">
        <f ca="1">IFERROR(__xludf.DUMMYFUNCTION("""COMPUTED_VALUE"""),"Region I")</f>
        <v>Region I</v>
      </c>
      <c r="B989" s="164" t="str">
        <f ca="1">IFERROR(__xludf.DUMMYFUNCTION("""COMPUTED_VALUE"""),"Ilocos Sur")</f>
        <v>Ilocos Sur</v>
      </c>
      <c r="C989" s="164" t="str">
        <f ca="1">IFERROR(__xludf.DUMMYFUNCTION("""COMPUTED_VALUE"""),"Laptop – (ACER EXTENSA EX215-55G i7)")</f>
        <v>Laptop – (ACER EXTENSA EX215-55G i7)</v>
      </c>
      <c r="D989" s="164" t="str">
        <f ca="1">IFERROR(__xludf.DUMMYFUNCTION("""COMPUTED_VALUE"""),"₱ 59,500.00")</f>
        <v>₱ 59,500.00</v>
      </c>
      <c r="E989" s="164" t="str">
        <f ca="1">IFERROR(__xludf.DUMMYFUNCTION("""COMPUTED_VALUE"""),"₱ -")</f>
        <v>₱ -</v>
      </c>
      <c r="F989" s="164" t="str">
        <f ca="1">IFERROR(__xludf.DUMMYFUNCTION("""COMPUTED_VALUE"""),"2023-05-03-10202SP14-01")</f>
        <v>2023-05-03-10202SP14-01</v>
      </c>
      <c r="G989" s="164"/>
      <c r="H989" s="164" t="str">
        <f ca="1">IFERROR(__xludf.DUMMYFUNCTION("""COMPUTED_VALUE"""),"Ma. Katherine P. Somera")</f>
        <v>Ma. Katherine P. Somera</v>
      </c>
      <c r="I989" s="164" t="str">
        <f ca="1">IFERROR(__xludf.DUMMYFUNCTION("""COMPUTED_VALUE"""),"Information Officer III")</f>
        <v>Information Officer III</v>
      </c>
      <c r="J989" s="164" t="str">
        <f ca="1">IFERROR(__xludf.DUMMYFUNCTION("""COMPUTED_VALUE"""),"2023-11-55-SPLIT")</f>
        <v>2023-11-55-SPLIT</v>
      </c>
      <c r="K989" s="164" t="str">
        <f ca="1">IFERROR(__xludf.DUMMYFUNCTION("""COMPUTED_VALUE"""),"Rizalyn T. Ambida")</f>
        <v>Rizalyn T. Ambida</v>
      </c>
      <c r="L989" s="164" t="str">
        <f ca="1">IFERROR(__xludf.DUMMYFUNCTION("""COMPUTED_VALUE"""),"DAR Regional Office")</f>
        <v>DAR Regional Office</v>
      </c>
      <c r="M989" s="164" t="str">
        <f ca="1">IFERROR(__xludf.DUMMYFUNCTION("""COMPUTED_VALUE"""),"SERVICEABLE")</f>
        <v>SERVICEABLE</v>
      </c>
      <c r="N989" s="164"/>
    </row>
    <row r="990" spans="1:14" ht="13.2" hidden="1">
      <c r="A990" s="164" t="str">
        <f ca="1">IFERROR(__xludf.DUMMYFUNCTION("""COMPUTED_VALUE"""),"Region I")</f>
        <v>Region I</v>
      </c>
      <c r="B990" s="164" t="str">
        <f ca="1">IFERROR(__xludf.DUMMYFUNCTION("""COMPUTED_VALUE"""),"Ilocos Norte")</f>
        <v>Ilocos Norte</v>
      </c>
      <c r="C990" s="164" t="str">
        <f ca="1">IFERROR(__xludf.DUMMYFUNCTION("""COMPUTED_VALUE"""),"Laptop – (ACER EXTENSA EX215-55G i7)")</f>
        <v>Laptop – (ACER EXTENSA EX215-55G i7)</v>
      </c>
      <c r="D990" s="164" t="str">
        <f ca="1">IFERROR(__xludf.DUMMYFUNCTION("""COMPUTED_VALUE"""),"₱ 59,500.00")</f>
        <v>₱ 59,500.00</v>
      </c>
      <c r="E990" s="164" t="str">
        <f ca="1">IFERROR(__xludf.DUMMYFUNCTION("""COMPUTED_VALUE"""),"₱ -")</f>
        <v>₱ -</v>
      </c>
      <c r="F990" s="164" t="str">
        <f ca="1">IFERROR(__xludf.DUMMYFUNCTION("""COMPUTED_VALUE"""),"2023-05-03-10202SP15-01")</f>
        <v>2023-05-03-10202SP15-01</v>
      </c>
      <c r="G990" s="164"/>
      <c r="H990" s="164" t="str">
        <f ca="1">IFERROR(__xludf.DUMMYFUNCTION("""COMPUTED_VALUE"""),"Ma. Katherine P. Somera")</f>
        <v>Ma. Katherine P. Somera</v>
      </c>
      <c r="I990" s="164" t="str">
        <f ca="1">IFERROR(__xludf.DUMMYFUNCTION("""COMPUTED_VALUE"""),"Information Officer III")</f>
        <v>Information Officer III</v>
      </c>
      <c r="J990" s="164" t="str">
        <f ca="1">IFERROR(__xludf.DUMMYFUNCTION("""COMPUTED_VALUE"""),"2023-11-56-SPLIT")</f>
        <v>2023-11-56-SPLIT</v>
      </c>
      <c r="K990" s="164" t="str">
        <f ca="1">IFERROR(__xludf.DUMMYFUNCTION("""COMPUTED_VALUE"""),"Jorge Richard P. Guerrero")</f>
        <v>Jorge Richard P. Guerrero</v>
      </c>
      <c r="L990" s="164" t="str">
        <f ca="1">IFERROR(__xludf.DUMMYFUNCTION("""COMPUTED_VALUE"""),"DAR Regional Office")</f>
        <v>DAR Regional Office</v>
      </c>
      <c r="M990" s="164" t="str">
        <f ca="1">IFERROR(__xludf.DUMMYFUNCTION("""COMPUTED_VALUE"""),"SERVICEABLE")</f>
        <v>SERVICEABLE</v>
      </c>
      <c r="N990" s="164"/>
    </row>
    <row r="991" spans="1:14" ht="13.2" hidden="1">
      <c r="A991" s="164" t="str">
        <f ca="1">IFERROR(__xludf.DUMMYFUNCTION("""COMPUTED_VALUE"""),"Region I")</f>
        <v>Region I</v>
      </c>
      <c r="B991" s="164" t="str">
        <f ca="1">IFERROR(__xludf.DUMMYFUNCTION("""COMPUTED_VALUE"""),"Ilocos Norte")</f>
        <v>Ilocos Norte</v>
      </c>
      <c r="C991" s="164" t="str">
        <f ca="1">IFERROR(__xludf.DUMMYFUNCTION("""COMPUTED_VALUE"""),"Desktop Computer – (HP Pro SFF 280G9)")</f>
        <v>Desktop Computer – (HP Pro SFF 280G9)</v>
      </c>
      <c r="D991" s="164" t="str">
        <f ca="1">IFERROR(__xludf.DUMMYFUNCTION("""COMPUTED_VALUE"""),"₱ 78,898.00")</f>
        <v>₱ 78,898.00</v>
      </c>
      <c r="E991" s="164" t="str">
        <f ca="1">IFERROR(__xludf.DUMMYFUNCTION("""COMPUTED_VALUE"""),"₱ -")</f>
        <v>₱ -</v>
      </c>
      <c r="F991" s="164" t="str">
        <f ca="1">IFERROR(__xludf.DUMMYFUNCTION("""COMPUTED_VALUE"""),"2023-05-03-10201SP293-01")</f>
        <v>2023-05-03-10201SP293-01</v>
      </c>
      <c r="G991" s="164" t="str">
        <f ca="1">IFERROR(__xludf.DUMMYFUNCTION("""COMPUTED_VALUE"""),"4CE301DH43")</f>
        <v>4CE301DH43</v>
      </c>
      <c r="H991" s="164" t="str">
        <f ca="1">IFERROR(__xludf.DUMMYFUNCTION("""COMPUTED_VALUE"""),"Vic M. Ines")</f>
        <v>Vic M. Ines</v>
      </c>
      <c r="I991" s="164" t="str">
        <f ca="1">IFERROR(__xludf.DUMMYFUNCTION("""COMPUTED_VALUE"""),"PARPO II")</f>
        <v>PARPO II</v>
      </c>
      <c r="J991" s="164" t="str">
        <f ca="1">IFERROR(__xludf.DUMMYFUNCTION("""COMPUTED_VALUE"""),"2023-08-02-SPLIT")</f>
        <v>2023-08-02-SPLIT</v>
      </c>
      <c r="K991" s="164" t="str">
        <f ca="1">IFERROR(__xludf.DUMMYFUNCTION("""COMPUTED_VALUE"""),"PARPO Vic M. Ines")</f>
        <v>PARPO Vic M. Ines</v>
      </c>
      <c r="L991" s="164" t="str">
        <f ca="1">IFERROR(__xludf.DUMMYFUNCTION("""COMPUTED_VALUE"""),"DARPO Ilocos Norte")</f>
        <v>DARPO Ilocos Norte</v>
      </c>
      <c r="M991" s="164" t="str">
        <f ca="1">IFERROR(__xludf.DUMMYFUNCTION("""COMPUTED_VALUE"""),"SERVICEABLE")</f>
        <v>SERVICEABLE</v>
      </c>
      <c r="N991" s="164"/>
    </row>
    <row r="992" spans="1:14" ht="13.2" hidden="1">
      <c r="A992" s="164" t="str">
        <f ca="1">IFERROR(__xludf.DUMMYFUNCTION("""COMPUTED_VALUE"""),"Region I")</f>
        <v>Region I</v>
      </c>
      <c r="B992" s="164" t="str">
        <f ca="1">IFERROR(__xludf.DUMMYFUNCTION("""COMPUTED_VALUE"""),"Ilocos Norte")</f>
        <v>Ilocos Norte</v>
      </c>
      <c r="C992" s="164" t="str">
        <f ca="1">IFERROR(__xludf.DUMMYFUNCTION("""COMPUTED_VALUE"""),"Desktop Computer – (HP Pro SFF 280G9)")</f>
        <v>Desktop Computer – (HP Pro SFF 280G9)</v>
      </c>
      <c r="D992" s="164" t="str">
        <f ca="1">IFERROR(__xludf.DUMMYFUNCTION("""COMPUTED_VALUE"""),"₱ 78,898.00")</f>
        <v>₱ 78,898.00</v>
      </c>
      <c r="E992" s="164" t="str">
        <f ca="1">IFERROR(__xludf.DUMMYFUNCTION("""COMPUTED_VALUE"""),"₱ -")</f>
        <v>₱ -</v>
      </c>
      <c r="F992" s="164" t="str">
        <f ca="1">IFERROR(__xludf.DUMMYFUNCTION("""COMPUTED_VALUE"""),"2023-05-03-10201SP294-01")</f>
        <v>2023-05-03-10201SP294-01</v>
      </c>
      <c r="G992" s="164" t="str">
        <f ca="1">IFERROR(__xludf.DUMMYFUNCTION("""COMPUTED_VALUE"""),"4CE301DH8M")</f>
        <v>4CE301DH8M</v>
      </c>
      <c r="H992" s="164" t="str">
        <f ca="1">IFERROR(__xludf.DUMMYFUNCTION("""COMPUTED_VALUE"""),"Vic M. Ines")</f>
        <v>Vic M. Ines</v>
      </c>
      <c r="I992" s="164" t="str">
        <f ca="1">IFERROR(__xludf.DUMMYFUNCTION("""COMPUTED_VALUE"""),"PARPO II")</f>
        <v>PARPO II</v>
      </c>
      <c r="J992" s="164" t="str">
        <f ca="1">IFERROR(__xludf.DUMMYFUNCTION("""COMPUTED_VALUE"""),"2023-08-02-SPLIT")</f>
        <v>2023-08-02-SPLIT</v>
      </c>
      <c r="K992" s="164" t="str">
        <f ca="1">IFERROR(__xludf.DUMMYFUNCTION("""COMPUTED_VALUE"""),"PARPO Vic M. Ines")</f>
        <v>PARPO Vic M. Ines</v>
      </c>
      <c r="L992" s="164" t="str">
        <f ca="1">IFERROR(__xludf.DUMMYFUNCTION("""COMPUTED_VALUE"""),"DARPO Ilocos Norte")</f>
        <v>DARPO Ilocos Norte</v>
      </c>
      <c r="M992" s="164" t="str">
        <f ca="1">IFERROR(__xludf.DUMMYFUNCTION("""COMPUTED_VALUE"""),"SERVICEABLE")</f>
        <v>SERVICEABLE</v>
      </c>
      <c r="N992" s="164"/>
    </row>
    <row r="993" spans="1:14" ht="13.2" hidden="1">
      <c r="A993" s="164" t="str">
        <f ca="1">IFERROR(__xludf.DUMMYFUNCTION("""COMPUTED_VALUE"""),"Region I")</f>
        <v>Region I</v>
      </c>
      <c r="B993" s="164" t="str">
        <f ca="1">IFERROR(__xludf.DUMMYFUNCTION("""COMPUTED_VALUE"""),"Ilocos Norte")</f>
        <v>Ilocos Norte</v>
      </c>
      <c r="C993" s="164" t="str">
        <f ca="1">IFERROR(__xludf.DUMMYFUNCTION("""COMPUTED_VALUE"""),"Desktop Computer – (HP Pro SFF 280G9)")</f>
        <v>Desktop Computer – (HP Pro SFF 280G9)</v>
      </c>
      <c r="D993" s="164" t="str">
        <f ca="1">IFERROR(__xludf.DUMMYFUNCTION("""COMPUTED_VALUE"""),"₱ 78,898.00")</f>
        <v>₱ 78,898.00</v>
      </c>
      <c r="E993" s="164" t="str">
        <f ca="1">IFERROR(__xludf.DUMMYFUNCTION("""COMPUTED_VALUE"""),"₱ -")</f>
        <v>₱ -</v>
      </c>
      <c r="F993" s="164" t="str">
        <f ca="1">IFERROR(__xludf.DUMMYFUNCTION("""COMPUTED_VALUE"""),"2023-05-03-10201SP295-01")</f>
        <v>2023-05-03-10201SP295-01</v>
      </c>
      <c r="G993" s="164" t="str">
        <f ca="1">IFERROR(__xludf.DUMMYFUNCTION("""COMPUTED_VALUE"""),"4CE301DH3G")</f>
        <v>4CE301DH3G</v>
      </c>
      <c r="H993" s="164" t="str">
        <f ca="1">IFERROR(__xludf.DUMMYFUNCTION("""COMPUTED_VALUE"""),"Vic M. Ines")</f>
        <v>Vic M. Ines</v>
      </c>
      <c r="I993" s="164" t="str">
        <f ca="1">IFERROR(__xludf.DUMMYFUNCTION("""COMPUTED_VALUE"""),"PARPO II")</f>
        <v>PARPO II</v>
      </c>
      <c r="J993" s="164" t="str">
        <f ca="1">IFERROR(__xludf.DUMMYFUNCTION("""COMPUTED_VALUE"""),"2023-08-02-SPLIT")</f>
        <v>2023-08-02-SPLIT</v>
      </c>
      <c r="K993" s="164" t="str">
        <f ca="1">IFERROR(__xludf.DUMMYFUNCTION("""COMPUTED_VALUE"""),"PARPO Vic M. Ines")</f>
        <v>PARPO Vic M. Ines</v>
      </c>
      <c r="L993" s="164" t="str">
        <f ca="1">IFERROR(__xludf.DUMMYFUNCTION("""COMPUTED_VALUE"""),"DARPO Ilocos Norte")</f>
        <v>DARPO Ilocos Norte</v>
      </c>
      <c r="M993" s="164" t="str">
        <f ca="1">IFERROR(__xludf.DUMMYFUNCTION("""COMPUTED_VALUE"""),"SERVICEABLE")</f>
        <v>SERVICEABLE</v>
      </c>
      <c r="N993" s="164"/>
    </row>
    <row r="994" spans="1:14" ht="13.2" hidden="1">
      <c r="A994" s="164" t="str">
        <f ca="1">IFERROR(__xludf.DUMMYFUNCTION("""COMPUTED_VALUE"""),"Region I")</f>
        <v>Region I</v>
      </c>
      <c r="B994" s="164" t="str">
        <f ca="1">IFERROR(__xludf.DUMMYFUNCTION("""COMPUTED_VALUE"""),"Ilocos Norte")</f>
        <v>Ilocos Norte</v>
      </c>
      <c r="C994" s="164" t="str">
        <f ca="1">IFERROR(__xludf.DUMMYFUNCTION("""COMPUTED_VALUE"""),"Desktop Computer – (HP Pro SFF 280G9)")</f>
        <v>Desktop Computer – (HP Pro SFF 280G9)</v>
      </c>
      <c r="D994" s="164" t="str">
        <f ca="1">IFERROR(__xludf.DUMMYFUNCTION("""COMPUTED_VALUE"""),"₱ 78,898.00")</f>
        <v>₱ 78,898.00</v>
      </c>
      <c r="E994" s="164" t="str">
        <f ca="1">IFERROR(__xludf.DUMMYFUNCTION("""COMPUTED_VALUE"""),"₱ -")</f>
        <v>₱ -</v>
      </c>
      <c r="F994" s="164" t="str">
        <f ca="1">IFERROR(__xludf.DUMMYFUNCTION("""COMPUTED_VALUE"""),"2023-05-03-10201SP296-01")</f>
        <v>2023-05-03-10201SP296-01</v>
      </c>
      <c r="G994" s="164" t="str">
        <f ca="1">IFERROR(__xludf.DUMMYFUNCTION("""COMPUTED_VALUE"""),"4CE301DH59")</f>
        <v>4CE301DH59</v>
      </c>
      <c r="H994" s="164" t="str">
        <f ca="1">IFERROR(__xludf.DUMMYFUNCTION("""COMPUTED_VALUE"""),"Vic M. Ines")</f>
        <v>Vic M. Ines</v>
      </c>
      <c r="I994" s="164" t="str">
        <f ca="1">IFERROR(__xludf.DUMMYFUNCTION("""COMPUTED_VALUE"""),"PARPO II")</f>
        <v>PARPO II</v>
      </c>
      <c r="J994" s="164" t="str">
        <f ca="1">IFERROR(__xludf.DUMMYFUNCTION("""COMPUTED_VALUE"""),"2023-08-02-SPLIT")</f>
        <v>2023-08-02-SPLIT</v>
      </c>
      <c r="K994" s="164" t="str">
        <f ca="1">IFERROR(__xludf.DUMMYFUNCTION("""COMPUTED_VALUE"""),"PARPO Vic M. Ines")</f>
        <v>PARPO Vic M. Ines</v>
      </c>
      <c r="L994" s="164" t="str">
        <f ca="1">IFERROR(__xludf.DUMMYFUNCTION("""COMPUTED_VALUE"""),"DARPO Ilocos Norte")</f>
        <v>DARPO Ilocos Norte</v>
      </c>
      <c r="M994" s="164" t="str">
        <f ca="1">IFERROR(__xludf.DUMMYFUNCTION("""COMPUTED_VALUE"""),"SERVICEABLE")</f>
        <v>SERVICEABLE</v>
      </c>
      <c r="N994" s="164"/>
    </row>
    <row r="995" spans="1:14" ht="13.2" hidden="1">
      <c r="A995" s="164" t="str">
        <f ca="1">IFERROR(__xludf.DUMMYFUNCTION("""COMPUTED_VALUE"""),"Region I")</f>
        <v>Region I</v>
      </c>
      <c r="B995" s="164" t="str">
        <f ca="1">IFERROR(__xludf.DUMMYFUNCTION("""COMPUTED_VALUE"""),"Ilocos Norte")</f>
        <v>Ilocos Norte</v>
      </c>
      <c r="C995" s="164" t="str">
        <f ca="1">IFERROR(__xludf.DUMMYFUNCTION("""COMPUTED_VALUE"""),"Desktop Computer – (HP Pro SFF 280G9)")</f>
        <v>Desktop Computer – (HP Pro SFF 280G9)</v>
      </c>
      <c r="D995" s="164" t="str">
        <f ca="1">IFERROR(__xludf.DUMMYFUNCTION("""COMPUTED_VALUE"""),"₱ 78,898.00")</f>
        <v>₱ 78,898.00</v>
      </c>
      <c r="E995" s="164" t="str">
        <f ca="1">IFERROR(__xludf.DUMMYFUNCTION("""COMPUTED_VALUE"""),"₱ -")</f>
        <v>₱ -</v>
      </c>
      <c r="F995" s="164" t="str">
        <f ca="1">IFERROR(__xludf.DUMMYFUNCTION("""COMPUTED_VALUE"""),"2023-05-03-10201SP297-01")</f>
        <v>2023-05-03-10201SP297-01</v>
      </c>
      <c r="G995" s="164" t="str">
        <f ca="1">IFERROR(__xludf.DUMMYFUNCTION("""COMPUTED_VALUE"""),"4CE301DSMR")</f>
        <v>4CE301DSMR</v>
      </c>
      <c r="H995" s="164" t="str">
        <f ca="1">IFERROR(__xludf.DUMMYFUNCTION("""COMPUTED_VALUE"""),"Vic M. Ines")</f>
        <v>Vic M. Ines</v>
      </c>
      <c r="I995" s="164" t="str">
        <f ca="1">IFERROR(__xludf.DUMMYFUNCTION("""COMPUTED_VALUE"""),"PARPO II")</f>
        <v>PARPO II</v>
      </c>
      <c r="J995" s="164" t="str">
        <f ca="1">IFERROR(__xludf.DUMMYFUNCTION("""COMPUTED_VALUE"""),"2023-08-02-SPLIT")</f>
        <v>2023-08-02-SPLIT</v>
      </c>
      <c r="K995" s="164" t="str">
        <f ca="1">IFERROR(__xludf.DUMMYFUNCTION("""COMPUTED_VALUE"""),"PARPO Vic M. Ines")</f>
        <v>PARPO Vic M. Ines</v>
      </c>
      <c r="L995" s="164" t="str">
        <f ca="1">IFERROR(__xludf.DUMMYFUNCTION("""COMPUTED_VALUE"""),"DARPO Ilocos Norte")</f>
        <v>DARPO Ilocos Norte</v>
      </c>
      <c r="M995" s="164" t="str">
        <f ca="1">IFERROR(__xludf.DUMMYFUNCTION("""COMPUTED_VALUE"""),"SERVICEABLE")</f>
        <v>SERVICEABLE</v>
      </c>
      <c r="N995" s="164"/>
    </row>
    <row r="996" spans="1:14" ht="13.2" hidden="1">
      <c r="A996" s="164" t="str">
        <f ca="1">IFERROR(__xludf.DUMMYFUNCTION("""COMPUTED_VALUE"""),"Region I")</f>
        <v>Region I</v>
      </c>
      <c r="B996" s="164" t="str">
        <f ca="1">IFERROR(__xludf.DUMMYFUNCTION("""COMPUTED_VALUE"""),"Ilocos Sur")</f>
        <v>Ilocos Sur</v>
      </c>
      <c r="C996" s="164" t="str">
        <f ca="1">IFERROR(__xludf.DUMMYFUNCTION("""COMPUTED_VALUE"""),"Desktop Computer – (HP Pro SFF 280G9)")</f>
        <v>Desktop Computer – (HP Pro SFF 280G9)</v>
      </c>
      <c r="D996" s="164" t="str">
        <f ca="1">IFERROR(__xludf.DUMMYFUNCTION("""COMPUTED_VALUE"""),"₱ 78,898.00")</f>
        <v>₱ 78,898.00</v>
      </c>
      <c r="E996" s="164" t="str">
        <f ca="1">IFERROR(__xludf.DUMMYFUNCTION("""COMPUTED_VALUE"""),"₱ -")</f>
        <v>₱ -</v>
      </c>
      <c r="F996" s="164" t="str">
        <f ca="1">IFERROR(__xludf.DUMMYFUNCTION("""COMPUTED_VALUE"""),"2023-05-03-10201SP298-01")</f>
        <v>2023-05-03-10201SP298-01</v>
      </c>
      <c r="G996" s="164" t="str">
        <f ca="1">IFERROR(__xludf.DUMMYFUNCTION("""COMPUTED_VALUE"""),"4CE301DH9D")</f>
        <v>4CE301DH9D</v>
      </c>
      <c r="H996" s="164" t="str">
        <f ca="1">IFERROR(__xludf.DUMMYFUNCTION("""COMPUTED_VALUE"""),"Vic M. Ines")</f>
        <v>Vic M. Ines</v>
      </c>
      <c r="I996" s="164" t="str">
        <f ca="1">IFERROR(__xludf.DUMMYFUNCTION("""COMPUTED_VALUE"""),"PARPO II")</f>
        <v>PARPO II</v>
      </c>
      <c r="J996" s="164" t="str">
        <f ca="1">IFERROR(__xludf.DUMMYFUNCTION("""COMPUTED_VALUE"""),"2023-08-04-SPLIT")</f>
        <v>2023-08-04-SPLIT</v>
      </c>
      <c r="K996" s="164" t="str">
        <f ca="1">IFERROR(__xludf.DUMMYFUNCTION("""COMPUTED_VALUE"""),"Gloria Bautista")</f>
        <v>Gloria Bautista</v>
      </c>
      <c r="L996" s="164" t="str">
        <f ca="1">IFERROR(__xludf.DUMMYFUNCTION("""COMPUTED_VALUE"""),"DARPO Ilocos Sur")</f>
        <v>DARPO Ilocos Sur</v>
      </c>
      <c r="M996" s="164" t="str">
        <f ca="1">IFERROR(__xludf.DUMMYFUNCTION("""COMPUTED_VALUE"""),"SERVICEABLE")</f>
        <v>SERVICEABLE</v>
      </c>
      <c r="N996" s="164"/>
    </row>
    <row r="997" spans="1:14" ht="13.2" hidden="1">
      <c r="A997" s="164" t="str">
        <f ca="1">IFERROR(__xludf.DUMMYFUNCTION("""COMPUTED_VALUE"""),"Region I")</f>
        <v>Region I</v>
      </c>
      <c r="B997" s="164" t="str">
        <f ca="1">IFERROR(__xludf.DUMMYFUNCTION("""COMPUTED_VALUE"""),"Ilocos Sur")</f>
        <v>Ilocos Sur</v>
      </c>
      <c r="C997" s="164" t="str">
        <f ca="1">IFERROR(__xludf.DUMMYFUNCTION("""COMPUTED_VALUE"""),"Desktop Computer – (HP Pro SFF 280G9)")</f>
        <v>Desktop Computer – (HP Pro SFF 280G9)</v>
      </c>
      <c r="D997" s="164" t="str">
        <f ca="1">IFERROR(__xludf.DUMMYFUNCTION("""COMPUTED_VALUE"""),"₱ 78,898.00")</f>
        <v>₱ 78,898.00</v>
      </c>
      <c r="E997" s="164" t="str">
        <f ca="1">IFERROR(__xludf.DUMMYFUNCTION("""COMPUTED_VALUE"""),"₱ -")</f>
        <v>₱ -</v>
      </c>
      <c r="F997" s="164" t="str">
        <f ca="1">IFERROR(__xludf.DUMMYFUNCTION("""COMPUTED_VALUE"""),"2023-05-03-10201SP299-01")</f>
        <v>2023-05-03-10201SP299-01</v>
      </c>
      <c r="G997" s="164" t="str">
        <f ca="1">IFERROR(__xludf.DUMMYFUNCTION("""COMPUTED_VALUE"""),"4CE301DSMC")</f>
        <v>4CE301DSMC</v>
      </c>
      <c r="H997" s="164" t="str">
        <f ca="1">IFERROR(__xludf.DUMMYFUNCTION("""COMPUTED_VALUE"""),"Vic M. Ines")</f>
        <v>Vic M. Ines</v>
      </c>
      <c r="I997" s="164" t="str">
        <f ca="1">IFERROR(__xludf.DUMMYFUNCTION("""COMPUTED_VALUE"""),"PARPO II")</f>
        <v>PARPO II</v>
      </c>
      <c r="J997" s="164" t="str">
        <f ca="1">IFERROR(__xludf.DUMMYFUNCTION("""COMPUTED_VALUE"""),"2023-08-04-SPLIT")</f>
        <v>2023-08-04-SPLIT</v>
      </c>
      <c r="K997" s="164" t="str">
        <f ca="1">IFERROR(__xludf.DUMMYFUNCTION("""COMPUTED_VALUE"""),"Gemma C. Tablada")</f>
        <v>Gemma C. Tablada</v>
      </c>
      <c r="L997" s="164" t="str">
        <f ca="1">IFERROR(__xludf.DUMMYFUNCTION("""COMPUTED_VALUE"""),"DARPO Ilocos Sur")</f>
        <v>DARPO Ilocos Sur</v>
      </c>
      <c r="M997" s="164" t="str">
        <f ca="1">IFERROR(__xludf.DUMMYFUNCTION("""COMPUTED_VALUE"""),"SERVICEABLE")</f>
        <v>SERVICEABLE</v>
      </c>
      <c r="N997" s="164"/>
    </row>
    <row r="998" spans="1:14" ht="13.2" hidden="1">
      <c r="A998" s="164" t="str">
        <f ca="1">IFERROR(__xludf.DUMMYFUNCTION("""COMPUTED_VALUE"""),"Region I")</f>
        <v>Region I</v>
      </c>
      <c r="B998" s="164" t="str">
        <f ca="1">IFERROR(__xludf.DUMMYFUNCTION("""COMPUTED_VALUE"""),"Ilocos Sur")</f>
        <v>Ilocos Sur</v>
      </c>
      <c r="C998" s="164" t="str">
        <f ca="1">IFERROR(__xludf.DUMMYFUNCTION("""COMPUTED_VALUE"""),"Desktop Computer – (HP Pro SFF 280G9)")</f>
        <v>Desktop Computer – (HP Pro SFF 280G9)</v>
      </c>
      <c r="D998" s="164" t="str">
        <f ca="1">IFERROR(__xludf.DUMMYFUNCTION("""COMPUTED_VALUE"""),"₱ 78,898.00")</f>
        <v>₱ 78,898.00</v>
      </c>
      <c r="E998" s="164" t="str">
        <f ca="1">IFERROR(__xludf.DUMMYFUNCTION("""COMPUTED_VALUE"""),"₱ -")</f>
        <v>₱ -</v>
      </c>
      <c r="F998" s="164" t="str">
        <f ca="1">IFERROR(__xludf.DUMMYFUNCTION("""COMPUTED_VALUE"""),"2023-05-03-10201SP300-01")</f>
        <v>2023-05-03-10201SP300-01</v>
      </c>
      <c r="G998" s="164" t="str">
        <f ca="1">IFERROR(__xludf.DUMMYFUNCTION("""COMPUTED_VALUE"""),"4CE301DH5T")</f>
        <v>4CE301DH5T</v>
      </c>
      <c r="H998" s="164" t="str">
        <f ca="1">IFERROR(__xludf.DUMMYFUNCTION("""COMPUTED_VALUE"""),"Vic M. Ines")</f>
        <v>Vic M. Ines</v>
      </c>
      <c r="I998" s="164" t="str">
        <f ca="1">IFERROR(__xludf.DUMMYFUNCTION("""COMPUTED_VALUE"""),"PARPO II")</f>
        <v>PARPO II</v>
      </c>
      <c r="J998" s="164" t="str">
        <f ca="1">IFERROR(__xludf.DUMMYFUNCTION("""COMPUTED_VALUE"""),"2023-08-04-SPLIT")</f>
        <v>2023-08-04-SPLIT</v>
      </c>
      <c r="K998" s="164" t="str">
        <f ca="1">IFERROR(__xludf.DUMMYFUNCTION("""COMPUTED_VALUE"""),"Atty. Trinidad Unciano")</f>
        <v>Atty. Trinidad Unciano</v>
      </c>
      <c r="L998" s="164" t="str">
        <f ca="1">IFERROR(__xludf.DUMMYFUNCTION("""COMPUTED_VALUE"""),"DARPO Ilocos Sur")</f>
        <v>DARPO Ilocos Sur</v>
      </c>
      <c r="M998" s="164" t="str">
        <f ca="1">IFERROR(__xludf.DUMMYFUNCTION("""COMPUTED_VALUE"""),"SERVICEABLE")</f>
        <v>SERVICEABLE</v>
      </c>
      <c r="N998" s="164"/>
    </row>
    <row r="999" spans="1:14" ht="13.2" hidden="1">
      <c r="A999" s="164" t="str">
        <f ca="1">IFERROR(__xludf.DUMMYFUNCTION("""COMPUTED_VALUE"""),"Region I")</f>
        <v>Region I</v>
      </c>
      <c r="B999" s="164" t="str">
        <f ca="1">IFERROR(__xludf.DUMMYFUNCTION("""COMPUTED_VALUE"""),"Ilocos Sur")</f>
        <v>Ilocos Sur</v>
      </c>
      <c r="C999" s="164" t="str">
        <f ca="1">IFERROR(__xludf.DUMMYFUNCTION("""COMPUTED_VALUE"""),"Desktop Computer – (HP Pro SFF 280G9)")</f>
        <v>Desktop Computer – (HP Pro SFF 280G9)</v>
      </c>
      <c r="D999" s="164" t="str">
        <f ca="1">IFERROR(__xludf.DUMMYFUNCTION("""COMPUTED_VALUE"""),"₱ 78,898.00")</f>
        <v>₱ 78,898.00</v>
      </c>
      <c r="E999" s="164" t="str">
        <f ca="1">IFERROR(__xludf.DUMMYFUNCTION("""COMPUTED_VALUE"""),"₱ -")</f>
        <v>₱ -</v>
      </c>
      <c r="F999" s="164" t="str">
        <f ca="1">IFERROR(__xludf.DUMMYFUNCTION("""COMPUTED_VALUE"""),"2023-05-03-10201SP301-01")</f>
        <v>2023-05-03-10201SP301-01</v>
      </c>
      <c r="G999" s="164" t="str">
        <f ca="1">IFERROR(__xludf.DUMMYFUNCTION("""COMPUTED_VALUE"""),"4CE301DSMM")</f>
        <v>4CE301DSMM</v>
      </c>
      <c r="H999" s="164" t="str">
        <f ca="1">IFERROR(__xludf.DUMMYFUNCTION("""COMPUTED_VALUE"""),"Vic M. Ines")</f>
        <v>Vic M. Ines</v>
      </c>
      <c r="I999" s="164" t="str">
        <f ca="1">IFERROR(__xludf.DUMMYFUNCTION("""COMPUTED_VALUE"""),"PARPO II")</f>
        <v>PARPO II</v>
      </c>
      <c r="J999" s="164" t="str">
        <f ca="1">IFERROR(__xludf.DUMMYFUNCTION("""COMPUTED_VALUE"""),"2023-08-04-SPLIT")</f>
        <v>2023-08-04-SPLIT</v>
      </c>
      <c r="K999" s="164" t="str">
        <f ca="1">IFERROR(__xludf.DUMMYFUNCTION("""COMPUTED_VALUE"""),"Rizalyn Ambida")</f>
        <v>Rizalyn Ambida</v>
      </c>
      <c r="L999" s="164" t="str">
        <f ca="1">IFERROR(__xludf.DUMMYFUNCTION("""COMPUTED_VALUE"""),"DARPO Ilocos Sur")</f>
        <v>DARPO Ilocos Sur</v>
      </c>
      <c r="M999" s="164" t="str">
        <f ca="1">IFERROR(__xludf.DUMMYFUNCTION("""COMPUTED_VALUE"""),"SERVICEABLE")</f>
        <v>SERVICEABLE</v>
      </c>
      <c r="N999" s="164"/>
    </row>
    <row r="1000" spans="1:14" ht="13.2" hidden="1">
      <c r="A1000" s="164" t="str">
        <f ca="1">IFERROR(__xludf.DUMMYFUNCTION("""COMPUTED_VALUE"""),"Region I")</f>
        <v>Region I</v>
      </c>
      <c r="B1000" s="164" t="str">
        <f ca="1">IFERROR(__xludf.DUMMYFUNCTION("""COMPUTED_VALUE"""),"La Union")</f>
        <v>La Union</v>
      </c>
      <c r="C1000" s="164" t="str">
        <f ca="1">IFERROR(__xludf.DUMMYFUNCTION("""COMPUTED_VALUE"""),"Desktop Computer – (HP Pro SFF 280G9)")</f>
        <v>Desktop Computer – (HP Pro SFF 280G9)</v>
      </c>
      <c r="D1000" s="164" t="str">
        <f ca="1">IFERROR(__xludf.DUMMYFUNCTION("""COMPUTED_VALUE"""),"₱ 78,898.00")</f>
        <v>₱ 78,898.00</v>
      </c>
      <c r="E1000" s="164" t="str">
        <f ca="1">IFERROR(__xludf.DUMMYFUNCTION("""COMPUTED_VALUE"""),"₱ -")</f>
        <v>₱ -</v>
      </c>
      <c r="F1000" s="164" t="str">
        <f ca="1">IFERROR(__xludf.DUMMYFUNCTION("""COMPUTED_VALUE"""),"2023-05-03-10201SP302-01")</f>
        <v>2023-05-03-10201SP302-01</v>
      </c>
      <c r="G1000" s="164" t="str">
        <f ca="1">IFERROR(__xludf.DUMMYFUNCTION("""COMPUTED_VALUE"""),"4CE301DHBW")</f>
        <v>4CE301DHBW</v>
      </c>
      <c r="H1000" s="164" t="str">
        <f ca="1">IFERROR(__xludf.DUMMYFUNCTION("""COMPUTED_VALUE"""),"Christianne C. Suguitan")</f>
        <v>Christianne C. Suguitan</v>
      </c>
      <c r="I1000" s="164" t="str">
        <f ca="1">IFERROR(__xludf.DUMMYFUNCTION("""COMPUTED_VALUE"""),"PARPO II")</f>
        <v>PARPO II</v>
      </c>
      <c r="J1000" s="164" t="str">
        <f ca="1">IFERROR(__xludf.DUMMYFUNCTION("""COMPUTED_VALUE"""),"2023-08-05-SPLIT")</f>
        <v>2023-08-05-SPLIT</v>
      </c>
      <c r="K1000" s="164" t="str">
        <f ca="1">IFERROR(__xludf.DUMMYFUNCTION("""COMPUTED_VALUE"""),"Leila A. Par")</f>
        <v>Leila A. Par</v>
      </c>
      <c r="L1000" s="164" t="str">
        <f ca="1">IFERROR(__xludf.DUMMYFUNCTION("""COMPUTED_VALUE"""),"DARPO La Union")</f>
        <v>DARPO La Union</v>
      </c>
      <c r="M1000" s="164" t="str">
        <f ca="1">IFERROR(__xludf.DUMMYFUNCTION("""COMPUTED_VALUE"""),"SERVICEABLE")</f>
        <v>SERVICEABLE</v>
      </c>
      <c r="N1000" s="164"/>
    </row>
    <row r="1001" spans="1:14" ht="13.2" hidden="1">
      <c r="A1001" s="164" t="str">
        <f ca="1">IFERROR(__xludf.DUMMYFUNCTION("""COMPUTED_VALUE"""),"Region I")</f>
        <v>Region I</v>
      </c>
      <c r="B1001" s="164" t="str">
        <f ca="1">IFERROR(__xludf.DUMMYFUNCTION("""COMPUTED_VALUE"""),"La Union")</f>
        <v>La Union</v>
      </c>
      <c r="C1001" s="164" t="str">
        <f ca="1">IFERROR(__xludf.DUMMYFUNCTION("""COMPUTED_VALUE"""),"Desktop Computer – (HP Pro SFF 280G9)")</f>
        <v>Desktop Computer – (HP Pro SFF 280G9)</v>
      </c>
      <c r="D1001" s="164" t="str">
        <f ca="1">IFERROR(__xludf.DUMMYFUNCTION("""COMPUTED_VALUE"""),"₱ 78,898.00")</f>
        <v>₱ 78,898.00</v>
      </c>
      <c r="E1001" s="164" t="str">
        <f ca="1">IFERROR(__xludf.DUMMYFUNCTION("""COMPUTED_VALUE"""),"₱ -")</f>
        <v>₱ -</v>
      </c>
      <c r="F1001" s="164" t="str">
        <f ca="1">IFERROR(__xludf.DUMMYFUNCTION("""COMPUTED_VALUE"""),"2023-05-03-10201SP303-01")</f>
        <v>2023-05-03-10201SP303-01</v>
      </c>
      <c r="G1001" s="164" t="str">
        <f ca="1">IFERROR(__xludf.DUMMYFUNCTION("""COMPUTED_VALUE"""),"4CE301DH5Z")</f>
        <v>4CE301DH5Z</v>
      </c>
      <c r="H1001" s="164" t="str">
        <f ca="1">IFERROR(__xludf.DUMMYFUNCTION("""COMPUTED_VALUE"""),"Christianne C. Suguitan")</f>
        <v>Christianne C. Suguitan</v>
      </c>
      <c r="I1001" s="164" t="str">
        <f ca="1">IFERROR(__xludf.DUMMYFUNCTION("""COMPUTED_VALUE"""),"PARPO II")</f>
        <v>PARPO II</v>
      </c>
      <c r="J1001" s="164" t="str">
        <f ca="1">IFERROR(__xludf.DUMMYFUNCTION("""COMPUTED_VALUE"""),"2023-08-05-SPLIT")</f>
        <v>2023-08-05-SPLIT</v>
      </c>
      <c r="K1001" s="164" t="str">
        <f ca="1">IFERROR(__xludf.DUMMYFUNCTION("""COMPUTED_VALUE"""),"Stephanie Kate A. Balderas")</f>
        <v>Stephanie Kate A. Balderas</v>
      </c>
      <c r="L1001" s="164" t="str">
        <f ca="1">IFERROR(__xludf.DUMMYFUNCTION("""COMPUTED_VALUE"""),"DARPO La Union")</f>
        <v>DARPO La Union</v>
      </c>
      <c r="M1001" s="164" t="str">
        <f ca="1">IFERROR(__xludf.DUMMYFUNCTION("""COMPUTED_VALUE"""),"SERVICEABLE")</f>
        <v>SERVICEABLE</v>
      </c>
      <c r="N1001" s="164"/>
    </row>
    <row r="1002" spans="1:14" ht="13.2" hidden="1">
      <c r="A1002" s="164" t="str">
        <f ca="1">IFERROR(__xludf.DUMMYFUNCTION("""COMPUTED_VALUE"""),"Region I")</f>
        <v>Region I</v>
      </c>
      <c r="B1002" s="164" t="str">
        <f ca="1">IFERROR(__xludf.DUMMYFUNCTION("""COMPUTED_VALUE"""),"La Union")</f>
        <v>La Union</v>
      </c>
      <c r="C1002" s="164" t="str">
        <f ca="1">IFERROR(__xludf.DUMMYFUNCTION("""COMPUTED_VALUE"""),"Desktop Computer – (HP Pro SFF 280G9)")</f>
        <v>Desktop Computer – (HP Pro SFF 280G9)</v>
      </c>
      <c r="D1002" s="164" t="str">
        <f ca="1">IFERROR(__xludf.DUMMYFUNCTION("""COMPUTED_VALUE"""),"₱ 78,898.00")</f>
        <v>₱ 78,898.00</v>
      </c>
      <c r="E1002" s="164" t="str">
        <f ca="1">IFERROR(__xludf.DUMMYFUNCTION("""COMPUTED_VALUE"""),"₱ -")</f>
        <v>₱ -</v>
      </c>
      <c r="F1002" s="164" t="str">
        <f ca="1">IFERROR(__xludf.DUMMYFUNCTION("""COMPUTED_VALUE"""),"2023-05-03-10201SP304-01")</f>
        <v>2023-05-03-10201SP304-01</v>
      </c>
      <c r="G1002" s="164" t="str">
        <f ca="1">IFERROR(__xludf.DUMMYFUNCTION("""COMPUTED_VALUE"""),"4CE301DH8G")</f>
        <v>4CE301DH8G</v>
      </c>
      <c r="H1002" s="164" t="str">
        <f ca="1">IFERROR(__xludf.DUMMYFUNCTION("""COMPUTED_VALUE"""),"Christianne C. Suguitan")</f>
        <v>Christianne C. Suguitan</v>
      </c>
      <c r="I1002" s="164" t="str">
        <f ca="1">IFERROR(__xludf.DUMMYFUNCTION("""COMPUTED_VALUE"""),"PARPO II")</f>
        <v>PARPO II</v>
      </c>
      <c r="J1002" s="164" t="str">
        <f ca="1">IFERROR(__xludf.DUMMYFUNCTION("""COMPUTED_VALUE"""),"2023-08-05-SPLIT")</f>
        <v>2023-08-05-SPLIT</v>
      </c>
      <c r="K1002" s="164" t="str">
        <f ca="1">IFERROR(__xludf.DUMMYFUNCTION("""COMPUTED_VALUE"""),"PARPO Christianne Suguitan")</f>
        <v>PARPO Christianne Suguitan</v>
      </c>
      <c r="L1002" s="164" t="str">
        <f ca="1">IFERROR(__xludf.DUMMYFUNCTION("""COMPUTED_VALUE"""),"DARPO La Union")</f>
        <v>DARPO La Union</v>
      </c>
      <c r="M1002" s="164" t="str">
        <f ca="1">IFERROR(__xludf.DUMMYFUNCTION("""COMPUTED_VALUE"""),"SERVICEABLE")</f>
        <v>SERVICEABLE</v>
      </c>
      <c r="N1002" s="164"/>
    </row>
    <row r="1003" spans="1:14" ht="13.2" hidden="1">
      <c r="A1003" s="164" t="str">
        <f ca="1">IFERROR(__xludf.DUMMYFUNCTION("""COMPUTED_VALUE"""),"Region I")</f>
        <v>Region I</v>
      </c>
      <c r="B1003" s="164" t="str">
        <f ca="1">IFERROR(__xludf.DUMMYFUNCTION("""COMPUTED_VALUE"""),"Pangasinan")</f>
        <v>Pangasinan</v>
      </c>
      <c r="C1003" s="164" t="str">
        <f ca="1">IFERROR(__xludf.DUMMYFUNCTION("""COMPUTED_VALUE"""),"Desktop Computer – (HP Pro SFF 280G9)")</f>
        <v>Desktop Computer – (HP Pro SFF 280G9)</v>
      </c>
      <c r="D1003" s="164" t="str">
        <f ca="1">IFERROR(__xludf.DUMMYFUNCTION("""COMPUTED_VALUE"""),"₱ 78,898.00")</f>
        <v>₱ 78,898.00</v>
      </c>
      <c r="E1003" s="164" t="str">
        <f ca="1">IFERROR(__xludf.DUMMYFUNCTION("""COMPUTED_VALUE"""),"₱ -")</f>
        <v>₱ -</v>
      </c>
      <c r="F1003" s="164" t="str">
        <f ca="1">IFERROR(__xludf.DUMMYFUNCTION("""COMPUTED_VALUE"""),"2023-05-03-10201SP305-01")</f>
        <v>2023-05-03-10201SP305-01</v>
      </c>
      <c r="G1003" s="164" t="str">
        <f ca="1">IFERROR(__xludf.DUMMYFUNCTION("""COMPUTED_VALUE"""),"4CE301DH9P")</f>
        <v>4CE301DH9P</v>
      </c>
      <c r="H1003" s="164" t="str">
        <f ca="1">IFERROR(__xludf.DUMMYFUNCTION("""COMPUTED_VALUE"""),"Maria Ana V. Francisco")</f>
        <v>Maria Ana V. Francisco</v>
      </c>
      <c r="I1003" s="164" t="str">
        <f ca="1">IFERROR(__xludf.DUMMYFUNCTION("""COMPUTED_VALUE"""),"Regional Director")</f>
        <v>Regional Director</v>
      </c>
      <c r="J1003" s="164" t="str">
        <f ca="1">IFERROR(__xludf.DUMMYFUNCTION("""COMPUTED_VALUE"""),"2023-08-08-SPLIT")</f>
        <v>2023-08-08-SPLIT</v>
      </c>
      <c r="K1003" s="164" t="str">
        <f ca="1">IFERROR(__xludf.DUMMYFUNCTION("""COMPUTED_VALUE"""),"Fe C. Vallo")</f>
        <v>Fe C. Vallo</v>
      </c>
      <c r="L1003" s="164" t="str">
        <f ca="1">IFERROR(__xludf.DUMMYFUNCTION("""COMPUTED_VALUE"""),"DARPO Pangasinan")</f>
        <v>DARPO Pangasinan</v>
      </c>
      <c r="M1003" s="164" t="str">
        <f ca="1">IFERROR(__xludf.DUMMYFUNCTION("""COMPUTED_VALUE"""),"SERVICEABLE")</f>
        <v>SERVICEABLE</v>
      </c>
      <c r="N1003" s="164"/>
    </row>
    <row r="1004" spans="1:14" ht="13.2" hidden="1">
      <c r="A1004" s="164" t="str">
        <f ca="1">IFERROR(__xludf.DUMMYFUNCTION("""COMPUTED_VALUE"""),"Region I")</f>
        <v>Region I</v>
      </c>
      <c r="B1004" s="164" t="str">
        <f ca="1">IFERROR(__xludf.DUMMYFUNCTION("""COMPUTED_VALUE"""),"Pangasinan")</f>
        <v>Pangasinan</v>
      </c>
      <c r="C1004" s="164" t="str">
        <f ca="1">IFERROR(__xludf.DUMMYFUNCTION("""COMPUTED_VALUE"""),"Desktop Computer – (HP Pro SFF 280G9)")</f>
        <v>Desktop Computer – (HP Pro SFF 280G9)</v>
      </c>
      <c r="D1004" s="164" t="str">
        <f ca="1">IFERROR(__xludf.DUMMYFUNCTION("""COMPUTED_VALUE"""),"₱ 78,898.00")</f>
        <v>₱ 78,898.00</v>
      </c>
      <c r="E1004" s="164" t="str">
        <f ca="1">IFERROR(__xludf.DUMMYFUNCTION("""COMPUTED_VALUE"""),"₱ -")</f>
        <v>₱ -</v>
      </c>
      <c r="F1004" s="164" t="str">
        <f ca="1">IFERROR(__xludf.DUMMYFUNCTION("""COMPUTED_VALUE"""),"2023-05-03-10201SP306-01")</f>
        <v>2023-05-03-10201SP306-01</v>
      </c>
      <c r="G1004" s="164" t="str">
        <f ca="1">IFERROR(__xludf.DUMMYFUNCTION("""COMPUTED_VALUE"""),"4CE301DH40")</f>
        <v>4CE301DH40</v>
      </c>
      <c r="H1004" s="164" t="str">
        <f ca="1">IFERROR(__xludf.DUMMYFUNCTION("""COMPUTED_VALUE"""),"Maria Ana V. Francisco")</f>
        <v>Maria Ana V. Francisco</v>
      </c>
      <c r="I1004" s="164" t="str">
        <f ca="1">IFERROR(__xludf.DUMMYFUNCTION("""COMPUTED_VALUE"""),"Regional Director")</f>
        <v>Regional Director</v>
      </c>
      <c r="J1004" s="164" t="str">
        <f ca="1">IFERROR(__xludf.DUMMYFUNCTION("""COMPUTED_VALUE"""),"2023-08-08-SPLIT")</f>
        <v>2023-08-08-SPLIT</v>
      </c>
      <c r="K1004" s="164" t="str">
        <f ca="1">IFERROR(__xludf.DUMMYFUNCTION("""COMPUTED_VALUE"""),"Charlotte F. Lasmarias")</f>
        <v>Charlotte F. Lasmarias</v>
      </c>
      <c r="L1004" s="164" t="str">
        <f ca="1">IFERROR(__xludf.DUMMYFUNCTION("""COMPUTED_VALUE"""),"DARPO Pangasinan")</f>
        <v>DARPO Pangasinan</v>
      </c>
      <c r="M1004" s="164" t="str">
        <f ca="1">IFERROR(__xludf.DUMMYFUNCTION("""COMPUTED_VALUE"""),"SERVICEABLE")</f>
        <v>SERVICEABLE</v>
      </c>
      <c r="N1004" s="164"/>
    </row>
    <row r="1005" spans="1:14" ht="13.2" hidden="1">
      <c r="A1005" s="164" t="str">
        <f ca="1">IFERROR(__xludf.DUMMYFUNCTION("""COMPUTED_VALUE"""),"Region I")</f>
        <v>Region I</v>
      </c>
      <c r="B1005" s="164" t="str">
        <f ca="1">IFERROR(__xludf.DUMMYFUNCTION("""COMPUTED_VALUE"""),"Pangasinan")</f>
        <v>Pangasinan</v>
      </c>
      <c r="C1005" s="164" t="str">
        <f ca="1">IFERROR(__xludf.DUMMYFUNCTION("""COMPUTED_VALUE"""),"Desktop Computer – (HP Pro SFF 280G9)")</f>
        <v>Desktop Computer – (HP Pro SFF 280G9)</v>
      </c>
      <c r="D1005" s="164" t="str">
        <f ca="1">IFERROR(__xludf.DUMMYFUNCTION("""COMPUTED_VALUE"""),"₱ 78,898.00")</f>
        <v>₱ 78,898.00</v>
      </c>
      <c r="E1005" s="164" t="str">
        <f ca="1">IFERROR(__xludf.DUMMYFUNCTION("""COMPUTED_VALUE"""),"₱ -")</f>
        <v>₱ -</v>
      </c>
      <c r="F1005" s="164" t="str">
        <f ca="1">IFERROR(__xludf.DUMMYFUNCTION("""COMPUTED_VALUE"""),"2023-05-03-10201SP307-01")</f>
        <v>2023-05-03-10201SP307-01</v>
      </c>
      <c r="G1005" s="164" t="str">
        <f ca="1">IFERROR(__xludf.DUMMYFUNCTION("""COMPUTED_VALUE"""),"4CE301DSJY")</f>
        <v>4CE301DSJY</v>
      </c>
      <c r="H1005" s="164" t="str">
        <f ca="1">IFERROR(__xludf.DUMMYFUNCTION("""COMPUTED_VALUE"""),"Maria Ana V. Francisco")</f>
        <v>Maria Ana V. Francisco</v>
      </c>
      <c r="I1005" s="164" t="str">
        <f ca="1">IFERROR(__xludf.DUMMYFUNCTION("""COMPUTED_VALUE"""),"Regional Director")</f>
        <v>Regional Director</v>
      </c>
      <c r="J1005" s="164" t="str">
        <f ca="1">IFERROR(__xludf.DUMMYFUNCTION("""COMPUTED_VALUE"""),"2023-08-08-SPLIT")</f>
        <v>2023-08-08-SPLIT</v>
      </c>
      <c r="K1005" s="164" t="str">
        <f ca="1">IFERROR(__xludf.DUMMYFUNCTION("""COMPUTED_VALUE"""),"Nilo C. Aquino")</f>
        <v>Nilo C. Aquino</v>
      </c>
      <c r="L1005" s="164" t="str">
        <f ca="1">IFERROR(__xludf.DUMMYFUNCTION("""COMPUTED_VALUE"""),"DARPO Pangasinan")</f>
        <v>DARPO Pangasinan</v>
      </c>
      <c r="M1005" s="164" t="str">
        <f ca="1">IFERROR(__xludf.DUMMYFUNCTION("""COMPUTED_VALUE"""),"SERVICEABLE")</f>
        <v>SERVICEABLE</v>
      </c>
      <c r="N1005" s="164"/>
    </row>
    <row r="1006" spans="1:14" ht="13.2" hidden="1">
      <c r="A1006" s="164" t="str">
        <f ca="1">IFERROR(__xludf.DUMMYFUNCTION("""COMPUTED_VALUE"""),"Region I")</f>
        <v>Region I</v>
      </c>
      <c r="B1006" s="164" t="str">
        <f ca="1">IFERROR(__xludf.DUMMYFUNCTION("""COMPUTED_VALUE"""),"Pangasinan")</f>
        <v>Pangasinan</v>
      </c>
      <c r="C1006" s="164" t="str">
        <f ca="1">IFERROR(__xludf.DUMMYFUNCTION("""COMPUTED_VALUE"""),"Desktop Computer – (HP Pro SFF 280G9)")</f>
        <v>Desktop Computer – (HP Pro SFF 280G9)</v>
      </c>
      <c r="D1006" s="164" t="str">
        <f ca="1">IFERROR(__xludf.DUMMYFUNCTION("""COMPUTED_VALUE"""),"₱ 78,898.00")</f>
        <v>₱ 78,898.00</v>
      </c>
      <c r="E1006" s="164" t="str">
        <f ca="1">IFERROR(__xludf.DUMMYFUNCTION("""COMPUTED_VALUE"""),"₱ -")</f>
        <v>₱ -</v>
      </c>
      <c r="F1006" s="164" t="str">
        <f ca="1">IFERROR(__xludf.DUMMYFUNCTION("""COMPUTED_VALUE"""),"2023-05-03-10201SP308-01")</f>
        <v>2023-05-03-10201SP308-01</v>
      </c>
      <c r="G1006" s="164" t="str">
        <f ca="1">IFERROR(__xludf.DUMMYFUNCTION("""COMPUTED_VALUE"""),"4CE301DH3J")</f>
        <v>4CE301DH3J</v>
      </c>
      <c r="H1006" s="164" t="str">
        <f ca="1">IFERROR(__xludf.DUMMYFUNCTION("""COMPUTED_VALUE"""),"Maria Ana V. Francisco")</f>
        <v>Maria Ana V. Francisco</v>
      </c>
      <c r="I1006" s="164" t="str">
        <f ca="1">IFERROR(__xludf.DUMMYFUNCTION("""COMPUTED_VALUE"""),"Regional Director")</f>
        <v>Regional Director</v>
      </c>
      <c r="J1006" s="164" t="str">
        <f ca="1">IFERROR(__xludf.DUMMYFUNCTION("""COMPUTED_VALUE"""),"2023-08-08-SPLIT")</f>
        <v>2023-08-08-SPLIT</v>
      </c>
      <c r="K1006" s="164" t="str">
        <f ca="1">IFERROR(__xludf.DUMMYFUNCTION("""COMPUTED_VALUE"""),"Patrick Anthony Lee")</f>
        <v>Patrick Anthony Lee</v>
      </c>
      <c r="L1006" s="164" t="str">
        <f ca="1">IFERROR(__xludf.DUMMYFUNCTION("""COMPUTED_VALUE"""),"DARPO Pangasinan")</f>
        <v>DARPO Pangasinan</v>
      </c>
      <c r="M1006" s="164" t="str">
        <f ca="1">IFERROR(__xludf.DUMMYFUNCTION("""COMPUTED_VALUE"""),"SERVICEABLE")</f>
        <v>SERVICEABLE</v>
      </c>
      <c r="N1006" s="164"/>
    </row>
    <row r="1007" spans="1:14" ht="13.2" hidden="1">
      <c r="A1007" s="164" t="str">
        <f ca="1">IFERROR(__xludf.DUMMYFUNCTION("""COMPUTED_VALUE"""),"Region I")</f>
        <v>Region I</v>
      </c>
      <c r="B1007" s="164" t="str">
        <f ca="1">IFERROR(__xludf.DUMMYFUNCTION("""COMPUTED_VALUE"""),"Pangasinan")</f>
        <v>Pangasinan</v>
      </c>
      <c r="C1007" s="164" t="str">
        <f ca="1">IFERROR(__xludf.DUMMYFUNCTION("""COMPUTED_VALUE"""),"Desktop Computer – (HP Pro SFF 280G9)")</f>
        <v>Desktop Computer – (HP Pro SFF 280G9)</v>
      </c>
      <c r="D1007" s="164" t="str">
        <f ca="1">IFERROR(__xludf.DUMMYFUNCTION("""COMPUTED_VALUE"""),"₱ 78,898.00")</f>
        <v>₱ 78,898.00</v>
      </c>
      <c r="E1007" s="164" t="str">
        <f ca="1">IFERROR(__xludf.DUMMYFUNCTION("""COMPUTED_VALUE"""),"₱ -")</f>
        <v>₱ -</v>
      </c>
      <c r="F1007" s="164" t="str">
        <f ca="1">IFERROR(__xludf.DUMMYFUNCTION("""COMPUTED_VALUE"""),"2023-05-03-10201SP309-01")</f>
        <v>2023-05-03-10201SP309-01</v>
      </c>
      <c r="G1007" s="164" t="str">
        <f ca="1">IFERROR(__xludf.DUMMYFUNCTION("""COMPUTED_VALUE"""),"4CE301DH79")</f>
        <v>4CE301DH79</v>
      </c>
      <c r="H1007" s="164" t="str">
        <f ca="1">IFERROR(__xludf.DUMMYFUNCTION("""COMPUTED_VALUE"""),"Maria Ana V. Francisco")</f>
        <v>Maria Ana V. Francisco</v>
      </c>
      <c r="I1007" s="164" t="str">
        <f ca="1">IFERROR(__xludf.DUMMYFUNCTION("""COMPUTED_VALUE"""),"Regional Director")</f>
        <v>Regional Director</v>
      </c>
      <c r="J1007" s="164" t="str">
        <f ca="1">IFERROR(__xludf.DUMMYFUNCTION("""COMPUTED_VALUE"""),"2023-08-08-SPLIT")</f>
        <v>2023-08-08-SPLIT</v>
      </c>
      <c r="K1007" s="164" t="str">
        <f ca="1">IFERROR(__xludf.DUMMYFUNCTION("""COMPUTED_VALUE"""),"Jennifer C. Pagsolingan")</f>
        <v>Jennifer C. Pagsolingan</v>
      </c>
      <c r="L1007" s="164" t="str">
        <f ca="1">IFERROR(__xludf.DUMMYFUNCTION("""COMPUTED_VALUE"""),"DARPO Pangasinan")</f>
        <v>DARPO Pangasinan</v>
      </c>
      <c r="M1007" s="164" t="str">
        <f ca="1">IFERROR(__xludf.DUMMYFUNCTION("""COMPUTED_VALUE"""),"SERVICEABLE")</f>
        <v>SERVICEABLE</v>
      </c>
      <c r="N1007" s="164"/>
    </row>
    <row r="1008" spans="1:14" ht="13.2" hidden="1">
      <c r="A1008" s="164" t="str">
        <f ca="1">IFERROR(__xludf.DUMMYFUNCTION("""COMPUTED_VALUE"""),"Region I")</f>
        <v>Region I</v>
      </c>
      <c r="B1008" s="164" t="str">
        <f ca="1">IFERROR(__xludf.DUMMYFUNCTION("""COMPUTED_VALUE"""),"Regional Office")</f>
        <v>Regional Office</v>
      </c>
      <c r="C1008" s="164" t="str">
        <f ca="1">IFERROR(__xludf.DUMMYFUNCTION("""COMPUTED_VALUE"""),"Desktop Computer – (HP Pro SFF 280G9)")</f>
        <v>Desktop Computer – (HP Pro SFF 280G9)</v>
      </c>
      <c r="D1008" s="164" t="str">
        <f ca="1">IFERROR(__xludf.DUMMYFUNCTION("""COMPUTED_VALUE"""),"₱ 78,898.00")</f>
        <v>₱ 78,898.00</v>
      </c>
      <c r="E1008" s="164" t="str">
        <f ca="1">IFERROR(__xludf.DUMMYFUNCTION("""COMPUTED_VALUE"""),"₱ -")</f>
        <v>₱ -</v>
      </c>
      <c r="F1008" s="164" t="str">
        <f ca="1">IFERROR(__xludf.DUMMYFUNCTION("""COMPUTED_VALUE"""),"2023-05-03-10201SP310-01")</f>
        <v>2023-05-03-10201SP310-01</v>
      </c>
      <c r="G1008" s="164" t="str">
        <f ca="1">IFERROR(__xludf.DUMMYFUNCTION("""COMPUTED_VALUE"""),"4CE301DH5K")</f>
        <v>4CE301DH5K</v>
      </c>
      <c r="H1008" s="164" t="str">
        <f ca="1">IFERROR(__xludf.DUMMYFUNCTION("""COMPUTED_VALUE"""),"Maria Ana V. Francisco")</f>
        <v>Maria Ana V. Francisco</v>
      </c>
      <c r="I1008" s="164" t="str">
        <f ca="1">IFERROR(__xludf.DUMMYFUNCTION("""COMPUTED_VALUE"""),"Regional Director")</f>
        <v>Regional Director</v>
      </c>
      <c r="J1008" s="164" t="str">
        <f ca="1">IFERROR(__xludf.DUMMYFUNCTION("""COMPUTED_VALUE"""),"2023-08-27-SPLIT")</f>
        <v>2023-08-27-SPLIT</v>
      </c>
      <c r="K1008" s="164" t="str">
        <f ca="1">IFERROR(__xludf.DUMMYFUNCTION("""COMPUTED_VALUE"""),"Luz A. Samera")</f>
        <v>Luz A. Samera</v>
      </c>
      <c r="L1008" s="164" t="str">
        <f ca="1">IFERROR(__xludf.DUMMYFUNCTION("""COMPUTED_VALUE"""),"Regional Office")</f>
        <v>Regional Office</v>
      </c>
      <c r="M1008" s="164" t="str">
        <f ca="1">IFERROR(__xludf.DUMMYFUNCTION("""COMPUTED_VALUE"""),"SERVICEABLE")</f>
        <v>SERVICEABLE</v>
      </c>
      <c r="N1008" s="164"/>
    </row>
    <row r="1009" spans="1:14" ht="13.2" hidden="1">
      <c r="A1009" s="164" t="str">
        <f ca="1">IFERROR(__xludf.DUMMYFUNCTION("""COMPUTED_VALUE"""),"Region I")</f>
        <v>Region I</v>
      </c>
      <c r="B1009" s="164" t="str">
        <f ca="1">IFERROR(__xludf.DUMMYFUNCTION("""COMPUTED_VALUE"""),"Regional Office")</f>
        <v>Regional Office</v>
      </c>
      <c r="C1009" s="164" t="str">
        <f ca="1">IFERROR(__xludf.DUMMYFUNCTION("""COMPUTED_VALUE"""),"Desktop Computer – (HP Pro SFF 280G9)")</f>
        <v>Desktop Computer – (HP Pro SFF 280G9)</v>
      </c>
      <c r="D1009" s="164" t="str">
        <f ca="1">IFERROR(__xludf.DUMMYFUNCTION("""COMPUTED_VALUE"""),"₱ 78,898.00")</f>
        <v>₱ 78,898.00</v>
      </c>
      <c r="E1009" s="164" t="str">
        <f ca="1">IFERROR(__xludf.DUMMYFUNCTION("""COMPUTED_VALUE"""),"₱ -")</f>
        <v>₱ -</v>
      </c>
      <c r="F1009" s="164" t="str">
        <f ca="1">IFERROR(__xludf.DUMMYFUNCTION("""COMPUTED_VALUE"""),"2023-05-03-10201SP311-01")</f>
        <v>2023-05-03-10201SP311-01</v>
      </c>
      <c r="G1009" s="164" t="str">
        <f ca="1">IFERROR(__xludf.DUMMYFUNCTION("""COMPUTED_VALUE"""),"4CE301DH5S")</f>
        <v>4CE301DH5S</v>
      </c>
      <c r="H1009" s="164" t="str">
        <f ca="1">IFERROR(__xludf.DUMMYFUNCTION("""COMPUTED_VALUE"""),"Maria Ana V. Francisco")</f>
        <v>Maria Ana V. Francisco</v>
      </c>
      <c r="I1009" s="164" t="str">
        <f ca="1">IFERROR(__xludf.DUMMYFUNCTION("""COMPUTED_VALUE"""),"Regional Director")</f>
        <v>Regional Director</v>
      </c>
      <c r="J1009" s="164" t="str">
        <f ca="1">IFERROR(__xludf.DUMMYFUNCTION("""COMPUTED_VALUE"""),"2023-08-28-SPLIT")</f>
        <v>2023-08-28-SPLIT</v>
      </c>
      <c r="K1009" s="164" t="str">
        <f ca="1">IFERROR(__xludf.DUMMYFUNCTION("""COMPUTED_VALUE"""),"Relina Claire S. Lang-ay")</f>
        <v>Relina Claire S. Lang-ay</v>
      </c>
      <c r="L1009" s="164" t="str">
        <f ca="1">IFERROR(__xludf.DUMMYFUNCTION("""COMPUTED_VALUE"""),"Regional Office")</f>
        <v>Regional Office</v>
      </c>
      <c r="M1009" s="164" t="str">
        <f ca="1">IFERROR(__xludf.DUMMYFUNCTION("""COMPUTED_VALUE"""),"SERVICEABLE")</f>
        <v>SERVICEABLE</v>
      </c>
      <c r="N1009" s="164"/>
    </row>
    <row r="1010" spans="1:14" ht="13.2" hidden="1">
      <c r="A1010" s="164" t="str">
        <f ca="1">IFERROR(__xludf.DUMMYFUNCTION("""COMPUTED_VALUE"""),"Region I")</f>
        <v>Region I</v>
      </c>
      <c r="B1010" s="164" t="str">
        <f ca="1">IFERROR(__xludf.DUMMYFUNCTION("""COMPUTED_VALUE"""),"Regional Office")</f>
        <v>Regional Office</v>
      </c>
      <c r="C1010" s="164" t="str">
        <f ca="1">IFERROR(__xludf.DUMMYFUNCTION("""COMPUTED_VALUE"""),"Desktop Computer – (HP Pro SFF 280G9)")</f>
        <v>Desktop Computer – (HP Pro SFF 280G9)</v>
      </c>
      <c r="D1010" s="164" t="str">
        <f ca="1">IFERROR(__xludf.DUMMYFUNCTION("""COMPUTED_VALUE"""),"₱ 78,898.00")</f>
        <v>₱ 78,898.00</v>
      </c>
      <c r="E1010" s="164" t="str">
        <f ca="1">IFERROR(__xludf.DUMMYFUNCTION("""COMPUTED_VALUE"""),"₱ -")</f>
        <v>₱ -</v>
      </c>
      <c r="F1010" s="164" t="str">
        <f ca="1">IFERROR(__xludf.DUMMYFUNCTION("""COMPUTED_VALUE"""),"2023-05-03-10201SP312-01")</f>
        <v>2023-05-03-10201SP312-01</v>
      </c>
      <c r="G1010" s="164" t="str">
        <f ca="1">IFERROR(__xludf.DUMMYFUNCTION("""COMPUTED_VALUE"""),"4CE301DH70")</f>
        <v>4CE301DH70</v>
      </c>
      <c r="H1010" s="164" t="str">
        <f ca="1">IFERROR(__xludf.DUMMYFUNCTION("""COMPUTED_VALUE"""),"Maria Ana V. Francisco")</f>
        <v>Maria Ana V. Francisco</v>
      </c>
      <c r="I1010" s="164" t="str">
        <f ca="1">IFERROR(__xludf.DUMMYFUNCTION("""COMPUTED_VALUE"""),"Regional Director")</f>
        <v>Regional Director</v>
      </c>
      <c r="J1010" s="164" t="str">
        <f ca="1">IFERROR(__xludf.DUMMYFUNCTION("""COMPUTED_VALUE"""),"2023-08-29-SPLIT")</f>
        <v>2023-08-29-SPLIT</v>
      </c>
      <c r="K1010" s="164" t="str">
        <f ca="1">IFERROR(__xludf.DUMMYFUNCTION("""COMPUTED_VALUE"""),"RCAO Nestor T. Pagaduan")</f>
        <v>RCAO Nestor T. Pagaduan</v>
      </c>
      <c r="L1010" s="164" t="str">
        <f ca="1">IFERROR(__xludf.DUMMYFUNCTION("""COMPUTED_VALUE"""),"Regional Office")</f>
        <v>Regional Office</v>
      </c>
      <c r="M1010" s="164" t="str">
        <f ca="1">IFERROR(__xludf.DUMMYFUNCTION("""COMPUTED_VALUE"""),"SERVICEABLE")</f>
        <v>SERVICEABLE</v>
      </c>
      <c r="N1010" s="164"/>
    </row>
    <row r="1011" spans="1:14" ht="13.2" hidden="1">
      <c r="A1011" s="164" t="str">
        <f ca="1">IFERROR(__xludf.DUMMYFUNCTION("""COMPUTED_VALUE"""),"Region I")</f>
        <v>Region I</v>
      </c>
      <c r="B1011" s="164" t="str">
        <f ca="1">IFERROR(__xludf.DUMMYFUNCTION("""COMPUTED_VALUE"""),"Regional Office")</f>
        <v>Regional Office</v>
      </c>
      <c r="C1011" s="164" t="str">
        <f ca="1">IFERROR(__xludf.DUMMYFUNCTION("""COMPUTED_VALUE"""),"Desktop Computer – (HP Pro SFF 280G9)")</f>
        <v>Desktop Computer – (HP Pro SFF 280G9)</v>
      </c>
      <c r="D1011" s="164" t="str">
        <f ca="1">IFERROR(__xludf.DUMMYFUNCTION("""COMPUTED_VALUE"""),"₱ 78,898.00")</f>
        <v>₱ 78,898.00</v>
      </c>
      <c r="E1011" s="164" t="str">
        <f ca="1">IFERROR(__xludf.DUMMYFUNCTION("""COMPUTED_VALUE"""),"₱ -")</f>
        <v>₱ -</v>
      </c>
      <c r="F1011" s="164" t="str">
        <f ca="1">IFERROR(__xludf.DUMMYFUNCTION("""COMPUTED_VALUE"""),"2023-05-03-10201SP313-01")</f>
        <v>2023-05-03-10201SP313-01</v>
      </c>
      <c r="G1011" s="164" t="str">
        <f ca="1">IFERROR(__xludf.DUMMYFUNCTION("""COMPUTED_VALUE"""),"4CE301DSHS")</f>
        <v>4CE301DSHS</v>
      </c>
      <c r="H1011" s="164" t="str">
        <f ca="1">IFERROR(__xludf.DUMMYFUNCTION("""COMPUTED_VALUE"""),"Maria Ana V. Francisco")</f>
        <v>Maria Ana V. Francisco</v>
      </c>
      <c r="I1011" s="164" t="str">
        <f ca="1">IFERROR(__xludf.DUMMYFUNCTION("""COMPUTED_VALUE"""),"Regional Director")</f>
        <v>Regional Director</v>
      </c>
      <c r="J1011" s="164" t="str">
        <f ca="1">IFERROR(__xludf.DUMMYFUNCTION("""COMPUTED_VALUE"""),"2023-08-30-SPLIT")</f>
        <v>2023-08-30-SPLIT</v>
      </c>
      <c r="K1011" s="164" t="str">
        <f ca="1">IFERROR(__xludf.DUMMYFUNCTION("""COMPUTED_VALUE"""),"Emeraldlyn B. Cantoria")</f>
        <v>Emeraldlyn B. Cantoria</v>
      </c>
      <c r="L1011" s="164" t="str">
        <f ca="1">IFERROR(__xludf.DUMMYFUNCTION("""COMPUTED_VALUE"""),"Regional Office")</f>
        <v>Regional Office</v>
      </c>
      <c r="M1011" s="164" t="str">
        <f ca="1">IFERROR(__xludf.DUMMYFUNCTION("""COMPUTED_VALUE"""),"SERVICEABLE")</f>
        <v>SERVICEABLE</v>
      </c>
      <c r="N1011" s="164"/>
    </row>
    <row r="1012" spans="1:14" ht="13.2" hidden="1">
      <c r="A1012" s="164" t="str">
        <f ca="1">IFERROR(__xludf.DUMMYFUNCTION("""COMPUTED_VALUE"""),"Region I")</f>
        <v>Region I</v>
      </c>
      <c r="B1012" s="164" t="str">
        <f ca="1">IFERROR(__xludf.DUMMYFUNCTION("""COMPUTED_VALUE"""),"Regional Office")</f>
        <v>Regional Office</v>
      </c>
      <c r="C1012" s="164" t="str">
        <f ca="1">IFERROR(__xludf.DUMMYFUNCTION("""COMPUTED_VALUE"""),"Desktop Computer – (HP Pro SFF 280G9)")</f>
        <v>Desktop Computer – (HP Pro SFF 280G9)</v>
      </c>
      <c r="D1012" s="164" t="str">
        <f ca="1">IFERROR(__xludf.DUMMYFUNCTION("""COMPUTED_VALUE"""),"₱ 78,898.00")</f>
        <v>₱ 78,898.00</v>
      </c>
      <c r="E1012" s="164" t="str">
        <f ca="1">IFERROR(__xludf.DUMMYFUNCTION("""COMPUTED_VALUE"""),"₱ -")</f>
        <v>₱ -</v>
      </c>
      <c r="F1012" s="164" t="str">
        <f ca="1">IFERROR(__xludf.DUMMYFUNCTION("""COMPUTED_VALUE"""),"2023-05-03-10201SP314-01")</f>
        <v>2023-05-03-10201SP314-01</v>
      </c>
      <c r="G1012" s="164" t="str">
        <f ca="1">IFERROR(__xludf.DUMMYFUNCTION("""COMPUTED_VALUE"""),"4CE301DH4P")</f>
        <v>4CE301DH4P</v>
      </c>
      <c r="H1012" s="164" t="str">
        <f ca="1">IFERROR(__xludf.DUMMYFUNCTION("""COMPUTED_VALUE"""),"Maria Ana V. Francisco")</f>
        <v>Maria Ana V. Francisco</v>
      </c>
      <c r="I1012" s="164" t="str">
        <f ca="1">IFERROR(__xludf.DUMMYFUNCTION("""COMPUTED_VALUE"""),"Regional Director")</f>
        <v>Regional Director</v>
      </c>
      <c r="J1012" s="164" t="str">
        <f ca="1">IFERROR(__xludf.DUMMYFUNCTION("""COMPUTED_VALUE"""),"2023-08-31-SPLIT")</f>
        <v>2023-08-31-SPLIT</v>
      </c>
      <c r="K1012" s="164" t="str">
        <f ca="1">IFERROR(__xludf.DUMMYFUNCTION("""COMPUTED_VALUE"""),"Romin A. Cadiente")</f>
        <v>Romin A. Cadiente</v>
      </c>
      <c r="L1012" s="164" t="str">
        <f ca="1">IFERROR(__xludf.DUMMYFUNCTION("""COMPUTED_VALUE"""),"Regional Office")</f>
        <v>Regional Office</v>
      </c>
      <c r="M1012" s="164" t="str">
        <f ca="1">IFERROR(__xludf.DUMMYFUNCTION("""COMPUTED_VALUE"""),"SERVICEABLE")</f>
        <v>SERVICEABLE</v>
      </c>
      <c r="N1012" s="164" t="str">
        <f ca="1">IFERROR(__xludf.DUMMYFUNCTION("""COMPUTED_VALUE"""),"PRINTER DEFFECTIVE")</f>
        <v>PRINTER DEFFECTIVE</v>
      </c>
    </row>
    <row r="1013" spans="1:14" ht="13.2" hidden="1">
      <c r="A1013" s="164" t="str">
        <f ca="1">IFERROR(__xludf.DUMMYFUNCTION("""COMPUTED_VALUE"""),"Region I")</f>
        <v>Region I</v>
      </c>
      <c r="B1013" s="164" t="str">
        <f ca="1">IFERROR(__xludf.DUMMYFUNCTION("""COMPUTED_VALUE"""),"Regional Office")</f>
        <v>Regional Office</v>
      </c>
      <c r="C1013" s="164" t="str">
        <f ca="1">IFERROR(__xludf.DUMMYFUNCTION("""COMPUTED_VALUE"""),"Desktop Computer – (HP Pro SFF 280G9)")</f>
        <v>Desktop Computer – (HP Pro SFF 280G9)</v>
      </c>
      <c r="D1013" s="164" t="str">
        <f ca="1">IFERROR(__xludf.DUMMYFUNCTION("""COMPUTED_VALUE"""),"₱ 78,898.00")</f>
        <v>₱ 78,898.00</v>
      </c>
      <c r="E1013" s="164" t="str">
        <f ca="1">IFERROR(__xludf.DUMMYFUNCTION("""COMPUTED_VALUE"""),"₱ -")</f>
        <v>₱ -</v>
      </c>
      <c r="F1013" s="164" t="str">
        <f ca="1">IFERROR(__xludf.DUMMYFUNCTION("""COMPUTED_VALUE"""),"2023-05-03-10201SP315-01")</f>
        <v>2023-05-03-10201SP315-01</v>
      </c>
      <c r="G1013" s="164" t="str">
        <f ca="1">IFERROR(__xludf.DUMMYFUNCTION("""COMPUTED_VALUE"""),"4CE301DSH6")</f>
        <v>4CE301DSH6</v>
      </c>
      <c r="H1013" s="164" t="str">
        <f ca="1">IFERROR(__xludf.DUMMYFUNCTION("""COMPUTED_VALUE"""),"Maria Ana V. Francisco")</f>
        <v>Maria Ana V. Francisco</v>
      </c>
      <c r="I1013" s="164" t="str">
        <f ca="1">IFERROR(__xludf.DUMMYFUNCTION("""COMPUTED_VALUE"""),"Regional Director")</f>
        <v>Regional Director</v>
      </c>
      <c r="J1013" s="164" t="str">
        <f ca="1">IFERROR(__xludf.DUMMYFUNCTION("""COMPUTED_VALUE"""),"2023-08-09-SPLIT")</f>
        <v>2023-08-09-SPLIT</v>
      </c>
      <c r="K1013" s="164" t="str">
        <f ca="1">IFERROR(__xludf.DUMMYFUNCTION("""COMPUTED_VALUE"""),"Nenita C. Madriaga")</f>
        <v>Nenita C. Madriaga</v>
      </c>
      <c r="L1013" s="164" t="str">
        <f ca="1">IFERROR(__xludf.DUMMYFUNCTION("""COMPUTED_VALUE"""),"Regional Office")</f>
        <v>Regional Office</v>
      </c>
      <c r="M1013" s="164" t="str">
        <f ca="1">IFERROR(__xludf.DUMMYFUNCTION("""COMPUTED_VALUE"""),"SERVICEABLE")</f>
        <v>SERVICEABLE</v>
      </c>
      <c r="N1013" s="164" t="str">
        <f ca="1">IFERROR(__xludf.DUMMYFUNCTION("""COMPUTED_VALUE"""),"denr")</f>
        <v>denr</v>
      </c>
    </row>
    <row r="1014" spans="1:14" ht="13.2" hidden="1">
      <c r="A1014" s="164" t="str">
        <f ca="1">IFERROR(__xludf.DUMMYFUNCTION("""COMPUTED_VALUE"""),"Region I")</f>
        <v>Region I</v>
      </c>
      <c r="B1014" s="164" t="str">
        <f ca="1">IFERROR(__xludf.DUMMYFUNCTION("""COMPUTED_VALUE"""),"Regional Office")</f>
        <v>Regional Office</v>
      </c>
      <c r="C1014" s="164" t="str">
        <f ca="1">IFERROR(__xludf.DUMMYFUNCTION("""COMPUTED_VALUE"""),"Desktop Computer – (HP Pro SFF 280G9)")</f>
        <v>Desktop Computer – (HP Pro SFF 280G9)</v>
      </c>
      <c r="D1014" s="164" t="str">
        <f ca="1">IFERROR(__xludf.DUMMYFUNCTION("""COMPUTED_VALUE"""),"₱ 78,898.00")</f>
        <v>₱ 78,898.00</v>
      </c>
      <c r="E1014" s="164" t="str">
        <f ca="1">IFERROR(__xludf.DUMMYFUNCTION("""COMPUTED_VALUE"""),"₱ -")</f>
        <v>₱ -</v>
      </c>
      <c r="F1014" s="164" t="str">
        <f ca="1">IFERROR(__xludf.DUMMYFUNCTION("""COMPUTED_VALUE"""),"2023-05-03-10201SP316-01")</f>
        <v>2023-05-03-10201SP316-01</v>
      </c>
      <c r="G1014" s="164" t="str">
        <f ca="1">IFERROR(__xludf.DUMMYFUNCTION("""COMPUTED_VALUE"""),"4CE301DH58")</f>
        <v>4CE301DH58</v>
      </c>
      <c r="H1014" s="164" t="str">
        <f ca="1">IFERROR(__xludf.DUMMYFUNCTION("""COMPUTED_VALUE"""),"Maria Ana V. Francisco")</f>
        <v>Maria Ana V. Francisco</v>
      </c>
      <c r="I1014" s="164" t="str">
        <f ca="1">IFERROR(__xludf.DUMMYFUNCTION("""COMPUTED_VALUE"""),"Regional Director")</f>
        <v>Regional Director</v>
      </c>
      <c r="J1014" s="164" t="str">
        <f ca="1">IFERROR(__xludf.DUMMYFUNCTION("""COMPUTED_VALUE"""),"2023-08-09-SPLIT")</f>
        <v>2023-08-09-SPLIT</v>
      </c>
      <c r="K1014" s="164" t="str">
        <f ca="1">IFERROR(__xludf.DUMMYFUNCTION("""COMPUTED_VALUE"""),"Nenita C. Madriaga")</f>
        <v>Nenita C. Madriaga</v>
      </c>
      <c r="L1014" s="164" t="str">
        <f ca="1">IFERROR(__xludf.DUMMYFUNCTION("""COMPUTED_VALUE"""),"Regional Office")</f>
        <v>Regional Office</v>
      </c>
      <c r="M1014" s="164" t="str">
        <f ca="1">IFERROR(__xludf.DUMMYFUNCTION("""COMPUTED_VALUE"""),"SERVICEABLE")</f>
        <v>SERVICEABLE</v>
      </c>
      <c r="N1014" s="164" t="str">
        <f ca="1">IFERROR(__xludf.DUMMYFUNCTION("""COMPUTED_VALUE"""),"denr")</f>
        <v>denr</v>
      </c>
    </row>
    <row r="1015" spans="1:14" ht="13.2" hidden="1">
      <c r="A1015" s="164" t="str">
        <f ca="1">IFERROR(__xludf.DUMMYFUNCTION("""COMPUTED_VALUE"""),"Region I")</f>
        <v>Region I</v>
      </c>
      <c r="B1015" s="164" t="str">
        <f ca="1">IFERROR(__xludf.DUMMYFUNCTION("""COMPUTED_VALUE"""),"Ilocos Sur")</f>
        <v>Ilocos Sur</v>
      </c>
      <c r="C1015" s="164" t="str">
        <f ca="1">IFERROR(__xludf.DUMMYFUNCTION("""COMPUTED_VALUE"""),"A3 PRINTER (BROTHER)")</f>
        <v>A3 PRINTER (BROTHER)</v>
      </c>
      <c r="D1015" s="164" t="str">
        <f ca="1">IFERROR(__xludf.DUMMYFUNCTION("""COMPUTED_VALUE"""),"₱ 33,508.00")</f>
        <v>₱ 33,508.00</v>
      </c>
      <c r="E1015" s="164" t="str">
        <f ca="1">IFERROR(__xludf.DUMMYFUNCTION("""COMPUTED_VALUE"""),"₱ -")</f>
        <v>₱ -</v>
      </c>
      <c r="F1015" s="164" t="str">
        <f ca="1">IFERROR(__xludf.DUMMYFUNCTION("""COMPUTED_VALUE"""),"HV-SPLIT-102-24-05-17")</f>
        <v>HV-SPLIT-102-24-05-17</v>
      </c>
      <c r="G1015" s="164"/>
      <c r="H1015" s="164" t="str">
        <f ca="1">IFERROR(__xludf.DUMMYFUNCTION("""COMPUTED_VALUE"""),"Engr. Vic M. Ines")</f>
        <v>Engr. Vic M. Ines</v>
      </c>
      <c r="I1015" s="164" t="str">
        <f ca="1">IFERROR(__xludf.DUMMYFUNCTION("""COMPUTED_VALUE"""),"PARPO II")</f>
        <v>PARPO II</v>
      </c>
      <c r="J1015" s="164" t="str">
        <f ca="1">IFERROR(__xludf.DUMMYFUNCTION("""COMPUTED_VALUE"""),"2024-03-002")</f>
        <v>2024-03-002</v>
      </c>
      <c r="K1015" s="164" t="str">
        <f ca="1">IFERROR(__xludf.DUMMYFUNCTION("""COMPUTED_VALUE"""),"Engr. Vic M. Ines")</f>
        <v>Engr. Vic M. Ines</v>
      </c>
      <c r="L1015" s="164" t="str">
        <f ca="1">IFERROR(__xludf.DUMMYFUNCTION("""COMPUTED_VALUE"""),"REGIONAL OFFICE")</f>
        <v>REGIONAL OFFICE</v>
      </c>
      <c r="M1015" s="164" t="str">
        <f ca="1">IFERROR(__xludf.DUMMYFUNCTION("""COMPUTED_VALUE"""),"SERVICEABLE")</f>
        <v>SERVICEABLE</v>
      </c>
      <c r="N1015" s="164"/>
    </row>
    <row r="1016" spans="1:14" ht="13.2" hidden="1">
      <c r="A1016" s="164" t="str">
        <f ca="1">IFERROR(__xludf.DUMMYFUNCTION("""COMPUTED_VALUE"""),"Region I")</f>
        <v>Region I</v>
      </c>
      <c r="B1016" s="164" t="str">
        <f ca="1">IFERROR(__xludf.DUMMYFUNCTION("""COMPUTED_VALUE"""),"Ilocos Norte")</f>
        <v>Ilocos Norte</v>
      </c>
      <c r="C1016" s="164" t="str">
        <f ca="1">IFERROR(__xludf.DUMMYFUNCTION("""COMPUTED_VALUE"""),"Desktop Computer – (Lenovo M70T)")</f>
        <v>Desktop Computer – (Lenovo M70T)</v>
      </c>
      <c r="D1016" s="164" t="str">
        <f ca="1">IFERROR(__xludf.DUMMYFUNCTION("""COMPUTED_VALUE"""),"₱ 75,468.00")</f>
        <v>₱ 75,468.00</v>
      </c>
      <c r="E1016" s="164" t="str">
        <f ca="1">IFERROR(__xludf.DUMMYFUNCTION("""COMPUTED_VALUE"""),"₱ -")</f>
        <v>₱ -</v>
      </c>
      <c r="F1016" s="164" t="str">
        <f ca="1">IFERROR(__xludf.DUMMYFUNCTION("""COMPUTED_VALUE"""),"2023-05-03-10201SP599-01")</f>
        <v>2023-05-03-10201SP599-01</v>
      </c>
      <c r="G1016" s="164" t="str">
        <f ca="1">IFERROR(__xludf.DUMMYFUNCTION("""COMPUTED_VALUE"""),"1S11T5S16200GM02ZT7D")</f>
        <v>1S11T5S16200GM02ZT7D</v>
      </c>
      <c r="H1016" s="164" t="str">
        <f ca="1">IFERROR(__xludf.DUMMYFUNCTION("""COMPUTED_VALUE"""),"Vic M. Ines")</f>
        <v>Vic M. Ines</v>
      </c>
      <c r="I1016" s="164" t="str">
        <f ca="1">IFERROR(__xludf.DUMMYFUNCTION("""COMPUTED_VALUE"""),"PARPO II")</f>
        <v>PARPO II</v>
      </c>
      <c r="J1016" s="164" t="str">
        <f ca="1">IFERROR(__xludf.DUMMYFUNCTION("""COMPUTED_VALUE"""),"2023-05-33-SPLIT")</f>
        <v>2023-05-33-SPLIT</v>
      </c>
      <c r="K1016" s="164" t="str">
        <f ca="1">IFERROR(__xludf.DUMMYFUNCTION("""COMPUTED_VALUE"""),"Engr. Jesus R. Asuncion")</f>
        <v>Engr. Jesus R. Asuncion</v>
      </c>
      <c r="L1016" s="164" t="str">
        <f ca="1">IFERROR(__xludf.DUMMYFUNCTION("""COMPUTED_VALUE"""),"DARPO Ilocos Norte")</f>
        <v>DARPO Ilocos Norte</v>
      </c>
      <c r="M1016" s="164" t="str">
        <f ca="1">IFERROR(__xludf.DUMMYFUNCTION("""COMPUTED_VALUE"""),"SERVICEABLE")</f>
        <v>SERVICEABLE</v>
      </c>
      <c r="N1016" s="164"/>
    </row>
    <row r="1017" spans="1:14" ht="13.2" hidden="1">
      <c r="A1017" s="164" t="str">
        <f ca="1">IFERROR(__xludf.DUMMYFUNCTION("""COMPUTED_VALUE"""),"Region I")</f>
        <v>Region I</v>
      </c>
      <c r="B1017" s="164" t="str">
        <f ca="1">IFERROR(__xludf.DUMMYFUNCTION("""COMPUTED_VALUE"""),"Ilocos Norte")</f>
        <v>Ilocos Norte</v>
      </c>
      <c r="C1017" s="164" t="str">
        <f ca="1">IFERROR(__xludf.DUMMYFUNCTION("""COMPUTED_VALUE"""),"Desktop Computer – (Lenovo M70T)")</f>
        <v>Desktop Computer – (Lenovo M70T)</v>
      </c>
      <c r="D1017" s="164" t="str">
        <f ca="1">IFERROR(__xludf.DUMMYFUNCTION("""COMPUTED_VALUE"""),"₱ 75,468.00")</f>
        <v>₱ 75,468.00</v>
      </c>
      <c r="E1017" s="164" t="str">
        <f ca="1">IFERROR(__xludf.DUMMYFUNCTION("""COMPUTED_VALUE"""),"₱ -")</f>
        <v>₱ -</v>
      </c>
      <c r="F1017" s="164" t="str">
        <f ca="1">IFERROR(__xludf.DUMMYFUNCTION("""COMPUTED_VALUE"""),"2023-05-03-10201SP600-01")</f>
        <v>2023-05-03-10201SP600-01</v>
      </c>
      <c r="G1017" s="164" t="str">
        <f ca="1">IFERROR(__xludf.DUMMYFUNCTION("""COMPUTED_VALUE"""),"1S11T5S16200GM02ZT8R")</f>
        <v>1S11T5S16200GM02ZT8R</v>
      </c>
      <c r="H1017" s="164" t="str">
        <f ca="1">IFERROR(__xludf.DUMMYFUNCTION("""COMPUTED_VALUE"""),"Vic M. Ines")</f>
        <v>Vic M. Ines</v>
      </c>
      <c r="I1017" s="164" t="str">
        <f ca="1">IFERROR(__xludf.DUMMYFUNCTION("""COMPUTED_VALUE"""),"PARPO II")</f>
        <v>PARPO II</v>
      </c>
      <c r="J1017" s="164" t="str">
        <f ca="1">IFERROR(__xludf.DUMMYFUNCTION("""COMPUTED_VALUE"""),"2023-05-33-SPLIT")</f>
        <v>2023-05-33-SPLIT</v>
      </c>
      <c r="K1017" s="164" t="str">
        <f ca="1">IFERROR(__xludf.DUMMYFUNCTION("""COMPUTED_VALUE"""),"Rodelle T. Pascual")</f>
        <v>Rodelle T. Pascual</v>
      </c>
      <c r="L1017" s="164" t="str">
        <f ca="1">IFERROR(__xludf.DUMMYFUNCTION("""COMPUTED_VALUE"""),"DARPO Ilocos Norte")</f>
        <v>DARPO Ilocos Norte</v>
      </c>
      <c r="M1017" s="164" t="str">
        <f ca="1">IFERROR(__xludf.DUMMYFUNCTION("""COMPUTED_VALUE"""),"SERVICEABLE")</f>
        <v>SERVICEABLE</v>
      </c>
      <c r="N1017" s="164"/>
    </row>
    <row r="1018" spans="1:14" ht="13.2" hidden="1">
      <c r="A1018" s="164" t="str">
        <f ca="1">IFERROR(__xludf.DUMMYFUNCTION("""COMPUTED_VALUE"""),"Region I")</f>
        <v>Region I</v>
      </c>
      <c r="B1018" s="164" t="str">
        <f ca="1">IFERROR(__xludf.DUMMYFUNCTION("""COMPUTED_VALUE"""),"Ilocos Norte")</f>
        <v>Ilocos Norte</v>
      </c>
      <c r="C1018" s="164" t="str">
        <f ca="1">IFERROR(__xludf.DUMMYFUNCTION("""COMPUTED_VALUE"""),"Desktop Computer – (Lenovo M70T)")</f>
        <v>Desktop Computer – (Lenovo M70T)</v>
      </c>
      <c r="D1018" s="164" t="str">
        <f ca="1">IFERROR(__xludf.DUMMYFUNCTION("""COMPUTED_VALUE"""),"₱ 75,468.00")</f>
        <v>₱ 75,468.00</v>
      </c>
      <c r="E1018" s="164" t="str">
        <f ca="1">IFERROR(__xludf.DUMMYFUNCTION("""COMPUTED_VALUE"""),"₱ -")</f>
        <v>₱ -</v>
      </c>
      <c r="F1018" s="164" t="str">
        <f ca="1">IFERROR(__xludf.DUMMYFUNCTION("""COMPUTED_VALUE"""),"2023-05-03-10201SP601-01")</f>
        <v>2023-05-03-10201SP601-01</v>
      </c>
      <c r="G1018" s="164" t="str">
        <f ca="1">IFERROR(__xludf.DUMMYFUNCTION("""COMPUTED_VALUE"""),"1S11T5S16200GM02ZT8V")</f>
        <v>1S11T5S16200GM02ZT8V</v>
      </c>
      <c r="H1018" s="164" t="str">
        <f ca="1">IFERROR(__xludf.DUMMYFUNCTION("""COMPUTED_VALUE"""),"Vic M. Ines")</f>
        <v>Vic M. Ines</v>
      </c>
      <c r="I1018" s="164" t="str">
        <f ca="1">IFERROR(__xludf.DUMMYFUNCTION("""COMPUTED_VALUE"""),"PARPO II")</f>
        <v>PARPO II</v>
      </c>
      <c r="J1018" s="164" t="str">
        <f ca="1">IFERROR(__xludf.DUMMYFUNCTION("""COMPUTED_VALUE"""),"2023-05-33-SPLIT")</f>
        <v>2023-05-33-SPLIT</v>
      </c>
      <c r="K1018" s="164" t="str">
        <f ca="1">IFERROR(__xludf.DUMMYFUNCTION("""COMPUTED_VALUE"""),"Rodolfo N. Garcia, Jr.")</f>
        <v>Rodolfo N. Garcia, Jr.</v>
      </c>
      <c r="L1018" s="164" t="str">
        <f ca="1">IFERROR(__xludf.DUMMYFUNCTION("""COMPUTED_VALUE"""),"DARPO Ilocos Norte")</f>
        <v>DARPO Ilocos Norte</v>
      </c>
      <c r="M1018" s="164" t="str">
        <f ca="1">IFERROR(__xludf.DUMMYFUNCTION("""COMPUTED_VALUE"""),"SERVICEABLE")</f>
        <v>SERVICEABLE</v>
      </c>
      <c r="N1018" s="164"/>
    </row>
    <row r="1019" spans="1:14" ht="13.2" hidden="1">
      <c r="A1019" s="164" t="str">
        <f ca="1">IFERROR(__xludf.DUMMYFUNCTION("""COMPUTED_VALUE"""),"Region I")</f>
        <v>Region I</v>
      </c>
      <c r="B1019" s="164" t="str">
        <f ca="1">IFERROR(__xludf.DUMMYFUNCTION("""COMPUTED_VALUE"""),"Ilocos Norte")</f>
        <v>Ilocos Norte</v>
      </c>
      <c r="C1019" s="164" t="str">
        <f ca="1">IFERROR(__xludf.DUMMYFUNCTION("""COMPUTED_VALUE"""),"Desktop Computer – (Lenovo M70T)")</f>
        <v>Desktop Computer – (Lenovo M70T)</v>
      </c>
      <c r="D1019" s="164" t="str">
        <f ca="1">IFERROR(__xludf.DUMMYFUNCTION("""COMPUTED_VALUE"""),"₱ 75,468.00")</f>
        <v>₱ 75,468.00</v>
      </c>
      <c r="E1019" s="164" t="str">
        <f ca="1">IFERROR(__xludf.DUMMYFUNCTION("""COMPUTED_VALUE"""),"₱ -")</f>
        <v>₱ -</v>
      </c>
      <c r="F1019" s="164" t="str">
        <f ca="1">IFERROR(__xludf.DUMMYFUNCTION("""COMPUTED_VALUE"""),"2023-05-03-10201SP602-01")</f>
        <v>2023-05-03-10201SP602-01</v>
      </c>
      <c r="G1019" s="164" t="str">
        <f ca="1">IFERROR(__xludf.DUMMYFUNCTION("""COMPUTED_VALUE"""),"1S11T5S16200GM02ZT7R")</f>
        <v>1S11T5S16200GM02ZT7R</v>
      </c>
      <c r="H1019" s="164" t="str">
        <f ca="1">IFERROR(__xludf.DUMMYFUNCTION("""COMPUTED_VALUE"""),"Vic M. Ines")</f>
        <v>Vic M. Ines</v>
      </c>
      <c r="I1019" s="164" t="str">
        <f ca="1">IFERROR(__xludf.DUMMYFUNCTION("""COMPUTED_VALUE"""),"PARPO II")</f>
        <v>PARPO II</v>
      </c>
      <c r="J1019" s="164" t="str">
        <f ca="1">IFERROR(__xludf.DUMMYFUNCTION("""COMPUTED_VALUE"""),"2023-05-33-SPLIT")</f>
        <v>2023-05-33-SPLIT</v>
      </c>
      <c r="K1019" s="164" t="str">
        <f ca="1">IFERROR(__xludf.DUMMYFUNCTION("""COMPUTED_VALUE"""),"Atty. Melvyn T. Guillermo")</f>
        <v>Atty. Melvyn T. Guillermo</v>
      </c>
      <c r="L1019" s="164" t="str">
        <f ca="1">IFERROR(__xludf.DUMMYFUNCTION("""COMPUTED_VALUE"""),"DARPO Ilocos Norte")</f>
        <v>DARPO Ilocos Norte</v>
      </c>
      <c r="M1019" s="164" t="str">
        <f ca="1">IFERROR(__xludf.DUMMYFUNCTION("""COMPUTED_VALUE"""),"SERVICEABLE")</f>
        <v>SERVICEABLE</v>
      </c>
      <c r="N1019" s="164"/>
    </row>
    <row r="1020" spans="1:14" ht="13.2" hidden="1">
      <c r="A1020" s="164" t="str">
        <f ca="1">IFERROR(__xludf.DUMMYFUNCTION("""COMPUTED_VALUE"""),"Region I")</f>
        <v>Region I</v>
      </c>
      <c r="B1020" s="164" t="str">
        <f ca="1">IFERROR(__xludf.DUMMYFUNCTION("""COMPUTED_VALUE"""),"Ilocos Norte")</f>
        <v>Ilocos Norte</v>
      </c>
      <c r="C1020" s="164" t="str">
        <f ca="1">IFERROR(__xludf.DUMMYFUNCTION("""COMPUTED_VALUE"""),"Desktop Computer – (Lenovo M70T)")</f>
        <v>Desktop Computer – (Lenovo M70T)</v>
      </c>
      <c r="D1020" s="164" t="str">
        <f ca="1">IFERROR(__xludf.DUMMYFUNCTION("""COMPUTED_VALUE"""),"₱ 75,468.00")</f>
        <v>₱ 75,468.00</v>
      </c>
      <c r="E1020" s="164" t="str">
        <f ca="1">IFERROR(__xludf.DUMMYFUNCTION("""COMPUTED_VALUE"""),"₱ -")</f>
        <v>₱ -</v>
      </c>
      <c r="F1020" s="164" t="str">
        <f ca="1">IFERROR(__xludf.DUMMYFUNCTION("""COMPUTED_VALUE"""),"2023-05-03-10201SP603-01")</f>
        <v>2023-05-03-10201SP603-01</v>
      </c>
      <c r="G1020" s="164" t="str">
        <f ca="1">IFERROR(__xludf.DUMMYFUNCTION("""COMPUTED_VALUE"""),"1S11T5S16200GM02ZT9L")</f>
        <v>1S11T5S16200GM02ZT9L</v>
      </c>
      <c r="H1020" s="164" t="str">
        <f ca="1">IFERROR(__xludf.DUMMYFUNCTION("""COMPUTED_VALUE"""),"Vic M. Ines")</f>
        <v>Vic M. Ines</v>
      </c>
      <c r="I1020" s="164" t="str">
        <f ca="1">IFERROR(__xludf.DUMMYFUNCTION("""COMPUTED_VALUE"""),"PARPO II")</f>
        <v>PARPO II</v>
      </c>
      <c r="J1020" s="164" t="str">
        <f ca="1">IFERROR(__xludf.DUMMYFUNCTION("""COMPUTED_VALUE"""),"2023-05-33-SPLIT")</f>
        <v>2023-05-33-SPLIT</v>
      </c>
      <c r="K1020" s="164" t="str">
        <f ca="1">IFERROR(__xludf.DUMMYFUNCTION("""COMPUTED_VALUE"""),"Rommel R. Aquino")</f>
        <v>Rommel R. Aquino</v>
      </c>
      <c r="L1020" s="164" t="str">
        <f ca="1">IFERROR(__xludf.DUMMYFUNCTION("""COMPUTED_VALUE"""),"DARPO Ilocos Norte")</f>
        <v>DARPO Ilocos Norte</v>
      </c>
      <c r="M1020" s="164" t="str">
        <f ca="1">IFERROR(__xludf.DUMMYFUNCTION("""COMPUTED_VALUE"""),"SERVICEABLE")</f>
        <v>SERVICEABLE</v>
      </c>
      <c r="N1020" s="164"/>
    </row>
    <row r="1021" spans="1:14" ht="13.2" hidden="1">
      <c r="A1021" s="164" t="str">
        <f ca="1">IFERROR(__xludf.DUMMYFUNCTION("""COMPUTED_VALUE"""),"Region I")</f>
        <v>Region I</v>
      </c>
      <c r="B1021" s="164" t="str">
        <f ca="1">IFERROR(__xludf.DUMMYFUNCTION("""COMPUTED_VALUE"""),"Ilocos Norte")</f>
        <v>Ilocos Norte</v>
      </c>
      <c r="C1021" s="164" t="str">
        <f ca="1">IFERROR(__xludf.DUMMYFUNCTION("""COMPUTED_VALUE"""),"Desktop Computer – (Lenovo M70T)")</f>
        <v>Desktop Computer – (Lenovo M70T)</v>
      </c>
      <c r="D1021" s="164" t="str">
        <f ca="1">IFERROR(__xludf.DUMMYFUNCTION("""COMPUTED_VALUE"""),"₱ 75,468.00")</f>
        <v>₱ 75,468.00</v>
      </c>
      <c r="E1021" s="164" t="str">
        <f ca="1">IFERROR(__xludf.DUMMYFUNCTION("""COMPUTED_VALUE"""),"₱ -")</f>
        <v>₱ -</v>
      </c>
      <c r="F1021" s="164" t="str">
        <f ca="1">IFERROR(__xludf.DUMMYFUNCTION("""COMPUTED_VALUE"""),"2023-05-03-10201SP604-01")</f>
        <v>2023-05-03-10201SP604-01</v>
      </c>
      <c r="G1021" s="164" t="str">
        <f ca="1">IFERROR(__xludf.DUMMYFUNCTION("""COMPUTED_VALUE"""),"1S11T5S16200GM02ZT7E")</f>
        <v>1S11T5S16200GM02ZT7E</v>
      </c>
      <c r="H1021" s="164" t="str">
        <f ca="1">IFERROR(__xludf.DUMMYFUNCTION("""COMPUTED_VALUE"""),"Vic M. Ines")</f>
        <v>Vic M. Ines</v>
      </c>
      <c r="I1021" s="164" t="str">
        <f ca="1">IFERROR(__xludf.DUMMYFUNCTION("""COMPUTED_VALUE"""),"PARPO II")</f>
        <v>PARPO II</v>
      </c>
      <c r="J1021" s="164" t="str">
        <f ca="1">IFERROR(__xludf.DUMMYFUNCTION("""COMPUTED_VALUE"""),"2023-05-33-SPLIT")</f>
        <v>2023-05-33-SPLIT</v>
      </c>
      <c r="K1021" s="164" t="str">
        <f ca="1">IFERROR(__xludf.DUMMYFUNCTION("""COMPUTED_VALUE"""),"Elena B. Pinera")</f>
        <v>Elena B. Pinera</v>
      </c>
      <c r="L1021" s="164" t="str">
        <f ca="1">IFERROR(__xludf.DUMMYFUNCTION("""COMPUTED_VALUE"""),"DARPO Ilocos Norte")</f>
        <v>DARPO Ilocos Norte</v>
      </c>
      <c r="M1021" s="164" t="str">
        <f ca="1">IFERROR(__xludf.DUMMYFUNCTION("""COMPUTED_VALUE"""),"SERVICEABLE")</f>
        <v>SERVICEABLE</v>
      </c>
      <c r="N1021" s="164"/>
    </row>
    <row r="1022" spans="1:14" ht="13.2" hidden="1">
      <c r="A1022" s="164" t="str">
        <f ca="1">IFERROR(__xludf.DUMMYFUNCTION("""COMPUTED_VALUE"""),"Region I")</f>
        <v>Region I</v>
      </c>
      <c r="B1022" s="164" t="str">
        <f ca="1">IFERROR(__xludf.DUMMYFUNCTION("""COMPUTED_VALUE"""),"Ilocos Norte")</f>
        <v>Ilocos Norte</v>
      </c>
      <c r="C1022" s="164" t="str">
        <f ca="1">IFERROR(__xludf.DUMMYFUNCTION("""COMPUTED_VALUE"""),"Desktop Computer – (Lenovo M70T)")</f>
        <v>Desktop Computer – (Lenovo M70T)</v>
      </c>
      <c r="D1022" s="164" t="str">
        <f ca="1">IFERROR(__xludf.DUMMYFUNCTION("""COMPUTED_VALUE"""),"₱ 75,468.00")</f>
        <v>₱ 75,468.00</v>
      </c>
      <c r="E1022" s="164" t="str">
        <f ca="1">IFERROR(__xludf.DUMMYFUNCTION("""COMPUTED_VALUE"""),"₱ -")</f>
        <v>₱ -</v>
      </c>
      <c r="F1022" s="164" t="str">
        <f ca="1">IFERROR(__xludf.DUMMYFUNCTION("""COMPUTED_VALUE"""),"2023-05-03-10201SP605-01")</f>
        <v>2023-05-03-10201SP605-01</v>
      </c>
      <c r="G1022" s="164" t="str">
        <f ca="1">IFERROR(__xludf.DUMMYFUNCTION("""COMPUTED_VALUE"""),"1S11T5S16200GM02ZT80")</f>
        <v>1S11T5S16200GM02ZT80</v>
      </c>
      <c r="H1022" s="164" t="str">
        <f ca="1">IFERROR(__xludf.DUMMYFUNCTION("""COMPUTED_VALUE"""),"Vic M. Ines")</f>
        <v>Vic M. Ines</v>
      </c>
      <c r="I1022" s="164" t="str">
        <f ca="1">IFERROR(__xludf.DUMMYFUNCTION("""COMPUTED_VALUE"""),"PARPO II")</f>
        <v>PARPO II</v>
      </c>
      <c r="J1022" s="164" t="str">
        <f ca="1">IFERROR(__xludf.DUMMYFUNCTION("""COMPUTED_VALUE"""),"2023-05-33-SPLIT")</f>
        <v>2023-05-33-SPLIT</v>
      </c>
      <c r="K1022" s="164" t="str">
        <f ca="1">IFERROR(__xludf.DUMMYFUNCTION("""COMPUTED_VALUE"""),"Mayvelyn A. Mamuad")</f>
        <v>Mayvelyn A. Mamuad</v>
      </c>
      <c r="L1022" s="164" t="str">
        <f ca="1">IFERROR(__xludf.DUMMYFUNCTION("""COMPUTED_VALUE"""),"DARPO Ilocos Norte")</f>
        <v>DARPO Ilocos Norte</v>
      </c>
      <c r="M1022" s="164" t="str">
        <f ca="1">IFERROR(__xludf.DUMMYFUNCTION("""COMPUTED_VALUE"""),"SERVICEABLE")</f>
        <v>SERVICEABLE</v>
      </c>
      <c r="N1022" s="164"/>
    </row>
    <row r="1023" spans="1:14" ht="13.2" hidden="1">
      <c r="A1023" s="164" t="str">
        <f ca="1">IFERROR(__xludf.DUMMYFUNCTION("""COMPUTED_VALUE"""),"Region I")</f>
        <v>Region I</v>
      </c>
      <c r="B1023" s="164" t="str">
        <f ca="1">IFERROR(__xludf.DUMMYFUNCTION("""COMPUTED_VALUE"""),"Ilocos Norte")</f>
        <v>Ilocos Norte</v>
      </c>
      <c r="C1023" s="164" t="str">
        <f ca="1">IFERROR(__xludf.DUMMYFUNCTION("""COMPUTED_VALUE"""),"Desktop Computer – (Lenovo M70T)")</f>
        <v>Desktop Computer – (Lenovo M70T)</v>
      </c>
      <c r="D1023" s="164" t="str">
        <f ca="1">IFERROR(__xludf.DUMMYFUNCTION("""COMPUTED_VALUE"""),"₱ 75,468.00")</f>
        <v>₱ 75,468.00</v>
      </c>
      <c r="E1023" s="164" t="str">
        <f ca="1">IFERROR(__xludf.DUMMYFUNCTION("""COMPUTED_VALUE"""),"₱ -")</f>
        <v>₱ -</v>
      </c>
      <c r="F1023" s="164" t="str">
        <f ca="1">IFERROR(__xludf.DUMMYFUNCTION("""COMPUTED_VALUE"""),"2023-05-03-10201SP606-01")</f>
        <v>2023-05-03-10201SP606-01</v>
      </c>
      <c r="G1023" s="164" t="str">
        <f ca="1">IFERROR(__xludf.DUMMYFUNCTION("""COMPUTED_VALUE"""),"1S11T5S16200GM02ZT79")</f>
        <v>1S11T5S16200GM02ZT79</v>
      </c>
      <c r="H1023" s="164" t="str">
        <f ca="1">IFERROR(__xludf.DUMMYFUNCTION("""COMPUTED_VALUE"""),"Vic M. Ines")</f>
        <v>Vic M. Ines</v>
      </c>
      <c r="I1023" s="164" t="str">
        <f ca="1">IFERROR(__xludf.DUMMYFUNCTION("""COMPUTED_VALUE"""),"PARPO II")</f>
        <v>PARPO II</v>
      </c>
      <c r="J1023" s="164" t="str">
        <f ca="1">IFERROR(__xludf.DUMMYFUNCTION("""COMPUTED_VALUE"""),"2023-05-33-SPLIT")</f>
        <v>2023-05-33-SPLIT</v>
      </c>
      <c r="K1023" s="164" t="str">
        <f ca="1">IFERROR(__xludf.DUMMYFUNCTION("""COMPUTED_VALUE"""),"Dante S. Agreda")</f>
        <v>Dante S. Agreda</v>
      </c>
      <c r="L1023" s="164" t="str">
        <f ca="1">IFERROR(__xludf.DUMMYFUNCTION("""COMPUTED_VALUE"""),"DARPO Ilocos Norte")</f>
        <v>DARPO Ilocos Norte</v>
      </c>
      <c r="M1023" s="164" t="str">
        <f ca="1">IFERROR(__xludf.DUMMYFUNCTION("""COMPUTED_VALUE"""),"SERVICEABLE")</f>
        <v>SERVICEABLE</v>
      </c>
      <c r="N1023" s="164"/>
    </row>
    <row r="1024" spans="1:14" ht="13.2" hidden="1">
      <c r="A1024" s="164" t="str">
        <f ca="1">IFERROR(__xludf.DUMMYFUNCTION("""COMPUTED_VALUE"""),"Region I")</f>
        <v>Region I</v>
      </c>
      <c r="B1024" s="164" t="str">
        <f ca="1">IFERROR(__xludf.DUMMYFUNCTION("""COMPUTED_VALUE"""),"Ilocos Norte")</f>
        <v>Ilocos Norte</v>
      </c>
      <c r="C1024" s="164" t="str">
        <f ca="1">IFERROR(__xludf.DUMMYFUNCTION("""COMPUTED_VALUE"""),"Desktop Computer – (Lenovo M70T)")</f>
        <v>Desktop Computer – (Lenovo M70T)</v>
      </c>
      <c r="D1024" s="164" t="str">
        <f ca="1">IFERROR(__xludf.DUMMYFUNCTION("""COMPUTED_VALUE"""),"₱ 75,468.00")</f>
        <v>₱ 75,468.00</v>
      </c>
      <c r="E1024" s="164" t="str">
        <f ca="1">IFERROR(__xludf.DUMMYFUNCTION("""COMPUTED_VALUE"""),"₱ -")</f>
        <v>₱ -</v>
      </c>
      <c r="F1024" s="164" t="str">
        <f ca="1">IFERROR(__xludf.DUMMYFUNCTION("""COMPUTED_VALUE"""),"2023-05-03-10201SP607-01")</f>
        <v>2023-05-03-10201SP607-01</v>
      </c>
      <c r="G1024" s="164" t="str">
        <f ca="1">IFERROR(__xludf.DUMMYFUNCTION("""COMPUTED_VALUE"""),"1S11T5S16200GM02ZT6Y")</f>
        <v>1S11T5S16200GM02ZT6Y</v>
      </c>
      <c r="H1024" s="164" t="str">
        <f ca="1">IFERROR(__xludf.DUMMYFUNCTION("""COMPUTED_VALUE"""),"Vic M. Ines")</f>
        <v>Vic M. Ines</v>
      </c>
      <c r="I1024" s="164" t="str">
        <f ca="1">IFERROR(__xludf.DUMMYFUNCTION("""COMPUTED_VALUE"""),"PARPO II")</f>
        <v>PARPO II</v>
      </c>
      <c r="J1024" s="164" t="str">
        <f ca="1">IFERROR(__xludf.DUMMYFUNCTION("""COMPUTED_VALUE"""),"2023-05-33-SPLIT")</f>
        <v>2023-05-33-SPLIT</v>
      </c>
      <c r="K1024" s="164" t="str">
        <f ca="1">IFERROR(__xludf.DUMMYFUNCTION("""COMPUTED_VALUE"""),"Marichelle V. Brillantes")</f>
        <v>Marichelle V. Brillantes</v>
      </c>
      <c r="L1024" s="164" t="str">
        <f ca="1">IFERROR(__xludf.DUMMYFUNCTION("""COMPUTED_VALUE"""),"DARPO Ilocos Norte")</f>
        <v>DARPO Ilocos Norte</v>
      </c>
      <c r="M1024" s="164" t="str">
        <f ca="1">IFERROR(__xludf.DUMMYFUNCTION("""COMPUTED_VALUE"""),"SERVICEABLE")</f>
        <v>SERVICEABLE</v>
      </c>
      <c r="N1024" s="164"/>
    </row>
    <row r="1025" spans="1:14" ht="13.2" hidden="1">
      <c r="A1025" s="164" t="str">
        <f ca="1">IFERROR(__xludf.DUMMYFUNCTION("""COMPUTED_VALUE"""),"Region I")</f>
        <v>Region I</v>
      </c>
      <c r="B1025" s="164" t="str">
        <f ca="1">IFERROR(__xludf.DUMMYFUNCTION("""COMPUTED_VALUE"""),"Ilocos Norte")</f>
        <v>Ilocos Norte</v>
      </c>
      <c r="C1025" s="164" t="str">
        <f ca="1">IFERROR(__xludf.DUMMYFUNCTION("""COMPUTED_VALUE"""),"Desktop Computer – (Lenovo M70T)")</f>
        <v>Desktop Computer – (Lenovo M70T)</v>
      </c>
      <c r="D1025" s="164" t="str">
        <f ca="1">IFERROR(__xludf.DUMMYFUNCTION("""COMPUTED_VALUE"""),"₱ 75,468.00")</f>
        <v>₱ 75,468.00</v>
      </c>
      <c r="E1025" s="164" t="str">
        <f ca="1">IFERROR(__xludf.DUMMYFUNCTION("""COMPUTED_VALUE"""),"₱ -")</f>
        <v>₱ -</v>
      </c>
      <c r="F1025" s="164" t="str">
        <f ca="1">IFERROR(__xludf.DUMMYFUNCTION("""COMPUTED_VALUE"""),"2023-05-03-10201SP608-01")</f>
        <v>2023-05-03-10201SP608-01</v>
      </c>
      <c r="G1025" s="164" t="str">
        <f ca="1">IFERROR(__xludf.DUMMYFUNCTION("""COMPUTED_VALUE"""),"1S11T5S16200GM02ZT7X")</f>
        <v>1S11T5S16200GM02ZT7X</v>
      </c>
      <c r="H1025" s="164" t="str">
        <f ca="1">IFERROR(__xludf.DUMMYFUNCTION("""COMPUTED_VALUE"""),"Vic M. Ines")</f>
        <v>Vic M. Ines</v>
      </c>
      <c r="I1025" s="164" t="str">
        <f ca="1">IFERROR(__xludf.DUMMYFUNCTION("""COMPUTED_VALUE"""),"PARPO II")</f>
        <v>PARPO II</v>
      </c>
      <c r="J1025" s="164" t="str">
        <f ca="1">IFERROR(__xludf.DUMMYFUNCTION("""COMPUTED_VALUE"""),"2023-05-33-SPLIT")</f>
        <v>2023-05-33-SPLIT</v>
      </c>
      <c r="K1025" s="164" t="str">
        <f ca="1">IFERROR(__xludf.DUMMYFUNCTION("""COMPUTED_VALUE"""),"PARPO Vic M. Ines")</f>
        <v>PARPO Vic M. Ines</v>
      </c>
      <c r="L1025" s="164" t="str">
        <f ca="1">IFERROR(__xludf.DUMMYFUNCTION("""COMPUTED_VALUE"""),"DARPO Ilocos Norte")</f>
        <v>DARPO Ilocos Norte</v>
      </c>
      <c r="M1025" s="164" t="str">
        <f ca="1">IFERROR(__xludf.DUMMYFUNCTION("""COMPUTED_VALUE"""),"SERVICEABLE")</f>
        <v>SERVICEABLE</v>
      </c>
      <c r="N1025" s="164"/>
    </row>
    <row r="1026" spans="1:14" ht="13.2" hidden="1">
      <c r="A1026" s="164" t="str">
        <f ca="1">IFERROR(__xludf.DUMMYFUNCTION("""COMPUTED_VALUE"""),"Region I")</f>
        <v>Region I</v>
      </c>
      <c r="B1026" s="164" t="str">
        <f ca="1">IFERROR(__xludf.DUMMYFUNCTION("""COMPUTED_VALUE"""),"Ilocos Norte")</f>
        <v>Ilocos Norte</v>
      </c>
      <c r="C1026" s="164" t="str">
        <f ca="1">IFERROR(__xludf.DUMMYFUNCTION("""COMPUTED_VALUE"""),"Desktop Computer – (Lenovo M70T)")</f>
        <v>Desktop Computer – (Lenovo M70T)</v>
      </c>
      <c r="D1026" s="164" t="str">
        <f ca="1">IFERROR(__xludf.DUMMYFUNCTION("""COMPUTED_VALUE"""),"₱ 75,468.00")</f>
        <v>₱ 75,468.00</v>
      </c>
      <c r="E1026" s="164" t="str">
        <f ca="1">IFERROR(__xludf.DUMMYFUNCTION("""COMPUTED_VALUE"""),"₱ -")</f>
        <v>₱ -</v>
      </c>
      <c r="F1026" s="164" t="str">
        <f ca="1">IFERROR(__xludf.DUMMYFUNCTION("""COMPUTED_VALUE"""),"2023-05-03-10201SP609-01")</f>
        <v>2023-05-03-10201SP609-01</v>
      </c>
      <c r="G1026" s="164" t="str">
        <f ca="1">IFERROR(__xludf.DUMMYFUNCTION("""COMPUTED_VALUE"""),"1S11T5S16200GM02ZT7P")</f>
        <v>1S11T5S16200GM02ZT7P</v>
      </c>
      <c r="H1026" s="164" t="str">
        <f ca="1">IFERROR(__xludf.DUMMYFUNCTION("""COMPUTED_VALUE"""),"Vic M. Ines")</f>
        <v>Vic M. Ines</v>
      </c>
      <c r="I1026" s="164" t="str">
        <f ca="1">IFERROR(__xludf.DUMMYFUNCTION("""COMPUTED_VALUE"""),"PARPO II")</f>
        <v>PARPO II</v>
      </c>
      <c r="J1026" s="164" t="str">
        <f ca="1">IFERROR(__xludf.DUMMYFUNCTION("""COMPUTED_VALUE"""),"2023-05-33-SPLIT")</f>
        <v>2023-05-33-SPLIT</v>
      </c>
      <c r="K1026" s="164" t="str">
        <f ca="1">IFERROR(__xludf.DUMMYFUNCTION("""COMPUTED_VALUE"""),"Engr. Rudy G. Acacio")</f>
        <v>Engr. Rudy G. Acacio</v>
      </c>
      <c r="L1026" s="164" t="str">
        <f ca="1">IFERROR(__xludf.DUMMYFUNCTION("""COMPUTED_VALUE"""),"DARPO Ilocos Norte")</f>
        <v>DARPO Ilocos Norte</v>
      </c>
      <c r="M1026" s="164" t="str">
        <f ca="1">IFERROR(__xludf.DUMMYFUNCTION("""COMPUTED_VALUE"""),"SERVICEABLE")</f>
        <v>SERVICEABLE</v>
      </c>
      <c r="N1026" s="164"/>
    </row>
    <row r="1027" spans="1:14" ht="13.2" hidden="1">
      <c r="A1027" s="164" t="str">
        <f ca="1">IFERROR(__xludf.DUMMYFUNCTION("""COMPUTED_VALUE"""),"Region I")</f>
        <v>Region I</v>
      </c>
      <c r="B1027" s="164" t="str">
        <f ca="1">IFERROR(__xludf.DUMMYFUNCTION("""COMPUTED_VALUE"""),"Ilocos Norte")</f>
        <v>Ilocos Norte</v>
      </c>
      <c r="C1027" s="164" t="str">
        <f ca="1">IFERROR(__xludf.DUMMYFUNCTION("""COMPUTED_VALUE"""),"Desktop Computer – (Lenovo M70T)")</f>
        <v>Desktop Computer – (Lenovo M70T)</v>
      </c>
      <c r="D1027" s="164" t="str">
        <f ca="1">IFERROR(__xludf.DUMMYFUNCTION("""COMPUTED_VALUE"""),"₱ 75,468.00")</f>
        <v>₱ 75,468.00</v>
      </c>
      <c r="E1027" s="164" t="str">
        <f ca="1">IFERROR(__xludf.DUMMYFUNCTION("""COMPUTED_VALUE"""),"₱ -")</f>
        <v>₱ -</v>
      </c>
      <c r="F1027" s="164" t="str">
        <f ca="1">IFERROR(__xludf.DUMMYFUNCTION("""COMPUTED_VALUE"""),"2023-05-03-10201SP610-01")</f>
        <v>2023-05-03-10201SP610-01</v>
      </c>
      <c r="G1027" s="164" t="str">
        <f ca="1">IFERROR(__xludf.DUMMYFUNCTION("""COMPUTED_VALUE"""),"1S11T5S16200GM02ZT7K")</f>
        <v>1S11T5S16200GM02ZT7K</v>
      </c>
      <c r="H1027" s="164" t="str">
        <f ca="1">IFERROR(__xludf.DUMMYFUNCTION("""COMPUTED_VALUE"""),"Vic M. Ines")</f>
        <v>Vic M. Ines</v>
      </c>
      <c r="I1027" s="164" t="str">
        <f ca="1">IFERROR(__xludf.DUMMYFUNCTION("""COMPUTED_VALUE"""),"PARPO II")</f>
        <v>PARPO II</v>
      </c>
      <c r="J1027" s="164" t="str">
        <f ca="1">IFERROR(__xludf.DUMMYFUNCTION("""COMPUTED_VALUE"""),"2023-05-33-SPLIT")</f>
        <v>2023-05-33-SPLIT</v>
      </c>
      <c r="K1027" s="164" t="str">
        <f ca="1">IFERROR(__xludf.DUMMYFUNCTION("""COMPUTED_VALUE"""),"PARPO Vic M. Ines")</f>
        <v>PARPO Vic M. Ines</v>
      </c>
      <c r="L1027" s="164" t="str">
        <f ca="1">IFERROR(__xludf.DUMMYFUNCTION("""COMPUTED_VALUE"""),"DARPO Ilocos Norte")</f>
        <v>DARPO Ilocos Norte</v>
      </c>
      <c r="M1027" s="164" t="str">
        <f ca="1">IFERROR(__xludf.DUMMYFUNCTION("""COMPUTED_VALUE"""),"SERVICEABLE")</f>
        <v>SERVICEABLE</v>
      </c>
      <c r="N1027" s="164"/>
    </row>
    <row r="1028" spans="1:14" ht="13.2" hidden="1">
      <c r="A1028" s="164" t="str">
        <f ca="1">IFERROR(__xludf.DUMMYFUNCTION("""COMPUTED_VALUE"""),"Region I")</f>
        <v>Region I</v>
      </c>
      <c r="B1028" s="164" t="str">
        <f ca="1">IFERROR(__xludf.DUMMYFUNCTION("""COMPUTED_VALUE"""),"Ilocos Norte")</f>
        <v>Ilocos Norte</v>
      </c>
      <c r="C1028" s="164" t="str">
        <f ca="1">IFERROR(__xludf.DUMMYFUNCTION("""COMPUTED_VALUE"""),"Desktop Computer – (Lenovo M70T)")</f>
        <v>Desktop Computer – (Lenovo M70T)</v>
      </c>
      <c r="D1028" s="164" t="str">
        <f ca="1">IFERROR(__xludf.DUMMYFUNCTION("""COMPUTED_VALUE"""),"₱ 75,468.00")</f>
        <v>₱ 75,468.00</v>
      </c>
      <c r="E1028" s="164" t="str">
        <f ca="1">IFERROR(__xludf.DUMMYFUNCTION("""COMPUTED_VALUE"""),"₱ -")</f>
        <v>₱ -</v>
      </c>
      <c r="F1028" s="164" t="str">
        <f ca="1">IFERROR(__xludf.DUMMYFUNCTION("""COMPUTED_VALUE"""),"2023-05-03-10201SP611-01")</f>
        <v>2023-05-03-10201SP611-01</v>
      </c>
      <c r="G1028" s="164" t="str">
        <f ca="1">IFERROR(__xludf.DUMMYFUNCTION("""COMPUTED_VALUE"""),"1S11T5S16200GM02ZT97")</f>
        <v>1S11T5S16200GM02ZT97</v>
      </c>
      <c r="H1028" s="164" t="str">
        <f ca="1">IFERROR(__xludf.DUMMYFUNCTION("""COMPUTED_VALUE"""),"Vic M. Ines")</f>
        <v>Vic M. Ines</v>
      </c>
      <c r="I1028" s="164" t="str">
        <f ca="1">IFERROR(__xludf.DUMMYFUNCTION("""COMPUTED_VALUE"""),"PARPO II")</f>
        <v>PARPO II</v>
      </c>
      <c r="J1028" s="164" t="str">
        <f ca="1">IFERROR(__xludf.DUMMYFUNCTION("""COMPUTED_VALUE"""),"2023-05-33-SPLIT")</f>
        <v>2023-05-33-SPLIT</v>
      </c>
      <c r="K1028" s="164" t="str">
        <f ca="1">IFERROR(__xludf.DUMMYFUNCTION("""COMPUTED_VALUE"""),"PARPO Vic M. Ines")</f>
        <v>PARPO Vic M. Ines</v>
      </c>
      <c r="L1028" s="164" t="str">
        <f ca="1">IFERROR(__xludf.DUMMYFUNCTION("""COMPUTED_VALUE"""),"DARPO Ilocos Norte")</f>
        <v>DARPO Ilocos Norte</v>
      </c>
      <c r="M1028" s="164" t="str">
        <f ca="1">IFERROR(__xludf.DUMMYFUNCTION("""COMPUTED_VALUE"""),"SERVICEABLE")</f>
        <v>SERVICEABLE</v>
      </c>
      <c r="N1028" s="164"/>
    </row>
    <row r="1029" spans="1:14" ht="13.2" hidden="1">
      <c r="A1029" s="164" t="str">
        <f ca="1">IFERROR(__xludf.DUMMYFUNCTION("""COMPUTED_VALUE"""),"Region I")</f>
        <v>Region I</v>
      </c>
      <c r="B1029" s="164" t="str">
        <f ca="1">IFERROR(__xludf.DUMMYFUNCTION("""COMPUTED_VALUE"""),"Ilocos Norte")</f>
        <v>Ilocos Norte</v>
      </c>
      <c r="C1029" s="164" t="str">
        <f ca="1">IFERROR(__xludf.DUMMYFUNCTION("""COMPUTED_VALUE"""),"Desktop Computer – (Lenovo M70T)")</f>
        <v>Desktop Computer – (Lenovo M70T)</v>
      </c>
      <c r="D1029" s="164" t="str">
        <f ca="1">IFERROR(__xludf.DUMMYFUNCTION("""COMPUTED_VALUE"""),"₱ 75,468.00")</f>
        <v>₱ 75,468.00</v>
      </c>
      <c r="E1029" s="164" t="str">
        <f ca="1">IFERROR(__xludf.DUMMYFUNCTION("""COMPUTED_VALUE"""),"₱ -")</f>
        <v>₱ -</v>
      </c>
      <c r="F1029" s="164" t="str">
        <f ca="1">IFERROR(__xludf.DUMMYFUNCTION("""COMPUTED_VALUE"""),"2023-05-03-10201SP612-01")</f>
        <v>2023-05-03-10201SP612-01</v>
      </c>
      <c r="G1029" s="164" t="str">
        <f ca="1">IFERROR(__xludf.DUMMYFUNCTION("""COMPUTED_VALUE"""),"1S11T5S16200GM02ZT8F")</f>
        <v>1S11T5S16200GM02ZT8F</v>
      </c>
      <c r="H1029" s="164" t="str">
        <f ca="1">IFERROR(__xludf.DUMMYFUNCTION("""COMPUTED_VALUE"""),"Vic M. Ines")</f>
        <v>Vic M. Ines</v>
      </c>
      <c r="I1029" s="164" t="str">
        <f ca="1">IFERROR(__xludf.DUMMYFUNCTION("""COMPUTED_VALUE"""),"PARPO II")</f>
        <v>PARPO II</v>
      </c>
      <c r="J1029" s="164" t="str">
        <f ca="1">IFERROR(__xludf.DUMMYFUNCTION("""COMPUTED_VALUE"""),"2023-05-33-SPLIT")</f>
        <v>2023-05-33-SPLIT</v>
      </c>
      <c r="K1029" s="164" t="str">
        <f ca="1">IFERROR(__xludf.DUMMYFUNCTION("""COMPUTED_VALUE"""),"Malou S. Salvador")</f>
        <v>Malou S. Salvador</v>
      </c>
      <c r="L1029" s="164" t="str">
        <f ca="1">IFERROR(__xludf.DUMMYFUNCTION("""COMPUTED_VALUE"""),"DARPO Ilocos Norte")</f>
        <v>DARPO Ilocos Norte</v>
      </c>
      <c r="M1029" s="164" t="str">
        <f ca="1">IFERROR(__xludf.DUMMYFUNCTION("""COMPUTED_VALUE"""),"SERVICEABLE")</f>
        <v>SERVICEABLE</v>
      </c>
      <c r="N1029" s="164"/>
    </row>
    <row r="1030" spans="1:14" ht="13.2" hidden="1">
      <c r="A1030" s="164" t="str">
        <f ca="1">IFERROR(__xludf.DUMMYFUNCTION("""COMPUTED_VALUE"""),"Region I")</f>
        <v>Region I</v>
      </c>
      <c r="B1030" s="164" t="str">
        <f ca="1">IFERROR(__xludf.DUMMYFUNCTION("""COMPUTED_VALUE"""),"Ilocos Sur")</f>
        <v>Ilocos Sur</v>
      </c>
      <c r="C1030" s="164" t="str">
        <f ca="1">IFERROR(__xludf.DUMMYFUNCTION("""COMPUTED_VALUE"""),"Desktop Computer – (Lenovo M70T)")</f>
        <v>Desktop Computer – (Lenovo M70T)</v>
      </c>
      <c r="D1030" s="164" t="str">
        <f ca="1">IFERROR(__xludf.DUMMYFUNCTION("""COMPUTED_VALUE"""),"₱ 75,468.00")</f>
        <v>₱ 75,468.00</v>
      </c>
      <c r="E1030" s="164" t="str">
        <f ca="1">IFERROR(__xludf.DUMMYFUNCTION("""COMPUTED_VALUE"""),"₱ -")</f>
        <v>₱ -</v>
      </c>
      <c r="F1030" s="164" t="str">
        <f ca="1">IFERROR(__xludf.DUMMYFUNCTION("""COMPUTED_VALUE"""),"2023-05-03-10201SP613-01")</f>
        <v>2023-05-03-10201SP613-01</v>
      </c>
      <c r="G1030" s="164" t="str">
        <f ca="1">IFERROR(__xludf.DUMMYFUNCTION("""COMPUTED_VALUE"""),"1S11T5S16200GM041AWH")</f>
        <v>1S11T5S16200GM041AWH</v>
      </c>
      <c r="H1030" s="164" t="str">
        <f ca="1">IFERROR(__xludf.DUMMYFUNCTION("""COMPUTED_VALUE"""),"Vic M. Ines")</f>
        <v>Vic M. Ines</v>
      </c>
      <c r="I1030" s="164" t="str">
        <f ca="1">IFERROR(__xludf.DUMMYFUNCTION("""COMPUTED_VALUE"""),"PARPO II")</f>
        <v>PARPO II</v>
      </c>
      <c r="J1030" s="164" t="str">
        <f ca="1">IFERROR(__xludf.DUMMYFUNCTION("""COMPUTED_VALUE"""),"2023-05-35-SPLIT")</f>
        <v>2023-05-35-SPLIT</v>
      </c>
      <c r="K1030" s="164" t="str">
        <f ca="1">IFERROR(__xludf.DUMMYFUNCTION("""COMPUTED_VALUE"""),"Eugenio Rapacon")</f>
        <v>Eugenio Rapacon</v>
      </c>
      <c r="L1030" s="164" t="str">
        <f ca="1">IFERROR(__xludf.DUMMYFUNCTION("""COMPUTED_VALUE"""),"DARPO Ilocos Sur")</f>
        <v>DARPO Ilocos Sur</v>
      </c>
      <c r="M1030" s="164" t="str">
        <f ca="1">IFERROR(__xludf.DUMMYFUNCTION("""COMPUTED_VALUE"""),"SERVICEABLE")</f>
        <v>SERVICEABLE</v>
      </c>
      <c r="N1030" s="164"/>
    </row>
    <row r="1031" spans="1:14" ht="13.2" hidden="1">
      <c r="A1031" s="164" t="str">
        <f ca="1">IFERROR(__xludf.DUMMYFUNCTION("""COMPUTED_VALUE"""),"Region I")</f>
        <v>Region I</v>
      </c>
      <c r="B1031" s="164" t="str">
        <f ca="1">IFERROR(__xludf.DUMMYFUNCTION("""COMPUTED_VALUE"""),"Ilocos Sur")</f>
        <v>Ilocos Sur</v>
      </c>
      <c r="C1031" s="164" t="str">
        <f ca="1">IFERROR(__xludf.DUMMYFUNCTION("""COMPUTED_VALUE"""),"Desktop Computer – (Lenovo M70T)")</f>
        <v>Desktop Computer – (Lenovo M70T)</v>
      </c>
      <c r="D1031" s="164" t="str">
        <f ca="1">IFERROR(__xludf.DUMMYFUNCTION("""COMPUTED_VALUE"""),"₱ 75,468.00")</f>
        <v>₱ 75,468.00</v>
      </c>
      <c r="E1031" s="164" t="str">
        <f ca="1">IFERROR(__xludf.DUMMYFUNCTION("""COMPUTED_VALUE"""),"₱ -")</f>
        <v>₱ -</v>
      </c>
      <c r="F1031" s="164" t="str">
        <f ca="1">IFERROR(__xludf.DUMMYFUNCTION("""COMPUTED_VALUE"""),"2023-05-03-10201SP614-01")</f>
        <v>2023-05-03-10201SP614-01</v>
      </c>
      <c r="G1031" s="164" t="str">
        <f ca="1">IFERROR(__xludf.DUMMYFUNCTION("""COMPUTED_VALUE"""),"1S11T5S16200GM02ZT91")</f>
        <v>1S11T5S16200GM02ZT91</v>
      </c>
      <c r="H1031" s="164" t="str">
        <f ca="1">IFERROR(__xludf.DUMMYFUNCTION("""COMPUTED_VALUE"""),"Vic M. Ines")</f>
        <v>Vic M. Ines</v>
      </c>
      <c r="I1031" s="164" t="str">
        <f ca="1">IFERROR(__xludf.DUMMYFUNCTION("""COMPUTED_VALUE"""),"PARPO II")</f>
        <v>PARPO II</v>
      </c>
      <c r="J1031" s="164" t="str">
        <f ca="1">IFERROR(__xludf.DUMMYFUNCTION("""COMPUTED_VALUE"""),"2023-05-35-SPLIT")</f>
        <v>2023-05-35-SPLIT</v>
      </c>
      <c r="K1031" s="164" t="str">
        <f ca="1">IFERROR(__xludf.DUMMYFUNCTION("""COMPUTED_VALUE"""),"Eugenio Rapacon")</f>
        <v>Eugenio Rapacon</v>
      </c>
      <c r="L1031" s="164" t="str">
        <f ca="1">IFERROR(__xludf.DUMMYFUNCTION("""COMPUTED_VALUE"""),"DARPO Ilocos Sur")</f>
        <v>DARPO Ilocos Sur</v>
      </c>
      <c r="M1031" s="164" t="str">
        <f ca="1">IFERROR(__xludf.DUMMYFUNCTION("""COMPUTED_VALUE"""),"SERVICEABLE")</f>
        <v>SERVICEABLE</v>
      </c>
      <c r="N1031" s="164"/>
    </row>
    <row r="1032" spans="1:14" ht="13.2" hidden="1">
      <c r="A1032" s="164" t="str">
        <f ca="1">IFERROR(__xludf.DUMMYFUNCTION("""COMPUTED_VALUE"""),"Region I")</f>
        <v>Region I</v>
      </c>
      <c r="B1032" s="164" t="str">
        <f ca="1">IFERROR(__xludf.DUMMYFUNCTION("""COMPUTED_VALUE"""),"Ilocos Sur")</f>
        <v>Ilocos Sur</v>
      </c>
      <c r="C1032" s="164" t="str">
        <f ca="1">IFERROR(__xludf.DUMMYFUNCTION("""COMPUTED_VALUE"""),"Desktop Computer – (Lenovo M70T)")</f>
        <v>Desktop Computer – (Lenovo M70T)</v>
      </c>
      <c r="D1032" s="164" t="str">
        <f ca="1">IFERROR(__xludf.DUMMYFUNCTION("""COMPUTED_VALUE"""),"₱ 75,468.00")</f>
        <v>₱ 75,468.00</v>
      </c>
      <c r="E1032" s="164" t="str">
        <f ca="1">IFERROR(__xludf.DUMMYFUNCTION("""COMPUTED_VALUE"""),"₱ -")</f>
        <v>₱ -</v>
      </c>
      <c r="F1032" s="164" t="str">
        <f ca="1">IFERROR(__xludf.DUMMYFUNCTION("""COMPUTED_VALUE"""),"2023-05-03-10201SP615-01")</f>
        <v>2023-05-03-10201SP615-01</v>
      </c>
      <c r="G1032" s="164" t="str">
        <f ca="1">IFERROR(__xludf.DUMMYFUNCTION("""COMPUTED_VALUE"""),"1S11T5S16200GM041B45")</f>
        <v>1S11T5S16200GM041B45</v>
      </c>
      <c r="H1032" s="164" t="str">
        <f ca="1">IFERROR(__xludf.DUMMYFUNCTION("""COMPUTED_VALUE"""),"Vic M. Ines")</f>
        <v>Vic M. Ines</v>
      </c>
      <c r="I1032" s="164" t="str">
        <f ca="1">IFERROR(__xludf.DUMMYFUNCTION("""COMPUTED_VALUE"""),"PARPO II")</f>
        <v>PARPO II</v>
      </c>
      <c r="J1032" s="164" t="str">
        <f ca="1">IFERROR(__xludf.DUMMYFUNCTION("""COMPUTED_VALUE"""),"2023-05-35-SPLIT")</f>
        <v>2023-05-35-SPLIT</v>
      </c>
      <c r="K1032" s="164" t="str">
        <f ca="1">IFERROR(__xludf.DUMMYFUNCTION("""COMPUTED_VALUE"""),"Rodel Tacneng")</f>
        <v>Rodel Tacneng</v>
      </c>
      <c r="L1032" s="164" t="str">
        <f ca="1">IFERROR(__xludf.DUMMYFUNCTION("""COMPUTED_VALUE"""),"DARPO Ilocos Sur")</f>
        <v>DARPO Ilocos Sur</v>
      </c>
      <c r="M1032" s="164" t="str">
        <f ca="1">IFERROR(__xludf.DUMMYFUNCTION("""COMPUTED_VALUE"""),"SERVICEABLE")</f>
        <v>SERVICEABLE</v>
      </c>
      <c r="N1032" s="164"/>
    </row>
    <row r="1033" spans="1:14" ht="13.2" hidden="1">
      <c r="A1033" s="164" t="str">
        <f ca="1">IFERROR(__xludf.DUMMYFUNCTION("""COMPUTED_VALUE"""),"Region I")</f>
        <v>Region I</v>
      </c>
      <c r="B1033" s="164" t="str">
        <f ca="1">IFERROR(__xludf.DUMMYFUNCTION("""COMPUTED_VALUE"""),"Ilocos Sur")</f>
        <v>Ilocos Sur</v>
      </c>
      <c r="C1033" s="164" t="str">
        <f ca="1">IFERROR(__xludf.DUMMYFUNCTION("""COMPUTED_VALUE"""),"Desktop Computer – (Lenovo M70T)")</f>
        <v>Desktop Computer – (Lenovo M70T)</v>
      </c>
      <c r="D1033" s="164" t="str">
        <f ca="1">IFERROR(__xludf.DUMMYFUNCTION("""COMPUTED_VALUE"""),"₱ 75,468.00")</f>
        <v>₱ 75,468.00</v>
      </c>
      <c r="E1033" s="164" t="str">
        <f ca="1">IFERROR(__xludf.DUMMYFUNCTION("""COMPUTED_VALUE"""),"₱ -")</f>
        <v>₱ -</v>
      </c>
      <c r="F1033" s="164" t="str">
        <f ca="1">IFERROR(__xludf.DUMMYFUNCTION("""COMPUTED_VALUE"""),"2023-05-03-10201SP616-01")</f>
        <v>2023-05-03-10201SP616-01</v>
      </c>
      <c r="G1033" s="164" t="str">
        <f ca="1">IFERROR(__xludf.DUMMYFUNCTION("""COMPUTED_VALUE"""),"1S11T5S16200GM02ZT9M")</f>
        <v>1S11T5S16200GM02ZT9M</v>
      </c>
      <c r="H1033" s="164" t="str">
        <f ca="1">IFERROR(__xludf.DUMMYFUNCTION("""COMPUTED_VALUE"""),"Vic M. Ines")</f>
        <v>Vic M. Ines</v>
      </c>
      <c r="I1033" s="164" t="str">
        <f ca="1">IFERROR(__xludf.DUMMYFUNCTION("""COMPUTED_VALUE"""),"PARPO II")</f>
        <v>PARPO II</v>
      </c>
      <c r="J1033" s="164" t="str">
        <f ca="1">IFERROR(__xludf.DUMMYFUNCTION("""COMPUTED_VALUE"""),"2023-05-35-SPLIT")</f>
        <v>2023-05-35-SPLIT</v>
      </c>
      <c r="K1033" s="164" t="str">
        <f ca="1">IFERROR(__xludf.DUMMYFUNCTION("""COMPUTED_VALUE"""),"Gloria Bautista")</f>
        <v>Gloria Bautista</v>
      </c>
      <c r="L1033" s="164" t="str">
        <f ca="1">IFERROR(__xludf.DUMMYFUNCTION("""COMPUTED_VALUE"""),"DARPO Ilocos Sur")</f>
        <v>DARPO Ilocos Sur</v>
      </c>
      <c r="M1033" s="164" t="str">
        <f ca="1">IFERROR(__xludf.DUMMYFUNCTION("""COMPUTED_VALUE"""),"SERVICEABLE")</f>
        <v>SERVICEABLE</v>
      </c>
      <c r="N1033" s="164"/>
    </row>
    <row r="1034" spans="1:14" ht="13.2" hidden="1">
      <c r="A1034" s="164" t="str">
        <f ca="1">IFERROR(__xludf.DUMMYFUNCTION("""COMPUTED_VALUE"""),"Region I")</f>
        <v>Region I</v>
      </c>
      <c r="B1034" s="164" t="str">
        <f ca="1">IFERROR(__xludf.DUMMYFUNCTION("""COMPUTED_VALUE"""),"Ilocos Sur")</f>
        <v>Ilocos Sur</v>
      </c>
      <c r="C1034" s="164" t="str">
        <f ca="1">IFERROR(__xludf.DUMMYFUNCTION("""COMPUTED_VALUE"""),"Desktop Computer – (Lenovo M70T)")</f>
        <v>Desktop Computer – (Lenovo M70T)</v>
      </c>
      <c r="D1034" s="164" t="str">
        <f ca="1">IFERROR(__xludf.DUMMYFUNCTION("""COMPUTED_VALUE"""),"₱ 75,468.00")</f>
        <v>₱ 75,468.00</v>
      </c>
      <c r="E1034" s="164" t="str">
        <f ca="1">IFERROR(__xludf.DUMMYFUNCTION("""COMPUTED_VALUE"""),"₱ -")</f>
        <v>₱ -</v>
      </c>
      <c r="F1034" s="164" t="str">
        <f ca="1">IFERROR(__xludf.DUMMYFUNCTION("""COMPUTED_VALUE"""),"2023-05-03-10201SP617-01")</f>
        <v>2023-05-03-10201SP617-01</v>
      </c>
      <c r="G1034" s="164" t="str">
        <f ca="1">IFERROR(__xludf.DUMMYFUNCTION("""COMPUTED_VALUE"""),"1S11T5S16200GM02ZT8A")</f>
        <v>1S11T5S16200GM02ZT8A</v>
      </c>
      <c r="H1034" s="164" t="str">
        <f ca="1">IFERROR(__xludf.DUMMYFUNCTION("""COMPUTED_VALUE"""),"Vic M. Ines")</f>
        <v>Vic M. Ines</v>
      </c>
      <c r="I1034" s="164" t="str">
        <f ca="1">IFERROR(__xludf.DUMMYFUNCTION("""COMPUTED_VALUE"""),"PARPO II")</f>
        <v>PARPO II</v>
      </c>
      <c r="J1034" s="164" t="str">
        <f ca="1">IFERROR(__xludf.DUMMYFUNCTION("""COMPUTED_VALUE"""),"2023-05-35-SPLIT")</f>
        <v>2023-05-35-SPLIT</v>
      </c>
      <c r="K1034" s="164" t="str">
        <f ca="1">IFERROR(__xludf.DUMMYFUNCTION("""COMPUTED_VALUE"""),"Ma Trinidad Unciano")</f>
        <v>Ma Trinidad Unciano</v>
      </c>
      <c r="L1034" s="164" t="str">
        <f ca="1">IFERROR(__xludf.DUMMYFUNCTION("""COMPUTED_VALUE"""),"DARPO Ilocos Sur")</f>
        <v>DARPO Ilocos Sur</v>
      </c>
      <c r="M1034" s="164" t="str">
        <f ca="1">IFERROR(__xludf.DUMMYFUNCTION("""COMPUTED_VALUE"""),"SERVICEABLE")</f>
        <v>SERVICEABLE</v>
      </c>
      <c r="N1034" s="164"/>
    </row>
    <row r="1035" spans="1:14" ht="13.2" hidden="1">
      <c r="A1035" s="164" t="str">
        <f ca="1">IFERROR(__xludf.DUMMYFUNCTION("""COMPUTED_VALUE"""),"Region I")</f>
        <v>Region I</v>
      </c>
      <c r="B1035" s="164" t="str">
        <f ca="1">IFERROR(__xludf.DUMMYFUNCTION("""COMPUTED_VALUE"""),"Ilocos Sur")</f>
        <v>Ilocos Sur</v>
      </c>
      <c r="C1035" s="164" t="str">
        <f ca="1">IFERROR(__xludf.DUMMYFUNCTION("""COMPUTED_VALUE"""),"Desktop Computer – (Lenovo M70T)")</f>
        <v>Desktop Computer – (Lenovo M70T)</v>
      </c>
      <c r="D1035" s="164" t="str">
        <f ca="1">IFERROR(__xludf.DUMMYFUNCTION("""COMPUTED_VALUE"""),"₱ 75,468.00")</f>
        <v>₱ 75,468.00</v>
      </c>
      <c r="E1035" s="164" t="str">
        <f ca="1">IFERROR(__xludf.DUMMYFUNCTION("""COMPUTED_VALUE"""),"₱ -")</f>
        <v>₱ -</v>
      </c>
      <c r="F1035" s="164" t="str">
        <f ca="1">IFERROR(__xludf.DUMMYFUNCTION("""COMPUTED_VALUE"""),"2023-05-03-10201SP61801")</f>
        <v>2023-05-03-10201SP61801</v>
      </c>
      <c r="G1035" s="164" t="str">
        <f ca="1">IFERROR(__xludf.DUMMYFUNCTION("""COMPUTED_VALUE"""),"1S11T5S16200GM02ZT7Z")</f>
        <v>1S11T5S16200GM02ZT7Z</v>
      </c>
      <c r="H1035" s="164" t="str">
        <f ca="1">IFERROR(__xludf.DUMMYFUNCTION("""COMPUTED_VALUE"""),"Vic M. Ines")</f>
        <v>Vic M. Ines</v>
      </c>
      <c r="I1035" s="164" t="str">
        <f ca="1">IFERROR(__xludf.DUMMYFUNCTION("""COMPUTED_VALUE"""),"PARPO II")</f>
        <v>PARPO II</v>
      </c>
      <c r="J1035" s="164" t="str">
        <f ca="1">IFERROR(__xludf.DUMMYFUNCTION("""COMPUTED_VALUE"""),"2023-05-35-SPLIT")</f>
        <v>2023-05-35-SPLIT</v>
      </c>
      <c r="K1035" s="164" t="str">
        <f ca="1">IFERROR(__xludf.DUMMYFUNCTION("""COMPUTED_VALUE"""),"Jorge Mendoza")</f>
        <v>Jorge Mendoza</v>
      </c>
      <c r="L1035" s="164" t="str">
        <f ca="1">IFERROR(__xludf.DUMMYFUNCTION("""COMPUTED_VALUE"""),"DARPO Ilocos Sur")</f>
        <v>DARPO Ilocos Sur</v>
      </c>
      <c r="M1035" s="164" t="str">
        <f ca="1">IFERROR(__xludf.DUMMYFUNCTION("""COMPUTED_VALUE"""),"SERVICEABLE")</f>
        <v>SERVICEABLE</v>
      </c>
      <c r="N1035" s="164"/>
    </row>
    <row r="1036" spans="1:14" ht="13.2" hidden="1">
      <c r="A1036" s="164" t="str">
        <f ca="1">IFERROR(__xludf.DUMMYFUNCTION("""COMPUTED_VALUE"""),"Region I")</f>
        <v>Region I</v>
      </c>
      <c r="B1036" s="164" t="str">
        <f ca="1">IFERROR(__xludf.DUMMYFUNCTION("""COMPUTED_VALUE"""),"Ilocos Sur")</f>
        <v>Ilocos Sur</v>
      </c>
      <c r="C1036" s="164" t="str">
        <f ca="1">IFERROR(__xludf.DUMMYFUNCTION("""COMPUTED_VALUE"""),"Desktop Computer – (Lenovo M70T)")</f>
        <v>Desktop Computer – (Lenovo M70T)</v>
      </c>
      <c r="D1036" s="164" t="str">
        <f ca="1">IFERROR(__xludf.DUMMYFUNCTION("""COMPUTED_VALUE"""),"₱ 75,468.00")</f>
        <v>₱ 75,468.00</v>
      </c>
      <c r="E1036" s="164" t="str">
        <f ca="1">IFERROR(__xludf.DUMMYFUNCTION("""COMPUTED_VALUE"""),"₱ -")</f>
        <v>₱ -</v>
      </c>
      <c r="F1036" s="164" t="str">
        <f ca="1">IFERROR(__xludf.DUMMYFUNCTION("""COMPUTED_VALUE"""),"2023-05-03-10201SP619-01")</f>
        <v>2023-05-03-10201SP619-01</v>
      </c>
      <c r="G1036" s="164" t="str">
        <f ca="1">IFERROR(__xludf.DUMMYFUNCTION("""COMPUTED_VALUE"""),"1S11T5S16200GM02ZT9F")</f>
        <v>1S11T5S16200GM02ZT9F</v>
      </c>
      <c r="H1036" s="164" t="str">
        <f ca="1">IFERROR(__xludf.DUMMYFUNCTION("""COMPUTED_VALUE"""),"Vic M. Ines")</f>
        <v>Vic M. Ines</v>
      </c>
      <c r="I1036" s="164" t="str">
        <f ca="1">IFERROR(__xludf.DUMMYFUNCTION("""COMPUTED_VALUE"""),"PARPO II")</f>
        <v>PARPO II</v>
      </c>
      <c r="J1036" s="164" t="str">
        <f ca="1">IFERROR(__xludf.DUMMYFUNCTION("""COMPUTED_VALUE"""),"2023-05-35-SPLIT")</f>
        <v>2023-05-35-SPLIT</v>
      </c>
      <c r="K1036" s="164" t="str">
        <f ca="1">IFERROR(__xludf.DUMMYFUNCTION("""COMPUTED_VALUE"""),"Leonel Redoloso")</f>
        <v>Leonel Redoloso</v>
      </c>
      <c r="L1036" s="164" t="str">
        <f ca="1">IFERROR(__xludf.DUMMYFUNCTION("""COMPUTED_VALUE"""),"DARPO Ilocos Sur")</f>
        <v>DARPO Ilocos Sur</v>
      </c>
      <c r="M1036" s="164" t="str">
        <f ca="1">IFERROR(__xludf.DUMMYFUNCTION("""COMPUTED_VALUE"""),"SERVICEABLE")</f>
        <v>SERVICEABLE</v>
      </c>
      <c r="N1036" s="164"/>
    </row>
    <row r="1037" spans="1:14" ht="13.2" hidden="1">
      <c r="A1037" s="164" t="str">
        <f ca="1">IFERROR(__xludf.DUMMYFUNCTION("""COMPUTED_VALUE"""),"Region I")</f>
        <v>Region I</v>
      </c>
      <c r="B1037" s="164" t="str">
        <f ca="1">IFERROR(__xludf.DUMMYFUNCTION("""COMPUTED_VALUE"""),"Ilocos Sur")</f>
        <v>Ilocos Sur</v>
      </c>
      <c r="C1037" s="164" t="str">
        <f ca="1">IFERROR(__xludf.DUMMYFUNCTION("""COMPUTED_VALUE"""),"Desktop Computer – (Lenovo M70T)")</f>
        <v>Desktop Computer – (Lenovo M70T)</v>
      </c>
      <c r="D1037" s="164" t="str">
        <f ca="1">IFERROR(__xludf.DUMMYFUNCTION("""COMPUTED_VALUE"""),"₱ 75,468.00")</f>
        <v>₱ 75,468.00</v>
      </c>
      <c r="E1037" s="164" t="str">
        <f ca="1">IFERROR(__xludf.DUMMYFUNCTION("""COMPUTED_VALUE"""),"₱ -")</f>
        <v>₱ -</v>
      </c>
      <c r="F1037" s="164" t="str">
        <f ca="1">IFERROR(__xludf.DUMMYFUNCTION("""COMPUTED_VALUE"""),"2023-05-03-10201SP620-01")</f>
        <v>2023-05-03-10201SP620-01</v>
      </c>
      <c r="G1037" s="164" t="str">
        <f ca="1">IFERROR(__xludf.DUMMYFUNCTION("""COMPUTED_VALUE"""),"1S11T5S16200GM02ZT7A")</f>
        <v>1S11T5S16200GM02ZT7A</v>
      </c>
      <c r="H1037" s="164" t="str">
        <f ca="1">IFERROR(__xludf.DUMMYFUNCTION("""COMPUTED_VALUE"""),"Vic M. Ines")</f>
        <v>Vic M. Ines</v>
      </c>
      <c r="I1037" s="164" t="str">
        <f ca="1">IFERROR(__xludf.DUMMYFUNCTION("""COMPUTED_VALUE"""),"PARPO II")</f>
        <v>PARPO II</v>
      </c>
      <c r="J1037" s="164" t="str">
        <f ca="1">IFERROR(__xludf.DUMMYFUNCTION("""COMPUTED_VALUE"""),"2023-05-35-SPLIT")</f>
        <v>2023-05-35-SPLIT</v>
      </c>
      <c r="K1037" s="164" t="str">
        <f ca="1">IFERROR(__xludf.DUMMYFUNCTION("""COMPUTED_VALUE"""),"PARPO ll Vic Ines")</f>
        <v>PARPO ll Vic Ines</v>
      </c>
      <c r="L1037" s="164" t="str">
        <f ca="1">IFERROR(__xludf.DUMMYFUNCTION("""COMPUTED_VALUE"""),"DARPO Ilocos Sur")</f>
        <v>DARPO Ilocos Sur</v>
      </c>
      <c r="M1037" s="164" t="str">
        <f ca="1">IFERROR(__xludf.DUMMYFUNCTION("""COMPUTED_VALUE"""),"SERVICEABLE")</f>
        <v>SERVICEABLE</v>
      </c>
      <c r="N1037" s="164"/>
    </row>
    <row r="1038" spans="1:14" ht="13.2" hidden="1">
      <c r="A1038" s="164" t="str">
        <f ca="1">IFERROR(__xludf.DUMMYFUNCTION("""COMPUTED_VALUE"""),"Region I")</f>
        <v>Region I</v>
      </c>
      <c r="B1038" s="164" t="str">
        <f ca="1">IFERROR(__xludf.DUMMYFUNCTION("""COMPUTED_VALUE"""),"Ilocos Sur")</f>
        <v>Ilocos Sur</v>
      </c>
      <c r="C1038" s="164" t="str">
        <f ca="1">IFERROR(__xludf.DUMMYFUNCTION("""COMPUTED_VALUE"""),"Desktop Computer – (Lenovo M70T)")</f>
        <v>Desktop Computer – (Lenovo M70T)</v>
      </c>
      <c r="D1038" s="164" t="str">
        <f ca="1">IFERROR(__xludf.DUMMYFUNCTION("""COMPUTED_VALUE"""),"₱ 75,468.00")</f>
        <v>₱ 75,468.00</v>
      </c>
      <c r="E1038" s="164" t="str">
        <f ca="1">IFERROR(__xludf.DUMMYFUNCTION("""COMPUTED_VALUE"""),"₱ -")</f>
        <v>₱ -</v>
      </c>
      <c r="F1038" s="164" t="str">
        <f ca="1">IFERROR(__xludf.DUMMYFUNCTION("""COMPUTED_VALUE"""),"2023-05-03-10201SP621-01")</f>
        <v>2023-05-03-10201SP621-01</v>
      </c>
      <c r="G1038" s="164" t="str">
        <f ca="1">IFERROR(__xludf.DUMMYFUNCTION("""COMPUTED_VALUE"""),"1S11T5S16200GM02ZT8X")</f>
        <v>1S11T5S16200GM02ZT8X</v>
      </c>
      <c r="H1038" s="164" t="str">
        <f ca="1">IFERROR(__xludf.DUMMYFUNCTION("""COMPUTED_VALUE"""),"Vic M. Ines")</f>
        <v>Vic M. Ines</v>
      </c>
      <c r="I1038" s="164" t="str">
        <f ca="1">IFERROR(__xludf.DUMMYFUNCTION("""COMPUTED_VALUE"""),"PARPO II")</f>
        <v>PARPO II</v>
      </c>
      <c r="J1038" s="164" t="str">
        <f ca="1">IFERROR(__xludf.DUMMYFUNCTION("""COMPUTED_VALUE"""),"2023-05-35-SPLIT")</f>
        <v>2023-05-35-SPLIT</v>
      </c>
      <c r="K1038" s="164" t="str">
        <f ca="1">IFERROR(__xludf.DUMMYFUNCTION("""COMPUTED_VALUE"""),"Elizabeth Pablico")</f>
        <v>Elizabeth Pablico</v>
      </c>
      <c r="L1038" s="164" t="str">
        <f ca="1">IFERROR(__xludf.DUMMYFUNCTION("""COMPUTED_VALUE"""),"DARPO Ilocos Sur")</f>
        <v>DARPO Ilocos Sur</v>
      </c>
      <c r="M1038" s="164" t="str">
        <f ca="1">IFERROR(__xludf.DUMMYFUNCTION("""COMPUTED_VALUE"""),"SERVICEABLE")</f>
        <v>SERVICEABLE</v>
      </c>
      <c r="N1038" s="164"/>
    </row>
    <row r="1039" spans="1:14" ht="13.2" hidden="1">
      <c r="A1039" s="164" t="str">
        <f ca="1">IFERROR(__xludf.DUMMYFUNCTION("""COMPUTED_VALUE"""),"Region I")</f>
        <v>Region I</v>
      </c>
      <c r="B1039" s="164" t="str">
        <f ca="1">IFERROR(__xludf.DUMMYFUNCTION("""COMPUTED_VALUE"""),"Ilocos Sur")</f>
        <v>Ilocos Sur</v>
      </c>
      <c r="C1039" s="164" t="str">
        <f ca="1">IFERROR(__xludf.DUMMYFUNCTION("""COMPUTED_VALUE"""),"Desktop Computer – (Lenovo M70T)")</f>
        <v>Desktop Computer – (Lenovo M70T)</v>
      </c>
      <c r="D1039" s="164" t="str">
        <f ca="1">IFERROR(__xludf.DUMMYFUNCTION("""COMPUTED_VALUE"""),"₱ 75,468.00")</f>
        <v>₱ 75,468.00</v>
      </c>
      <c r="E1039" s="164" t="str">
        <f ca="1">IFERROR(__xludf.DUMMYFUNCTION("""COMPUTED_VALUE"""),"₱ -")</f>
        <v>₱ -</v>
      </c>
      <c r="F1039" s="164" t="str">
        <f ca="1">IFERROR(__xludf.DUMMYFUNCTION("""COMPUTED_VALUE"""),"2023-05-03-10201SP622-01")</f>
        <v>2023-05-03-10201SP622-01</v>
      </c>
      <c r="G1039" s="164" t="str">
        <f ca="1">IFERROR(__xludf.DUMMYFUNCTION("""COMPUTED_VALUE"""),"1S11T5S16200GM02ZT92")</f>
        <v>1S11T5S16200GM02ZT92</v>
      </c>
      <c r="H1039" s="164" t="str">
        <f ca="1">IFERROR(__xludf.DUMMYFUNCTION("""COMPUTED_VALUE"""),"Vic M. Ines")</f>
        <v>Vic M. Ines</v>
      </c>
      <c r="I1039" s="164" t="str">
        <f ca="1">IFERROR(__xludf.DUMMYFUNCTION("""COMPUTED_VALUE"""),"PARPO II")</f>
        <v>PARPO II</v>
      </c>
      <c r="J1039" s="164" t="str">
        <f ca="1">IFERROR(__xludf.DUMMYFUNCTION("""COMPUTED_VALUE"""),"2023-05-35-SPLIT")</f>
        <v>2023-05-35-SPLIT</v>
      </c>
      <c r="K1039" s="164" t="str">
        <f ca="1">IFERROR(__xludf.DUMMYFUNCTION("""COMPUTED_VALUE"""),"Editha Birosel")</f>
        <v>Editha Birosel</v>
      </c>
      <c r="L1039" s="164" t="str">
        <f ca="1">IFERROR(__xludf.DUMMYFUNCTION("""COMPUTED_VALUE"""),"DARPO Ilocos Sur")</f>
        <v>DARPO Ilocos Sur</v>
      </c>
      <c r="M1039" s="164" t="str">
        <f ca="1">IFERROR(__xludf.DUMMYFUNCTION("""COMPUTED_VALUE"""),"SERVICEABLE")</f>
        <v>SERVICEABLE</v>
      </c>
      <c r="N1039" s="164"/>
    </row>
    <row r="1040" spans="1:14" ht="13.2" hidden="1">
      <c r="A1040" s="164" t="str">
        <f ca="1">IFERROR(__xludf.DUMMYFUNCTION("""COMPUTED_VALUE"""),"Region I")</f>
        <v>Region I</v>
      </c>
      <c r="B1040" s="164" t="str">
        <f ca="1">IFERROR(__xludf.DUMMYFUNCTION("""COMPUTED_VALUE"""),"Ilocos Sur")</f>
        <v>Ilocos Sur</v>
      </c>
      <c r="C1040" s="164" t="str">
        <f ca="1">IFERROR(__xludf.DUMMYFUNCTION("""COMPUTED_VALUE"""),"Desktop Computer – (Lenovo M70T)")</f>
        <v>Desktop Computer – (Lenovo M70T)</v>
      </c>
      <c r="D1040" s="164" t="str">
        <f ca="1">IFERROR(__xludf.DUMMYFUNCTION("""COMPUTED_VALUE"""),"₱ 75,468.00")</f>
        <v>₱ 75,468.00</v>
      </c>
      <c r="E1040" s="164" t="str">
        <f ca="1">IFERROR(__xludf.DUMMYFUNCTION("""COMPUTED_VALUE"""),"₱ -")</f>
        <v>₱ -</v>
      </c>
      <c r="F1040" s="164" t="str">
        <f ca="1">IFERROR(__xludf.DUMMYFUNCTION("""COMPUTED_VALUE"""),"2023-05-03-10201SP623-01")</f>
        <v>2023-05-03-10201SP623-01</v>
      </c>
      <c r="G1040" s="164" t="str">
        <f ca="1">IFERROR(__xludf.DUMMYFUNCTION("""COMPUTED_VALUE"""),"1S11T5S16200GM02ZT7G")</f>
        <v>1S11T5S16200GM02ZT7G</v>
      </c>
      <c r="H1040" s="164" t="str">
        <f ca="1">IFERROR(__xludf.DUMMYFUNCTION("""COMPUTED_VALUE"""),"Vic M. Ines")</f>
        <v>Vic M. Ines</v>
      </c>
      <c r="I1040" s="164" t="str">
        <f ca="1">IFERROR(__xludf.DUMMYFUNCTION("""COMPUTED_VALUE"""),"PARPO II")</f>
        <v>PARPO II</v>
      </c>
      <c r="J1040" s="164" t="str">
        <f ca="1">IFERROR(__xludf.DUMMYFUNCTION("""COMPUTED_VALUE"""),"2023-05-35-SPLIT")</f>
        <v>2023-05-35-SPLIT</v>
      </c>
      <c r="K1040" s="164" t="str">
        <f ca="1">IFERROR(__xludf.DUMMYFUNCTION("""COMPUTED_VALUE"""),"Eufrocino Tacod")</f>
        <v>Eufrocino Tacod</v>
      </c>
      <c r="L1040" s="164" t="str">
        <f ca="1">IFERROR(__xludf.DUMMYFUNCTION("""COMPUTED_VALUE"""),"DARPO Ilocos Sur")</f>
        <v>DARPO Ilocos Sur</v>
      </c>
      <c r="M1040" s="164" t="str">
        <f ca="1">IFERROR(__xludf.DUMMYFUNCTION("""COMPUTED_VALUE"""),"SERVICEABLE")</f>
        <v>SERVICEABLE</v>
      </c>
      <c r="N1040" s="164"/>
    </row>
    <row r="1041" spans="1:14" ht="13.2" hidden="1">
      <c r="A1041" s="164" t="str">
        <f ca="1">IFERROR(__xludf.DUMMYFUNCTION("""COMPUTED_VALUE"""),"Region I")</f>
        <v>Region I</v>
      </c>
      <c r="B1041" s="164" t="str">
        <f ca="1">IFERROR(__xludf.DUMMYFUNCTION("""COMPUTED_VALUE"""),"Ilocos Sur")</f>
        <v>Ilocos Sur</v>
      </c>
      <c r="C1041" s="164" t="str">
        <f ca="1">IFERROR(__xludf.DUMMYFUNCTION("""COMPUTED_VALUE"""),"Desktop Computer – (Lenovo M70T)")</f>
        <v>Desktop Computer – (Lenovo M70T)</v>
      </c>
      <c r="D1041" s="164" t="str">
        <f ca="1">IFERROR(__xludf.DUMMYFUNCTION("""COMPUTED_VALUE"""),"₱ 75,468.00")</f>
        <v>₱ 75,468.00</v>
      </c>
      <c r="E1041" s="164" t="str">
        <f ca="1">IFERROR(__xludf.DUMMYFUNCTION("""COMPUTED_VALUE"""),"₱ -")</f>
        <v>₱ -</v>
      </c>
      <c r="F1041" s="164" t="str">
        <f ca="1">IFERROR(__xludf.DUMMYFUNCTION("""COMPUTED_VALUE"""),"2023-05-03-10201SP624-01")</f>
        <v>2023-05-03-10201SP624-01</v>
      </c>
      <c r="G1041" s="164" t="str">
        <f ca="1">IFERROR(__xludf.DUMMYFUNCTION("""COMPUTED_VALUE"""),"1S11T5S16200GM02ZT7W")</f>
        <v>1S11T5S16200GM02ZT7W</v>
      </c>
      <c r="H1041" s="164" t="str">
        <f ca="1">IFERROR(__xludf.DUMMYFUNCTION("""COMPUTED_VALUE"""),"Vic M. Ines")</f>
        <v>Vic M. Ines</v>
      </c>
      <c r="I1041" s="164" t="str">
        <f ca="1">IFERROR(__xludf.DUMMYFUNCTION("""COMPUTED_VALUE"""),"PARPO II")</f>
        <v>PARPO II</v>
      </c>
      <c r="J1041" s="164" t="str">
        <f ca="1">IFERROR(__xludf.DUMMYFUNCTION("""COMPUTED_VALUE"""),"2023-05-35-SPLIT")</f>
        <v>2023-05-35-SPLIT</v>
      </c>
      <c r="K1041" s="164" t="str">
        <f ca="1">IFERROR(__xludf.DUMMYFUNCTION("""COMPUTED_VALUE"""),"Ma Victoria L. Castaneda")</f>
        <v>Ma Victoria L. Castaneda</v>
      </c>
      <c r="L1041" s="164" t="str">
        <f ca="1">IFERROR(__xludf.DUMMYFUNCTION("""COMPUTED_VALUE"""),"DARPO Ilocos Sur")</f>
        <v>DARPO Ilocos Sur</v>
      </c>
      <c r="M1041" s="164" t="str">
        <f ca="1">IFERROR(__xludf.DUMMYFUNCTION("""COMPUTED_VALUE"""),"SERVICEABLE")</f>
        <v>SERVICEABLE</v>
      </c>
      <c r="N1041" s="164"/>
    </row>
    <row r="1042" spans="1:14" ht="13.2" hidden="1">
      <c r="A1042" s="164" t="str">
        <f ca="1">IFERROR(__xludf.DUMMYFUNCTION("""COMPUTED_VALUE"""),"Region I")</f>
        <v>Region I</v>
      </c>
      <c r="B1042" s="164" t="str">
        <f ca="1">IFERROR(__xludf.DUMMYFUNCTION("""COMPUTED_VALUE"""),"Ilocos Sur")</f>
        <v>Ilocos Sur</v>
      </c>
      <c r="C1042" s="164" t="str">
        <f ca="1">IFERROR(__xludf.DUMMYFUNCTION("""COMPUTED_VALUE"""),"Desktop Computer – (Lenovo M70T)")</f>
        <v>Desktop Computer – (Lenovo M70T)</v>
      </c>
      <c r="D1042" s="164" t="str">
        <f ca="1">IFERROR(__xludf.DUMMYFUNCTION("""COMPUTED_VALUE"""),"₱ 75,468.00")</f>
        <v>₱ 75,468.00</v>
      </c>
      <c r="E1042" s="164" t="str">
        <f ca="1">IFERROR(__xludf.DUMMYFUNCTION("""COMPUTED_VALUE"""),"₱ -")</f>
        <v>₱ -</v>
      </c>
      <c r="F1042" s="164" t="str">
        <f ca="1">IFERROR(__xludf.DUMMYFUNCTION("""COMPUTED_VALUE"""),"2023-05-03-10201SP625-01")</f>
        <v>2023-05-03-10201SP625-01</v>
      </c>
      <c r="G1042" s="164" t="str">
        <f ca="1">IFERROR(__xludf.DUMMYFUNCTION("""COMPUTED_VALUE"""),"1S11T5S16200GM0418FV")</f>
        <v>1S11T5S16200GM0418FV</v>
      </c>
      <c r="H1042" s="164" t="str">
        <f ca="1">IFERROR(__xludf.DUMMYFUNCTION("""COMPUTED_VALUE"""),"Vic M. Ines")</f>
        <v>Vic M. Ines</v>
      </c>
      <c r="I1042" s="164" t="str">
        <f ca="1">IFERROR(__xludf.DUMMYFUNCTION("""COMPUTED_VALUE"""),"PARPO II")</f>
        <v>PARPO II</v>
      </c>
      <c r="J1042" s="164" t="str">
        <f ca="1">IFERROR(__xludf.DUMMYFUNCTION("""COMPUTED_VALUE"""),"2023-05-35-SPLIT")</f>
        <v>2023-05-35-SPLIT</v>
      </c>
      <c r="K1042" s="164" t="str">
        <f ca="1">IFERROR(__xludf.DUMMYFUNCTION("""COMPUTED_VALUE"""),"Gemma C. Tablada")</f>
        <v>Gemma C. Tablada</v>
      </c>
      <c r="L1042" s="164" t="str">
        <f ca="1">IFERROR(__xludf.DUMMYFUNCTION("""COMPUTED_VALUE"""),"DARPO Ilocos Sur")</f>
        <v>DARPO Ilocos Sur</v>
      </c>
      <c r="M1042" s="164" t="str">
        <f ca="1">IFERROR(__xludf.DUMMYFUNCTION("""COMPUTED_VALUE"""),"SERVICEABLE")</f>
        <v>SERVICEABLE</v>
      </c>
      <c r="N1042" s="164"/>
    </row>
    <row r="1043" spans="1:14" ht="13.2" hidden="1">
      <c r="A1043" s="164" t="str">
        <f ca="1">IFERROR(__xludf.DUMMYFUNCTION("""COMPUTED_VALUE"""),"Region I")</f>
        <v>Region I</v>
      </c>
      <c r="B1043" s="164" t="str">
        <f ca="1">IFERROR(__xludf.DUMMYFUNCTION("""COMPUTED_VALUE"""),"Ilocos Sur")</f>
        <v>Ilocos Sur</v>
      </c>
      <c r="C1043" s="164" t="str">
        <f ca="1">IFERROR(__xludf.DUMMYFUNCTION("""COMPUTED_VALUE"""),"Desktop Computer – (Lenovo M70T)")</f>
        <v>Desktop Computer – (Lenovo M70T)</v>
      </c>
      <c r="D1043" s="164" t="str">
        <f ca="1">IFERROR(__xludf.DUMMYFUNCTION("""COMPUTED_VALUE"""),"₱ 75,468.00")</f>
        <v>₱ 75,468.00</v>
      </c>
      <c r="E1043" s="164" t="str">
        <f ca="1">IFERROR(__xludf.DUMMYFUNCTION("""COMPUTED_VALUE"""),"₱ -")</f>
        <v>₱ -</v>
      </c>
      <c r="F1043" s="164" t="str">
        <f ca="1">IFERROR(__xludf.DUMMYFUNCTION("""COMPUTED_VALUE"""),"2023-05-03-10201SP626-01")</f>
        <v>2023-05-03-10201SP626-01</v>
      </c>
      <c r="G1043" s="164" t="str">
        <f ca="1">IFERROR(__xludf.DUMMYFUNCTION("""COMPUTED_VALUE"""),"1S11T5S16200GM0418CD")</f>
        <v>1S11T5S16200GM0418CD</v>
      </c>
      <c r="H1043" s="164" t="str">
        <f ca="1">IFERROR(__xludf.DUMMYFUNCTION("""COMPUTED_VALUE"""),"Vic M. Ines")</f>
        <v>Vic M. Ines</v>
      </c>
      <c r="I1043" s="164" t="str">
        <f ca="1">IFERROR(__xludf.DUMMYFUNCTION("""COMPUTED_VALUE"""),"PARPO II")</f>
        <v>PARPO II</v>
      </c>
      <c r="J1043" s="164" t="str">
        <f ca="1">IFERROR(__xludf.DUMMYFUNCTION("""COMPUTED_VALUE"""),"2023-05-35-SPLIT")</f>
        <v>2023-05-35-SPLIT</v>
      </c>
      <c r="K1043" s="164" t="str">
        <f ca="1">IFERROR(__xludf.DUMMYFUNCTION("""COMPUTED_VALUE"""),"Remedios Tadeja")</f>
        <v>Remedios Tadeja</v>
      </c>
      <c r="L1043" s="164" t="str">
        <f ca="1">IFERROR(__xludf.DUMMYFUNCTION("""COMPUTED_VALUE"""),"DARPO Ilocos Sur")</f>
        <v>DARPO Ilocos Sur</v>
      </c>
      <c r="M1043" s="164" t="str">
        <f ca="1">IFERROR(__xludf.DUMMYFUNCTION("""COMPUTED_VALUE"""),"SERVICEABLE")</f>
        <v>SERVICEABLE</v>
      </c>
      <c r="N1043" s="164"/>
    </row>
    <row r="1044" spans="1:14" ht="13.2" hidden="1">
      <c r="A1044" s="164" t="str">
        <f ca="1">IFERROR(__xludf.DUMMYFUNCTION("""COMPUTED_VALUE"""),"Region I")</f>
        <v>Region I</v>
      </c>
      <c r="B1044" s="164" t="str">
        <f ca="1">IFERROR(__xludf.DUMMYFUNCTION("""COMPUTED_VALUE"""),"Pangasinan")</f>
        <v>Pangasinan</v>
      </c>
      <c r="C1044" s="164" t="str">
        <f ca="1">IFERROR(__xludf.DUMMYFUNCTION("""COMPUTED_VALUE"""),"Desktop Computer – (Lenovo M70T)")</f>
        <v>Desktop Computer – (Lenovo M70T)</v>
      </c>
      <c r="D1044" s="164" t="str">
        <f ca="1">IFERROR(__xludf.DUMMYFUNCTION("""COMPUTED_VALUE"""),"₱ 75,468.00")</f>
        <v>₱ 75,468.00</v>
      </c>
      <c r="E1044" s="164" t="str">
        <f ca="1">IFERROR(__xludf.DUMMYFUNCTION("""COMPUTED_VALUE"""),"₱ -")</f>
        <v>₱ -</v>
      </c>
      <c r="F1044" s="164" t="str">
        <f ca="1">IFERROR(__xludf.DUMMYFUNCTION("""COMPUTED_VALUE"""),"2023-05-03-10201SP627-01")</f>
        <v>2023-05-03-10201SP627-01</v>
      </c>
      <c r="G1044" s="164" t="str">
        <f ca="1">IFERROR(__xludf.DUMMYFUNCTION("""COMPUTED_VALUE"""),"1S11T5S16200GM041B4B")</f>
        <v>1S11T5S16200GM041B4B</v>
      </c>
      <c r="H1044" s="164" t="str">
        <f ca="1">IFERROR(__xludf.DUMMYFUNCTION("""COMPUTED_VALUE"""),"Maria Ana V. Francisco")</f>
        <v>Maria Ana V. Francisco</v>
      </c>
      <c r="I1044" s="164" t="str">
        <f ca="1">IFERROR(__xludf.DUMMYFUNCTION("""COMPUTED_VALUE"""),"Regional Director")</f>
        <v>Regional Director</v>
      </c>
      <c r="J1044" s="164" t="str">
        <f ca="1">IFERROR(__xludf.DUMMYFUNCTION("""COMPUTED_VALUE"""),"2023-05-34-SPLIT")</f>
        <v>2023-05-34-SPLIT</v>
      </c>
      <c r="K1044" s="164" t="str">
        <f ca="1">IFERROR(__xludf.DUMMYFUNCTION("""COMPUTED_VALUE"""),"Genaro M. Ballesteros Jr.")</f>
        <v>Genaro M. Ballesteros Jr.</v>
      </c>
      <c r="L1044" s="164" t="str">
        <f ca="1">IFERROR(__xludf.DUMMYFUNCTION("""COMPUTED_VALUE"""),"DARPO Pangasinan")</f>
        <v>DARPO Pangasinan</v>
      </c>
      <c r="M1044" s="164" t="str">
        <f ca="1">IFERROR(__xludf.DUMMYFUNCTION("""COMPUTED_VALUE"""),"SERVICEABLE")</f>
        <v>SERVICEABLE</v>
      </c>
      <c r="N1044" s="164"/>
    </row>
    <row r="1045" spans="1:14" ht="13.2" hidden="1">
      <c r="A1045" s="164" t="str">
        <f ca="1">IFERROR(__xludf.DUMMYFUNCTION("""COMPUTED_VALUE"""),"Region I")</f>
        <v>Region I</v>
      </c>
      <c r="B1045" s="164" t="str">
        <f ca="1">IFERROR(__xludf.DUMMYFUNCTION("""COMPUTED_VALUE"""),"Pangasinan")</f>
        <v>Pangasinan</v>
      </c>
      <c r="C1045" s="164" t="str">
        <f ca="1">IFERROR(__xludf.DUMMYFUNCTION("""COMPUTED_VALUE"""),"Desktop Computer – (Lenovo M70T)")</f>
        <v>Desktop Computer – (Lenovo M70T)</v>
      </c>
      <c r="D1045" s="164" t="str">
        <f ca="1">IFERROR(__xludf.DUMMYFUNCTION("""COMPUTED_VALUE"""),"₱ 75,468.00")</f>
        <v>₱ 75,468.00</v>
      </c>
      <c r="E1045" s="164" t="str">
        <f ca="1">IFERROR(__xludf.DUMMYFUNCTION("""COMPUTED_VALUE"""),"₱ -")</f>
        <v>₱ -</v>
      </c>
      <c r="F1045" s="164" t="str">
        <f ca="1">IFERROR(__xludf.DUMMYFUNCTION("""COMPUTED_VALUE"""),"2023-05-03-10201SP628-01")</f>
        <v>2023-05-03-10201SP628-01</v>
      </c>
      <c r="G1045" s="164" t="str">
        <f ca="1">IFERROR(__xludf.DUMMYFUNCTION("""COMPUTED_VALUE"""),"1S11T5S16200GM0415SB")</f>
        <v>1S11T5S16200GM0415SB</v>
      </c>
      <c r="H1045" s="164" t="str">
        <f ca="1">IFERROR(__xludf.DUMMYFUNCTION("""COMPUTED_VALUE"""),"Maria Ana V. Francisco")</f>
        <v>Maria Ana V. Francisco</v>
      </c>
      <c r="I1045" s="164" t="str">
        <f ca="1">IFERROR(__xludf.DUMMYFUNCTION("""COMPUTED_VALUE"""),"Regional Director")</f>
        <v>Regional Director</v>
      </c>
      <c r="J1045" s="164" t="str">
        <f ca="1">IFERROR(__xludf.DUMMYFUNCTION("""COMPUTED_VALUE"""),"2023-05-34-SPLIT")</f>
        <v>2023-05-34-SPLIT</v>
      </c>
      <c r="K1045" s="164" t="str">
        <f ca="1">IFERROR(__xludf.DUMMYFUNCTION("""COMPUTED_VALUE"""),"Myrna M. Masmela")</f>
        <v>Myrna M. Masmela</v>
      </c>
      <c r="L1045" s="164" t="str">
        <f ca="1">IFERROR(__xludf.DUMMYFUNCTION("""COMPUTED_VALUE"""),"DARPO Pangasinan")</f>
        <v>DARPO Pangasinan</v>
      </c>
      <c r="M1045" s="164" t="str">
        <f ca="1">IFERROR(__xludf.DUMMYFUNCTION("""COMPUTED_VALUE"""),"SERVICEABLE")</f>
        <v>SERVICEABLE</v>
      </c>
      <c r="N1045" s="164"/>
    </row>
    <row r="1046" spans="1:14" ht="13.2" hidden="1">
      <c r="A1046" s="164" t="str">
        <f ca="1">IFERROR(__xludf.DUMMYFUNCTION("""COMPUTED_VALUE"""),"Region I")</f>
        <v>Region I</v>
      </c>
      <c r="B1046" s="164" t="str">
        <f ca="1">IFERROR(__xludf.DUMMYFUNCTION("""COMPUTED_VALUE"""),"Pangasinan")</f>
        <v>Pangasinan</v>
      </c>
      <c r="C1046" s="164" t="str">
        <f ca="1">IFERROR(__xludf.DUMMYFUNCTION("""COMPUTED_VALUE"""),"Desktop Computer – (Lenovo M70T)")</f>
        <v>Desktop Computer – (Lenovo M70T)</v>
      </c>
      <c r="D1046" s="164" t="str">
        <f ca="1">IFERROR(__xludf.DUMMYFUNCTION("""COMPUTED_VALUE"""),"₱ 75,468.00")</f>
        <v>₱ 75,468.00</v>
      </c>
      <c r="E1046" s="164" t="str">
        <f ca="1">IFERROR(__xludf.DUMMYFUNCTION("""COMPUTED_VALUE"""),"₱ -")</f>
        <v>₱ -</v>
      </c>
      <c r="F1046" s="164" t="str">
        <f ca="1">IFERROR(__xludf.DUMMYFUNCTION("""COMPUTED_VALUE"""),"2023-05-03-10201SP629-01")</f>
        <v>2023-05-03-10201SP629-01</v>
      </c>
      <c r="G1046" s="164" t="str">
        <f ca="1">IFERROR(__xludf.DUMMYFUNCTION("""COMPUTED_VALUE"""),"1S11T5S16200GM02ZT7Y")</f>
        <v>1S11T5S16200GM02ZT7Y</v>
      </c>
      <c r="H1046" s="164" t="str">
        <f ca="1">IFERROR(__xludf.DUMMYFUNCTION("""COMPUTED_VALUE"""),"Maria Ana V. Francisco")</f>
        <v>Maria Ana V. Francisco</v>
      </c>
      <c r="I1046" s="164" t="str">
        <f ca="1">IFERROR(__xludf.DUMMYFUNCTION("""COMPUTED_VALUE"""),"Regional Director")</f>
        <v>Regional Director</v>
      </c>
      <c r="J1046" s="164" t="str">
        <f ca="1">IFERROR(__xludf.DUMMYFUNCTION("""COMPUTED_VALUE"""),"2023-05-34-SPLIT")</f>
        <v>2023-05-34-SPLIT</v>
      </c>
      <c r="K1046" s="164" t="str">
        <f ca="1">IFERROR(__xludf.DUMMYFUNCTION("""COMPUTED_VALUE"""),"Maranyl O. Aguilar")</f>
        <v>Maranyl O. Aguilar</v>
      </c>
      <c r="L1046" s="164" t="str">
        <f ca="1">IFERROR(__xludf.DUMMYFUNCTION("""COMPUTED_VALUE"""),"DARPO Pangasinan")</f>
        <v>DARPO Pangasinan</v>
      </c>
      <c r="M1046" s="164" t="str">
        <f ca="1">IFERROR(__xludf.DUMMYFUNCTION("""COMPUTED_VALUE"""),"SERVICEABLE")</f>
        <v>SERVICEABLE</v>
      </c>
      <c r="N1046" s="164"/>
    </row>
    <row r="1047" spans="1:14" ht="13.2" hidden="1">
      <c r="A1047" s="164" t="str">
        <f ca="1">IFERROR(__xludf.DUMMYFUNCTION("""COMPUTED_VALUE"""),"Region I")</f>
        <v>Region I</v>
      </c>
      <c r="B1047" s="164" t="str">
        <f ca="1">IFERROR(__xludf.DUMMYFUNCTION("""COMPUTED_VALUE"""),"Pangasinan")</f>
        <v>Pangasinan</v>
      </c>
      <c r="C1047" s="164" t="str">
        <f ca="1">IFERROR(__xludf.DUMMYFUNCTION("""COMPUTED_VALUE"""),"Desktop Computer – (Lenovo M70T)")</f>
        <v>Desktop Computer – (Lenovo M70T)</v>
      </c>
      <c r="D1047" s="164" t="str">
        <f ca="1">IFERROR(__xludf.DUMMYFUNCTION("""COMPUTED_VALUE"""),"₱ 75,468.00")</f>
        <v>₱ 75,468.00</v>
      </c>
      <c r="E1047" s="164" t="str">
        <f ca="1">IFERROR(__xludf.DUMMYFUNCTION("""COMPUTED_VALUE"""),"₱ -")</f>
        <v>₱ -</v>
      </c>
      <c r="F1047" s="164" t="str">
        <f ca="1">IFERROR(__xludf.DUMMYFUNCTION("""COMPUTED_VALUE"""),"2023-05-03-10201SP630-01")</f>
        <v>2023-05-03-10201SP630-01</v>
      </c>
      <c r="G1047" s="164" t="str">
        <f ca="1">IFERROR(__xludf.DUMMYFUNCTION("""COMPUTED_VALUE"""),"1S11T5S16200GM02ZT7T")</f>
        <v>1S11T5S16200GM02ZT7T</v>
      </c>
      <c r="H1047" s="164" t="str">
        <f ca="1">IFERROR(__xludf.DUMMYFUNCTION("""COMPUTED_VALUE"""),"Maria Ana V. Francisco")</f>
        <v>Maria Ana V. Francisco</v>
      </c>
      <c r="I1047" s="164" t="str">
        <f ca="1">IFERROR(__xludf.DUMMYFUNCTION("""COMPUTED_VALUE"""),"Regional Director")</f>
        <v>Regional Director</v>
      </c>
      <c r="J1047" s="164" t="str">
        <f ca="1">IFERROR(__xludf.DUMMYFUNCTION("""COMPUTED_VALUE"""),"2023-05-34-SPLIT")</f>
        <v>2023-05-34-SPLIT</v>
      </c>
      <c r="K1047" s="164" t="str">
        <f ca="1">IFERROR(__xludf.DUMMYFUNCTION("""COMPUTED_VALUE"""),"Mary Grace C. Agas")</f>
        <v>Mary Grace C. Agas</v>
      </c>
      <c r="L1047" s="164" t="str">
        <f ca="1">IFERROR(__xludf.DUMMYFUNCTION("""COMPUTED_VALUE"""),"DARPO Pangasinan")</f>
        <v>DARPO Pangasinan</v>
      </c>
      <c r="M1047" s="164" t="str">
        <f ca="1">IFERROR(__xludf.DUMMYFUNCTION("""COMPUTED_VALUE"""),"SERVICEABLE")</f>
        <v>SERVICEABLE</v>
      </c>
      <c r="N1047" s="164"/>
    </row>
    <row r="1048" spans="1:14" ht="13.2" hidden="1">
      <c r="A1048" s="164" t="str">
        <f ca="1">IFERROR(__xludf.DUMMYFUNCTION("""COMPUTED_VALUE"""),"Region I")</f>
        <v>Region I</v>
      </c>
      <c r="B1048" s="164" t="str">
        <f ca="1">IFERROR(__xludf.DUMMYFUNCTION("""COMPUTED_VALUE"""),"Pangasinan")</f>
        <v>Pangasinan</v>
      </c>
      <c r="C1048" s="164" t="str">
        <f ca="1">IFERROR(__xludf.DUMMYFUNCTION("""COMPUTED_VALUE"""),"Desktop Computer – (Lenovo M70T)")</f>
        <v>Desktop Computer – (Lenovo M70T)</v>
      </c>
      <c r="D1048" s="164" t="str">
        <f ca="1">IFERROR(__xludf.DUMMYFUNCTION("""COMPUTED_VALUE"""),"₱ 75,468.00")</f>
        <v>₱ 75,468.00</v>
      </c>
      <c r="E1048" s="164" t="str">
        <f ca="1">IFERROR(__xludf.DUMMYFUNCTION("""COMPUTED_VALUE"""),"₱ -")</f>
        <v>₱ -</v>
      </c>
      <c r="F1048" s="164" t="str">
        <f ca="1">IFERROR(__xludf.DUMMYFUNCTION("""COMPUTED_VALUE"""),"2023-05-03-10201SP631-01")</f>
        <v>2023-05-03-10201SP631-01</v>
      </c>
      <c r="G1048" s="164" t="str">
        <f ca="1">IFERROR(__xludf.DUMMYFUNCTION("""COMPUTED_VALUE"""),"1S11T5S16200GM02ZT93")</f>
        <v>1S11T5S16200GM02ZT93</v>
      </c>
      <c r="H1048" s="164" t="str">
        <f ca="1">IFERROR(__xludf.DUMMYFUNCTION("""COMPUTED_VALUE"""),"Maria Ana V. Francisco")</f>
        <v>Maria Ana V. Francisco</v>
      </c>
      <c r="I1048" s="164" t="str">
        <f ca="1">IFERROR(__xludf.DUMMYFUNCTION("""COMPUTED_VALUE"""),"Regional Director")</f>
        <v>Regional Director</v>
      </c>
      <c r="J1048" s="164" t="str">
        <f ca="1">IFERROR(__xludf.DUMMYFUNCTION("""COMPUTED_VALUE"""),"2023-05-34-SPLIT")</f>
        <v>2023-05-34-SPLIT</v>
      </c>
      <c r="K1048" s="164" t="str">
        <f ca="1">IFERROR(__xludf.DUMMYFUNCTION("""COMPUTED_VALUE"""),"Zarena Ann Amado")</f>
        <v>Zarena Ann Amado</v>
      </c>
      <c r="L1048" s="164" t="str">
        <f ca="1">IFERROR(__xludf.DUMMYFUNCTION("""COMPUTED_VALUE"""),"DARPO Pangasinan")</f>
        <v>DARPO Pangasinan</v>
      </c>
      <c r="M1048" s="164" t="str">
        <f ca="1">IFERROR(__xludf.DUMMYFUNCTION("""COMPUTED_VALUE"""),"SERVICEABLE")</f>
        <v>SERVICEABLE</v>
      </c>
      <c r="N1048" s="164"/>
    </row>
    <row r="1049" spans="1:14" ht="13.2" hidden="1">
      <c r="A1049" s="164" t="str">
        <f ca="1">IFERROR(__xludf.DUMMYFUNCTION("""COMPUTED_VALUE"""),"Region I")</f>
        <v>Region I</v>
      </c>
      <c r="B1049" s="164" t="str">
        <f ca="1">IFERROR(__xludf.DUMMYFUNCTION("""COMPUTED_VALUE"""),"Pangasinan")</f>
        <v>Pangasinan</v>
      </c>
      <c r="C1049" s="164" t="str">
        <f ca="1">IFERROR(__xludf.DUMMYFUNCTION("""COMPUTED_VALUE"""),"Desktop Computer – (Lenovo M70T)")</f>
        <v>Desktop Computer – (Lenovo M70T)</v>
      </c>
      <c r="D1049" s="164" t="str">
        <f ca="1">IFERROR(__xludf.DUMMYFUNCTION("""COMPUTED_VALUE"""),"₱ 75,468.00")</f>
        <v>₱ 75,468.00</v>
      </c>
      <c r="E1049" s="164" t="str">
        <f ca="1">IFERROR(__xludf.DUMMYFUNCTION("""COMPUTED_VALUE"""),"₱ -")</f>
        <v>₱ -</v>
      </c>
      <c r="F1049" s="164" t="str">
        <f ca="1">IFERROR(__xludf.DUMMYFUNCTION("""COMPUTED_VALUE"""),"2023-05-03-10201SP632-01")</f>
        <v>2023-05-03-10201SP632-01</v>
      </c>
      <c r="G1049" s="164" t="str">
        <f ca="1">IFERROR(__xludf.DUMMYFUNCTION("""COMPUTED_VALUE"""),"1S11T5S16200GM02ZT7H")</f>
        <v>1S11T5S16200GM02ZT7H</v>
      </c>
      <c r="H1049" s="164" t="str">
        <f ca="1">IFERROR(__xludf.DUMMYFUNCTION("""COMPUTED_VALUE"""),"Maria Ana V. Francisco")</f>
        <v>Maria Ana V. Francisco</v>
      </c>
      <c r="I1049" s="164" t="str">
        <f ca="1">IFERROR(__xludf.DUMMYFUNCTION("""COMPUTED_VALUE"""),"Regional Director")</f>
        <v>Regional Director</v>
      </c>
      <c r="J1049" s="164" t="str">
        <f ca="1">IFERROR(__xludf.DUMMYFUNCTION("""COMPUTED_VALUE"""),"2023-05-34-SPLIT")</f>
        <v>2023-05-34-SPLIT</v>
      </c>
      <c r="K1049" s="164" t="str">
        <f ca="1">IFERROR(__xludf.DUMMYFUNCTION("""COMPUTED_VALUE"""),"Sonny Boy R. Roldan")</f>
        <v>Sonny Boy R. Roldan</v>
      </c>
      <c r="L1049" s="164" t="str">
        <f ca="1">IFERROR(__xludf.DUMMYFUNCTION("""COMPUTED_VALUE"""),"DARPO Pangasinan")</f>
        <v>DARPO Pangasinan</v>
      </c>
      <c r="M1049" s="164" t="str">
        <f ca="1">IFERROR(__xludf.DUMMYFUNCTION("""COMPUTED_VALUE"""),"SERVICEABLE")</f>
        <v>SERVICEABLE</v>
      </c>
      <c r="N1049" s="164"/>
    </row>
    <row r="1050" spans="1:14" ht="13.2" hidden="1">
      <c r="A1050" s="164" t="str">
        <f ca="1">IFERROR(__xludf.DUMMYFUNCTION("""COMPUTED_VALUE"""),"Region I")</f>
        <v>Region I</v>
      </c>
      <c r="B1050" s="164" t="str">
        <f ca="1">IFERROR(__xludf.DUMMYFUNCTION("""COMPUTED_VALUE"""),"Pangasinan")</f>
        <v>Pangasinan</v>
      </c>
      <c r="C1050" s="164" t="str">
        <f ca="1">IFERROR(__xludf.DUMMYFUNCTION("""COMPUTED_VALUE"""),"Desktop Computer – (Lenovo M70T)")</f>
        <v>Desktop Computer – (Lenovo M70T)</v>
      </c>
      <c r="D1050" s="164" t="str">
        <f ca="1">IFERROR(__xludf.DUMMYFUNCTION("""COMPUTED_VALUE"""),"₱ 75,468.00")</f>
        <v>₱ 75,468.00</v>
      </c>
      <c r="E1050" s="164" t="str">
        <f ca="1">IFERROR(__xludf.DUMMYFUNCTION("""COMPUTED_VALUE"""),"₱ -")</f>
        <v>₱ -</v>
      </c>
      <c r="F1050" s="164" t="str">
        <f ca="1">IFERROR(__xludf.DUMMYFUNCTION("""COMPUTED_VALUE"""),"2023-05-03-10201SP633-01")</f>
        <v>2023-05-03-10201SP633-01</v>
      </c>
      <c r="G1050" s="164" t="str">
        <f ca="1">IFERROR(__xludf.DUMMYFUNCTION("""COMPUTED_VALUE"""),"1S11T5S16200GM02ZT8S")</f>
        <v>1S11T5S16200GM02ZT8S</v>
      </c>
      <c r="H1050" s="164" t="str">
        <f ca="1">IFERROR(__xludf.DUMMYFUNCTION("""COMPUTED_VALUE"""),"Maria Ana V. Francisco")</f>
        <v>Maria Ana V. Francisco</v>
      </c>
      <c r="I1050" s="164" t="str">
        <f ca="1">IFERROR(__xludf.DUMMYFUNCTION("""COMPUTED_VALUE"""),"Regional Director")</f>
        <v>Regional Director</v>
      </c>
      <c r="J1050" s="164" t="str">
        <f ca="1">IFERROR(__xludf.DUMMYFUNCTION("""COMPUTED_VALUE"""),"2023-05-34-SPLIT")</f>
        <v>2023-05-34-SPLIT</v>
      </c>
      <c r="K1050" s="164" t="str">
        <f ca="1">IFERROR(__xludf.DUMMYFUNCTION("""COMPUTED_VALUE"""),"Yaser P. Fernandez")</f>
        <v>Yaser P. Fernandez</v>
      </c>
      <c r="L1050" s="164" t="str">
        <f ca="1">IFERROR(__xludf.DUMMYFUNCTION("""COMPUTED_VALUE"""),"DARPO Pangasinan")</f>
        <v>DARPO Pangasinan</v>
      </c>
      <c r="M1050" s="164" t="str">
        <f ca="1">IFERROR(__xludf.DUMMYFUNCTION("""COMPUTED_VALUE"""),"SERVICEABLE")</f>
        <v>SERVICEABLE</v>
      </c>
      <c r="N1050" s="164"/>
    </row>
    <row r="1051" spans="1:14" ht="13.2" hidden="1">
      <c r="A1051" s="164" t="str">
        <f ca="1">IFERROR(__xludf.DUMMYFUNCTION("""COMPUTED_VALUE"""),"Region I")</f>
        <v>Region I</v>
      </c>
      <c r="B1051" s="164" t="str">
        <f ca="1">IFERROR(__xludf.DUMMYFUNCTION("""COMPUTED_VALUE"""),"Pangasinan")</f>
        <v>Pangasinan</v>
      </c>
      <c r="C1051" s="164" t="str">
        <f ca="1">IFERROR(__xludf.DUMMYFUNCTION("""COMPUTED_VALUE"""),"Desktop Computer – (Lenovo M70T)")</f>
        <v>Desktop Computer – (Lenovo M70T)</v>
      </c>
      <c r="D1051" s="164" t="str">
        <f ca="1">IFERROR(__xludf.DUMMYFUNCTION("""COMPUTED_VALUE"""),"₱ 75,468.00")</f>
        <v>₱ 75,468.00</v>
      </c>
      <c r="E1051" s="164" t="str">
        <f ca="1">IFERROR(__xludf.DUMMYFUNCTION("""COMPUTED_VALUE"""),"₱ -")</f>
        <v>₱ -</v>
      </c>
      <c r="F1051" s="164" t="str">
        <f ca="1">IFERROR(__xludf.DUMMYFUNCTION("""COMPUTED_VALUE"""),"2023-05-03-10201SP634-01")</f>
        <v>2023-05-03-10201SP634-01</v>
      </c>
      <c r="G1051" s="164" t="str">
        <f ca="1">IFERROR(__xludf.DUMMYFUNCTION("""COMPUTED_VALUE"""),"1S11T5S16200GM02ZT74")</f>
        <v>1S11T5S16200GM02ZT74</v>
      </c>
      <c r="H1051" s="164" t="str">
        <f ca="1">IFERROR(__xludf.DUMMYFUNCTION("""COMPUTED_VALUE"""),"Maria Ana V. Francisco")</f>
        <v>Maria Ana V. Francisco</v>
      </c>
      <c r="I1051" s="164" t="str">
        <f ca="1">IFERROR(__xludf.DUMMYFUNCTION("""COMPUTED_VALUE"""),"Regional Director")</f>
        <v>Regional Director</v>
      </c>
      <c r="J1051" s="164" t="str">
        <f ca="1">IFERROR(__xludf.DUMMYFUNCTION("""COMPUTED_VALUE"""),"2023-05-34-SPLIT")</f>
        <v>2023-05-34-SPLIT</v>
      </c>
      <c r="K1051" s="164" t="str">
        <f ca="1">IFERROR(__xludf.DUMMYFUNCTION("""COMPUTED_VALUE"""),"Maribel A. Valdez")</f>
        <v>Maribel A. Valdez</v>
      </c>
      <c r="L1051" s="164" t="str">
        <f ca="1">IFERROR(__xludf.DUMMYFUNCTION("""COMPUTED_VALUE"""),"DARPO Pangasinan")</f>
        <v>DARPO Pangasinan</v>
      </c>
      <c r="M1051" s="164" t="str">
        <f ca="1">IFERROR(__xludf.DUMMYFUNCTION("""COMPUTED_VALUE"""),"SERVICEABLE")</f>
        <v>SERVICEABLE</v>
      </c>
      <c r="N1051" s="164"/>
    </row>
    <row r="1052" spans="1:14" ht="13.2" hidden="1">
      <c r="A1052" s="164" t="str">
        <f ca="1">IFERROR(__xludf.DUMMYFUNCTION("""COMPUTED_VALUE"""),"Region I")</f>
        <v>Region I</v>
      </c>
      <c r="B1052" s="164" t="str">
        <f ca="1">IFERROR(__xludf.DUMMYFUNCTION("""COMPUTED_VALUE"""),"Pangasinan")</f>
        <v>Pangasinan</v>
      </c>
      <c r="C1052" s="164" t="str">
        <f ca="1">IFERROR(__xludf.DUMMYFUNCTION("""COMPUTED_VALUE"""),"Desktop Computer – (Lenovo M70T)")</f>
        <v>Desktop Computer – (Lenovo M70T)</v>
      </c>
      <c r="D1052" s="164" t="str">
        <f ca="1">IFERROR(__xludf.DUMMYFUNCTION("""COMPUTED_VALUE"""),"₱ 75,468.00")</f>
        <v>₱ 75,468.00</v>
      </c>
      <c r="E1052" s="164" t="str">
        <f ca="1">IFERROR(__xludf.DUMMYFUNCTION("""COMPUTED_VALUE"""),"₱ -")</f>
        <v>₱ -</v>
      </c>
      <c r="F1052" s="164" t="str">
        <f ca="1">IFERROR(__xludf.DUMMYFUNCTION("""COMPUTED_VALUE"""),"2023-05-03-10201SP635-01")</f>
        <v>2023-05-03-10201SP635-01</v>
      </c>
      <c r="G1052" s="164" t="str">
        <f ca="1">IFERROR(__xludf.DUMMYFUNCTION("""COMPUTED_VALUE"""),"1S11T5S16200GM0418L1")</f>
        <v>1S11T5S16200GM0418L1</v>
      </c>
      <c r="H1052" s="164" t="str">
        <f ca="1">IFERROR(__xludf.DUMMYFUNCTION("""COMPUTED_VALUE"""),"Maria Ana V. Francisco")</f>
        <v>Maria Ana V. Francisco</v>
      </c>
      <c r="I1052" s="164" t="str">
        <f ca="1">IFERROR(__xludf.DUMMYFUNCTION("""COMPUTED_VALUE"""),"Regional Director")</f>
        <v>Regional Director</v>
      </c>
      <c r="J1052" s="164" t="str">
        <f ca="1">IFERROR(__xludf.DUMMYFUNCTION("""COMPUTED_VALUE"""),"2023-05-34-SPLIT")</f>
        <v>2023-05-34-SPLIT</v>
      </c>
      <c r="K1052" s="164" t="str">
        <f ca="1">IFERROR(__xludf.DUMMYFUNCTION("""COMPUTED_VALUE"""),"Andres B. De Leon")</f>
        <v>Andres B. De Leon</v>
      </c>
      <c r="L1052" s="164" t="str">
        <f ca="1">IFERROR(__xludf.DUMMYFUNCTION("""COMPUTED_VALUE"""),"DARPO Pangasinan")</f>
        <v>DARPO Pangasinan</v>
      </c>
      <c r="M1052" s="164" t="str">
        <f ca="1">IFERROR(__xludf.DUMMYFUNCTION("""COMPUTED_VALUE"""),"SERVICEABLE")</f>
        <v>SERVICEABLE</v>
      </c>
      <c r="N1052" s="164"/>
    </row>
    <row r="1053" spans="1:14" ht="13.2" hidden="1">
      <c r="A1053" s="164" t="str">
        <f ca="1">IFERROR(__xludf.DUMMYFUNCTION("""COMPUTED_VALUE"""),"Region I")</f>
        <v>Region I</v>
      </c>
      <c r="B1053" s="164" t="str">
        <f ca="1">IFERROR(__xludf.DUMMYFUNCTION("""COMPUTED_VALUE"""),"Pangasinan")</f>
        <v>Pangasinan</v>
      </c>
      <c r="C1053" s="164" t="str">
        <f ca="1">IFERROR(__xludf.DUMMYFUNCTION("""COMPUTED_VALUE"""),"Desktop Computer – (Lenovo M70T)")</f>
        <v>Desktop Computer – (Lenovo M70T)</v>
      </c>
      <c r="D1053" s="164" t="str">
        <f ca="1">IFERROR(__xludf.DUMMYFUNCTION("""COMPUTED_VALUE"""),"₱ 75,468.00")</f>
        <v>₱ 75,468.00</v>
      </c>
      <c r="E1053" s="164" t="str">
        <f ca="1">IFERROR(__xludf.DUMMYFUNCTION("""COMPUTED_VALUE"""),"₱ -")</f>
        <v>₱ -</v>
      </c>
      <c r="F1053" s="164" t="str">
        <f ca="1">IFERROR(__xludf.DUMMYFUNCTION("""COMPUTED_VALUE"""),"2023-05-03-10201SP636-01")</f>
        <v>2023-05-03-10201SP636-01</v>
      </c>
      <c r="G1053" s="164" t="str">
        <f ca="1">IFERROR(__xludf.DUMMYFUNCTION("""COMPUTED_VALUE"""),"1S11T5S16200GM02ZT87")</f>
        <v>1S11T5S16200GM02ZT87</v>
      </c>
      <c r="H1053" s="164" t="str">
        <f ca="1">IFERROR(__xludf.DUMMYFUNCTION("""COMPUTED_VALUE"""),"Maria Ana V. Francisco")</f>
        <v>Maria Ana V. Francisco</v>
      </c>
      <c r="I1053" s="164" t="str">
        <f ca="1">IFERROR(__xludf.DUMMYFUNCTION("""COMPUTED_VALUE"""),"Regional Director")</f>
        <v>Regional Director</v>
      </c>
      <c r="J1053" s="164" t="str">
        <f ca="1">IFERROR(__xludf.DUMMYFUNCTION("""COMPUTED_VALUE"""),"2023-05-34-SPLIT")</f>
        <v>2023-05-34-SPLIT</v>
      </c>
      <c r="K1053" s="164" t="str">
        <f ca="1">IFERROR(__xludf.DUMMYFUNCTION("""COMPUTED_VALUE"""),"Santiago Martin Peregrono")</f>
        <v>Santiago Martin Peregrono</v>
      </c>
      <c r="L1053" s="164" t="str">
        <f ca="1">IFERROR(__xludf.DUMMYFUNCTION("""COMPUTED_VALUE"""),"DARPO Pangasinan")</f>
        <v>DARPO Pangasinan</v>
      </c>
      <c r="M1053" s="164" t="str">
        <f ca="1">IFERROR(__xludf.DUMMYFUNCTION("""COMPUTED_VALUE"""),"SERVICEABLE")</f>
        <v>SERVICEABLE</v>
      </c>
      <c r="N1053" s="164"/>
    </row>
    <row r="1054" spans="1:14" ht="13.2" hidden="1">
      <c r="A1054" s="164" t="str">
        <f ca="1">IFERROR(__xludf.DUMMYFUNCTION("""COMPUTED_VALUE"""),"Region I")</f>
        <v>Region I</v>
      </c>
      <c r="B1054" s="164" t="str">
        <f ca="1">IFERROR(__xludf.DUMMYFUNCTION("""COMPUTED_VALUE"""),"Pangasinan")</f>
        <v>Pangasinan</v>
      </c>
      <c r="C1054" s="164" t="str">
        <f ca="1">IFERROR(__xludf.DUMMYFUNCTION("""COMPUTED_VALUE"""),"Desktop Computer – (Lenovo M70T)")</f>
        <v>Desktop Computer – (Lenovo M70T)</v>
      </c>
      <c r="D1054" s="164" t="str">
        <f ca="1">IFERROR(__xludf.DUMMYFUNCTION("""COMPUTED_VALUE"""),"₱ 75,468.00")</f>
        <v>₱ 75,468.00</v>
      </c>
      <c r="E1054" s="164" t="str">
        <f ca="1">IFERROR(__xludf.DUMMYFUNCTION("""COMPUTED_VALUE"""),"₱ -")</f>
        <v>₱ -</v>
      </c>
      <c r="F1054" s="164" t="str">
        <f ca="1">IFERROR(__xludf.DUMMYFUNCTION("""COMPUTED_VALUE"""),"2023-05-03-10201SP637-01")</f>
        <v>2023-05-03-10201SP637-01</v>
      </c>
      <c r="G1054" s="164" t="str">
        <f ca="1">IFERROR(__xludf.DUMMYFUNCTION("""COMPUTED_VALUE"""),"1S11T5S16200GM02ZT94")</f>
        <v>1S11T5S16200GM02ZT94</v>
      </c>
      <c r="H1054" s="164" t="str">
        <f ca="1">IFERROR(__xludf.DUMMYFUNCTION("""COMPUTED_VALUE"""),"Maria Ana V. Francisco")</f>
        <v>Maria Ana V. Francisco</v>
      </c>
      <c r="I1054" s="164" t="str">
        <f ca="1">IFERROR(__xludf.DUMMYFUNCTION("""COMPUTED_VALUE"""),"Regional Director")</f>
        <v>Regional Director</v>
      </c>
      <c r="J1054" s="164" t="str">
        <f ca="1">IFERROR(__xludf.DUMMYFUNCTION("""COMPUTED_VALUE"""),"2023-05-34-SPLIT")</f>
        <v>2023-05-34-SPLIT</v>
      </c>
      <c r="K1054" s="164" t="str">
        <f ca="1">IFERROR(__xludf.DUMMYFUNCTION("""COMPUTED_VALUE"""),"Blesilda Asidre")</f>
        <v>Blesilda Asidre</v>
      </c>
      <c r="L1054" s="164" t="str">
        <f ca="1">IFERROR(__xludf.DUMMYFUNCTION("""COMPUTED_VALUE"""),"DARPO Pangasinan")</f>
        <v>DARPO Pangasinan</v>
      </c>
      <c r="M1054" s="164" t="str">
        <f ca="1">IFERROR(__xludf.DUMMYFUNCTION("""COMPUTED_VALUE"""),"SERVICEABLE")</f>
        <v>SERVICEABLE</v>
      </c>
      <c r="N1054" s="164"/>
    </row>
    <row r="1055" spans="1:14" ht="13.2" hidden="1">
      <c r="A1055" s="164" t="str">
        <f ca="1">IFERROR(__xludf.DUMMYFUNCTION("""COMPUTED_VALUE"""),"Region I")</f>
        <v>Region I</v>
      </c>
      <c r="B1055" s="164" t="str">
        <f ca="1">IFERROR(__xludf.DUMMYFUNCTION("""COMPUTED_VALUE"""),"Pangasinan")</f>
        <v>Pangasinan</v>
      </c>
      <c r="C1055" s="164" t="str">
        <f ca="1">IFERROR(__xludf.DUMMYFUNCTION("""COMPUTED_VALUE"""),"Desktop Computer – (Lenovo M70T)")</f>
        <v>Desktop Computer – (Lenovo M70T)</v>
      </c>
      <c r="D1055" s="164" t="str">
        <f ca="1">IFERROR(__xludf.DUMMYFUNCTION("""COMPUTED_VALUE"""),"₱ 75,468.00")</f>
        <v>₱ 75,468.00</v>
      </c>
      <c r="E1055" s="164" t="str">
        <f ca="1">IFERROR(__xludf.DUMMYFUNCTION("""COMPUTED_VALUE"""),"₱ -")</f>
        <v>₱ -</v>
      </c>
      <c r="F1055" s="164" t="str">
        <f ca="1">IFERROR(__xludf.DUMMYFUNCTION("""COMPUTED_VALUE"""),"2023-05-03-10201SP638-01")</f>
        <v>2023-05-03-10201SP638-01</v>
      </c>
      <c r="G1055" s="164" t="str">
        <f ca="1">IFERROR(__xludf.DUMMYFUNCTION("""COMPUTED_VALUE"""),"1S11T5S16200GM02ZT8J")</f>
        <v>1S11T5S16200GM02ZT8J</v>
      </c>
      <c r="H1055" s="164" t="str">
        <f ca="1">IFERROR(__xludf.DUMMYFUNCTION("""COMPUTED_VALUE"""),"Maria Ana V. Francisco")</f>
        <v>Maria Ana V. Francisco</v>
      </c>
      <c r="I1055" s="164" t="str">
        <f ca="1">IFERROR(__xludf.DUMMYFUNCTION("""COMPUTED_VALUE"""),"Regional Director")</f>
        <v>Regional Director</v>
      </c>
      <c r="J1055" s="164" t="str">
        <f ca="1">IFERROR(__xludf.DUMMYFUNCTION("""COMPUTED_VALUE"""),"2023-05-34-SPLIT")</f>
        <v>2023-05-34-SPLIT</v>
      </c>
      <c r="K1055" s="164" t="str">
        <f ca="1">IFERROR(__xludf.DUMMYFUNCTION("""COMPUTED_VALUE"""),"Atty. Tristan Juvenino Adviento")</f>
        <v>Atty. Tristan Juvenino Adviento</v>
      </c>
      <c r="L1055" s="164" t="str">
        <f ca="1">IFERROR(__xludf.DUMMYFUNCTION("""COMPUTED_VALUE"""),"DARPO Pangasinan")</f>
        <v>DARPO Pangasinan</v>
      </c>
      <c r="M1055" s="164" t="str">
        <f ca="1">IFERROR(__xludf.DUMMYFUNCTION("""COMPUTED_VALUE"""),"SERVICEABLE")</f>
        <v>SERVICEABLE</v>
      </c>
      <c r="N1055" s="164"/>
    </row>
    <row r="1056" spans="1:14" ht="13.2" hidden="1">
      <c r="A1056" s="164" t="str">
        <f ca="1">IFERROR(__xludf.DUMMYFUNCTION("""COMPUTED_VALUE"""),"Region I")</f>
        <v>Region I</v>
      </c>
      <c r="B1056" s="164" t="str">
        <f ca="1">IFERROR(__xludf.DUMMYFUNCTION("""COMPUTED_VALUE"""),"Pangasinan")</f>
        <v>Pangasinan</v>
      </c>
      <c r="C1056" s="164" t="str">
        <f ca="1">IFERROR(__xludf.DUMMYFUNCTION("""COMPUTED_VALUE"""),"Desktop Computer – (Lenovo M70T)")</f>
        <v>Desktop Computer – (Lenovo M70T)</v>
      </c>
      <c r="D1056" s="164" t="str">
        <f ca="1">IFERROR(__xludf.DUMMYFUNCTION("""COMPUTED_VALUE"""),"₱ 75,468.00")</f>
        <v>₱ 75,468.00</v>
      </c>
      <c r="E1056" s="164" t="str">
        <f ca="1">IFERROR(__xludf.DUMMYFUNCTION("""COMPUTED_VALUE"""),"₱ -")</f>
        <v>₱ -</v>
      </c>
      <c r="F1056" s="164" t="str">
        <f ca="1">IFERROR(__xludf.DUMMYFUNCTION("""COMPUTED_VALUE"""),"2023-05-03-10201SP639-01")</f>
        <v>2023-05-03-10201SP639-01</v>
      </c>
      <c r="G1056" s="164" t="str">
        <f ca="1">IFERROR(__xludf.DUMMYFUNCTION("""COMPUTED_VALUE"""),"1S11T5S16200GM0418L0")</f>
        <v>1S11T5S16200GM0418L0</v>
      </c>
      <c r="H1056" s="164" t="str">
        <f ca="1">IFERROR(__xludf.DUMMYFUNCTION("""COMPUTED_VALUE"""),"Maria Ana V. Francisco")</f>
        <v>Maria Ana V. Francisco</v>
      </c>
      <c r="I1056" s="164" t="str">
        <f ca="1">IFERROR(__xludf.DUMMYFUNCTION("""COMPUTED_VALUE"""),"Regional Director")</f>
        <v>Regional Director</v>
      </c>
      <c r="J1056" s="164" t="str">
        <f ca="1">IFERROR(__xludf.DUMMYFUNCTION("""COMPUTED_VALUE"""),"2023-05-34-SPLIT")</f>
        <v>2023-05-34-SPLIT</v>
      </c>
      <c r="K1056" s="164" t="str">
        <f ca="1">IFERROR(__xludf.DUMMYFUNCTION("""COMPUTED_VALUE"""),"Hedy B. Dela Cruz")</f>
        <v>Hedy B. Dela Cruz</v>
      </c>
      <c r="L1056" s="164" t="str">
        <f ca="1">IFERROR(__xludf.DUMMYFUNCTION("""COMPUTED_VALUE"""),"DARPO Pangasinan")</f>
        <v>DARPO Pangasinan</v>
      </c>
      <c r="M1056" s="164" t="str">
        <f ca="1">IFERROR(__xludf.DUMMYFUNCTION("""COMPUTED_VALUE"""),"SERVICEABLE")</f>
        <v>SERVICEABLE</v>
      </c>
      <c r="N1056" s="164"/>
    </row>
    <row r="1057" spans="1:14" ht="13.2" hidden="1">
      <c r="A1057" s="164" t="str">
        <f ca="1">IFERROR(__xludf.DUMMYFUNCTION("""COMPUTED_VALUE"""),"Region I")</f>
        <v>Region I</v>
      </c>
      <c r="B1057" s="164" t="str">
        <f ca="1">IFERROR(__xludf.DUMMYFUNCTION("""COMPUTED_VALUE"""),"Pangasinan")</f>
        <v>Pangasinan</v>
      </c>
      <c r="C1057" s="164" t="str">
        <f ca="1">IFERROR(__xludf.DUMMYFUNCTION("""COMPUTED_VALUE"""),"Desktop Computer – (Lenovo M70T)")</f>
        <v>Desktop Computer – (Lenovo M70T)</v>
      </c>
      <c r="D1057" s="164" t="str">
        <f ca="1">IFERROR(__xludf.DUMMYFUNCTION("""COMPUTED_VALUE"""),"₱ 75,468.00")</f>
        <v>₱ 75,468.00</v>
      </c>
      <c r="E1057" s="164" t="str">
        <f ca="1">IFERROR(__xludf.DUMMYFUNCTION("""COMPUTED_VALUE"""),"₱ -")</f>
        <v>₱ -</v>
      </c>
      <c r="F1057" s="164" t="str">
        <f ca="1">IFERROR(__xludf.DUMMYFUNCTION("""COMPUTED_VALUE"""),"2023-05-03-10201SP640-01")</f>
        <v>2023-05-03-10201SP640-01</v>
      </c>
      <c r="G1057" s="164" t="str">
        <f ca="1">IFERROR(__xludf.DUMMYFUNCTION("""COMPUTED_VALUE"""),"1S11T5S16200GM02ZT8W")</f>
        <v>1S11T5S16200GM02ZT8W</v>
      </c>
      <c r="H1057" s="164" t="str">
        <f ca="1">IFERROR(__xludf.DUMMYFUNCTION("""COMPUTED_VALUE"""),"Maria Ana V. Francisco")</f>
        <v>Maria Ana V. Francisco</v>
      </c>
      <c r="I1057" s="164" t="str">
        <f ca="1">IFERROR(__xludf.DUMMYFUNCTION("""COMPUTED_VALUE"""),"Regional Director")</f>
        <v>Regional Director</v>
      </c>
      <c r="J1057" s="164" t="str">
        <f ca="1">IFERROR(__xludf.DUMMYFUNCTION("""COMPUTED_VALUE"""),"2023-05-34-SPLIT")</f>
        <v>2023-05-34-SPLIT</v>
      </c>
      <c r="K1057" s="164" t="str">
        <f ca="1">IFERROR(__xludf.DUMMYFUNCTION("""COMPUTED_VALUE"""),"Charlotte F. Lasmarias")</f>
        <v>Charlotte F. Lasmarias</v>
      </c>
      <c r="L1057" s="164" t="str">
        <f ca="1">IFERROR(__xludf.DUMMYFUNCTION("""COMPUTED_VALUE"""),"DARPO Pangasinan")</f>
        <v>DARPO Pangasinan</v>
      </c>
      <c r="M1057" s="164" t="str">
        <f ca="1">IFERROR(__xludf.DUMMYFUNCTION("""COMPUTED_VALUE"""),"SERVICEABLE")</f>
        <v>SERVICEABLE</v>
      </c>
      <c r="N1057" s="164"/>
    </row>
    <row r="1058" spans="1:14" ht="13.2" hidden="1">
      <c r="A1058" s="164" t="str">
        <f ca="1">IFERROR(__xludf.DUMMYFUNCTION("""COMPUTED_VALUE"""),"Region I")</f>
        <v>Region I</v>
      </c>
      <c r="B1058" s="164" t="str">
        <f ca="1">IFERROR(__xludf.DUMMYFUNCTION("""COMPUTED_VALUE"""),"La Union")</f>
        <v>La Union</v>
      </c>
      <c r="C1058" s="164" t="str">
        <f ca="1">IFERROR(__xludf.DUMMYFUNCTION("""COMPUTED_VALUE"""),"Desktop Computer – (Lenovo M70T)")</f>
        <v>Desktop Computer – (Lenovo M70T)</v>
      </c>
      <c r="D1058" s="164" t="str">
        <f ca="1">IFERROR(__xludf.DUMMYFUNCTION("""COMPUTED_VALUE"""),"₱ 75,468.00")</f>
        <v>₱ 75,468.00</v>
      </c>
      <c r="E1058" s="164" t="str">
        <f ca="1">IFERROR(__xludf.DUMMYFUNCTION("""COMPUTED_VALUE"""),"₱ -")</f>
        <v>₱ -</v>
      </c>
      <c r="F1058" s="164" t="str">
        <f ca="1">IFERROR(__xludf.DUMMYFUNCTION("""COMPUTED_VALUE"""),"2023-05-03-10201SP641-01")</f>
        <v>2023-05-03-10201SP641-01</v>
      </c>
      <c r="G1058" s="164" t="str">
        <f ca="1">IFERROR(__xludf.DUMMYFUNCTION("""COMPUTED_VALUE"""),"1S11T5S16200GM02ZT7J")</f>
        <v>1S11T5S16200GM02ZT7J</v>
      </c>
      <c r="H1058" s="164" t="str">
        <f ca="1">IFERROR(__xludf.DUMMYFUNCTION("""COMPUTED_VALUE"""),"Christianne C. Suguitan")</f>
        <v>Christianne C. Suguitan</v>
      </c>
      <c r="I1058" s="164" t="str">
        <f ca="1">IFERROR(__xludf.DUMMYFUNCTION("""COMPUTED_VALUE"""),"PARPO II")</f>
        <v>PARPO II</v>
      </c>
      <c r="J1058" s="164" t="str">
        <f ca="1">IFERROR(__xludf.DUMMYFUNCTION("""COMPUTED_VALUE"""),"2023-05-32-SPLIT")</f>
        <v>2023-05-32-SPLIT</v>
      </c>
      <c r="K1058" s="164" t="str">
        <f ca="1">IFERROR(__xludf.DUMMYFUNCTION("""COMPUTED_VALUE"""),"Ernesto D. Cariño Jr")</f>
        <v>Ernesto D. Cariño Jr</v>
      </c>
      <c r="L1058" s="164" t="str">
        <f ca="1">IFERROR(__xludf.DUMMYFUNCTION("""COMPUTED_VALUE"""),"DARPO La Union")</f>
        <v>DARPO La Union</v>
      </c>
      <c r="M1058" s="164" t="str">
        <f ca="1">IFERROR(__xludf.DUMMYFUNCTION("""COMPUTED_VALUE"""),"SERVICEABLE")</f>
        <v>SERVICEABLE</v>
      </c>
      <c r="N1058" s="164" t="str">
        <f ca="1">IFERROR(__xludf.DUMMYFUNCTION("""COMPUTED_VALUE"""),"PRINTER DEFFECTIVE")</f>
        <v>PRINTER DEFFECTIVE</v>
      </c>
    </row>
    <row r="1059" spans="1:14" ht="13.2" hidden="1">
      <c r="A1059" s="164" t="str">
        <f ca="1">IFERROR(__xludf.DUMMYFUNCTION("""COMPUTED_VALUE"""),"Region I")</f>
        <v>Region I</v>
      </c>
      <c r="B1059" s="164" t="str">
        <f ca="1">IFERROR(__xludf.DUMMYFUNCTION("""COMPUTED_VALUE"""),"La Union")</f>
        <v>La Union</v>
      </c>
      <c r="C1059" s="164" t="str">
        <f ca="1">IFERROR(__xludf.DUMMYFUNCTION("""COMPUTED_VALUE"""),"Desktop Computer – (Lenovo M70T)")</f>
        <v>Desktop Computer – (Lenovo M70T)</v>
      </c>
      <c r="D1059" s="164" t="str">
        <f ca="1">IFERROR(__xludf.DUMMYFUNCTION("""COMPUTED_VALUE"""),"₱ 75,468.00")</f>
        <v>₱ 75,468.00</v>
      </c>
      <c r="E1059" s="164" t="str">
        <f ca="1">IFERROR(__xludf.DUMMYFUNCTION("""COMPUTED_VALUE"""),"₱ -")</f>
        <v>₱ -</v>
      </c>
      <c r="F1059" s="164" t="str">
        <f ca="1">IFERROR(__xludf.DUMMYFUNCTION("""COMPUTED_VALUE"""),"2023-05-03-10201SP642-01")</f>
        <v>2023-05-03-10201SP642-01</v>
      </c>
      <c r="G1059" s="164" t="str">
        <f ca="1">IFERROR(__xludf.DUMMYFUNCTION("""COMPUTED_VALUE"""),"1S11T5S16200GM02ZT9J")</f>
        <v>1S11T5S16200GM02ZT9J</v>
      </c>
      <c r="H1059" s="164" t="str">
        <f ca="1">IFERROR(__xludf.DUMMYFUNCTION("""COMPUTED_VALUE"""),"Christianne C. Suguitan")</f>
        <v>Christianne C. Suguitan</v>
      </c>
      <c r="I1059" s="164" t="str">
        <f ca="1">IFERROR(__xludf.DUMMYFUNCTION("""COMPUTED_VALUE"""),"PARPO II")</f>
        <v>PARPO II</v>
      </c>
      <c r="J1059" s="164" t="str">
        <f ca="1">IFERROR(__xludf.DUMMYFUNCTION("""COMPUTED_VALUE"""),"2023-05-32-SPLIT")</f>
        <v>2023-05-32-SPLIT</v>
      </c>
      <c r="K1059" s="164" t="str">
        <f ca="1">IFERROR(__xludf.DUMMYFUNCTION("""COMPUTED_VALUE"""),"Jediah A. Rivera")</f>
        <v>Jediah A. Rivera</v>
      </c>
      <c r="L1059" s="164" t="str">
        <f ca="1">IFERROR(__xludf.DUMMYFUNCTION("""COMPUTED_VALUE"""),"DARPO La Union")</f>
        <v>DARPO La Union</v>
      </c>
      <c r="M1059" s="164" t="str">
        <f ca="1">IFERROR(__xludf.DUMMYFUNCTION("""COMPUTED_VALUE"""),"SERVICEABLE")</f>
        <v>SERVICEABLE</v>
      </c>
      <c r="N1059" s="164" t="str">
        <f ca="1">IFERROR(__xludf.DUMMYFUNCTION("""COMPUTED_VALUE"""),"UPS DEFFECTIVE")</f>
        <v>UPS DEFFECTIVE</v>
      </c>
    </row>
    <row r="1060" spans="1:14" ht="13.2" hidden="1">
      <c r="A1060" s="164" t="str">
        <f ca="1">IFERROR(__xludf.DUMMYFUNCTION("""COMPUTED_VALUE"""),"Region I")</f>
        <v>Region I</v>
      </c>
      <c r="B1060" s="164" t="str">
        <f ca="1">IFERROR(__xludf.DUMMYFUNCTION("""COMPUTED_VALUE"""),"La Union")</f>
        <v>La Union</v>
      </c>
      <c r="C1060" s="164" t="str">
        <f ca="1">IFERROR(__xludf.DUMMYFUNCTION("""COMPUTED_VALUE"""),"Desktop Computer – (Lenovo M70T)")</f>
        <v>Desktop Computer – (Lenovo M70T)</v>
      </c>
      <c r="D1060" s="164" t="str">
        <f ca="1">IFERROR(__xludf.DUMMYFUNCTION("""COMPUTED_VALUE"""),"₱ 75,468.00")</f>
        <v>₱ 75,468.00</v>
      </c>
      <c r="E1060" s="164" t="str">
        <f ca="1">IFERROR(__xludf.DUMMYFUNCTION("""COMPUTED_VALUE"""),"₱ -")</f>
        <v>₱ -</v>
      </c>
      <c r="F1060" s="164" t="str">
        <f ca="1">IFERROR(__xludf.DUMMYFUNCTION("""COMPUTED_VALUE"""),"2023-05-03-10201SP643-01")</f>
        <v>2023-05-03-10201SP643-01</v>
      </c>
      <c r="G1060" s="164" t="str">
        <f ca="1">IFERROR(__xludf.DUMMYFUNCTION("""COMPUTED_VALUE"""),"1S11T5S16200GM02ZT82")</f>
        <v>1S11T5S16200GM02ZT82</v>
      </c>
      <c r="H1060" s="164" t="str">
        <f ca="1">IFERROR(__xludf.DUMMYFUNCTION("""COMPUTED_VALUE"""),"Christianne C. Suguitan")</f>
        <v>Christianne C. Suguitan</v>
      </c>
      <c r="I1060" s="164" t="str">
        <f ca="1">IFERROR(__xludf.DUMMYFUNCTION("""COMPUTED_VALUE"""),"PARPO II")</f>
        <v>PARPO II</v>
      </c>
      <c r="J1060" s="164" t="str">
        <f ca="1">IFERROR(__xludf.DUMMYFUNCTION("""COMPUTED_VALUE"""),"2023-05-32-SPLIT")</f>
        <v>2023-05-32-SPLIT</v>
      </c>
      <c r="K1060" s="164" t="str">
        <f ca="1">IFERROR(__xludf.DUMMYFUNCTION("""COMPUTED_VALUE"""),"Jerry M. Rufin Jr.")</f>
        <v>Jerry M. Rufin Jr.</v>
      </c>
      <c r="L1060" s="164" t="str">
        <f ca="1">IFERROR(__xludf.DUMMYFUNCTION("""COMPUTED_VALUE"""),"DARPO La Union")</f>
        <v>DARPO La Union</v>
      </c>
      <c r="M1060" s="164" t="str">
        <f ca="1">IFERROR(__xludf.DUMMYFUNCTION("""COMPUTED_VALUE"""),"SERVICEABLE")</f>
        <v>SERVICEABLE</v>
      </c>
      <c r="N1060" s="164"/>
    </row>
    <row r="1061" spans="1:14" ht="13.2" hidden="1">
      <c r="A1061" s="164" t="str">
        <f ca="1">IFERROR(__xludf.DUMMYFUNCTION("""COMPUTED_VALUE"""),"Region I")</f>
        <v>Region I</v>
      </c>
      <c r="B1061" s="164" t="str">
        <f ca="1">IFERROR(__xludf.DUMMYFUNCTION("""COMPUTED_VALUE"""),"La Union")</f>
        <v>La Union</v>
      </c>
      <c r="C1061" s="164" t="str">
        <f ca="1">IFERROR(__xludf.DUMMYFUNCTION("""COMPUTED_VALUE"""),"Desktop Computer – (Lenovo M70T)")</f>
        <v>Desktop Computer – (Lenovo M70T)</v>
      </c>
      <c r="D1061" s="164" t="str">
        <f ca="1">IFERROR(__xludf.DUMMYFUNCTION("""COMPUTED_VALUE"""),"₱ 75,468.00")</f>
        <v>₱ 75,468.00</v>
      </c>
      <c r="E1061" s="164" t="str">
        <f ca="1">IFERROR(__xludf.DUMMYFUNCTION("""COMPUTED_VALUE"""),"₱ -")</f>
        <v>₱ -</v>
      </c>
      <c r="F1061" s="164" t="str">
        <f ca="1">IFERROR(__xludf.DUMMYFUNCTION("""COMPUTED_VALUE"""),"2023-05-03-10201SP644-01")</f>
        <v>2023-05-03-10201SP644-01</v>
      </c>
      <c r="G1061" s="164" t="str">
        <f ca="1">IFERROR(__xludf.DUMMYFUNCTION("""COMPUTED_VALUE"""),"1S11T5S16200GM02ZT8C")</f>
        <v>1S11T5S16200GM02ZT8C</v>
      </c>
      <c r="H1061" s="164" t="str">
        <f ca="1">IFERROR(__xludf.DUMMYFUNCTION("""COMPUTED_VALUE"""),"Christianne C. Suguitan")</f>
        <v>Christianne C. Suguitan</v>
      </c>
      <c r="I1061" s="164" t="str">
        <f ca="1">IFERROR(__xludf.DUMMYFUNCTION("""COMPUTED_VALUE"""),"PARPO II")</f>
        <v>PARPO II</v>
      </c>
      <c r="J1061" s="164" t="str">
        <f ca="1">IFERROR(__xludf.DUMMYFUNCTION("""COMPUTED_VALUE"""),"2023-05-32-SPLIT")</f>
        <v>2023-05-32-SPLIT</v>
      </c>
      <c r="K1061" s="164" t="str">
        <f ca="1">IFERROR(__xludf.DUMMYFUNCTION("""COMPUTED_VALUE"""),"Kimbery Ann C. Granaderos")</f>
        <v>Kimbery Ann C. Granaderos</v>
      </c>
      <c r="L1061" s="164" t="str">
        <f ca="1">IFERROR(__xludf.DUMMYFUNCTION("""COMPUTED_VALUE"""),"DARPO La Union")</f>
        <v>DARPO La Union</v>
      </c>
      <c r="M1061" s="164" t="str">
        <f ca="1">IFERROR(__xludf.DUMMYFUNCTION("""COMPUTED_VALUE"""),"SERVICEABLE")</f>
        <v>SERVICEABLE</v>
      </c>
      <c r="N1061" s="164" t="str">
        <f ca="1">IFERROR(__xludf.DUMMYFUNCTION("""COMPUTED_VALUE"""),"MONITOR DEFFECTIVE")</f>
        <v>MONITOR DEFFECTIVE</v>
      </c>
    </row>
    <row r="1062" spans="1:14" ht="13.2" hidden="1">
      <c r="A1062" s="164" t="str">
        <f ca="1">IFERROR(__xludf.DUMMYFUNCTION("""COMPUTED_VALUE"""),"Region I")</f>
        <v>Region I</v>
      </c>
      <c r="B1062" s="164" t="str">
        <f ca="1">IFERROR(__xludf.DUMMYFUNCTION("""COMPUTED_VALUE"""),"La Union")</f>
        <v>La Union</v>
      </c>
      <c r="C1062" s="164" t="str">
        <f ca="1">IFERROR(__xludf.DUMMYFUNCTION("""COMPUTED_VALUE"""),"Desktop Computer – (Lenovo M70T)")</f>
        <v>Desktop Computer – (Lenovo M70T)</v>
      </c>
      <c r="D1062" s="164" t="str">
        <f ca="1">IFERROR(__xludf.DUMMYFUNCTION("""COMPUTED_VALUE"""),"₱ 75,468.00")</f>
        <v>₱ 75,468.00</v>
      </c>
      <c r="E1062" s="164" t="str">
        <f ca="1">IFERROR(__xludf.DUMMYFUNCTION("""COMPUTED_VALUE"""),"₱ -")</f>
        <v>₱ -</v>
      </c>
      <c r="F1062" s="164" t="str">
        <f ca="1">IFERROR(__xludf.DUMMYFUNCTION("""COMPUTED_VALUE"""),"2023-05-03-10201SP645-01")</f>
        <v>2023-05-03-10201SP645-01</v>
      </c>
      <c r="G1062" s="164" t="str">
        <f ca="1">IFERROR(__xludf.DUMMYFUNCTION("""COMPUTED_VALUE"""),"1S11T5S16200GM041B60")</f>
        <v>1S11T5S16200GM041B60</v>
      </c>
      <c r="H1062" s="164" t="str">
        <f ca="1">IFERROR(__xludf.DUMMYFUNCTION("""COMPUTED_VALUE"""),"Christianne C. Suguitan")</f>
        <v>Christianne C. Suguitan</v>
      </c>
      <c r="I1062" s="164" t="str">
        <f ca="1">IFERROR(__xludf.DUMMYFUNCTION("""COMPUTED_VALUE"""),"PARPO II")</f>
        <v>PARPO II</v>
      </c>
      <c r="J1062" s="164" t="str">
        <f ca="1">IFERROR(__xludf.DUMMYFUNCTION("""COMPUTED_VALUE"""),"2023-05-32-SPLIT")</f>
        <v>2023-05-32-SPLIT</v>
      </c>
      <c r="K1062" s="164" t="str">
        <f ca="1">IFERROR(__xludf.DUMMYFUNCTION("""COMPUTED_VALUE"""),"Jessa Faye N. Crusin")</f>
        <v>Jessa Faye N. Crusin</v>
      </c>
      <c r="L1062" s="164" t="str">
        <f ca="1">IFERROR(__xludf.DUMMYFUNCTION("""COMPUTED_VALUE"""),"DARPO La Union")</f>
        <v>DARPO La Union</v>
      </c>
      <c r="M1062" s="164" t="str">
        <f ca="1">IFERROR(__xludf.DUMMYFUNCTION("""COMPUTED_VALUE"""),"SERVICEABLE")</f>
        <v>SERVICEABLE</v>
      </c>
      <c r="N1062" s="164" t="str">
        <f ca="1">IFERROR(__xludf.DUMMYFUNCTION("""COMPUTED_VALUE"""),"UPS DEFFECTIVE")</f>
        <v>UPS DEFFECTIVE</v>
      </c>
    </row>
    <row r="1063" spans="1:14" ht="13.2" hidden="1">
      <c r="A1063" s="164" t="str">
        <f ca="1">IFERROR(__xludf.DUMMYFUNCTION("""COMPUTED_VALUE"""),"Region I")</f>
        <v>Region I</v>
      </c>
      <c r="B1063" s="164" t="str">
        <f ca="1">IFERROR(__xludf.DUMMYFUNCTION("""COMPUTED_VALUE"""),"La Union")</f>
        <v>La Union</v>
      </c>
      <c r="C1063" s="164" t="str">
        <f ca="1">IFERROR(__xludf.DUMMYFUNCTION("""COMPUTED_VALUE"""),"Desktop Computer – (Lenovo M70T)")</f>
        <v>Desktop Computer – (Lenovo M70T)</v>
      </c>
      <c r="D1063" s="164" t="str">
        <f ca="1">IFERROR(__xludf.DUMMYFUNCTION("""COMPUTED_VALUE"""),"₱ 75,468.00")</f>
        <v>₱ 75,468.00</v>
      </c>
      <c r="E1063" s="164" t="str">
        <f ca="1">IFERROR(__xludf.DUMMYFUNCTION("""COMPUTED_VALUE"""),"₱ -")</f>
        <v>₱ -</v>
      </c>
      <c r="F1063" s="164" t="str">
        <f ca="1">IFERROR(__xludf.DUMMYFUNCTION("""COMPUTED_VALUE"""),"2023-05-03-10201SP646-01")</f>
        <v>2023-05-03-10201SP646-01</v>
      </c>
      <c r="G1063" s="164" t="str">
        <f ca="1">IFERROR(__xludf.DUMMYFUNCTION("""COMPUTED_VALUE"""),"1S11T5S16200GM02ZT7B")</f>
        <v>1S11T5S16200GM02ZT7B</v>
      </c>
      <c r="H1063" s="164" t="str">
        <f ca="1">IFERROR(__xludf.DUMMYFUNCTION("""COMPUTED_VALUE"""),"Christianne C. Suguitan")</f>
        <v>Christianne C. Suguitan</v>
      </c>
      <c r="I1063" s="164" t="str">
        <f ca="1">IFERROR(__xludf.DUMMYFUNCTION("""COMPUTED_VALUE"""),"PARPO II")</f>
        <v>PARPO II</v>
      </c>
      <c r="J1063" s="164" t="str">
        <f ca="1">IFERROR(__xludf.DUMMYFUNCTION("""COMPUTED_VALUE"""),"2023-05-32-SPLIT")</f>
        <v>2023-05-32-SPLIT</v>
      </c>
      <c r="K1063" s="164" t="str">
        <f ca="1">IFERROR(__xludf.DUMMYFUNCTION("""COMPUTED_VALUE"""),"Julie Ann N. Lara")</f>
        <v>Julie Ann N. Lara</v>
      </c>
      <c r="L1063" s="164" t="str">
        <f ca="1">IFERROR(__xludf.DUMMYFUNCTION("""COMPUTED_VALUE"""),"DARPO La Union")</f>
        <v>DARPO La Union</v>
      </c>
      <c r="M1063" s="164" t="str">
        <f ca="1">IFERROR(__xludf.DUMMYFUNCTION("""COMPUTED_VALUE"""),"SERVICEABLE")</f>
        <v>SERVICEABLE</v>
      </c>
      <c r="N1063" s="164"/>
    </row>
    <row r="1064" spans="1:14" ht="13.2" hidden="1">
      <c r="A1064" s="164" t="str">
        <f ca="1">IFERROR(__xludf.DUMMYFUNCTION("""COMPUTED_VALUE"""),"Region I")</f>
        <v>Region I</v>
      </c>
      <c r="B1064" s="164" t="str">
        <f ca="1">IFERROR(__xludf.DUMMYFUNCTION("""COMPUTED_VALUE"""),"La Union")</f>
        <v>La Union</v>
      </c>
      <c r="C1064" s="164" t="str">
        <f ca="1">IFERROR(__xludf.DUMMYFUNCTION("""COMPUTED_VALUE"""),"Desktop Computer – (Lenovo M70T)")</f>
        <v>Desktop Computer – (Lenovo M70T)</v>
      </c>
      <c r="D1064" s="164" t="str">
        <f ca="1">IFERROR(__xludf.DUMMYFUNCTION("""COMPUTED_VALUE"""),"₱ 75,468.00")</f>
        <v>₱ 75,468.00</v>
      </c>
      <c r="E1064" s="164" t="str">
        <f ca="1">IFERROR(__xludf.DUMMYFUNCTION("""COMPUTED_VALUE"""),"₱ -")</f>
        <v>₱ -</v>
      </c>
      <c r="F1064" s="164" t="str">
        <f ca="1">IFERROR(__xludf.DUMMYFUNCTION("""COMPUTED_VALUE"""),"2023-05-03-10201SP647-01")</f>
        <v>2023-05-03-10201SP647-01</v>
      </c>
      <c r="G1064" s="164" t="str">
        <f ca="1">IFERROR(__xludf.DUMMYFUNCTION("""COMPUTED_VALUE"""),"1S11T5S16200GM02ZT99")</f>
        <v>1S11T5S16200GM02ZT99</v>
      </c>
      <c r="H1064" s="164" t="str">
        <f ca="1">IFERROR(__xludf.DUMMYFUNCTION("""COMPUTED_VALUE"""),"Christianne C. Suguitan")</f>
        <v>Christianne C. Suguitan</v>
      </c>
      <c r="I1064" s="164" t="str">
        <f ca="1">IFERROR(__xludf.DUMMYFUNCTION("""COMPUTED_VALUE"""),"PARPO II")</f>
        <v>PARPO II</v>
      </c>
      <c r="J1064" s="164" t="str">
        <f ca="1">IFERROR(__xludf.DUMMYFUNCTION("""COMPUTED_VALUE"""),"2023-05-32-SPLIT")</f>
        <v>2023-05-32-SPLIT</v>
      </c>
      <c r="K1064" s="164" t="str">
        <f ca="1">IFERROR(__xludf.DUMMYFUNCTION("""COMPUTED_VALUE"""),"Elizabeth E. Morta")</f>
        <v>Elizabeth E. Morta</v>
      </c>
      <c r="L1064" s="164" t="str">
        <f ca="1">IFERROR(__xludf.DUMMYFUNCTION("""COMPUTED_VALUE"""),"DARPO La Union")</f>
        <v>DARPO La Union</v>
      </c>
      <c r="M1064" s="164" t="str">
        <f ca="1">IFERROR(__xludf.DUMMYFUNCTION("""COMPUTED_VALUE"""),"SERVICEABLE")</f>
        <v>SERVICEABLE</v>
      </c>
      <c r="N1064" s="164" t="str">
        <f ca="1">IFERROR(__xludf.DUMMYFUNCTION("""COMPUTED_VALUE"""),"PRINTER DEFFECTIVE")</f>
        <v>PRINTER DEFFECTIVE</v>
      </c>
    </row>
    <row r="1065" spans="1:14" ht="13.2" hidden="1">
      <c r="A1065" s="164" t="str">
        <f ca="1">IFERROR(__xludf.DUMMYFUNCTION("""COMPUTED_VALUE"""),"Region I")</f>
        <v>Region I</v>
      </c>
      <c r="B1065" s="164" t="str">
        <f ca="1">IFERROR(__xludf.DUMMYFUNCTION("""COMPUTED_VALUE"""),"La Union")</f>
        <v>La Union</v>
      </c>
      <c r="C1065" s="164" t="str">
        <f ca="1">IFERROR(__xludf.DUMMYFUNCTION("""COMPUTED_VALUE"""),"Desktop Computer – (Lenovo M70T)")</f>
        <v>Desktop Computer – (Lenovo M70T)</v>
      </c>
      <c r="D1065" s="164" t="str">
        <f ca="1">IFERROR(__xludf.DUMMYFUNCTION("""COMPUTED_VALUE"""),"₱ 75,468.00")</f>
        <v>₱ 75,468.00</v>
      </c>
      <c r="E1065" s="164" t="str">
        <f ca="1">IFERROR(__xludf.DUMMYFUNCTION("""COMPUTED_VALUE"""),"₱ -")</f>
        <v>₱ -</v>
      </c>
      <c r="F1065" s="164" t="str">
        <f ca="1">IFERROR(__xludf.DUMMYFUNCTION("""COMPUTED_VALUE"""),"2023-05-03-10201SP648-01")</f>
        <v>2023-05-03-10201SP648-01</v>
      </c>
      <c r="G1065" s="164" t="str">
        <f ca="1">IFERROR(__xludf.DUMMYFUNCTION("""COMPUTED_VALUE"""),"1S11T5S16200GM02ZT96")</f>
        <v>1S11T5S16200GM02ZT96</v>
      </c>
      <c r="H1065" s="164" t="str">
        <f ca="1">IFERROR(__xludf.DUMMYFUNCTION("""COMPUTED_VALUE"""),"Christianne C. Suguitan")</f>
        <v>Christianne C. Suguitan</v>
      </c>
      <c r="I1065" s="164" t="str">
        <f ca="1">IFERROR(__xludf.DUMMYFUNCTION("""COMPUTED_VALUE"""),"PARPO II")</f>
        <v>PARPO II</v>
      </c>
      <c r="J1065" s="164" t="str">
        <f ca="1">IFERROR(__xludf.DUMMYFUNCTION("""COMPUTED_VALUE"""),"2023-05-32-SPLIT")</f>
        <v>2023-05-32-SPLIT</v>
      </c>
      <c r="K1065" s="164" t="str">
        <f ca="1">IFERROR(__xludf.DUMMYFUNCTION("""COMPUTED_VALUE"""),"Ma. Magdalena Salting")</f>
        <v>Ma. Magdalena Salting</v>
      </c>
      <c r="L1065" s="164" t="str">
        <f ca="1">IFERROR(__xludf.DUMMYFUNCTION("""COMPUTED_VALUE"""),"DARPO La Union")</f>
        <v>DARPO La Union</v>
      </c>
      <c r="M1065" s="164" t="str">
        <f ca="1">IFERROR(__xludf.DUMMYFUNCTION("""COMPUTED_VALUE"""),"SERVICEABLE")</f>
        <v>SERVICEABLE</v>
      </c>
      <c r="N1065" s="164" t="str">
        <f ca="1">IFERROR(__xludf.DUMMYFUNCTION("""COMPUTED_VALUE"""),"PRINTER DEFFECTIVE")</f>
        <v>PRINTER DEFFECTIVE</v>
      </c>
    </row>
    <row r="1066" spans="1:14" ht="13.2" hidden="1">
      <c r="A1066" s="164" t="str">
        <f ca="1">IFERROR(__xludf.DUMMYFUNCTION("""COMPUTED_VALUE"""),"Region I")</f>
        <v>Region I</v>
      </c>
      <c r="B1066" s="164" t="str">
        <f ca="1">IFERROR(__xludf.DUMMYFUNCTION("""COMPUTED_VALUE"""),"La Union")</f>
        <v>La Union</v>
      </c>
      <c r="C1066" s="164" t="str">
        <f ca="1">IFERROR(__xludf.DUMMYFUNCTION("""COMPUTED_VALUE"""),"Desktop Computer – (Lenovo M70T)")</f>
        <v>Desktop Computer – (Lenovo M70T)</v>
      </c>
      <c r="D1066" s="164" t="str">
        <f ca="1">IFERROR(__xludf.DUMMYFUNCTION("""COMPUTED_VALUE"""),"₱ 75,468.00")</f>
        <v>₱ 75,468.00</v>
      </c>
      <c r="E1066" s="164" t="str">
        <f ca="1">IFERROR(__xludf.DUMMYFUNCTION("""COMPUTED_VALUE"""),"₱ -")</f>
        <v>₱ -</v>
      </c>
      <c r="F1066" s="164" t="str">
        <f ca="1">IFERROR(__xludf.DUMMYFUNCTION("""COMPUTED_VALUE"""),"2023-05-03-10201SP649-01")</f>
        <v>2023-05-03-10201SP649-01</v>
      </c>
      <c r="G1066" s="164" t="str">
        <f ca="1">IFERROR(__xludf.DUMMYFUNCTION("""COMPUTED_VALUE"""),"1S11T5S16200GM0418KR")</f>
        <v>1S11T5S16200GM0418KR</v>
      </c>
      <c r="H1066" s="164" t="str">
        <f ca="1">IFERROR(__xludf.DUMMYFUNCTION("""COMPUTED_VALUE"""),"Christianne C. Suguitan")</f>
        <v>Christianne C. Suguitan</v>
      </c>
      <c r="I1066" s="164" t="str">
        <f ca="1">IFERROR(__xludf.DUMMYFUNCTION("""COMPUTED_VALUE"""),"PARPO II")</f>
        <v>PARPO II</v>
      </c>
      <c r="J1066" s="164" t="str">
        <f ca="1">IFERROR(__xludf.DUMMYFUNCTION("""COMPUTED_VALUE"""),"2023-05-32-SPLIT")</f>
        <v>2023-05-32-SPLIT</v>
      </c>
      <c r="K1066" s="164" t="str">
        <f ca="1">IFERROR(__xludf.DUMMYFUNCTION("""COMPUTED_VALUE"""),"Jovy Anne V. Dalay-on")</f>
        <v>Jovy Anne V. Dalay-on</v>
      </c>
      <c r="L1066" s="164" t="str">
        <f ca="1">IFERROR(__xludf.DUMMYFUNCTION("""COMPUTED_VALUE"""),"DARPO La Union")</f>
        <v>DARPO La Union</v>
      </c>
      <c r="M1066" s="164" t="str">
        <f ca="1">IFERROR(__xludf.DUMMYFUNCTION("""COMPUTED_VALUE"""),"SERVICEABLE")</f>
        <v>SERVICEABLE</v>
      </c>
      <c r="N1066" s="164"/>
    </row>
    <row r="1067" spans="1:14" ht="13.2" hidden="1">
      <c r="A1067" s="164" t="str">
        <f ca="1">IFERROR(__xludf.DUMMYFUNCTION("""COMPUTED_VALUE"""),"Region I")</f>
        <v>Region I</v>
      </c>
      <c r="B1067" s="164" t="str">
        <f ca="1">IFERROR(__xludf.DUMMYFUNCTION("""COMPUTED_VALUE"""),"La Union")</f>
        <v>La Union</v>
      </c>
      <c r="C1067" s="164" t="str">
        <f ca="1">IFERROR(__xludf.DUMMYFUNCTION("""COMPUTED_VALUE"""),"Desktop Computer – (Lenovo M70T)")</f>
        <v>Desktop Computer – (Lenovo M70T)</v>
      </c>
      <c r="D1067" s="164" t="str">
        <f ca="1">IFERROR(__xludf.DUMMYFUNCTION("""COMPUTED_VALUE"""),"₱ 75,468.00")</f>
        <v>₱ 75,468.00</v>
      </c>
      <c r="E1067" s="164" t="str">
        <f ca="1">IFERROR(__xludf.DUMMYFUNCTION("""COMPUTED_VALUE"""),"₱ -")</f>
        <v>₱ -</v>
      </c>
      <c r="F1067" s="164" t="str">
        <f ca="1">IFERROR(__xludf.DUMMYFUNCTION("""COMPUTED_VALUE"""),"2023-05-03-10201SP650-01")</f>
        <v>2023-05-03-10201SP650-01</v>
      </c>
      <c r="G1067" s="164" t="str">
        <f ca="1">IFERROR(__xludf.DUMMYFUNCTION("""COMPUTED_VALUE"""),"1S11T5S16200GM0418KW")</f>
        <v>1S11T5S16200GM0418KW</v>
      </c>
      <c r="H1067" s="164" t="str">
        <f ca="1">IFERROR(__xludf.DUMMYFUNCTION("""COMPUTED_VALUE"""),"Christianne C. Suguitan")</f>
        <v>Christianne C. Suguitan</v>
      </c>
      <c r="I1067" s="164" t="str">
        <f ca="1">IFERROR(__xludf.DUMMYFUNCTION("""COMPUTED_VALUE"""),"PARPO II")</f>
        <v>PARPO II</v>
      </c>
      <c r="J1067" s="164" t="str">
        <f ca="1">IFERROR(__xludf.DUMMYFUNCTION("""COMPUTED_VALUE"""),"2023-05-32-SPLIT")</f>
        <v>2023-05-32-SPLIT</v>
      </c>
      <c r="K1067" s="164" t="str">
        <f ca="1">IFERROR(__xludf.DUMMYFUNCTION("""COMPUTED_VALUE"""),"Imelda I. Cunanan")</f>
        <v>Imelda I. Cunanan</v>
      </c>
      <c r="L1067" s="164" t="str">
        <f ca="1">IFERROR(__xludf.DUMMYFUNCTION("""COMPUTED_VALUE"""),"DARPO La Union")</f>
        <v>DARPO La Union</v>
      </c>
      <c r="M1067" s="164" t="str">
        <f ca="1">IFERROR(__xludf.DUMMYFUNCTION("""COMPUTED_VALUE"""),"SERVICEABLE")</f>
        <v>SERVICEABLE</v>
      </c>
      <c r="N1067" s="164" t="str">
        <f ca="1">IFERROR(__xludf.DUMMYFUNCTION("""COMPUTED_VALUE"""),"PRINTER DEFFECTIVE")</f>
        <v>PRINTER DEFFECTIVE</v>
      </c>
    </row>
    <row r="1068" spans="1:14" ht="13.2" hidden="1">
      <c r="A1068" s="164" t="str">
        <f ca="1">IFERROR(__xludf.DUMMYFUNCTION("""COMPUTED_VALUE"""),"Region I")</f>
        <v>Region I</v>
      </c>
      <c r="B1068" s="164" t="str">
        <f ca="1">IFERROR(__xludf.DUMMYFUNCTION("""COMPUTED_VALUE"""),"La Union")</f>
        <v>La Union</v>
      </c>
      <c r="C1068" s="164" t="str">
        <f ca="1">IFERROR(__xludf.DUMMYFUNCTION("""COMPUTED_VALUE"""),"Desktop Computer – (Lenovo M70T)")</f>
        <v>Desktop Computer – (Lenovo M70T)</v>
      </c>
      <c r="D1068" s="164" t="str">
        <f ca="1">IFERROR(__xludf.DUMMYFUNCTION("""COMPUTED_VALUE"""),"₱ 75,468.00")</f>
        <v>₱ 75,468.00</v>
      </c>
      <c r="E1068" s="164" t="str">
        <f ca="1">IFERROR(__xludf.DUMMYFUNCTION("""COMPUTED_VALUE"""),"₱ -")</f>
        <v>₱ -</v>
      </c>
      <c r="F1068" s="164" t="str">
        <f ca="1">IFERROR(__xludf.DUMMYFUNCTION("""COMPUTED_VALUE"""),"2023-05-03-10201SP651-01")</f>
        <v>2023-05-03-10201SP651-01</v>
      </c>
      <c r="G1068" s="164" t="str">
        <f ca="1">IFERROR(__xludf.DUMMYFUNCTION("""COMPUTED_VALUE"""),"1S11T5S16200GM02ZT9D")</f>
        <v>1S11T5S16200GM02ZT9D</v>
      </c>
      <c r="H1068" s="164" t="str">
        <f ca="1">IFERROR(__xludf.DUMMYFUNCTION("""COMPUTED_VALUE"""),"Christianne C. Suguitan")</f>
        <v>Christianne C. Suguitan</v>
      </c>
      <c r="I1068" s="164" t="str">
        <f ca="1">IFERROR(__xludf.DUMMYFUNCTION("""COMPUTED_VALUE"""),"PARPO II")</f>
        <v>PARPO II</v>
      </c>
      <c r="J1068" s="164" t="str">
        <f ca="1">IFERROR(__xludf.DUMMYFUNCTION("""COMPUTED_VALUE"""),"2023-05-32-SPLIT")</f>
        <v>2023-05-32-SPLIT</v>
      </c>
      <c r="K1068" s="164" t="str">
        <f ca="1">IFERROR(__xludf.DUMMYFUNCTION("""COMPUTED_VALUE"""),"Atty. Lobayto P. Lang-ay")</f>
        <v>Atty. Lobayto P. Lang-ay</v>
      </c>
      <c r="L1068" s="164" t="str">
        <f ca="1">IFERROR(__xludf.DUMMYFUNCTION("""COMPUTED_VALUE"""),"DARPO La Union")</f>
        <v>DARPO La Union</v>
      </c>
      <c r="M1068" s="164" t="str">
        <f ca="1">IFERROR(__xludf.DUMMYFUNCTION("""COMPUTED_VALUE"""),"SERVICEABLE")</f>
        <v>SERVICEABLE</v>
      </c>
      <c r="N1068" s="164" t="str">
        <f ca="1">IFERROR(__xludf.DUMMYFUNCTION("""COMPUTED_VALUE"""),"PRINTER DEFFECTIVE")</f>
        <v>PRINTER DEFFECTIVE</v>
      </c>
    </row>
    <row r="1069" spans="1:14" ht="13.2" hidden="1">
      <c r="A1069" s="164" t="str">
        <f ca="1">IFERROR(__xludf.DUMMYFUNCTION("""COMPUTED_VALUE"""),"Region I")</f>
        <v>Region I</v>
      </c>
      <c r="B1069" s="164" t="str">
        <f ca="1">IFERROR(__xludf.DUMMYFUNCTION("""COMPUTED_VALUE"""),"La Union")</f>
        <v>La Union</v>
      </c>
      <c r="C1069" s="164" t="str">
        <f ca="1">IFERROR(__xludf.DUMMYFUNCTION("""COMPUTED_VALUE"""),"Desktop Computer – (Lenovo M70T)")</f>
        <v>Desktop Computer – (Lenovo M70T)</v>
      </c>
      <c r="D1069" s="164" t="str">
        <f ca="1">IFERROR(__xludf.DUMMYFUNCTION("""COMPUTED_VALUE"""),"₱ 75,468.00")</f>
        <v>₱ 75,468.00</v>
      </c>
      <c r="E1069" s="164" t="str">
        <f ca="1">IFERROR(__xludf.DUMMYFUNCTION("""COMPUTED_VALUE"""),"₱ -")</f>
        <v>₱ -</v>
      </c>
      <c r="F1069" s="164" t="str">
        <f ca="1">IFERROR(__xludf.DUMMYFUNCTION("""COMPUTED_VALUE"""),"2023-05-03-10201SP652-01")</f>
        <v>2023-05-03-10201SP652-01</v>
      </c>
      <c r="G1069" s="164" t="str">
        <f ca="1">IFERROR(__xludf.DUMMYFUNCTION("""COMPUTED_VALUE"""),"1S11T5S16200GM02ZT7Q")</f>
        <v>1S11T5S16200GM02ZT7Q</v>
      </c>
      <c r="H1069" s="164" t="str">
        <f ca="1">IFERROR(__xludf.DUMMYFUNCTION("""COMPUTED_VALUE"""),"Christianne C. Suguitan")</f>
        <v>Christianne C. Suguitan</v>
      </c>
      <c r="I1069" s="164" t="str">
        <f ca="1">IFERROR(__xludf.DUMMYFUNCTION("""COMPUTED_VALUE"""),"PARPO II")</f>
        <v>PARPO II</v>
      </c>
      <c r="J1069" s="164" t="str">
        <f ca="1">IFERROR(__xludf.DUMMYFUNCTION("""COMPUTED_VALUE"""),"2023-05-32-SPLIT")</f>
        <v>2023-05-32-SPLIT</v>
      </c>
      <c r="K1069" s="164" t="str">
        <f ca="1">IFERROR(__xludf.DUMMYFUNCTION("""COMPUTED_VALUE"""),"Presnelie S. Galvez")</f>
        <v>Presnelie S. Galvez</v>
      </c>
      <c r="L1069" s="164" t="str">
        <f ca="1">IFERROR(__xludf.DUMMYFUNCTION("""COMPUTED_VALUE"""),"DARPO La Union")</f>
        <v>DARPO La Union</v>
      </c>
      <c r="M1069" s="164" t="str">
        <f ca="1">IFERROR(__xludf.DUMMYFUNCTION("""COMPUTED_VALUE"""),"SERVICEABLE")</f>
        <v>SERVICEABLE</v>
      </c>
      <c r="N1069" s="164"/>
    </row>
    <row r="1070" spans="1:14" ht="13.2" hidden="1">
      <c r="A1070" s="164" t="str">
        <f ca="1">IFERROR(__xludf.DUMMYFUNCTION("""COMPUTED_VALUE"""),"Region I")</f>
        <v>Region I</v>
      </c>
      <c r="B1070" s="164" t="str">
        <f ca="1">IFERROR(__xludf.DUMMYFUNCTION("""COMPUTED_VALUE"""),"La Union")</f>
        <v>La Union</v>
      </c>
      <c r="C1070" s="164" t="str">
        <f ca="1">IFERROR(__xludf.DUMMYFUNCTION("""COMPUTED_VALUE"""),"Desktop Computer – (Lenovo M70T)")</f>
        <v>Desktop Computer – (Lenovo M70T)</v>
      </c>
      <c r="D1070" s="164" t="str">
        <f ca="1">IFERROR(__xludf.DUMMYFUNCTION("""COMPUTED_VALUE"""),"₱ 75,468.00")</f>
        <v>₱ 75,468.00</v>
      </c>
      <c r="E1070" s="164" t="str">
        <f ca="1">IFERROR(__xludf.DUMMYFUNCTION("""COMPUTED_VALUE"""),"₱ -")</f>
        <v>₱ -</v>
      </c>
      <c r="F1070" s="164" t="str">
        <f ca="1">IFERROR(__xludf.DUMMYFUNCTION("""COMPUTED_VALUE"""),"2023-05-03-10201SP653-01")</f>
        <v>2023-05-03-10201SP653-01</v>
      </c>
      <c r="G1070" s="164" t="str">
        <f ca="1">IFERROR(__xludf.DUMMYFUNCTION("""COMPUTED_VALUE"""),"1S11T5S16200GM02ZT8G")</f>
        <v>1S11T5S16200GM02ZT8G</v>
      </c>
      <c r="H1070" s="164" t="str">
        <f ca="1">IFERROR(__xludf.DUMMYFUNCTION("""COMPUTED_VALUE"""),"Christianne C. Suguitan")</f>
        <v>Christianne C. Suguitan</v>
      </c>
      <c r="I1070" s="164" t="str">
        <f ca="1">IFERROR(__xludf.DUMMYFUNCTION("""COMPUTED_VALUE"""),"PARPO II")</f>
        <v>PARPO II</v>
      </c>
      <c r="J1070" s="164" t="str">
        <f ca="1">IFERROR(__xludf.DUMMYFUNCTION("""COMPUTED_VALUE"""),"2023-05-32-SPLIT")</f>
        <v>2023-05-32-SPLIT</v>
      </c>
      <c r="K1070" s="164" t="str">
        <f ca="1">IFERROR(__xludf.DUMMYFUNCTION("""COMPUTED_VALUE"""),"Lorie L. Capistrano")</f>
        <v>Lorie L. Capistrano</v>
      </c>
      <c r="L1070" s="164" t="str">
        <f ca="1">IFERROR(__xludf.DUMMYFUNCTION("""COMPUTED_VALUE"""),"DARPO La Union")</f>
        <v>DARPO La Union</v>
      </c>
      <c r="M1070" s="164" t="str">
        <f ca="1">IFERROR(__xludf.DUMMYFUNCTION("""COMPUTED_VALUE"""),"SERVICEABLE")</f>
        <v>SERVICEABLE</v>
      </c>
      <c r="N1070" s="164"/>
    </row>
    <row r="1071" spans="1:14" ht="13.2" hidden="1">
      <c r="A1071" s="164" t="str">
        <f ca="1">IFERROR(__xludf.DUMMYFUNCTION("""COMPUTED_VALUE"""),"Region I")</f>
        <v>Region I</v>
      </c>
      <c r="B1071" s="164" t="str">
        <f ca="1">IFERROR(__xludf.DUMMYFUNCTION("""COMPUTED_VALUE"""),"La Union")</f>
        <v>La Union</v>
      </c>
      <c r="C1071" s="164" t="str">
        <f ca="1">IFERROR(__xludf.DUMMYFUNCTION("""COMPUTED_VALUE"""),"Desktop Computer – (Lenovo M70T)")</f>
        <v>Desktop Computer – (Lenovo M70T)</v>
      </c>
      <c r="D1071" s="164" t="str">
        <f ca="1">IFERROR(__xludf.DUMMYFUNCTION("""COMPUTED_VALUE"""),"₱ 75,468.00")</f>
        <v>₱ 75,468.00</v>
      </c>
      <c r="E1071" s="164" t="str">
        <f ca="1">IFERROR(__xludf.DUMMYFUNCTION("""COMPUTED_VALUE"""),"₱ -")</f>
        <v>₱ -</v>
      </c>
      <c r="F1071" s="164" t="str">
        <f ca="1">IFERROR(__xludf.DUMMYFUNCTION("""COMPUTED_VALUE"""),"2023-05-03-10201SP654-01")</f>
        <v>2023-05-03-10201SP654-01</v>
      </c>
      <c r="G1071" s="164" t="str">
        <f ca="1">IFERROR(__xludf.DUMMYFUNCTION("""COMPUTED_VALUE"""),"1S11T5S16200GM02ZT9W")</f>
        <v>1S11T5S16200GM02ZT9W</v>
      </c>
      <c r="H1071" s="164" t="str">
        <f ca="1">IFERROR(__xludf.DUMMYFUNCTION("""COMPUTED_VALUE"""),"Christianne C. Suguitan")</f>
        <v>Christianne C. Suguitan</v>
      </c>
      <c r="I1071" s="164" t="str">
        <f ca="1">IFERROR(__xludf.DUMMYFUNCTION("""COMPUTED_VALUE"""),"PARPO II")</f>
        <v>PARPO II</v>
      </c>
      <c r="J1071" s="164" t="str">
        <f ca="1">IFERROR(__xludf.DUMMYFUNCTION("""COMPUTED_VALUE"""),"2023-05-32-SPLIT")</f>
        <v>2023-05-32-SPLIT</v>
      </c>
      <c r="K1071" s="164" t="str">
        <f ca="1">IFERROR(__xludf.DUMMYFUNCTION("""COMPUTED_VALUE"""),"Russel T. Tabisula")</f>
        <v>Russel T. Tabisula</v>
      </c>
      <c r="L1071" s="164" t="str">
        <f ca="1">IFERROR(__xludf.DUMMYFUNCTION("""COMPUTED_VALUE"""),"DARPO La Union")</f>
        <v>DARPO La Union</v>
      </c>
      <c r="M1071" s="164" t="str">
        <f ca="1">IFERROR(__xludf.DUMMYFUNCTION("""COMPUTED_VALUE"""),"SERVICEABLE")</f>
        <v>SERVICEABLE</v>
      </c>
      <c r="N1071" s="164"/>
    </row>
    <row r="1072" spans="1:14" ht="13.2" hidden="1">
      <c r="A1072" s="164" t="str">
        <f ca="1">IFERROR(__xludf.DUMMYFUNCTION("""COMPUTED_VALUE"""),"Region I")</f>
        <v>Region I</v>
      </c>
      <c r="B1072" s="164" t="str">
        <f ca="1">IFERROR(__xludf.DUMMYFUNCTION("""COMPUTED_VALUE"""),"Regional Office")</f>
        <v>Regional Office</v>
      </c>
      <c r="C1072" s="164" t="str">
        <f ca="1">IFERROR(__xludf.DUMMYFUNCTION("""COMPUTED_VALUE"""),"Desktop Computer – (Lenovo M70T)")</f>
        <v>Desktop Computer – (Lenovo M70T)</v>
      </c>
      <c r="D1072" s="164" t="str">
        <f ca="1">IFERROR(__xludf.DUMMYFUNCTION("""COMPUTED_VALUE"""),"₱ 75,468.00")</f>
        <v>₱ 75,468.00</v>
      </c>
      <c r="E1072" s="164" t="str">
        <f ca="1">IFERROR(__xludf.DUMMYFUNCTION("""COMPUTED_VALUE"""),"₱ -")</f>
        <v>₱ -</v>
      </c>
      <c r="F1072" s="164" t="str">
        <f ca="1">IFERROR(__xludf.DUMMYFUNCTION("""COMPUTED_VALUE"""),"2023-05-03-10201SP655-01")</f>
        <v>2023-05-03-10201SP655-01</v>
      </c>
      <c r="G1072" s="164" t="str">
        <f ca="1">IFERROR(__xludf.DUMMYFUNCTION("""COMPUTED_VALUE"""),"1S11T5S16200GM02ZT90")</f>
        <v>1S11T5S16200GM02ZT90</v>
      </c>
      <c r="H1072" s="164" t="str">
        <f ca="1">IFERROR(__xludf.DUMMYFUNCTION("""COMPUTED_VALUE"""),"Maria Ana V. Francisco")</f>
        <v>Maria Ana V. Francisco</v>
      </c>
      <c r="I1072" s="164" t="str">
        <f ca="1">IFERROR(__xludf.DUMMYFUNCTION("""COMPUTED_VALUE"""),"Regional Director")</f>
        <v>Regional Director</v>
      </c>
      <c r="J1072" s="164" t="str">
        <f ca="1">IFERROR(__xludf.DUMMYFUNCTION("""COMPUTED_VALUE"""),"2023-05-10-SPLIT")</f>
        <v>2023-05-10-SPLIT</v>
      </c>
      <c r="K1072" s="164" t="str">
        <f ca="1">IFERROR(__xludf.DUMMYFUNCTION("""COMPUTED_VALUE"""),"Teotimo L. De Vera")</f>
        <v>Teotimo L. De Vera</v>
      </c>
      <c r="L1072" s="164" t="str">
        <f ca="1">IFERROR(__xludf.DUMMYFUNCTION("""COMPUTED_VALUE"""),"Regional Office")</f>
        <v>Regional Office</v>
      </c>
      <c r="M1072" s="164" t="str">
        <f ca="1">IFERROR(__xludf.DUMMYFUNCTION("""COMPUTED_VALUE"""),"SERVICEABLE")</f>
        <v>SERVICEABLE</v>
      </c>
      <c r="N1072" s="164"/>
    </row>
    <row r="1073" spans="1:14" ht="13.2" hidden="1">
      <c r="A1073" s="164" t="str">
        <f ca="1">IFERROR(__xludf.DUMMYFUNCTION("""COMPUTED_VALUE"""),"Region I")</f>
        <v>Region I</v>
      </c>
      <c r="B1073" s="164" t="str">
        <f ca="1">IFERROR(__xludf.DUMMYFUNCTION("""COMPUTED_VALUE"""),"Regional Office")</f>
        <v>Regional Office</v>
      </c>
      <c r="C1073" s="164" t="str">
        <f ca="1">IFERROR(__xludf.DUMMYFUNCTION("""COMPUTED_VALUE"""),"Desktop Computer – (Lenovo M70T)")</f>
        <v>Desktop Computer – (Lenovo M70T)</v>
      </c>
      <c r="D1073" s="164" t="str">
        <f ca="1">IFERROR(__xludf.DUMMYFUNCTION("""COMPUTED_VALUE"""),"₱ 75,468.00")</f>
        <v>₱ 75,468.00</v>
      </c>
      <c r="E1073" s="164" t="str">
        <f ca="1">IFERROR(__xludf.DUMMYFUNCTION("""COMPUTED_VALUE"""),"₱ -")</f>
        <v>₱ -</v>
      </c>
      <c r="F1073" s="164" t="str">
        <f ca="1">IFERROR(__xludf.DUMMYFUNCTION("""COMPUTED_VALUE"""),"2023-05-03-10201SP656-01")</f>
        <v>2023-05-03-10201SP656-01</v>
      </c>
      <c r="G1073" s="164" t="str">
        <f ca="1">IFERROR(__xludf.DUMMYFUNCTION("""COMPUTED_VALUE"""),"1S11T5S16200GM02ZT9K")</f>
        <v>1S11T5S16200GM02ZT9K</v>
      </c>
      <c r="H1073" s="164" t="str">
        <f ca="1">IFERROR(__xludf.DUMMYFUNCTION("""COMPUTED_VALUE"""),"Maria Ana V. Francisco")</f>
        <v>Maria Ana V. Francisco</v>
      </c>
      <c r="I1073" s="164" t="str">
        <f ca="1">IFERROR(__xludf.DUMMYFUNCTION("""COMPUTED_VALUE"""),"Regional Director")</f>
        <v>Regional Director</v>
      </c>
      <c r="J1073" s="164" t="str">
        <f ca="1">IFERROR(__xludf.DUMMYFUNCTION("""COMPUTED_VALUE"""),"2023-08-27-SPLIT")</f>
        <v>2023-08-27-SPLIT</v>
      </c>
      <c r="K1073" s="164" t="str">
        <f ca="1">IFERROR(__xludf.DUMMYFUNCTION("""COMPUTED_VALUE"""),"Justo Miguel C. Gregorio")</f>
        <v>Justo Miguel C. Gregorio</v>
      </c>
      <c r="L1073" s="164" t="str">
        <f ca="1">IFERROR(__xludf.DUMMYFUNCTION("""COMPUTED_VALUE"""),"Regional Office")</f>
        <v>Regional Office</v>
      </c>
      <c r="M1073" s="164" t="str">
        <f ca="1">IFERROR(__xludf.DUMMYFUNCTION("""COMPUTED_VALUE"""),"SERVICEABLE")</f>
        <v>SERVICEABLE</v>
      </c>
      <c r="N1073" s="164"/>
    </row>
    <row r="1074" spans="1:14" ht="13.2" hidden="1">
      <c r="A1074" s="164" t="str">
        <f ca="1">IFERROR(__xludf.DUMMYFUNCTION("""COMPUTED_VALUE"""),"Region I")</f>
        <v>Region I</v>
      </c>
      <c r="B1074" s="164" t="str">
        <f ca="1">IFERROR(__xludf.DUMMYFUNCTION("""COMPUTED_VALUE"""),"Regional Office")</f>
        <v>Regional Office</v>
      </c>
      <c r="C1074" s="164" t="str">
        <f ca="1">IFERROR(__xludf.DUMMYFUNCTION("""COMPUTED_VALUE"""),"Desktop Computer – (Lenovo M70T)")</f>
        <v>Desktop Computer – (Lenovo M70T)</v>
      </c>
      <c r="D1074" s="164" t="str">
        <f ca="1">IFERROR(__xludf.DUMMYFUNCTION("""COMPUTED_VALUE"""),"₱ 75,468.00")</f>
        <v>₱ 75,468.00</v>
      </c>
      <c r="E1074" s="164" t="str">
        <f ca="1">IFERROR(__xludf.DUMMYFUNCTION("""COMPUTED_VALUE"""),"₱ -")</f>
        <v>₱ -</v>
      </c>
      <c r="F1074" s="164" t="str">
        <f ca="1">IFERROR(__xludf.DUMMYFUNCTION("""COMPUTED_VALUE"""),"2023-05-03-10201SP657-01")</f>
        <v>2023-05-03-10201SP657-01</v>
      </c>
      <c r="G1074" s="164" t="str">
        <f ca="1">IFERROR(__xludf.DUMMYFUNCTION("""COMPUTED_VALUE"""),"1S11T5S16200GM02ZT9C")</f>
        <v>1S11T5S16200GM02ZT9C</v>
      </c>
      <c r="H1074" s="164" t="str">
        <f ca="1">IFERROR(__xludf.DUMMYFUNCTION("""COMPUTED_VALUE"""),"Maria Ana V. Francisco")</f>
        <v>Maria Ana V. Francisco</v>
      </c>
      <c r="I1074" s="164" t="str">
        <f ca="1">IFERROR(__xludf.DUMMYFUNCTION("""COMPUTED_VALUE"""),"Regional Director")</f>
        <v>Regional Director</v>
      </c>
      <c r="J1074" s="164" t="str">
        <f ca="1">IFERROR(__xludf.DUMMYFUNCTION("""COMPUTED_VALUE"""),"2023-08-27-SPLIT")</f>
        <v>2023-08-27-SPLIT</v>
      </c>
      <c r="K1074" s="164" t="str">
        <f ca="1">IFERROR(__xludf.DUMMYFUNCTION("""COMPUTED_VALUE"""),"Nenita C. Madriaga")</f>
        <v>Nenita C. Madriaga</v>
      </c>
      <c r="L1074" s="164" t="str">
        <f ca="1">IFERROR(__xludf.DUMMYFUNCTION("""COMPUTED_VALUE"""),"Regional Office")</f>
        <v>Regional Office</v>
      </c>
      <c r="M1074" s="164" t="str">
        <f ca="1">IFERROR(__xludf.DUMMYFUNCTION("""COMPUTED_VALUE"""),"SERVICEABLE")</f>
        <v>SERVICEABLE</v>
      </c>
      <c r="N1074" s="164" t="str">
        <f ca="1">IFERROR(__xludf.DUMMYFUNCTION("""COMPUTED_VALUE"""),"MONITOR DEFFECTIVE")</f>
        <v>MONITOR DEFFECTIVE</v>
      </c>
    </row>
    <row r="1075" spans="1:14" ht="13.2" hidden="1">
      <c r="A1075" s="164" t="str">
        <f ca="1">IFERROR(__xludf.DUMMYFUNCTION("""COMPUTED_VALUE"""),"Region I")</f>
        <v>Region I</v>
      </c>
      <c r="B1075" s="164" t="str">
        <f ca="1">IFERROR(__xludf.DUMMYFUNCTION("""COMPUTED_VALUE"""),"Regional Office")</f>
        <v>Regional Office</v>
      </c>
      <c r="C1075" s="164" t="str">
        <f ca="1">IFERROR(__xludf.DUMMYFUNCTION("""COMPUTED_VALUE"""),"Desktop Computer – (Lenovo M70T)")</f>
        <v>Desktop Computer – (Lenovo M70T)</v>
      </c>
      <c r="D1075" s="164" t="str">
        <f ca="1">IFERROR(__xludf.DUMMYFUNCTION("""COMPUTED_VALUE"""),"₱ 75,468.00")</f>
        <v>₱ 75,468.00</v>
      </c>
      <c r="E1075" s="164" t="str">
        <f ca="1">IFERROR(__xludf.DUMMYFUNCTION("""COMPUTED_VALUE"""),"₱ -")</f>
        <v>₱ -</v>
      </c>
      <c r="F1075" s="164" t="str">
        <f ca="1">IFERROR(__xludf.DUMMYFUNCTION("""COMPUTED_VALUE"""),"2023-05-03-10201SP658-01")</f>
        <v>2023-05-03-10201SP658-01</v>
      </c>
      <c r="G1075" s="164" t="str">
        <f ca="1">IFERROR(__xludf.DUMMYFUNCTION("""COMPUTED_VALUE"""),"1S11T5S16200GM02ZT81")</f>
        <v>1S11T5S16200GM02ZT81</v>
      </c>
      <c r="H1075" s="164" t="str">
        <f ca="1">IFERROR(__xludf.DUMMYFUNCTION("""COMPUTED_VALUE"""),"Maria Ana V. Francisco")</f>
        <v>Maria Ana V. Francisco</v>
      </c>
      <c r="I1075" s="164" t="str">
        <f ca="1">IFERROR(__xludf.DUMMYFUNCTION("""COMPUTED_VALUE"""),"Regional Director")</f>
        <v>Regional Director</v>
      </c>
      <c r="J1075" s="164" t="str">
        <f ca="1">IFERROR(__xludf.DUMMYFUNCTION("""COMPUTED_VALUE"""),"2023-08-27-SPLIT")</f>
        <v>2023-08-27-SPLIT</v>
      </c>
      <c r="K1075" s="164" t="str">
        <f ca="1">IFERROR(__xludf.DUMMYFUNCTION("""COMPUTED_VALUE"""),"Noemi Biligan")</f>
        <v>Noemi Biligan</v>
      </c>
      <c r="L1075" s="164" t="str">
        <f ca="1">IFERROR(__xludf.DUMMYFUNCTION("""COMPUTED_VALUE"""),"Regional Office")</f>
        <v>Regional Office</v>
      </c>
      <c r="M1075" s="164" t="str">
        <f ca="1">IFERROR(__xludf.DUMMYFUNCTION("""COMPUTED_VALUE"""),"SERVICEABLE")</f>
        <v>SERVICEABLE</v>
      </c>
      <c r="N1075" s="164"/>
    </row>
    <row r="1076" spans="1:14" ht="13.2" hidden="1">
      <c r="A1076" s="164" t="str">
        <f ca="1">IFERROR(__xludf.DUMMYFUNCTION("""COMPUTED_VALUE"""),"Region I")</f>
        <v>Region I</v>
      </c>
      <c r="B1076" s="164" t="str">
        <f ca="1">IFERROR(__xludf.DUMMYFUNCTION("""COMPUTED_VALUE"""),"Regional Office")</f>
        <v>Regional Office</v>
      </c>
      <c r="C1076" s="164" t="str">
        <f ca="1">IFERROR(__xludf.DUMMYFUNCTION("""COMPUTED_VALUE"""),"Desktop Computer – (Lenovo M70T)")</f>
        <v>Desktop Computer – (Lenovo M70T)</v>
      </c>
      <c r="D1076" s="164" t="str">
        <f ca="1">IFERROR(__xludf.DUMMYFUNCTION("""COMPUTED_VALUE"""),"₱ 75,468.00")</f>
        <v>₱ 75,468.00</v>
      </c>
      <c r="E1076" s="164" t="str">
        <f ca="1">IFERROR(__xludf.DUMMYFUNCTION("""COMPUTED_VALUE"""),"₱ -")</f>
        <v>₱ -</v>
      </c>
      <c r="F1076" s="164" t="str">
        <f ca="1">IFERROR(__xludf.DUMMYFUNCTION("""COMPUTED_VALUE"""),"2023-05-03-10201SP659-01")</f>
        <v>2023-05-03-10201SP659-01</v>
      </c>
      <c r="G1076" s="164" t="str">
        <f ca="1">IFERROR(__xludf.DUMMYFUNCTION("""COMPUTED_VALUE"""),"1S11T5S16200GM0418C2")</f>
        <v>1S11T5S16200GM0418C2</v>
      </c>
      <c r="H1076" s="164" t="str">
        <f ca="1">IFERROR(__xludf.DUMMYFUNCTION("""COMPUTED_VALUE"""),"Maria Ana V. Francisco")</f>
        <v>Maria Ana V. Francisco</v>
      </c>
      <c r="I1076" s="164" t="str">
        <f ca="1">IFERROR(__xludf.DUMMYFUNCTION("""COMPUTED_VALUE"""),"Regional Director")</f>
        <v>Regional Director</v>
      </c>
      <c r="J1076" s="164" t="str">
        <f ca="1">IFERROR(__xludf.DUMMYFUNCTION("""COMPUTED_VALUE"""),"2023-08-27-SPLIT")</f>
        <v>2023-08-27-SPLIT</v>
      </c>
      <c r="K1076" s="164" t="str">
        <f ca="1">IFERROR(__xludf.DUMMYFUNCTION("""COMPUTED_VALUE"""),"Jacinto P. dela Cruz")</f>
        <v>Jacinto P. dela Cruz</v>
      </c>
      <c r="L1076" s="164" t="str">
        <f ca="1">IFERROR(__xludf.DUMMYFUNCTION("""COMPUTED_VALUE"""),"Regional Office")</f>
        <v>Regional Office</v>
      </c>
      <c r="M1076" s="164" t="str">
        <f ca="1">IFERROR(__xludf.DUMMYFUNCTION("""COMPUTED_VALUE"""),"SERVICEABLE")</f>
        <v>SERVICEABLE</v>
      </c>
      <c r="N1076" s="164"/>
    </row>
    <row r="1077" spans="1:14" ht="13.2" hidden="1">
      <c r="A1077" s="164" t="str">
        <f ca="1">IFERROR(__xludf.DUMMYFUNCTION("""COMPUTED_VALUE"""),"Region I")</f>
        <v>Region I</v>
      </c>
      <c r="B1077" s="164" t="str">
        <f ca="1">IFERROR(__xludf.DUMMYFUNCTION("""COMPUTED_VALUE"""),"Regional Office")</f>
        <v>Regional Office</v>
      </c>
      <c r="C1077" s="164" t="str">
        <f ca="1">IFERROR(__xludf.DUMMYFUNCTION("""COMPUTED_VALUE"""),"Desktop Computer – (Lenovo M70T)")</f>
        <v>Desktop Computer – (Lenovo M70T)</v>
      </c>
      <c r="D1077" s="164" t="str">
        <f ca="1">IFERROR(__xludf.DUMMYFUNCTION("""COMPUTED_VALUE"""),"₱ 75,468.00")</f>
        <v>₱ 75,468.00</v>
      </c>
      <c r="E1077" s="164" t="str">
        <f ca="1">IFERROR(__xludf.DUMMYFUNCTION("""COMPUTED_VALUE"""),"₱ -")</f>
        <v>₱ -</v>
      </c>
      <c r="F1077" s="164" t="str">
        <f ca="1">IFERROR(__xludf.DUMMYFUNCTION("""COMPUTED_VALUE"""),"2023-05-03-10201SP660-01")</f>
        <v>2023-05-03-10201SP660-01</v>
      </c>
      <c r="G1077" s="164" t="str">
        <f ca="1">IFERROR(__xludf.DUMMYFUNCTION("""COMPUTED_VALUE"""),"1S11T5S16200GM02ZT8P")</f>
        <v>1S11T5S16200GM02ZT8P</v>
      </c>
      <c r="H1077" s="164" t="str">
        <f ca="1">IFERROR(__xludf.DUMMYFUNCTION("""COMPUTED_VALUE"""),"Maria Ana V. Francisco")</f>
        <v>Maria Ana V. Francisco</v>
      </c>
      <c r="I1077" s="164" t="str">
        <f ca="1">IFERROR(__xludf.DUMMYFUNCTION("""COMPUTED_VALUE"""),"Regional Director")</f>
        <v>Regional Director</v>
      </c>
      <c r="J1077" s="164" t="str">
        <f ca="1">IFERROR(__xludf.DUMMYFUNCTION("""COMPUTED_VALUE"""),"2023-08-27-SPLIT")</f>
        <v>2023-08-27-SPLIT</v>
      </c>
      <c r="K1077" s="164" t="str">
        <f ca="1">IFERROR(__xludf.DUMMYFUNCTION("""COMPUTED_VALUE"""),"Mechele S. Munar")</f>
        <v>Mechele S. Munar</v>
      </c>
      <c r="L1077" s="164" t="str">
        <f ca="1">IFERROR(__xludf.DUMMYFUNCTION("""COMPUTED_VALUE"""),"Regional Office")</f>
        <v>Regional Office</v>
      </c>
      <c r="M1077" s="164" t="str">
        <f ca="1">IFERROR(__xludf.DUMMYFUNCTION("""COMPUTED_VALUE"""),"SERVICEABLE")</f>
        <v>SERVICEABLE</v>
      </c>
      <c r="N1077" s="164"/>
    </row>
    <row r="1078" spans="1:14" ht="13.2" hidden="1">
      <c r="A1078" s="164" t="str">
        <f ca="1">IFERROR(__xludf.DUMMYFUNCTION("""COMPUTED_VALUE"""),"Region I")</f>
        <v>Region I</v>
      </c>
      <c r="B1078" s="164" t="str">
        <f ca="1">IFERROR(__xludf.DUMMYFUNCTION("""COMPUTED_VALUE"""),"Regional Office")</f>
        <v>Regional Office</v>
      </c>
      <c r="C1078" s="164" t="str">
        <f ca="1">IFERROR(__xludf.DUMMYFUNCTION("""COMPUTED_VALUE"""),"Desktop Computer – (Lenovo M70T)")</f>
        <v>Desktop Computer – (Lenovo M70T)</v>
      </c>
      <c r="D1078" s="164" t="str">
        <f ca="1">IFERROR(__xludf.DUMMYFUNCTION("""COMPUTED_VALUE"""),"₱ 75,468.00")</f>
        <v>₱ 75,468.00</v>
      </c>
      <c r="E1078" s="164" t="str">
        <f ca="1">IFERROR(__xludf.DUMMYFUNCTION("""COMPUTED_VALUE"""),"₱ -")</f>
        <v>₱ -</v>
      </c>
      <c r="F1078" s="164" t="str">
        <f ca="1">IFERROR(__xludf.DUMMYFUNCTION("""COMPUTED_VALUE"""),"2023-05-03-10201SP661-01")</f>
        <v>2023-05-03-10201SP661-01</v>
      </c>
      <c r="G1078" s="164" t="str">
        <f ca="1">IFERROR(__xludf.DUMMYFUNCTION("""COMPUTED_VALUE"""),"1S11T5S16200GM02ZT8N")</f>
        <v>1S11T5S16200GM02ZT8N</v>
      </c>
      <c r="H1078" s="164" t="str">
        <f ca="1">IFERROR(__xludf.DUMMYFUNCTION("""COMPUTED_VALUE"""),"Maria Ana V. Francisco")</f>
        <v>Maria Ana V. Francisco</v>
      </c>
      <c r="I1078" s="164" t="str">
        <f ca="1">IFERROR(__xludf.DUMMYFUNCTION("""COMPUTED_VALUE"""),"Regional Director")</f>
        <v>Regional Director</v>
      </c>
      <c r="J1078" s="164" t="str">
        <f ca="1">IFERROR(__xludf.DUMMYFUNCTION("""COMPUTED_VALUE"""),"2023-08-27-SPLIT")</f>
        <v>2023-08-27-SPLIT</v>
      </c>
      <c r="K1078" s="164" t="str">
        <f ca="1">IFERROR(__xludf.DUMMYFUNCTION("""COMPUTED_VALUE"""),"Margielene Cabulang")</f>
        <v>Margielene Cabulang</v>
      </c>
      <c r="L1078" s="164" t="str">
        <f ca="1">IFERROR(__xludf.DUMMYFUNCTION("""COMPUTED_VALUE"""),"Regional Office")</f>
        <v>Regional Office</v>
      </c>
      <c r="M1078" s="164" t="str">
        <f ca="1">IFERROR(__xludf.DUMMYFUNCTION("""COMPUTED_VALUE"""),"SERVICEABLE")</f>
        <v>SERVICEABLE</v>
      </c>
      <c r="N1078" s="164"/>
    </row>
    <row r="1079" spans="1:14" ht="13.2" hidden="1">
      <c r="A1079" s="164" t="str">
        <f ca="1">IFERROR(__xludf.DUMMYFUNCTION("""COMPUTED_VALUE"""),"Region I")</f>
        <v>Region I</v>
      </c>
      <c r="B1079" s="164" t="str">
        <f ca="1">IFERROR(__xludf.DUMMYFUNCTION("""COMPUTED_VALUE"""),"Regional Office")</f>
        <v>Regional Office</v>
      </c>
      <c r="C1079" s="164" t="str">
        <f ca="1">IFERROR(__xludf.DUMMYFUNCTION("""COMPUTED_VALUE"""),"Desktop Computer – (Lenovo M70T)")</f>
        <v>Desktop Computer – (Lenovo M70T)</v>
      </c>
      <c r="D1079" s="164" t="str">
        <f ca="1">IFERROR(__xludf.DUMMYFUNCTION("""COMPUTED_VALUE"""),"₱ 75,468.00")</f>
        <v>₱ 75,468.00</v>
      </c>
      <c r="E1079" s="164" t="str">
        <f ca="1">IFERROR(__xludf.DUMMYFUNCTION("""COMPUTED_VALUE"""),"₱ -")</f>
        <v>₱ -</v>
      </c>
      <c r="F1079" s="164" t="str">
        <f ca="1">IFERROR(__xludf.DUMMYFUNCTION("""COMPUTED_VALUE"""),"2023-05-03-10201SP662-01")</f>
        <v>2023-05-03-10201SP662-01</v>
      </c>
      <c r="G1079" s="164" t="str">
        <f ca="1">IFERROR(__xludf.DUMMYFUNCTION("""COMPUTED_VALUE"""),"1S11T5S16200GM02ZT9H")</f>
        <v>1S11T5S16200GM02ZT9H</v>
      </c>
      <c r="H1079" s="164" t="str">
        <f ca="1">IFERROR(__xludf.DUMMYFUNCTION("""COMPUTED_VALUE"""),"Maria Ana V. Francisco")</f>
        <v>Maria Ana V. Francisco</v>
      </c>
      <c r="I1079" s="164" t="str">
        <f ca="1">IFERROR(__xludf.DUMMYFUNCTION("""COMPUTED_VALUE"""),"Regional Director")</f>
        <v>Regional Director</v>
      </c>
      <c r="J1079" s="164" t="str">
        <f ca="1">IFERROR(__xludf.DUMMYFUNCTION("""COMPUTED_VALUE"""),"2023-08-27-SPLIT")</f>
        <v>2023-08-27-SPLIT</v>
      </c>
      <c r="K1079" s="164" t="str">
        <f ca="1">IFERROR(__xludf.DUMMYFUNCTION("""COMPUTED_VALUE"""),"Bobby S. Baltazar")</f>
        <v>Bobby S. Baltazar</v>
      </c>
      <c r="L1079" s="164" t="str">
        <f ca="1">IFERROR(__xludf.DUMMYFUNCTION("""COMPUTED_VALUE"""),"Regional Office")</f>
        <v>Regional Office</v>
      </c>
      <c r="M1079" s="164" t="str">
        <f ca="1">IFERROR(__xludf.DUMMYFUNCTION("""COMPUTED_VALUE"""),"SERVICEABLE")</f>
        <v>SERVICEABLE</v>
      </c>
      <c r="N1079" s="164"/>
    </row>
    <row r="1080" spans="1:14" ht="13.2" hidden="1">
      <c r="A1080" s="164" t="str">
        <f ca="1">IFERROR(__xludf.DUMMYFUNCTION("""COMPUTED_VALUE"""),"Region I")</f>
        <v>Region I</v>
      </c>
      <c r="B1080" s="164" t="str">
        <f ca="1">IFERROR(__xludf.DUMMYFUNCTION("""COMPUTED_VALUE"""),"Regional Office")</f>
        <v>Regional Office</v>
      </c>
      <c r="C1080" s="164" t="str">
        <f ca="1">IFERROR(__xludf.DUMMYFUNCTION("""COMPUTED_VALUE"""),"Desktop Computer – (Lenovo M70T)")</f>
        <v>Desktop Computer – (Lenovo M70T)</v>
      </c>
      <c r="D1080" s="164" t="str">
        <f ca="1">IFERROR(__xludf.DUMMYFUNCTION("""COMPUTED_VALUE"""),"₱ 75,468.00")</f>
        <v>₱ 75,468.00</v>
      </c>
      <c r="E1080" s="164" t="str">
        <f ca="1">IFERROR(__xludf.DUMMYFUNCTION("""COMPUTED_VALUE"""),"₱ -")</f>
        <v>₱ -</v>
      </c>
      <c r="F1080" s="164" t="str">
        <f ca="1">IFERROR(__xludf.DUMMYFUNCTION("""COMPUTED_VALUE"""),"2023-05-03-10201SP663-01")</f>
        <v>2023-05-03-10201SP663-01</v>
      </c>
      <c r="G1080" s="164" t="str">
        <f ca="1">IFERROR(__xludf.DUMMYFUNCTION("""COMPUTED_VALUE"""),"1S11T5S16200GM02ZT9E")</f>
        <v>1S11T5S16200GM02ZT9E</v>
      </c>
      <c r="H1080" s="164" t="str">
        <f ca="1">IFERROR(__xludf.DUMMYFUNCTION("""COMPUTED_VALUE"""),"Maria Ana V. Francisco")</f>
        <v>Maria Ana V. Francisco</v>
      </c>
      <c r="I1080" s="164" t="str">
        <f ca="1">IFERROR(__xludf.DUMMYFUNCTION("""COMPUTED_VALUE"""),"Regional Director")</f>
        <v>Regional Director</v>
      </c>
      <c r="J1080" s="164" t="str">
        <f ca="1">IFERROR(__xludf.DUMMYFUNCTION("""COMPUTED_VALUE"""),"2023-08-27-SPLIT")</f>
        <v>2023-08-27-SPLIT</v>
      </c>
      <c r="K1080" s="164" t="str">
        <f ca="1">IFERROR(__xludf.DUMMYFUNCTION("""COMPUTED_VALUE"""),"John Patrick D. Pacis")</f>
        <v>John Patrick D. Pacis</v>
      </c>
      <c r="L1080" s="164" t="str">
        <f ca="1">IFERROR(__xludf.DUMMYFUNCTION("""COMPUTED_VALUE"""),"Regional Office")</f>
        <v>Regional Office</v>
      </c>
      <c r="M1080" s="164" t="str">
        <f ca="1">IFERROR(__xludf.DUMMYFUNCTION("""COMPUTED_VALUE"""),"SERVICEABLE")</f>
        <v>SERVICEABLE</v>
      </c>
      <c r="N1080" s="164"/>
    </row>
    <row r="1081" spans="1:14" ht="13.2" hidden="1">
      <c r="A1081" s="164" t="str">
        <f ca="1">IFERROR(__xludf.DUMMYFUNCTION("""COMPUTED_VALUE"""),"Region I")</f>
        <v>Region I</v>
      </c>
      <c r="B1081" s="164" t="str">
        <f ca="1">IFERROR(__xludf.DUMMYFUNCTION("""COMPUTED_VALUE"""),"Regional Office")</f>
        <v>Regional Office</v>
      </c>
      <c r="C1081" s="164" t="str">
        <f ca="1">IFERROR(__xludf.DUMMYFUNCTION("""COMPUTED_VALUE"""),"Desktop Computer – (Lenovo M70T)")</f>
        <v>Desktop Computer – (Lenovo M70T)</v>
      </c>
      <c r="D1081" s="164" t="str">
        <f ca="1">IFERROR(__xludf.DUMMYFUNCTION("""COMPUTED_VALUE"""),"₱ 75,468.00")</f>
        <v>₱ 75,468.00</v>
      </c>
      <c r="E1081" s="164" t="str">
        <f ca="1">IFERROR(__xludf.DUMMYFUNCTION("""COMPUTED_VALUE"""),"₱ -")</f>
        <v>₱ -</v>
      </c>
      <c r="F1081" s="164" t="str">
        <f ca="1">IFERROR(__xludf.DUMMYFUNCTION("""COMPUTED_VALUE"""),"2023-05-03-10201SP664-01")</f>
        <v>2023-05-03-10201SP664-01</v>
      </c>
      <c r="G1081" s="164" t="str">
        <f ca="1">IFERROR(__xludf.DUMMYFUNCTION("""COMPUTED_VALUE"""),"1S11T5S16200GM02ZT77")</f>
        <v>1S11T5S16200GM02ZT77</v>
      </c>
      <c r="H1081" s="164" t="str">
        <f ca="1">IFERROR(__xludf.DUMMYFUNCTION("""COMPUTED_VALUE"""),"Maria Ana V. Francisco")</f>
        <v>Maria Ana V. Francisco</v>
      </c>
      <c r="I1081" s="164" t="str">
        <f ca="1">IFERROR(__xludf.DUMMYFUNCTION("""COMPUTED_VALUE"""),"Regional Director")</f>
        <v>Regional Director</v>
      </c>
      <c r="J1081" s="164" t="str">
        <f ca="1">IFERROR(__xludf.DUMMYFUNCTION("""COMPUTED_VALUE"""),"2023-08-27-SPLIT")</f>
        <v>2023-08-27-SPLIT</v>
      </c>
      <c r="K1081" s="164" t="str">
        <f ca="1">IFERROR(__xludf.DUMMYFUNCTION("""COMPUTED_VALUE"""),"Zenon C. Valdez")</f>
        <v>Zenon C. Valdez</v>
      </c>
      <c r="L1081" s="164" t="str">
        <f ca="1">IFERROR(__xludf.DUMMYFUNCTION("""COMPUTED_VALUE"""),"Regional Office")</f>
        <v>Regional Office</v>
      </c>
      <c r="M1081" s="164" t="str">
        <f ca="1">IFERROR(__xludf.DUMMYFUNCTION("""COMPUTED_VALUE"""),"SERVICEABLE")</f>
        <v>SERVICEABLE</v>
      </c>
      <c r="N1081" s="164"/>
    </row>
    <row r="1082" spans="1:14" ht="13.2" hidden="1">
      <c r="A1082" s="164" t="str">
        <f ca="1">IFERROR(__xludf.DUMMYFUNCTION("""COMPUTED_VALUE"""),"Region I")</f>
        <v>Region I</v>
      </c>
      <c r="B1082" s="164" t="str">
        <f ca="1">IFERROR(__xludf.DUMMYFUNCTION("""COMPUTED_VALUE"""),"Regional Office")</f>
        <v>Regional Office</v>
      </c>
      <c r="C1082" s="164" t="str">
        <f ca="1">IFERROR(__xludf.DUMMYFUNCTION("""COMPUTED_VALUE"""),"Desktop Computer – (Lenovo M70T)")</f>
        <v>Desktop Computer – (Lenovo M70T)</v>
      </c>
      <c r="D1082" s="164" t="str">
        <f ca="1">IFERROR(__xludf.DUMMYFUNCTION("""COMPUTED_VALUE"""),"₱ 75,468.00")</f>
        <v>₱ 75,468.00</v>
      </c>
      <c r="E1082" s="164" t="str">
        <f ca="1">IFERROR(__xludf.DUMMYFUNCTION("""COMPUTED_VALUE"""),"₱ -")</f>
        <v>₱ -</v>
      </c>
      <c r="F1082" s="164" t="str">
        <f ca="1">IFERROR(__xludf.DUMMYFUNCTION("""COMPUTED_VALUE"""),"2023-05-03-10201SP665-01")</f>
        <v>2023-05-03-10201SP665-01</v>
      </c>
      <c r="G1082" s="164" t="str">
        <f ca="1">IFERROR(__xludf.DUMMYFUNCTION("""COMPUTED_VALUE"""),"1S11T5S16200GM02ZT76")</f>
        <v>1S11T5S16200GM02ZT76</v>
      </c>
      <c r="H1082" s="164" t="str">
        <f ca="1">IFERROR(__xludf.DUMMYFUNCTION("""COMPUTED_VALUE"""),"Maria Ana V. Francisco")</f>
        <v>Maria Ana V. Francisco</v>
      </c>
      <c r="I1082" s="164" t="str">
        <f ca="1">IFERROR(__xludf.DUMMYFUNCTION("""COMPUTED_VALUE"""),"Regional Director")</f>
        <v>Regional Director</v>
      </c>
      <c r="J1082" s="164" t="str">
        <f ca="1">IFERROR(__xludf.DUMMYFUNCTION("""COMPUTED_VALUE"""),"2023-08-27-SPLIT")</f>
        <v>2023-08-27-SPLIT</v>
      </c>
      <c r="K1082" s="164" t="str">
        <f ca="1">IFERROR(__xludf.DUMMYFUNCTION("""COMPUTED_VALUE"""),"Shirley C. Ochoco")</f>
        <v>Shirley C. Ochoco</v>
      </c>
      <c r="L1082" s="164" t="str">
        <f ca="1">IFERROR(__xludf.DUMMYFUNCTION("""COMPUTED_VALUE"""),"Regional Office")</f>
        <v>Regional Office</v>
      </c>
      <c r="M1082" s="164" t="str">
        <f ca="1">IFERROR(__xludf.DUMMYFUNCTION("""COMPUTED_VALUE"""),"SERVICEABLE")</f>
        <v>SERVICEABLE</v>
      </c>
      <c r="N1082" s="164"/>
    </row>
    <row r="1083" spans="1:14" ht="13.2" hidden="1">
      <c r="A1083" s="164" t="str">
        <f ca="1">IFERROR(__xludf.DUMMYFUNCTION("""COMPUTED_VALUE"""),"Region I")</f>
        <v>Region I</v>
      </c>
      <c r="B1083" s="164" t="str">
        <f ca="1">IFERROR(__xludf.DUMMYFUNCTION("""COMPUTED_VALUE"""),"Regional Office")</f>
        <v>Regional Office</v>
      </c>
      <c r="C1083" s="164" t="str">
        <f ca="1">IFERROR(__xludf.DUMMYFUNCTION("""COMPUTED_VALUE"""),"Desktop Computer – (Lenovo M70T)")</f>
        <v>Desktop Computer – (Lenovo M70T)</v>
      </c>
      <c r="D1083" s="164" t="str">
        <f ca="1">IFERROR(__xludf.DUMMYFUNCTION("""COMPUTED_VALUE"""),"₱ 75,468.00")</f>
        <v>₱ 75,468.00</v>
      </c>
      <c r="E1083" s="164" t="str">
        <f ca="1">IFERROR(__xludf.DUMMYFUNCTION("""COMPUTED_VALUE"""),"₱ -")</f>
        <v>₱ -</v>
      </c>
      <c r="F1083" s="164" t="str">
        <f ca="1">IFERROR(__xludf.DUMMYFUNCTION("""COMPUTED_VALUE"""),"2023-05-03-10201SP666-01")</f>
        <v>2023-05-03-10201SP666-01</v>
      </c>
      <c r="G1083" s="164" t="str">
        <f ca="1">IFERROR(__xludf.DUMMYFUNCTION("""COMPUTED_VALUE"""),"1S11T5S16200GM02ZT7N")</f>
        <v>1S11T5S16200GM02ZT7N</v>
      </c>
      <c r="H1083" s="164" t="str">
        <f ca="1">IFERROR(__xludf.DUMMYFUNCTION("""COMPUTED_VALUE"""),"Maria Ana V. Francisco")</f>
        <v>Maria Ana V. Francisco</v>
      </c>
      <c r="I1083" s="164" t="str">
        <f ca="1">IFERROR(__xludf.DUMMYFUNCTION("""COMPUTED_VALUE"""),"Regional Director")</f>
        <v>Regional Director</v>
      </c>
      <c r="J1083" s="164" t="str">
        <f ca="1">IFERROR(__xludf.DUMMYFUNCTION("""COMPUTED_VALUE"""),"2023-08-27-SPLIT")</f>
        <v>2023-08-27-SPLIT</v>
      </c>
      <c r="K1083" s="164" t="str">
        <f ca="1">IFERROR(__xludf.DUMMYFUNCTION("""COMPUTED_VALUE"""),"Queenie Mar B. Cabarloc")</f>
        <v>Queenie Mar B. Cabarloc</v>
      </c>
      <c r="L1083" s="164" t="str">
        <f ca="1">IFERROR(__xludf.DUMMYFUNCTION("""COMPUTED_VALUE"""),"Regional Office")</f>
        <v>Regional Office</v>
      </c>
      <c r="M1083" s="164" t="str">
        <f ca="1">IFERROR(__xludf.DUMMYFUNCTION("""COMPUTED_VALUE"""),"SERVICEABLE")</f>
        <v>SERVICEABLE</v>
      </c>
      <c r="N1083" s="164"/>
    </row>
    <row r="1084" spans="1:14" ht="13.2" hidden="1">
      <c r="A1084" s="164" t="str">
        <f ca="1">IFERROR(__xludf.DUMMYFUNCTION("""COMPUTED_VALUE"""),"Region I")</f>
        <v>Region I</v>
      </c>
      <c r="B1084" s="164" t="str">
        <f ca="1">IFERROR(__xludf.DUMMYFUNCTION("""COMPUTED_VALUE"""),"Regional Office")</f>
        <v>Regional Office</v>
      </c>
      <c r="C1084" s="164" t="str">
        <f ca="1">IFERROR(__xludf.DUMMYFUNCTION("""COMPUTED_VALUE"""),"Desktop Computer – (Lenovo M70T)")</f>
        <v>Desktop Computer – (Lenovo M70T)</v>
      </c>
      <c r="D1084" s="164" t="str">
        <f ca="1">IFERROR(__xludf.DUMMYFUNCTION("""COMPUTED_VALUE"""),"₱ 75,468.00")</f>
        <v>₱ 75,468.00</v>
      </c>
      <c r="E1084" s="164" t="str">
        <f ca="1">IFERROR(__xludf.DUMMYFUNCTION("""COMPUTED_VALUE"""),"₱ -")</f>
        <v>₱ -</v>
      </c>
      <c r="F1084" s="164" t="str">
        <f ca="1">IFERROR(__xludf.DUMMYFUNCTION("""COMPUTED_VALUE"""),"2023-05-03-10201SP667-01")</f>
        <v>2023-05-03-10201SP667-01</v>
      </c>
      <c r="G1084" s="164" t="str">
        <f ca="1">IFERROR(__xludf.DUMMYFUNCTION("""COMPUTED_VALUE"""),"1S11T5S16200GM02ZT95")</f>
        <v>1S11T5S16200GM02ZT95</v>
      </c>
      <c r="H1084" s="164" t="str">
        <f ca="1">IFERROR(__xludf.DUMMYFUNCTION("""COMPUTED_VALUE"""),"Maria Ana V. Francisco")</f>
        <v>Maria Ana V. Francisco</v>
      </c>
      <c r="I1084" s="164" t="str">
        <f ca="1">IFERROR(__xludf.DUMMYFUNCTION("""COMPUTED_VALUE"""),"Regional Director")</f>
        <v>Regional Director</v>
      </c>
      <c r="J1084" s="164" t="str">
        <f ca="1">IFERROR(__xludf.DUMMYFUNCTION("""COMPUTED_VALUE"""),"2023-08-27-SPLIT")</f>
        <v>2023-08-27-SPLIT</v>
      </c>
      <c r="K1084" s="164" t="str">
        <f ca="1">IFERROR(__xludf.DUMMYFUNCTION("""COMPUTED_VALUE"""),"Perlita B. Valdez")</f>
        <v>Perlita B. Valdez</v>
      </c>
      <c r="L1084" s="164" t="str">
        <f ca="1">IFERROR(__xludf.DUMMYFUNCTION("""COMPUTED_VALUE"""),"Regional Office")</f>
        <v>Regional Office</v>
      </c>
      <c r="M1084" s="164" t="str">
        <f ca="1">IFERROR(__xludf.DUMMYFUNCTION("""COMPUTED_VALUE"""),"SERVICEABLE")</f>
        <v>SERVICEABLE</v>
      </c>
      <c r="N1084" s="164"/>
    </row>
    <row r="1085" spans="1:14" ht="13.2" hidden="1">
      <c r="A1085" s="164" t="str">
        <f ca="1">IFERROR(__xludf.DUMMYFUNCTION("""COMPUTED_VALUE"""),"Region I")</f>
        <v>Region I</v>
      </c>
      <c r="B1085" s="164" t="str">
        <f ca="1">IFERROR(__xludf.DUMMYFUNCTION("""COMPUTED_VALUE"""),"Regional Office")</f>
        <v>Regional Office</v>
      </c>
      <c r="C1085" s="164" t="str">
        <f ca="1">IFERROR(__xludf.DUMMYFUNCTION("""COMPUTED_VALUE"""),"Desktop Computer – (Lenovo M70T)")</f>
        <v>Desktop Computer – (Lenovo M70T)</v>
      </c>
      <c r="D1085" s="164" t="str">
        <f ca="1">IFERROR(__xludf.DUMMYFUNCTION("""COMPUTED_VALUE"""),"₱ 75,468.00")</f>
        <v>₱ 75,468.00</v>
      </c>
      <c r="E1085" s="164" t="str">
        <f ca="1">IFERROR(__xludf.DUMMYFUNCTION("""COMPUTED_VALUE"""),"₱ -")</f>
        <v>₱ -</v>
      </c>
      <c r="F1085" s="164" t="str">
        <f ca="1">IFERROR(__xludf.DUMMYFUNCTION("""COMPUTED_VALUE"""),"2023-05-03-10201SP668-01")</f>
        <v>2023-05-03-10201SP668-01</v>
      </c>
      <c r="G1085" s="164" t="str">
        <f ca="1">IFERROR(__xludf.DUMMYFUNCTION("""COMPUTED_VALUE"""),"1S11T5S16200GM02ZT8M")</f>
        <v>1S11T5S16200GM02ZT8M</v>
      </c>
      <c r="H1085" s="164" t="str">
        <f ca="1">IFERROR(__xludf.DUMMYFUNCTION("""COMPUTED_VALUE"""),"Maria Ana V. Francisco")</f>
        <v>Maria Ana V. Francisco</v>
      </c>
      <c r="I1085" s="164" t="str">
        <f ca="1">IFERROR(__xludf.DUMMYFUNCTION("""COMPUTED_VALUE"""),"Regional Director")</f>
        <v>Regional Director</v>
      </c>
      <c r="J1085" s="164" t="str">
        <f ca="1">IFERROR(__xludf.DUMMYFUNCTION("""COMPUTED_VALUE"""),"2023-08-27-SPLIT")</f>
        <v>2023-08-27-SPLIT</v>
      </c>
      <c r="K1085" s="164" t="str">
        <f ca="1">IFERROR(__xludf.DUMMYFUNCTION("""COMPUTED_VALUE"""),"Alberto B. Wallit")</f>
        <v>Alberto B. Wallit</v>
      </c>
      <c r="L1085" s="164" t="str">
        <f ca="1">IFERROR(__xludf.DUMMYFUNCTION("""COMPUTED_VALUE"""),"Regional Office")</f>
        <v>Regional Office</v>
      </c>
      <c r="M1085" s="164" t="str">
        <f ca="1">IFERROR(__xludf.DUMMYFUNCTION("""COMPUTED_VALUE"""),"SERVICEABLE")</f>
        <v>SERVICEABLE</v>
      </c>
      <c r="N1085" s="164"/>
    </row>
    <row r="1086" spans="1:14" ht="13.2" hidden="1">
      <c r="A1086" s="164" t="str">
        <f ca="1">IFERROR(__xludf.DUMMYFUNCTION("""COMPUTED_VALUE"""),"Region I")</f>
        <v>Region I</v>
      </c>
      <c r="B1086" s="164" t="str">
        <f ca="1">IFERROR(__xludf.DUMMYFUNCTION("""COMPUTED_VALUE"""),"Regional Office")</f>
        <v>Regional Office</v>
      </c>
      <c r="C1086" s="164" t="str">
        <f ca="1">IFERROR(__xludf.DUMMYFUNCTION("""COMPUTED_VALUE"""),"HANDHELD GPS – MODEL P6")</f>
        <v>HANDHELD GPS – MODEL P6</v>
      </c>
      <c r="D1086" s="164" t="str">
        <f ca="1">IFERROR(__xludf.DUMMYFUNCTION("""COMPUTED_VALUE"""),"₱ 79,000.00")</f>
        <v>₱ 79,000.00</v>
      </c>
      <c r="E1086" s="164" t="str">
        <f ca="1">IFERROR(__xludf.DUMMYFUNCTION("""COMPUTED_VALUE"""),"₱ -")</f>
        <v>₱ -</v>
      </c>
      <c r="F1086" s="164" t="str">
        <f ca="1">IFERROR(__xludf.DUMMYFUNCTION("""COMPUTED_VALUE"""),"2023-05-14-10202SP88-01")</f>
        <v>2023-05-14-10202SP88-01</v>
      </c>
      <c r="G1086" s="164"/>
      <c r="H1086" s="164" t="str">
        <f ca="1">IFERROR(__xludf.DUMMYFUNCTION("""COMPUTED_VALUE"""),"Vic M. Ines")</f>
        <v>Vic M. Ines</v>
      </c>
      <c r="I1086" s="164" t="str">
        <f ca="1">IFERROR(__xludf.DUMMYFUNCTION("""COMPUTED_VALUE"""),"PARPO II")</f>
        <v>PARPO II</v>
      </c>
      <c r="J1086" s="164" t="str">
        <f ca="1">IFERROR(__xludf.DUMMYFUNCTION("""COMPUTED_VALUE"""),"2023-08-57-SPLIT")</f>
        <v>2023-08-57-SPLIT</v>
      </c>
      <c r="K1086" s="164" t="str">
        <f ca="1">IFERROR(__xludf.DUMMYFUNCTION("""COMPUTED_VALUE"""),"Vic M. Ines")</f>
        <v>Vic M. Ines</v>
      </c>
      <c r="L1086" s="164" t="str">
        <f ca="1">IFERROR(__xludf.DUMMYFUNCTION("""COMPUTED_VALUE"""),"DARPO Ilocos Norte")</f>
        <v>DARPO Ilocos Norte</v>
      </c>
      <c r="M1086" s="164" t="str">
        <f ca="1">IFERROR(__xludf.DUMMYFUNCTION("""COMPUTED_VALUE"""),"SERVICEABLE")</f>
        <v>SERVICEABLE</v>
      </c>
      <c r="N1086" s="164"/>
    </row>
    <row r="1087" spans="1:14" ht="13.2" hidden="1">
      <c r="A1087" s="164" t="str">
        <f ca="1">IFERROR(__xludf.DUMMYFUNCTION("""COMPUTED_VALUE"""),"Region I")</f>
        <v>Region I</v>
      </c>
      <c r="B1087" s="164" t="str">
        <f ca="1">IFERROR(__xludf.DUMMYFUNCTION("""COMPUTED_VALUE"""),"Regional Office")</f>
        <v>Regional Office</v>
      </c>
      <c r="C1087" s="164" t="str">
        <f ca="1">IFERROR(__xludf.DUMMYFUNCTION("""COMPUTED_VALUE"""),"HANDHELD GPS – MODEL P6")</f>
        <v>HANDHELD GPS – MODEL P6</v>
      </c>
      <c r="D1087" s="164" t="str">
        <f ca="1">IFERROR(__xludf.DUMMYFUNCTION("""COMPUTED_VALUE"""),"₱ 79,000.00")</f>
        <v>₱ 79,000.00</v>
      </c>
      <c r="E1087" s="164" t="str">
        <f ca="1">IFERROR(__xludf.DUMMYFUNCTION("""COMPUTED_VALUE"""),"₱ -")</f>
        <v>₱ -</v>
      </c>
      <c r="F1087" s="164" t="str">
        <f ca="1">IFERROR(__xludf.DUMMYFUNCTION("""COMPUTED_VALUE"""),"2023-05-14-10202SP89-01")</f>
        <v>2023-05-14-10202SP89-01</v>
      </c>
      <c r="G1087" s="164"/>
      <c r="H1087" s="164" t="str">
        <f ca="1">IFERROR(__xludf.DUMMYFUNCTION("""COMPUTED_VALUE"""),"Vic M. Ines")</f>
        <v>Vic M. Ines</v>
      </c>
      <c r="I1087" s="164" t="str">
        <f ca="1">IFERROR(__xludf.DUMMYFUNCTION("""COMPUTED_VALUE"""),"PARPO II")</f>
        <v>PARPO II</v>
      </c>
      <c r="J1087" s="164" t="str">
        <f ca="1">IFERROR(__xludf.DUMMYFUNCTION("""COMPUTED_VALUE"""),"2023-08-58- SPLIT")</f>
        <v>2023-08-58- SPLIT</v>
      </c>
      <c r="K1087" s="164" t="str">
        <f ca="1">IFERROR(__xludf.DUMMYFUNCTION("""COMPUTED_VALUE"""),"Vic M. Ines")</f>
        <v>Vic M. Ines</v>
      </c>
      <c r="L1087" s="164" t="str">
        <f ca="1">IFERROR(__xludf.DUMMYFUNCTION("""COMPUTED_VALUE"""),"DARPO Ilocos Sur")</f>
        <v>DARPO Ilocos Sur</v>
      </c>
      <c r="M1087" s="164" t="str">
        <f ca="1">IFERROR(__xludf.DUMMYFUNCTION("""COMPUTED_VALUE"""),"SERVICEABLE")</f>
        <v>SERVICEABLE</v>
      </c>
      <c r="N1087" s="164"/>
    </row>
    <row r="1088" spans="1:14" ht="13.2" hidden="1">
      <c r="A1088" s="164" t="str">
        <f ca="1">IFERROR(__xludf.DUMMYFUNCTION("""COMPUTED_VALUE"""),"Region I")</f>
        <v>Region I</v>
      </c>
      <c r="B1088" s="164" t="str">
        <f ca="1">IFERROR(__xludf.DUMMYFUNCTION("""COMPUTED_VALUE"""),"Regional Office")</f>
        <v>Regional Office</v>
      </c>
      <c r="C1088" s="164" t="str">
        <f ca="1">IFERROR(__xludf.DUMMYFUNCTION("""COMPUTED_VALUE"""),"HANDHELD GPS – MODEL P6")</f>
        <v>HANDHELD GPS – MODEL P6</v>
      </c>
      <c r="D1088" s="164" t="str">
        <f ca="1">IFERROR(__xludf.DUMMYFUNCTION("""COMPUTED_VALUE"""),"₱ 79,000.00")</f>
        <v>₱ 79,000.00</v>
      </c>
      <c r="E1088" s="164" t="str">
        <f ca="1">IFERROR(__xludf.DUMMYFUNCTION("""COMPUTED_VALUE"""),"₱ -")</f>
        <v>₱ -</v>
      </c>
      <c r="F1088" s="164" t="str">
        <f ca="1">IFERROR(__xludf.DUMMYFUNCTION("""COMPUTED_VALUE"""),"2023-05-14-10202SP90-01")</f>
        <v>2023-05-14-10202SP90-01</v>
      </c>
      <c r="G1088" s="164"/>
      <c r="H1088" s="164" t="str">
        <f ca="1">IFERROR(__xludf.DUMMYFUNCTION("""COMPUTED_VALUE"""),"Christianne C. Suguitan")</f>
        <v>Christianne C. Suguitan</v>
      </c>
      <c r="I1088" s="164" t="str">
        <f ca="1">IFERROR(__xludf.DUMMYFUNCTION("""COMPUTED_VALUE"""),"PARPO II")</f>
        <v>PARPO II</v>
      </c>
      <c r="J1088" s="164" t="str">
        <f ca="1">IFERROR(__xludf.DUMMYFUNCTION("""COMPUTED_VALUE"""),"2023-08-59-SPLIT")</f>
        <v>2023-08-59-SPLIT</v>
      </c>
      <c r="K1088" s="164" t="str">
        <f ca="1">IFERROR(__xludf.DUMMYFUNCTION("""COMPUTED_VALUE"""),"Christianne C. Suguitan")</f>
        <v>Christianne C. Suguitan</v>
      </c>
      <c r="L1088" s="164" t="str">
        <f ca="1">IFERROR(__xludf.DUMMYFUNCTION("""COMPUTED_VALUE"""),"DARPO La Union")</f>
        <v>DARPO La Union</v>
      </c>
      <c r="M1088" s="164" t="str">
        <f ca="1">IFERROR(__xludf.DUMMYFUNCTION("""COMPUTED_VALUE"""),"SERVICEABLE")</f>
        <v>SERVICEABLE</v>
      </c>
      <c r="N1088" s="164" t="str">
        <f ca="1">IFERROR(__xludf.DUMMYFUNCTION("""COMPUTED_VALUE"""),"transfer to La Union")</f>
        <v>transfer to La Union</v>
      </c>
    </row>
    <row r="1089" spans="1:14" ht="13.2" hidden="1">
      <c r="A1089" s="164" t="str">
        <f ca="1">IFERROR(__xludf.DUMMYFUNCTION("""COMPUTED_VALUE"""),"Region I")</f>
        <v>Region I</v>
      </c>
      <c r="B1089" s="164" t="str">
        <f ca="1">IFERROR(__xludf.DUMMYFUNCTION("""COMPUTED_VALUE"""),"Regional Office")</f>
        <v>Regional Office</v>
      </c>
      <c r="C1089" s="164" t="str">
        <f ca="1">IFERROR(__xludf.DUMMYFUNCTION("""COMPUTED_VALUE"""),"HANDHELD GPS – MODEL P6")</f>
        <v>HANDHELD GPS – MODEL P6</v>
      </c>
      <c r="D1089" s="164" t="str">
        <f ca="1">IFERROR(__xludf.DUMMYFUNCTION("""COMPUTED_VALUE"""),"₱ 79,000.00")</f>
        <v>₱ 79,000.00</v>
      </c>
      <c r="E1089" s="164" t="str">
        <f ca="1">IFERROR(__xludf.DUMMYFUNCTION("""COMPUTED_VALUE"""),"₱ -")</f>
        <v>₱ -</v>
      </c>
      <c r="F1089" s="164" t="str">
        <f ca="1">IFERROR(__xludf.DUMMYFUNCTION("""COMPUTED_VALUE"""),"2023-05-14-10202SP91-01")</f>
        <v>2023-05-14-10202SP91-01</v>
      </c>
      <c r="G1089" s="164"/>
      <c r="H1089" s="164" t="str">
        <f ca="1">IFERROR(__xludf.DUMMYFUNCTION("""COMPUTED_VALUE"""),"Charlotte Lasmarias")</f>
        <v>Charlotte Lasmarias</v>
      </c>
      <c r="I1089" s="164" t="str">
        <f ca="1">IFERROR(__xludf.DUMMYFUNCTION("""COMPUTED_VALUE"""),"PARPO II")</f>
        <v>PARPO II</v>
      </c>
      <c r="J1089" s="164" t="str">
        <f ca="1">IFERROR(__xludf.DUMMYFUNCTION("""COMPUTED_VALUE"""),"2023-08-60-SPLIT")</f>
        <v>2023-08-60-SPLIT</v>
      </c>
      <c r="K1089" s="164" t="str">
        <f ca="1">IFERROR(__xludf.DUMMYFUNCTION("""COMPUTED_VALUE"""),"Charlotte Lasmarias")</f>
        <v>Charlotte Lasmarias</v>
      </c>
      <c r="L1089" s="164" t="str">
        <f ca="1">IFERROR(__xludf.DUMMYFUNCTION("""COMPUTED_VALUE"""),"DARPO Pangasinan")</f>
        <v>DARPO Pangasinan</v>
      </c>
      <c r="M1089" s="164" t="str">
        <f ca="1">IFERROR(__xludf.DUMMYFUNCTION("""COMPUTED_VALUE"""),"SERVICEABLE")</f>
        <v>SERVICEABLE</v>
      </c>
      <c r="N1089" s="164" t="str">
        <f ca="1">IFERROR(__xludf.DUMMYFUNCTION("""COMPUTED_VALUE"""),"transfer to pangasinan")</f>
        <v>transfer to pangasinan</v>
      </c>
    </row>
    <row r="1090" spans="1:14" ht="13.2" hidden="1">
      <c r="A1090" s="164" t="str">
        <f ca="1">IFERROR(__xludf.DUMMYFUNCTION("""COMPUTED_VALUE"""),"Region I")</f>
        <v>Region I</v>
      </c>
      <c r="B1090" s="164" t="str">
        <f ca="1">IFERROR(__xludf.DUMMYFUNCTION("""COMPUTED_VALUE"""),"Regional Office")</f>
        <v>Regional Office</v>
      </c>
      <c r="C1090" s="164" t="str">
        <f ca="1">IFERROR(__xludf.DUMMYFUNCTION("""COMPUTED_VALUE"""),"HANDHELD GPS – MODEL P6")</f>
        <v>HANDHELD GPS – MODEL P6</v>
      </c>
      <c r="D1090" s="164" t="str">
        <f ca="1">IFERROR(__xludf.DUMMYFUNCTION("""COMPUTED_VALUE"""),"₱ 79,000.00")</f>
        <v>₱ 79,000.00</v>
      </c>
      <c r="E1090" s="164" t="str">
        <f ca="1">IFERROR(__xludf.DUMMYFUNCTION("""COMPUTED_VALUE"""),"₱ -")</f>
        <v>₱ -</v>
      </c>
      <c r="F1090" s="164" t="str">
        <f ca="1">IFERROR(__xludf.DUMMYFUNCTION("""COMPUTED_VALUE"""),"2023-05-14-10202SP92-01")</f>
        <v>2023-05-14-10202SP92-01</v>
      </c>
      <c r="G1090" s="164"/>
      <c r="H1090" s="164" t="str">
        <f ca="1">IFERROR(__xludf.DUMMYFUNCTION("""COMPUTED_VALUE"""),"Charlotte Lasmarias")</f>
        <v>Charlotte Lasmarias</v>
      </c>
      <c r="I1090" s="164" t="str">
        <f ca="1">IFERROR(__xludf.DUMMYFUNCTION("""COMPUTED_VALUE"""),"PARPO II")</f>
        <v>PARPO II</v>
      </c>
      <c r="J1090" s="164" t="str">
        <f ca="1">IFERROR(__xludf.DUMMYFUNCTION("""COMPUTED_VALUE"""),"2023-08-60-SPLIT")</f>
        <v>2023-08-60-SPLIT</v>
      </c>
      <c r="K1090" s="164" t="str">
        <f ca="1">IFERROR(__xludf.DUMMYFUNCTION("""COMPUTED_VALUE"""),"Charlotte Lasmarias")</f>
        <v>Charlotte Lasmarias</v>
      </c>
      <c r="L1090" s="164" t="str">
        <f ca="1">IFERROR(__xludf.DUMMYFUNCTION("""COMPUTED_VALUE"""),"DARPO Pangasinan")</f>
        <v>DARPO Pangasinan</v>
      </c>
      <c r="M1090" s="164" t="str">
        <f ca="1">IFERROR(__xludf.DUMMYFUNCTION("""COMPUTED_VALUE"""),"SERVICEABLE")</f>
        <v>SERVICEABLE</v>
      </c>
      <c r="N1090" s="164" t="str">
        <f ca="1">IFERROR(__xludf.DUMMYFUNCTION("""COMPUTED_VALUE"""),"transfer to pangasinan")</f>
        <v>transfer to pangasinan</v>
      </c>
    </row>
    <row r="1091" spans="1:14" ht="13.2" hidden="1">
      <c r="A1091" s="164" t="str">
        <f ca="1">IFERROR(__xludf.DUMMYFUNCTION("""COMPUTED_VALUE"""),"Region I")</f>
        <v>Region I</v>
      </c>
      <c r="B1091" s="164" t="str">
        <f ca="1">IFERROR(__xludf.DUMMYFUNCTION("""COMPUTED_VALUE"""),"La Union")</f>
        <v>La Union</v>
      </c>
      <c r="C1091" s="164" t="str">
        <f ca="1">IFERROR(__xludf.DUMMYFUNCTION("""COMPUTED_VALUE"""),"PLOTTER (3IN1)")</f>
        <v>PLOTTER (3IN1)</v>
      </c>
      <c r="D1091" s="164" t="str">
        <f ca="1">IFERROR(__xludf.DUMMYFUNCTION("""COMPUTED_VALUE"""),"₱ 648,000.00")</f>
        <v>₱ 648,000.00</v>
      </c>
      <c r="E1091" s="164" t="str">
        <f ca="1">IFERROR(__xludf.DUMMYFUNCTION("""COMPUTED_VALUE"""),"₱ -")</f>
        <v>₱ -</v>
      </c>
      <c r="F1091" s="164" t="str">
        <f ca="1">IFERROR(__xludf.DUMMYFUNCTION("""COMPUTED_VALUE"""),"2024-05-14-10201SP11-01")</f>
        <v>2024-05-14-10201SP11-01</v>
      </c>
      <c r="G1091" s="164"/>
      <c r="H1091" s="164"/>
      <c r="I1091" s="164"/>
      <c r="J1091" s="164"/>
      <c r="K1091" s="164"/>
      <c r="L1091" s="164"/>
      <c r="M1091" s="164" t="str">
        <f ca="1">IFERROR(__xludf.DUMMYFUNCTION("""COMPUTED_VALUE"""),"SERVICEABLE")</f>
        <v>SERVICEABLE</v>
      </c>
      <c r="N1091" s="164" t="str">
        <f ca="1">IFERROR(__xludf.DUMMYFUNCTION("""COMPUTED_VALUE"""),"TANSFER TO REGION")</f>
        <v>TANSFER TO REGION</v>
      </c>
    </row>
    <row r="1092" spans="1:14" ht="13.2" hidden="1">
      <c r="A1092" s="164" t="str">
        <f ca="1">IFERROR(__xludf.DUMMYFUNCTION("""COMPUTED_VALUE"""),"Region I")</f>
        <v>Region I</v>
      </c>
      <c r="B1092" s="164" t="str">
        <f ca="1">IFERROR(__xludf.DUMMYFUNCTION("""COMPUTED_VALUE"""),"Regional Office")</f>
        <v>Regional Office</v>
      </c>
      <c r="C1092" s="164" t="str">
        <f ca="1">IFERROR(__xludf.DUMMYFUNCTION("""COMPUTED_VALUE"""),"ACER TRAVELMATE")</f>
        <v>ACER TRAVELMATE</v>
      </c>
      <c r="D1092" s="164" t="str">
        <f ca="1">IFERROR(__xludf.DUMMYFUNCTION("""COMPUTED_VALUE"""),"₱ 46,580.00")</f>
        <v>₱ 46,580.00</v>
      </c>
      <c r="E1092" s="164" t="str">
        <f ca="1">IFERROR(__xludf.DUMMYFUNCTION("""COMPUTED_VALUE"""),"₱ -")</f>
        <v>₱ -</v>
      </c>
      <c r="F1092" s="164" t="str">
        <f ca="1">IFERROR(__xludf.DUMMYFUNCTION("""COMPUTED_VALUE"""),"2024-05-03-10202SP-306-01")</f>
        <v>2024-05-03-10202SP-306-01</v>
      </c>
      <c r="G1092" s="164"/>
      <c r="H1092" s="164" t="str">
        <f ca="1">IFERROR(__xludf.DUMMYFUNCTION("""COMPUTED_VALUE"""),"MA KATHERINE P SOMERA")</f>
        <v>MA KATHERINE P SOMERA</v>
      </c>
      <c r="I1092" s="164" t="str">
        <f ca="1">IFERROR(__xludf.DUMMYFUNCTION("""COMPUTED_VALUE"""),"INFO OFFICER III")</f>
        <v>INFO OFFICER III</v>
      </c>
      <c r="J1092" s="164"/>
      <c r="K1092" s="164" t="str">
        <f ca="1">IFERROR(__xludf.DUMMYFUNCTION("""COMPUTED_VALUE"""),"MA KATHERINE P SOMERA")</f>
        <v>MA KATHERINE P SOMERA</v>
      </c>
      <c r="L1092" s="164" t="str">
        <f ca="1">IFERROR(__xludf.DUMMYFUNCTION("""COMPUTED_VALUE"""),"Regional Office")</f>
        <v>Regional Office</v>
      </c>
      <c r="M1092" s="164" t="str">
        <f ca="1">IFERROR(__xludf.DUMMYFUNCTION("""COMPUTED_VALUE"""),"SERVICEABLE")</f>
        <v>SERVICEABLE</v>
      </c>
      <c r="N1092" s="164"/>
    </row>
    <row r="1093" spans="1:14" ht="13.2" hidden="1">
      <c r="A1093" s="164" t="str">
        <f ca="1">IFERROR(__xludf.DUMMYFUNCTION("""COMPUTED_VALUE"""),"Region I")</f>
        <v>Region I</v>
      </c>
      <c r="B1093" s="164" t="str">
        <f ca="1">IFERROR(__xludf.DUMMYFUNCTION("""COMPUTED_VALUE"""),"Regional Office")</f>
        <v>Regional Office</v>
      </c>
      <c r="C1093" s="164" t="str">
        <f ca="1">IFERROR(__xludf.DUMMYFUNCTION("""COMPUTED_VALUE"""),"ACER TRAVELMATE")</f>
        <v>ACER TRAVELMATE</v>
      </c>
      <c r="D1093" s="164" t="str">
        <f ca="1">IFERROR(__xludf.DUMMYFUNCTION("""COMPUTED_VALUE"""),"₱ 46,580.00")</f>
        <v>₱ 46,580.00</v>
      </c>
      <c r="E1093" s="164" t="str">
        <f ca="1">IFERROR(__xludf.DUMMYFUNCTION("""COMPUTED_VALUE"""),"₱ -")</f>
        <v>₱ -</v>
      </c>
      <c r="F1093" s="164" t="str">
        <f ca="1">IFERROR(__xludf.DUMMYFUNCTION("""COMPUTED_VALUE"""),"2024-05-03-10202SP-246-01")</f>
        <v>2024-05-03-10202SP-246-01</v>
      </c>
      <c r="G1093" s="164"/>
      <c r="H1093" s="164" t="str">
        <f ca="1">IFERROR(__xludf.DUMMYFUNCTION("""COMPUTED_VALUE"""),"EMERALDLYN B CANTORIA")</f>
        <v>EMERALDLYN B CANTORIA</v>
      </c>
      <c r="I1093" s="164" t="str">
        <f ca="1">IFERROR(__xludf.DUMMYFUNCTION("""COMPUTED_VALUE"""),"ESS COORDINATOR")</f>
        <v>ESS COORDINATOR</v>
      </c>
      <c r="J1093" s="164"/>
      <c r="K1093" s="164" t="str">
        <f ca="1">IFERROR(__xludf.DUMMYFUNCTION("""COMPUTED_VALUE"""),"EMERALDLYN B CANTORIA")</f>
        <v>EMERALDLYN B CANTORIA</v>
      </c>
      <c r="L1093" s="164" t="str">
        <f ca="1">IFERROR(__xludf.DUMMYFUNCTION("""COMPUTED_VALUE"""),"Regional Office")</f>
        <v>Regional Office</v>
      </c>
      <c r="M1093" s="164"/>
      <c r="N1093" s="164" t="str">
        <f ca="1">IFERROR(__xludf.DUMMYFUNCTION("""COMPUTED_VALUE"""),"UNSERVICEABLE")</f>
        <v>UNSERVICEABLE</v>
      </c>
    </row>
    <row r="1094" spans="1:14" ht="13.2" hidden="1">
      <c r="A1094" s="164" t="str">
        <f ca="1">IFERROR(__xludf.DUMMYFUNCTION("""COMPUTED_VALUE"""),"Region I")</f>
        <v>Region I</v>
      </c>
      <c r="B1094" s="164" t="str">
        <f ca="1">IFERROR(__xludf.DUMMYFUNCTION("""COMPUTED_VALUE"""),"La Union")</f>
        <v>La Union</v>
      </c>
      <c r="C1094" s="164" t="str">
        <f ca="1">IFERROR(__xludf.DUMMYFUNCTION("""COMPUTED_VALUE"""),"Desktop Computer – (MSI PRO DP180)")</f>
        <v>Desktop Computer – (MSI PRO DP180)</v>
      </c>
      <c r="D1094" s="164" t="str">
        <f ca="1">IFERROR(__xludf.DUMMYFUNCTION("""COMPUTED_VALUE"""),"₱ 49,300.00")</f>
        <v>₱ 49,300.00</v>
      </c>
      <c r="E1094" s="164"/>
      <c r="F1094" s="164" t="str">
        <f ca="1">IFERROR(__xludf.DUMMYFUNCTION("""COMPUTED_VALUE"""),"HVSPLIT-102-04-05-01-339")</f>
        <v>HVSPLIT-102-04-05-01-339</v>
      </c>
      <c r="G1094" s="164"/>
      <c r="H1094" s="164" t="str">
        <f ca="1">IFERROR(__xludf.DUMMYFUNCTION("""COMPUTED_VALUE"""),"NEMIA THEODORA TATUNAY")</f>
        <v>NEMIA THEODORA TATUNAY</v>
      </c>
      <c r="I1094" s="164" t="str">
        <f ca="1">IFERROR(__xludf.DUMMYFUNCTION("""COMPUTED_VALUE"""),"AO IV")</f>
        <v>AO IV</v>
      </c>
      <c r="J1094" s="164"/>
      <c r="K1094" s="164" t="str">
        <f ca="1">IFERROR(__xludf.DUMMYFUNCTION("""COMPUTED_VALUE"""),"NEMIA THEODORA TATUNAY")</f>
        <v>NEMIA THEODORA TATUNAY</v>
      </c>
      <c r="L1094" s="164" t="str">
        <f ca="1">IFERROR(__xludf.DUMMYFUNCTION("""COMPUTED_VALUE"""),"STOD")</f>
        <v>STOD</v>
      </c>
      <c r="M1094" s="164" t="str">
        <f ca="1">IFERROR(__xludf.DUMMYFUNCTION("""COMPUTED_VALUE"""),"SERVICEABLE")</f>
        <v>SERVICEABLE</v>
      </c>
      <c r="N1094" s="164"/>
    </row>
    <row r="1095" spans="1:14" ht="13.2" hidden="1">
      <c r="A1095" s="164" t="str">
        <f ca="1">IFERROR(__xludf.DUMMYFUNCTION("""COMPUTED_VALUE"""),"Region I")</f>
        <v>Region I</v>
      </c>
      <c r="B1095" s="164" t="str">
        <f ca="1">IFERROR(__xludf.DUMMYFUNCTION("""COMPUTED_VALUE"""),"La Union")</f>
        <v>La Union</v>
      </c>
      <c r="C1095" s="164" t="str">
        <f ca="1">IFERROR(__xludf.DUMMYFUNCTION("""COMPUTED_VALUE"""),"Desktop Computer – (MSI PRO DP180)")</f>
        <v>Desktop Computer – (MSI PRO DP180)</v>
      </c>
      <c r="D1095" s="164" t="str">
        <f ca="1">IFERROR(__xludf.DUMMYFUNCTION("""COMPUTED_VALUE"""),"₱ 49,300.00")</f>
        <v>₱ 49,300.00</v>
      </c>
      <c r="E1095" s="164"/>
      <c r="F1095" s="164" t="str">
        <f ca="1">IFERROR(__xludf.DUMMYFUNCTION("""COMPUTED_VALUE"""),"HVSPLIT-102-04-05-01-338")</f>
        <v>HVSPLIT-102-04-05-01-338</v>
      </c>
      <c r="G1095" s="164"/>
      <c r="H1095" s="164" t="str">
        <f ca="1">IFERROR(__xludf.DUMMYFUNCTION("""COMPUTED_VALUE"""),"MA. ELENA IVY AGBUNAG")</f>
        <v>MA. ELENA IVY AGBUNAG</v>
      </c>
      <c r="I1095" s="164" t="str">
        <f ca="1">IFERROR(__xludf.DUMMYFUNCTION("""COMPUTED_VALUE"""),"ARPT")</f>
        <v>ARPT</v>
      </c>
      <c r="J1095" s="164"/>
      <c r="K1095" s="164" t="str">
        <f ca="1">IFERROR(__xludf.DUMMYFUNCTION("""COMPUTED_VALUE"""),"NEMIA THEODORA TATUNAY")</f>
        <v>NEMIA THEODORA TATUNAY</v>
      </c>
      <c r="L1095" s="164" t="str">
        <f ca="1">IFERROR(__xludf.DUMMYFUNCTION("""COMPUTED_VALUE"""),"STOD")</f>
        <v>STOD</v>
      </c>
      <c r="M1095" s="164" t="str">
        <f ca="1">IFERROR(__xludf.DUMMYFUNCTION("""COMPUTED_VALUE"""),"SERVICEABLE")</f>
        <v>SERVICEABLE</v>
      </c>
      <c r="N1095" s="164"/>
    </row>
    <row r="1096" spans="1:14" ht="13.2" hidden="1">
      <c r="A1096" s="164" t="str">
        <f ca="1">IFERROR(__xludf.DUMMYFUNCTION("""COMPUTED_VALUE"""),"Region I")</f>
        <v>Region I</v>
      </c>
      <c r="B1096" s="164" t="str">
        <f ca="1">IFERROR(__xludf.DUMMYFUNCTION("""COMPUTED_VALUE"""),"Regional Office")</f>
        <v>Regional Office</v>
      </c>
      <c r="C1096" s="164" t="str">
        <f ca="1">IFERROR(__xludf.DUMMYFUNCTION("""COMPUTED_VALUE"""),"Desktop Computer – (MSI PRO DP180)")</f>
        <v>Desktop Computer – (MSI PRO DP180)</v>
      </c>
      <c r="D1096" s="164" t="str">
        <f ca="1">IFERROR(__xludf.DUMMYFUNCTION("""COMPUTED_VALUE"""),"₱ 49,300.00")</f>
        <v>₱ 49,300.00</v>
      </c>
      <c r="E1096" s="164"/>
      <c r="F1096" s="164" t="str">
        <f ca="1">IFERROR(__xludf.DUMMYFUNCTION("""COMPUTED_VALUE"""),"HVSPLIT-102-24-05-01-346")</f>
        <v>HVSPLIT-102-24-05-01-346</v>
      </c>
      <c r="G1096" s="164"/>
      <c r="H1096" s="164" t="str">
        <f ca="1">IFERROR(__xludf.DUMMYFUNCTION("""COMPUTED_VALUE"""),"JORDAN MAGLAYA")</f>
        <v>JORDAN MAGLAYA</v>
      </c>
      <c r="I1096" s="164" t="str">
        <f ca="1">IFERROR(__xludf.DUMMYFUNCTION("""COMPUTED_VALUE"""),"GRAPHIC ARTIST")</f>
        <v>GRAPHIC ARTIST</v>
      </c>
      <c r="J1096" s="164"/>
      <c r="K1096" s="164" t="str">
        <f ca="1">IFERROR(__xludf.DUMMYFUNCTION("""COMPUTED_VALUE"""),"JORDAN MAGLAYA")</f>
        <v>JORDAN MAGLAYA</v>
      </c>
      <c r="L1096" s="164" t="str">
        <f ca="1">IFERROR(__xludf.DUMMYFUNCTION("""COMPUTED_VALUE"""),"STOD")</f>
        <v>STOD</v>
      </c>
      <c r="M1096" s="164" t="str">
        <f ca="1">IFERROR(__xludf.DUMMYFUNCTION("""COMPUTED_VALUE"""),"SERVICEABLE")</f>
        <v>SERVICEABLE</v>
      </c>
      <c r="N1096" s="164"/>
    </row>
    <row r="1097" spans="1:14" ht="13.2" hidden="1">
      <c r="A1097" s="164" t="str">
        <f ca="1">IFERROR(__xludf.DUMMYFUNCTION("""COMPUTED_VALUE"""),"Region I")</f>
        <v>Region I</v>
      </c>
      <c r="B1097" s="164" t="str">
        <f ca="1">IFERROR(__xludf.DUMMYFUNCTION("""COMPUTED_VALUE"""),"Regional Office")</f>
        <v>Regional Office</v>
      </c>
      <c r="C1097" s="164" t="str">
        <f ca="1">IFERROR(__xludf.DUMMYFUNCTION("""COMPUTED_VALUE"""),"Desktop Computer – (MSI PRO DP180)")</f>
        <v>Desktop Computer – (MSI PRO DP180)</v>
      </c>
      <c r="D1097" s="164" t="str">
        <f ca="1">IFERROR(__xludf.DUMMYFUNCTION("""COMPUTED_VALUE"""),"₱ 49,300.00")</f>
        <v>₱ 49,300.00</v>
      </c>
      <c r="E1097" s="164"/>
      <c r="F1097" s="164" t="str">
        <f ca="1">IFERROR(__xludf.DUMMYFUNCTION("""COMPUTED_VALUE"""),"HVSPLIT-102-24-05-01-340")</f>
        <v>HVSPLIT-102-24-05-01-340</v>
      </c>
      <c r="G1097" s="164"/>
      <c r="H1097" s="164" t="str">
        <f ca="1">IFERROR(__xludf.DUMMYFUNCTION("""COMPUTED_VALUE"""),"Ma. Katherine P. Somera")</f>
        <v>Ma. Katherine P. Somera</v>
      </c>
      <c r="I1097" s="164" t="str">
        <f ca="1">IFERROR(__xludf.DUMMYFUNCTION("""COMPUTED_VALUE"""),"INFO. OFFICER")</f>
        <v>INFO. OFFICER</v>
      </c>
      <c r="J1097" s="164"/>
      <c r="K1097" s="164" t="str">
        <f ca="1">IFERROR(__xludf.DUMMYFUNCTION("""COMPUTED_VALUE"""),"Ma. Katherine P. Somera")</f>
        <v>Ma. Katherine P. Somera</v>
      </c>
      <c r="L1097" s="164" t="str">
        <f ca="1">IFERROR(__xludf.DUMMYFUNCTION("""COMPUTED_VALUE"""),"STOD")</f>
        <v>STOD</v>
      </c>
      <c r="M1097" s="164" t="str">
        <f ca="1">IFERROR(__xludf.DUMMYFUNCTION("""COMPUTED_VALUE"""),"SERVICEABLE")</f>
        <v>SERVICEABLE</v>
      </c>
      <c r="N1097" s="164"/>
    </row>
    <row r="1098" spans="1:14" ht="13.2" hidden="1">
      <c r="A1098" s="164" t="str">
        <f ca="1">IFERROR(__xludf.DUMMYFUNCTION("""COMPUTED_VALUE"""),"Region I")</f>
        <v>Region I</v>
      </c>
      <c r="B1098" s="164" t="str">
        <f ca="1">IFERROR(__xludf.DUMMYFUNCTION("""COMPUTED_VALUE"""),"Regional Office")</f>
        <v>Regional Office</v>
      </c>
      <c r="C1098" s="164" t="str">
        <f ca="1">IFERROR(__xludf.DUMMYFUNCTION("""COMPUTED_VALUE"""),"Desktop Computer – (MSI PRO DP180)")</f>
        <v>Desktop Computer – (MSI PRO DP180)</v>
      </c>
      <c r="D1098" s="164" t="str">
        <f ca="1">IFERROR(__xludf.DUMMYFUNCTION("""COMPUTED_VALUE"""),"₱ 49,300.00")</f>
        <v>₱ 49,300.00</v>
      </c>
      <c r="E1098" s="164"/>
      <c r="F1098" s="164" t="str">
        <f ca="1">IFERROR(__xludf.DUMMYFUNCTION("""COMPUTED_VALUE"""),"HVSPLIT-102-24-05-01-341")</f>
        <v>HVSPLIT-102-24-05-01-341</v>
      </c>
      <c r="G1098" s="164"/>
      <c r="H1098" s="164" t="str">
        <f ca="1">IFERROR(__xludf.DUMMYFUNCTION("""COMPUTED_VALUE"""),"Ma. Katherine P. Somera")</f>
        <v>Ma. Katherine P. Somera</v>
      </c>
      <c r="I1098" s="164" t="str">
        <f ca="1">IFERROR(__xludf.DUMMYFUNCTION("""COMPUTED_VALUE"""),"INFO. OFFICER")</f>
        <v>INFO. OFFICER</v>
      </c>
      <c r="J1098" s="164"/>
      <c r="K1098" s="164" t="str">
        <f ca="1">IFERROR(__xludf.DUMMYFUNCTION("""COMPUTED_VALUE"""),"Ma. Katherine P. Somera")</f>
        <v>Ma. Katherine P. Somera</v>
      </c>
      <c r="L1098" s="164" t="str">
        <f ca="1">IFERROR(__xludf.DUMMYFUNCTION("""COMPUTED_VALUE"""),"STOD")</f>
        <v>STOD</v>
      </c>
      <c r="M1098" s="164" t="str">
        <f ca="1">IFERROR(__xludf.DUMMYFUNCTION("""COMPUTED_VALUE"""),"SERVICEABLE")</f>
        <v>SERVICEABLE</v>
      </c>
      <c r="N1098" s="164"/>
    </row>
    <row r="1099" spans="1:14" ht="13.2" hidden="1">
      <c r="A1099" s="164" t="str">
        <f ca="1">IFERROR(__xludf.DUMMYFUNCTION("""COMPUTED_VALUE"""),"Region I")</f>
        <v>Region I</v>
      </c>
      <c r="B1099" s="164" t="str">
        <f ca="1">IFERROR(__xludf.DUMMYFUNCTION("""COMPUTED_VALUE"""),"Regional Office")</f>
        <v>Regional Office</v>
      </c>
      <c r="C1099" s="164" t="str">
        <f ca="1">IFERROR(__xludf.DUMMYFUNCTION("""COMPUTED_VALUE"""),"Desktop Computer – (MSI PRO DP180)")</f>
        <v>Desktop Computer – (MSI PRO DP180)</v>
      </c>
      <c r="D1099" s="164" t="str">
        <f ca="1">IFERROR(__xludf.DUMMYFUNCTION("""COMPUTED_VALUE"""),"₱ 49,300.00")</f>
        <v>₱ 49,300.00</v>
      </c>
      <c r="E1099" s="164"/>
      <c r="F1099" s="164" t="str">
        <f ca="1">IFERROR(__xludf.DUMMYFUNCTION("""COMPUTED_VALUE"""),"HVSPLIT-102-24-05-01-342")</f>
        <v>HVSPLIT-102-24-05-01-342</v>
      </c>
      <c r="G1099" s="164"/>
      <c r="H1099" s="164" t="str">
        <f ca="1">IFERROR(__xludf.DUMMYFUNCTION("""COMPUTED_VALUE"""),"Ma. Katherine P. Somera")</f>
        <v>Ma. Katherine P. Somera</v>
      </c>
      <c r="I1099" s="164" t="str">
        <f ca="1">IFERROR(__xludf.DUMMYFUNCTION("""COMPUTED_VALUE"""),"INFO. OFFICER")</f>
        <v>INFO. OFFICER</v>
      </c>
      <c r="J1099" s="164"/>
      <c r="K1099" s="164" t="str">
        <f ca="1">IFERROR(__xludf.DUMMYFUNCTION("""COMPUTED_VALUE"""),"Ma. Katherine P. Somera")</f>
        <v>Ma. Katherine P. Somera</v>
      </c>
      <c r="L1099" s="164" t="str">
        <f ca="1">IFERROR(__xludf.DUMMYFUNCTION("""COMPUTED_VALUE"""),"STOD")</f>
        <v>STOD</v>
      </c>
      <c r="M1099" s="164" t="str">
        <f ca="1">IFERROR(__xludf.DUMMYFUNCTION("""COMPUTED_VALUE"""),"SERVICEABLE")</f>
        <v>SERVICEABLE</v>
      </c>
      <c r="N1099" s="164"/>
    </row>
    <row r="1100" spans="1:14" ht="13.2" hidden="1">
      <c r="A1100" s="164" t="str">
        <f ca="1">IFERROR(__xludf.DUMMYFUNCTION("""COMPUTED_VALUE"""),"Region I")</f>
        <v>Region I</v>
      </c>
      <c r="B1100" s="164" t="str">
        <f ca="1">IFERROR(__xludf.DUMMYFUNCTION("""COMPUTED_VALUE"""),"Regional Office")</f>
        <v>Regional Office</v>
      </c>
      <c r="C1100" s="164" t="str">
        <f ca="1">IFERROR(__xludf.DUMMYFUNCTION("""COMPUTED_VALUE"""),"Desktop Computer – (MSI PRO DP180)")</f>
        <v>Desktop Computer – (MSI PRO DP180)</v>
      </c>
      <c r="D1100" s="164" t="str">
        <f ca="1">IFERROR(__xludf.DUMMYFUNCTION("""COMPUTED_VALUE"""),"₱ 49,300.00")</f>
        <v>₱ 49,300.00</v>
      </c>
      <c r="E1100" s="164"/>
      <c r="F1100" s="164" t="str">
        <f ca="1">IFERROR(__xludf.DUMMYFUNCTION("""COMPUTED_VALUE"""),"HVSPLIT-102-24-05-01-343")</f>
        <v>HVSPLIT-102-24-05-01-343</v>
      </c>
      <c r="G1100" s="164"/>
      <c r="H1100" s="164" t="str">
        <f ca="1">IFERROR(__xludf.DUMMYFUNCTION("""COMPUTED_VALUE"""),"Ma. Katherine P. Somera")</f>
        <v>Ma. Katherine P. Somera</v>
      </c>
      <c r="I1100" s="164" t="str">
        <f ca="1">IFERROR(__xludf.DUMMYFUNCTION("""COMPUTED_VALUE"""),"INFO. OFFICER")</f>
        <v>INFO. OFFICER</v>
      </c>
      <c r="J1100" s="164"/>
      <c r="K1100" s="164" t="str">
        <f ca="1">IFERROR(__xludf.DUMMYFUNCTION("""COMPUTED_VALUE"""),"Ma. Katherine P. Somera")</f>
        <v>Ma. Katherine P. Somera</v>
      </c>
      <c r="L1100" s="164" t="str">
        <f ca="1">IFERROR(__xludf.DUMMYFUNCTION("""COMPUTED_VALUE"""),"STOD")</f>
        <v>STOD</v>
      </c>
      <c r="M1100" s="164" t="str">
        <f ca="1">IFERROR(__xludf.DUMMYFUNCTION("""COMPUTED_VALUE"""),"SERVICEABLE")</f>
        <v>SERVICEABLE</v>
      </c>
      <c r="N1100" s="164"/>
    </row>
    <row r="1101" spans="1:14" ht="13.2" hidden="1">
      <c r="A1101" s="164" t="str">
        <f ca="1">IFERROR(__xludf.DUMMYFUNCTION("""COMPUTED_VALUE"""),"Region I")</f>
        <v>Region I</v>
      </c>
      <c r="B1101" s="164" t="str">
        <f ca="1">IFERROR(__xludf.DUMMYFUNCTION("""COMPUTED_VALUE"""),"Regional Office")</f>
        <v>Regional Office</v>
      </c>
      <c r="C1101" s="164" t="str">
        <f ca="1">IFERROR(__xludf.DUMMYFUNCTION("""COMPUTED_VALUE"""),"Desktop Computer – (MSI PRO DP180)")</f>
        <v>Desktop Computer – (MSI PRO DP180)</v>
      </c>
      <c r="D1101" s="164" t="str">
        <f ca="1">IFERROR(__xludf.DUMMYFUNCTION("""COMPUTED_VALUE"""),"₱ 49,300.00")</f>
        <v>₱ 49,300.00</v>
      </c>
      <c r="E1101" s="164"/>
      <c r="F1101" s="164" t="str">
        <f ca="1">IFERROR(__xludf.DUMMYFUNCTION("""COMPUTED_VALUE"""),"HVSPLIT-102-24-05-01-344")</f>
        <v>HVSPLIT-102-24-05-01-344</v>
      </c>
      <c r="G1101" s="164"/>
      <c r="H1101" s="164" t="str">
        <f ca="1">IFERROR(__xludf.DUMMYFUNCTION("""COMPUTED_VALUE"""),"Ma. Katherine P. Somera")</f>
        <v>Ma. Katherine P. Somera</v>
      </c>
      <c r="I1101" s="164" t="str">
        <f ca="1">IFERROR(__xludf.DUMMYFUNCTION("""COMPUTED_VALUE"""),"INFO. OFFICER")</f>
        <v>INFO. OFFICER</v>
      </c>
      <c r="J1101" s="164"/>
      <c r="K1101" s="164" t="str">
        <f ca="1">IFERROR(__xludf.DUMMYFUNCTION("""COMPUTED_VALUE"""),"Ma. Katherine P. Somera")</f>
        <v>Ma. Katherine P. Somera</v>
      </c>
      <c r="L1101" s="164" t="str">
        <f ca="1">IFERROR(__xludf.DUMMYFUNCTION("""COMPUTED_VALUE"""),"STOD")</f>
        <v>STOD</v>
      </c>
      <c r="M1101" s="164" t="str">
        <f ca="1">IFERROR(__xludf.DUMMYFUNCTION("""COMPUTED_VALUE"""),"SERVICEABLE")</f>
        <v>SERVICEABLE</v>
      </c>
      <c r="N1101" s="164"/>
    </row>
    <row r="1102" spans="1:14" ht="13.2" hidden="1">
      <c r="A1102" s="164" t="str">
        <f ca="1">IFERROR(__xludf.DUMMYFUNCTION("""COMPUTED_VALUE"""),"Region I")</f>
        <v>Region I</v>
      </c>
      <c r="B1102" s="164" t="str">
        <f ca="1">IFERROR(__xludf.DUMMYFUNCTION("""COMPUTED_VALUE"""),"Regional Office")</f>
        <v>Regional Office</v>
      </c>
      <c r="C1102" s="164" t="str">
        <f ca="1">IFERROR(__xludf.DUMMYFUNCTION("""COMPUTED_VALUE"""),"Desktop Computer – (MSI PRO DP180)")</f>
        <v>Desktop Computer – (MSI PRO DP180)</v>
      </c>
      <c r="D1102" s="164" t="str">
        <f ca="1">IFERROR(__xludf.DUMMYFUNCTION("""COMPUTED_VALUE"""),"₱ 49,300.00")</f>
        <v>₱ 49,300.00</v>
      </c>
      <c r="E1102" s="164"/>
      <c r="F1102" s="164" t="str">
        <f ca="1">IFERROR(__xludf.DUMMYFUNCTION("""COMPUTED_VALUE"""),"HVSPLIT-102-24-05-01-345")</f>
        <v>HVSPLIT-102-24-05-01-345</v>
      </c>
      <c r="G1102" s="164"/>
      <c r="H1102" s="164" t="str">
        <f ca="1">IFERROR(__xludf.DUMMYFUNCTION("""COMPUTED_VALUE"""),"Ma. Katherine P. Somera")</f>
        <v>Ma. Katherine P. Somera</v>
      </c>
      <c r="I1102" s="164" t="str">
        <f ca="1">IFERROR(__xludf.DUMMYFUNCTION("""COMPUTED_VALUE"""),"INFO. OFFICER")</f>
        <v>INFO. OFFICER</v>
      </c>
      <c r="J1102" s="164"/>
      <c r="K1102" s="164" t="str">
        <f ca="1">IFERROR(__xludf.DUMMYFUNCTION("""COMPUTED_VALUE"""),"Ma. Katherine P. Somera")</f>
        <v>Ma. Katherine P. Somera</v>
      </c>
      <c r="L1102" s="164" t="str">
        <f ca="1">IFERROR(__xludf.DUMMYFUNCTION("""COMPUTED_VALUE"""),"STOD")</f>
        <v>STOD</v>
      </c>
      <c r="M1102" s="164" t="str">
        <f ca="1">IFERROR(__xludf.DUMMYFUNCTION("""COMPUTED_VALUE"""),"SERVICEABLE")</f>
        <v>SERVICEABLE</v>
      </c>
      <c r="N1102" s="164"/>
    </row>
    <row r="1103" spans="1:14" ht="13.2" hidden="1">
      <c r="A1103" s="164" t="str">
        <f ca="1">IFERROR(__xludf.DUMMYFUNCTION("""COMPUTED_VALUE"""),"Region I")</f>
        <v>Region I</v>
      </c>
      <c r="B1103" s="164" t="str">
        <f ca="1">IFERROR(__xludf.DUMMYFUNCTION("""COMPUTED_VALUE"""),"Regional Office")</f>
        <v>Regional Office</v>
      </c>
      <c r="C1103" s="164" t="str">
        <f ca="1">IFERROR(__xludf.DUMMYFUNCTION("""COMPUTED_VALUE"""),"Desktop Computer – (MSI PRO DP180)")</f>
        <v>Desktop Computer – (MSI PRO DP180)</v>
      </c>
      <c r="D1103" s="164" t="str">
        <f ca="1">IFERROR(__xludf.DUMMYFUNCTION("""COMPUTED_VALUE"""),"₱ 49,300.00")</f>
        <v>₱ 49,300.00</v>
      </c>
      <c r="E1103" s="164"/>
      <c r="F1103" s="164" t="str">
        <f ca="1">IFERROR(__xludf.DUMMYFUNCTION("""COMPUTED_VALUE"""),"HVSPLIT-102-24-05-01-348")</f>
        <v>HVSPLIT-102-24-05-01-348</v>
      </c>
      <c r="G1103" s="164"/>
      <c r="H1103" s="164" t="str">
        <f ca="1">IFERROR(__xludf.DUMMYFUNCTION("""COMPUTED_VALUE"""),"Ma. Katherine P. Somera")</f>
        <v>Ma. Katherine P. Somera</v>
      </c>
      <c r="I1103" s="164" t="str">
        <f ca="1">IFERROR(__xludf.DUMMYFUNCTION("""COMPUTED_VALUE"""),"INFO. OFFICER")</f>
        <v>INFO. OFFICER</v>
      </c>
      <c r="J1103" s="164"/>
      <c r="K1103" s="164" t="str">
        <f ca="1">IFERROR(__xludf.DUMMYFUNCTION("""COMPUTED_VALUE"""),"Ma. Katherine P. Somera")</f>
        <v>Ma. Katherine P. Somera</v>
      </c>
      <c r="L1103" s="164" t="str">
        <f ca="1">IFERROR(__xludf.DUMMYFUNCTION("""COMPUTED_VALUE"""),"STOD")</f>
        <v>STOD</v>
      </c>
      <c r="M1103" s="164" t="str">
        <f ca="1">IFERROR(__xludf.DUMMYFUNCTION("""COMPUTED_VALUE"""),"SERVICEABLE")</f>
        <v>SERVICEABLE</v>
      </c>
      <c r="N1103" s="164"/>
    </row>
    <row r="1104" spans="1:14" ht="13.2" hidden="1">
      <c r="A1104" s="164" t="str">
        <f ca="1">IFERROR(__xludf.DUMMYFUNCTION("""COMPUTED_VALUE"""),"Region I")</f>
        <v>Region I</v>
      </c>
      <c r="B1104" s="164" t="str">
        <f ca="1">IFERROR(__xludf.DUMMYFUNCTION("""COMPUTED_VALUE"""),"Regional Office")</f>
        <v>Regional Office</v>
      </c>
      <c r="C1104" s="164" t="str">
        <f ca="1">IFERROR(__xludf.DUMMYFUNCTION("""COMPUTED_VALUE"""),"Desktop Computer – (MSI PRO DP180)")</f>
        <v>Desktop Computer – (MSI PRO DP180)</v>
      </c>
      <c r="D1104" s="164" t="str">
        <f ca="1">IFERROR(__xludf.DUMMYFUNCTION("""COMPUTED_VALUE"""),"₱ 49,300.00")</f>
        <v>₱ 49,300.00</v>
      </c>
      <c r="E1104" s="164"/>
      <c r="F1104" s="164" t="str">
        <f ca="1">IFERROR(__xludf.DUMMYFUNCTION("""COMPUTED_VALUE"""),"HVSPLIT-102-24-05-01-349")</f>
        <v>HVSPLIT-102-24-05-01-349</v>
      </c>
      <c r="G1104" s="164"/>
      <c r="H1104" s="164" t="str">
        <f ca="1">IFERROR(__xludf.DUMMYFUNCTION("""COMPUTED_VALUE"""),"Ma. Katherine P. Somera")</f>
        <v>Ma. Katherine P. Somera</v>
      </c>
      <c r="I1104" s="164" t="str">
        <f ca="1">IFERROR(__xludf.DUMMYFUNCTION("""COMPUTED_VALUE"""),"INFO. OFFICER")</f>
        <v>INFO. OFFICER</v>
      </c>
      <c r="J1104" s="164"/>
      <c r="K1104" s="164" t="str">
        <f ca="1">IFERROR(__xludf.DUMMYFUNCTION("""COMPUTED_VALUE"""),"Ma. Katherine P. Somera")</f>
        <v>Ma. Katherine P. Somera</v>
      </c>
      <c r="L1104" s="164" t="str">
        <f ca="1">IFERROR(__xludf.DUMMYFUNCTION("""COMPUTED_VALUE"""),"STOD")</f>
        <v>STOD</v>
      </c>
      <c r="M1104" s="164" t="str">
        <f ca="1">IFERROR(__xludf.DUMMYFUNCTION("""COMPUTED_VALUE"""),"SERVICEABLE")</f>
        <v>SERVICEABLE</v>
      </c>
      <c r="N1104" s="164"/>
    </row>
    <row r="1105" spans="1:14" ht="13.2" hidden="1">
      <c r="A1105" s="164" t="str">
        <f ca="1">IFERROR(__xludf.DUMMYFUNCTION("""COMPUTED_VALUE"""),"Region I")</f>
        <v>Region I</v>
      </c>
      <c r="B1105" s="164" t="str">
        <f ca="1">IFERROR(__xludf.DUMMYFUNCTION("""COMPUTED_VALUE"""),"Regional Office")</f>
        <v>Regional Office</v>
      </c>
      <c r="C1105" s="164" t="str">
        <f ca="1">IFERROR(__xludf.DUMMYFUNCTION("""COMPUTED_VALUE"""),"Desktop Computer – (MSI PRO DP180)")</f>
        <v>Desktop Computer – (MSI PRO DP180)</v>
      </c>
      <c r="D1105" s="164" t="str">
        <f ca="1">IFERROR(__xludf.DUMMYFUNCTION("""COMPUTED_VALUE"""),"₱ 49,300.00")</f>
        <v>₱ 49,300.00</v>
      </c>
      <c r="E1105" s="164"/>
      <c r="F1105" s="164" t="str">
        <f ca="1">IFERROR(__xludf.DUMMYFUNCTION("""COMPUTED_VALUE"""),"HVSPLIT-102-24-05-01-168")</f>
        <v>HVSPLIT-102-24-05-01-168</v>
      </c>
      <c r="G1105" s="164"/>
      <c r="H1105" s="164" t="str">
        <f ca="1">IFERROR(__xludf.DUMMYFUNCTION("""COMPUTED_VALUE"""),"Ma. Katherine P. Somera")</f>
        <v>Ma. Katherine P. Somera</v>
      </c>
      <c r="I1105" s="164" t="str">
        <f ca="1">IFERROR(__xludf.DUMMYFUNCTION("""COMPUTED_VALUE"""),"INFO. OFFICER")</f>
        <v>INFO. OFFICER</v>
      </c>
      <c r="J1105" s="164"/>
      <c r="K1105" s="164" t="str">
        <f ca="1">IFERROR(__xludf.DUMMYFUNCTION("""COMPUTED_VALUE"""),"Ma. Katherine P. Somera")</f>
        <v>Ma. Katherine P. Somera</v>
      </c>
      <c r="L1105" s="164" t="str">
        <f ca="1">IFERROR(__xludf.DUMMYFUNCTION("""COMPUTED_VALUE"""),"STOD")</f>
        <v>STOD</v>
      </c>
      <c r="M1105" s="164" t="str">
        <f ca="1">IFERROR(__xludf.DUMMYFUNCTION("""COMPUTED_VALUE"""),"SERVICEABLE")</f>
        <v>SERVICEABLE</v>
      </c>
      <c r="N1105" s="164"/>
    </row>
    <row r="1106" spans="1:14" ht="13.2" hidden="1">
      <c r="A1106" s="164" t="str">
        <f ca="1">IFERROR(__xludf.DUMMYFUNCTION("""COMPUTED_VALUE"""),"Region I")</f>
        <v>Region I</v>
      </c>
      <c r="B1106" s="164" t="str">
        <f ca="1">IFERROR(__xludf.DUMMYFUNCTION("""COMPUTED_VALUE"""),"Regional Office")</f>
        <v>Regional Office</v>
      </c>
      <c r="C1106" s="164" t="str">
        <f ca="1">IFERROR(__xludf.DUMMYFUNCTION("""COMPUTED_VALUE"""),"Desktop Computer – (MSI PRO DP180)")</f>
        <v>Desktop Computer – (MSI PRO DP180)</v>
      </c>
      <c r="D1106" s="164" t="str">
        <f ca="1">IFERROR(__xludf.DUMMYFUNCTION("""COMPUTED_VALUE"""),"₱ 49,300.00")</f>
        <v>₱ 49,300.00</v>
      </c>
      <c r="E1106" s="164"/>
      <c r="F1106" s="164" t="str">
        <f ca="1">IFERROR(__xludf.DUMMYFUNCTION("""COMPUTED_VALUE"""),"HVSPLIT-102-24-05-01-038")</f>
        <v>HVSPLIT-102-24-05-01-038</v>
      </c>
      <c r="G1106" s="164"/>
      <c r="H1106" s="164" t="str">
        <f ca="1">IFERROR(__xludf.DUMMYFUNCTION("""COMPUTED_VALUE"""),"BEN R. RIOS")</f>
        <v>BEN R. RIOS</v>
      </c>
      <c r="I1106" s="164" t="str">
        <f ca="1">IFERROR(__xludf.DUMMYFUNCTION("""COMPUTED_VALUE"""),"SARPO")</f>
        <v>SARPO</v>
      </c>
      <c r="J1106" s="164"/>
      <c r="K1106" s="164" t="str">
        <f ca="1">IFERROR(__xludf.DUMMYFUNCTION("""COMPUTED_VALUE"""),"BEN R. RIOS")</f>
        <v>BEN R. RIOS</v>
      </c>
      <c r="L1106" s="164" t="str">
        <f ca="1">IFERROR(__xludf.DUMMYFUNCTION("""COMPUTED_VALUE"""),"PBD/FOD")</f>
        <v>PBD/FOD</v>
      </c>
      <c r="M1106" s="164" t="str">
        <f ca="1">IFERROR(__xludf.DUMMYFUNCTION("""COMPUTED_VALUE"""),"SERVICEABLE")</f>
        <v>SERVICEABLE</v>
      </c>
      <c r="N1106" s="164"/>
    </row>
    <row r="1107" spans="1:14" ht="13.2" hidden="1">
      <c r="A1107" s="164" t="str">
        <f ca="1">IFERROR(__xludf.DUMMYFUNCTION("""COMPUTED_VALUE"""),"Region I")</f>
        <v>Region I</v>
      </c>
      <c r="B1107" s="164" t="str">
        <f ca="1">IFERROR(__xludf.DUMMYFUNCTION("""COMPUTED_VALUE"""),"Regional Office")</f>
        <v>Regional Office</v>
      </c>
      <c r="C1107" s="164" t="str">
        <f ca="1">IFERROR(__xludf.DUMMYFUNCTION("""COMPUTED_VALUE"""),"Desktop Computer – (MSI PRO DP180)")</f>
        <v>Desktop Computer – (MSI PRO DP180)</v>
      </c>
      <c r="D1107" s="164" t="str">
        <f ca="1">IFERROR(__xludf.DUMMYFUNCTION("""COMPUTED_VALUE"""),"₱ 49,300.00")</f>
        <v>₱ 49,300.00</v>
      </c>
      <c r="E1107" s="164"/>
      <c r="F1107" s="164" t="str">
        <f ca="1">IFERROR(__xludf.DUMMYFUNCTION("""COMPUTED_VALUE"""),"HVSPLIT-102-24-05-01-347")</f>
        <v>HVSPLIT-102-24-05-01-347</v>
      </c>
      <c r="G1107" s="164"/>
      <c r="H1107" s="164" t="str">
        <f ca="1">IFERROR(__xludf.DUMMYFUNCTION("""COMPUTED_VALUE"""),"KRAIG ANDRE QUEZADA")</f>
        <v>KRAIG ANDRE QUEZADA</v>
      </c>
      <c r="I1107" s="164" t="str">
        <f ca="1">IFERROR(__xludf.DUMMYFUNCTION("""COMPUTED_VALUE"""),"ADMIN. AIDE")</f>
        <v>ADMIN. AIDE</v>
      </c>
      <c r="J1107" s="164"/>
      <c r="K1107" s="164" t="str">
        <f ca="1">IFERROR(__xludf.DUMMYFUNCTION("""COMPUTED_VALUE"""),"KRAIG ANDRE QUEZADA")</f>
        <v>KRAIG ANDRE QUEZADA</v>
      </c>
      <c r="L1107" s="164" t="str">
        <f ca="1">IFERROR(__xludf.DUMMYFUNCTION("""COMPUTED_VALUE"""),"OARD")</f>
        <v>OARD</v>
      </c>
      <c r="M1107" s="164" t="str">
        <f ca="1">IFERROR(__xludf.DUMMYFUNCTION("""COMPUTED_VALUE"""),"SERVICEABLE")</f>
        <v>SERVICEABLE</v>
      </c>
      <c r="N1107" s="164"/>
    </row>
    <row r="1108" spans="1:14" ht="13.2" hidden="1">
      <c r="A1108" s="164" t="str">
        <f ca="1">IFERROR(__xludf.DUMMYFUNCTION("""COMPUTED_VALUE"""),"Region I")</f>
        <v>Region I</v>
      </c>
      <c r="B1108" s="164" t="str">
        <f ca="1">IFERROR(__xludf.DUMMYFUNCTION("""COMPUTED_VALUE"""),"Regional Office")</f>
        <v>Regional Office</v>
      </c>
      <c r="C1108" s="164" t="str">
        <f ca="1">IFERROR(__xludf.DUMMYFUNCTION("""COMPUTED_VALUE"""),"ACER TRAVELMATE")</f>
        <v>ACER TRAVELMATE</v>
      </c>
      <c r="D1108" s="164" t="str">
        <f ca="1">IFERROR(__xludf.DUMMYFUNCTION("""COMPUTED_VALUE"""),"₱ 46,580.00")</f>
        <v>₱ 46,580.00</v>
      </c>
      <c r="E1108" s="164" t="str">
        <f ca="1">IFERROR(__xludf.DUMMYFUNCTION("""COMPUTED_VALUE"""),"₱ -")</f>
        <v>₱ -</v>
      </c>
      <c r="F1108" s="164" t="str">
        <f ca="1">IFERROR(__xludf.DUMMYFUNCTION("""COMPUTED_VALUE"""),"2024-05-03-10202SP-338-01")</f>
        <v>2024-05-03-10202SP-338-01</v>
      </c>
      <c r="G1108" s="164"/>
      <c r="H1108" s="164" t="str">
        <f ca="1">IFERROR(__xludf.DUMMYFUNCTION("""COMPUTED_VALUE"""),"EMERALDLYN B CANTORIA")</f>
        <v>EMERALDLYN B CANTORIA</v>
      </c>
      <c r="I1108" s="164" t="str">
        <f ca="1">IFERROR(__xludf.DUMMYFUNCTION("""COMPUTED_VALUE"""),"ESS COORDINATOR")</f>
        <v>ESS COORDINATOR</v>
      </c>
      <c r="J1108" s="164"/>
      <c r="K1108" s="164" t="str">
        <f ca="1">IFERROR(__xludf.DUMMYFUNCTION("""COMPUTED_VALUE"""),"EMERALDLYN B CANTORIA")</f>
        <v>EMERALDLYN B CANTORIA</v>
      </c>
      <c r="L1108" s="164" t="str">
        <f ca="1">IFERROR(__xludf.DUMMYFUNCTION("""COMPUTED_VALUE"""),"Regional Office")</f>
        <v>Regional Office</v>
      </c>
      <c r="M1108" s="164" t="str">
        <f ca="1">IFERROR(__xludf.DUMMYFUNCTION("""COMPUTED_VALUE"""),"SERVICEABLE")</f>
        <v>SERVICEABLE</v>
      </c>
      <c r="N1108" s="164"/>
    </row>
    <row r="1109" spans="1:14" ht="13.2" hidden="1">
      <c r="A1109" s="164" t="str">
        <f ca="1">IFERROR(__xludf.DUMMYFUNCTION("""COMPUTED_VALUE"""),"Region I")</f>
        <v>Region I</v>
      </c>
      <c r="B1109" s="164" t="str">
        <f ca="1">IFERROR(__xludf.DUMMYFUNCTION("""COMPUTED_VALUE"""),"Ilocos Norte")</f>
        <v>Ilocos Norte</v>
      </c>
      <c r="C1109" s="164" t="str">
        <f ca="1">IFERROR(__xludf.DUMMYFUNCTION("""COMPUTED_VALUE"""),"Motorcycle – (Honda XRL 150)")</f>
        <v>Motorcycle – (Honda XRL 150)</v>
      </c>
      <c r="D1109" s="164" t="str">
        <f ca="1">IFERROR(__xludf.DUMMYFUNCTION("""COMPUTED_VALUE"""),"₱ 124,900.00")</f>
        <v>₱ 124,900.00</v>
      </c>
      <c r="E1109" s="164"/>
      <c r="F1109" s="164" t="str">
        <f ca="1">IFERROR(__xludf.DUMMYFUNCTION("""COMPUTED_VALUE"""),"2023-06-01-10202SP28-01")</f>
        <v>2023-06-01-10202SP28-01</v>
      </c>
      <c r="G1109" s="164" t="str">
        <f ca="1">IFERROR(__xludf.DUMMYFUNCTION("""COMPUTED_VALUE"""),"no plate available")</f>
        <v>no plate available</v>
      </c>
      <c r="H1109" s="164" t="str">
        <f ca="1">IFERROR(__xludf.DUMMYFUNCTION("""COMPUTED_VALUE"""),"Vic M. Ines")</f>
        <v>Vic M. Ines</v>
      </c>
      <c r="I1109" s="164" t="str">
        <f ca="1">IFERROR(__xludf.DUMMYFUNCTION("""COMPUTED_VALUE"""),"PARPO II")</f>
        <v>PARPO II</v>
      </c>
      <c r="J1109" s="164" t="str">
        <f ca="1">IFERROR(__xludf.DUMMYFUNCTION("""COMPUTED_VALUE"""),"2023-01-36-SPLIT")</f>
        <v>2023-01-36-SPLIT</v>
      </c>
      <c r="K1109" s="164" t="str">
        <f ca="1">IFERROR(__xludf.DUMMYFUNCTION("""COMPUTED_VALUE"""),"Dante S. Agreda")</f>
        <v>Dante S. Agreda</v>
      </c>
      <c r="L1109" s="164" t="str">
        <f ca="1">IFERROR(__xludf.DUMMYFUNCTION("""COMPUTED_VALUE"""),"DARPO Ilocos Norte")</f>
        <v>DARPO Ilocos Norte</v>
      </c>
      <c r="M1109" s="164" t="str">
        <f ca="1">IFERROR(__xludf.DUMMYFUNCTION("""COMPUTED_VALUE"""),"SERVICEABLE")</f>
        <v>SERVICEABLE</v>
      </c>
      <c r="N1109" s="164"/>
    </row>
    <row r="1110" spans="1:14" ht="13.2" hidden="1">
      <c r="A1110" s="164" t="str">
        <f ca="1">IFERROR(__xludf.DUMMYFUNCTION("""COMPUTED_VALUE"""),"Region I")</f>
        <v>Region I</v>
      </c>
      <c r="B1110" s="164" t="str">
        <f ca="1">IFERROR(__xludf.DUMMYFUNCTION("""COMPUTED_VALUE"""),"Ilocos Norte")</f>
        <v>Ilocos Norte</v>
      </c>
      <c r="C1110" s="164" t="str">
        <f ca="1">IFERROR(__xludf.DUMMYFUNCTION("""COMPUTED_VALUE"""),"Motorcycle – (Honda XRL 150)")</f>
        <v>Motorcycle – (Honda XRL 150)</v>
      </c>
      <c r="D1110" s="164" t="str">
        <f ca="1">IFERROR(__xludf.DUMMYFUNCTION("""COMPUTED_VALUE"""),"₱ 124,900.00")</f>
        <v>₱ 124,900.00</v>
      </c>
      <c r="E1110" s="164"/>
      <c r="F1110" s="164" t="str">
        <f ca="1">IFERROR(__xludf.DUMMYFUNCTION("""COMPUTED_VALUE"""),"2023-06-01-10202SP29-01")</f>
        <v>2023-06-01-10202SP29-01</v>
      </c>
      <c r="G1110" s="164" t="str">
        <f ca="1">IFERROR(__xludf.DUMMYFUNCTION("""COMPUTED_VALUE"""),"no plate available")</f>
        <v>no plate available</v>
      </c>
      <c r="H1110" s="164" t="str">
        <f ca="1">IFERROR(__xludf.DUMMYFUNCTION("""COMPUTED_VALUE"""),"Vic M. Ines")</f>
        <v>Vic M. Ines</v>
      </c>
      <c r="I1110" s="164" t="str">
        <f ca="1">IFERROR(__xludf.DUMMYFUNCTION("""COMPUTED_VALUE"""),"PARPO II")</f>
        <v>PARPO II</v>
      </c>
      <c r="J1110" s="164" t="str">
        <f ca="1">IFERROR(__xludf.DUMMYFUNCTION("""COMPUTED_VALUE"""),"2023-01-36-SPLIT")</f>
        <v>2023-01-36-SPLIT</v>
      </c>
      <c r="K1110" s="164" t="str">
        <f ca="1">IFERROR(__xludf.DUMMYFUNCTION("""COMPUTED_VALUE"""),"Rodel Pascual")</f>
        <v>Rodel Pascual</v>
      </c>
      <c r="L1110" s="164" t="str">
        <f ca="1">IFERROR(__xludf.DUMMYFUNCTION("""COMPUTED_VALUE"""),"DARPO Ilocos Norte")</f>
        <v>DARPO Ilocos Norte</v>
      </c>
      <c r="M1110" s="164" t="str">
        <f ca="1">IFERROR(__xludf.DUMMYFUNCTION("""COMPUTED_VALUE"""),"SERVICEABLE")</f>
        <v>SERVICEABLE</v>
      </c>
      <c r="N1110" s="164"/>
    </row>
    <row r="1111" spans="1:14" ht="13.2" hidden="1">
      <c r="A1111" s="164" t="str">
        <f ca="1">IFERROR(__xludf.DUMMYFUNCTION("""COMPUTED_VALUE"""),"Region I")</f>
        <v>Region I</v>
      </c>
      <c r="B1111" s="164" t="str">
        <f ca="1">IFERROR(__xludf.DUMMYFUNCTION("""COMPUTED_VALUE"""),"Ilocos Norte")</f>
        <v>Ilocos Norte</v>
      </c>
      <c r="C1111" s="164" t="str">
        <f ca="1">IFERROR(__xludf.DUMMYFUNCTION("""COMPUTED_VALUE"""),"Motorcycle – (Honda XRL 150)")</f>
        <v>Motorcycle – (Honda XRL 150)</v>
      </c>
      <c r="D1111" s="164" t="str">
        <f ca="1">IFERROR(__xludf.DUMMYFUNCTION("""COMPUTED_VALUE"""),"₱ 124,900.00")</f>
        <v>₱ 124,900.00</v>
      </c>
      <c r="E1111" s="164"/>
      <c r="F1111" s="164" t="str">
        <f ca="1">IFERROR(__xludf.DUMMYFUNCTION("""COMPUTED_VALUE"""),"2023-06-01-10202SP30-01")</f>
        <v>2023-06-01-10202SP30-01</v>
      </c>
      <c r="G1111" s="164" t="str">
        <f ca="1">IFERROR(__xludf.DUMMYFUNCTION("""COMPUTED_VALUE"""),"no plate available")</f>
        <v>no plate available</v>
      </c>
      <c r="H1111" s="164" t="str">
        <f ca="1">IFERROR(__xludf.DUMMYFUNCTION("""COMPUTED_VALUE"""),"Vic M. Ines")</f>
        <v>Vic M. Ines</v>
      </c>
      <c r="I1111" s="164" t="str">
        <f ca="1">IFERROR(__xludf.DUMMYFUNCTION("""COMPUTED_VALUE"""),"PARPO II")</f>
        <v>PARPO II</v>
      </c>
      <c r="J1111" s="164" t="str">
        <f ca="1">IFERROR(__xludf.DUMMYFUNCTION("""COMPUTED_VALUE"""),"2023-01-36-SPLIT")</f>
        <v>2023-01-36-SPLIT</v>
      </c>
      <c r="K1111" s="164" t="str">
        <f ca="1">IFERROR(__xludf.DUMMYFUNCTION("""COMPUTED_VALUE"""),"PARPO Vic M. Ines")</f>
        <v>PARPO Vic M. Ines</v>
      </c>
      <c r="L1111" s="164" t="str">
        <f ca="1">IFERROR(__xludf.DUMMYFUNCTION("""COMPUTED_VALUE"""),"DARPO Ilocos Norte")</f>
        <v>DARPO Ilocos Norte</v>
      </c>
      <c r="M1111" s="164" t="str">
        <f ca="1">IFERROR(__xludf.DUMMYFUNCTION("""COMPUTED_VALUE"""),"SERVICEABLE")</f>
        <v>SERVICEABLE</v>
      </c>
      <c r="N1111" s="164"/>
    </row>
    <row r="1112" spans="1:14" ht="13.2" hidden="1">
      <c r="A1112" s="164" t="str">
        <f ca="1">IFERROR(__xludf.DUMMYFUNCTION("""COMPUTED_VALUE"""),"Region I")</f>
        <v>Region I</v>
      </c>
      <c r="B1112" s="164" t="str">
        <f ca="1">IFERROR(__xludf.DUMMYFUNCTION("""COMPUTED_VALUE"""),"Ilocos Norte")</f>
        <v>Ilocos Norte</v>
      </c>
      <c r="C1112" s="164" t="str">
        <f ca="1">IFERROR(__xludf.DUMMYFUNCTION("""COMPUTED_VALUE"""),"Motorcycle – (Honda XRL 150)")</f>
        <v>Motorcycle – (Honda XRL 150)</v>
      </c>
      <c r="D1112" s="164" t="str">
        <f ca="1">IFERROR(__xludf.DUMMYFUNCTION("""COMPUTED_VALUE"""),"₱ 124,900.00")</f>
        <v>₱ 124,900.00</v>
      </c>
      <c r="E1112" s="164"/>
      <c r="F1112" s="164" t="str">
        <f ca="1">IFERROR(__xludf.DUMMYFUNCTION("""COMPUTED_VALUE"""),"2023-06-01-10202SP31-01")</f>
        <v>2023-06-01-10202SP31-01</v>
      </c>
      <c r="G1112" s="164" t="str">
        <f ca="1">IFERROR(__xludf.DUMMYFUNCTION("""COMPUTED_VALUE"""),"no plate available")</f>
        <v>no plate available</v>
      </c>
      <c r="H1112" s="164" t="str">
        <f ca="1">IFERROR(__xludf.DUMMYFUNCTION("""COMPUTED_VALUE"""),"Vic M. Ines")</f>
        <v>Vic M. Ines</v>
      </c>
      <c r="I1112" s="164" t="str">
        <f ca="1">IFERROR(__xludf.DUMMYFUNCTION("""COMPUTED_VALUE"""),"PARPO II")</f>
        <v>PARPO II</v>
      </c>
      <c r="J1112" s="164" t="str">
        <f ca="1">IFERROR(__xludf.DUMMYFUNCTION("""COMPUTED_VALUE"""),"2023-01-36-SPLIT")</f>
        <v>2023-01-36-SPLIT</v>
      </c>
      <c r="K1112" s="164" t="str">
        <f ca="1">IFERROR(__xludf.DUMMYFUNCTION("""COMPUTED_VALUE"""),"PARPO Vic M. Ines")</f>
        <v>PARPO Vic M. Ines</v>
      </c>
      <c r="L1112" s="164" t="str">
        <f ca="1">IFERROR(__xludf.DUMMYFUNCTION("""COMPUTED_VALUE"""),"DARPO Ilocos Norte")</f>
        <v>DARPO Ilocos Norte</v>
      </c>
      <c r="M1112" s="164" t="str">
        <f ca="1">IFERROR(__xludf.DUMMYFUNCTION("""COMPUTED_VALUE"""),"SERVICEABLE")</f>
        <v>SERVICEABLE</v>
      </c>
      <c r="N1112" s="164"/>
    </row>
    <row r="1113" spans="1:14" ht="13.2" hidden="1">
      <c r="A1113" s="164" t="str">
        <f ca="1">IFERROR(__xludf.DUMMYFUNCTION("""COMPUTED_VALUE"""),"Region I")</f>
        <v>Region I</v>
      </c>
      <c r="B1113" s="164" t="str">
        <f ca="1">IFERROR(__xludf.DUMMYFUNCTION("""COMPUTED_VALUE"""),"Ilocos Norte")</f>
        <v>Ilocos Norte</v>
      </c>
      <c r="C1113" s="164" t="str">
        <f ca="1">IFERROR(__xludf.DUMMYFUNCTION("""COMPUTED_VALUE"""),"Motorcycle – (Honda XRL 150)")</f>
        <v>Motorcycle – (Honda XRL 150)</v>
      </c>
      <c r="D1113" s="164" t="str">
        <f ca="1">IFERROR(__xludf.DUMMYFUNCTION("""COMPUTED_VALUE"""),"₱ 124,900.00")</f>
        <v>₱ 124,900.00</v>
      </c>
      <c r="E1113" s="164"/>
      <c r="F1113" s="164" t="str">
        <f ca="1">IFERROR(__xludf.DUMMYFUNCTION("""COMPUTED_VALUE"""),"2023-06-01-10202SP32-01")</f>
        <v>2023-06-01-10202SP32-01</v>
      </c>
      <c r="G1113" s="164" t="str">
        <f ca="1">IFERROR(__xludf.DUMMYFUNCTION("""COMPUTED_VALUE"""),"no plate available")</f>
        <v>no plate available</v>
      </c>
      <c r="H1113" s="164" t="str">
        <f ca="1">IFERROR(__xludf.DUMMYFUNCTION("""COMPUTED_VALUE"""),"Vic M. Ines")</f>
        <v>Vic M. Ines</v>
      </c>
      <c r="I1113" s="164" t="str">
        <f ca="1">IFERROR(__xludf.DUMMYFUNCTION("""COMPUTED_VALUE"""),"PARPO II")</f>
        <v>PARPO II</v>
      </c>
      <c r="J1113" s="164" t="str">
        <f ca="1">IFERROR(__xludf.DUMMYFUNCTION("""COMPUTED_VALUE"""),"2023-01-36-SPLIT")</f>
        <v>2023-01-36-SPLIT</v>
      </c>
      <c r="K1113" s="164" t="str">
        <f ca="1">IFERROR(__xludf.DUMMYFUNCTION("""COMPUTED_VALUE"""),"Rodolfo N. Garcia, Jr.")</f>
        <v>Rodolfo N. Garcia, Jr.</v>
      </c>
      <c r="L1113" s="164" t="str">
        <f ca="1">IFERROR(__xludf.DUMMYFUNCTION("""COMPUTED_VALUE"""),"DARPO Ilocos Norte")</f>
        <v>DARPO Ilocos Norte</v>
      </c>
      <c r="M1113" s="164" t="str">
        <f ca="1">IFERROR(__xludf.DUMMYFUNCTION("""COMPUTED_VALUE"""),"SERVICEABLE")</f>
        <v>SERVICEABLE</v>
      </c>
      <c r="N1113" s="164"/>
    </row>
    <row r="1114" spans="1:14" ht="13.2" hidden="1">
      <c r="A1114" s="164" t="str">
        <f ca="1">IFERROR(__xludf.DUMMYFUNCTION("""COMPUTED_VALUE"""),"Region I")</f>
        <v>Region I</v>
      </c>
      <c r="B1114" s="164" t="str">
        <f ca="1">IFERROR(__xludf.DUMMYFUNCTION("""COMPUTED_VALUE"""),"Ilocos Norte")</f>
        <v>Ilocos Norte</v>
      </c>
      <c r="C1114" s="164" t="str">
        <f ca="1">IFERROR(__xludf.DUMMYFUNCTION("""COMPUTED_VALUE"""),"Motorcycle – (Honda XRL 150)")</f>
        <v>Motorcycle – (Honda XRL 150)</v>
      </c>
      <c r="D1114" s="164" t="str">
        <f ca="1">IFERROR(__xludf.DUMMYFUNCTION("""COMPUTED_VALUE"""),"₱ 124,900.00")</f>
        <v>₱ 124,900.00</v>
      </c>
      <c r="E1114" s="164"/>
      <c r="F1114" s="164" t="str">
        <f ca="1">IFERROR(__xludf.DUMMYFUNCTION("""COMPUTED_VALUE"""),"2023-06-01-10202SP33-01")</f>
        <v>2023-06-01-10202SP33-01</v>
      </c>
      <c r="G1114" s="164" t="str">
        <f ca="1">IFERROR(__xludf.DUMMYFUNCTION("""COMPUTED_VALUE"""),"no plate available")</f>
        <v>no plate available</v>
      </c>
      <c r="H1114" s="164" t="str">
        <f ca="1">IFERROR(__xludf.DUMMYFUNCTION("""COMPUTED_VALUE"""),"Vic M. Ines")</f>
        <v>Vic M. Ines</v>
      </c>
      <c r="I1114" s="164" t="str">
        <f ca="1">IFERROR(__xludf.DUMMYFUNCTION("""COMPUTED_VALUE"""),"PARPO II")</f>
        <v>PARPO II</v>
      </c>
      <c r="J1114" s="164" t="str">
        <f ca="1">IFERROR(__xludf.DUMMYFUNCTION("""COMPUTED_VALUE"""),"2023-01-36-SPLIT")</f>
        <v>2023-01-36-SPLIT</v>
      </c>
      <c r="K1114" s="164" t="str">
        <f ca="1">IFERROR(__xludf.DUMMYFUNCTION("""COMPUTED_VALUE"""),"PARPO Vic M. Ines")</f>
        <v>PARPO Vic M. Ines</v>
      </c>
      <c r="L1114" s="164" t="str">
        <f ca="1">IFERROR(__xludf.DUMMYFUNCTION("""COMPUTED_VALUE"""),"DARPO Ilocos Norte")</f>
        <v>DARPO Ilocos Norte</v>
      </c>
      <c r="M1114" s="164" t="str">
        <f ca="1">IFERROR(__xludf.DUMMYFUNCTION("""COMPUTED_VALUE"""),"SERVICEABLE")</f>
        <v>SERVICEABLE</v>
      </c>
      <c r="N1114" s="164"/>
    </row>
    <row r="1115" spans="1:14" ht="13.2" hidden="1">
      <c r="A1115" s="164" t="str">
        <f ca="1">IFERROR(__xludf.DUMMYFUNCTION("""COMPUTED_VALUE"""),"Region I")</f>
        <v>Region I</v>
      </c>
      <c r="B1115" s="164" t="str">
        <f ca="1">IFERROR(__xludf.DUMMYFUNCTION("""COMPUTED_VALUE"""),"Ilocos Norte")</f>
        <v>Ilocos Norte</v>
      </c>
      <c r="C1115" s="164" t="str">
        <f ca="1">IFERROR(__xludf.DUMMYFUNCTION("""COMPUTED_VALUE"""),"Motorcycle – (Honda XRL 150)")</f>
        <v>Motorcycle – (Honda XRL 150)</v>
      </c>
      <c r="D1115" s="164" t="str">
        <f ca="1">IFERROR(__xludf.DUMMYFUNCTION("""COMPUTED_VALUE"""),"₱ 124,900.00")</f>
        <v>₱ 124,900.00</v>
      </c>
      <c r="E1115" s="164"/>
      <c r="F1115" s="164" t="str">
        <f ca="1">IFERROR(__xludf.DUMMYFUNCTION("""COMPUTED_VALUE"""),"2023-06-01-10202SP34-01")</f>
        <v>2023-06-01-10202SP34-01</v>
      </c>
      <c r="G1115" s="164" t="str">
        <f ca="1">IFERROR(__xludf.DUMMYFUNCTION("""COMPUTED_VALUE"""),"no plate available")</f>
        <v>no plate available</v>
      </c>
      <c r="H1115" s="164" t="str">
        <f ca="1">IFERROR(__xludf.DUMMYFUNCTION("""COMPUTED_VALUE"""),"Vic M. Ines")</f>
        <v>Vic M. Ines</v>
      </c>
      <c r="I1115" s="164" t="str">
        <f ca="1">IFERROR(__xludf.DUMMYFUNCTION("""COMPUTED_VALUE"""),"PARPO II")</f>
        <v>PARPO II</v>
      </c>
      <c r="J1115" s="164" t="str">
        <f ca="1">IFERROR(__xludf.DUMMYFUNCTION("""COMPUTED_VALUE"""),"2023-01-36-SPLIT")</f>
        <v>2023-01-36-SPLIT</v>
      </c>
      <c r="K1115" s="164" t="str">
        <f ca="1">IFERROR(__xludf.DUMMYFUNCTION("""COMPUTED_VALUE"""),"Engr. Jesus R. Asuncion")</f>
        <v>Engr. Jesus R. Asuncion</v>
      </c>
      <c r="L1115" s="164" t="str">
        <f ca="1">IFERROR(__xludf.DUMMYFUNCTION("""COMPUTED_VALUE"""),"DARPO Ilocos Norte")</f>
        <v>DARPO Ilocos Norte</v>
      </c>
      <c r="M1115" s="164" t="str">
        <f ca="1">IFERROR(__xludf.DUMMYFUNCTION("""COMPUTED_VALUE"""),"SERVICEABLE")</f>
        <v>SERVICEABLE</v>
      </c>
      <c r="N1115" s="164"/>
    </row>
    <row r="1116" spans="1:14" ht="13.2" hidden="1">
      <c r="A1116" s="164" t="str">
        <f ca="1">IFERROR(__xludf.DUMMYFUNCTION("""COMPUTED_VALUE"""),"Region I")</f>
        <v>Region I</v>
      </c>
      <c r="B1116" s="164" t="str">
        <f ca="1">IFERROR(__xludf.DUMMYFUNCTION("""COMPUTED_VALUE"""),"Ilocos Norte")</f>
        <v>Ilocos Norte</v>
      </c>
      <c r="C1116" s="164" t="str">
        <f ca="1">IFERROR(__xludf.DUMMYFUNCTION("""COMPUTED_VALUE"""),"Motorcycle – (Honda XRL 150)")</f>
        <v>Motorcycle – (Honda XRL 150)</v>
      </c>
      <c r="D1116" s="164" t="str">
        <f ca="1">IFERROR(__xludf.DUMMYFUNCTION("""COMPUTED_VALUE"""),"₱ 124,900.00")</f>
        <v>₱ 124,900.00</v>
      </c>
      <c r="E1116" s="164"/>
      <c r="F1116" s="164" t="str">
        <f ca="1">IFERROR(__xludf.DUMMYFUNCTION("""COMPUTED_VALUE"""),"2023-06-01-10202SP35-01")</f>
        <v>2023-06-01-10202SP35-01</v>
      </c>
      <c r="G1116" s="164" t="str">
        <f ca="1">IFERROR(__xludf.DUMMYFUNCTION("""COMPUTED_VALUE"""),"no plate available")</f>
        <v>no plate available</v>
      </c>
      <c r="H1116" s="164" t="str">
        <f ca="1">IFERROR(__xludf.DUMMYFUNCTION("""COMPUTED_VALUE"""),"Vic M. Ines")</f>
        <v>Vic M. Ines</v>
      </c>
      <c r="I1116" s="164" t="str">
        <f ca="1">IFERROR(__xludf.DUMMYFUNCTION("""COMPUTED_VALUE"""),"PARPO II")</f>
        <v>PARPO II</v>
      </c>
      <c r="J1116" s="164" t="str">
        <f ca="1">IFERROR(__xludf.DUMMYFUNCTION("""COMPUTED_VALUE"""),"2023-01-36-SPLIT")</f>
        <v>2023-01-36-SPLIT</v>
      </c>
      <c r="K1116" s="164" t="str">
        <f ca="1">IFERROR(__xludf.DUMMYFUNCTION("""COMPUTED_VALUE"""),"PARPO Vic M. Ines")</f>
        <v>PARPO Vic M. Ines</v>
      </c>
      <c r="L1116" s="164" t="str">
        <f ca="1">IFERROR(__xludf.DUMMYFUNCTION("""COMPUTED_VALUE"""),"DARPO Ilocos Norte")</f>
        <v>DARPO Ilocos Norte</v>
      </c>
      <c r="M1116" s="164" t="str">
        <f ca="1">IFERROR(__xludf.DUMMYFUNCTION("""COMPUTED_VALUE"""),"SERVICEABLE")</f>
        <v>SERVICEABLE</v>
      </c>
      <c r="N1116" s="164"/>
    </row>
    <row r="1117" spans="1:14" ht="13.2" hidden="1">
      <c r="A1117" s="164" t="str">
        <f ca="1">IFERROR(__xludf.DUMMYFUNCTION("""COMPUTED_VALUE"""),"Region I")</f>
        <v>Region I</v>
      </c>
      <c r="B1117" s="164" t="str">
        <f ca="1">IFERROR(__xludf.DUMMYFUNCTION("""COMPUTED_VALUE"""),"Ilocos Sur")</f>
        <v>Ilocos Sur</v>
      </c>
      <c r="C1117" s="164" t="str">
        <f ca="1">IFERROR(__xludf.DUMMYFUNCTION("""COMPUTED_VALUE"""),"Motorcycle – (Honda XRL 150)")</f>
        <v>Motorcycle – (Honda XRL 150)</v>
      </c>
      <c r="D1117" s="164" t="str">
        <f ca="1">IFERROR(__xludf.DUMMYFUNCTION("""COMPUTED_VALUE"""),"₱ 124,900.00")</f>
        <v>₱ 124,900.00</v>
      </c>
      <c r="E1117" s="164"/>
      <c r="F1117" s="164" t="str">
        <f ca="1">IFERROR(__xludf.DUMMYFUNCTION("""COMPUTED_VALUE"""),"2023-06-01-10202SP36-01")</f>
        <v>2023-06-01-10202SP36-01</v>
      </c>
      <c r="G1117" s="164" t="str">
        <f ca="1">IFERROR(__xludf.DUMMYFUNCTION("""COMPUTED_VALUE"""),"no plate available")</f>
        <v>no plate available</v>
      </c>
      <c r="H1117" s="164" t="str">
        <f ca="1">IFERROR(__xludf.DUMMYFUNCTION("""COMPUTED_VALUE"""),"Vic M. Ines")</f>
        <v>Vic M. Ines</v>
      </c>
      <c r="I1117" s="164" t="str">
        <f ca="1">IFERROR(__xludf.DUMMYFUNCTION("""COMPUTED_VALUE"""),"PARPO II")</f>
        <v>PARPO II</v>
      </c>
      <c r="J1117" s="164" t="str">
        <f ca="1">IFERROR(__xludf.DUMMYFUNCTION("""COMPUTED_VALUE"""),"2023-01-38-SPLIT")</f>
        <v>2023-01-38-SPLIT</v>
      </c>
      <c r="K1117" s="164" t="str">
        <f ca="1">IFERROR(__xludf.DUMMYFUNCTION("""COMPUTED_VALUE"""),"PARPO Vic M. Ines")</f>
        <v>PARPO Vic M. Ines</v>
      </c>
      <c r="L1117" s="164" t="str">
        <f ca="1">IFERROR(__xludf.DUMMYFUNCTION("""COMPUTED_VALUE"""),"DARPO Ilocos Sur")</f>
        <v>DARPO Ilocos Sur</v>
      </c>
      <c r="M1117" s="164" t="str">
        <f ca="1">IFERROR(__xludf.DUMMYFUNCTION("""COMPUTED_VALUE"""),"SERVICEABLE")</f>
        <v>SERVICEABLE</v>
      </c>
      <c r="N1117" s="164"/>
    </row>
    <row r="1118" spans="1:14" ht="13.2" hidden="1">
      <c r="A1118" s="164" t="str">
        <f ca="1">IFERROR(__xludf.DUMMYFUNCTION("""COMPUTED_VALUE"""),"Region I")</f>
        <v>Region I</v>
      </c>
      <c r="B1118" s="164" t="str">
        <f ca="1">IFERROR(__xludf.DUMMYFUNCTION("""COMPUTED_VALUE"""),"Ilocos Sur")</f>
        <v>Ilocos Sur</v>
      </c>
      <c r="C1118" s="164" t="str">
        <f ca="1">IFERROR(__xludf.DUMMYFUNCTION("""COMPUTED_VALUE"""),"Motorcycle – (Honda XRL 150)")</f>
        <v>Motorcycle – (Honda XRL 150)</v>
      </c>
      <c r="D1118" s="164" t="str">
        <f ca="1">IFERROR(__xludf.DUMMYFUNCTION("""COMPUTED_VALUE"""),"₱ 124,900.00")</f>
        <v>₱ 124,900.00</v>
      </c>
      <c r="E1118" s="164"/>
      <c r="F1118" s="164" t="str">
        <f ca="1">IFERROR(__xludf.DUMMYFUNCTION("""COMPUTED_VALUE"""),"2023-06-01-10202SP37-01")</f>
        <v>2023-06-01-10202SP37-01</v>
      </c>
      <c r="G1118" s="164" t="str">
        <f ca="1">IFERROR(__xludf.DUMMYFUNCTION("""COMPUTED_VALUE"""),"no plate available")</f>
        <v>no plate available</v>
      </c>
      <c r="H1118" s="164" t="str">
        <f ca="1">IFERROR(__xludf.DUMMYFUNCTION("""COMPUTED_VALUE"""),"Vic M. Ines")</f>
        <v>Vic M. Ines</v>
      </c>
      <c r="I1118" s="164" t="str">
        <f ca="1">IFERROR(__xludf.DUMMYFUNCTION("""COMPUTED_VALUE"""),"PARPO II")</f>
        <v>PARPO II</v>
      </c>
      <c r="J1118" s="164" t="str">
        <f ca="1">IFERROR(__xludf.DUMMYFUNCTION("""COMPUTED_VALUE"""),"2023-01-38-SPLIT")</f>
        <v>2023-01-38-SPLIT</v>
      </c>
      <c r="K1118" s="164" t="str">
        <f ca="1">IFERROR(__xludf.DUMMYFUNCTION("""COMPUTED_VALUE"""),"Rodel Tacneng")</f>
        <v>Rodel Tacneng</v>
      </c>
      <c r="L1118" s="164" t="str">
        <f ca="1">IFERROR(__xludf.DUMMYFUNCTION("""COMPUTED_VALUE"""),"DARPO Ilocos Sur")</f>
        <v>DARPO Ilocos Sur</v>
      </c>
      <c r="M1118" s="164" t="str">
        <f ca="1">IFERROR(__xludf.DUMMYFUNCTION("""COMPUTED_VALUE"""),"SERVICEABLE")</f>
        <v>SERVICEABLE</v>
      </c>
      <c r="N1118" s="164"/>
    </row>
    <row r="1119" spans="1:14" ht="13.2" hidden="1">
      <c r="A1119" s="164" t="str">
        <f ca="1">IFERROR(__xludf.DUMMYFUNCTION("""COMPUTED_VALUE"""),"Region I")</f>
        <v>Region I</v>
      </c>
      <c r="B1119" s="164" t="str">
        <f ca="1">IFERROR(__xludf.DUMMYFUNCTION("""COMPUTED_VALUE"""),"Ilocos Sur")</f>
        <v>Ilocos Sur</v>
      </c>
      <c r="C1119" s="164" t="str">
        <f ca="1">IFERROR(__xludf.DUMMYFUNCTION("""COMPUTED_VALUE"""),"Motorcycle – (Honda XRL 150)")</f>
        <v>Motorcycle – (Honda XRL 150)</v>
      </c>
      <c r="D1119" s="164" t="str">
        <f ca="1">IFERROR(__xludf.DUMMYFUNCTION("""COMPUTED_VALUE"""),"₱ 124,900.00")</f>
        <v>₱ 124,900.00</v>
      </c>
      <c r="E1119" s="164"/>
      <c r="F1119" s="164" t="str">
        <f ca="1">IFERROR(__xludf.DUMMYFUNCTION("""COMPUTED_VALUE"""),"2023-06-01-10202SP38-01")</f>
        <v>2023-06-01-10202SP38-01</v>
      </c>
      <c r="G1119" s="164" t="str">
        <f ca="1">IFERROR(__xludf.DUMMYFUNCTION("""COMPUTED_VALUE"""),"no plate available")</f>
        <v>no plate available</v>
      </c>
      <c r="H1119" s="164" t="str">
        <f ca="1">IFERROR(__xludf.DUMMYFUNCTION("""COMPUTED_VALUE"""),"Vic M. Ines")</f>
        <v>Vic M. Ines</v>
      </c>
      <c r="I1119" s="164" t="str">
        <f ca="1">IFERROR(__xludf.DUMMYFUNCTION("""COMPUTED_VALUE"""),"PARPO II")</f>
        <v>PARPO II</v>
      </c>
      <c r="J1119" s="164" t="str">
        <f ca="1">IFERROR(__xludf.DUMMYFUNCTION("""COMPUTED_VALUE"""),"2023-01-38-SPLIT")</f>
        <v>2023-01-38-SPLIT</v>
      </c>
      <c r="K1119" s="164" t="str">
        <f ca="1">IFERROR(__xludf.DUMMYFUNCTION("""COMPUTED_VALUE"""),"PARPO Vic M. Ines")</f>
        <v>PARPO Vic M. Ines</v>
      </c>
      <c r="L1119" s="164" t="str">
        <f ca="1">IFERROR(__xludf.DUMMYFUNCTION("""COMPUTED_VALUE"""),"DARPO Ilocos Sur")</f>
        <v>DARPO Ilocos Sur</v>
      </c>
      <c r="M1119" s="164" t="str">
        <f ca="1">IFERROR(__xludf.DUMMYFUNCTION("""COMPUTED_VALUE"""),"SERVICEABLE")</f>
        <v>SERVICEABLE</v>
      </c>
      <c r="N1119" s="164"/>
    </row>
    <row r="1120" spans="1:14" ht="13.2" hidden="1">
      <c r="A1120" s="164" t="str">
        <f ca="1">IFERROR(__xludf.DUMMYFUNCTION("""COMPUTED_VALUE"""),"Region I")</f>
        <v>Region I</v>
      </c>
      <c r="B1120" s="164" t="str">
        <f ca="1">IFERROR(__xludf.DUMMYFUNCTION("""COMPUTED_VALUE"""),"Ilocos Sur")</f>
        <v>Ilocos Sur</v>
      </c>
      <c r="C1120" s="164" t="str">
        <f ca="1">IFERROR(__xludf.DUMMYFUNCTION("""COMPUTED_VALUE"""),"Motorcycle – (Honda XRL 150)")</f>
        <v>Motorcycle – (Honda XRL 150)</v>
      </c>
      <c r="D1120" s="164" t="str">
        <f ca="1">IFERROR(__xludf.DUMMYFUNCTION("""COMPUTED_VALUE"""),"₱ 124,900.00")</f>
        <v>₱ 124,900.00</v>
      </c>
      <c r="E1120" s="164"/>
      <c r="F1120" s="164" t="str">
        <f ca="1">IFERROR(__xludf.DUMMYFUNCTION("""COMPUTED_VALUE"""),"2023-06-01-10202SP39-01")</f>
        <v>2023-06-01-10202SP39-01</v>
      </c>
      <c r="G1120" s="164" t="str">
        <f ca="1">IFERROR(__xludf.DUMMYFUNCTION("""COMPUTED_VALUE"""),"no plate available")</f>
        <v>no plate available</v>
      </c>
      <c r="H1120" s="164" t="str">
        <f ca="1">IFERROR(__xludf.DUMMYFUNCTION("""COMPUTED_VALUE"""),"Vic M. Ines")</f>
        <v>Vic M. Ines</v>
      </c>
      <c r="I1120" s="164" t="str">
        <f ca="1">IFERROR(__xludf.DUMMYFUNCTION("""COMPUTED_VALUE"""),"PARPO II")</f>
        <v>PARPO II</v>
      </c>
      <c r="J1120" s="164" t="str">
        <f ca="1">IFERROR(__xludf.DUMMYFUNCTION("""COMPUTED_VALUE"""),"2023-01-38-SPLIT")</f>
        <v>2023-01-38-SPLIT</v>
      </c>
      <c r="K1120" s="164" t="str">
        <f ca="1">IFERROR(__xludf.DUMMYFUNCTION("""COMPUTED_VALUE"""),"Gemma Tablada")</f>
        <v>Gemma Tablada</v>
      </c>
      <c r="L1120" s="164" t="str">
        <f ca="1">IFERROR(__xludf.DUMMYFUNCTION("""COMPUTED_VALUE"""),"DARPO Ilocos Sur")</f>
        <v>DARPO Ilocos Sur</v>
      </c>
      <c r="M1120" s="164" t="str">
        <f ca="1">IFERROR(__xludf.DUMMYFUNCTION("""COMPUTED_VALUE"""),"SERVICEABLE")</f>
        <v>SERVICEABLE</v>
      </c>
      <c r="N1120" s="164"/>
    </row>
    <row r="1121" spans="1:14" ht="13.2" hidden="1">
      <c r="A1121" s="164" t="str">
        <f ca="1">IFERROR(__xludf.DUMMYFUNCTION("""COMPUTED_VALUE"""),"Region I")</f>
        <v>Region I</v>
      </c>
      <c r="B1121" s="164" t="str">
        <f ca="1">IFERROR(__xludf.DUMMYFUNCTION("""COMPUTED_VALUE"""),"Ilocos Sur")</f>
        <v>Ilocos Sur</v>
      </c>
      <c r="C1121" s="164" t="str">
        <f ca="1">IFERROR(__xludf.DUMMYFUNCTION("""COMPUTED_VALUE"""),"Motorcycle – (Honda XRL 150)")</f>
        <v>Motorcycle – (Honda XRL 150)</v>
      </c>
      <c r="D1121" s="164" t="str">
        <f ca="1">IFERROR(__xludf.DUMMYFUNCTION("""COMPUTED_VALUE"""),"₱ 124,900.00")</f>
        <v>₱ 124,900.00</v>
      </c>
      <c r="E1121" s="164"/>
      <c r="F1121" s="164" t="str">
        <f ca="1">IFERROR(__xludf.DUMMYFUNCTION("""COMPUTED_VALUE"""),"2023-06-01-10202SP40-01")</f>
        <v>2023-06-01-10202SP40-01</v>
      </c>
      <c r="G1121" s="164" t="str">
        <f ca="1">IFERROR(__xludf.DUMMYFUNCTION("""COMPUTED_VALUE"""),"no plate available")</f>
        <v>no plate available</v>
      </c>
      <c r="H1121" s="164" t="str">
        <f ca="1">IFERROR(__xludf.DUMMYFUNCTION("""COMPUTED_VALUE"""),"Vic M. Ines")</f>
        <v>Vic M. Ines</v>
      </c>
      <c r="I1121" s="164" t="str">
        <f ca="1">IFERROR(__xludf.DUMMYFUNCTION("""COMPUTED_VALUE"""),"PARPO II")</f>
        <v>PARPO II</v>
      </c>
      <c r="J1121" s="164" t="str">
        <f ca="1">IFERROR(__xludf.DUMMYFUNCTION("""COMPUTED_VALUE"""),"2023-01-38-SPLIT")</f>
        <v>2023-01-38-SPLIT</v>
      </c>
      <c r="K1121" s="164" t="str">
        <f ca="1">IFERROR(__xludf.DUMMYFUNCTION("""COMPUTED_VALUE"""),"Eugene Rapacon")</f>
        <v>Eugene Rapacon</v>
      </c>
      <c r="L1121" s="164" t="str">
        <f ca="1">IFERROR(__xludf.DUMMYFUNCTION("""COMPUTED_VALUE"""),"DARPO Ilocos Sur")</f>
        <v>DARPO Ilocos Sur</v>
      </c>
      <c r="M1121" s="164" t="str">
        <f ca="1">IFERROR(__xludf.DUMMYFUNCTION("""COMPUTED_VALUE"""),"SERVICEABLE")</f>
        <v>SERVICEABLE</v>
      </c>
      <c r="N1121" s="164"/>
    </row>
    <row r="1122" spans="1:14" ht="13.2" hidden="1">
      <c r="A1122" s="164" t="str">
        <f ca="1">IFERROR(__xludf.DUMMYFUNCTION("""COMPUTED_VALUE"""),"Region I")</f>
        <v>Region I</v>
      </c>
      <c r="B1122" s="164" t="str">
        <f ca="1">IFERROR(__xludf.DUMMYFUNCTION("""COMPUTED_VALUE"""),"Ilocos Sur")</f>
        <v>Ilocos Sur</v>
      </c>
      <c r="C1122" s="164" t="str">
        <f ca="1">IFERROR(__xludf.DUMMYFUNCTION("""COMPUTED_VALUE"""),"Motorcycle – (Honda XRL 150)")</f>
        <v>Motorcycle – (Honda XRL 150)</v>
      </c>
      <c r="D1122" s="164" t="str">
        <f ca="1">IFERROR(__xludf.DUMMYFUNCTION("""COMPUTED_VALUE"""),"₱ 124,900.00")</f>
        <v>₱ 124,900.00</v>
      </c>
      <c r="E1122" s="164"/>
      <c r="F1122" s="164" t="str">
        <f ca="1">IFERROR(__xludf.DUMMYFUNCTION("""COMPUTED_VALUE"""),"2023-06-01-10202SP41-01")</f>
        <v>2023-06-01-10202SP41-01</v>
      </c>
      <c r="G1122" s="164" t="str">
        <f ca="1">IFERROR(__xludf.DUMMYFUNCTION("""COMPUTED_VALUE"""),"no plate available")</f>
        <v>no plate available</v>
      </c>
      <c r="H1122" s="164" t="str">
        <f ca="1">IFERROR(__xludf.DUMMYFUNCTION("""COMPUTED_VALUE"""),"Vic M. Ines")</f>
        <v>Vic M. Ines</v>
      </c>
      <c r="I1122" s="164" t="str">
        <f ca="1">IFERROR(__xludf.DUMMYFUNCTION("""COMPUTED_VALUE"""),"PARPO II")</f>
        <v>PARPO II</v>
      </c>
      <c r="J1122" s="164" t="str">
        <f ca="1">IFERROR(__xludf.DUMMYFUNCTION("""COMPUTED_VALUE"""),"2023-01-38-SPLIT")</f>
        <v>2023-01-38-SPLIT</v>
      </c>
      <c r="K1122" s="164" t="str">
        <f ca="1">IFERROR(__xludf.DUMMYFUNCTION("""COMPUTED_VALUE"""),"Jorgr Mendoza")</f>
        <v>Jorgr Mendoza</v>
      </c>
      <c r="L1122" s="164" t="str">
        <f ca="1">IFERROR(__xludf.DUMMYFUNCTION("""COMPUTED_VALUE"""),"DARPO Ilocos Sur")</f>
        <v>DARPO Ilocos Sur</v>
      </c>
      <c r="M1122" s="164" t="str">
        <f ca="1">IFERROR(__xludf.DUMMYFUNCTION("""COMPUTED_VALUE"""),"SERVICEABLE")</f>
        <v>SERVICEABLE</v>
      </c>
      <c r="N1122" s="164"/>
    </row>
    <row r="1123" spans="1:14" ht="13.2" hidden="1">
      <c r="A1123" s="164" t="str">
        <f ca="1">IFERROR(__xludf.DUMMYFUNCTION("""COMPUTED_VALUE"""),"Region I")</f>
        <v>Region I</v>
      </c>
      <c r="B1123" s="164" t="str">
        <f ca="1">IFERROR(__xludf.DUMMYFUNCTION("""COMPUTED_VALUE"""),"La Union")</f>
        <v>La Union</v>
      </c>
      <c r="C1123" s="164" t="str">
        <f ca="1">IFERROR(__xludf.DUMMYFUNCTION("""COMPUTED_VALUE"""),"Motorcycle – (Honda XRL 150)")</f>
        <v>Motorcycle – (Honda XRL 150)</v>
      </c>
      <c r="D1123" s="164" t="str">
        <f ca="1">IFERROR(__xludf.DUMMYFUNCTION("""COMPUTED_VALUE"""),"₱ 124,900.00")</f>
        <v>₱ 124,900.00</v>
      </c>
      <c r="E1123" s="164"/>
      <c r="F1123" s="164" t="str">
        <f ca="1">IFERROR(__xludf.DUMMYFUNCTION("""COMPUTED_VALUE"""),"2023-06-01-10202SP42-01")</f>
        <v>2023-06-01-10202SP42-01</v>
      </c>
      <c r="G1123" s="164" t="str">
        <f ca="1">IFERROR(__xludf.DUMMYFUNCTION("""COMPUTED_VALUE"""),"no plate available")</f>
        <v>no plate available</v>
      </c>
      <c r="H1123" s="164" t="str">
        <f ca="1">IFERROR(__xludf.DUMMYFUNCTION("""COMPUTED_VALUE"""),"Christianne C. Suguitan")</f>
        <v>Christianne C. Suguitan</v>
      </c>
      <c r="I1123" s="164" t="str">
        <f ca="1">IFERROR(__xludf.DUMMYFUNCTION("""COMPUTED_VALUE"""),"PARPO II")</f>
        <v>PARPO II</v>
      </c>
      <c r="J1123" s="164" t="str">
        <f ca="1">IFERROR(__xludf.DUMMYFUNCTION("""COMPUTED_VALUE"""),"2023-01-37-SPLIT")</f>
        <v>2023-01-37-SPLIT</v>
      </c>
      <c r="K1123" s="164" t="str">
        <f ca="1">IFERROR(__xludf.DUMMYFUNCTION("""COMPUTED_VALUE"""),"Lorie L. Capistrano")</f>
        <v>Lorie L. Capistrano</v>
      </c>
      <c r="L1123" s="164" t="str">
        <f ca="1">IFERROR(__xludf.DUMMYFUNCTION("""COMPUTED_VALUE"""),"DARPO La Union")</f>
        <v>DARPO La Union</v>
      </c>
      <c r="M1123" s="164" t="str">
        <f ca="1">IFERROR(__xludf.DUMMYFUNCTION("""COMPUTED_VALUE"""),"SERVICEABLE")</f>
        <v>SERVICEABLE</v>
      </c>
      <c r="N1123" s="164" t="str">
        <f ca="1">IFERROR(__xludf.DUMMYFUNCTION("""COMPUTED_VALUE"""),"no end user")</f>
        <v>no end user</v>
      </c>
    </row>
    <row r="1124" spans="1:14" ht="13.2" hidden="1">
      <c r="A1124" s="164" t="str">
        <f ca="1">IFERROR(__xludf.DUMMYFUNCTION("""COMPUTED_VALUE"""),"Region I")</f>
        <v>Region I</v>
      </c>
      <c r="B1124" s="164" t="str">
        <f ca="1">IFERROR(__xludf.DUMMYFUNCTION("""COMPUTED_VALUE"""),"La Union")</f>
        <v>La Union</v>
      </c>
      <c r="C1124" s="164" t="str">
        <f ca="1">IFERROR(__xludf.DUMMYFUNCTION("""COMPUTED_VALUE"""),"Motorcycle – (Honda XRL 150)")</f>
        <v>Motorcycle – (Honda XRL 150)</v>
      </c>
      <c r="D1124" s="164" t="str">
        <f ca="1">IFERROR(__xludf.DUMMYFUNCTION("""COMPUTED_VALUE"""),"₱ 124,900.00")</f>
        <v>₱ 124,900.00</v>
      </c>
      <c r="E1124" s="164"/>
      <c r="F1124" s="164" t="str">
        <f ca="1">IFERROR(__xludf.DUMMYFUNCTION("""COMPUTED_VALUE"""),"2023-06-01-10202SP43-01")</f>
        <v>2023-06-01-10202SP43-01</v>
      </c>
      <c r="G1124" s="164" t="str">
        <f ca="1">IFERROR(__xludf.DUMMYFUNCTION("""COMPUTED_VALUE"""),"no plate available")</f>
        <v>no plate available</v>
      </c>
      <c r="H1124" s="164" t="str">
        <f ca="1">IFERROR(__xludf.DUMMYFUNCTION("""COMPUTED_VALUE"""),"Christianne C. Suguitan")</f>
        <v>Christianne C. Suguitan</v>
      </c>
      <c r="I1124" s="164" t="str">
        <f ca="1">IFERROR(__xludf.DUMMYFUNCTION("""COMPUTED_VALUE"""),"PARPO II")</f>
        <v>PARPO II</v>
      </c>
      <c r="J1124" s="164" t="str">
        <f ca="1">IFERROR(__xludf.DUMMYFUNCTION("""COMPUTED_VALUE"""),"2023-01-37-SPLIT")</f>
        <v>2023-01-37-SPLIT</v>
      </c>
      <c r="K1124" s="164" t="str">
        <f ca="1">IFERROR(__xludf.DUMMYFUNCTION("""COMPUTED_VALUE"""),"Lorie L. Capistrano")</f>
        <v>Lorie L. Capistrano</v>
      </c>
      <c r="L1124" s="164" t="str">
        <f ca="1">IFERROR(__xludf.DUMMYFUNCTION("""COMPUTED_VALUE"""),"DARPO La Union")</f>
        <v>DARPO La Union</v>
      </c>
      <c r="M1124" s="164" t="str">
        <f ca="1">IFERROR(__xludf.DUMMYFUNCTION("""COMPUTED_VALUE"""),"SERVICEABLE")</f>
        <v>SERVICEABLE</v>
      </c>
      <c r="N1124" s="164" t="str">
        <f ca="1">IFERROR(__xludf.DUMMYFUNCTION("""COMPUTED_VALUE"""),"no end user")</f>
        <v>no end user</v>
      </c>
    </row>
    <row r="1125" spans="1:14" ht="13.2" hidden="1">
      <c r="A1125" s="164" t="str">
        <f ca="1">IFERROR(__xludf.DUMMYFUNCTION("""COMPUTED_VALUE"""),"Region I")</f>
        <v>Region I</v>
      </c>
      <c r="B1125" s="164" t="str">
        <f ca="1">IFERROR(__xludf.DUMMYFUNCTION("""COMPUTED_VALUE"""),"La Union")</f>
        <v>La Union</v>
      </c>
      <c r="C1125" s="164" t="str">
        <f ca="1">IFERROR(__xludf.DUMMYFUNCTION("""COMPUTED_VALUE"""),"Motorcycle – (Honda XRL 150)")</f>
        <v>Motorcycle – (Honda XRL 150)</v>
      </c>
      <c r="D1125" s="164" t="str">
        <f ca="1">IFERROR(__xludf.DUMMYFUNCTION("""COMPUTED_VALUE"""),"₱ 124,900.00")</f>
        <v>₱ 124,900.00</v>
      </c>
      <c r="E1125" s="164"/>
      <c r="F1125" s="164" t="str">
        <f ca="1">IFERROR(__xludf.DUMMYFUNCTION("""COMPUTED_VALUE"""),"2023-06-01-10202SP44-01")</f>
        <v>2023-06-01-10202SP44-01</v>
      </c>
      <c r="G1125" s="164" t="str">
        <f ca="1">IFERROR(__xludf.DUMMYFUNCTION("""COMPUTED_VALUE"""),"no plate available")</f>
        <v>no plate available</v>
      </c>
      <c r="H1125" s="164" t="str">
        <f ca="1">IFERROR(__xludf.DUMMYFUNCTION("""COMPUTED_VALUE"""),"Christianne C. Suguitan")</f>
        <v>Christianne C. Suguitan</v>
      </c>
      <c r="I1125" s="164" t="str">
        <f ca="1">IFERROR(__xludf.DUMMYFUNCTION("""COMPUTED_VALUE"""),"PARPO II")</f>
        <v>PARPO II</v>
      </c>
      <c r="J1125" s="164" t="str">
        <f ca="1">IFERROR(__xludf.DUMMYFUNCTION("""COMPUTED_VALUE"""),"2023-01-37-SPLIT")</f>
        <v>2023-01-37-SPLIT</v>
      </c>
      <c r="K1125" s="164" t="str">
        <f ca="1">IFERROR(__xludf.DUMMYFUNCTION("""COMPUTED_VALUE"""),"Lorie L. Capistrano")</f>
        <v>Lorie L. Capistrano</v>
      </c>
      <c r="L1125" s="164" t="str">
        <f ca="1">IFERROR(__xludf.DUMMYFUNCTION("""COMPUTED_VALUE"""),"DARPO La Union")</f>
        <v>DARPO La Union</v>
      </c>
      <c r="M1125" s="164" t="str">
        <f ca="1">IFERROR(__xludf.DUMMYFUNCTION("""COMPUTED_VALUE"""),"SERVICEABLE")</f>
        <v>SERVICEABLE</v>
      </c>
      <c r="N1125" s="164" t="str">
        <f ca="1">IFERROR(__xludf.DUMMYFUNCTION("""COMPUTED_VALUE"""),"no end user")</f>
        <v>no end user</v>
      </c>
    </row>
    <row r="1126" spans="1:14" ht="13.2" hidden="1">
      <c r="A1126" s="164" t="str">
        <f ca="1">IFERROR(__xludf.DUMMYFUNCTION("""COMPUTED_VALUE"""),"Region I")</f>
        <v>Region I</v>
      </c>
      <c r="B1126" s="164" t="str">
        <f ca="1">IFERROR(__xludf.DUMMYFUNCTION("""COMPUTED_VALUE"""),"Pangasinan")</f>
        <v>Pangasinan</v>
      </c>
      <c r="C1126" s="164" t="str">
        <f ca="1">IFERROR(__xludf.DUMMYFUNCTION("""COMPUTED_VALUE"""),"Motorcycle – (Honda XRL 150)")</f>
        <v>Motorcycle – (Honda XRL 150)</v>
      </c>
      <c r="D1126" s="164" t="str">
        <f ca="1">IFERROR(__xludf.DUMMYFUNCTION("""COMPUTED_VALUE"""),"₱ 124,900.00")</f>
        <v>₱ 124,900.00</v>
      </c>
      <c r="E1126" s="164"/>
      <c r="F1126" s="164" t="str">
        <f ca="1">IFERROR(__xludf.DUMMYFUNCTION("""COMPUTED_VALUE"""),"2023-06-01-10202SP45-01")</f>
        <v>2023-06-01-10202SP45-01</v>
      </c>
      <c r="G1126" s="164" t="str">
        <f ca="1">IFERROR(__xludf.DUMMYFUNCTION("""COMPUTED_VALUE"""),"no plate available")</f>
        <v>no plate available</v>
      </c>
      <c r="H1126" s="164" t="str">
        <f ca="1">IFERROR(__xludf.DUMMYFUNCTION("""COMPUTED_VALUE"""),"Maria Ana V. Francisco")</f>
        <v>Maria Ana V. Francisco</v>
      </c>
      <c r="I1126" s="164" t="str">
        <f ca="1">IFERROR(__xludf.DUMMYFUNCTION("""COMPUTED_VALUE"""),"Regional Director")</f>
        <v>Regional Director</v>
      </c>
      <c r="J1126" s="164" t="str">
        <f ca="1">IFERROR(__xludf.DUMMYFUNCTION("""COMPUTED_VALUE"""),"2023-01-39-SPLIT")</f>
        <v>2023-01-39-SPLIT</v>
      </c>
      <c r="K1126" s="164" t="str">
        <f ca="1">IFERROR(__xludf.DUMMYFUNCTION("""COMPUTED_VALUE"""),"Bryan De Guzman")</f>
        <v>Bryan De Guzman</v>
      </c>
      <c r="L1126" s="164" t="str">
        <f ca="1">IFERROR(__xludf.DUMMYFUNCTION("""COMPUTED_VALUE"""),"DARPO Pangasinan")</f>
        <v>DARPO Pangasinan</v>
      </c>
      <c r="M1126" s="164" t="str">
        <f ca="1">IFERROR(__xludf.DUMMYFUNCTION("""COMPUTED_VALUE"""),"SERVICEABLE")</f>
        <v>SERVICEABLE</v>
      </c>
      <c r="N1126" s="164"/>
    </row>
    <row r="1127" spans="1:14" ht="13.2" hidden="1">
      <c r="A1127" s="164" t="str">
        <f ca="1">IFERROR(__xludf.DUMMYFUNCTION("""COMPUTED_VALUE"""),"Region I")</f>
        <v>Region I</v>
      </c>
      <c r="B1127" s="164" t="str">
        <f ca="1">IFERROR(__xludf.DUMMYFUNCTION("""COMPUTED_VALUE"""),"Pangasinan")</f>
        <v>Pangasinan</v>
      </c>
      <c r="C1127" s="164" t="str">
        <f ca="1">IFERROR(__xludf.DUMMYFUNCTION("""COMPUTED_VALUE"""),"Motorcycle – (Honda XRL 150)")</f>
        <v>Motorcycle – (Honda XRL 150)</v>
      </c>
      <c r="D1127" s="164" t="str">
        <f ca="1">IFERROR(__xludf.DUMMYFUNCTION("""COMPUTED_VALUE"""),"₱ 124,900.00")</f>
        <v>₱ 124,900.00</v>
      </c>
      <c r="E1127" s="164"/>
      <c r="F1127" s="164" t="str">
        <f ca="1">IFERROR(__xludf.DUMMYFUNCTION("""COMPUTED_VALUE"""),"2023-06-01-10202SP46-01")</f>
        <v>2023-06-01-10202SP46-01</v>
      </c>
      <c r="G1127" s="164" t="str">
        <f ca="1">IFERROR(__xludf.DUMMYFUNCTION("""COMPUTED_VALUE"""),"no plate available")</f>
        <v>no plate available</v>
      </c>
      <c r="H1127" s="164" t="str">
        <f ca="1">IFERROR(__xludf.DUMMYFUNCTION("""COMPUTED_VALUE"""),"Maria Ana V. Francisco")</f>
        <v>Maria Ana V. Francisco</v>
      </c>
      <c r="I1127" s="164" t="str">
        <f ca="1">IFERROR(__xludf.DUMMYFUNCTION("""COMPUTED_VALUE"""),"Regional Director")</f>
        <v>Regional Director</v>
      </c>
      <c r="J1127" s="164" t="str">
        <f ca="1">IFERROR(__xludf.DUMMYFUNCTION("""COMPUTED_VALUE"""),"2023-01-39-SPLIT")</f>
        <v>2023-01-39-SPLIT</v>
      </c>
      <c r="K1127" s="164" t="str">
        <f ca="1">IFERROR(__xludf.DUMMYFUNCTION("""COMPUTED_VALUE"""),"Yaser Fernandez")</f>
        <v>Yaser Fernandez</v>
      </c>
      <c r="L1127" s="164" t="str">
        <f ca="1">IFERROR(__xludf.DUMMYFUNCTION("""COMPUTED_VALUE"""),"DARPO Pangasinan")</f>
        <v>DARPO Pangasinan</v>
      </c>
      <c r="M1127" s="164" t="str">
        <f ca="1">IFERROR(__xludf.DUMMYFUNCTION("""COMPUTED_VALUE"""),"SERVICEABLE")</f>
        <v>SERVICEABLE</v>
      </c>
      <c r="N1127" s="164"/>
    </row>
    <row r="1128" spans="1:14" ht="13.2" hidden="1">
      <c r="A1128" s="164" t="str">
        <f ca="1">IFERROR(__xludf.DUMMYFUNCTION("""COMPUTED_VALUE"""),"Region I")</f>
        <v>Region I</v>
      </c>
      <c r="B1128" s="164" t="str">
        <f ca="1">IFERROR(__xludf.DUMMYFUNCTION("""COMPUTED_VALUE"""),"Pangasinan")</f>
        <v>Pangasinan</v>
      </c>
      <c r="C1128" s="164" t="str">
        <f ca="1">IFERROR(__xludf.DUMMYFUNCTION("""COMPUTED_VALUE"""),"Motorcycle – (Honda XRL 150)")</f>
        <v>Motorcycle – (Honda XRL 150)</v>
      </c>
      <c r="D1128" s="164" t="str">
        <f ca="1">IFERROR(__xludf.DUMMYFUNCTION("""COMPUTED_VALUE"""),"₱ 124,900.00")</f>
        <v>₱ 124,900.00</v>
      </c>
      <c r="E1128" s="164"/>
      <c r="F1128" s="164" t="str">
        <f ca="1">IFERROR(__xludf.DUMMYFUNCTION("""COMPUTED_VALUE"""),"2023-06-01-10202SP47-01")</f>
        <v>2023-06-01-10202SP47-01</v>
      </c>
      <c r="G1128" s="164" t="str">
        <f ca="1">IFERROR(__xludf.DUMMYFUNCTION("""COMPUTED_VALUE"""),"no plate available")</f>
        <v>no plate available</v>
      </c>
      <c r="H1128" s="164" t="str">
        <f ca="1">IFERROR(__xludf.DUMMYFUNCTION("""COMPUTED_VALUE"""),"Maria Ana V. Francisco")</f>
        <v>Maria Ana V. Francisco</v>
      </c>
      <c r="I1128" s="164" t="str">
        <f ca="1">IFERROR(__xludf.DUMMYFUNCTION("""COMPUTED_VALUE"""),"Regional Director")</f>
        <v>Regional Director</v>
      </c>
      <c r="J1128" s="164" t="str">
        <f ca="1">IFERROR(__xludf.DUMMYFUNCTION("""COMPUTED_VALUE"""),"2023-01-39-SPLIT")</f>
        <v>2023-01-39-SPLIT</v>
      </c>
      <c r="K1128" s="164" t="str">
        <f ca="1">IFERROR(__xludf.DUMMYFUNCTION("""COMPUTED_VALUE"""),"Michael Joaquin")</f>
        <v>Michael Joaquin</v>
      </c>
      <c r="L1128" s="164" t="str">
        <f ca="1">IFERROR(__xludf.DUMMYFUNCTION("""COMPUTED_VALUE"""),"DARPO Pangasinan")</f>
        <v>DARPO Pangasinan</v>
      </c>
      <c r="M1128" s="164" t="str">
        <f ca="1">IFERROR(__xludf.DUMMYFUNCTION("""COMPUTED_VALUE"""),"SERVICEABLE")</f>
        <v>SERVICEABLE</v>
      </c>
      <c r="N1128" s="164"/>
    </row>
    <row r="1129" spans="1:14" ht="13.2" hidden="1">
      <c r="A1129" s="164" t="str">
        <f ca="1">IFERROR(__xludf.DUMMYFUNCTION("""COMPUTED_VALUE"""),"Region I")</f>
        <v>Region I</v>
      </c>
      <c r="B1129" s="164" t="str">
        <f ca="1">IFERROR(__xludf.DUMMYFUNCTION("""COMPUTED_VALUE"""),"Pangasinan")</f>
        <v>Pangasinan</v>
      </c>
      <c r="C1129" s="164" t="str">
        <f ca="1">IFERROR(__xludf.DUMMYFUNCTION("""COMPUTED_VALUE"""),"Motorcycle – (Honda XRL 150)")</f>
        <v>Motorcycle – (Honda XRL 150)</v>
      </c>
      <c r="D1129" s="164" t="str">
        <f ca="1">IFERROR(__xludf.DUMMYFUNCTION("""COMPUTED_VALUE"""),"₱ 124,900.00")</f>
        <v>₱ 124,900.00</v>
      </c>
      <c r="E1129" s="164"/>
      <c r="F1129" s="164" t="str">
        <f ca="1">IFERROR(__xludf.DUMMYFUNCTION("""COMPUTED_VALUE"""),"2023-06-01-10202SP48-01")</f>
        <v>2023-06-01-10202SP48-01</v>
      </c>
      <c r="G1129" s="164" t="str">
        <f ca="1">IFERROR(__xludf.DUMMYFUNCTION("""COMPUTED_VALUE"""),"no plate available")</f>
        <v>no plate available</v>
      </c>
      <c r="H1129" s="164" t="str">
        <f ca="1">IFERROR(__xludf.DUMMYFUNCTION("""COMPUTED_VALUE"""),"Maria Ana V. Francisco")</f>
        <v>Maria Ana V. Francisco</v>
      </c>
      <c r="I1129" s="164" t="str">
        <f ca="1">IFERROR(__xludf.DUMMYFUNCTION("""COMPUTED_VALUE"""),"Regional Director")</f>
        <v>Regional Director</v>
      </c>
      <c r="J1129" s="164" t="str">
        <f ca="1">IFERROR(__xludf.DUMMYFUNCTION("""COMPUTED_VALUE"""),"2023-01-39-SPLIT")</f>
        <v>2023-01-39-SPLIT</v>
      </c>
      <c r="K1129" s="164" t="str">
        <f ca="1">IFERROR(__xludf.DUMMYFUNCTION("""COMPUTED_VALUE"""),"Jacinto dela Cruz")</f>
        <v>Jacinto dela Cruz</v>
      </c>
      <c r="L1129" s="164" t="str">
        <f ca="1">IFERROR(__xludf.DUMMYFUNCTION("""COMPUTED_VALUE"""),"DARPO Pangasinan")</f>
        <v>DARPO Pangasinan</v>
      </c>
      <c r="M1129" s="164" t="str">
        <f ca="1">IFERROR(__xludf.DUMMYFUNCTION("""COMPUTED_VALUE"""),"SERVICEABLE")</f>
        <v>SERVICEABLE</v>
      </c>
      <c r="N1129" s="164"/>
    </row>
    <row r="1130" spans="1:14" ht="13.2" hidden="1">
      <c r="A1130" s="164" t="str">
        <f ca="1">IFERROR(__xludf.DUMMYFUNCTION("""COMPUTED_VALUE"""),"Region I")</f>
        <v>Region I</v>
      </c>
      <c r="B1130" s="164" t="str">
        <f ca="1">IFERROR(__xludf.DUMMYFUNCTION("""COMPUTED_VALUE"""),"Pangasinan")</f>
        <v>Pangasinan</v>
      </c>
      <c r="C1130" s="164" t="str">
        <f ca="1">IFERROR(__xludf.DUMMYFUNCTION("""COMPUTED_VALUE"""),"Motorcycle – (Honda XRL 150)")</f>
        <v>Motorcycle – (Honda XRL 150)</v>
      </c>
      <c r="D1130" s="164" t="str">
        <f ca="1">IFERROR(__xludf.DUMMYFUNCTION("""COMPUTED_VALUE"""),"₱ 124,900.00")</f>
        <v>₱ 124,900.00</v>
      </c>
      <c r="E1130" s="164"/>
      <c r="F1130" s="164" t="str">
        <f ca="1">IFERROR(__xludf.DUMMYFUNCTION("""COMPUTED_VALUE"""),"2023-06-01-10202SP49-01")</f>
        <v>2023-06-01-10202SP49-01</v>
      </c>
      <c r="G1130" s="164" t="str">
        <f ca="1">IFERROR(__xludf.DUMMYFUNCTION("""COMPUTED_VALUE"""),"no plate available")</f>
        <v>no plate available</v>
      </c>
      <c r="H1130" s="164" t="str">
        <f ca="1">IFERROR(__xludf.DUMMYFUNCTION("""COMPUTED_VALUE"""),"Maria Ana V. Francisco")</f>
        <v>Maria Ana V. Francisco</v>
      </c>
      <c r="I1130" s="164" t="str">
        <f ca="1">IFERROR(__xludf.DUMMYFUNCTION("""COMPUTED_VALUE"""),"Regional Director")</f>
        <v>Regional Director</v>
      </c>
      <c r="J1130" s="164" t="str">
        <f ca="1">IFERROR(__xludf.DUMMYFUNCTION("""COMPUTED_VALUE"""),"2023-01-39-SPLIT")</f>
        <v>2023-01-39-SPLIT</v>
      </c>
      <c r="K1130" s="164" t="str">
        <f ca="1">IFERROR(__xludf.DUMMYFUNCTION("""COMPUTED_VALUE"""),"Jerick Aquino")</f>
        <v>Jerick Aquino</v>
      </c>
      <c r="L1130" s="164" t="str">
        <f ca="1">IFERROR(__xludf.DUMMYFUNCTION("""COMPUTED_VALUE"""),"DARPO Pangasinan")</f>
        <v>DARPO Pangasinan</v>
      </c>
      <c r="M1130" s="164" t="str">
        <f ca="1">IFERROR(__xludf.DUMMYFUNCTION("""COMPUTED_VALUE"""),"SERVICEABLE")</f>
        <v>SERVICEABLE</v>
      </c>
      <c r="N1130" s="164"/>
    </row>
    <row r="1131" spans="1:14" ht="13.2" hidden="1">
      <c r="A1131" s="164" t="str">
        <f ca="1">IFERROR(__xludf.DUMMYFUNCTION("""COMPUTED_VALUE"""),"Region I")</f>
        <v>Region I</v>
      </c>
      <c r="B1131" s="164" t="str">
        <f ca="1">IFERROR(__xludf.DUMMYFUNCTION("""COMPUTED_VALUE"""),"Pangasinan")</f>
        <v>Pangasinan</v>
      </c>
      <c r="C1131" s="164" t="str">
        <f ca="1">IFERROR(__xludf.DUMMYFUNCTION("""COMPUTED_VALUE"""),"Motorcycle – (Honda XRL 150)")</f>
        <v>Motorcycle – (Honda XRL 150)</v>
      </c>
      <c r="D1131" s="164" t="str">
        <f ca="1">IFERROR(__xludf.DUMMYFUNCTION("""COMPUTED_VALUE"""),"₱ 124,900.00")</f>
        <v>₱ 124,900.00</v>
      </c>
      <c r="E1131" s="164"/>
      <c r="F1131" s="164" t="str">
        <f ca="1">IFERROR(__xludf.DUMMYFUNCTION("""COMPUTED_VALUE"""),"2023-06-01-10202SP50-01")</f>
        <v>2023-06-01-10202SP50-01</v>
      </c>
      <c r="G1131" s="164" t="str">
        <f ca="1">IFERROR(__xludf.DUMMYFUNCTION("""COMPUTED_VALUE"""),"no plate available")</f>
        <v>no plate available</v>
      </c>
      <c r="H1131" s="164" t="str">
        <f ca="1">IFERROR(__xludf.DUMMYFUNCTION("""COMPUTED_VALUE"""),"Maria Ana V. Francisco")</f>
        <v>Maria Ana V. Francisco</v>
      </c>
      <c r="I1131" s="164" t="str">
        <f ca="1">IFERROR(__xludf.DUMMYFUNCTION("""COMPUTED_VALUE"""),"Regional Director")</f>
        <v>Regional Director</v>
      </c>
      <c r="J1131" s="164" t="str">
        <f ca="1">IFERROR(__xludf.DUMMYFUNCTION("""COMPUTED_VALUE"""),"2023-01-39-SPLIT")</f>
        <v>2023-01-39-SPLIT</v>
      </c>
      <c r="K1131" s="164" t="str">
        <f ca="1">IFERROR(__xludf.DUMMYFUNCTION("""COMPUTED_VALUE"""),"Nilo C. Aquino")</f>
        <v>Nilo C. Aquino</v>
      </c>
      <c r="L1131" s="164" t="str">
        <f ca="1">IFERROR(__xludf.DUMMYFUNCTION("""COMPUTED_VALUE"""),"DARPO Pangasinan")</f>
        <v>DARPO Pangasinan</v>
      </c>
      <c r="M1131" s="164" t="str">
        <f ca="1">IFERROR(__xludf.DUMMYFUNCTION("""COMPUTED_VALUE"""),"SERVICEABLE")</f>
        <v>SERVICEABLE</v>
      </c>
      <c r="N1131" s="164"/>
    </row>
    <row r="1132" spans="1:14" ht="13.2" hidden="1">
      <c r="A1132" s="164" t="str">
        <f ca="1">IFERROR(__xludf.DUMMYFUNCTION("""COMPUTED_VALUE"""),"Region I")</f>
        <v>Region I</v>
      </c>
      <c r="B1132" s="164" t="str">
        <f ca="1">IFERROR(__xludf.DUMMYFUNCTION("""COMPUTED_VALUE"""),"Pangasinan")</f>
        <v>Pangasinan</v>
      </c>
      <c r="C1132" s="164" t="str">
        <f ca="1">IFERROR(__xludf.DUMMYFUNCTION("""COMPUTED_VALUE"""),"Motorcycle – (Honda XRL 150)")</f>
        <v>Motorcycle – (Honda XRL 150)</v>
      </c>
      <c r="D1132" s="164" t="str">
        <f ca="1">IFERROR(__xludf.DUMMYFUNCTION("""COMPUTED_VALUE"""),"₱ 124,900.00")</f>
        <v>₱ 124,900.00</v>
      </c>
      <c r="E1132" s="164"/>
      <c r="F1132" s="164" t="str">
        <f ca="1">IFERROR(__xludf.DUMMYFUNCTION("""COMPUTED_VALUE"""),"2023-06-01-10202SP51-01")</f>
        <v>2023-06-01-10202SP51-01</v>
      </c>
      <c r="G1132" s="164" t="str">
        <f ca="1">IFERROR(__xludf.DUMMYFUNCTION("""COMPUTED_VALUE"""),"no plate available")</f>
        <v>no plate available</v>
      </c>
      <c r="H1132" s="164" t="str">
        <f ca="1">IFERROR(__xludf.DUMMYFUNCTION("""COMPUTED_VALUE"""),"Maria Ana V. Francisco")</f>
        <v>Maria Ana V. Francisco</v>
      </c>
      <c r="I1132" s="164" t="str">
        <f ca="1">IFERROR(__xludf.DUMMYFUNCTION("""COMPUTED_VALUE"""),"Regional Director")</f>
        <v>Regional Director</v>
      </c>
      <c r="J1132" s="164" t="str">
        <f ca="1">IFERROR(__xludf.DUMMYFUNCTION("""COMPUTED_VALUE"""),"2023-01-39-SPLIT")</f>
        <v>2023-01-39-SPLIT</v>
      </c>
      <c r="K1132" s="164" t="str">
        <f ca="1">IFERROR(__xludf.DUMMYFUNCTION("""COMPUTED_VALUE"""),"Romeo De Vera")</f>
        <v>Romeo De Vera</v>
      </c>
      <c r="L1132" s="164" t="str">
        <f ca="1">IFERROR(__xludf.DUMMYFUNCTION("""COMPUTED_VALUE"""),"DARPO Pangasinan")</f>
        <v>DARPO Pangasinan</v>
      </c>
      <c r="M1132" s="164" t="str">
        <f ca="1">IFERROR(__xludf.DUMMYFUNCTION("""COMPUTED_VALUE"""),"SERVICEABLE")</f>
        <v>SERVICEABLE</v>
      </c>
      <c r="N1132" s="164"/>
    </row>
    <row r="1133" spans="1:14" ht="13.2" hidden="1">
      <c r="A1133" s="164" t="str">
        <f ca="1">IFERROR(__xludf.DUMMYFUNCTION("""COMPUTED_VALUE"""),"Region I")</f>
        <v>Region I</v>
      </c>
      <c r="B1133" s="164" t="str">
        <f ca="1">IFERROR(__xludf.DUMMYFUNCTION("""COMPUTED_VALUE"""),"Pangasinan")</f>
        <v>Pangasinan</v>
      </c>
      <c r="C1133" s="164" t="str">
        <f ca="1">IFERROR(__xludf.DUMMYFUNCTION("""COMPUTED_VALUE"""),"Motorcycle – (Honda XRL 150)")</f>
        <v>Motorcycle – (Honda XRL 150)</v>
      </c>
      <c r="D1133" s="164" t="str">
        <f ca="1">IFERROR(__xludf.DUMMYFUNCTION("""COMPUTED_VALUE"""),"₱ 124,900.00")</f>
        <v>₱ 124,900.00</v>
      </c>
      <c r="E1133" s="164"/>
      <c r="F1133" s="164" t="str">
        <f ca="1">IFERROR(__xludf.DUMMYFUNCTION("""COMPUTED_VALUE"""),"2023-06-01-10202SP52-01")</f>
        <v>2023-06-01-10202SP52-01</v>
      </c>
      <c r="G1133" s="164" t="str">
        <f ca="1">IFERROR(__xludf.DUMMYFUNCTION("""COMPUTED_VALUE"""),"no plate available")</f>
        <v>no plate available</v>
      </c>
      <c r="H1133" s="164" t="str">
        <f ca="1">IFERROR(__xludf.DUMMYFUNCTION("""COMPUTED_VALUE"""),"Maria Ana V. Francisco")</f>
        <v>Maria Ana V. Francisco</v>
      </c>
      <c r="I1133" s="164" t="str">
        <f ca="1">IFERROR(__xludf.DUMMYFUNCTION("""COMPUTED_VALUE"""),"Regional Director")</f>
        <v>Regional Director</v>
      </c>
      <c r="J1133" s="164" t="str">
        <f ca="1">IFERROR(__xludf.DUMMYFUNCTION("""COMPUTED_VALUE"""),"2023-01-39-SPLIT")</f>
        <v>2023-01-39-SPLIT</v>
      </c>
      <c r="K1133" s="164" t="str">
        <f ca="1">IFERROR(__xludf.DUMMYFUNCTION("""COMPUTED_VALUE"""),"Genaro M. Ballesteros Jr.")</f>
        <v>Genaro M. Ballesteros Jr.</v>
      </c>
      <c r="L1133" s="164" t="str">
        <f ca="1">IFERROR(__xludf.DUMMYFUNCTION("""COMPUTED_VALUE"""),"DARPO Pangasinan")</f>
        <v>DARPO Pangasinan</v>
      </c>
      <c r="M1133" s="164" t="str">
        <f ca="1">IFERROR(__xludf.DUMMYFUNCTION("""COMPUTED_VALUE"""),"SERVICEABLE")</f>
        <v>SERVICEABLE</v>
      </c>
      <c r="N1133" s="164"/>
    </row>
    <row r="1134" spans="1:14" ht="13.2" hidden="1">
      <c r="A1134" s="164" t="str">
        <f ca="1">IFERROR(__xludf.DUMMYFUNCTION("""COMPUTED_VALUE"""),"Region I")</f>
        <v>Region I</v>
      </c>
      <c r="B1134" s="164" t="str">
        <f ca="1">IFERROR(__xludf.DUMMYFUNCTION("""COMPUTED_VALUE"""),"Pangasinan")</f>
        <v>Pangasinan</v>
      </c>
      <c r="C1134" s="164" t="str">
        <f ca="1">IFERROR(__xludf.DUMMYFUNCTION("""COMPUTED_VALUE"""),"Motorcycle – (Honda XRL 150)")</f>
        <v>Motorcycle – (Honda XRL 150)</v>
      </c>
      <c r="D1134" s="164" t="str">
        <f ca="1">IFERROR(__xludf.DUMMYFUNCTION("""COMPUTED_VALUE"""),"₱ 124,900.00")</f>
        <v>₱ 124,900.00</v>
      </c>
      <c r="E1134" s="164"/>
      <c r="F1134" s="164" t="str">
        <f ca="1">IFERROR(__xludf.DUMMYFUNCTION("""COMPUTED_VALUE"""),"2023-06-01-10202SP53-01")</f>
        <v>2023-06-01-10202SP53-01</v>
      </c>
      <c r="G1134" s="164" t="str">
        <f ca="1">IFERROR(__xludf.DUMMYFUNCTION("""COMPUTED_VALUE"""),"no plate available")</f>
        <v>no plate available</v>
      </c>
      <c r="H1134" s="164" t="str">
        <f ca="1">IFERROR(__xludf.DUMMYFUNCTION("""COMPUTED_VALUE"""),"Maria Ana V. Francisco")</f>
        <v>Maria Ana V. Francisco</v>
      </c>
      <c r="I1134" s="164" t="str">
        <f ca="1">IFERROR(__xludf.DUMMYFUNCTION("""COMPUTED_VALUE"""),"Regional Director")</f>
        <v>Regional Director</v>
      </c>
      <c r="J1134" s="164" t="str">
        <f ca="1">IFERROR(__xludf.DUMMYFUNCTION("""COMPUTED_VALUE"""),"2023-01-39-SPLIT")</f>
        <v>2023-01-39-SPLIT</v>
      </c>
      <c r="K1134" s="164" t="str">
        <f ca="1">IFERROR(__xludf.DUMMYFUNCTION("""COMPUTED_VALUE"""),"Jherwin D. Flores")</f>
        <v>Jherwin D. Flores</v>
      </c>
      <c r="L1134" s="164" t="str">
        <f ca="1">IFERROR(__xludf.DUMMYFUNCTION("""COMPUTED_VALUE"""),"DARPO Pangasinan")</f>
        <v>DARPO Pangasinan</v>
      </c>
      <c r="M1134" s="164" t="str">
        <f ca="1">IFERROR(__xludf.DUMMYFUNCTION("""COMPUTED_VALUE"""),"SERVICEABLE")</f>
        <v>SERVICEABLE</v>
      </c>
      <c r="N1134" s="164"/>
    </row>
    <row r="1135" spans="1:14" ht="13.2" hidden="1">
      <c r="A1135" s="164" t="str">
        <f ca="1">IFERROR(__xludf.DUMMYFUNCTION("""COMPUTED_VALUE"""),"Region I")</f>
        <v>Region I</v>
      </c>
      <c r="B1135" s="164" t="str">
        <f ca="1">IFERROR(__xludf.DUMMYFUNCTION("""COMPUTED_VALUE"""),"Pangasinan")</f>
        <v>Pangasinan</v>
      </c>
      <c r="C1135" s="164" t="str">
        <f ca="1">IFERROR(__xludf.DUMMYFUNCTION("""COMPUTED_VALUE"""),"Motorcycle – (Honda XRL 150)")</f>
        <v>Motorcycle – (Honda XRL 150)</v>
      </c>
      <c r="D1135" s="164" t="str">
        <f ca="1">IFERROR(__xludf.DUMMYFUNCTION("""COMPUTED_VALUE"""),"₱ 124,900.00")</f>
        <v>₱ 124,900.00</v>
      </c>
      <c r="E1135" s="164"/>
      <c r="F1135" s="164" t="str">
        <f ca="1">IFERROR(__xludf.DUMMYFUNCTION("""COMPUTED_VALUE"""),"2023-06-01-10202SP54-01")</f>
        <v>2023-06-01-10202SP54-01</v>
      </c>
      <c r="G1135" s="164" t="str">
        <f ca="1">IFERROR(__xludf.DUMMYFUNCTION("""COMPUTED_VALUE"""),"no plate available")</f>
        <v>no plate available</v>
      </c>
      <c r="H1135" s="164" t="str">
        <f ca="1">IFERROR(__xludf.DUMMYFUNCTION("""COMPUTED_VALUE"""),"Maria Ana V. Francisco")</f>
        <v>Maria Ana V. Francisco</v>
      </c>
      <c r="I1135" s="164" t="str">
        <f ca="1">IFERROR(__xludf.DUMMYFUNCTION("""COMPUTED_VALUE"""),"Regional Director")</f>
        <v>Regional Director</v>
      </c>
      <c r="J1135" s="164" t="str">
        <f ca="1">IFERROR(__xludf.DUMMYFUNCTION("""COMPUTED_VALUE"""),"2023-01-39-SPLIT")</f>
        <v>2023-01-39-SPLIT</v>
      </c>
      <c r="K1135" s="164" t="str">
        <f ca="1">IFERROR(__xludf.DUMMYFUNCTION("""COMPUTED_VALUE"""),"Santiago Martin Peregrono")</f>
        <v>Santiago Martin Peregrono</v>
      </c>
      <c r="L1135" s="164" t="str">
        <f ca="1">IFERROR(__xludf.DUMMYFUNCTION("""COMPUTED_VALUE"""),"DARPO Pangasinan")</f>
        <v>DARPO Pangasinan</v>
      </c>
      <c r="M1135" s="164" t="str">
        <f ca="1">IFERROR(__xludf.DUMMYFUNCTION("""COMPUTED_VALUE"""),"SERVICEABLE")</f>
        <v>SERVICEABLE</v>
      </c>
      <c r="N1135" s="164"/>
    </row>
    <row r="1136" spans="1:14" ht="13.2" hidden="1">
      <c r="A1136" s="164" t="str">
        <f ca="1">IFERROR(__xludf.DUMMYFUNCTION("""COMPUTED_VALUE"""),"Region I")</f>
        <v>Region I</v>
      </c>
      <c r="B1136" s="164" t="str">
        <f ca="1">IFERROR(__xludf.DUMMYFUNCTION("""COMPUTED_VALUE"""),"REGIONAL OFFICE I")</f>
        <v>REGIONAL OFFICE I</v>
      </c>
      <c r="C1136" s="164" t="str">
        <f ca="1">IFERROR(__xludf.DUMMYFUNCTION("""COMPUTED_VALUE"""),"Double Cabin Pick-up Vehicles – Mitsubishi Strada")</f>
        <v>Double Cabin Pick-up Vehicles – Mitsubishi Strada</v>
      </c>
      <c r="D1136" s="164" t="str">
        <f ca="1">IFERROR(__xludf.DUMMYFUNCTION("""COMPUTED_VALUE"""),"₱ 1,752,400.00")</f>
        <v>₱ 1,752,400.00</v>
      </c>
      <c r="E1136" s="164"/>
      <c r="F1136" s="164" t="str">
        <f ca="1">IFERROR(__xludf.DUMMYFUNCTION("""COMPUTED_VALUE"""),"2023-06-01-10201SP10-01")</f>
        <v>2023-06-01-10201SP10-01</v>
      </c>
      <c r="G1136" s="164" t="str">
        <f ca="1">IFERROR(__xludf.DUMMYFUNCTION("""COMPUTED_VALUE"""),"SNC 1079")</f>
        <v>SNC 1079</v>
      </c>
      <c r="H1136" s="164" t="str">
        <f ca="1">IFERROR(__xludf.DUMMYFUNCTION("""COMPUTED_VALUE"""),"MARIA ANA B. FRANCISCO,CESO V")</f>
        <v>MARIA ANA B. FRANCISCO,CESO V</v>
      </c>
      <c r="I1136" s="164" t="str">
        <f ca="1">IFERROR(__xludf.DUMMYFUNCTION("""COMPUTED_VALUE"""),"REGIONAL DIRECTOR")</f>
        <v>REGIONAL DIRECTOR</v>
      </c>
      <c r="J1136" s="164" t="str">
        <f ca="1">IFERROR(__xludf.DUMMYFUNCTION("""COMPUTED_VALUE"""),"2023-11-49-SPLIT")</f>
        <v>2023-11-49-SPLIT</v>
      </c>
      <c r="K1136" s="164" t="str">
        <f ca="1">IFERROR(__xludf.DUMMYFUNCTION("""COMPUTED_VALUE"""),"MARIA ANA B. FRANCISCO,CESO V")</f>
        <v>MARIA ANA B. FRANCISCO,CESO V</v>
      </c>
      <c r="L1136" s="164" t="str">
        <f ca="1">IFERROR(__xludf.DUMMYFUNCTION("""COMPUTED_VALUE"""),"REGIONAL OFFICE I")</f>
        <v>REGIONAL OFFICE I</v>
      </c>
      <c r="M1136" s="164" t="str">
        <f ca="1">IFERROR(__xludf.DUMMYFUNCTION("""COMPUTED_VALUE"""),"SERVICEABLE")</f>
        <v>SERVICEABLE</v>
      </c>
      <c r="N1136" s="164"/>
    </row>
    <row r="1137" spans="1:14" ht="13.2" hidden="1">
      <c r="A1137" s="164" t="str">
        <f ca="1">IFERROR(__xludf.DUMMYFUNCTION("""COMPUTED_VALUE"""),"Region I")</f>
        <v>Region I</v>
      </c>
      <c r="B1137" s="164" t="str">
        <f ca="1">IFERROR(__xludf.DUMMYFUNCTION("""COMPUTED_VALUE"""),"REGIONAL OFFICE I")</f>
        <v>REGIONAL OFFICE I</v>
      </c>
      <c r="C1137" s="164" t="str">
        <f ca="1">IFERROR(__xludf.DUMMYFUNCTION("""COMPUTED_VALUE"""),"Double Cabin Pick-up Vehicles – Mitsubishi Strada")</f>
        <v>Double Cabin Pick-up Vehicles – Mitsubishi Strada</v>
      </c>
      <c r="D1137" s="164" t="str">
        <f ca="1">IFERROR(__xludf.DUMMYFUNCTION("""COMPUTED_VALUE"""),"₱ 1,752,400.00")</f>
        <v>₱ 1,752,400.00</v>
      </c>
      <c r="E1137" s="164"/>
      <c r="F1137" s="164" t="str">
        <f ca="1">IFERROR(__xludf.DUMMYFUNCTION("""COMPUTED_VALUE"""),"2023-06-01-10201SP46-01")</f>
        <v>2023-06-01-10201SP46-01</v>
      </c>
      <c r="G1137" s="164" t="str">
        <f ca="1">IFERROR(__xludf.DUMMYFUNCTION("""COMPUTED_VALUE"""),"SNC 1174")</f>
        <v>SNC 1174</v>
      </c>
      <c r="H1137" s="164" t="str">
        <f ca="1">IFERROR(__xludf.DUMMYFUNCTION("""COMPUTED_VALUE"""),"MARIA VICTORIA C. GREGORIO")</f>
        <v>MARIA VICTORIA C. GREGORIO</v>
      </c>
      <c r="I1137" s="164" t="str">
        <f ca="1">IFERROR(__xludf.DUMMYFUNCTION("""COMPUTED_VALUE"""),"PROCUREMENT OFFICER")</f>
        <v>PROCUREMENT OFFICER</v>
      </c>
      <c r="J1137" s="164" t="str">
        <f ca="1">IFERROR(__xludf.DUMMYFUNCTION("""COMPUTED_VALUE"""),"2023-11-50-SPLIT")</f>
        <v>2023-11-50-SPLIT</v>
      </c>
      <c r="K1137" s="164" t="str">
        <f ca="1">IFERROR(__xludf.DUMMYFUNCTION("""COMPUTED_VALUE"""),"MARIA VICTORIA C. GREGORIO")</f>
        <v>MARIA VICTORIA C. GREGORIO</v>
      </c>
      <c r="L1137" s="164" t="str">
        <f ca="1">IFERROR(__xludf.DUMMYFUNCTION("""COMPUTED_VALUE"""),"REGIONAL OFFICE I")</f>
        <v>REGIONAL OFFICE I</v>
      </c>
      <c r="M1137" s="164" t="str">
        <f ca="1">IFERROR(__xludf.DUMMYFUNCTION("""COMPUTED_VALUE"""),"SERVICEABLE")</f>
        <v>SERVICEABLE</v>
      </c>
      <c r="N1137" s="164"/>
    </row>
    <row r="1138" spans="1:14" ht="13.2" hidden="1">
      <c r="A1138" s="164" t="str">
        <f ca="1">IFERROR(__xludf.DUMMYFUNCTION("""COMPUTED_VALUE"""),"Region I")</f>
        <v>Region I</v>
      </c>
      <c r="B1138" s="164" t="str">
        <f ca="1">IFERROR(__xludf.DUMMYFUNCTION("""COMPUTED_VALUE"""),"REGIONAL OFFICE I")</f>
        <v>REGIONAL OFFICE I</v>
      </c>
      <c r="C1138" s="164" t="str">
        <f ca="1">IFERROR(__xludf.DUMMYFUNCTION("""COMPUTED_VALUE"""),"Double Cabin Pick-up Vehicles – Mitsubishi Strada")</f>
        <v>Double Cabin Pick-up Vehicles – Mitsubishi Strada</v>
      </c>
      <c r="D1138" s="164" t="str">
        <f ca="1">IFERROR(__xludf.DUMMYFUNCTION("""COMPUTED_VALUE"""),"₱ 1,752,400.00")</f>
        <v>₱ 1,752,400.00</v>
      </c>
      <c r="E1138" s="164"/>
      <c r="F1138" s="164" t="str">
        <f ca="1">IFERROR(__xludf.DUMMYFUNCTION("""COMPUTED_VALUE"""),"2023-06-01-10201SP09-01")</f>
        <v>2023-06-01-10201SP09-01</v>
      </c>
      <c r="G1138" s="164" t="str">
        <f ca="1">IFERROR(__xludf.DUMMYFUNCTION("""COMPUTED_VALUE"""),"SNC 1082")</f>
        <v>SNC 1082</v>
      </c>
      <c r="H1138" s="164" t="str">
        <f ca="1">IFERROR(__xludf.DUMMYFUNCTION("""COMPUTED_VALUE"""),"MARIA ANA B. FRANCISCO,CESO V")</f>
        <v>MARIA ANA B. FRANCISCO,CESO V</v>
      </c>
      <c r="I1138" s="164" t="str">
        <f ca="1">IFERROR(__xludf.DUMMYFUNCTION("""COMPUTED_VALUE"""),"REGIONAL DIRECTOR")</f>
        <v>REGIONAL DIRECTOR</v>
      </c>
      <c r="J1138" s="164" t="str">
        <f ca="1">IFERROR(__xludf.DUMMYFUNCTION("""COMPUTED_VALUE"""),"2023-11-45-SPLIT")</f>
        <v>2023-11-45-SPLIT</v>
      </c>
      <c r="K1138" s="164" t="str">
        <f ca="1">IFERROR(__xludf.DUMMYFUNCTION("""COMPUTED_VALUE"""),"MARIA ANA B. FRANCISCO,CESO V")</f>
        <v>MARIA ANA B. FRANCISCO,CESO V</v>
      </c>
      <c r="L1138" s="164" t="str">
        <f ca="1">IFERROR(__xludf.DUMMYFUNCTION("""COMPUTED_VALUE"""),"REGIONAL OFFICE I")</f>
        <v>REGIONAL OFFICE I</v>
      </c>
      <c r="M1138" s="164" t="str">
        <f ca="1">IFERROR(__xludf.DUMMYFUNCTION("""COMPUTED_VALUE"""),"SERVICEABLE")</f>
        <v>SERVICEABLE</v>
      </c>
      <c r="N1138" s="164"/>
    </row>
    <row r="1139" spans="1:14" ht="13.2" hidden="1">
      <c r="A1139" s="164" t="str">
        <f ca="1">IFERROR(__xludf.DUMMYFUNCTION("""COMPUTED_VALUE"""),"Region I")</f>
        <v>Region I</v>
      </c>
      <c r="B1139" s="164" t="str">
        <f ca="1">IFERROR(__xludf.DUMMYFUNCTION("""COMPUTED_VALUE"""),"ILOCOS NORTE")</f>
        <v>ILOCOS NORTE</v>
      </c>
      <c r="C1139" s="164" t="str">
        <f ca="1">IFERROR(__xludf.DUMMYFUNCTION("""COMPUTED_VALUE"""),"Double Cabin Pick-up Vehicles – Mitsubishi Strada")</f>
        <v>Double Cabin Pick-up Vehicles – Mitsubishi Strada</v>
      </c>
      <c r="D1139" s="164" t="str">
        <f ca="1">IFERROR(__xludf.DUMMYFUNCTION("""COMPUTED_VALUE"""),"₱ 1,752,400.00")</f>
        <v>₱ 1,752,400.00</v>
      </c>
      <c r="E1139" s="164"/>
      <c r="F1139" s="164" t="str">
        <f ca="1">IFERROR(__xludf.DUMMYFUNCTION("""COMPUTED_VALUE"""),"2023-06-01-10201SP48-01")</f>
        <v>2023-06-01-10201SP48-01</v>
      </c>
      <c r="G1139" s="164" t="str">
        <f ca="1">IFERROR(__xludf.DUMMYFUNCTION("""COMPUTED_VALUE"""),"SNC 1148")</f>
        <v>SNC 1148</v>
      </c>
      <c r="H1139" s="164" t="str">
        <f ca="1">IFERROR(__xludf.DUMMYFUNCTION("""COMPUTED_VALUE"""),"ENGR. VIC M. INES")</f>
        <v>ENGR. VIC M. INES</v>
      </c>
      <c r="I1139" s="164" t="str">
        <f ca="1">IFERROR(__xludf.DUMMYFUNCTION("""COMPUTED_VALUE"""),"ARDO/PARPO II")</f>
        <v>ARDO/PARPO II</v>
      </c>
      <c r="J1139" s="164" t="str">
        <f ca="1">IFERROR(__xludf.DUMMYFUNCTION("""COMPUTED_VALUE"""),"2023-11-46-SPLIT")</f>
        <v>2023-11-46-SPLIT</v>
      </c>
      <c r="K1139" s="164" t="str">
        <f ca="1">IFERROR(__xludf.DUMMYFUNCTION("""COMPUTED_VALUE"""),"ENGR. VIC M. INES")</f>
        <v>ENGR. VIC M. INES</v>
      </c>
      <c r="L1139" s="164" t="str">
        <f ca="1">IFERROR(__xludf.DUMMYFUNCTION("""COMPUTED_VALUE"""),"DARPO ILOCOS NORTE")</f>
        <v>DARPO ILOCOS NORTE</v>
      </c>
      <c r="M1139" s="164" t="str">
        <f ca="1">IFERROR(__xludf.DUMMYFUNCTION("""COMPUTED_VALUE"""),"SERVICEABLE")</f>
        <v>SERVICEABLE</v>
      </c>
      <c r="N1139" s="164"/>
    </row>
    <row r="1140" spans="1:14" ht="13.2" hidden="1">
      <c r="A1140" s="164" t="str">
        <f ca="1">IFERROR(__xludf.DUMMYFUNCTION("""COMPUTED_VALUE"""),"Region I")</f>
        <v>Region I</v>
      </c>
      <c r="B1140" s="164" t="str">
        <f ca="1">IFERROR(__xludf.DUMMYFUNCTION("""COMPUTED_VALUE"""),"ILOCOS SUR")</f>
        <v>ILOCOS SUR</v>
      </c>
      <c r="C1140" s="164" t="str">
        <f ca="1">IFERROR(__xludf.DUMMYFUNCTION("""COMPUTED_VALUE"""),"Double Cabin Pick-up Vehicles – Mitsubishi Strada")</f>
        <v>Double Cabin Pick-up Vehicles – Mitsubishi Strada</v>
      </c>
      <c r="D1140" s="164" t="str">
        <f ca="1">IFERROR(__xludf.DUMMYFUNCTION("""COMPUTED_VALUE"""),"₱ 1,752,400.00")</f>
        <v>₱ 1,752,400.00</v>
      </c>
      <c r="E1140" s="164"/>
      <c r="F1140" s="164" t="str">
        <f ca="1">IFERROR(__xludf.DUMMYFUNCTION("""COMPUTED_VALUE"""),"2023-06-01-10201SP49-01")</f>
        <v>2023-06-01-10201SP49-01</v>
      </c>
      <c r="G1140" s="164" t="str">
        <f ca="1">IFERROR(__xludf.DUMMYFUNCTION("""COMPUTED_VALUE"""),"SNC-1139")</f>
        <v>SNC-1139</v>
      </c>
      <c r="H1140" s="164" t="str">
        <f ca="1">IFERROR(__xludf.DUMMYFUNCTION("""COMPUTED_VALUE"""),"ENGR. VIC M. INES")</f>
        <v>ENGR. VIC M. INES</v>
      </c>
      <c r="I1140" s="164" t="str">
        <f ca="1">IFERROR(__xludf.DUMMYFUNCTION("""COMPUTED_VALUE"""),"ARDO/PARPO II")</f>
        <v>ARDO/PARPO II</v>
      </c>
      <c r="J1140" s="164" t="str">
        <f ca="1">IFERROR(__xludf.DUMMYFUNCTION("""COMPUTED_VALUE"""),"2023-11-48-SPLIT")</f>
        <v>2023-11-48-SPLIT</v>
      </c>
      <c r="K1140" s="164" t="str">
        <f ca="1">IFERROR(__xludf.DUMMYFUNCTION("""COMPUTED_VALUE"""),"ENGR. VIC M. INES")</f>
        <v>ENGR. VIC M. INES</v>
      </c>
      <c r="L1140" s="164" t="str">
        <f ca="1">IFERROR(__xludf.DUMMYFUNCTION("""COMPUTED_VALUE"""),"DARPO ILOCOS SUR")</f>
        <v>DARPO ILOCOS SUR</v>
      </c>
      <c r="M1140" s="164" t="str">
        <f ca="1">IFERROR(__xludf.DUMMYFUNCTION("""COMPUTED_VALUE"""),"SERVICEABLE")</f>
        <v>SERVICEABLE</v>
      </c>
      <c r="N1140" s="164"/>
    </row>
    <row r="1141" spans="1:14" ht="13.2" hidden="1">
      <c r="A1141" s="164" t="str">
        <f ca="1">IFERROR(__xludf.DUMMYFUNCTION("""COMPUTED_VALUE"""),"Region I")</f>
        <v>Region I</v>
      </c>
      <c r="B1141" s="164" t="str">
        <f ca="1">IFERROR(__xludf.DUMMYFUNCTION("""COMPUTED_VALUE"""),"LA UNION")</f>
        <v>LA UNION</v>
      </c>
      <c r="C1141" s="164" t="str">
        <f ca="1">IFERROR(__xludf.DUMMYFUNCTION("""COMPUTED_VALUE"""),"Double Cabin Pick-up Vehicles – Mitsubishi Strada")</f>
        <v>Double Cabin Pick-up Vehicles – Mitsubishi Strada</v>
      </c>
      <c r="D1141" s="164" t="str">
        <f ca="1">IFERROR(__xludf.DUMMYFUNCTION("""COMPUTED_VALUE"""),"₱ 1,752,400.00")</f>
        <v>₱ 1,752,400.00</v>
      </c>
      <c r="E1141" s="164"/>
      <c r="F1141" s="164" t="str">
        <f ca="1">IFERROR(__xludf.DUMMYFUNCTION("""COMPUTED_VALUE"""),"2023-06-01-10201SP51-01")</f>
        <v>2023-06-01-10201SP51-01</v>
      </c>
      <c r="G1141" s="164" t="str">
        <f ca="1">IFERROR(__xludf.DUMMYFUNCTION("""COMPUTED_VALUE"""),"SNC 1168")</f>
        <v>SNC 1168</v>
      </c>
      <c r="H1141" s="164" t="str">
        <f ca="1">IFERROR(__xludf.DUMMYFUNCTION("""COMPUTED_VALUE"""),"LORIE L. CAPISTRANO")</f>
        <v>LORIE L. CAPISTRANO</v>
      </c>
      <c r="I1141" s="164" t="str">
        <f ca="1">IFERROR(__xludf.DUMMYFUNCTION("""COMPUTED_VALUE"""),"AO IV")</f>
        <v>AO IV</v>
      </c>
      <c r="J1141" s="164" t="str">
        <f ca="1">IFERROR(__xludf.DUMMYFUNCTION("""COMPUTED_VALUE"""),"2023-11-48a-SPLIT")</f>
        <v>2023-11-48a-SPLIT</v>
      </c>
      <c r="K1141" s="164" t="str">
        <f ca="1">IFERROR(__xludf.DUMMYFUNCTION("""COMPUTED_VALUE"""),"LORIE L. CAPISTRANO")</f>
        <v>LORIE L. CAPISTRANO</v>
      </c>
      <c r="L1141" s="164" t="str">
        <f ca="1">IFERROR(__xludf.DUMMYFUNCTION("""COMPUTED_VALUE"""),"DARPO LA UNION")</f>
        <v>DARPO LA UNION</v>
      </c>
      <c r="M1141" s="164" t="str">
        <f ca="1">IFERROR(__xludf.DUMMYFUNCTION("""COMPUTED_VALUE"""),"SERVICEABLE")</f>
        <v>SERVICEABLE</v>
      </c>
      <c r="N1141" s="164"/>
    </row>
    <row r="1142" spans="1:14" ht="13.2" hidden="1">
      <c r="A1142" s="164" t="str">
        <f ca="1">IFERROR(__xludf.DUMMYFUNCTION("""COMPUTED_VALUE"""),"Region I")</f>
        <v>Region I</v>
      </c>
      <c r="B1142" s="164" t="str">
        <f ca="1">IFERROR(__xludf.DUMMYFUNCTION("""COMPUTED_VALUE"""),"PANGASINAN")</f>
        <v>PANGASINAN</v>
      </c>
      <c r="C1142" s="164" t="str">
        <f ca="1">IFERROR(__xludf.DUMMYFUNCTION("""COMPUTED_VALUE"""),"Double Cabin Pick-up Vehicles – Mitsubishi Strada")</f>
        <v>Double Cabin Pick-up Vehicles – Mitsubishi Strada</v>
      </c>
      <c r="D1142" s="164" t="str">
        <f ca="1">IFERROR(__xludf.DUMMYFUNCTION("""COMPUTED_VALUE"""),"₱ 1,752,400.00")</f>
        <v>₱ 1,752,400.00</v>
      </c>
      <c r="E1142" s="164"/>
      <c r="F1142" s="164" t="str">
        <f ca="1">IFERROR(__xludf.DUMMYFUNCTION("""COMPUTED_VALUE"""),"2023-06-01-10201SP47-01")</f>
        <v>2023-06-01-10201SP47-01</v>
      </c>
      <c r="G1142" s="164" t="str">
        <f ca="1">IFERROR(__xludf.DUMMYFUNCTION("""COMPUTED_VALUE"""),"SNC 1139")</f>
        <v>SNC 1139</v>
      </c>
      <c r="H1142" s="164" t="str">
        <f ca="1">IFERROR(__xludf.DUMMYFUNCTION("""COMPUTED_VALUE"""),"CHARLOTTE LASMARIAS")</f>
        <v>CHARLOTTE LASMARIAS</v>
      </c>
      <c r="I1142" s="164" t="str">
        <f ca="1">IFERROR(__xludf.DUMMYFUNCTION("""COMPUTED_VALUE"""),"PARPO II")</f>
        <v>PARPO II</v>
      </c>
      <c r="J1142" s="164" t="str">
        <f ca="1">IFERROR(__xludf.DUMMYFUNCTION("""COMPUTED_VALUE"""),"2023-11-48-SPLIT")</f>
        <v>2023-11-48-SPLIT</v>
      </c>
      <c r="K1142" s="164" t="str">
        <f ca="1">IFERROR(__xludf.DUMMYFUNCTION("""COMPUTED_VALUE"""),"CHARLOTTE LASMARIAS")</f>
        <v>CHARLOTTE LASMARIAS</v>
      </c>
      <c r="L1142" s="164" t="str">
        <f ca="1">IFERROR(__xludf.DUMMYFUNCTION("""COMPUTED_VALUE"""),"DARPO PANGASINAN")</f>
        <v>DARPO PANGASINAN</v>
      </c>
      <c r="M1142" s="164" t="str">
        <f ca="1">IFERROR(__xludf.DUMMYFUNCTION("""COMPUTED_VALUE"""),"SERVICEABLE")</f>
        <v>SERVICEABLE</v>
      </c>
      <c r="N1142" s="164"/>
    </row>
    <row r="1143" spans="1:14" ht="13.2" hidden="1">
      <c r="A1143" s="164" t="str">
        <f ca="1">IFERROR(__xludf.DUMMYFUNCTION("""COMPUTED_VALUE"""),"Region I")</f>
        <v>Region I</v>
      </c>
      <c r="B1143" s="164" t="str">
        <f ca="1">IFERROR(__xludf.DUMMYFUNCTION("""COMPUTED_VALUE"""),"PANGASINAN")</f>
        <v>PANGASINAN</v>
      </c>
      <c r="C1143" s="164" t="str">
        <f ca="1">IFERROR(__xludf.DUMMYFUNCTION("""COMPUTED_VALUE"""),"Double Cabin Pick-up Vehicles – Mitsubishi Strada")</f>
        <v>Double Cabin Pick-up Vehicles – Mitsubishi Strada</v>
      </c>
      <c r="D1143" s="164" t="str">
        <f ca="1">IFERROR(__xludf.DUMMYFUNCTION("""COMPUTED_VALUE"""),"₱ 1,752,400.00")</f>
        <v>₱ 1,752,400.00</v>
      </c>
      <c r="E1143" s="164"/>
      <c r="F1143" s="164" t="str">
        <f ca="1">IFERROR(__xludf.DUMMYFUNCTION("""COMPUTED_VALUE"""),"2023-06-01-10201SP50-01")</f>
        <v>2023-06-01-10201SP50-01</v>
      </c>
      <c r="G1143" s="164" t="str">
        <f ca="1">IFERROR(__xludf.DUMMYFUNCTION("""COMPUTED_VALUE"""),"SNC 1175")</f>
        <v>SNC 1175</v>
      </c>
      <c r="H1143" s="164" t="str">
        <f ca="1">IFERROR(__xludf.DUMMYFUNCTION("""COMPUTED_VALUE"""),"GENARO M. BALLESTEROS, JR.")</f>
        <v>GENARO M. BALLESTEROS, JR.</v>
      </c>
      <c r="I1143" s="164" t="str">
        <f ca="1">IFERROR(__xludf.DUMMYFUNCTION("""COMPUTED_VALUE"""),"AO IV")</f>
        <v>AO IV</v>
      </c>
      <c r="J1143" s="164" t="str">
        <f ca="1">IFERROR(__xludf.DUMMYFUNCTION("""COMPUTED_VALUE"""),"2023-11-47-SPLIT")</f>
        <v>2023-11-47-SPLIT</v>
      </c>
      <c r="K1143" s="164" t="str">
        <f ca="1">IFERROR(__xludf.DUMMYFUNCTION("""COMPUTED_VALUE"""),"GENARO M. BALLESTEROS, JR.")</f>
        <v>GENARO M. BALLESTEROS, JR.</v>
      </c>
      <c r="L1143" s="164" t="str">
        <f ca="1">IFERROR(__xludf.DUMMYFUNCTION("""COMPUTED_VALUE"""),"DARPO PANGASINAN")</f>
        <v>DARPO PANGASINAN</v>
      </c>
      <c r="M1143" s="164" t="str">
        <f ca="1">IFERROR(__xludf.DUMMYFUNCTION("""COMPUTED_VALUE"""),"SERVICEABLE")</f>
        <v>SERVICEABLE</v>
      </c>
      <c r="N1143" s="164"/>
    </row>
    <row r="1144" spans="1:14" ht="13.2" hidden="1">
      <c r="A1144" s="164" t="str">
        <f ca="1">IFERROR(__xludf.DUMMYFUNCTION("""COMPUTED_VALUE"""),"Region II")</f>
        <v>Region II</v>
      </c>
      <c r="B1144" s="164" t="str">
        <f ca="1">IFERROR(__xludf.DUMMYFUNCTION("""COMPUTED_VALUE"""),"Regional Office")</f>
        <v>Regional Office</v>
      </c>
      <c r="C1144" s="164" t="str">
        <f ca="1">IFERROR(__xludf.DUMMYFUNCTION("""COMPUTED_VALUE"""),"Desktop Computer – (Lenovo M70T)")</f>
        <v>Desktop Computer – (Lenovo M70T)</v>
      </c>
      <c r="D1144" s="164" t="str">
        <f ca="1">IFERROR(__xludf.DUMMYFUNCTION("""COMPUTED_VALUE"""),"₱ 75,468.00")</f>
        <v>₱ 75,468.00</v>
      </c>
      <c r="E1144" s="164" t="str">
        <f ca="1">IFERROR(__xludf.DUMMYFUNCTION("""COMPUTED_VALUE"""),"₱ -")</f>
        <v>₱ -</v>
      </c>
      <c r="F1144" s="164" t="str">
        <f ca="1">IFERROR(__xludf.DUMMYFUNCTION("""COMPUTED_VALUE"""),"2023-05-03-10201SP745-01")</f>
        <v>2023-05-03-10201SP745-01</v>
      </c>
      <c r="G1144" s="164" t="str">
        <f ca="1">IFERROR(__xludf.DUMMYFUNCTION("""COMPUTED_VALUE"""),"1S11T5S16200GM02ZT8D")</f>
        <v>1S11T5S16200GM02ZT8D</v>
      </c>
      <c r="H1144" s="164" t="str">
        <f ca="1">IFERROR(__xludf.DUMMYFUNCTION("""COMPUTED_VALUE"""),"MIRIAM A. CUSIPAG")</f>
        <v>MIRIAM A. CUSIPAG</v>
      </c>
      <c r="I1144" s="164" t="str">
        <f ca="1">IFERROR(__xludf.DUMMYFUNCTION("""COMPUTED_VALUE"""),"PROJECT CASHIER")</f>
        <v>PROJECT CASHIER</v>
      </c>
      <c r="J1144" s="164" t="str">
        <f ca="1">IFERROR(__xludf.DUMMYFUNCTION("""COMPUTED_VALUE"""),"PAR NO. 2023-05-001")</f>
        <v>PAR NO. 2023-05-001</v>
      </c>
      <c r="K1144" s="164" t="str">
        <f ca="1">IFERROR(__xludf.DUMMYFUNCTION("""COMPUTED_VALUE"""),"MIRIAM A. CUSIPAG")</f>
        <v>MIRIAM A. CUSIPAG</v>
      </c>
      <c r="L1144" s="164" t="str">
        <f ca="1">IFERROR(__xludf.DUMMYFUNCTION("""COMPUTED_VALUE"""),"STOD")</f>
        <v>STOD</v>
      </c>
      <c r="M1144" s="164" t="str">
        <f ca="1">IFERROR(__xludf.DUMMYFUNCTION("""COMPUTED_VALUE"""),"SERVICEABLE")</f>
        <v>SERVICEABLE</v>
      </c>
      <c r="N1144" s="164"/>
    </row>
    <row r="1145" spans="1:14" ht="13.2" hidden="1">
      <c r="A1145" s="164" t="str">
        <f ca="1">IFERROR(__xludf.DUMMYFUNCTION("""COMPUTED_VALUE"""),"Region II")</f>
        <v>Region II</v>
      </c>
      <c r="B1145" s="164" t="str">
        <f ca="1">IFERROR(__xludf.DUMMYFUNCTION("""COMPUTED_VALUE"""),"Regional Office")</f>
        <v>Regional Office</v>
      </c>
      <c r="C1145" s="164" t="str">
        <f ca="1">IFERROR(__xludf.DUMMYFUNCTION("""COMPUTED_VALUE"""),"Desktop Computer – (Lenovo M70T)")</f>
        <v>Desktop Computer – (Lenovo M70T)</v>
      </c>
      <c r="D1145" s="164" t="str">
        <f ca="1">IFERROR(__xludf.DUMMYFUNCTION("""COMPUTED_VALUE"""),"₱ 75,468.00")</f>
        <v>₱ 75,468.00</v>
      </c>
      <c r="E1145" s="164" t="str">
        <f ca="1">IFERROR(__xludf.DUMMYFUNCTION("""COMPUTED_VALUE"""),"₱ -")</f>
        <v>₱ -</v>
      </c>
      <c r="F1145" s="164" t="str">
        <f ca="1">IFERROR(__xludf.DUMMYFUNCTION("""COMPUTED_VALUE"""),"2023-05-03-10201SP728-01")</f>
        <v>2023-05-03-10201SP728-01</v>
      </c>
      <c r="G1145" s="164" t="str">
        <f ca="1">IFERROR(__xludf.DUMMYFUNCTION("""COMPUTED_VALUE"""),"1S11T5S16200GM02ZT8Q")</f>
        <v>1S11T5S16200GM02ZT8Q</v>
      </c>
      <c r="H1145" s="164" t="str">
        <f ca="1">IFERROR(__xludf.DUMMYFUNCTION("""COMPUTED_VALUE"""),"MA. ANNETTE L. ROMANO")</f>
        <v>MA. ANNETTE L. ROMANO</v>
      </c>
      <c r="I1145" s="164" t="str">
        <f ca="1">IFERROR(__xludf.DUMMYFUNCTION("""COMPUTED_VALUE"""),"ADMIN, FINANCE &amp; CBTA COORDINATOR")</f>
        <v>ADMIN, FINANCE &amp; CBTA COORDINATOR</v>
      </c>
      <c r="J1145" s="164" t="str">
        <f ca="1">IFERROR(__xludf.DUMMYFUNCTION("""COMPUTED_VALUE"""),"PAR NO. 2023-05-002")</f>
        <v>PAR NO. 2023-05-002</v>
      </c>
      <c r="K1145" s="164" t="str">
        <f ca="1">IFERROR(__xludf.DUMMYFUNCTION("""COMPUTED_VALUE"""),"MA. ANNETTE L. ROMANO")</f>
        <v>MA. ANNETTE L. ROMANO</v>
      </c>
      <c r="L1145" s="164" t="str">
        <f ca="1">IFERROR(__xludf.DUMMYFUNCTION("""COMPUTED_VALUE"""),"STOD")</f>
        <v>STOD</v>
      </c>
      <c r="M1145" s="164" t="str">
        <f ca="1">IFERROR(__xludf.DUMMYFUNCTION("""COMPUTED_VALUE"""),"SERVICEABLE")</f>
        <v>SERVICEABLE</v>
      </c>
      <c r="N1145" s="164"/>
    </row>
    <row r="1146" spans="1:14" ht="13.2" hidden="1">
      <c r="A1146" s="164" t="str">
        <f ca="1">IFERROR(__xludf.DUMMYFUNCTION("""COMPUTED_VALUE"""),"Region II")</f>
        <v>Region II</v>
      </c>
      <c r="B1146" s="164" t="str">
        <f ca="1">IFERROR(__xludf.DUMMYFUNCTION("""COMPUTED_VALUE"""),"Regional Office")</f>
        <v>Regional Office</v>
      </c>
      <c r="C1146" s="164" t="str">
        <f ca="1">IFERROR(__xludf.DUMMYFUNCTION("""COMPUTED_VALUE"""),"Desktop Computer – (Lenovo M70T)")</f>
        <v>Desktop Computer – (Lenovo M70T)</v>
      </c>
      <c r="D1146" s="164" t="str">
        <f ca="1">IFERROR(__xludf.DUMMYFUNCTION("""COMPUTED_VALUE"""),"₱ 75,468.00")</f>
        <v>₱ 75,468.00</v>
      </c>
      <c r="E1146" s="164" t="str">
        <f ca="1">IFERROR(__xludf.DUMMYFUNCTION("""COMPUTED_VALUE"""),"₱ -")</f>
        <v>₱ -</v>
      </c>
      <c r="F1146" s="164" t="str">
        <f ca="1">IFERROR(__xludf.DUMMYFUNCTION("""COMPUTED_VALUE"""),"2023-05-03-10201SP688-01")</f>
        <v>2023-05-03-10201SP688-01</v>
      </c>
      <c r="G1146" s="164" t="str">
        <f ca="1">IFERROR(__xludf.DUMMYFUNCTION("""COMPUTED_VALUE"""),"1S11T5S16200GM02ZT85")</f>
        <v>1S11T5S16200GM02ZT85</v>
      </c>
      <c r="H1146" s="164" t="str">
        <f ca="1">IFERROR(__xludf.DUMMYFUNCTION("""COMPUTED_VALUE"""),"JOSEPHINE S. LADDARAN")</f>
        <v>JOSEPHINE S. LADDARAN</v>
      </c>
      <c r="I1146" s="164" t="str">
        <f ca="1">IFERROR(__xludf.DUMMYFUNCTION("""COMPUTED_VALUE"""),"PROJECT ACCOUNTANT")</f>
        <v>PROJECT ACCOUNTANT</v>
      </c>
      <c r="J1146" s="164" t="str">
        <f ca="1">IFERROR(__xludf.DUMMYFUNCTION("""COMPUTED_VALUE"""),"PAR NO. 2023-05-003")</f>
        <v>PAR NO. 2023-05-003</v>
      </c>
      <c r="K1146" s="164" t="str">
        <f ca="1">IFERROR(__xludf.DUMMYFUNCTION("""COMPUTED_VALUE"""),"ANGELIKA A. CASAÑA")</f>
        <v>ANGELIKA A. CASAÑA</v>
      </c>
      <c r="L1146" s="164" t="str">
        <f ca="1">IFERROR(__xludf.DUMMYFUNCTION("""COMPUTED_VALUE"""),"STOD")</f>
        <v>STOD</v>
      </c>
      <c r="M1146" s="164" t="str">
        <f ca="1">IFERROR(__xludf.DUMMYFUNCTION("""COMPUTED_VALUE"""),"SERVICEABLE")</f>
        <v>SERVICEABLE</v>
      </c>
      <c r="N1146" s="164"/>
    </row>
    <row r="1147" spans="1:14" ht="13.2" hidden="1">
      <c r="A1147" s="164" t="str">
        <f ca="1">IFERROR(__xludf.DUMMYFUNCTION("""COMPUTED_VALUE"""),"Region II")</f>
        <v>Region II</v>
      </c>
      <c r="B1147" s="164" t="str">
        <f ca="1">IFERROR(__xludf.DUMMYFUNCTION("""COMPUTED_VALUE"""),"Regional Office")</f>
        <v>Regional Office</v>
      </c>
      <c r="C1147" s="164" t="str">
        <f ca="1">IFERROR(__xludf.DUMMYFUNCTION("""COMPUTED_VALUE"""),"Desktop Computer – (Lenovo M70T)")</f>
        <v>Desktop Computer – (Lenovo M70T)</v>
      </c>
      <c r="D1147" s="164" t="str">
        <f ca="1">IFERROR(__xludf.DUMMYFUNCTION("""COMPUTED_VALUE"""),"₱ 75,468.00")</f>
        <v>₱ 75,468.00</v>
      </c>
      <c r="E1147" s="164" t="str">
        <f ca="1">IFERROR(__xludf.DUMMYFUNCTION("""COMPUTED_VALUE"""),"₱ -")</f>
        <v>₱ -</v>
      </c>
      <c r="F1147" s="164" t="str">
        <f ca="1">IFERROR(__xludf.DUMMYFUNCTION("""COMPUTED_VALUE"""),"2023-05-03-10201SP716-01")</f>
        <v>2023-05-03-10201SP716-01</v>
      </c>
      <c r="G1147" s="164" t="str">
        <f ca="1">IFERROR(__xludf.DUMMYFUNCTION("""COMPUTED_VALUE"""),"1S11T5S16200GM02ZT89")</f>
        <v>1S11T5S16200GM02ZT89</v>
      </c>
      <c r="H1147" s="164" t="str">
        <f ca="1">IFERROR(__xludf.DUMMYFUNCTION("""COMPUTED_VALUE"""),"ELVERITO A. JUAN")</f>
        <v>ELVERITO A. JUAN</v>
      </c>
      <c r="I1147" s="164" t="str">
        <f ca="1">IFERROR(__xludf.DUMMYFUNCTION("""COMPUTED_VALUE"""),"M&amp;E COORDINATOR")</f>
        <v>M&amp;E COORDINATOR</v>
      </c>
      <c r="J1147" s="164" t="str">
        <f ca="1">IFERROR(__xludf.DUMMYFUNCTION("""COMPUTED_VALUE"""),"PAR NO. 2023-05-004")</f>
        <v>PAR NO. 2023-05-004</v>
      </c>
      <c r="K1147" s="164" t="str">
        <f ca="1">IFERROR(__xludf.DUMMYFUNCTION("""COMPUTED_VALUE"""),"ANATALIA A. LODIVICO")</f>
        <v>ANATALIA A. LODIVICO</v>
      </c>
      <c r="L1147" s="164" t="str">
        <f ca="1">IFERROR(__xludf.DUMMYFUNCTION("""COMPUTED_VALUE"""),"STOD")</f>
        <v>STOD</v>
      </c>
      <c r="M1147" s="164" t="str">
        <f ca="1">IFERROR(__xludf.DUMMYFUNCTION("""COMPUTED_VALUE"""),"SERVICEABLE")</f>
        <v>SERVICEABLE</v>
      </c>
      <c r="N1147" s="164"/>
    </row>
    <row r="1148" spans="1:14" ht="13.2" hidden="1">
      <c r="A1148" s="164" t="str">
        <f ca="1">IFERROR(__xludf.DUMMYFUNCTION("""COMPUTED_VALUE"""),"Region II")</f>
        <v>Region II</v>
      </c>
      <c r="B1148" s="164" t="str">
        <f ca="1">IFERROR(__xludf.DUMMYFUNCTION("""COMPUTED_VALUE"""),"Regional Office")</f>
        <v>Regional Office</v>
      </c>
      <c r="C1148" s="164" t="str">
        <f ca="1">IFERROR(__xludf.DUMMYFUNCTION("""COMPUTED_VALUE"""),"Desktop Computer – (Lenovo M70T)")</f>
        <v>Desktop Computer – (Lenovo M70T)</v>
      </c>
      <c r="D1148" s="164" t="str">
        <f ca="1">IFERROR(__xludf.DUMMYFUNCTION("""COMPUTED_VALUE"""),"₱ 75,468.00")</f>
        <v>₱ 75,468.00</v>
      </c>
      <c r="E1148" s="164" t="str">
        <f ca="1">IFERROR(__xludf.DUMMYFUNCTION("""COMPUTED_VALUE"""),"₱ -")</f>
        <v>₱ -</v>
      </c>
      <c r="F1148" s="164" t="str">
        <f ca="1">IFERROR(__xludf.DUMMYFUNCTION("""COMPUTED_VALUE"""),"2023-05-03-10201SP715-01")</f>
        <v>2023-05-03-10201SP715-01</v>
      </c>
      <c r="G1148" s="164" t="str">
        <f ca="1">IFERROR(__xludf.DUMMYFUNCTION("""COMPUTED_VALUE"""),"1S11T5S16200GM02ZT9T")</f>
        <v>1S11T5S16200GM02ZT9T</v>
      </c>
      <c r="H1148" s="164" t="str">
        <f ca="1">IFERROR(__xludf.DUMMYFUNCTION("""COMPUTED_VALUE"""),"MARISSA M. DELA CRUZ")</f>
        <v>MARISSA M. DELA CRUZ</v>
      </c>
      <c r="I1148" s="164" t="str">
        <f ca="1">IFERROR(__xludf.DUMMYFUNCTION("""COMPUTED_VALUE"""),"PROJECT PROCUREMENT COORDINATOR")</f>
        <v>PROJECT PROCUREMENT COORDINATOR</v>
      </c>
      <c r="J1148" s="164" t="str">
        <f ca="1">IFERROR(__xludf.DUMMYFUNCTION("""COMPUTED_VALUE"""),"PAR NO. 2023-05-005")</f>
        <v>PAR NO. 2023-05-005</v>
      </c>
      <c r="K1148" s="164" t="str">
        <f ca="1">IFERROR(__xludf.DUMMYFUNCTION("""COMPUTED_VALUE"""),"RACKY M. FRANCISCO")</f>
        <v>RACKY M. FRANCISCO</v>
      </c>
      <c r="L1148" s="164" t="str">
        <f ca="1">IFERROR(__xludf.DUMMYFUNCTION("""COMPUTED_VALUE"""),"STOD")</f>
        <v>STOD</v>
      </c>
      <c r="M1148" s="164" t="str">
        <f ca="1">IFERROR(__xludf.DUMMYFUNCTION("""COMPUTED_VALUE"""),"SERVICEABLE")</f>
        <v>SERVICEABLE</v>
      </c>
      <c r="N1148" s="164"/>
    </row>
    <row r="1149" spans="1:14" ht="13.2" hidden="1">
      <c r="A1149" s="164" t="str">
        <f ca="1">IFERROR(__xludf.DUMMYFUNCTION("""COMPUTED_VALUE"""),"Region II")</f>
        <v>Region II</v>
      </c>
      <c r="B1149" s="164" t="str">
        <f ca="1">IFERROR(__xludf.DUMMYFUNCTION("""COMPUTED_VALUE"""),"Regional Office")</f>
        <v>Regional Office</v>
      </c>
      <c r="C1149" s="164" t="str">
        <f ca="1">IFERROR(__xludf.DUMMYFUNCTION("""COMPUTED_VALUE"""),"Desktop Computer – (Lenovo M70T)")</f>
        <v>Desktop Computer – (Lenovo M70T)</v>
      </c>
      <c r="D1149" s="164" t="str">
        <f ca="1">IFERROR(__xludf.DUMMYFUNCTION("""COMPUTED_VALUE"""),"₱ 75,468.00")</f>
        <v>₱ 75,468.00</v>
      </c>
      <c r="E1149" s="164" t="str">
        <f ca="1">IFERROR(__xludf.DUMMYFUNCTION("""COMPUTED_VALUE"""),"₱ -")</f>
        <v>₱ -</v>
      </c>
      <c r="F1149" s="164" t="str">
        <f ca="1">IFERROR(__xludf.DUMMYFUNCTION("""COMPUTED_VALUE"""),"2023-05-03-10201SP683-01")</f>
        <v>2023-05-03-10201SP683-01</v>
      </c>
      <c r="G1149" s="164" t="str">
        <f ca="1">IFERROR(__xludf.DUMMYFUNCTION("""COMPUTED_VALUE"""),"1S11T5S16200GM02ZT98")</f>
        <v>1S11T5S16200GM02ZT98</v>
      </c>
      <c r="H1149" s="164" t="str">
        <f ca="1">IFERROR(__xludf.DUMMYFUNCTION("""COMPUTED_VALUE"""),"MAGNIFICA MELVIDA A. CAMAYANG")</f>
        <v>MAGNIFICA MELVIDA A. CAMAYANG</v>
      </c>
      <c r="I1149" s="164" t="str">
        <f ca="1">IFERROR(__xludf.DUMMYFUNCTION("""COMPUTED_VALUE"""),"PARCELIZATION COMPONENT COORDINATOR")</f>
        <v>PARCELIZATION COMPONENT COORDINATOR</v>
      </c>
      <c r="J1149" s="164" t="str">
        <f ca="1">IFERROR(__xludf.DUMMYFUNCTION("""COMPUTED_VALUE"""),"PAR NO. 2023-05-006")</f>
        <v>PAR NO. 2023-05-006</v>
      </c>
      <c r="K1149" s="164" t="str">
        <f ca="1">IFERROR(__xludf.DUMMYFUNCTION("""COMPUTED_VALUE"""),"KARYLLE FERNANDEZ")</f>
        <v>KARYLLE FERNANDEZ</v>
      </c>
      <c r="L1149" s="164" t="str">
        <f ca="1">IFERROR(__xludf.DUMMYFUNCTION("""COMPUTED_VALUE"""),"LTID")</f>
        <v>LTID</v>
      </c>
      <c r="M1149" s="164" t="str">
        <f ca="1">IFERROR(__xludf.DUMMYFUNCTION("""COMPUTED_VALUE"""),"SERVICEABLE")</f>
        <v>SERVICEABLE</v>
      </c>
      <c r="N1149" s="164"/>
    </row>
    <row r="1150" spans="1:14" ht="13.2" hidden="1">
      <c r="A1150" s="164" t="str">
        <f ca="1">IFERROR(__xludf.DUMMYFUNCTION("""COMPUTED_VALUE"""),"Region II")</f>
        <v>Region II</v>
      </c>
      <c r="B1150" s="164" t="str">
        <f ca="1">IFERROR(__xludf.DUMMYFUNCTION("""COMPUTED_VALUE"""),"Regional Office")</f>
        <v>Regional Office</v>
      </c>
      <c r="C1150" s="164" t="str">
        <f ca="1">IFERROR(__xludf.DUMMYFUNCTION("""COMPUTED_VALUE"""),"Desktop Computer – (Lenovo M70T)")</f>
        <v>Desktop Computer – (Lenovo M70T)</v>
      </c>
      <c r="D1150" s="164" t="str">
        <f ca="1">IFERROR(__xludf.DUMMYFUNCTION("""COMPUTED_VALUE"""),"₱ 75,468.00")</f>
        <v>₱ 75,468.00</v>
      </c>
      <c r="E1150" s="164" t="str">
        <f ca="1">IFERROR(__xludf.DUMMYFUNCTION("""COMPUTED_VALUE"""),"₱ -")</f>
        <v>₱ -</v>
      </c>
      <c r="F1150" s="164" t="str">
        <f ca="1">IFERROR(__xludf.DUMMYFUNCTION("""COMPUTED_VALUE"""),"2023-05-03-10201SP725-01")</f>
        <v>2023-05-03-10201SP725-01</v>
      </c>
      <c r="G1150" s="164" t="str">
        <f ca="1">IFERROR(__xludf.DUMMYFUNCTION("""COMPUTED_VALUE"""),"1S11T5S16200GM02ZT7F")</f>
        <v>1S11T5S16200GM02ZT7F</v>
      </c>
      <c r="H1150" s="164" t="str">
        <f ca="1">IFERROR(__xludf.DUMMYFUNCTION("""COMPUTED_VALUE"""),"JESS BETH G. QUIDASOL")</f>
        <v>JESS BETH G. QUIDASOL</v>
      </c>
      <c r="I1150" s="164" t="str">
        <f ca="1">IFERROR(__xludf.DUMMYFUNCTION("""COMPUTED_VALUE"""),"ASST. PROJECT MANAGER FOR OPERATIONS")</f>
        <v>ASST. PROJECT MANAGER FOR OPERATIONS</v>
      </c>
      <c r="J1150" s="164" t="str">
        <f ca="1">IFERROR(__xludf.DUMMYFUNCTION("""COMPUTED_VALUE"""),"PAR NO. 2025-02-001")</f>
        <v>PAR NO. 2025-02-001</v>
      </c>
      <c r="K1150" s="164" t="str">
        <f ca="1">IFERROR(__xludf.DUMMYFUNCTION("""COMPUTED_VALUE"""),"MA. DIANA VELASCO")</f>
        <v>MA. DIANA VELASCO</v>
      </c>
      <c r="L1150" s="164" t="str">
        <f ca="1">IFERROR(__xludf.DUMMYFUNCTION("""COMPUTED_VALUE"""),"OFFICE OF THE ARDO")</f>
        <v>OFFICE OF THE ARDO</v>
      </c>
      <c r="M1150" s="164" t="str">
        <f ca="1">IFERROR(__xludf.DUMMYFUNCTION("""COMPUTED_VALUE"""),"SERVICEABLE")</f>
        <v>SERVICEABLE</v>
      </c>
      <c r="N1150" s="164"/>
    </row>
    <row r="1151" spans="1:14" ht="13.2" hidden="1">
      <c r="A1151" s="164" t="str">
        <f ca="1">IFERROR(__xludf.DUMMYFUNCTION("""COMPUTED_VALUE"""),"Region II")</f>
        <v>Region II</v>
      </c>
      <c r="B1151" s="164" t="str">
        <f ca="1">IFERROR(__xludf.DUMMYFUNCTION("""COMPUTED_VALUE"""),"Regional Office")</f>
        <v>Regional Office</v>
      </c>
      <c r="C1151" s="164" t="str">
        <f ca="1">IFERROR(__xludf.DUMMYFUNCTION("""COMPUTED_VALUE"""),"Desktop Computer – (Lenovo M70T)")</f>
        <v>Desktop Computer – (Lenovo M70T)</v>
      </c>
      <c r="D1151" s="164" t="str">
        <f ca="1">IFERROR(__xludf.DUMMYFUNCTION("""COMPUTED_VALUE"""),"₱ 75,468.00")</f>
        <v>₱ 75,468.00</v>
      </c>
      <c r="E1151" s="164" t="str">
        <f ca="1">IFERROR(__xludf.DUMMYFUNCTION("""COMPUTED_VALUE"""),"₱ -")</f>
        <v>₱ -</v>
      </c>
      <c r="F1151" s="164" t="str">
        <f ca="1">IFERROR(__xludf.DUMMYFUNCTION("""COMPUTED_VALUE"""),"2023-05-03-10201SP729-01")</f>
        <v>2023-05-03-10201SP729-01</v>
      </c>
      <c r="G1151" s="164" t="str">
        <f ca="1">IFERROR(__xludf.DUMMYFUNCTION("""COMPUTED_VALUE"""),"1S11T5S16200GM02ZT9Q")</f>
        <v>1S11T5S16200GM02ZT9Q</v>
      </c>
      <c r="H1151" s="164" t="str">
        <f ca="1">IFERROR(__xludf.DUMMYFUNCTION("""COMPUTED_VALUE"""),"JENALYN F. BALEVA")</f>
        <v>JENALYN F. BALEVA</v>
      </c>
      <c r="I1151" s="164" t="str">
        <f ca="1">IFERROR(__xludf.DUMMYFUNCTION("""COMPUTED_VALUE"""),"ESS COORDINATOR")</f>
        <v>ESS COORDINATOR</v>
      </c>
      <c r="J1151" s="164" t="str">
        <f ca="1">IFERROR(__xludf.DUMMYFUNCTION("""COMPUTED_VALUE"""),"PAR NO. 2023-05-008")</f>
        <v>PAR NO. 2023-05-008</v>
      </c>
      <c r="K1151" s="164" t="str">
        <f ca="1">IFERROR(__xludf.DUMMYFUNCTION("""COMPUTED_VALUE"""),"MARISTELA A. PAGULAYAN")</f>
        <v>MARISTELA A. PAGULAYAN</v>
      </c>
      <c r="L1151" s="164" t="str">
        <f ca="1">IFERROR(__xludf.DUMMYFUNCTION("""COMPUTED_VALUE"""),"PBDD")</f>
        <v>PBDD</v>
      </c>
      <c r="M1151" s="164" t="str">
        <f ca="1">IFERROR(__xludf.DUMMYFUNCTION("""COMPUTED_VALUE"""),"SERVICEABLE")</f>
        <v>SERVICEABLE</v>
      </c>
      <c r="N1151" s="164"/>
    </row>
    <row r="1152" spans="1:14" ht="13.2" hidden="1">
      <c r="A1152" s="164" t="str">
        <f ca="1">IFERROR(__xludf.DUMMYFUNCTION("""COMPUTED_VALUE"""),"Region II")</f>
        <v>Region II</v>
      </c>
      <c r="B1152" s="164" t="str">
        <f ca="1">IFERROR(__xludf.DUMMYFUNCTION("""COMPUTED_VALUE"""),"Regional Office")</f>
        <v>Regional Office</v>
      </c>
      <c r="C1152" s="164" t="str">
        <f ca="1">IFERROR(__xludf.DUMMYFUNCTION("""COMPUTED_VALUE"""),"Desktop Computer – (Lenovo M70T)")</f>
        <v>Desktop Computer – (Lenovo M70T)</v>
      </c>
      <c r="D1152" s="164" t="str">
        <f ca="1">IFERROR(__xludf.DUMMYFUNCTION("""COMPUTED_VALUE"""),"₱ 75,468.00")</f>
        <v>₱ 75,468.00</v>
      </c>
      <c r="E1152" s="164" t="str">
        <f ca="1">IFERROR(__xludf.DUMMYFUNCTION("""COMPUTED_VALUE"""),"₱ -")</f>
        <v>₱ -</v>
      </c>
      <c r="F1152" s="164" t="str">
        <f ca="1">IFERROR(__xludf.DUMMYFUNCTION("""COMPUTED_VALUE"""),"2023-05-03-10201SP748-01")</f>
        <v>2023-05-03-10201SP748-01</v>
      </c>
      <c r="G1152" s="164" t="str">
        <f ca="1">IFERROR(__xludf.DUMMYFUNCTION("""COMPUTED_VALUE"""),"1S11T5S16200GM02ZT9A")</f>
        <v>1S11T5S16200GM02ZT9A</v>
      </c>
      <c r="H1152" s="164" t="str">
        <f ca="1">IFERROR(__xludf.DUMMYFUNCTION("""COMPUTED_VALUE"""),"ATTY. DENNIS L. JARAMILLA")</f>
        <v>ATTY. DENNIS L. JARAMILLA</v>
      </c>
      <c r="I1152" s="164" t="str">
        <f ca="1">IFERROR(__xludf.DUMMYFUNCTION("""COMPUTED_VALUE"""),"GRM COORDINATOR")</f>
        <v>GRM COORDINATOR</v>
      </c>
      <c r="J1152" s="164" t="str">
        <f ca="1">IFERROR(__xludf.DUMMYFUNCTION("""COMPUTED_VALUE"""),"PAR NO. 2025-02-002")</f>
        <v>PAR NO. 2025-02-002</v>
      </c>
      <c r="K1152" s="164" t="str">
        <f ca="1">IFERROR(__xludf.DUMMYFUNCTION("""COMPUTED_VALUE"""),"LUISA ACHANZAR")</f>
        <v>LUISA ACHANZAR</v>
      </c>
      <c r="L1152" s="164" t="str">
        <f ca="1">IFERROR(__xludf.DUMMYFUNCTION("""COMPUTED_VALUE"""),"DARAB")</f>
        <v>DARAB</v>
      </c>
      <c r="M1152" s="164" t="str">
        <f ca="1">IFERROR(__xludf.DUMMYFUNCTION("""COMPUTED_VALUE"""),"SERVICEABLE")</f>
        <v>SERVICEABLE</v>
      </c>
      <c r="N1152" s="164"/>
    </row>
    <row r="1153" spans="1:14" ht="13.2" hidden="1">
      <c r="A1153" s="164" t="str">
        <f ca="1">IFERROR(__xludf.DUMMYFUNCTION("""COMPUTED_VALUE"""),"Region II")</f>
        <v>Region II</v>
      </c>
      <c r="B1153" s="164" t="str">
        <f ca="1">IFERROR(__xludf.DUMMYFUNCTION("""COMPUTED_VALUE"""),"Regional Office")</f>
        <v>Regional Office</v>
      </c>
      <c r="C1153" s="164" t="str">
        <f ca="1">IFERROR(__xludf.DUMMYFUNCTION("""COMPUTED_VALUE"""),"Desktop Computer – (Lenovo M70T)")</f>
        <v>Desktop Computer – (Lenovo M70T)</v>
      </c>
      <c r="D1153" s="164" t="str">
        <f ca="1">IFERROR(__xludf.DUMMYFUNCTION("""COMPUTED_VALUE"""),"₱ 75,468.00")</f>
        <v>₱ 75,468.00</v>
      </c>
      <c r="E1153" s="164" t="str">
        <f ca="1">IFERROR(__xludf.DUMMYFUNCTION("""COMPUTED_VALUE"""),"₱ -")</f>
        <v>₱ -</v>
      </c>
      <c r="F1153" s="164" t="str">
        <f ca="1">IFERROR(__xludf.DUMMYFUNCTION("""COMPUTED_VALUE"""),"2023-05-03-10201SP714-01")</f>
        <v>2023-05-03-10201SP714-01</v>
      </c>
      <c r="G1153" s="164" t="str">
        <f ca="1">IFERROR(__xludf.DUMMYFUNCTION("""COMPUTED_VALUE"""),"1S11T5S16200GM02ZT9S")</f>
        <v>1S11T5S16200GM02ZT9S</v>
      </c>
      <c r="H1153" s="164" t="str">
        <f ca="1">IFERROR(__xludf.DUMMYFUNCTION("""COMPUTED_VALUE"""),"GORPREATH T. KAILA")</f>
        <v>GORPREATH T. KAILA</v>
      </c>
      <c r="I1153" s="164" t="str">
        <f ca="1">IFERROR(__xludf.DUMMYFUNCTION("""COMPUTED_VALUE"""),"MIS COORDINATOR")</f>
        <v>MIS COORDINATOR</v>
      </c>
      <c r="J1153" s="164" t="str">
        <f ca="1">IFERROR(__xludf.DUMMYFUNCTION("""COMPUTED_VALUE"""),"PAR NO. 2023-05-010")</f>
        <v>PAR NO. 2023-05-010</v>
      </c>
      <c r="K1153" s="164" t="str">
        <f ca="1">IFERROR(__xludf.DUMMYFUNCTION("""COMPUTED_VALUE"""),"RYAN CHRITIAN T. ALVIAR")</f>
        <v>RYAN CHRITIAN T. ALVIAR</v>
      </c>
      <c r="L1153" s="164" t="str">
        <f ca="1">IFERROR(__xludf.DUMMYFUNCTION("""COMPUTED_VALUE"""),"SPLIT")</f>
        <v>SPLIT</v>
      </c>
      <c r="M1153" s="164" t="str">
        <f ca="1">IFERROR(__xludf.DUMMYFUNCTION("""COMPUTED_VALUE"""),"SERVICEABLE")</f>
        <v>SERVICEABLE</v>
      </c>
      <c r="N1153" s="164"/>
    </row>
    <row r="1154" spans="1:14" ht="13.2" hidden="1">
      <c r="A1154" s="164" t="str">
        <f ca="1">IFERROR(__xludf.DUMMYFUNCTION("""COMPUTED_VALUE"""),"Region II")</f>
        <v>Region II</v>
      </c>
      <c r="B1154" s="164" t="str">
        <f ca="1">IFERROR(__xludf.DUMMYFUNCTION("""COMPUTED_VALUE"""),"Regional Office")</f>
        <v>Regional Office</v>
      </c>
      <c r="C1154" s="164" t="str">
        <f ca="1">IFERROR(__xludf.DUMMYFUNCTION("""COMPUTED_VALUE"""),"Desktop Computer – (Lenovo M70T)")</f>
        <v>Desktop Computer – (Lenovo M70T)</v>
      </c>
      <c r="D1154" s="164" t="str">
        <f ca="1">IFERROR(__xludf.DUMMYFUNCTION("""COMPUTED_VALUE"""),"₱ 75,468.00")</f>
        <v>₱ 75,468.00</v>
      </c>
      <c r="E1154" s="164" t="str">
        <f ca="1">IFERROR(__xludf.DUMMYFUNCTION("""COMPUTED_VALUE"""),"₱ -")</f>
        <v>₱ -</v>
      </c>
      <c r="F1154" s="164" t="str">
        <f ca="1">IFERROR(__xludf.DUMMYFUNCTION("""COMPUTED_VALUE"""),"2023-05-03-10201SP685-01")</f>
        <v>2023-05-03-10201SP685-01</v>
      </c>
      <c r="G1154" s="164" t="str">
        <f ca="1">IFERROR(__xludf.DUMMYFUNCTION("""COMPUTED_VALUE"""),"1S11T5S16200GM02ZT8H")</f>
        <v>1S11T5S16200GM02ZT8H</v>
      </c>
      <c r="H1154" s="164" t="str">
        <f ca="1">IFERROR(__xludf.DUMMYFUNCTION("""COMPUTED_VALUE"""),"JOSEPHINE S. LADDARAN")</f>
        <v>JOSEPHINE S. LADDARAN</v>
      </c>
      <c r="I1154" s="164" t="str">
        <f ca="1">IFERROR(__xludf.DUMMYFUNCTION("""COMPUTED_VALUE"""),"PROJECT ACCOUNTANT")</f>
        <v>PROJECT ACCOUNTANT</v>
      </c>
      <c r="J1154" s="164" t="str">
        <f ca="1">IFERROR(__xludf.DUMMYFUNCTION("""COMPUTED_VALUE"""),"PAR NO. 2023-05-011")</f>
        <v>PAR NO. 2023-05-011</v>
      </c>
      <c r="K1154" s="164" t="str">
        <f ca="1">IFERROR(__xludf.DUMMYFUNCTION("""COMPUTED_VALUE"""),"KIEL KERBEE B. CALIGUIRAN")</f>
        <v>KIEL KERBEE B. CALIGUIRAN</v>
      </c>
      <c r="L1154" s="164" t="str">
        <f ca="1">IFERROR(__xludf.DUMMYFUNCTION("""COMPUTED_VALUE"""),"SPLIT")</f>
        <v>SPLIT</v>
      </c>
      <c r="M1154" s="164" t="str">
        <f ca="1">IFERROR(__xludf.DUMMYFUNCTION("""COMPUTED_VALUE"""),"SERVICEABLE")</f>
        <v>SERVICEABLE</v>
      </c>
      <c r="N1154" s="164"/>
    </row>
    <row r="1155" spans="1:14" ht="13.2" hidden="1">
      <c r="A1155" s="164" t="str">
        <f ca="1">IFERROR(__xludf.DUMMYFUNCTION("""COMPUTED_VALUE"""),"Region II")</f>
        <v>Region II</v>
      </c>
      <c r="B1155" s="164" t="str">
        <f ca="1">IFERROR(__xludf.DUMMYFUNCTION("""COMPUTED_VALUE"""),"Regional Office")</f>
        <v>Regional Office</v>
      </c>
      <c r="C1155" s="164" t="str">
        <f ca="1">IFERROR(__xludf.DUMMYFUNCTION("""COMPUTED_VALUE"""),"Desktop Computer – (Lenovo M70T)")</f>
        <v>Desktop Computer – (Lenovo M70T)</v>
      </c>
      <c r="D1155" s="164" t="str">
        <f ca="1">IFERROR(__xludf.DUMMYFUNCTION("""COMPUTED_VALUE"""),"₱ 75,468.00")</f>
        <v>₱ 75,468.00</v>
      </c>
      <c r="E1155" s="164" t="str">
        <f ca="1">IFERROR(__xludf.DUMMYFUNCTION("""COMPUTED_VALUE"""),"₱ -")</f>
        <v>₱ -</v>
      </c>
      <c r="F1155" s="164" t="str">
        <f ca="1">IFERROR(__xludf.DUMMYFUNCTION("""COMPUTED_VALUE"""),"2023-05-03-10201SP754-01")</f>
        <v>2023-05-03-10201SP754-01</v>
      </c>
      <c r="G1155" s="164" t="str">
        <f ca="1">IFERROR(__xludf.DUMMYFUNCTION("""COMPUTED_VALUE"""),"1S11T5S16200GM02ZT88")</f>
        <v>1S11T5S16200GM02ZT88</v>
      </c>
      <c r="H1155" s="164" t="str">
        <f ca="1">IFERROR(__xludf.DUMMYFUNCTION("""COMPUTED_VALUE"""),"ATTY. ERNESTO B. ACORDA")</f>
        <v>ATTY. ERNESTO B. ACORDA</v>
      </c>
      <c r="I1155" s="164" t="str">
        <f ca="1">IFERROR(__xludf.DUMMYFUNCTION("""COMPUTED_VALUE"""),"LEGAL COORDINATOR")</f>
        <v>LEGAL COORDINATOR</v>
      </c>
      <c r="J1155" s="164" t="str">
        <f ca="1">IFERROR(__xludf.DUMMYFUNCTION("""COMPUTED_VALUE"""),"PAR NO. 2025-02-003")</f>
        <v>PAR NO. 2025-02-003</v>
      </c>
      <c r="K1155" s="164" t="str">
        <f ca="1">IFERROR(__xludf.DUMMYFUNCTION("""COMPUTED_VALUE"""),"GLAESAN G. ADRIANO-QUILANG")</f>
        <v>GLAESAN G. ADRIANO-QUILANG</v>
      </c>
      <c r="L1155" s="164" t="str">
        <f ca="1">IFERROR(__xludf.DUMMYFUNCTION("""COMPUTED_VALUE"""),"SPLIT")</f>
        <v>SPLIT</v>
      </c>
      <c r="M1155" s="164" t="str">
        <f ca="1">IFERROR(__xludf.DUMMYFUNCTION("""COMPUTED_VALUE"""),"SERVICEABLE")</f>
        <v>SERVICEABLE</v>
      </c>
      <c r="N1155" s="164"/>
    </row>
    <row r="1156" spans="1:14" ht="13.2" hidden="1">
      <c r="A1156" s="164" t="str">
        <f ca="1">IFERROR(__xludf.DUMMYFUNCTION("""COMPUTED_VALUE"""),"Region II")</f>
        <v>Region II</v>
      </c>
      <c r="B1156" s="164" t="str">
        <f ca="1">IFERROR(__xludf.DUMMYFUNCTION("""COMPUTED_VALUE"""),"Regional Office")</f>
        <v>Regional Office</v>
      </c>
      <c r="C1156" s="164" t="str">
        <f ca="1">IFERROR(__xludf.DUMMYFUNCTION("""COMPUTED_VALUE"""),"Desktop Computer – (Lenovo M70T)")</f>
        <v>Desktop Computer – (Lenovo M70T)</v>
      </c>
      <c r="D1156" s="164" t="str">
        <f ca="1">IFERROR(__xludf.DUMMYFUNCTION("""COMPUTED_VALUE"""),"₱ 75,468.00")</f>
        <v>₱ 75,468.00</v>
      </c>
      <c r="E1156" s="164" t="str">
        <f ca="1">IFERROR(__xludf.DUMMYFUNCTION("""COMPUTED_VALUE"""),"₱ -")</f>
        <v>₱ -</v>
      </c>
      <c r="F1156" s="164" t="str">
        <f ca="1">IFERROR(__xludf.DUMMYFUNCTION("""COMPUTED_VALUE"""),"2023-05-03-10201SP673-01")</f>
        <v>2023-05-03-10201SP673-01</v>
      </c>
      <c r="G1156" s="164" t="str">
        <f ca="1">IFERROR(__xludf.DUMMYFUNCTION("""COMPUTED_VALUE"""),"1S11T5S16200GM02ZT7V")</f>
        <v>1S11T5S16200GM02ZT7V</v>
      </c>
      <c r="H1156" s="164" t="str">
        <f ca="1">IFERROR(__xludf.DUMMYFUNCTION("""COMPUTED_VALUE"""),"MA. ANNETTE L. ROMANO")</f>
        <v>MA. ANNETTE L. ROMANO</v>
      </c>
      <c r="I1156" s="164" t="str">
        <f ca="1">IFERROR(__xludf.DUMMYFUNCTION("""COMPUTED_VALUE"""),"ADMIN, FINANCE &amp; CBTA COORDINATOR")</f>
        <v>ADMIN, FINANCE &amp; CBTA COORDINATOR</v>
      </c>
      <c r="J1156" s="164" t="str">
        <f ca="1">IFERROR(__xludf.DUMMYFUNCTION("""COMPUTED_VALUE"""),"PAR NO. 2025-08-009")</f>
        <v>PAR NO. 2025-08-009</v>
      </c>
      <c r="K1156" s="164" t="str">
        <f ca="1">IFERROR(__xludf.DUMMYFUNCTION("""COMPUTED_VALUE"""),"ALVIN LOYD D. RAMOS")</f>
        <v>ALVIN LOYD D. RAMOS</v>
      </c>
      <c r="L1156" s="164" t="str">
        <f ca="1">IFERROR(__xludf.DUMMYFUNCTION("""COMPUTED_VALUE"""),"SPLIT")</f>
        <v>SPLIT</v>
      </c>
      <c r="M1156" s="164" t="str">
        <f ca="1">IFERROR(__xludf.DUMMYFUNCTION("""COMPUTED_VALUE"""),"SERVICEABLE")</f>
        <v>SERVICEABLE</v>
      </c>
      <c r="N1156" s="164"/>
    </row>
    <row r="1157" spans="1:14" ht="13.2" hidden="1">
      <c r="A1157" s="164" t="str">
        <f ca="1">IFERROR(__xludf.DUMMYFUNCTION("""COMPUTED_VALUE"""),"Region II")</f>
        <v>Region II</v>
      </c>
      <c r="B1157" s="164" t="str">
        <f ca="1">IFERROR(__xludf.DUMMYFUNCTION("""COMPUTED_VALUE"""),"Regional Office")</f>
        <v>Regional Office</v>
      </c>
      <c r="C1157" s="164" t="str">
        <f ca="1">IFERROR(__xludf.DUMMYFUNCTION("""COMPUTED_VALUE"""),"Desktop Computer – (Lenovo M70T)")</f>
        <v>Desktop Computer – (Lenovo M70T)</v>
      </c>
      <c r="D1157" s="164" t="str">
        <f ca="1">IFERROR(__xludf.DUMMYFUNCTION("""COMPUTED_VALUE"""),"₱ 75,468.00")</f>
        <v>₱ 75,468.00</v>
      </c>
      <c r="E1157" s="164" t="str">
        <f ca="1">IFERROR(__xludf.DUMMYFUNCTION("""COMPUTED_VALUE"""),"₱ -")</f>
        <v>₱ -</v>
      </c>
      <c r="F1157" s="164" t="str">
        <f ca="1">IFERROR(__xludf.DUMMYFUNCTION("""COMPUTED_VALUE"""),"2023-05-03-10201SP701-01")</f>
        <v>2023-05-03-10201SP701-01</v>
      </c>
      <c r="G1157" s="164" t="str">
        <f ca="1">IFERROR(__xludf.DUMMYFUNCTION("""COMPUTED_VALUE"""),"1S11T5S16200GM02ZT8K")</f>
        <v>1S11T5S16200GM02ZT8K</v>
      </c>
      <c r="H1157" s="164" t="str">
        <f ca="1">IFERROR(__xludf.DUMMYFUNCTION("""COMPUTED_VALUE"""),"MAGNIFICA MELVIDA A. CAMAYANG")</f>
        <v>MAGNIFICA MELVIDA A. CAMAYANG</v>
      </c>
      <c r="I1157" s="164" t="str">
        <f ca="1">IFERROR(__xludf.DUMMYFUNCTION("""COMPUTED_VALUE"""),"PARCELIZATION COMPONENT &amp; FVT COORDINATOR")</f>
        <v>PARCELIZATION COMPONENT &amp; FVT COORDINATOR</v>
      </c>
      <c r="J1157" s="164" t="str">
        <f ca="1">IFERROR(__xludf.DUMMYFUNCTION("""COMPUTED_VALUE"""),"PAR NO. 2025-08-012")</f>
        <v>PAR NO. 2025-08-012</v>
      </c>
      <c r="K1157" s="164" t="str">
        <f ca="1">IFERROR(__xludf.DUMMYFUNCTION("""COMPUTED_VALUE"""),"CHRISTINE JOYCE DELGADO")</f>
        <v>CHRISTINE JOYCE DELGADO</v>
      </c>
      <c r="L1157" s="164" t="str">
        <f ca="1">IFERROR(__xludf.DUMMYFUNCTION("""COMPUTED_VALUE"""),"LTID")</f>
        <v>LTID</v>
      </c>
      <c r="M1157" s="164" t="str">
        <f ca="1">IFERROR(__xludf.DUMMYFUNCTION("""COMPUTED_VALUE"""),"SERVICEABLE")</f>
        <v>SERVICEABLE</v>
      </c>
      <c r="N1157" s="164"/>
    </row>
    <row r="1158" spans="1:14" ht="13.2" hidden="1">
      <c r="A1158" s="164" t="str">
        <f ca="1">IFERROR(__xludf.DUMMYFUNCTION("""COMPUTED_VALUE"""),"Region II")</f>
        <v>Region II</v>
      </c>
      <c r="B1158" s="164" t="str">
        <f ca="1">IFERROR(__xludf.DUMMYFUNCTION("""COMPUTED_VALUE"""),"Regional Office")</f>
        <v>Regional Office</v>
      </c>
      <c r="C1158" s="164" t="str">
        <f ca="1">IFERROR(__xludf.DUMMYFUNCTION("""COMPUTED_VALUE"""),"Desktop Computer – (Lenovo M70T)")</f>
        <v>Desktop Computer – (Lenovo M70T)</v>
      </c>
      <c r="D1158" s="164" t="str">
        <f ca="1">IFERROR(__xludf.DUMMYFUNCTION("""COMPUTED_VALUE"""),"₱ 75,468.00")</f>
        <v>₱ 75,468.00</v>
      </c>
      <c r="E1158" s="164" t="str">
        <f ca="1">IFERROR(__xludf.DUMMYFUNCTION("""COMPUTED_VALUE"""),"₱ -")</f>
        <v>₱ -</v>
      </c>
      <c r="F1158" s="164" t="str">
        <f ca="1">IFERROR(__xludf.DUMMYFUNCTION("""COMPUTED_VALUE"""),"2023-05-03-10201SP676-01")</f>
        <v>2023-05-03-10201SP676-01</v>
      </c>
      <c r="G1158" s="164" t="str">
        <f ca="1">IFERROR(__xludf.DUMMYFUNCTION("""COMPUTED_VALUE"""),"1S11T5S16200GM02ZT7M")</f>
        <v>1S11T5S16200GM02ZT7M</v>
      </c>
      <c r="H1158" s="164" t="str">
        <f ca="1">IFERROR(__xludf.DUMMYFUNCTION("""COMPUTED_VALUE"""),"ATTY. ERNESTO B. ACORDA")</f>
        <v>ATTY. ERNESTO B. ACORDA</v>
      </c>
      <c r="I1158" s="164" t="str">
        <f ca="1">IFERROR(__xludf.DUMMYFUNCTION("""COMPUTED_VALUE"""),"LEGAL COORDINATOR")</f>
        <v>LEGAL COORDINATOR</v>
      </c>
      <c r="J1158" s="164" t="str">
        <f ca="1">IFERROR(__xludf.DUMMYFUNCTION("""COMPUTED_VALUE"""),"PAR NO. 2025-02-004")</f>
        <v>PAR NO. 2025-02-004</v>
      </c>
      <c r="K1158" s="164" t="str">
        <f ca="1">IFERROR(__xludf.DUMMYFUNCTION("""COMPUTED_VALUE"""),"CHARLES GUIRA")</f>
        <v>CHARLES GUIRA</v>
      </c>
      <c r="L1158" s="164" t="str">
        <f ca="1">IFERROR(__xludf.DUMMYFUNCTION("""COMPUTED_VALUE"""),"SPLIT")</f>
        <v>SPLIT</v>
      </c>
      <c r="M1158" s="164" t="str">
        <f ca="1">IFERROR(__xludf.DUMMYFUNCTION("""COMPUTED_VALUE"""),"SERVICEABLE")</f>
        <v>SERVICEABLE</v>
      </c>
      <c r="N1158" s="164"/>
    </row>
    <row r="1159" spans="1:14" ht="13.2" hidden="1">
      <c r="A1159" s="164" t="str">
        <f ca="1">IFERROR(__xludf.DUMMYFUNCTION("""COMPUTED_VALUE"""),"Region II")</f>
        <v>Region II</v>
      </c>
      <c r="B1159" s="164" t="str">
        <f ca="1">IFERROR(__xludf.DUMMYFUNCTION("""COMPUTED_VALUE"""),"Regional Office")</f>
        <v>Regional Office</v>
      </c>
      <c r="C1159" s="164" t="str">
        <f ca="1">IFERROR(__xludf.DUMMYFUNCTION("""COMPUTED_VALUE"""),"Desktop Computer – (HP Pro SFF 280G9)")</f>
        <v>Desktop Computer – (HP Pro SFF 280G9)</v>
      </c>
      <c r="D1159" s="164" t="str">
        <f ca="1">IFERROR(__xludf.DUMMYFUNCTION("""COMPUTED_VALUE"""),"₱ 78,898.00")</f>
        <v>₱ 78,898.00</v>
      </c>
      <c r="E1159" s="164" t="str">
        <f ca="1">IFERROR(__xludf.DUMMYFUNCTION("""COMPUTED_VALUE"""),"₱ -")</f>
        <v>₱ -</v>
      </c>
      <c r="F1159" s="164" t="str">
        <f ca="1">IFERROR(__xludf.DUMMYFUNCTION("""COMPUTED_VALUE"""),"2023-05-03-10201SP196-01")</f>
        <v>2023-05-03-10201SP196-01</v>
      </c>
      <c r="G1159" s="164" t="str">
        <f ca="1">IFERROR(__xludf.DUMMYFUNCTION("""COMPUTED_VALUE"""),"0")</f>
        <v>0</v>
      </c>
      <c r="H1159" s="164" t="str">
        <f ca="1">IFERROR(__xludf.DUMMYFUNCTION("""COMPUTED_VALUE"""),"ATTY. ERNESTO B. ACORDA")</f>
        <v>ATTY. ERNESTO B. ACORDA</v>
      </c>
      <c r="I1159" s="164" t="str">
        <f ca="1">IFERROR(__xludf.DUMMYFUNCTION("""COMPUTED_VALUE"""),"LEGAL COORDINATOR")</f>
        <v>LEGAL COORDINATOR</v>
      </c>
      <c r="J1159" s="164" t="str">
        <f ca="1">IFERROR(__xludf.DUMMYFUNCTION("""COMPUTED_VALUE"""),"PAR NO. 2025-05-002")</f>
        <v>PAR NO. 2025-05-002</v>
      </c>
      <c r="K1159" s="164" t="str">
        <f ca="1">IFERROR(__xludf.DUMMYFUNCTION("""COMPUTED_VALUE"""),"HERTZCHEE TARANGCO")</f>
        <v>HERTZCHEE TARANGCO</v>
      </c>
      <c r="L1159" s="164" t="str">
        <f ca="1">IFERROR(__xludf.DUMMYFUNCTION("""COMPUTED_VALUE"""),"SPLIT")</f>
        <v>SPLIT</v>
      </c>
      <c r="M1159" s="164" t="str">
        <f ca="1">IFERROR(__xludf.DUMMYFUNCTION("""COMPUTED_VALUE"""),"SERVICEABLE")</f>
        <v>SERVICEABLE</v>
      </c>
      <c r="N1159" s="164"/>
    </row>
    <row r="1160" spans="1:14" ht="13.2" hidden="1">
      <c r="A1160" s="164" t="str">
        <f ca="1">IFERROR(__xludf.DUMMYFUNCTION("""COMPUTED_VALUE"""),"Region II")</f>
        <v>Region II</v>
      </c>
      <c r="B1160" s="164" t="str">
        <f ca="1">IFERROR(__xludf.DUMMYFUNCTION("""COMPUTED_VALUE"""),"Regional Office")</f>
        <v>Regional Office</v>
      </c>
      <c r="C1160" s="164" t="str">
        <f ca="1">IFERROR(__xludf.DUMMYFUNCTION("""COMPUTED_VALUE"""),"Desktop Computer – (HP Pro SFF 280G9)")</f>
        <v>Desktop Computer – (HP Pro SFF 280G9)</v>
      </c>
      <c r="D1160" s="164" t="str">
        <f ca="1">IFERROR(__xludf.DUMMYFUNCTION("""COMPUTED_VALUE"""),"₱ 78,898.00")</f>
        <v>₱ 78,898.00</v>
      </c>
      <c r="E1160" s="164" t="str">
        <f ca="1">IFERROR(__xludf.DUMMYFUNCTION("""COMPUTED_VALUE"""),"₱ -")</f>
        <v>₱ -</v>
      </c>
      <c r="F1160" s="164" t="str">
        <f ca="1">IFERROR(__xludf.DUMMYFUNCTION("""COMPUTED_VALUE"""),"2023-05-03-10201SP197-01")</f>
        <v>2023-05-03-10201SP197-01</v>
      </c>
      <c r="G1160" s="164" t="str">
        <f ca="1">IFERROR(__xludf.DUMMYFUNCTION("""COMPUTED_VALUE"""),"0")</f>
        <v>0</v>
      </c>
      <c r="H1160" s="164" t="str">
        <f ca="1">IFERROR(__xludf.DUMMYFUNCTION("""COMPUTED_VALUE"""),"GORPREATH T. KAILA")</f>
        <v>GORPREATH T. KAILA</v>
      </c>
      <c r="I1160" s="164" t="str">
        <f ca="1">IFERROR(__xludf.DUMMYFUNCTION("""COMPUTED_VALUE"""),"MIS COORDINATOR")</f>
        <v>MIS COORDINATOR</v>
      </c>
      <c r="J1160" s="164" t="str">
        <f ca="1">IFERROR(__xludf.DUMMYFUNCTION("""COMPUTED_VALUE"""),"PAR NO. 2023-11-007")</f>
        <v>PAR NO. 2023-11-007</v>
      </c>
      <c r="K1160" s="164" t="str">
        <f ca="1">IFERROR(__xludf.DUMMYFUNCTION("""COMPUTED_VALUE"""),"RYAN CHRISTIAN T. ALVIAR")</f>
        <v>RYAN CHRISTIAN T. ALVIAR</v>
      </c>
      <c r="L1160" s="164" t="str">
        <f ca="1">IFERROR(__xludf.DUMMYFUNCTION("""COMPUTED_VALUE"""),"SPLIT")</f>
        <v>SPLIT</v>
      </c>
      <c r="M1160" s="164" t="str">
        <f ca="1">IFERROR(__xludf.DUMMYFUNCTION("""COMPUTED_VALUE"""),"SERVICEABLE")</f>
        <v>SERVICEABLE</v>
      </c>
      <c r="N1160" s="164"/>
    </row>
    <row r="1161" spans="1:14" ht="13.2" hidden="1">
      <c r="A1161" s="164" t="str">
        <f ca="1">IFERROR(__xludf.DUMMYFUNCTION("""COMPUTED_VALUE"""),"Region II")</f>
        <v>Region II</v>
      </c>
      <c r="B1161" s="164" t="str">
        <f ca="1">IFERROR(__xludf.DUMMYFUNCTION("""COMPUTED_VALUE"""),"Regional Office")</f>
        <v>Regional Office</v>
      </c>
      <c r="C1161" s="164" t="str">
        <f ca="1">IFERROR(__xludf.DUMMYFUNCTION("""COMPUTED_VALUE"""),"Desktop Computer – (HP Pro SFF 280G9)")</f>
        <v>Desktop Computer – (HP Pro SFF 280G9)</v>
      </c>
      <c r="D1161" s="164" t="str">
        <f ca="1">IFERROR(__xludf.DUMMYFUNCTION("""COMPUTED_VALUE"""),"₱ 78,898.00")</f>
        <v>₱ 78,898.00</v>
      </c>
      <c r="E1161" s="164" t="str">
        <f ca="1">IFERROR(__xludf.DUMMYFUNCTION("""COMPUTED_VALUE"""),"₱ -")</f>
        <v>₱ -</v>
      </c>
      <c r="F1161" s="164" t="str">
        <f ca="1">IFERROR(__xludf.DUMMYFUNCTION("""COMPUTED_VALUE"""),"2023-05-03-10201SP193-01")</f>
        <v>2023-05-03-10201SP193-01</v>
      </c>
      <c r="G1161" s="164" t="str">
        <f ca="1">IFERROR(__xludf.DUMMYFUNCTION("""COMPUTED_VALUE"""),"0")</f>
        <v>0</v>
      </c>
      <c r="H1161" s="164" t="str">
        <f ca="1">IFERROR(__xludf.DUMMYFUNCTION("""COMPUTED_VALUE"""),"ATTY. ERNESTO B. ACORDA")</f>
        <v>ATTY. ERNESTO B. ACORDA</v>
      </c>
      <c r="I1161" s="164" t="str">
        <f ca="1">IFERROR(__xludf.DUMMYFUNCTION("""COMPUTED_VALUE"""),"LEGAL COORDINATOR")</f>
        <v>LEGAL COORDINATOR</v>
      </c>
      <c r="J1161" s="164" t="str">
        <f ca="1">IFERROR(__xludf.DUMMYFUNCTION("""COMPUTED_VALUE"""),"PAR NO. 2025-05-001")</f>
        <v>PAR NO. 2025-05-001</v>
      </c>
      <c r="K1161" s="164" t="str">
        <f ca="1">IFERROR(__xludf.DUMMYFUNCTION("""COMPUTED_VALUE"""),"JEREMAE T. MACABANGUN")</f>
        <v>JEREMAE T. MACABANGUN</v>
      </c>
      <c r="L1161" s="164" t="str">
        <f ca="1">IFERROR(__xludf.DUMMYFUNCTION("""COMPUTED_VALUE"""),"LEGAL DIVISION")</f>
        <v>LEGAL DIVISION</v>
      </c>
      <c r="M1161" s="164" t="str">
        <f ca="1">IFERROR(__xludf.DUMMYFUNCTION("""COMPUTED_VALUE"""),"SERVICEABLE")</f>
        <v>SERVICEABLE</v>
      </c>
      <c r="N1161" s="164"/>
    </row>
    <row r="1162" spans="1:14" ht="13.2" hidden="1">
      <c r="A1162" s="164" t="str">
        <f ca="1">IFERROR(__xludf.DUMMYFUNCTION("""COMPUTED_VALUE"""),"Region II")</f>
        <v>Region II</v>
      </c>
      <c r="B1162" s="164" t="str">
        <f ca="1">IFERROR(__xludf.DUMMYFUNCTION("""COMPUTED_VALUE"""),"Regional Office")</f>
        <v>Regional Office</v>
      </c>
      <c r="C1162" s="164" t="str">
        <f ca="1">IFERROR(__xludf.DUMMYFUNCTION("""COMPUTED_VALUE"""),"Desktop Computer – (HP Pro SFF 280G9)")</f>
        <v>Desktop Computer – (HP Pro SFF 280G9)</v>
      </c>
      <c r="D1162" s="164" t="str">
        <f ca="1">IFERROR(__xludf.DUMMYFUNCTION("""COMPUTED_VALUE"""),"₱ 78,898.00")</f>
        <v>₱ 78,898.00</v>
      </c>
      <c r="E1162" s="164" t="str">
        <f ca="1">IFERROR(__xludf.DUMMYFUNCTION("""COMPUTED_VALUE"""),"₱ -")</f>
        <v>₱ -</v>
      </c>
      <c r="F1162" s="164" t="str">
        <f ca="1">IFERROR(__xludf.DUMMYFUNCTION("""COMPUTED_VALUE"""),"2023-05-03-10201SP194-01")</f>
        <v>2023-05-03-10201SP194-01</v>
      </c>
      <c r="G1162" s="164" t="str">
        <f ca="1">IFERROR(__xludf.DUMMYFUNCTION("""COMPUTED_VALUE"""),"0")</f>
        <v>0</v>
      </c>
      <c r="H1162" s="164" t="str">
        <f ca="1">IFERROR(__xludf.DUMMYFUNCTION("""COMPUTED_VALUE"""),"ENGR. RODERICK ESCOBAR")</f>
        <v>ENGR. RODERICK ESCOBAR</v>
      </c>
      <c r="I1162" s="164" t="str">
        <f ca="1">IFERROR(__xludf.DUMMYFUNCTION("""COMPUTED_VALUE"""),"DENR/SURVEY/LRA COORDINATOR")</f>
        <v>DENR/SURVEY/LRA COORDINATOR</v>
      </c>
      <c r="J1162" s="164" t="str">
        <f ca="1">IFERROR(__xludf.DUMMYFUNCTION("""COMPUTED_VALUE"""),"PAR NO. 2025-05-004")</f>
        <v>PAR NO. 2025-05-004</v>
      </c>
      <c r="K1162" s="164" t="str">
        <f ca="1">IFERROR(__xludf.DUMMYFUNCTION("""COMPUTED_VALUE"""),"JEFREY BANAG")</f>
        <v>JEFREY BANAG</v>
      </c>
      <c r="L1162" s="164" t="str">
        <f ca="1">IFERROR(__xludf.DUMMYFUNCTION("""COMPUTED_VALUE"""),"LTID")</f>
        <v>LTID</v>
      </c>
      <c r="M1162" s="164" t="str">
        <f ca="1">IFERROR(__xludf.DUMMYFUNCTION("""COMPUTED_VALUE"""),"SERVICEABLE")</f>
        <v>SERVICEABLE</v>
      </c>
      <c r="N1162" s="164"/>
    </row>
    <row r="1163" spans="1:14" ht="13.2" hidden="1">
      <c r="A1163" s="164" t="str">
        <f ca="1">IFERROR(__xludf.DUMMYFUNCTION("""COMPUTED_VALUE"""),"Region II")</f>
        <v>Region II</v>
      </c>
      <c r="B1163" s="164" t="str">
        <f ca="1">IFERROR(__xludf.DUMMYFUNCTION("""COMPUTED_VALUE"""),"Regional Office")</f>
        <v>Regional Office</v>
      </c>
      <c r="C1163" s="164" t="str">
        <f ca="1">IFERROR(__xludf.DUMMYFUNCTION("""COMPUTED_VALUE"""),"Desktop Computer – (HP Pro SFF 280G9)")</f>
        <v>Desktop Computer – (HP Pro SFF 280G9)</v>
      </c>
      <c r="D1163" s="164" t="str">
        <f ca="1">IFERROR(__xludf.DUMMYFUNCTION("""COMPUTED_VALUE"""),"₱ 78,898.00")</f>
        <v>₱ 78,898.00</v>
      </c>
      <c r="E1163" s="164" t="str">
        <f ca="1">IFERROR(__xludf.DUMMYFUNCTION("""COMPUTED_VALUE"""),"₱ -")</f>
        <v>₱ -</v>
      </c>
      <c r="F1163" s="164" t="str">
        <f ca="1">IFERROR(__xludf.DUMMYFUNCTION("""COMPUTED_VALUE"""),"2023-05-03-10201SP195-01")</f>
        <v>2023-05-03-10201SP195-01</v>
      </c>
      <c r="G1163" s="164" t="str">
        <f ca="1">IFERROR(__xludf.DUMMYFUNCTION("""COMPUTED_VALUE"""),"0")</f>
        <v>0</v>
      </c>
      <c r="H1163" s="164" t="str">
        <f ca="1">IFERROR(__xludf.DUMMYFUNCTION("""COMPUTED_VALUE"""),"GORPREATH T. KAILA")</f>
        <v>GORPREATH T. KAILA</v>
      </c>
      <c r="I1163" s="164" t="str">
        <f ca="1">IFERROR(__xludf.DUMMYFUNCTION("""COMPUTED_VALUE"""),"MIS COORDINATOR")</f>
        <v>MIS COORDINATOR</v>
      </c>
      <c r="J1163" s="164" t="str">
        <f ca="1">IFERROR(__xludf.DUMMYFUNCTION("""COMPUTED_VALUE"""),"PAR NO. 2023-09-025")</f>
        <v>PAR NO. 2023-09-025</v>
      </c>
      <c r="K1163" s="164" t="str">
        <f ca="1">IFERROR(__xludf.DUMMYFUNCTION("""COMPUTED_VALUE"""),"GORPREATH T. KAILA")</f>
        <v>GORPREATH T. KAILA</v>
      </c>
      <c r="L1163" s="164" t="str">
        <f ca="1">IFERROR(__xludf.DUMMYFUNCTION("""COMPUTED_VALUE"""),"STOD")</f>
        <v>STOD</v>
      </c>
      <c r="M1163" s="164" t="str">
        <f ca="1">IFERROR(__xludf.DUMMYFUNCTION("""COMPUTED_VALUE"""),"SERVICEABLE")</f>
        <v>SERVICEABLE</v>
      </c>
      <c r="N1163" s="164"/>
    </row>
    <row r="1164" spans="1:14" ht="13.2" hidden="1">
      <c r="A1164" s="164" t="str">
        <f ca="1">IFERROR(__xludf.DUMMYFUNCTION("""COMPUTED_VALUE"""),"Region II")</f>
        <v>Region II</v>
      </c>
      <c r="B1164" s="164" t="str">
        <f ca="1">IFERROR(__xludf.DUMMYFUNCTION("""COMPUTED_VALUE"""),"Regional Office")</f>
        <v>Regional Office</v>
      </c>
      <c r="C1164" s="164" t="str">
        <f ca="1">IFERROR(__xludf.DUMMYFUNCTION("""COMPUTED_VALUE"""),"Desktop Computer – (HP Pro SFF 280G9)")</f>
        <v>Desktop Computer – (HP Pro SFF 280G9)</v>
      </c>
      <c r="D1164" s="164" t="str">
        <f ca="1">IFERROR(__xludf.DUMMYFUNCTION("""COMPUTED_VALUE"""),"₱ 78,898.00")</f>
        <v>₱ 78,898.00</v>
      </c>
      <c r="E1164" s="164" t="str">
        <f ca="1">IFERROR(__xludf.DUMMYFUNCTION("""COMPUTED_VALUE"""),"₱ -")</f>
        <v>₱ -</v>
      </c>
      <c r="F1164" s="164" t="str">
        <f ca="1">IFERROR(__xludf.DUMMYFUNCTION("""COMPUTED_VALUE"""),"2023-05-03-10201SP-191-01")</f>
        <v>2023-05-03-10201SP-191-01</v>
      </c>
      <c r="G1164" s="164" t="str">
        <f ca="1">IFERROR(__xludf.DUMMYFUNCTION("""COMPUTED_VALUE"""),"0")</f>
        <v>0</v>
      </c>
      <c r="H1164" s="164" t="str">
        <f ca="1">IFERROR(__xludf.DUMMYFUNCTION("""COMPUTED_VALUE"""),"FE C. LINGAN")</f>
        <v>FE C. LINGAN</v>
      </c>
      <c r="I1164" s="164" t="str">
        <f ca="1">IFERROR(__xludf.DUMMYFUNCTION("""COMPUTED_VALUE"""),"CHIEF, SURVEY AND MAPPING DIVISION")</f>
        <v>CHIEF, SURVEY AND MAPPING DIVISION</v>
      </c>
      <c r="J1164" s="164" t="str">
        <f ca="1">IFERROR(__xludf.DUMMYFUNCTION("""COMPUTED_VALUE"""),"PAR NO. 2023-08-045")</f>
        <v>PAR NO. 2023-08-045</v>
      </c>
      <c r="K1164" s="164" t="str">
        <f ca="1">IFERROR(__xludf.DUMMYFUNCTION("""COMPUTED_VALUE"""),"FE C. LINGAN")</f>
        <v>FE C. LINGAN</v>
      </c>
      <c r="L1164" s="164" t="str">
        <f ca="1">IFERROR(__xludf.DUMMYFUNCTION("""COMPUTED_VALUE"""),"DENR RO2")</f>
        <v>DENR RO2</v>
      </c>
      <c r="M1164" s="164" t="str">
        <f ca="1">IFERROR(__xludf.DUMMYFUNCTION("""COMPUTED_VALUE"""),"SERVICEABLE")</f>
        <v>SERVICEABLE</v>
      </c>
      <c r="N1164" s="164"/>
    </row>
    <row r="1165" spans="1:14" ht="13.2" hidden="1">
      <c r="A1165" s="164" t="str">
        <f ca="1">IFERROR(__xludf.DUMMYFUNCTION("""COMPUTED_VALUE"""),"Region II")</f>
        <v>Region II</v>
      </c>
      <c r="B1165" s="164" t="str">
        <f ca="1">IFERROR(__xludf.DUMMYFUNCTION("""COMPUTED_VALUE"""),"Regional Office")</f>
        <v>Regional Office</v>
      </c>
      <c r="C1165" s="164" t="str">
        <f ca="1">IFERROR(__xludf.DUMMYFUNCTION("""COMPUTED_VALUE"""),"Desktop Computer – (HP Pro SFF 280G9)")</f>
        <v>Desktop Computer – (HP Pro SFF 280G9)</v>
      </c>
      <c r="D1165" s="164" t="str">
        <f ca="1">IFERROR(__xludf.DUMMYFUNCTION("""COMPUTED_VALUE"""),"₱ 78,898.00")</f>
        <v>₱ 78,898.00</v>
      </c>
      <c r="E1165" s="164" t="str">
        <f ca="1">IFERROR(__xludf.DUMMYFUNCTION("""COMPUTED_VALUE"""),"₱ -")</f>
        <v>₱ -</v>
      </c>
      <c r="F1165" s="164" t="str">
        <f ca="1">IFERROR(__xludf.DUMMYFUNCTION("""COMPUTED_VALUE"""),"2023-05-03-10201SP-192-01")</f>
        <v>2023-05-03-10201SP-192-01</v>
      </c>
      <c r="G1165" s="164" t="str">
        <f ca="1">IFERROR(__xludf.DUMMYFUNCTION("""COMPUTED_VALUE"""),"0")</f>
        <v>0</v>
      </c>
      <c r="H1165" s="164" t="str">
        <f ca="1">IFERROR(__xludf.DUMMYFUNCTION("""COMPUTED_VALUE"""),"FE C. LINGAN")</f>
        <v>FE C. LINGAN</v>
      </c>
      <c r="I1165" s="164" t="str">
        <f ca="1">IFERROR(__xludf.DUMMYFUNCTION("""COMPUTED_VALUE"""),"CHIEF, SURVEY AND MAPPING DIVISION")</f>
        <v>CHIEF, SURVEY AND MAPPING DIVISION</v>
      </c>
      <c r="J1165" s="164" t="str">
        <f ca="1">IFERROR(__xludf.DUMMYFUNCTION("""COMPUTED_VALUE"""),"PAR NO. 2023-08-045")</f>
        <v>PAR NO. 2023-08-045</v>
      </c>
      <c r="K1165" s="164" t="str">
        <f ca="1">IFERROR(__xludf.DUMMYFUNCTION("""COMPUTED_VALUE"""),"FE C. LINGAN")</f>
        <v>FE C. LINGAN</v>
      </c>
      <c r="L1165" s="164" t="str">
        <f ca="1">IFERROR(__xludf.DUMMYFUNCTION("""COMPUTED_VALUE"""),"DENR RO3")</f>
        <v>DENR RO3</v>
      </c>
      <c r="M1165" s="164" t="str">
        <f ca="1">IFERROR(__xludf.DUMMYFUNCTION("""COMPUTED_VALUE"""),"SERVICEABLE")</f>
        <v>SERVICEABLE</v>
      </c>
      <c r="N1165" s="164"/>
    </row>
    <row r="1166" spans="1:14" ht="13.2" hidden="1">
      <c r="A1166" s="164" t="str">
        <f ca="1">IFERROR(__xludf.DUMMYFUNCTION("""COMPUTED_VALUE"""),"Region II")</f>
        <v>Region II</v>
      </c>
      <c r="B1166" s="164" t="str">
        <f ca="1">IFERROR(__xludf.DUMMYFUNCTION("""COMPUTED_VALUE"""),"Regional Office")</f>
        <v>Regional Office</v>
      </c>
      <c r="C1166" s="164" t="str">
        <f ca="1">IFERROR(__xludf.DUMMYFUNCTION("""COMPUTED_VALUE"""),"Laptop – (ACER EXTENSA EX215-55G i7)")</f>
        <v>Laptop – (ACER EXTENSA EX215-55G i7)</v>
      </c>
      <c r="D1166" s="164" t="str">
        <f ca="1">IFERROR(__xludf.DUMMYFUNCTION("""COMPUTED_VALUE"""),"₱ 59,500.00")</f>
        <v>₱ 59,500.00</v>
      </c>
      <c r="E1166" s="164" t="str">
        <f ca="1">IFERROR(__xludf.DUMMYFUNCTION("""COMPUTED_VALUE"""),"₱ -")</f>
        <v>₱ -</v>
      </c>
      <c r="F1166" s="164" t="str">
        <f ca="1">IFERROR(__xludf.DUMMYFUNCTION("""COMPUTED_VALUE"""),"2023-05-03-10201SP268-01")</f>
        <v>2023-05-03-10201SP268-01</v>
      </c>
      <c r="G1166" s="164" t="str">
        <f ca="1">IFERROR(__xludf.DUMMYFUNCTION("""COMPUTED_VALUE"""),"0")</f>
        <v>0</v>
      </c>
      <c r="H1166" s="164" t="str">
        <f ca="1">IFERROR(__xludf.DUMMYFUNCTION("""COMPUTED_VALUE"""),"ESTRELITA V. GO")</f>
        <v>ESTRELITA V. GO</v>
      </c>
      <c r="I1166" s="164" t="str">
        <f ca="1">IFERROR(__xludf.DUMMYFUNCTION("""COMPUTED_VALUE"""),"ESTRELITA V. GO")</f>
        <v>ESTRELITA V. GO</v>
      </c>
      <c r="J1166" s="164" t="str">
        <f ca="1">IFERROR(__xludf.DUMMYFUNCTION("""COMPUTED_VALUE"""),"ASST. PROJECT MANAGER FOR ADMIN.")</f>
        <v>ASST. PROJECT MANAGER FOR ADMIN.</v>
      </c>
      <c r="K1166" s="164" t="str">
        <f ca="1">IFERROR(__xludf.DUMMYFUNCTION("""COMPUTED_VALUE"""),"PAR NO. 2023-10-001")</f>
        <v>PAR NO. 2023-10-001</v>
      </c>
      <c r="L1166" s="164" t="str">
        <f ca="1">IFERROR(__xludf.DUMMYFUNCTION("""COMPUTED_VALUE"""),"ESTRELITA V. GO")</f>
        <v>ESTRELITA V. GO</v>
      </c>
      <c r="M1166" s="164" t="str">
        <f ca="1">IFERROR(__xludf.DUMMYFUNCTION("""COMPUTED_VALUE"""),"OFFICE OF THE ARDA")</f>
        <v>OFFICE OF THE ARDA</v>
      </c>
      <c r="N1166" s="164" t="str">
        <f ca="1">IFERROR(__xludf.DUMMYFUNCTION("""COMPUTED_VALUE"""),"SERVICEABLE")</f>
        <v>SERVICEABLE</v>
      </c>
    </row>
    <row r="1167" spans="1:14" ht="13.2" hidden="1">
      <c r="A1167" s="164" t="str">
        <f ca="1">IFERROR(__xludf.DUMMYFUNCTION("""COMPUTED_VALUE"""),"Region II")</f>
        <v>Region II</v>
      </c>
      <c r="B1167" s="164" t="str">
        <f ca="1">IFERROR(__xludf.DUMMYFUNCTION("""COMPUTED_VALUE"""),"Regional Office")</f>
        <v>Regional Office</v>
      </c>
      <c r="C1167" s="164" t="str">
        <f ca="1">IFERROR(__xludf.DUMMYFUNCTION("""COMPUTED_VALUE"""),"Laptop – (ACER EXTENSA EX215-55G i7)")</f>
        <v>Laptop – (ACER EXTENSA EX215-55G i7)</v>
      </c>
      <c r="D1167" s="164" t="str">
        <f ca="1">IFERROR(__xludf.DUMMYFUNCTION("""COMPUTED_VALUE"""),"₱ 59,500.00")</f>
        <v>₱ 59,500.00</v>
      </c>
      <c r="E1167" s="164" t="str">
        <f ca="1">IFERROR(__xludf.DUMMYFUNCTION("""COMPUTED_VALUE"""),"₱ -")</f>
        <v>₱ -</v>
      </c>
      <c r="F1167" s="164" t="str">
        <f ca="1">IFERROR(__xludf.DUMMYFUNCTION("""COMPUTED_VALUE"""),"2023-05-03-10201SP269-01")</f>
        <v>2023-05-03-10201SP269-01</v>
      </c>
      <c r="G1167" s="164" t="str">
        <f ca="1">IFERROR(__xludf.DUMMYFUNCTION("""COMPUTED_VALUE"""),"0")</f>
        <v>0</v>
      </c>
      <c r="H1167" s="164" t="str">
        <f ca="1">IFERROR(__xludf.DUMMYFUNCTION("""COMPUTED_VALUE"""),"RAUL C. LALUAN")</f>
        <v>RAUL C. LALUAN</v>
      </c>
      <c r="I1167" s="164" t="str">
        <f ca="1">IFERROR(__xludf.DUMMYFUNCTION("""COMPUTED_VALUE"""),"PRIMO C. LARA")</f>
        <v>PRIMO C. LARA</v>
      </c>
      <c r="J1167" s="164" t="str">
        <f ca="1">IFERROR(__xludf.DUMMYFUNCTION("""COMPUTED_VALUE"""),"REGIONAL PROJECT MANAGER")</f>
        <v>REGIONAL PROJECT MANAGER</v>
      </c>
      <c r="K1167" s="164" t="str">
        <f ca="1">IFERROR(__xludf.DUMMYFUNCTION("""COMPUTED_VALUE"""),"PAR NO. 2023-10-003")</f>
        <v>PAR NO. 2023-10-003</v>
      </c>
      <c r="L1167" s="164" t="str">
        <f ca="1">IFERROR(__xludf.DUMMYFUNCTION("""COMPUTED_VALUE"""),"PRIMO C. LARA")</f>
        <v>PRIMO C. LARA</v>
      </c>
      <c r="M1167" s="164" t="str">
        <f ca="1">IFERROR(__xludf.DUMMYFUNCTION("""COMPUTED_VALUE"""),"OFFICE OF THE RD")</f>
        <v>OFFICE OF THE RD</v>
      </c>
      <c r="N1167" s="164" t="str">
        <f ca="1">IFERROR(__xludf.DUMMYFUNCTION("""COMPUTED_VALUE"""),"SERVICEABLE")</f>
        <v>SERVICEABLE</v>
      </c>
    </row>
    <row r="1168" spans="1:14" ht="13.2" hidden="1">
      <c r="A1168" s="164" t="str">
        <f ca="1">IFERROR(__xludf.DUMMYFUNCTION("""COMPUTED_VALUE"""),"Region II")</f>
        <v>Region II</v>
      </c>
      <c r="B1168" s="164" t="str">
        <f ca="1">IFERROR(__xludf.DUMMYFUNCTION("""COMPUTED_VALUE"""),"Regional Office")</f>
        <v>Regional Office</v>
      </c>
      <c r="C1168" s="164" t="str">
        <f ca="1">IFERROR(__xludf.DUMMYFUNCTION("""COMPUTED_VALUE"""),"Laptop – (ACER EXTENSA EX215-55G i7)")</f>
        <v>Laptop – (ACER EXTENSA EX215-55G i7)</v>
      </c>
      <c r="D1168" s="164" t="str">
        <f ca="1">IFERROR(__xludf.DUMMYFUNCTION("""COMPUTED_VALUE"""),"₱ 59,500.00")</f>
        <v>₱ 59,500.00</v>
      </c>
      <c r="E1168" s="164" t="str">
        <f ca="1">IFERROR(__xludf.DUMMYFUNCTION("""COMPUTED_VALUE"""),"₱ -")</f>
        <v>₱ -</v>
      </c>
      <c r="F1168" s="164" t="str">
        <f ca="1">IFERROR(__xludf.DUMMYFUNCTION("""COMPUTED_VALUE"""),"2023-05-03-10201SP270-01")</f>
        <v>2023-05-03-10201SP270-01</v>
      </c>
      <c r="G1168" s="164" t="str">
        <f ca="1">IFERROR(__xludf.DUMMYFUNCTION("""COMPUTED_VALUE"""),"0")</f>
        <v>0</v>
      </c>
      <c r="H1168" s="164" t="str">
        <f ca="1">IFERROR(__xludf.DUMMYFUNCTION("""COMPUTED_VALUE"""),"PRIMO C. LARA")</f>
        <v>PRIMO C. LARA</v>
      </c>
      <c r="I1168" s="164" t="str">
        <f ca="1">IFERROR(__xludf.DUMMYFUNCTION("""COMPUTED_VALUE"""),"ATTY. RAUL C. LALUAN")</f>
        <v>ATTY. RAUL C. LALUAN</v>
      </c>
      <c r="J1168" s="164" t="str">
        <f ca="1">IFERROR(__xludf.DUMMYFUNCTION("""COMPUTED_VALUE"""),"PARPO II")</f>
        <v>PARPO II</v>
      </c>
      <c r="K1168" s="164" t="str">
        <f ca="1">IFERROR(__xludf.DUMMYFUNCTION("""COMPUTED_VALUE"""),"PAR NO. 2023-10-002")</f>
        <v>PAR NO. 2023-10-002</v>
      </c>
      <c r="L1168" s="164" t="str">
        <f ca="1">IFERROR(__xludf.DUMMYFUNCTION("""COMPUTED_VALUE"""),"ATTY. RAUL C. LALUAN")</f>
        <v>ATTY. RAUL C. LALUAN</v>
      </c>
      <c r="M1168" s="164" t="str">
        <f ca="1">IFERROR(__xludf.DUMMYFUNCTION("""COMPUTED_VALUE"""),"DARPO ISABELA")</f>
        <v>DARPO ISABELA</v>
      </c>
      <c r="N1168" s="164" t="str">
        <f ca="1">IFERROR(__xludf.DUMMYFUNCTION("""COMPUTED_VALUE"""),"SERVICEABLE")</f>
        <v>SERVICEABLE</v>
      </c>
    </row>
    <row r="1169" spans="1:14" ht="13.2" hidden="1">
      <c r="A1169" s="164" t="str">
        <f ca="1">IFERROR(__xludf.DUMMYFUNCTION("""COMPUTED_VALUE"""),"Region II")</f>
        <v>Region II</v>
      </c>
      <c r="B1169" s="164" t="str">
        <f ca="1">IFERROR(__xludf.DUMMYFUNCTION("""COMPUTED_VALUE"""),"Regional Office")</f>
        <v>Regional Office</v>
      </c>
      <c r="C1169" s="164" t="str">
        <f ca="1">IFERROR(__xludf.DUMMYFUNCTION("""COMPUTED_VALUE"""),"Laptop – (ACER EXTENSA EX215-55G i7)")</f>
        <v>Laptop – (ACER EXTENSA EX215-55G i7)</v>
      </c>
      <c r="D1169" s="164" t="str">
        <f ca="1">IFERROR(__xludf.DUMMYFUNCTION("""COMPUTED_VALUE"""),"₱ 59,500.00")</f>
        <v>₱ 59,500.00</v>
      </c>
      <c r="E1169" s="164" t="str">
        <f ca="1">IFERROR(__xludf.DUMMYFUNCTION("""COMPUTED_VALUE"""),"₱ -")</f>
        <v>₱ -</v>
      </c>
      <c r="F1169" s="164" t="str">
        <f ca="1">IFERROR(__xludf.DUMMYFUNCTION("""COMPUTED_VALUE"""),"2023-05-03-10201SP16-01")</f>
        <v>2023-05-03-10201SP16-01</v>
      </c>
      <c r="G1169" s="164" t="str">
        <f ca="1">IFERROR(__xludf.DUMMYFUNCTION("""COMPUTED_VALUE"""),"0")</f>
        <v>0</v>
      </c>
      <c r="H1169" s="164" t="str">
        <f ca="1">IFERROR(__xludf.DUMMYFUNCTION("""COMPUTED_VALUE"""),"RICHARD T. FRANCISCO")</f>
        <v>RICHARD T. FRANCISCO</v>
      </c>
      <c r="I1169" s="164" t="str">
        <f ca="1">IFERROR(__xludf.DUMMYFUNCTION("""COMPUTED_VALUE"""),"MARITES U. ALLAG")</f>
        <v>MARITES U. ALLAG</v>
      </c>
      <c r="J1169" s="164" t="str">
        <f ca="1">IFERROR(__xludf.DUMMYFUNCTION("""COMPUTED_VALUE"""),"STRATEGIC MEDIA COORDINATOR")</f>
        <v>STRATEGIC MEDIA COORDINATOR</v>
      </c>
      <c r="K1169" s="164" t="str">
        <f ca="1">IFERROR(__xludf.DUMMYFUNCTION("""COMPUTED_VALUE"""),"PAR NO. 2025-08-010")</f>
        <v>PAR NO. 2025-08-010</v>
      </c>
      <c r="L1169" s="164" t="str">
        <f ca="1">IFERROR(__xludf.DUMMYFUNCTION("""COMPUTED_VALUE"""),"KING HARDEE II PIZARRO")</f>
        <v>KING HARDEE II PIZARRO</v>
      </c>
      <c r="M1169" s="164" t="str">
        <f ca="1">IFERROR(__xludf.DUMMYFUNCTION("""COMPUTED_VALUE"""),"STOD")</f>
        <v>STOD</v>
      </c>
      <c r="N1169" s="164" t="str">
        <f ca="1">IFERROR(__xludf.DUMMYFUNCTION("""COMPUTED_VALUE"""),"SERVICEABLE")</f>
        <v>SERVICEABLE</v>
      </c>
    </row>
    <row r="1170" spans="1:14" ht="13.2" hidden="1">
      <c r="A1170" s="164" t="str">
        <f ca="1">IFERROR(__xludf.DUMMYFUNCTION("""COMPUTED_VALUE"""),"Region II")</f>
        <v>Region II</v>
      </c>
      <c r="B1170" s="164" t="str">
        <f ca="1">IFERROR(__xludf.DUMMYFUNCTION("""COMPUTED_VALUE"""),"Regional Office")</f>
        <v>Regional Office</v>
      </c>
      <c r="C1170" s="164" t="str">
        <f ca="1">IFERROR(__xludf.DUMMYFUNCTION("""COMPUTED_VALUE"""),"HANDHELD GPS – MODEL P6")</f>
        <v>HANDHELD GPS – MODEL P6</v>
      </c>
      <c r="D1170" s="164" t="str">
        <f ca="1">IFERROR(__xludf.DUMMYFUNCTION("""COMPUTED_VALUE"""),"₱ 79,000.00")</f>
        <v>₱ 79,000.00</v>
      </c>
      <c r="E1170" s="164" t="str">
        <f ca="1">IFERROR(__xludf.DUMMYFUNCTION("""COMPUTED_VALUE"""),"₱ -")</f>
        <v>₱ -</v>
      </c>
      <c r="F1170" s="164" t="str">
        <f ca="1">IFERROR(__xludf.DUMMYFUNCTION("""COMPUTED_VALUE"""),"2023-05-03-10201SP36-01")</f>
        <v>2023-05-03-10201SP36-01</v>
      </c>
      <c r="G1170" s="164" t="str">
        <f ca="1">IFERROR(__xludf.DUMMYFUNCTION("""COMPUTED_VALUE"""),"0")</f>
        <v>0</v>
      </c>
      <c r="H1170" s="164" t="str">
        <f ca="1">IFERROR(__xludf.DUMMYFUNCTION("""COMPUTED_VALUE"""),"RODERICK E. ESCOBAR")</f>
        <v>RODERICK E. ESCOBAR</v>
      </c>
      <c r="I1170" s="164" t="str">
        <f ca="1">IFERROR(__xludf.DUMMYFUNCTION("""COMPUTED_VALUE"""),"DENR/SURVEY/LRA COORDINATOR")</f>
        <v>DENR/SURVEY/LRA COORDINATOR</v>
      </c>
      <c r="J1170" s="164" t="str">
        <f ca="1">IFERROR(__xludf.DUMMYFUNCTION("""COMPUTED_VALUE"""),"PAR NO. 2025-05-005")</f>
        <v>PAR NO. 2025-05-005</v>
      </c>
      <c r="K1170" s="164" t="str">
        <f ca="1">IFERROR(__xludf.DUMMYFUNCTION("""COMPUTED_VALUE"""),"JOEL CALIMAG")</f>
        <v>JOEL CALIMAG</v>
      </c>
      <c r="L1170" s="164" t="str">
        <f ca="1">IFERROR(__xludf.DUMMYFUNCTION("""COMPUTED_VALUE"""),"LTID")</f>
        <v>LTID</v>
      </c>
      <c r="M1170" s="164" t="str">
        <f ca="1">IFERROR(__xludf.DUMMYFUNCTION("""COMPUTED_VALUE"""),"SERVICEABLE")</f>
        <v>SERVICEABLE</v>
      </c>
      <c r="N1170" s="164" t="str">
        <f ca="1">IFERROR(__xludf.DUMMYFUNCTION("""COMPUTED_VALUE"""),"Actual unit 2023-05-14-10202SP37-01")</f>
        <v>Actual unit 2023-05-14-10202SP37-01</v>
      </c>
    </row>
    <row r="1171" spans="1:14" ht="13.2" hidden="1">
      <c r="A1171" s="164" t="str">
        <f ca="1">IFERROR(__xludf.DUMMYFUNCTION("""COMPUTED_VALUE"""),"Region II")</f>
        <v>Region II</v>
      </c>
      <c r="B1171" s="164" t="str">
        <f ca="1">IFERROR(__xludf.DUMMYFUNCTION("""COMPUTED_VALUE"""),"Regional Office")</f>
        <v>Regional Office</v>
      </c>
      <c r="C1171" s="164" t="str">
        <f ca="1">IFERROR(__xludf.DUMMYFUNCTION("""COMPUTED_VALUE"""),"HANDHELD GPS – MODEL P6")</f>
        <v>HANDHELD GPS – MODEL P6</v>
      </c>
      <c r="D1171" s="164" t="str">
        <f ca="1">IFERROR(__xludf.DUMMYFUNCTION("""COMPUTED_VALUE"""),"₱ 79,000.00")</f>
        <v>₱ 79,000.00</v>
      </c>
      <c r="E1171" s="164" t="str">
        <f ca="1">IFERROR(__xludf.DUMMYFUNCTION("""COMPUTED_VALUE"""),"₱ -")</f>
        <v>₱ -</v>
      </c>
      <c r="F1171" s="164" t="str">
        <f ca="1">IFERROR(__xludf.DUMMYFUNCTION("""COMPUTED_VALUE"""),"2023-05-03-10201SP80-01")</f>
        <v>2023-05-03-10201SP80-01</v>
      </c>
      <c r="G1171" s="164" t="str">
        <f ca="1">IFERROR(__xludf.DUMMYFUNCTION("""COMPUTED_VALUE"""),"0")</f>
        <v>0</v>
      </c>
      <c r="H1171" s="164" t="str">
        <f ca="1">IFERROR(__xludf.DUMMYFUNCTION("""COMPUTED_VALUE"""),"RODERICK E. ESCOBAR")</f>
        <v>RODERICK E. ESCOBAR</v>
      </c>
      <c r="I1171" s="164" t="str">
        <f ca="1">IFERROR(__xludf.DUMMYFUNCTION("""COMPUTED_VALUE"""),"SPLIT SURVEY TEAM I LEADER")</f>
        <v>SPLIT SURVEY TEAM I LEADER</v>
      </c>
      <c r="J1171" s="164" t="str">
        <f ca="1">IFERROR(__xludf.DUMMYFUNCTION("""COMPUTED_VALUE"""),"PAR NO. 2023-07-016")</f>
        <v>PAR NO. 2023-07-016</v>
      </c>
      <c r="K1171" s="164" t="str">
        <f ca="1">IFERROR(__xludf.DUMMYFUNCTION("""COMPUTED_VALUE"""),"RODERICK E. ESCOBAR")</f>
        <v>RODERICK E. ESCOBAR</v>
      </c>
      <c r="L1171" s="164" t="str">
        <f ca="1">IFERROR(__xludf.DUMMYFUNCTION("""COMPUTED_VALUE"""),"LTID")</f>
        <v>LTID</v>
      </c>
      <c r="M1171" s="164" t="str">
        <f ca="1">IFERROR(__xludf.DUMMYFUNCTION("""COMPUTED_VALUE"""),"SERVICEABLE")</f>
        <v>SERVICEABLE</v>
      </c>
      <c r="N1171" s="164"/>
    </row>
    <row r="1172" spans="1:14" ht="13.2" hidden="1">
      <c r="A1172" s="164" t="str">
        <f ca="1">IFERROR(__xludf.DUMMYFUNCTION("""COMPUTED_VALUE"""),"Region II")</f>
        <v>Region II</v>
      </c>
      <c r="B1172" s="164" t="str">
        <f ca="1">IFERROR(__xludf.DUMMYFUNCTION("""COMPUTED_VALUE"""),"Regional Office")</f>
        <v>Regional Office</v>
      </c>
      <c r="C1172" s="164" t="str">
        <f ca="1">IFERROR(__xludf.DUMMYFUNCTION("""COMPUTED_VALUE"""),"TOTAL STATION – GEOMAX TOTAL STATION ZOOM 50")</f>
        <v>TOTAL STATION – GEOMAX TOTAL STATION ZOOM 50</v>
      </c>
      <c r="D1172" s="164" t="str">
        <f ca="1">IFERROR(__xludf.DUMMYFUNCTION("""COMPUTED_VALUE"""),"₱ 648,000.00")</f>
        <v>₱ 648,000.00</v>
      </c>
      <c r="E1172" s="164" t="str">
        <f ca="1">IFERROR(__xludf.DUMMYFUNCTION("""COMPUTED_VALUE"""),"₱ -")</f>
        <v>₱ -</v>
      </c>
      <c r="F1172" s="164" t="str">
        <f ca="1">IFERROR(__xludf.DUMMYFUNCTION("""COMPUTED_VALUE"""),"2023-05-03-10201SP30-01")</f>
        <v>2023-05-03-10201SP30-01</v>
      </c>
      <c r="G1172" s="164" t="str">
        <f ca="1">IFERROR(__xludf.DUMMYFUNCTION("""COMPUTED_VALUE"""),"0")</f>
        <v>0</v>
      </c>
      <c r="H1172" s="164" t="str">
        <f ca="1">IFERROR(__xludf.DUMMYFUNCTION("""COMPUTED_VALUE"""),"ROSENDO L. SORIANO")</f>
        <v>ROSENDO L. SORIANO</v>
      </c>
      <c r="I1172" s="164" t="str">
        <f ca="1">IFERROR(__xludf.DUMMYFUNCTION("""COMPUTED_VALUE"""),"DENR/SURVEY/LRA COORDINATOR")</f>
        <v>DENR/SURVEY/LRA COORDINATOR</v>
      </c>
      <c r="J1172" s="164" t="str">
        <f ca="1">IFERROR(__xludf.DUMMYFUNCTION("""COMPUTED_VALUE"""),"2023-03-01")</f>
        <v>2023-03-01</v>
      </c>
      <c r="K1172" s="164" t="str">
        <f ca="1">IFERROR(__xludf.DUMMYFUNCTION("""COMPUTED_VALUE"""),"ROSENDO L. SORIANO")</f>
        <v>ROSENDO L. SORIANO</v>
      </c>
      <c r="L1172" s="164" t="str">
        <f ca="1">IFERROR(__xludf.DUMMYFUNCTION("""COMPUTED_VALUE"""),"LTID")</f>
        <v>LTID</v>
      </c>
      <c r="M1172" s="164" t="str">
        <f ca="1">IFERROR(__xludf.DUMMYFUNCTION("""COMPUTED_VALUE"""),"SERVICEABLE")</f>
        <v>SERVICEABLE</v>
      </c>
      <c r="N1172" s="164"/>
    </row>
    <row r="1173" spans="1:14" ht="13.2" hidden="1">
      <c r="A1173" s="164" t="str">
        <f ca="1">IFERROR(__xludf.DUMMYFUNCTION("""COMPUTED_VALUE"""),"Region II")</f>
        <v>Region II</v>
      </c>
      <c r="B1173" s="164" t="str">
        <f ca="1">IFERROR(__xludf.DUMMYFUNCTION("""COMPUTED_VALUE"""),"Regional Office")</f>
        <v>Regional Office</v>
      </c>
      <c r="C1173" s="164" t="str">
        <f ca="1">IFERROR(__xludf.DUMMYFUNCTION("""COMPUTED_VALUE"""),"REAL-TIME KINEMATIC – GEOMAX ZENITH60")</f>
        <v>REAL-TIME KINEMATIC – GEOMAX ZENITH60</v>
      </c>
      <c r="D1173" s="164" t="str">
        <f ca="1">IFERROR(__xludf.DUMMYFUNCTION("""COMPUTED_VALUE"""),"₱ 1,849,000.00")</f>
        <v>₱ 1,849,000.00</v>
      </c>
      <c r="E1173" s="164" t="str">
        <f ca="1">IFERROR(__xludf.DUMMYFUNCTION("""COMPUTED_VALUE"""),"₱ -")</f>
        <v>₱ -</v>
      </c>
      <c r="F1173" s="164" t="str">
        <f ca="1">IFERROR(__xludf.DUMMYFUNCTION("""COMPUTED_VALUE"""),"2023-05-03-10201SP30-01")</f>
        <v>2023-05-03-10201SP30-01</v>
      </c>
      <c r="G1173" s="164" t="str">
        <f ca="1">IFERROR(__xludf.DUMMYFUNCTION("""COMPUTED_VALUE"""),"0")</f>
        <v>0</v>
      </c>
      <c r="H1173" s="164" t="str">
        <f ca="1">IFERROR(__xludf.DUMMYFUNCTION("""COMPUTED_VALUE"""),"RODERICK E. ESCOBAR")</f>
        <v>RODERICK E. ESCOBAR</v>
      </c>
      <c r="I1173" s="164" t="str">
        <f ca="1">IFERROR(__xludf.DUMMYFUNCTION("""COMPUTED_VALUE"""),"DENR/SURVEY/LRA COORDINATOR")</f>
        <v>DENR/SURVEY/LRA COORDINATOR</v>
      </c>
      <c r="J1173" s="164" t="str">
        <f ca="1">IFERROR(__xludf.DUMMYFUNCTION("""COMPUTED_VALUE"""),"PAR NO. 2025-05-006")</f>
        <v>PAR NO. 2025-05-006</v>
      </c>
      <c r="K1173" s="164" t="str">
        <f ca="1">IFERROR(__xludf.DUMMYFUNCTION("""COMPUTED_VALUE"""),"RODERICK E. ESCOBAR")</f>
        <v>RODERICK E. ESCOBAR</v>
      </c>
      <c r="L1173" s="164" t="str">
        <f ca="1">IFERROR(__xludf.DUMMYFUNCTION("""COMPUTED_VALUE"""),"LTID")</f>
        <v>LTID</v>
      </c>
      <c r="M1173" s="164" t="str">
        <f ca="1">IFERROR(__xludf.DUMMYFUNCTION("""COMPUTED_VALUE"""),"SERVICEABLE")</f>
        <v>SERVICEABLE</v>
      </c>
      <c r="N1173" s="164"/>
    </row>
    <row r="1174" spans="1:14" ht="13.2" hidden="1">
      <c r="A1174" s="164" t="str">
        <f ca="1">IFERROR(__xludf.DUMMYFUNCTION("""COMPUTED_VALUE"""),"Region II")</f>
        <v>Region II</v>
      </c>
      <c r="B1174" s="164" t="str">
        <f ca="1">IFERROR(__xludf.DUMMYFUNCTION("""COMPUTED_VALUE"""),"Regional Office")</f>
        <v>Regional Office</v>
      </c>
      <c r="C1174" s="164" t="str">
        <f ca="1">IFERROR(__xludf.DUMMYFUNCTION("""COMPUTED_VALUE"""),"A3 PRINTER (BROTHER)")</f>
        <v>A3 PRINTER (BROTHER)</v>
      </c>
      <c r="D1174" s="164" t="str">
        <f ca="1">IFERROR(__xludf.DUMMYFUNCTION("""COMPUTED_VALUE"""),"₱ 33,508.00")</f>
        <v>₱ 33,508.00</v>
      </c>
      <c r="E1174" s="164" t="str">
        <f ca="1">IFERROR(__xludf.DUMMYFUNCTION("""COMPUTED_VALUE"""),"₱ -")</f>
        <v>₱ -</v>
      </c>
      <c r="F1174" s="164" t="str">
        <f ca="1">IFERROR(__xludf.DUMMYFUNCTION("""COMPUTED_VALUE"""),"HV-SPLIT-102-24-05-18")</f>
        <v>HV-SPLIT-102-24-05-18</v>
      </c>
      <c r="G1174" s="164" t="str">
        <f ca="1">IFERROR(__xludf.DUMMYFUNCTION("""COMPUTED_VALUE"""),"0")</f>
        <v>0</v>
      </c>
      <c r="H1174" s="164" t="str">
        <f ca="1">IFERROR(__xludf.DUMMYFUNCTION("""COMPUTED_VALUE"""),"MAGNIFICA MELVIDA A. CAMAYANG")</f>
        <v>MAGNIFICA MELVIDA A. CAMAYANG</v>
      </c>
      <c r="I1174" s="164" t="str">
        <f ca="1">IFERROR(__xludf.DUMMYFUNCTION("""COMPUTED_VALUE"""),"PARCELIZATION COMPONENT COORDINATOR")</f>
        <v>PARCELIZATION COMPONENT COORDINATOR</v>
      </c>
      <c r="J1174" s="164" t="str">
        <f ca="1">IFERROR(__xludf.DUMMYFUNCTION("""COMPUTED_VALUE"""),"ICS NO. 2024-03-026")</f>
        <v>ICS NO. 2024-03-026</v>
      </c>
      <c r="K1174" s="164" t="str">
        <f ca="1">IFERROR(__xludf.DUMMYFUNCTION("""COMPUTED_VALUE"""),"MAGNIFICA MELVIDA A. CAMAYANG")</f>
        <v>MAGNIFICA MELVIDA A. CAMAYANG</v>
      </c>
      <c r="L1174" s="164" t="str">
        <f ca="1">IFERROR(__xludf.DUMMYFUNCTION("""COMPUTED_VALUE"""),"LTID")</f>
        <v>LTID</v>
      </c>
      <c r="M1174" s="164" t="str">
        <f ca="1">IFERROR(__xludf.DUMMYFUNCTION("""COMPUTED_VALUE"""),"SERVICEABLE")</f>
        <v>SERVICEABLE</v>
      </c>
      <c r="N1174" s="164" t="str">
        <f ca="1">IFERROR(__xludf.DUMMYFUNCTION("""COMPUTED_VALUE"""),"for Repair")</f>
        <v>for Repair</v>
      </c>
    </row>
    <row r="1175" spans="1:14" ht="13.2" hidden="1">
      <c r="A1175" s="164" t="str">
        <f ca="1">IFERROR(__xludf.DUMMYFUNCTION("""COMPUTED_VALUE"""),"Region II")</f>
        <v>Region II</v>
      </c>
      <c r="B1175" s="164" t="str">
        <f ca="1">IFERROR(__xludf.DUMMYFUNCTION("""COMPUTED_VALUE"""),"Regional Office")</f>
        <v>Regional Office</v>
      </c>
      <c r="C1175" s="164" t="str">
        <f ca="1">IFERROR(__xludf.DUMMYFUNCTION("""COMPUTED_VALUE"""),"ACER TRAVELMATE")</f>
        <v>ACER TRAVELMATE</v>
      </c>
      <c r="D1175" s="164" t="str">
        <f ca="1">IFERROR(__xludf.DUMMYFUNCTION("""COMPUTED_VALUE"""),"₱ 46,580.00")</f>
        <v>₱ 46,580.00</v>
      </c>
      <c r="E1175" s="164" t="str">
        <f ca="1">IFERROR(__xludf.DUMMYFUNCTION("""COMPUTED_VALUE"""),"₱ -")</f>
        <v>₱ -</v>
      </c>
      <c r="F1175" s="164" t="str">
        <f ca="1">IFERROR(__xludf.DUMMYFUNCTION("""COMPUTED_VALUE"""),"2024-05-03-10202SP-307-01")</f>
        <v>2024-05-03-10202SP-307-01</v>
      </c>
      <c r="G1175" s="164" t="str">
        <f ca="1">IFERROR(__xludf.DUMMYFUNCTION("""COMPUTED_VALUE"""),"NXVXKSP00341913C047600")</f>
        <v>NXVXKSP00341913C047600</v>
      </c>
      <c r="H1175" s="164" t="str">
        <f ca="1">IFERROR(__xludf.DUMMYFUNCTION("""COMPUTED_VALUE"""),"RICHARD T FRANCISCO")</f>
        <v>RICHARD T FRANCISCO</v>
      </c>
      <c r="I1175" s="164" t="str">
        <f ca="1">IFERROR(__xludf.DUMMYFUNCTION("""COMPUTED_VALUE"""),"SARPO/INFO OFFICER")</f>
        <v>SARPO/INFO OFFICER</v>
      </c>
      <c r="J1175" s="164" t="str">
        <f ca="1">IFERROR(__xludf.DUMMYFUNCTION("""COMPUTED_VALUE"""),"SP020-2024")</f>
        <v>SP020-2024</v>
      </c>
      <c r="K1175" s="164" t="str">
        <f ca="1">IFERROR(__xludf.DUMMYFUNCTION("""COMPUTED_VALUE"""),"RICHARD T FRANCISCO")</f>
        <v>RICHARD T FRANCISCO</v>
      </c>
      <c r="L1175" s="164" t="str">
        <f ca="1">IFERROR(__xludf.DUMMYFUNCTION("""COMPUTED_VALUE"""),"DARRO II")</f>
        <v>DARRO II</v>
      </c>
      <c r="M1175" s="164" t="str">
        <f ca="1">IFERROR(__xludf.DUMMYFUNCTION("""COMPUTED_VALUE"""),"SERVICEABLE")</f>
        <v>SERVICEABLE</v>
      </c>
      <c r="N1175" s="164"/>
    </row>
    <row r="1176" spans="1:14" ht="13.2" hidden="1">
      <c r="A1176" s="164" t="str">
        <f ca="1">IFERROR(__xludf.DUMMYFUNCTION("""COMPUTED_VALUE"""),"Region II")</f>
        <v>Region II</v>
      </c>
      <c r="B1176" s="164" t="str">
        <f ca="1">IFERROR(__xludf.DUMMYFUNCTION("""COMPUTED_VALUE"""),"BATANES")</f>
        <v>BATANES</v>
      </c>
      <c r="C1176" s="164" t="str">
        <f ca="1">IFERROR(__xludf.DUMMYFUNCTION("""COMPUTED_VALUE"""),"Photocopier Machine – Kyocera")</f>
        <v>Photocopier Machine – Kyocera</v>
      </c>
      <c r="D1176" s="164" t="str">
        <f ca="1">IFERROR(__xludf.DUMMYFUNCTION("""COMPUTED_VALUE"""),"₱ 84,500.00")</f>
        <v>₱ 84,500.00</v>
      </c>
      <c r="E1176" s="164" t="str">
        <f ca="1">IFERROR(__xludf.DUMMYFUNCTION("""COMPUTED_VALUE"""),"₱ -")</f>
        <v>₱ -</v>
      </c>
      <c r="F1176" s="164" t="str">
        <f ca="1">IFERROR(__xludf.DUMMYFUNCTION("""COMPUTED_VALUE"""),"2022-05-02-10202SP15-01")</f>
        <v>2022-05-02-10202SP15-01</v>
      </c>
      <c r="G1176" s="164" t="str">
        <f ca="1">IFERROR(__xludf.DUMMYFUNCTION("""COMPUTED_VALUE"""),"RNK1200125")</f>
        <v>RNK1200125</v>
      </c>
      <c r="H1176" s="164" t="str">
        <f ca="1">IFERROR(__xludf.DUMMYFUNCTION("""COMPUTED_VALUE"""),"SARA E. NOBLEZA")</f>
        <v>SARA E. NOBLEZA</v>
      </c>
      <c r="I1176" s="164" t="str">
        <f ca="1">IFERROR(__xludf.DUMMYFUNCTION("""COMPUTED_VALUE"""),"A.A VI// Property Custodian")</f>
        <v>A.A VI// Property Custodian</v>
      </c>
      <c r="J1176" s="164" t="str">
        <f ca="1">IFERROR(__xludf.DUMMYFUNCTION("""COMPUTED_VALUE"""),"2023-04-0002")</f>
        <v>2023-04-0002</v>
      </c>
      <c r="K1176" s="164" t="str">
        <f ca="1">IFERROR(__xludf.DUMMYFUNCTION("""COMPUTED_VALUE"""),"JEWEL MARIA S. QUERUBIN")</f>
        <v>JEWEL MARIA S. QUERUBIN</v>
      </c>
      <c r="L1176" s="164" t="str">
        <f ca="1">IFERROR(__xludf.DUMMYFUNCTION("""COMPUTED_VALUE"""),"STOD")</f>
        <v>STOD</v>
      </c>
      <c r="M1176" s="164" t="str">
        <f ca="1">IFERROR(__xludf.DUMMYFUNCTION("""COMPUTED_VALUE"""),"SERVICEABLE")</f>
        <v>SERVICEABLE</v>
      </c>
      <c r="N1176" s="164"/>
    </row>
    <row r="1177" spans="1:14" ht="13.2" hidden="1">
      <c r="A1177" s="164" t="str">
        <f ca="1">IFERROR(__xludf.DUMMYFUNCTION("""COMPUTED_VALUE"""),"Region II")</f>
        <v>Region II</v>
      </c>
      <c r="B1177" s="164" t="str">
        <f ca="1">IFERROR(__xludf.DUMMYFUNCTION("""COMPUTED_VALUE"""),"BATANES")</f>
        <v>BATANES</v>
      </c>
      <c r="C1177" s="164" t="str">
        <f ca="1">IFERROR(__xludf.DUMMYFUNCTION("""COMPUTED_VALUE"""),"Desktop Computer – (Lenovo M70T)")</f>
        <v>Desktop Computer – (Lenovo M70T)</v>
      </c>
      <c r="D1177" s="164" t="str">
        <f ca="1">IFERROR(__xludf.DUMMYFUNCTION("""COMPUTED_VALUE"""),"₱ 75,468.00")</f>
        <v>₱ 75,468.00</v>
      </c>
      <c r="E1177" s="164" t="str">
        <f ca="1">IFERROR(__xludf.DUMMYFUNCTION("""COMPUTED_VALUE"""),"₱ -")</f>
        <v>₱ -</v>
      </c>
      <c r="F1177" s="164" t="str">
        <f ca="1">IFERROR(__xludf.DUMMYFUNCTION("""COMPUTED_VALUE"""),"2023-05-03-10201-SP741-01")</f>
        <v>2023-05-03-10201-SP741-01</v>
      </c>
      <c r="G1177" s="164" t="str">
        <f ca="1">IFERROR(__xludf.DUMMYFUNCTION("""COMPUTED_VALUE"""),"1S11T5S16200GM041AT5")</f>
        <v>1S11T5S16200GM041AT5</v>
      </c>
      <c r="H1177" s="164" t="str">
        <f ca="1">IFERROR(__xludf.DUMMYFUNCTION("""COMPUTED_VALUE"""),"SARA E. NOBLEZA")</f>
        <v>SARA E. NOBLEZA</v>
      </c>
      <c r="I1177" s="164" t="str">
        <f ca="1">IFERROR(__xludf.DUMMYFUNCTION("""COMPUTED_VALUE"""),"A.A VI// Property Custodian")</f>
        <v>A.A VI// Property Custodian</v>
      </c>
      <c r="J1177" s="164" t="str">
        <f ca="1">IFERROR(__xludf.DUMMYFUNCTION("""COMPUTED_VALUE"""),"2023-04-0005")</f>
        <v>2023-04-0005</v>
      </c>
      <c r="K1177" s="164" t="str">
        <f ca="1">IFERROR(__xludf.DUMMYFUNCTION("""COMPUTED_VALUE"""),"ALBINA C. DAROCA")</f>
        <v>ALBINA C. DAROCA</v>
      </c>
      <c r="L1177" s="164" t="str">
        <f ca="1">IFERROR(__xludf.DUMMYFUNCTION("""COMPUTED_VALUE"""),"STOD")</f>
        <v>STOD</v>
      </c>
      <c r="M1177" s="164" t="str">
        <f ca="1">IFERROR(__xludf.DUMMYFUNCTION("""COMPUTED_VALUE"""),"SERVICEABLE")</f>
        <v>SERVICEABLE</v>
      </c>
      <c r="N1177" s="164"/>
    </row>
    <row r="1178" spans="1:14" ht="13.2" hidden="1">
      <c r="A1178" s="164" t="str">
        <f ca="1">IFERROR(__xludf.DUMMYFUNCTION("""COMPUTED_VALUE"""),"Region II")</f>
        <v>Region II</v>
      </c>
      <c r="B1178" s="164" t="str">
        <f ca="1">IFERROR(__xludf.DUMMYFUNCTION("""COMPUTED_VALUE"""),"BATANES")</f>
        <v>BATANES</v>
      </c>
      <c r="C1178" s="164" t="str">
        <f ca="1">IFERROR(__xludf.DUMMYFUNCTION("""COMPUTED_VALUE"""),"Desktop Computer – (Lenovo M70T)")</f>
        <v>Desktop Computer – (Lenovo M70T)</v>
      </c>
      <c r="D1178" s="164" t="str">
        <f ca="1">IFERROR(__xludf.DUMMYFUNCTION("""COMPUTED_VALUE"""),"₱ 75,468.00")</f>
        <v>₱ 75,468.00</v>
      </c>
      <c r="E1178" s="164" t="str">
        <f ca="1">IFERROR(__xludf.DUMMYFUNCTION("""COMPUTED_VALUE"""),"₱ -")</f>
        <v>₱ -</v>
      </c>
      <c r="F1178" s="164" t="str">
        <f ca="1">IFERROR(__xludf.DUMMYFUNCTION("""COMPUTED_VALUE"""),"2023-05-03-10201-SP749-01")</f>
        <v>2023-05-03-10201-SP749-01</v>
      </c>
      <c r="G1178" s="164" t="str">
        <f ca="1">IFERROR(__xludf.DUMMYFUNCTION("""COMPUTED_VALUE"""),"1S11T5S16200GM0418CK")</f>
        <v>1S11T5S16200GM0418CK</v>
      </c>
      <c r="H1178" s="164" t="str">
        <f ca="1">IFERROR(__xludf.DUMMYFUNCTION("""COMPUTED_VALUE"""),"SARA E. NOBLEZA")</f>
        <v>SARA E. NOBLEZA</v>
      </c>
      <c r="I1178" s="164" t="str">
        <f ca="1">IFERROR(__xludf.DUMMYFUNCTION("""COMPUTED_VALUE"""),"A.A VI// Property Custodian")</f>
        <v>A.A VI// Property Custodian</v>
      </c>
      <c r="J1178" s="164" t="str">
        <f ca="1">IFERROR(__xludf.DUMMYFUNCTION("""COMPUTED_VALUE"""),"2023-04-0004")</f>
        <v>2023-04-0004</v>
      </c>
      <c r="K1178" s="164" t="str">
        <f ca="1">IFERROR(__xludf.DUMMYFUNCTION("""COMPUTED_VALUE"""),"EDNA B. DE SAGON")</f>
        <v>EDNA B. DE SAGON</v>
      </c>
      <c r="L1178" s="164" t="str">
        <f ca="1">IFERROR(__xludf.DUMMYFUNCTION("""COMPUTED_VALUE"""),"STOD")</f>
        <v>STOD</v>
      </c>
      <c r="M1178" s="164" t="str">
        <f ca="1">IFERROR(__xludf.DUMMYFUNCTION("""COMPUTED_VALUE"""),"SERVICEABLE")</f>
        <v>SERVICEABLE</v>
      </c>
      <c r="N1178" s="164"/>
    </row>
    <row r="1179" spans="1:14" ht="13.2" hidden="1">
      <c r="A1179" s="164" t="str">
        <f ca="1">IFERROR(__xludf.DUMMYFUNCTION("""COMPUTED_VALUE"""),"Region II")</f>
        <v>Region II</v>
      </c>
      <c r="B1179" s="164" t="str">
        <f ca="1">IFERROR(__xludf.DUMMYFUNCTION("""COMPUTED_VALUE"""),"BATANES")</f>
        <v>BATANES</v>
      </c>
      <c r="C1179" s="164" t="str">
        <f ca="1">IFERROR(__xludf.DUMMYFUNCTION("""COMPUTED_VALUE"""),"Desktop Computer – (Lenovo M70T)")</f>
        <v>Desktop Computer – (Lenovo M70T)</v>
      </c>
      <c r="D1179" s="164" t="str">
        <f ca="1">IFERROR(__xludf.DUMMYFUNCTION("""COMPUTED_VALUE"""),"₱ 75,468.00")</f>
        <v>₱ 75,468.00</v>
      </c>
      <c r="E1179" s="164" t="str">
        <f ca="1">IFERROR(__xludf.DUMMYFUNCTION("""COMPUTED_VALUE"""),"₱ -")</f>
        <v>₱ -</v>
      </c>
      <c r="F1179" s="164" t="str">
        <f ca="1">IFERROR(__xludf.DUMMYFUNCTION("""COMPUTED_VALUE"""),"2023-05-03-10201SP750-01")</f>
        <v>2023-05-03-10201SP750-01</v>
      </c>
      <c r="G1179" s="164" t="str">
        <f ca="1">IFERROR(__xludf.DUMMYFUNCTION("""COMPUTED_VALUE"""),"1S11T5S16200GM0418CF")</f>
        <v>1S11T5S16200GM0418CF</v>
      </c>
      <c r="H1179" s="164" t="str">
        <f ca="1">IFERROR(__xludf.DUMMYFUNCTION("""COMPUTED_VALUE"""),"SARA E. NOBLEZA")</f>
        <v>SARA E. NOBLEZA</v>
      </c>
      <c r="I1179" s="164" t="str">
        <f ca="1">IFERROR(__xludf.DUMMYFUNCTION("""COMPUTED_VALUE"""),"A.A VI// Property Custodian")</f>
        <v>A.A VI// Property Custodian</v>
      </c>
      <c r="J1179" s="164" t="str">
        <f ca="1">IFERROR(__xludf.DUMMYFUNCTION("""COMPUTED_VALUE"""),"2023-04-0003")</f>
        <v>2023-04-0003</v>
      </c>
      <c r="K1179" s="164" t="str">
        <f ca="1">IFERROR(__xludf.DUMMYFUNCTION("""COMPUTED_VALUE"""),"MA.TERESA F. DOMINGO")</f>
        <v>MA.TERESA F. DOMINGO</v>
      </c>
      <c r="L1179" s="164" t="str">
        <f ca="1">IFERROR(__xludf.DUMMYFUNCTION("""COMPUTED_VALUE"""),"LEGAL")</f>
        <v>LEGAL</v>
      </c>
      <c r="M1179" s="164" t="str">
        <f ca="1">IFERROR(__xludf.DUMMYFUNCTION("""COMPUTED_VALUE"""),"SERVICEABLE")</f>
        <v>SERVICEABLE</v>
      </c>
      <c r="N1179" s="164"/>
    </row>
    <row r="1180" spans="1:14" ht="13.2" hidden="1">
      <c r="A1180" s="164" t="str">
        <f ca="1">IFERROR(__xludf.DUMMYFUNCTION("""COMPUTED_VALUE"""),"Region II")</f>
        <v>Region II</v>
      </c>
      <c r="B1180" s="164" t="str">
        <f ca="1">IFERROR(__xludf.DUMMYFUNCTION("""COMPUTED_VALUE"""),"BATANES")</f>
        <v>BATANES</v>
      </c>
      <c r="C1180" s="164" t="str">
        <f ca="1">IFERROR(__xludf.DUMMYFUNCTION("""COMPUTED_VALUE"""),"Desktop Computer – (Lenovo M70T)")</f>
        <v>Desktop Computer – (Lenovo M70T)</v>
      </c>
      <c r="D1180" s="164" t="str">
        <f ca="1">IFERROR(__xludf.DUMMYFUNCTION("""COMPUTED_VALUE"""),"₱ 75,468.00")</f>
        <v>₱ 75,468.00</v>
      </c>
      <c r="E1180" s="164" t="str">
        <f ca="1">IFERROR(__xludf.DUMMYFUNCTION("""COMPUTED_VALUE"""),"₱ -")</f>
        <v>₱ -</v>
      </c>
      <c r="F1180" s="164" t="str">
        <f ca="1">IFERROR(__xludf.DUMMYFUNCTION("""COMPUTED_VALUE"""),"2023-05-03-10201-SP47-01")</f>
        <v>2023-05-03-10201-SP47-01</v>
      </c>
      <c r="G1180" s="164" t="str">
        <f ca="1">IFERROR(__xludf.DUMMYFUNCTION("""COMPUTED_VALUE"""),"1S11T5S16200GM0418CJ")</f>
        <v>1S11T5S16200GM0418CJ</v>
      </c>
      <c r="H1180" s="164" t="str">
        <f ca="1">IFERROR(__xludf.DUMMYFUNCTION("""COMPUTED_VALUE"""),"SARA E. NOBLEZA")</f>
        <v>SARA E. NOBLEZA</v>
      </c>
      <c r="I1180" s="164" t="str">
        <f ca="1">IFERROR(__xludf.DUMMYFUNCTION("""COMPUTED_VALUE"""),"A.A VI// Property Custodian")</f>
        <v>A.A VI// Property Custodian</v>
      </c>
      <c r="J1180" s="164" t="str">
        <f ca="1">IFERROR(__xludf.DUMMYFUNCTION("""COMPUTED_VALUE"""),"2023-04-0006")</f>
        <v>2023-04-0006</v>
      </c>
      <c r="K1180" s="164" t="str">
        <f ca="1">IFERROR(__xludf.DUMMYFUNCTION("""COMPUTED_VALUE"""),"JAMES C. VARGAS")</f>
        <v>JAMES C. VARGAS</v>
      </c>
      <c r="L1180" s="164" t="str">
        <f ca="1">IFERROR(__xludf.DUMMYFUNCTION("""COMPUTED_VALUE"""),"LTID")</f>
        <v>LTID</v>
      </c>
      <c r="M1180" s="164" t="str">
        <f ca="1">IFERROR(__xludf.DUMMYFUNCTION("""COMPUTED_VALUE"""),"SERVICEABLE")</f>
        <v>SERVICEABLE</v>
      </c>
      <c r="N1180" s="164"/>
    </row>
    <row r="1181" spans="1:14" ht="13.2" hidden="1">
      <c r="A1181" s="164" t="str">
        <f ca="1">IFERROR(__xludf.DUMMYFUNCTION("""COMPUTED_VALUE"""),"Region II")</f>
        <v>Region II</v>
      </c>
      <c r="B1181" s="164" t="str">
        <f ca="1">IFERROR(__xludf.DUMMYFUNCTION("""COMPUTED_VALUE"""),"CAGAYAN")</f>
        <v>CAGAYAN</v>
      </c>
      <c r="C1181" s="164" t="str">
        <f ca="1">IFERROR(__xludf.DUMMYFUNCTION("""COMPUTED_VALUE"""),"Desktop Computer – (Lenovo M70T)")</f>
        <v>Desktop Computer – (Lenovo M70T)</v>
      </c>
      <c r="D1181" s="164" t="str">
        <f ca="1">IFERROR(__xludf.DUMMYFUNCTION("""COMPUTED_VALUE"""),"₱ 75,468.00")</f>
        <v>₱ 75,468.00</v>
      </c>
      <c r="E1181" s="164" t="str">
        <f ca="1">IFERROR(__xludf.DUMMYFUNCTION("""COMPUTED_VALUE"""),"₱ -")</f>
        <v>₱ -</v>
      </c>
      <c r="F1181" s="164" t="str">
        <f ca="1">IFERROR(__xludf.DUMMYFUNCTION("""COMPUTED_VALUE"""),"2023-05-03-10201SP686-01")</f>
        <v>2023-05-03-10201SP686-01</v>
      </c>
      <c r="G1181" s="164" t="str">
        <f ca="1">IFERROR(__xludf.DUMMYFUNCTION("""COMPUTED_VALUE"""),"1S11T5S16200GM0415Y9")</f>
        <v>1S11T5S16200GM0415Y9</v>
      </c>
      <c r="H1181" s="164" t="str">
        <f ca="1">IFERROR(__xludf.DUMMYFUNCTION("""COMPUTED_VALUE"""),"ELEUTERIO DE LEON JR.")</f>
        <v>ELEUTERIO DE LEON JR.</v>
      </c>
      <c r="I1181" s="164" t="str">
        <f ca="1">IFERROR(__xludf.DUMMYFUNCTION("""COMPUTED_VALUE"""),"AO IV/ GSO Head")</f>
        <v>AO IV/ GSO Head</v>
      </c>
      <c r="J1181" s="164" t="str">
        <f ca="1">IFERROR(__xludf.DUMMYFUNCTION("""COMPUTED_VALUE"""),"2023.062107")</f>
        <v>2023.062107</v>
      </c>
      <c r="K1181" s="164" t="str">
        <f ca="1">IFERROR(__xludf.DUMMYFUNCTION("""COMPUTED_VALUE"""),"MARY GRACE JUAN")</f>
        <v>MARY GRACE JUAN</v>
      </c>
      <c r="L1181" s="164" t="str">
        <f ca="1">IFERROR(__xludf.DUMMYFUNCTION("""COMPUTED_VALUE"""),"SPLIT")</f>
        <v>SPLIT</v>
      </c>
      <c r="M1181" s="164" t="str">
        <f ca="1">IFERROR(__xludf.DUMMYFUNCTION("""COMPUTED_VALUE"""),"SERVICEABLE")</f>
        <v>SERVICEABLE</v>
      </c>
      <c r="N1181" s="164" t="str">
        <f ca="1">IFERROR(__xludf.DUMMYFUNCTION("""COMPUTED_VALUE"""),"UNSERVICEABLE UPS")</f>
        <v>UNSERVICEABLE UPS</v>
      </c>
    </row>
    <row r="1182" spans="1:14" ht="13.2" hidden="1">
      <c r="A1182" s="164" t="str">
        <f ca="1">IFERROR(__xludf.DUMMYFUNCTION("""COMPUTED_VALUE"""),"Region II")</f>
        <v>Region II</v>
      </c>
      <c r="B1182" s="164" t="str">
        <f ca="1">IFERROR(__xludf.DUMMYFUNCTION("""COMPUTED_VALUE"""),"CAGAYAN")</f>
        <v>CAGAYAN</v>
      </c>
      <c r="C1182" s="164" t="str">
        <f ca="1">IFERROR(__xludf.DUMMYFUNCTION("""COMPUTED_VALUE"""),"Desktop Computer – (Lenovo M70T)")</f>
        <v>Desktop Computer – (Lenovo M70T)</v>
      </c>
      <c r="D1182" s="164" t="str">
        <f ca="1">IFERROR(__xludf.DUMMYFUNCTION("""COMPUTED_VALUE"""),"₱ 75,468.00")</f>
        <v>₱ 75,468.00</v>
      </c>
      <c r="E1182" s="164" t="str">
        <f ca="1">IFERROR(__xludf.DUMMYFUNCTION("""COMPUTED_VALUE"""),"₱ -")</f>
        <v>₱ -</v>
      </c>
      <c r="F1182" s="164" t="str">
        <f ca="1">IFERROR(__xludf.DUMMYFUNCTION("""COMPUTED_VALUE"""),"2023-05-03-10201-6P705-01")</f>
        <v>2023-05-03-10201-6P705-01</v>
      </c>
      <c r="G1182" s="164" t="str">
        <f ca="1">IFERROR(__xludf.DUMMYFUNCTION("""COMPUTED_VALUE"""),"1S11T5S16200GM041AX7")</f>
        <v>1S11T5S16200GM041AX7</v>
      </c>
      <c r="H1182" s="164" t="str">
        <f ca="1">IFERROR(__xludf.DUMMYFUNCTION("""COMPUTED_VALUE"""),"ELEUTERIO DE LEON JR.")</f>
        <v>ELEUTERIO DE LEON JR.</v>
      </c>
      <c r="I1182" s="164" t="str">
        <f ca="1">IFERROR(__xludf.DUMMYFUNCTION("""COMPUTED_VALUE"""),"AO IV/ GSO Head")</f>
        <v>AO IV/ GSO Head</v>
      </c>
      <c r="J1182" s="164" t="str">
        <f ca="1">IFERROR(__xludf.DUMMYFUNCTION("""COMPUTED_VALUE"""),"2023062108")</f>
        <v>2023062108</v>
      </c>
      <c r="K1182" s="164" t="str">
        <f ca="1">IFERROR(__xludf.DUMMYFUNCTION("""COMPUTED_VALUE"""),"MA. ANGELICA JOY E. MANAUIS")</f>
        <v>MA. ANGELICA JOY E. MANAUIS</v>
      </c>
      <c r="L1182" s="164" t="str">
        <f ca="1">IFERROR(__xludf.DUMMYFUNCTION("""COMPUTED_VALUE"""),"SPLIT")</f>
        <v>SPLIT</v>
      </c>
      <c r="M1182" s="164" t="str">
        <f ca="1">IFERROR(__xludf.DUMMYFUNCTION("""COMPUTED_VALUE"""),"SERVICEABLE")</f>
        <v>SERVICEABLE</v>
      </c>
      <c r="N1182" s="164" t="str">
        <f ca="1">IFERROR(__xludf.DUMMYFUNCTION("""COMPUTED_VALUE"""),"actual unit 2023-05-03-10201-6P706-01")</f>
        <v>actual unit 2023-05-03-10201-6P706-01</v>
      </c>
    </row>
    <row r="1183" spans="1:14" ht="13.2" hidden="1">
      <c r="A1183" s="164" t="str">
        <f ca="1">IFERROR(__xludf.DUMMYFUNCTION("""COMPUTED_VALUE"""),"Region II")</f>
        <v>Region II</v>
      </c>
      <c r="B1183" s="164" t="str">
        <f ca="1">IFERROR(__xludf.DUMMYFUNCTION("""COMPUTED_VALUE"""),"CAGAYAN")</f>
        <v>CAGAYAN</v>
      </c>
      <c r="C1183" s="164" t="str">
        <f ca="1">IFERROR(__xludf.DUMMYFUNCTION("""COMPUTED_VALUE"""),"Desktop Computer – (Lenovo M70T)")</f>
        <v>Desktop Computer – (Lenovo M70T)</v>
      </c>
      <c r="D1183" s="164" t="str">
        <f ca="1">IFERROR(__xludf.DUMMYFUNCTION("""COMPUTED_VALUE"""),"₱ 75,468.00")</f>
        <v>₱ 75,468.00</v>
      </c>
      <c r="E1183" s="164" t="str">
        <f ca="1">IFERROR(__xludf.DUMMYFUNCTION("""COMPUTED_VALUE"""),"₱ -")</f>
        <v>₱ -</v>
      </c>
      <c r="F1183" s="164" t="str">
        <f ca="1">IFERROR(__xludf.DUMMYFUNCTION("""COMPUTED_VALUE"""),"2023-05-03-10201-SP707-01")</f>
        <v>2023-05-03-10201-SP707-01</v>
      </c>
      <c r="G1183" s="164" t="str">
        <f ca="1">IFERROR(__xludf.DUMMYFUNCTION("""COMPUTED_VALUE"""),"1S11T5S16200GM041AW2")</f>
        <v>1S11T5S16200GM041AW2</v>
      </c>
      <c r="H1183" s="164" t="str">
        <f ca="1">IFERROR(__xludf.DUMMYFUNCTION("""COMPUTED_VALUE"""),"ELEUTERIO DE LEON JR.")</f>
        <v>ELEUTERIO DE LEON JR.</v>
      </c>
      <c r="I1183" s="164" t="str">
        <f ca="1">IFERROR(__xludf.DUMMYFUNCTION("""COMPUTED_VALUE"""),"AO IV/ GSO Head")</f>
        <v>AO IV/ GSO Head</v>
      </c>
      <c r="J1183" s="164" t="str">
        <f ca="1">IFERROR(__xludf.DUMMYFUNCTION("""COMPUTED_VALUE"""),"2023-0621-09")</f>
        <v>2023-0621-09</v>
      </c>
      <c r="K1183" s="164" t="str">
        <f ca="1">IFERROR(__xludf.DUMMYFUNCTION("""COMPUTED_VALUE"""),"MARJAY LICAYO")</f>
        <v>MARJAY LICAYO</v>
      </c>
      <c r="L1183" s="164" t="str">
        <f ca="1">IFERROR(__xludf.DUMMYFUNCTION("""COMPUTED_VALUE"""),"SPLIT")</f>
        <v>SPLIT</v>
      </c>
      <c r="M1183" s="164" t="str">
        <f ca="1">IFERROR(__xludf.DUMMYFUNCTION("""COMPUTED_VALUE"""),"SERVICEABLE")</f>
        <v>SERVICEABLE</v>
      </c>
      <c r="N1183" s="164"/>
    </row>
    <row r="1184" spans="1:14" ht="13.2" hidden="1">
      <c r="A1184" s="164" t="str">
        <f ca="1">IFERROR(__xludf.DUMMYFUNCTION("""COMPUTED_VALUE"""),"Region II")</f>
        <v>Region II</v>
      </c>
      <c r="B1184" s="164" t="str">
        <f ca="1">IFERROR(__xludf.DUMMYFUNCTION("""COMPUTED_VALUE"""),"CAGAYAN")</f>
        <v>CAGAYAN</v>
      </c>
      <c r="C1184" s="164" t="str">
        <f ca="1">IFERROR(__xludf.DUMMYFUNCTION("""COMPUTED_VALUE"""),"Desktop Computer – (Lenovo M70T)")</f>
        <v>Desktop Computer – (Lenovo M70T)</v>
      </c>
      <c r="D1184" s="164" t="str">
        <f ca="1">IFERROR(__xludf.DUMMYFUNCTION("""COMPUTED_VALUE"""),"₱ 75,468.00")</f>
        <v>₱ 75,468.00</v>
      </c>
      <c r="E1184" s="164" t="str">
        <f ca="1">IFERROR(__xludf.DUMMYFUNCTION("""COMPUTED_VALUE"""),"₱ -")</f>
        <v>₱ -</v>
      </c>
      <c r="F1184" s="164" t="str">
        <f ca="1">IFERROR(__xludf.DUMMYFUNCTION("""COMPUTED_VALUE"""),"2023-05-03-10201-SP754-01")</f>
        <v>2023-05-03-10201-SP754-01</v>
      </c>
      <c r="G1184" s="164" t="str">
        <f ca="1">IFERROR(__xludf.DUMMYFUNCTION("""COMPUTED_VALUE"""),"0")</f>
        <v>0</v>
      </c>
      <c r="H1184" s="164" t="str">
        <f ca="1">IFERROR(__xludf.DUMMYFUNCTION("""COMPUTED_VALUE"""),"ELEUTERIO DE LEON JR.")</f>
        <v>ELEUTERIO DE LEON JR.</v>
      </c>
      <c r="I1184" s="164" t="str">
        <f ca="1">IFERROR(__xludf.DUMMYFUNCTION("""COMPUTED_VALUE"""),"AO IV/ GSO Head")</f>
        <v>AO IV/ GSO Head</v>
      </c>
      <c r="J1184" s="164" t="str">
        <f ca="1">IFERROR(__xludf.DUMMYFUNCTION("""COMPUTED_VALUE"""),"2023-0621-10")</f>
        <v>2023-0621-10</v>
      </c>
      <c r="K1184" s="164" t="str">
        <f ca="1">IFERROR(__xludf.DUMMYFUNCTION("""COMPUTED_VALUE"""),"MYRA DELA ROSA")</f>
        <v>MYRA DELA ROSA</v>
      </c>
      <c r="L1184" s="164" t="str">
        <f ca="1">IFERROR(__xludf.DUMMYFUNCTION("""COMPUTED_VALUE"""),"SPLIT")</f>
        <v>SPLIT</v>
      </c>
      <c r="M1184" s="164" t="str">
        <f ca="1">IFERROR(__xludf.DUMMYFUNCTION("""COMPUTED_VALUE"""),"SERVICEABLE")</f>
        <v>SERVICEABLE</v>
      </c>
      <c r="N1184" s="164"/>
    </row>
    <row r="1185" spans="1:14" ht="13.2" hidden="1">
      <c r="A1185" s="164" t="str">
        <f ca="1">IFERROR(__xludf.DUMMYFUNCTION("""COMPUTED_VALUE"""),"Region II")</f>
        <v>Region II</v>
      </c>
      <c r="B1185" s="164" t="str">
        <f ca="1">IFERROR(__xludf.DUMMYFUNCTION("""COMPUTED_VALUE"""),"CAGAYAN")</f>
        <v>CAGAYAN</v>
      </c>
      <c r="C1185" s="164" t="str">
        <f ca="1">IFERROR(__xludf.DUMMYFUNCTION("""COMPUTED_VALUE"""),"Desktop Computer – (Lenovo M70T)")</f>
        <v>Desktop Computer – (Lenovo M70T)</v>
      </c>
      <c r="D1185" s="164" t="str">
        <f ca="1">IFERROR(__xludf.DUMMYFUNCTION("""COMPUTED_VALUE"""),"₱ 75,468.00")</f>
        <v>₱ 75,468.00</v>
      </c>
      <c r="E1185" s="164" t="str">
        <f ca="1">IFERROR(__xludf.DUMMYFUNCTION("""COMPUTED_VALUE"""),"₱ -")</f>
        <v>₱ -</v>
      </c>
      <c r="F1185" s="164" t="str">
        <f ca="1">IFERROR(__xludf.DUMMYFUNCTION("""COMPUTED_VALUE"""),"2023-05-03-10201-8P720-01")</f>
        <v>2023-05-03-10201-8P720-01</v>
      </c>
      <c r="G1185" s="164" t="str">
        <f ca="1">IFERROR(__xludf.DUMMYFUNCTION("""COMPUTED_VALUE"""),"1S11T5S16200GM041AT6")</f>
        <v>1S11T5S16200GM041AT6</v>
      </c>
      <c r="H1185" s="164" t="str">
        <f ca="1">IFERROR(__xludf.DUMMYFUNCTION("""COMPUTED_VALUE"""),"ELEUTERIO DE LEON JR.")</f>
        <v>ELEUTERIO DE LEON JR.</v>
      </c>
      <c r="I1185" s="164" t="str">
        <f ca="1">IFERROR(__xludf.DUMMYFUNCTION("""COMPUTED_VALUE"""),"AO IV/ GSO Head")</f>
        <v>AO IV/ GSO Head</v>
      </c>
      <c r="J1185" s="164" t="str">
        <f ca="1">IFERROR(__xludf.DUMMYFUNCTION("""COMPUTED_VALUE"""),"2023-0621-11")</f>
        <v>2023-0621-11</v>
      </c>
      <c r="K1185" s="164" t="str">
        <f ca="1">IFERROR(__xludf.DUMMYFUNCTION("""COMPUTED_VALUE"""),"JESLYN FUGGAN")</f>
        <v>JESLYN FUGGAN</v>
      </c>
      <c r="L1185" s="164" t="str">
        <f ca="1">IFERROR(__xludf.DUMMYFUNCTION("""COMPUTED_VALUE"""),"SPLIT")</f>
        <v>SPLIT</v>
      </c>
      <c r="M1185" s="164" t="str">
        <f ca="1">IFERROR(__xludf.DUMMYFUNCTION("""COMPUTED_VALUE"""),"SERVICEABLE")</f>
        <v>SERVICEABLE</v>
      </c>
      <c r="N1185" s="164"/>
    </row>
    <row r="1186" spans="1:14" ht="13.2" hidden="1">
      <c r="A1186" s="164" t="str">
        <f ca="1">IFERROR(__xludf.DUMMYFUNCTION("""COMPUTED_VALUE"""),"Region II")</f>
        <v>Region II</v>
      </c>
      <c r="B1186" s="164" t="str">
        <f ca="1">IFERROR(__xludf.DUMMYFUNCTION("""COMPUTED_VALUE"""),"CAGAYAN")</f>
        <v>CAGAYAN</v>
      </c>
      <c r="C1186" s="164" t="str">
        <f ca="1">IFERROR(__xludf.DUMMYFUNCTION("""COMPUTED_VALUE"""),"Desktop Computer – (Lenovo M70T)")</f>
        <v>Desktop Computer – (Lenovo M70T)</v>
      </c>
      <c r="D1186" s="164" t="str">
        <f ca="1">IFERROR(__xludf.DUMMYFUNCTION("""COMPUTED_VALUE"""),"₱ 75,468.00")</f>
        <v>₱ 75,468.00</v>
      </c>
      <c r="E1186" s="164" t="str">
        <f ca="1">IFERROR(__xludf.DUMMYFUNCTION("""COMPUTED_VALUE"""),"₱ -")</f>
        <v>₱ -</v>
      </c>
      <c r="F1186" s="164" t="str">
        <f ca="1">IFERROR(__xludf.DUMMYFUNCTION("""COMPUTED_VALUE"""),"2023-05-03-10201-5P743-01")</f>
        <v>2023-05-03-10201-5P743-01</v>
      </c>
      <c r="G1186" s="164" t="str">
        <f ca="1">IFERROR(__xludf.DUMMYFUNCTION("""COMPUTED_VALUE"""),"1S11T5S16200GM0415Z6")</f>
        <v>1S11T5S16200GM0415Z6</v>
      </c>
      <c r="H1186" s="164" t="str">
        <f ca="1">IFERROR(__xludf.DUMMYFUNCTION("""COMPUTED_VALUE"""),"ELEUTERIO DE LEON JR.")</f>
        <v>ELEUTERIO DE LEON JR.</v>
      </c>
      <c r="I1186" s="164" t="str">
        <f ca="1">IFERROR(__xludf.DUMMYFUNCTION("""COMPUTED_VALUE"""),"AO IV/ GSO Head")</f>
        <v>AO IV/ GSO Head</v>
      </c>
      <c r="J1186" s="164" t="str">
        <f ca="1">IFERROR(__xludf.DUMMYFUNCTION("""COMPUTED_VALUE"""),"2023-0621-12")</f>
        <v>2023-0621-12</v>
      </c>
      <c r="K1186" s="164" t="str">
        <f ca="1">IFERROR(__xludf.DUMMYFUNCTION("""COMPUTED_VALUE"""),"JAYBEELOU B. RAVELO")</f>
        <v>JAYBEELOU B. RAVELO</v>
      </c>
      <c r="L1186" s="164" t="str">
        <f ca="1">IFERROR(__xludf.DUMMYFUNCTION("""COMPUTED_VALUE"""),"SPLIT")</f>
        <v>SPLIT</v>
      </c>
      <c r="M1186" s="164" t="str">
        <f ca="1">IFERROR(__xludf.DUMMYFUNCTION("""COMPUTED_VALUE"""),"SERVICEABLE")</f>
        <v>SERVICEABLE</v>
      </c>
      <c r="N1186" s="164"/>
    </row>
    <row r="1187" spans="1:14" ht="13.2" hidden="1">
      <c r="A1187" s="164" t="str">
        <f ca="1">IFERROR(__xludf.DUMMYFUNCTION("""COMPUTED_VALUE"""),"Region II")</f>
        <v>Region II</v>
      </c>
      <c r="B1187" s="164" t="str">
        <f ca="1">IFERROR(__xludf.DUMMYFUNCTION("""COMPUTED_VALUE"""),"CAGAYAN")</f>
        <v>CAGAYAN</v>
      </c>
      <c r="C1187" s="164" t="str">
        <f ca="1">IFERROR(__xludf.DUMMYFUNCTION("""COMPUTED_VALUE"""),"Desktop Computer – (Lenovo M70T)")</f>
        <v>Desktop Computer – (Lenovo M70T)</v>
      </c>
      <c r="D1187" s="164" t="str">
        <f ca="1">IFERROR(__xludf.DUMMYFUNCTION("""COMPUTED_VALUE"""),"₱ 75,468.00")</f>
        <v>₱ 75,468.00</v>
      </c>
      <c r="E1187" s="164" t="str">
        <f ca="1">IFERROR(__xludf.DUMMYFUNCTION("""COMPUTED_VALUE"""),"₱ -")</f>
        <v>₱ -</v>
      </c>
      <c r="F1187" s="164" t="str">
        <f ca="1">IFERROR(__xludf.DUMMYFUNCTION("""COMPUTED_VALUE"""),"2023-05-03-10201-SP736-01")</f>
        <v>2023-05-03-10201-SP736-01</v>
      </c>
      <c r="G1187" s="164" t="str">
        <f ca="1">IFERROR(__xludf.DUMMYFUNCTION("""COMPUTED_VALUE"""),"1S11T5S16200GM0418D7")</f>
        <v>1S11T5S16200GM0418D7</v>
      </c>
      <c r="H1187" s="164" t="str">
        <f ca="1">IFERROR(__xludf.DUMMYFUNCTION("""COMPUTED_VALUE"""),"JEZRAEL CABADING")</f>
        <v>JEZRAEL CABADING</v>
      </c>
      <c r="I1187" s="164" t="str">
        <f ca="1">IFERROR(__xludf.DUMMYFUNCTION("""COMPUTED_VALUE"""),"AO IV/ GSO Head")</f>
        <v>AO IV/ GSO Head</v>
      </c>
      <c r="J1187" s="164" t="str">
        <f ca="1">IFERROR(__xludf.DUMMYFUNCTION("""COMPUTED_VALUE"""),"2023-0621-13")</f>
        <v>2023-0621-13</v>
      </c>
      <c r="K1187" s="164" t="str">
        <f ca="1">IFERROR(__xludf.DUMMYFUNCTION("""COMPUTED_VALUE"""),"JEZRAEL CABADING")</f>
        <v>JEZRAEL CABADING</v>
      </c>
      <c r="L1187" s="164" t="str">
        <f ca="1">IFERROR(__xludf.DUMMYFUNCTION("""COMPUTED_VALUE"""),"PBDD")</f>
        <v>PBDD</v>
      </c>
      <c r="M1187" s="164" t="str">
        <f ca="1">IFERROR(__xludf.DUMMYFUNCTION("""COMPUTED_VALUE"""),"SERVICEABLE")</f>
        <v>SERVICEABLE</v>
      </c>
      <c r="N1187" s="164"/>
    </row>
    <row r="1188" spans="1:14" ht="13.2" hidden="1">
      <c r="A1188" s="164" t="str">
        <f ca="1">IFERROR(__xludf.DUMMYFUNCTION("""COMPUTED_VALUE"""),"Region II")</f>
        <v>Region II</v>
      </c>
      <c r="B1188" s="164" t="str">
        <f ca="1">IFERROR(__xludf.DUMMYFUNCTION("""COMPUTED_VALUE"""),"CAGAYAN")</f>
        <v>CAGAYAN</v>
      </c>
      <c r="C1188" s="164" t="str">
        <f ca="1">IFERROR(__xludf.DUMMYFUNCTION("""COMPUTED_VALUE"""),"Desktop Computer – (Lenovo M70T)")</f>
        <v>Desktop Computer – (Lenovo M70T)</v>
      </c>
      <c r="D1188" s="164" t="str">
        <f ca="1">IFERROR(__xludf.DUMMYFUNCTION("""COMPUTED_VALUE"""),"₱ 75,468.00")</f>
        <v>₱ 75,468.00</v>
      </c>
      <c r="E1188" s="164" t="str">
        <f ca="1">IFERROR(__xludf.DUMMYFUNCTION("""COMPUTED_VALUE"""),"₱ -")</f>
        <v>₱ -</v>
      </c>
      <c r="F1188" s="164" t="str">
        <f ca="1">IFERROR(__xludf.DUMMYFUNCTION("""COMPUTED_VALUE"""),"2023-05-03-10201-8P674-01")</f>
        <v>2023-05-03-10201-8P674-01</v>
      </c>
      <c r="G1188" s="164" t="str">
        <f ca="1">IFERROR(__xludf.DUMMYFUNCTION("""COMPUTED_VALUE"""),"1S11T5S16200GM0418G7")</f>
        <v>1S11T5S16200GM0418G7</v>
      </c>
      <c r="H1188" s="164" t="str">
        <f ca="1">IFERROR(__xludf.DUMMYFUNCTION("""COMPUTED_VALUE"""),"ELEUTERIO DE LEON JR.")</f>
        <v>ELEUTERIO DE LEON JR.</v>
      </c>
      <c r="I1188" s="164" t="str">
        <f ca="1">IFERROR(__xludf.DUMMYFUNCTION("""COMPUTED_VALUE"""),"AO IV/ GSO Head")</f>
        <v>AO IV/ GSO Head</v>
      </c>
      <c r="J1188" s="164" t="str">
        <f ca="1">IFERROR(__xludf.DUMMYFUNCTION("""COMPUTED_VALUE"""),"2023-0621-14")</f>
        <v>2023-0621-14</v>
      </c>
      <c r="K1188" s="164" t="str">
        <f ca="1">IFERROR(__xludf.DUMMYFUNCTION("""COMPUTED_VALUE"""),"EUNICE SEMINIANO")</f>
        <v>EUNICE SEMINIANO</v>
      </c>
      <c r="L1188" s="164" t="str">
        <f ca="1">IFERROR(__xludf.DUMMYFUNCTION("""COMPUTED_VALUE"""),"SPLIT")</f>
        <v>SPLIT</v>
      </c>
      <c r="M1188" s="164" t="str">
        <f ca="1">IFERROR(__xludf.DUMMYFUNCTION("""COMPUTED_VALUE"""),"SERVICEABLE")</f>
        <v>SERVICEABLE</v>
      </c>
      <c r="N1188" s="164"/>
    </row>
    <row r="1189" spans="1:14" ht="13.2" hidden="1">
      <c r="A1189" s="164" t="str">
        <f ca="1">IFERROR(__xludf.DUMMYFUNCTION("""COMPUTED_VALUE"""),"Region II")</f>
        <v>Region II</v>
      </c>
      <c r="B1189" s="164" t="str">
        <f ca="1">IFERROR(__xludf.DUMMYFUNCTION("""COMPUTED_VALUE"""),"CAGAYAN")</f>
        <v>CAGAYAN</v>
      </c>
      <c r="C1189" s="164" t="str">
        <f ca="1">IFERROR(__xludf.DUMMYFUNCTION("""COMPUTED_VALUE"""),"Desktop Computer – (Lenovo M70T)")</f>
        <v>Desktop Computer – (Lenovo M70T)</v>
      </c>
      <c r="D1189" s="164" t="str">
        <f ca="1">IFERROR(__xludf.DUMMYFUNCTION("""COMPUTED_VALUE"""),"₱ 75,468.00")</f>
        <v>₱ 75,468.00</v>
      </c>
      <c r="E1189" s="164" t="str">
        <f ca="1">IFERROR(__xludf.DUMMYFUNCTION("""COMPUTED_VALUE"""),"₱ -")</f>
        <v>₱ -</v>
      </c>
      <c r="F1189" s="164" t="str">
        <f ca="1">IFERROR(__xludf.DUMMYFUNCTION("""COMPUTED_VALUE"""),"2023-05-03-10201-SP756.01")</f>
        <v>2023-05-03-10201-SP756.01</v>
      </c>
      <c r="G1189" s="164" t="str">
        <f ca="1">IFERROR(__xludf.DUMMYFUNCTION("""COMPUTED_VALUE"""),"1S11T5S16200GM0415WG")</f>
        <v>1S11T5S16200GM0415WG</v>
      </c>
      <c r="H1189" s="164" t="str">
        <f ca="1">IFERROR(__xludf.DUMMYFUNCTION("""COMPUTED_VALUE"""),"EVANGELINE ALLAG")</f>
        <v>EVANGELINE ALLAG</v>
      </c>
      <c r="I1189" s="164" t="str">
        <f ca="1">IFERROR(__xludf.DUMMYFUNCTION("""COMPUTED_VALUE"""),"MARPO")</f>
        <v>MARPO</v>
      </c>
      <c r="J1189" s="164" t="str">
        <f ca="1">IFERROR(__xludf.DUMMYFUNCTION("""COMPUTED_VALUE"""),"2023-0616-01")</f>
        <v>2023-0616-01</v>
      </c>
      <c r="K1189" s="164" t="str">
        <f ca="1">IFERROR(__xludf.DUMMYFUNCTION("""COMPUTED_VALUE"""),"EVANGELINE ALLAG")</f>
        <v>EVANGELINE ALLAG</v>
      </c>
      <c r="L1189" s="164" t="str">
        <f ca="1">IFERROR(__xludf.DUMMYFUNCTION("""COMPUTED_VALUE"""),"DARMO")</f>
        <v>DARMO</v>
      </c>
      <c r="M1189" s="164" t="str">
        <f ca="1">IFERROR(__xludf.DUMMYFUNCTION("""COMPUTED_VALUE"""),"SERVICEABLE")</f>
        <v>SERVICEABLE</v>
      </c>
      <c r="N1189" s="164"/>
    </row>
    <row r="1190" spans="1:14" ht="13.2" hidden="1">
      <c r="A1190" s="164" t="str">
        <f ca="1">IFERROR(__xludf.DUMMYFUNCTION("""COMPUTED_VALUE"""),"Region II")</f>
        <v>Region II</v>
      </c>
      <c r="B1190" s="164" t="str">
        <f ca="1">IFERROR(__xludf.DUMMYFUNCTION("""COMPUTED_VALUE"""),"CAGAYAN")</f>
        <v>CAGAYAN</v>
      </c>
      <c r="C1190" s="164" t="str">
        <f ca="1">IFERROR(__xludf.DUMMYFUNCTION("""COMPUTED_VALUE"""),"Desktop Computer – (Lenovo M70T)")</f>
        <v>Desktop Computer – (Lenovo M70T)</v>
      </c>
      <c r="D1190" s="164" t="str">
        <f ca="1">IFERROR(__xludf.DUMMYFUNCTION("""COMPUTED_VALUE"""),"₱ 75,468.00")</f>
        <v>₱ 75,468.00</v>
      </c>
      <c r="E1190" s="164" t="str">
        <f ca="1">IFERROR(__xludf.DUMMYFUNCTION("""COMPUTED_VALUE"""),"₱ -")</f>
        <v>₱ -</v>
      </c>
      <c r="F1190" s="164" t="str">
        <f ca="1">IFERROR(__xludf.DUMMYFUNCTION("""COMPUTED_VALUE"""),"2023-05-03-10201-5P721-01")</f>
        <v>2023-05-03-10201-5P721-01</v>
      </c>
      <c r="G1190" s="164" t="str">
        <f ca="1">IFERROR(__xludf.DUMMYFUNCTION("""COMPUTED_VALUE"""),"1S11T5S16200GM041APQ")</f>
        <v>1S11T5S16200GM041APQ</v>
      </c>
      <c r="H1190" s="164" t="str">
        <f ca="1">IFERROR(__xludf.DUMMYFUNCTION("""COMPUTED_VALUE"""),"MELINDA LIGAS")</f>
        <v>MELINDA LIGAS</v>
      </c>
      <c r="I1190" s="164" t="str">
        <f ca="1">IFERROR(__xludf.DUMMYFUNCTION("""COMPUTED_VALUE"""),"MARPO")</f>
        <v>MARPO</v>
      </c>
      <c r="J1190" s="164" t="str">
        <f ca="1">IFERROR(__xludf.DUMMYFUNCTION("""COMPUTED_VALUE"""),"2023-0616-02")</f>
        <v>2023-0616-02</v>
      </c>
      <c r="K1190" s="164" t="str">
        <f ca="1">IFERROR(__xludf.DUMMYFUNCTION("""COMPUTED_VALUE"""),"MELINDA LIGAS")</f>
        <v>MELINDA LIGAS</v>
      </c>
      <c r="L1190" s="164" t="str">
        <f ca="1">IFERROR(__xludf.DUMMYFUNCTION("""COMPUTED_VALUE"""),"DARMO")</f>
        <v>DARMO</v>
      </c>
      <c r="M1190" s="164" t="str">
        <f ca="1">IFERROR(__xludf.DUMMYFUNCTION("""COMPUTED_VALUE"""),"SERVICEABLE")</f>
        <v>SERVICEABLE</v>
      </c>
      <c r="N1190" s="164"/>
    </row>
    <row r="1191" spans="1:14" ht="13.2" hidden="1">
      <c r="A1191" s="164" t="str">
        <f ca="1">IFERROR(__xludf.DUMMYFUNCTION("""COMPUTED_VALUE"""),"Region II")</f>
        <v>Region II</v>
      </c>
      <c r="B1191" s="164" t="str">
        <f ca="1">IFERROR(__xludf.DUMMYFUNCTION("""COMPUTED_VALUE"""),"CAGAYAN")</f>
        <v>CAGAYAN</v>
      </c>
      <c r="C1191" s="164" t="str">
        <f ca="1">IFERROR(__xludf.DUMMYFUNCTION("""COMPUTED_VALUE"""),"Desktop Computer – (Lenovo M70T)")</f>
        <v>Desktop Computer – (Lenovo M70T)</v>
      </c>
      <c r="D1191" s="164" t="str">
        <f ca="1">IFERROR(__xludf.DUMMYFUNCTION("""COMPUTED_VALUE"""),"₱ 75,468.00")</f>
        <v>₱ 75,468.00</v>
      </c>
      <c r="E1191" s="164" t="str">
        <f ca="1">IFERROR(__xludf.DUMMYFUNCTION("""COMPUTED_VALUE"""),"₱ -")</f>
        <v>₱ -</v>
      </c>
      <c r="F1191" s="164" t="str">
        <f ca="1">IFERROR(__xludf.DUMMYFUNCTION("""COMPUTED_VALUE"""),"2023-05-03-10201-6P761-01")</f>
        <v>2023-05-03-10201-6P761-01</v>
      </c>
      <c r="G1191" s="164" t="str">
        <f ca="1">IFERROR(__xludf.DUMMYFUNCTION("""COMPUTED_VALUE"""),"0")</f>
        <v>0</v>
      </c>
      <c r="H1191" s="164" t="str">
        <f ca="1">IFERROR(__xludf.DUMMYFUNCTION("""COMPUTED_VALUE"""),"VALENTE MABBORANG")</f>
        <v>VALENTE MABBORANG</v>
      </c>
      <c r="I1191" s="164" t="str">
        <f ca="1">IFERROR(__xludf.DUMMYFUNCTION("""COMPUTED_VALUE"""),"MARPO")</f>
        <v>MARPO</v>
      </c>
      <c r="J1191" s="164" t="str">
        <f ca="1">IFERROR(__xludf.DUMMYFUNCTION("""COMPUTED_VALUE"""),"2023-0616-03")</f>
        <v>2023-0616-03</v>
      </c>
      <c r="K1191" s="164" t="str">
        <f ca="1">IFERROR(__xludf.DUMMYFUNCTION("""COMPUTED_VALUE"""),"VALENTE MABBORANG")</f>
        <v>VALENTE MABBORANG</v>
      </c>
      <c r="L1191" s="164" t="str">
        <f ca="1">IFERROR(__xludf.DUMMYFUNCTION("""COMPUTED_VALUE"""),"DARMO")</f>
        <v>DARMO</v>
      </c>
      <c r="M1191" s="164" t="str">
        <f ca="1">IFERROR(__xludf.DUMMYFUNCTION("""COMPUTED_VALUE"""),"SERVICEABLE")</f>
        <v>SERVICEABLE</v>
      </c>
      <c r="N1191" s="164" t="str">
        <f ca="1">IFERROR(__xludf.DUMMYFUNCTION("""COMPUTED_VALUE"""),"actual unit 2023-05-03-10201-SP751-01")</f>
        <v>actual unit 2023-05-03-10201-SP751-01</v>
      </c>
    </row>
    <row r="1192" spans="1:14" ht="13.2" hidden="1">
      <c r="A1192" s="164" t="str">
        <f ca="1">IFERROR(__xludf.DUMMYFUNCTION("""COMPUTED_VALUE"""),"Region II")</f>
        <v>Region II</v>
      </c>
      <c r="B1192" s="164" t="str">
        <f ca="1">IFERROR(__xludf.DUMMYFUNCTION("""COMPUTED_VALUE"""),"CAGAYAN")</f>
        <v>CAGAYAN</v>
      </c>
      <c r="C1192" s="164" t="str">
        <f ca="1">IFERROR(__xludf.DUMMYFUNCTION("""COMPUTED_VALUE"""),"Desktop Computer – (Lenovo M70T)")</f>
        <v>Desktop Computer – (Lenovo M70T)</v>
      </c>
      <c r="D1192" s="164" t="str">
        <f ca="1">IFERROR(__xludf.DUMMYFUNCTION("""COMPUTED_VALUE"""),"₱ 75,468.00")</f>
        <v>₱ 75,468.00</v>
      </c>
      <c r="E1192" s="164" t="str">
        <f ca="1">IFERROR(__xludf.DUMMYFUNCTION("""COMPUTED_VALUE"""),"₱ -")</f>
        <v>₱ -</v>
      </c>
      <c r="F1192" s="164" t="str">
        <f ca="1">IFERROR(__xludf.DUMMYFUNCTION("""COMPUTED_VALUE"""),"2023-05-03-10201-SP723.01")</f>
        <v>2023-05-03-10201-SP723.01</v>
      </c>
      <c r="G1192" s="164" t="str">
        <f ca="1">IFERROR(__xludf.DUMMYFUNCTION("""COMPUTED_VALUE"""),"1S11T5S16200GM0418CN")</f>
        <v>1S11T5S16200GM0418CN</v>
      </c>
      <c r="H1192" s="164" t="str">
        <f ca="1">IFERROR(__xludf.DUMMYFUNCTION("""COMPUTED_VALUE"""),"SANTIAGO MABBORANG, JR.")</f>
        <v>SANTIAGO MABBORANG, JR.</v>
      </c>
      <c r="I1192" s="164" t="str">
        <f ca="1">IFERROR(__xludf.DUMMYFUNCTION("""COMPUTED_VALUE"""),"MARPO")</f>
        <v>MARPO</v>
      </c>
      <c r="J1192" s="164" t="str">
        <f ca="1">IFERROR(__xludf.DUMMYFUNCTION("""COMPUTED_VALUE"""),"2023-0616-04")</f>
        <v>2023-0616-04</v>
      </c>
      <c r="K1192" s="164" t="str">
        <f ca="1">IFERROR(__xludf.DUMMYFUNCTION("""COMPUTED_VALUE"""),"SANTIAGO MABBORANG, JR.")</f>
        <v>SANTIAGO MABBORANG, JR.</v>
      </c>
      <c r="L1192" s="164" t="str">
        <f ca="1">IFERROR(__xludf.DUMMYFUNCTION("""COMPUTED_VALUE"""),"DARMO")</f>
        <v>DARMO</v>
      </c>
      <c r="M1192" s="164" t="str">
        <f ca="1">IFERROR(__xludf.DUMMYFUNCTION("""COMPUTED_VALUE"""),"SERVICEABLE")</f>
        <v>SERVICEABLE</v>
      </c>
      <c r="N1192" s="164" t="str">
        <f ca="1">IFERROR(__xludf.DUMMYFUNCTION("""COMPUTED_VALUE"""),"UNSERVICEABLE PRINTER AND MONITOR")</f>
        <v>UNSERVICEABLE PRINTER AND MONITOR</v>
      </c>
    </row>
    <row r="1193" spans="1:14" ht="13.2" hidden="1">
      <c r="A1193" s="164" t="str">
        <f ca="1">IFERROR(__xludf.DUMMYFUNCTION("""COMPUTED_VALUE"""),"Region II")</f>
        <v>Region II</v>
      </c>
      <c r="B1193" s="164" t="str">
        <f ca="1">IFERROR(__xludf.DUMMYFUNCTION("""COMPUTED_VALUE"""),"CAGAYAN")</f>
        <v>CAGAYAN</v>
      </c>
      <c r="C1193" s="164" t="str">
        <f ca="1">IFERROR(__xludf.DUMMYFUNCTION("""COMPUTED_VALUE"""),"Desktop Computer – (Lenovo M70T)")</f>
        <v>Desktop Computer – (Lenovo M70T)</v>
      </c>
      <c r="D1193" s="164" t="str">
        <f ca="1">IFERROR(__xludf.DUMMYFUNCTION("""COMPUTED_VALUE"""),"₱ 75,468.00")</f>
        <v>₱ 75,468.00</v>
      </c>
      <c r="E1193" s="164" t="str">
        <f ca="1">IFERROR(__xludf.DUMMYFUNCTION("""COMPUTED_VALUE"""),"₱ -")</f>
        <v>₱ -</v>
      </c>
      <c r="F1193" s="164" t="str">
        <f ca="1">IFERROR(__xludf.DUMMYFUNCTION("""COMPUTED_VALUE"""),"2023-05-03-10201-SP729.01")</f>
        <v>2023-05-03-10201-SP729.01</v>
      </c>
      <c r="G1193" s="164" t="str">
        <f ca="1">IFERROR(__xludf.DUMMYFUNCTION("""COMPUTED_VALUE"""),"0")</f>
        <v>0</v>
      </c>
      <c r="H1193" s="164" t="str">
        <f ca="1">IFERROR(__xludf.DUMMYFUNCTION("""COMPUTED_VALUE"""),"EDGAR CORDOVA")</f>
        <v>EDGAR CORDOVA</v>
      </c>
      <c r="I1193" s="164" t="str">
        <f ca="1">IFERROR(__xludf.DUMMYFUNCTION("""COMPUTED_VALUE"""),"MARPO")</f>
        <v>MARPO</v>
      </c>
      <c r="J1193" s="164" t="str">
        <f ca="1">IFERROR(__xludf.DUMMYFUNCTION("""COMPUTED_VALUE"""),"2023-0616-05")</f>
        <v>2023-0616-05</v>
      </c>
      <c r="K1193" s="164" t="str">
        <f ca="1">IFERROR(__xludf.DUMMYFUNCTION("""COMPUTED_VALUE"""),"EDGAR CORDOVA")</f>
        <v>EDGAR CORDOVA</v>
      </c>
      <c r="L1193" s="164" t="str">
        <f ca="1">IFERROR(__xludf.DUMMYFUNCTION("""COMPUTED_VALUE"""),"DARMO")</f>
        <v>DARMO</v>
      </c>
      <c r="M1193" s="164" t="str">
        <f ca="1">IFERROR(__xludf.DUMMYFUNCTION("""COMPUTED_VALUE"""),"SERVICEABLE")</f>
        <v>SERVICEABLE</v>
      </c>
      <c r="N1193" s="164"/>
    </row>
    <row r="1194" spans="1:14" ht="13.2" hidden="1">
      <c r="A1194" s="164" t="str">
        <f ca="1">IFERROR(__xludf.DUMMYFUNCTION("""COMPUTED_VALUE"""),"Region II")</f>
        <v>Region II</v>
      </c>
      <c r="B1194" s="164" t="str">
        <f ca="1">IFERROR(__xludf.DUMMYFUNCTION("""COMPUTED_VALUE"""),"CAGAYAN")</f>
        <v>CAGAYAN</v>
      </c>
      <c r="C1194" s="164" t="str">
        <f ca="1">IFERROR(__xludf.DUMMYFUNCTION("""COMPUTED_VALUE"""),"Desktop Computer – (Lenovo M70T)")</f>
        <v>Desktop Computer – (Lenovo M70T)</v>
      </c>
      <c r="D1194" s="164" t="str">
        <f ca="1">IFERROR(__xludf.DUMMYFUNCTION("""COMPUTED_VALUE"""),"₱ 75,468.00")</f>
        <v>₱ 75,468.00</v>
      </c>
      <c r="E1194" s="164" t="str">
        <f ca="1">IFERROR(__xludf.DUMMYFUNCTION("""COMPUTED_VALUE"""),"₱ -")</f>
        <v>₱ -</v>
      </c>
      <c r="F1194" s="164" t="str">
        <f ca="1">IFERROR(__xludf.DUMMYFUNCTION("""COMPUTED_VALUE"""),"2023-05-03-10201-SP728:01")</f>
        <v>2023-05-03-10201-SP728:01</v>
      </c>
      <c r="G1194" s="164" t="str">
        <f ca="1">IFERROR(__xludf.DUMMYFUNCTION("""COMPUTED_VALUE"""),"0")</f>
        <v>0</v>
      </c>
      <c r="H1194" s="164" t="str">
        <f ca="1">IFERROR(__xludf.DUMMYFUNCTION("""COMPUTED_VALUE"""),"NUMERIANO TUMBALI")</f>
        <v>NUMERIANO TUMBALI</v>
      </c>
      <c r="I1194" s="164" t="str">
        <f ca="1">IFERROR(__xludf.DUMMYFUNCTION("""COMPUTED_VALUE"""),"MARPO")</f>
        <v>MARPO</v>
      </c>
      <c r="J1194" s="164" t="str">
        <f ca="1">IFERROR(__xludf.DUMMYFUNCTION("""COMPUTED_VALUE"""),"2023-0616-06")</f>
        <v>2023-0616-06</v>
      </c>
      <c r="K1194" s="164" t="str">
        <f ca="1">IFERROR(__xludf.DUMMYFUNCTION("""COMPUTED_VALUE"""),"NUMERIANO TUMBALI")</f>
        <v>NUMERIANO TUMBALI</v>
      </c>
      <c r="L1194" s="164" t="str">
        <f ca="1">IFERROR(__xludf.DUMMYFUNCTION("""COMPUTED_VALUE"""),"DARMO")</f>
        <v>DARMO</v>
      </c>
      <c r="M1194" s="164" t="str">
        <f ca="1">IFERROR(__xludf.DUMMYFUNCTION("""COMPUTED_VALUE"""),"SERVICEABLE")</f>
        <v>SERVICEABLE</v>
      </c>
      <c r="N1194" s="164" t="str">
        <f ca="1">IFERROR(__xludf.DUMMYFUNCTION("""COMPUTED_VALUE"""),"UNSERVICEABLE PRINTER")</f>
        <v>UNSERVICEABLE PRINTER</v>
      </c>
    </row>
    <row r="1195" spans="1:14" ht="13.2" hidden="1">
      <c r="A1195" s="164" t="str">
        <f ca="1">IFERROR(__xludf.DUMMYFUNCTION("""COMPUTED_VALUE"""),"Region II")</f>
        <v>Region II</v>
      </c>
      <c r="B1195" s="164" t="str">
        <f ca="1">IFERROR(__xludf.DUMMYFUNCTION("""COMPUTED_VALUE"""),"CAGAYAN")</f>
        <v>CAGAYAN</v>
      </c>
      <c r="C1195" s="164" t="str">
        <f ca="1">IFERROR(__xludf.DUMMYFUNCTION("""COMPUTED_VALUE"""),"Laptop – (ACER EXTENSA EX215-55G i7)")</f>
        <v>Laptop – (ACER EXTENSA EX215-55G i7)</v>
      </c>
      <c r="D1195" s="164" t="str">
        <f ca="1">IFERROR(__xludf.DUMMYFUNCTION("""COMPUTED_VALUE"""),"₱ 59,500.00")</f>
        <v>₱ 59,500.00</v>
      </c>
      <c r="E1195" s="164" t="str">
        <f ca="1">IFERROR(__xludf.DUMMYFUNCTION("""COMPUTED_VALUE"""),"₱ -")</f>
        <v>₱ -</v>
      </c>
      <c r="F1195" s="164" t="str">
        <f ca="1">IFERROR(__xludf.DUMMYFUNCTION("""COMPUTED_VALUE"""),"2020-05-03-10202SP272:01")</f>
        <v>2020-05-03-10202SP272:01</v>
      </c>
      <c r="G1195" s="164" t="str">
        <f ca="1">IFERROR(__xludf.DUMMYFUNCTION("""COMPUTED_VALUE"""),"0")</f>
        <v>0</v>
      </c>
      <c r="H1195" s="164" t="str">
        <f ca="1">IFERROR(__xludf.DUMMYFUNCTION("""COMPUTED_VALUE"""),"ELEUTERIO DE LEON JR.")</f>
        <v>ELEUTERIO DE LEON JR.</v>
      </c>
      <c r="I1195" s="164" t="str">
        <f ca="1">IFERROR(__xludf.DUMMYFUNCTION("""COMPUTED_VALUE"""),"AO IV/ GSO Head")</f>
        <v>AO IV/ GSO Head</v>
      </c>
      <c r="J1195" s="164" t="str">
        <f ca="1">IFERROR(__xludf.DUMMYFUNCTION("""COMPUTED_VALUE"""),"2023-1121-01")</f>
        <v>2023-1121-01</v>
      </c>
      <c r="K1195" s="164" t="str">
        <f ca="1">IFERROR(__xludf.DUMMYFUNCTION("""COMPUTED_VALUE"""),"ELEUTERIO DE LEON JR.")</f>
        <v>ELEUTERIO DE LEON JR.</v>
      </c>
      <c r="L1195" s="164" t="str">
        <f ca="1">IFERROR(__xludf.DUMMYFUNCTION("""COMPUTED_VALUE"""),"GSS")</f>
        <v>GSS</v>
      </c>
      <c r="M1195" s="164" t="str">
        <f ca="1">IFERROR(__xludf.DUMMYFUNCTION("""COMPUTED_VALUE"""),"SERVICEABLE")</f>
        <v>SERVICEABLE</v>
      </c>
      <c r="N1195" s="164"/>
    </row>
    <row r="1196" spans="1:14" ht="13.2" hidden="1">
      <c r="A1196" s="164" t="str">
        <f ca="1">IFERROR(__xludf.DUMMYFUNCTION("""COMPUTED_VALUE"""),"Region II")</f>
        <v>Region II</v>
      </c>
      <c r="B1196" s="164" t="str">
        <f ca="1">IFERROR(__xludf.DUMMYFUNCTION("""COMPUTED_VALUE"""),"CAGAYAN")</f>
        <v>CAGAYAN</v>
      </c>
      <c r="C1196" s="164" t="str">
        <f ca="1">IFERROR(__xludf.DUMMYFUNCTION("""COMPUTED_VALUE"""),"Laptop – (ACER EXTENSA EX215-55G i7)")</f>
        <v>Laptop – (ACER EXTENSA EX215-55G i7)</v>
      </c>
      <c r="D1196" s="164" t="str">
        <f ca="1">IFERROR(__xludf.DUMMYFUNCTION("""COMPUTED_VALUE"""),"₱ 59,500.00")</f>
        <v>₱ 59,500.00</v>
      </c>
      <c r="E1196" s="164" t="str">
        <f ca="1">IFERROR(__xludf.DUMMYFUNCTION("""COMPUTED_VALUE"""),"₱ -")</f>
        <v>₱ -</v>
      </c>
      <c r="F1196" s="164" t="str">
        <f ca="1">IFERROR(__xludf.DUMMYFUNCTION("""COMPUTED_VALUE"""),"2023-05-03-10202SP271-01")</f>
        <v>2023-05-03-10202SP271-01</v>
      </c>
      <c r="G1196" s="164" t="str">
        <f ca="1">IFERROR(__xludf.DUMMYFUNCTION("""COMPUTED_VALUE"""),"0")</f>
        <v>0</v>
      </c>
      <c r="H1196" s="164" t="str">
        <f ca="1">IFERROR(__xludf.DUMMYFUNCTION("""COMPUTED_VALUE"""),"ELEUTERIO DE LEON JR.")</f>
        <v>ELEUTERIO DE LEON JR.</v>
      </c>
      <c r="I1196" s="164" t="str">
        <f ca="1">IFERROR(__xludf.DUMMYFUNCTION("""COMPUTED_VALUE"""),"AO IV/ GSO Head")</f>
        <v>AO IV/ GSO Head</v>
      </c>
      <c r="J1196" s="164" t="str">
        <f ca="1">IFERROR(__xludf.DUMMYFUNCTION("""COMPUTED_VALUE"""),"2023-0301-01")</f>
        <v>2023-0301-01</v>
      </c>
      <c r="K1196" s="164" t="str">
        <f ca="1">IFERROR(__xludf.DUMMYFUNCTION("""COMPUTED_VALUE"""),"ELEUTERIO DE LEON JR.")</f>
        <v>ELEUTERIO DE LEON JR.</v>
      </c>
      <c r="L1196" s="164" t="str">
        <f ca="1">IFERROR(__xludf.DUMMYFUNCTION("""COMPUTED_VALUE"""),"GSS")</f>
        <v>GSS</v>
      </c>
      <c r="M1196" s="164" t="str">
        <f ca="1">IFERROR(__xludf.DUMMYFUNCTION("""COMPUTED_VALUE"""),"SERVICEABLE")</f>
        <v>SERVICEABLE</v>
      </c>
      <c r="N1196" s="164"/>
    </row>
    <row r="1197" spans="1:14" ht="13.2" hidden="1">
      <c r="A1197" s="164" t="str">
        <f ca="1">IFERROR(__xludf.DUMMYFUNCTION("""COMPUTED_VALUE"""),"Region II")</f>
        <v>Region II</v>
      </c>
      <c r="B1197" s="164" t="str">
        <f ca="1">IFERROR(__xludf.DUMMYFUNCTION("""COMPUTED_VALUE"""),"CAGAYAN")</f>
        <v>CAGAYAN</v>
      </c>
      <c r="C1197" s="164" t="str">
        <f ca="1">IFERROR(__xludf.DUMMYFUNCTION("""COMPUTED_VALUE"""),"Laptop – (ACER EXTENSA EX215-55G i7)")</f>
        <v>Laptop – (ACER EXTENSA EX215-55G i7)</v>
      </c>
      <c r="D1197" s="164" t="str">
        <f ca="1">IFERROR(__xludf.DUMMYFUNCTION("""COMPUTED_VALUE"""),"₱ 59,500.00")</f>
        <v>₱ 59,500.00</v>
      </c>
      <c r="E1197" s="164" t="str">
        <f ca="1">IFERROR(__xludf.DUMMYFUNCTION("""COMPUTED_VALUE"""),"₱ -")</f>
        <v>₱ -</v>
      </c>
      <c r="F1197" s="164" t="str">
        <f ca="1">IFERROR(__xludf.DUMMYFUNCTION("""COMPUTED_VALUE"""),"2023-05-03-10202SP271-01")</f>
        <v>2023-05-03-10202SP271-01</v>
      </c>
      <c r="G1197" s="164" t="str">
        <f ca="1">IFERROR(__xludf.DUMMYFUNCTION("""COMPUTED_VALUE"""),"0")</f>
        <v>0</v>
      </c>
      <c r="H1197" s="164" t="str">
        <f ca="1">IFERROR(__xludf.DUMMYFUNCTION("""COMPUTED_VALUE"""),"GERTRUDE M. DELA CRUZ")</f>
        <v>GERTRUDE M. DELA CRUZ</v>
      </c>
      <c r="I1197" s="164" t="str">
        <f ca="1">IFERROR(__xludf.DUMMYFUNCTION("""COMPUTED_VALUE"""),"ARPO I")</f>
        <v>ARPO I</v>
      </c>
      <c r="J1197" s="164"/>
      <c r="K1197" s="164" t="str">
        <f ca="1">IFERROR(__xludf.DUMMYFUNCTION("""COMPUTED_VALUE"""),"GERTRUDE M. DELA CRUZ")</f>
        <v>GERTRUDE M. DELA CRUZ</v>
      </c>
      <c r="L1197" s="164" t="str">
        <f ca="1">IFERROR(__xludf.DUMMYFUNCTION("""COMPUTED_VALUE"""),"PBDD")</f>
        <v>PBDD</v>
      </c>
      <c r="M1197" s="164" t="str">
        <f ca="1">IFERROR(__xludf.DUMMYFUNCTION("""COMPUTED_VALUE"""),"SERVICEABLE")</f>
        <v>SERVICEABLE</v>
      </c>
      <c r="N1197" s="164" t="str">
        <f ca="1">IFERROR(__xludf.DUMMYFUNCTION("""COMPUTED_VALUE"""),"ACTUAL UNIT 2023-05-03-10202SP17-01")</f>
        <v>ACTUAL UNIT 2023-05-03-10202SP17-01</v>
      </c>
    </row>
    <row r="1198" spans="1:14" ht="13.2" hidden="1">
      <c r="A1198" s="164" t="str">
        <f ca="1">IFERROR(__xludf.DUMMYFUNCTION("""COMPUTED_VALUE"""),"Region II")</f>
        <v>Region II</v>
      </c>
      <c r="B1198" s="164" t="str">
        <f ca="1">IFERROR(__xludf.DUMMYFUNCTION("""COMPUTED_VALUE"""),"CAGAYAN")</f>
        <v>CAGAYAN</v>
      </c>
      <c r="C1198" s="164" t="str">
        <f ca="1">IFERROR(__xludf.DUMMYFUNCTION("""COMPUTED_VALUE"""),"Photocopier Machine – Kyocera")</f>
        <v>Photocopier Machine – Kyocera</v>
      </c>
      <c r="D1198" s="164" t="str">
        <f ca="1">IFERROR(__xludf.DUMMYFUNCTION("""COMPUTED_VALUE"""),"₱ 84,500.00")</f>
        <v>₱ 84,500.00</v>
      </c>
      <c r="E1198" s="164" t="str">
        <f ca="1">IFERROR(__xludf.DUMMYFUNCTION("""COMPUTED_VALUE"""),"₱ -")</f>
        <v>₱ -</v>
      </c>
      <c r="F1198" s="164" t="str">
        <f ca="1">IFERROR(__xludf.DUMMYFUNCTION("""COMPUTED_VALUE"""),"2022-05-02-10202SP16-01")</f>
        <v>2022-05-02-10202SP16-01</v>
      </c>
      <c r="G1198" s="164" t="str">
        <f ca="1">IFERROR(__xludf.DUMMYFUNCTION("""COMPUTED_VALUE"""),"RNK1200137")</f>
        <v>RNK1200137</v>
      </c>
      <c r="H1198" s="164" t="str">
        <f ca="1">IFERROR(__xludf.DUMMYFUNCTION("""COMPUTED_VALUE"""),"NOEL M. COBALLES")</f>
        <v>NOEL M. COBALLES</v>
      </c>
      <c r="I1198" s="164" t="str">
        <f ca="1">IFERROR(__xludf.DUMMYFUNCTION("""COMPUTED_VALUE"""),"MARPO")</f>
        <v>MARPO</v>
      </c>
      <c r="J1198" s="164" t="str">
        <f ca="1">IFERROR(__xludf.DUMMYFUNCTION("""COMPUTED_VALUE"""),"2023-0301-02")</f>
        <v>2023-0301-02</v>
      </c>
      <c r="K1198" s="164" t="str">
        <f ca="1">IFERROR(__xludf.DUMMYFUNCTION("""COMPUTED_VALUE"""),"ALL DAR SPLIT PERSONNEL")</f>
        <v>ALL DAR SPLIT PERSONNEL</v>
      </c>
      <c r="L1198" s="164" t="str">
        <f ca="1">IFERROR(__xludf.DUMMYFUNCTION("""COMPUTED_VALUE"""),"SPLIT")</f>
        <v>SPLIT</v>
      </c>
      <c r="M1198" s="164" t="str">
        <f ca="1">IFERROR(__xludf.DUMMYFUNCTION("""COMPUTED_VALUE"""),"SERVICEABLE")</f>
        <v>SERVICEABLE</v>
      </c>
      <c r="N1198" s="164" t="str">
        <f ca="1">IFERROR(__xludf.DUMMYFUNCTION("""COMPUTED_VALUE"""),"ACTUAL UNIT 202205-02-10202SP17-01")</f>
        <v>ACTUAL UNIT 202205-02-10202SP17-01</v>
      </c>
    </row>
    <row r="1199" spans="1:14" ht="13.2" hidden="1">
      <c r="A1199" s="164" t="str">
        <f ca="1">IFERROR(__xludf.DUMMYFUNCTION("""COMPUTED_VALUE"""),"Region II")</f>
        <v>Region II</v>
      </c>
      <c r="B1199" s="164" t="str">
        <f ca="1">IFERROR(__xludf.DUMMYFUNCTION("""COMPUTED_VALUE"""),"CAGAYAN")</f>
        <v>CAGAYAN</v>
      </c>
      <c r="C1199" s="164" t="str">
        <f ca="1">IFERROR(__xludf.DUMMYFUNCTION("""COMPUTED_VALUE"""),"HANDHELD GPS – MODEL P6")</f>
        <v>HANDHELD GPS – MODEL P6</v>
      </c>
      <c r="D1199" s="164" t="str">
        <f ca="1">IFERROR(__xludf.DUMMYFUNCTION("""COMPUTED_VALUE"""),"₱ 79,000.00")</f>
        <v>₱ 79,000.00</v>
      </c>
      <c r="E1199" s="164" t="str">
        <f ca="1">IFERROR(__xludf.DUMMYFUNCTION("""COMPUTED_VALUE"""),"₱ -")</f>
        <v>₱ -</v>
      </c>
      <c r="F1199" s="164" t="str">
        <f ca="1">IFERROR(__xludf.DUMMYFUNCTION("""COMPUTED_VALUE"""),"2023-05-14-102028P37-01")</f>
        <v>2023-05-14-102028P37-01</v>
      </c>
      <c r="G1199" s="164" t="str">
        <f ca="1">IFERROR(__xludf.DUMMYFUNCTION("""COMPUTED_VALUE"""),"0")</f>
        <v>0</v>
      </c>
      <c r="H1199" s="164" t="str">
        <f ca="1">IFERROR(__xludf.DUMMYFUNCTION("""COMPUTED_VALUE"""),"ENGR. CHERRYL S. TUGADE")</f>
        <v>ENGR. CHERRYL S. TUGADE</v>
      </c>
      <c r="I1199" s="164" t="str">
        <f ca="1">IFERROR(__xludf.DUMMYFUNCTION("""COMPUTED_VALUE"""),"DENR/SURVEY/LRA COORDINATOR")</f>
        <v>DENR/SURVEY/LRA COORDINATOR</v>
      </c>
      <c r="J1199" s="164" t="str">
        <f ca="1">IFERROR(__xludf.DUMMYFUNCTION("""COMPUTED_VALUE"""),"2023-0301-03")</f>
        <v>2023-0301-03</v>
      </c>
      <c r="K1199" s="164" t="str">
        <f ca="1">IFERROR(__xludf.DUMMYFUNCTION("""COMPUTED_VALUE"""),"ENGR. CHERRYL S. TUGADE")</f>
        <v>ENGR. CHERRYL S. TUGADE</v>
      </c>
      <c r="L1199" s="164" t="str">
        <f ca="1">IFERROR(__xludf.DUMMYFUNCTION("""COMPUTED_VALUE"""),"LTID")</f>
        <v>LTID</v>
      </c>
      <c r="M1199" s="164" t="str">
        <f ca="1">IFERROR(__xludf.DUMMYFUNCTION("""COMPUTED_VALUE"""),"SERVICEABLE")</f>
        <v>SERVICEABLE</v>
      </c>
      <c r="N1199" s="164" t="str">
        <f ca="1">IFERROR(__xludf.DUMMYFUNCTION("""COMPUTED_VALUE"""),"ACTUAL UNIT 2023-05-14-102028P36-01")</f>
        <v>ACTUAL UNIT 2023-05-14-102028P36-01</v>
      </c>
    </row>
    <row r="1200" spans="1:14" ht="13.2" hidden="1">
      <c r="A1200" s="164" t="str">
        <f ca="1">IFERROR(__xludf.DUMMYFUNCTION("""COMPUTED_VALUE"""),"Region II")</f>
        <v>Region II</v>
      </c>
      <c r="B1200" s="164" t="str">
        <f ca="1">IFERROR(__xludf.DUMMYFUNCTION("""COMPUTED_VALUE"""),"CAGAYAN")</f>
        <v>CAGAYAN</v>
      </c>
      <c r="C1200" s="164" t="str">
        <f ca="1">IFERROR(__xludf.DUMMYFUNCTION("""COMPUTED_VALUE"""),"TOTAL STATION – GEOMAX TOTAL STATION ZOOM 50")</f>
        <v>TOTAL STATION – GEOMAX TOTAL STATION ZOOM 50</v>
      </c>
      <c r="D1200" s="164" t="str">
        <f ca="1">IFERROR(__xludf.DUMMYFUNCTION("""COMPUTED_VALUE"""),"₱ 648,000.00")</f>
        <v>₱ 648,000.00</v>
      </c>
      <c r="E1200" s="164" t="str">
        <f ca="1">IFERROR(__xludf.DUMMYFUNCTION("""COMPUTED_VALUE"""),"₱ -")</f>
        <v>₱ -</v>
      </c>
      <c r="F1200" s="164" t="str">
        <f ca="1">IFERROR(__xludf.DUMMYFUNCTION("""COMPUTED_VALUE"""),"202305-14-10201SP29-01")</f>
        <v>202305-14-10201SP29-01</v>
      </c>
      <c r="G1200" s="164" t="str">
        <f ca="1">IFERROR(__xludf.DUMMYFUNCTION("""COMPUTED_VALUE"""),"0")</f>
        <v>0</v>
      </c>
      <c r="H1200" s="164" t="str">
        <f ca="1">IFERROR(__xludf.DUMMYFUNCTION("""COMPUTED_VALUE"""),"ENGR. CHERRYL S. TUGADE")</f>
        <v>ENGR. CHERRYL S. TUGADE</v>
      </c>
      <c r="I1200" s="164" t="str">
        <f ca="1">IFERROR(__xludf.DUMMYFUNCTION("""COMPUTED_VALUE"""),"SPLIT LRA-ROD-DENR &amp; Survey Coordinator")</f>
        <v>SPLIT LRA-ROD-DENR &amp; Survey Coordinator</v>
      </c>
      <c r="J1200" s="164" t="str">
        <f ca="1">IFERROR(__xludf.DUMMYFUNCTION("""COMPUTED_VALUE"""),"2023-0127-01-10")</f>
        <v>2023-0127-01-10</v>
      </c>
      <c r="K1200" s="164" t="str">
        <f ca="1">IFERROR(__xludf.DUMMYFUNCTION("""COMPUTED_VALUE"""),"ENGR. CHERRYL S. TUGADE")</f>
        <v>ENGR. CHERRYL S. TUGADE</v>
      </c>
      <c r="L1200" s="164" t="str">
        <f ca="1">IFERROR(__xludf.DUMMYFUNCTION("""COMPUTED_VALUE"""),"LTID")</f>
        <v>LTID</v>
      </c>
      <c r="M1200" s="164" t="str">
        <f ca="1">IFERROR(__xludf.DUMMYFUNCTION("""COMPUTED_VALUE"""),"SERVICEABLE")</f>
        <v>SERVICEABLE</v>
      </c>
      <c r="N1200" s="164"/>
    </row>
    <row r="1201" spans="1:14" ht="13.2" hidden="1">
      <c r="A1201" s="164" t="str">
        <f ca="1">IFERROR(__xludf.DUMMYFUNCTION("""COMPUTED_VALUE"""),"Region II")</f>
        <v>Region II</v>
      </c>
      <c r="B1201" s="164" t="str">
        <f ca="1">IFERROR(__xludf.DUMMYFUNCTION("""COMPUTED_VALUE"""),"CAGAYAN")</f>
        <v>CAGAYAN</v>
      </c>
      <c r="C1201" s="164" t="str">
        <f ca="1">IFERROR(__xludf.DUMMYFUNCTION("""COMPUTED_VALUE"""),"REAL-TIME KINEMATIC – GEOMAX ZENITH60")</f>
        <v>REAL-TIME KINEMATIC – GEOMAX ZENITH60</v>
      </c>
      <c r="D1201" s="164" t="str">
        <f ca="1">IFERROR(__xludf.DUMMYFUNCTION("""COMPUTED_VALUE"""),"₱ 1,849,000.00")</f>
        <v>₱ 1,849,000.00</v>
      </c>
      <c r="E1201" s="164" t="str">
        <f ca="1">IFERROR(__xludf.DUMMYFUNCTION("""COMPUTED_VALUE"""),"₱ -")</f>
        <v>₱ -</v>
      </c>
      <c r="F1201" s="164" t="str">
        <f ca="1">IFERROR(__xludf.DUMMYFUNCTION("""COMPUTED_VALUE"""),"202305-14-10201SP29-01")</f>
        <v>202305-14-10201SP29-01</v>
      </c>
      <c r="G1201" s="164" t="str">
        <f ca="1">IFERROR(__xludf.DUMMYFUNCTION("""COMPUTED_VALUE"""),"0")</f>
        <v>0</v>
      </c>
      <c r="H1201" s="164" t="str">
        <f ca="1">IFERROR(__xludf.DUMMYFUNCTION("""COMPUTED_VALUE"""),"ENGR. CHERRYL S. TUGADE")</f>
        <v>ENGR. CHERRYL S. TUGADE</v>
      </c>
      <c r="I1201" s="164" t="str">
        <f ca="1">IFERROR(__xludf.DUMMYFUNCTION("""COMPUTED_VALUE"""),"SPLIT LRA-ROD-DENR &amp; Survey Coordinator")</f>
        <v>SPLIT LRA-ROD-DENR &amp; Survey Coordinator</v>
      </c>
      <c r="J1201" s="164" t="str">
        <f ca="1">IFERROR(__xludf.DUMMYFUNCTION("""COMPUTED_VALUE"""),"2023-0127-01-10")</f>
        <v>2023-0127-01-10</v>
      </c>
      <c r="K1201" s="164" t="str">
        <f ca="1">IFERROR(__xludf.DUMMYFUNCTION("""COMPUTED_VALUE"""),"ENGR. CHERRYL S. TUGADE")</f>
        <v>ENGR. CHERRYL S. TUGADE</v>
      </c>
      <c r="L1201" s="164" t="str">
        <f ca="1">IFERROR(__xludf.DUMMYFUNCTION("""COMPUTED_VALUE"""),"LTID")</f>
        <v>LTID</v>
      </c>
      <c r="M1201" s="164" t="str">
        <f ca="1">IFERROR(__xludf.DUMMYFUNCTION("""COMPUTED_VALUE"""),"SERVICEABLE")</f>
        <v>SERVICEABLE</v>
      </c>
      <c r="N1201" s="164"/>
    </row>
    <row r="1202" spans="1:14" ht="13.2" hidden="1">
      <c r="A1202" s="164" t="str">
        <f ca="1">IFERROR(__xludf.DUMMYFUNCTION("""COMPUTED_VALUE"""),"Region II")</f>
        <v>Region II</v>
      </c>
      <c r="B1202" s="164" t="str">
        <f ca="1">IFERROR(__xludf.DUMMYFUNCTION("""COMPUTED_VALUE"""),"CAGAYAN")</f>
        <v>CAGAYAN</v>
      </c>
      <c r="C1202" s="164" t="str">
        <f ca="1">IFERROR(__xludf.DUMMYFUNCTION("""COMPUTED_VALUE"""),"A3 PRINTER (BROTHER)")</f>
        <v>A3 PRINTER (BROTHER)</v>
      </c>
      <c r="D1202" s="164" t="str">
        <f ca="1">IFERROR(__xludf.DUMMYFUNCTION("""COMPUTED_VALUE"""),"₱ 33,508.00")</f>
        <v>₱ 33,508.00</v>
      </c>
      <c r="E1202" s="164" t="str">
        <f ca="1">IFERROR(__xludf.DUMMYFUNCTION("""COMPUTED_VALUE"""),"₱ -")</f>
        <v>₱ -</v>
      </c>
      <c r="F1202" s="164" t="str">
        <f ca="1">IFERROR(__xludf.DUMMYFUNCTION("""COMPUTED_VALUE"""),"HV-SPLIT-102-24-05-19")</f>
        <v>HV-SPLIT-102-24-05-19</v>
      </c>
      <c r="G1202" s="164" t="str">
        <f ca="1">IFERROR(__xludf.DUMMYFUNCTION("""COMPUTED_VALUE"""),"0")</f>
        <v>0</v>
      </c>
      <c r="H1202" s="164" t="str">
        <f ca="1">IFERROR(__xludf.DUMMYFUNCTION("""COMPUTED_VALUE"""),"ELEUTERIO DE LEON JR.")</f>
        <v>ELEUTERIO DE LEON JR.</v>
      </c>
      <c r="I1202" s="164" t="str">
        <f ca="1">IFERROR(__xludf.DUMMYFUNCTION("""COMPUTED_VALUE"""),"AO IV/ GSO Head")</f>
        <v>AO IV/ GSO Head</v>
      </c>
      <c r="J1202" s="164" t="str">
        <f ca="1">IFERROR(__xludf.DUMMYFUNCTION("""COMPUTED_VALUE"""),"2024-03-003")</f>
        <v>2024-03-003</v>
      </c>
      <c r="K1202" s="164" t="str">
        <f ca="1">IFERROR(__xludf.DUMMYFUNCTION("""COMPUTED_VALUE"""),"SPLIT LEGAL OFFICERS/ VANESSA TAGUINOD")</f>
        <v>SPLIT LEGAL OFFICERS/ VANESSA TAGUINOD</v>
      </c>
      <c r="L1202" s="164" t="str">
        <f ca="1">IFERROR(__xludf.DUMMYFUNCTION("""COMPUTED_VALUE"""),"LTID")</f>
        <v>LTID</v>
      </c>
      <c r="M1202" s="164" t="str">
        <f ca="1">IFERROR(__xludf.DUMMYFUNCTION("""COMPUTED_VALUE"""),"SERVICEABLE")</f>
        <v>SERVICEABLE</v>
      </c>
      <c r="N1202" s="164" t="str">
        <f ca="1">IFERROR(__xludf.DUMMYFUNCTION("""COMPUTED_VALUE"""),"ACTUAL UNIT HV-SPLIT-102-24-05-04")</f>
        <v>ACTUAL UNIT HV-SPLIT-102-24-05-04</v>
      </c>
    </row>
    <row r="1203" spans="1:14" ht="13.2" hidden="1">
      <c r="A1203" s="164" t="str">
        <f ca="1">IFERROR(__xludf.DUMMYFUNCTION("""COMPUTED_VALUE"""),"Region II")</f>
        <v>Region II</v>
      </c>
      <c r="B1203" s="164" t="str">
        <f ca="1">IFERROR(__xludf.DUMMYFUNCTION("""COMPUTED_VALUE"""),"NUEVA VIZCAYA")</f>
        <v>NUEVA VIZCAYA</v>
      </c>
      <c r="C1203" s="164" t="str">
        <f ca="1">IFERROR(__xludf.DUMMYFUNCTION("""COMPUTED_VALUE"""),"Photocopier Machine – Kyocera")</f>
        <v>Photocopier Machine – Kyocera</v>
      </c>
      <c r="D1203" s="164" t="str">
        <f ca="1">IFERROR(__xludf.DUMMYFUNCTION("""COMPUTED_VALUE"""),"₱ 84,500.00")</f>
        <v>₱ 84,500.00</v>
      </c>
      <c r="E1203" s="164" t="str">
        <f ca="1">IFERROR(__xludf.DUMMYFUNCTION("""COMPUTED_VALUE"""),"₱ -")</f>
        <v>₱ -</v>
      </c>
      <c r="F1203" s="164" t="str">
        <f ca="1">IFERROR(__xludf.DUMMYFUNCTION("""COMPUTED_VALUE"""),"2022-05-02-10202SP19-01")</f>
        <v>2022-05-02-10202SP19-01</v>
      </c>
      <c r="G1203" s="164" t="str">
        <f ca="1">IFERROR(__xludf.DUMMYFUNCTION("""COMPUTED_VALUE"""),"RNK1200155")</f>
        <v>RNK1200155</v>
      </c>
      <c r="H1203" s="164" t="str">
        <f ca="1">IFERROR(__xludf.DUMMYFUNCTION("""COMPUTED_VALUE"""),"CESAR V. BAUTISTA")</f>
        <v>CESAR V. BAUTISTA</v>
      </c>
      <c r="I1203" s="164" t="str">
        <f ca="1">IFERROR(__xludf.DUMMYFUNCTION("""COMPUTED_VALUE"""),"OIC CARPO/SPLIT PARCELIZATION COMPONENT &amp; FVT COORDINATOR")</f>
        <v>OIC CARPO/SPLIT PARCELIZATION COMPONENT &amp; FVT COORDINATOR</v>
      </c>
      <c r="J1203" s="164" t="str">
        <f ca="1">IFERROR(__xludf.DUMMYFUNCTION("""COMPUTED_VALUE"""),"2022-11-0001")</f>
        <v>2022-11-0001</v>
      </c>
      <c r="K1203" s="164" t="str">
        <f ca="1">IFERROR(__xludf.DUMMYFUNCTION("""COMPUTED_VALUE"""),"CESAR V. BAUTISTA")</f>
        <v>CESAR V. BAUTISTA</v>
      </c>
      <c r="L1203" s="164" t="str">
        <f ca="1">IFERROR(__xludf.DUMMYFUNCTION("""COMPUTED_VALUE"""),"LTID")</f>
        <v>LTID</v>
      </c>
      <c r="M1203" s="164" t="str">
        <f ca="1">IFERROR(__xludf.DUMMYFUNCTION("""COMPUTED_VALUE"""),"SERVICEABLE")</f>
        <v>SERVICEABLE</v>
      </c>
      <c r="N1203" s="164"/>
    </row>
    <row r="1204" spans="1:14" ht="13.2" hidden="1">
      <c r="A1204" s="164" t="str">
        <f ca="1">IFERROR(__xludf.DUMMYFUNCTION("""COMPUTED_VALUE"""),"Region II")</f>
        <v>Region II</v>
      </c>
      <c r="B1204" s="164" t="str">
        <f ca="1">IFERROR(__xludf.DUMMYFUNCTION("""COMPUTED_VALUE"""),"NUEVA VIZCAYA")</f>
        <v>NUEVA VIZCAYA</v>
      </c>
      <c r="C1204" s="164" t="str">
        <f ca="1">IFERROR(__xludf.DUMMYFUNCTION("""COMPUTED_VALUE"""),"TOTAL STATION – GEOMAX TOTAL STATION ZOOM 50")</f>
        <v>TOTAL STATION – GEOMAX TOTAL STATION ZOOM 50</v>
      </c>
      <c r="D1204" s="164" t="str">
        <f ca="1">IFERROR(__xludf.DUMMYFUNCTION("""COMPUTED_VALUE"""),"₱ 648,000.00")</f>
        <v>₱ 648,000.00</v>
      </c>
      <c r="E1204" s="164" t="str">
        <f ca="1">IFERROR(__xludf.DUMMYFUNCTION("""COMPUTED_VALUE"""),"₱ -")</f>
        <v>₱ -</v>
      </c>
      <c r="F1204" s="164" t="str">
        <f ca="1">IFERROR(__xludf.DUMMYFUNCTION("""COMPUTED_VALUE"""),"2023-05-14-1020SP26-01")</f>
        <v>2023-05-14-1020SP26-01</v>
      </c>
      <c r="G1204" s="164" t="str">
        <f ca="1">IFERROR(__xludf.DUMMYFUNCTION("""COMPUTED_VALUE"""),"0")</f>
        <v>0</v>
      </c>
      <c r="H1204" s="164" t="str">
        <f ca="1">IFERROR(__xludf.DUMMYFUNCTION("""COMPUTED_VALUE"""),"CESAR V. BAUTISTA")</f>
        <v>CESAR V. BAUTISTA</v>
      </c>
      <c r="I1204" s="164" t="str">
        <f ca="1">IFERROR(__xludf.DUMMYFUNCTION("""COMPUTED_VALUE"""),"OIC CARPO/SPLIT PARCELIZATION COMPONENT &amp; FVT COORDINATOR")</f>
        <v>OIC CARPO/SPLIT PARCELIZATION COMPONENT &amp; FVT COORDINATOR</v>
      </c>
      <c r="J1204" s="164" t="str">
        <f ca="1">IFERROR(__xludf.DUMMYFUNCTION("""COMPUTED_VALUE"""),"2023-08-0012B")</f>
        <v>2023-08-0012B</v>
      </c>
      <c r="K1204" s="164" t="str">
        <f ca="1">IFERROR(__xludf.DUMMYFUNCTION("""COMPUTED_VALUE"""),"RAMCER RYNE SAURE")</f>
        <v>RAMCER RYNE SAURE</v>
      </c>
      <c r="L1204" s="164" t="str">
        <f ca="1">IFERROR(__xludf.DUMMYFUNCTION("""COMPUTED_VALUE"""),"LTID")</f>
        <v>LTID</v>
      </c>
      <c r="M1204" s="164" t="str">
        <f ca="1">IFERROR(__xludf.DUMMYFUNCTION("""COMPUTED_VALUE"""),"SERVICEABLE")</f>
        <v>SERVICEABLE</v>
      </c>
      <c r="N1204" s="164"/>
    </row>
    <row r="1205" spans="1:14" ht="13.2" hidden="1">
      <c r="A1205" s="164" t="str">
        <f ca="1">IFERROR(__xludf.DUMMYFUNCTION("""COMPUTED_VALUE"""),"Region II")</f>
        <v>Region II</v>
      </c>
      <c r="B1205" s="164" t="str">
        <f ca="1">IFERROR(__xludf.DUMMYFUNCTION("""COMPUTED_VALUE"""),"NUEVA VIZCAYA")</f>
        <v>NUEVA VIZCAYA</v>
      </c>
      <c r="C1205" s="164" t="str">
        <f ca="1">IFERROR(__xludf.DUMMYFUNCTION("""COMPUTED_VALUE"""),"REAL-TIME KINEMATIC – GEOMAX ZENITH60")</f>
        <v>REAL-TIME KINEMATIC – GEOMAX ZENITH60</v>
      </c>
      <c r="D1205" s="164" t="str">
        <f ca="1">IFERROR(__xludf.DUMMYFUNCTION("""COMPUTED_VALUE"""),"₱ 1,849,000.00")</f>
        <v>₱ 1,849,000.00</v>
      </c>
      <c r="E1205" s="164" t="str">
        <f ca="1">IFERROR(__xludf.DUMMYFUNCTION("""COMPUTED_VALUE"""),"₱ -")</f>
        <v>₱ -</v>
      </c>
      <c r="F1205" s="164" t="str">
        <f ca="1">IFERROR(__xludf.DUMMYFUNCTION("""COMPUTED_VALUE"""),"2023-05-14-10201SP26-01")</f>
        <v>2023-05-14-10201SP26-01</v>
      </c>
      <c r="G1205" s="164" t="str">
        <f ca="1">IFERROR(__xludf.DUMMYFUNCTION("""COMPUTED_VALUE"""),"0")</f>
        <v>0</v>
      </c>
      <c r="H1205" s="164" t="str">
        <f ca="1">IFERROR(__xludf.DUMMYFUNCTION("""COMPUTED_VALUE"""),"CESAR V. BAUTISTA")</f>
        <v>CESAR V. BAUTISTA</v>
      </c>
      <c r="I1205" s="164" t="str">
        <f ca="1">IFERROR(__xludf.DUMMYFUNCTION("""COMPUTED_VALUE"""),"OIC CARPO/SPLIT PARCELIZATION COMPONENT &amp; FVT COORDINATOR")</f>
        <v>OIC CARPO/SPLIT PARCELIZATION COMPONENT &amp; FVT COORDINATOR</v>
      </c>
      <c r="J1205" s="164" t="str">
        <f ca="1">IFERROR(__xludf.DUMMYFUNCTION("""COMPUTED_VALUE"""),"2023-08-0012C")</f>
        <v>2023-08-0012C</v>
      </c>
      <c r="K1205" s="164" t="str">
        <f ca="1">IFERROR(__xludf.DUMMYFUNCTION("""COMPUTED_VALUE"""),"RAMCER RYNE SAURE")</f>
        <v>RAMCER RYNE SAURE</v>
      </c>
      <c r="L1205" s="164" t="str">
        <f ca="1">IFERROR(__xludf.DUMMYFUNCTION("""COMPUTED_VALUE"""),"LTID")</f>
        <v>LTID</v>
      </c>
      <c r="M1205" s="164" t="str">
        <f ca="1">IFERROR(__xludf.DUMMYFUNCTION("""COMPUTED_VALUE"""),"SERVICEABLE")</f>
        <v>SERVICEABLE</v>
      </c>
      <c r="N1205" s="164"/>
    </row>
    <row r="1206" spans="1:14" ht="13.2" hidden="1">
      <c r="A1206" s="164" t="str">
        <f ca="1">IFERROR(__xludf.DUMMYFUNCTION("""COMPUTED_VALUE"""),"Region II")</f>
        <v>Region II</v>
      </c>
      <c r="B1206" s="164" t="str">
        <f ca="1">IFERROR(__xludf.DUMMYFUNCTION("""COMPUTED_VALUE"""),"NUEVA VIZCAYA")</f>
        <v>NUEVA VIZCAYA</v>
      </c>
      <c r="C1206" s="164" t="str">
        <f ca="1">IFERROR(__xludf.DUMMYFUNCTION("""COMPUTED_VALUE"""),"HANDHELD GPS – MODEL P6")</f>
        <v>HANDHELD GPS – MODEL P6</v>
      </c>
      <c r="D1206" s="164" t="str">
        <f ca="1">IFERROR(__xludf.DUMMYFUNCTION("""COMPUTED_VALUE"""),"₱ 79,000.00")</f>
        <v>₱ 79,000.00</v>
      </c>
      <c r="E1206" s="164" t="str">
        <f ca="1">IFERROR(__xludf.DUMMYFUNCTION("""COMPUTED_VALUE"""),"₱ -")</f>
        <v>₱ -</v>
      </c>
      <c r="F1206" s="164" t="str">
        <f ca="1">IFERROR(__xludf.DUMMYFUNCTION("""COMPUTED_VALUE"""),"2023-05-14-10202SP33-01")</f>
        <v>2023-05-14-10202SP33-01</v>
      </c>
      <c r="G1206" s="164" t="str">
        <f ca="1">IFERROR(__xludf.DUMMYFUNCTION("""COMPUTED_VALUE"""),"0")</f>
        <v>0</v>
      </c>
      <c r="H1206" s="164" t="str">
        <f ca="1">IFERROR(__xludf.DUMMYFUNCTION("""COMPUTED_VALUE"""),"CESAR V. BAUTISTA")</f>
        <v>CESAR V. BAUTISTA</v>
      </c>
      <c r="I1206" s="164" t="str">
        <f ca="1">IFERROR(__xludf.DUMMYFUNCTION("""COMPUTED_VALUE"""),"OIC CARPO/SPLIT PARCELIZATION COMPONENT &amp; FVT COORDINATOR")</f>
        <v>OIC CARPO/SPLIT PARCELIZATION COMPONENT &amp; FVT COORDINATOR</v>
      </c>
      <c r="J1206" s="164" t="str">
        <f ca="1">IFERROR(__xludf.DUMMYFUNCTION("""COMPUTED_VALUE"""),"2023-08-0012A")</f>
        <v>2023-08-0012A</v>
      </c>
      <c r="K1206" s="164" t="str">
        <f ca="1">IFERROR(__xludf.DUMMYFUNCTION("""COMPUTED_VALUE"""),"RAMCER RYNE SAURE")</f>
        <v>RAMCER RYNE SAURE</v>
      </c>
      <c r="L1206" s="164" t="str">
        <f ca="1">IFERROR(__xludf.DUMMYFUNCTION("""COMPUTED_VALUE"""),"LTID")</f>
        <v>LTID</v>
      </c>
      <c r="M1206" s="164" t="str">
        <f ca="1">IFERROR(__xludf.DUMMYFUNCTION("""COMPUTED_VALUE"""),"SERVICEABLE")</f>
        <v>SERVICEABLE</v>
      </c>
      <c r="N1206" s="164"/>
    </row>
    <row r="1207" spans="1:14" ht="13.2" hidden="1">
      <c r="A1207" s="164" t="str">
        <f ca="1">IFERROR(__xludf.DUMMYFUNCTION("""COMPUTED_VALUE"""),"Region II")</f>
        <v>Region II</v>
      </c>
      <c r="B1207" s="164" t="str">
        <f ca="1">IFERROR(__xludf.DUMMYFUNCTION("""COMPUTED_VALUE"""),"NUEVA VIZCAYA")</f>
        <v>NUEVA VIZCAYA</v>
      </c>
      <c r="C1207" s="164" t="str">
        <f ca="1">IFERROR(__xludf.DUMMYFUNCTION("""COMPUTED_VALUE"""),"Desktop Computer – (Lenovo M70T)")</f>
        <v>Desktop Computer – (Lenovo M70T)</v>
      </c>
      <c r="D1207" s="164" t="str">
        <f ca="1">IFERROR(__xludf.DUMMYFUNCTION("""COMPUTED_VALUE"""),"₱ 75,468.00")</f>
        <v>₱ 75,468.00</v>
      </c>
      <c r="E1207" s="164" t="str">
        <f ca="1">IFERROR(__xludf.DUMMYFUNCTION("""COMPUTED_VALUE"""),"₱ -")</f>
        <v>₱ -</v>
      </c>
      <c r="F1207" s="164" t="str">
        <f ca="1">IFERROR(__xludf.DUMMYFUNCTION("""COMPUTED_VALUE"""),"2023-05-03-10201P731-01")</f>
        <v>2023-05-03-10201P731-01</v>
      </c>
      <c r="G1207" s="164" t="str">
        <f ca="1">IFERROR(__xludf.DUMMYFUNCTION("""COMPUTED_VALUE"""),"1S11T5S16200GM041B6H")</f>
        <v>1S11T5S16200GM041B6H</v>
      </c>
      <c r="H1207" s="164" t="str">
        <f ca="1">IFERROR(__xludf.DUMMYFUNCTION("""COMPUTED_VALUE"""),"TIMOTHY T. CAMSON")</f>
        <v>TIMOTHY T. CAMSON</v>
      </c>
      <c r="I1207" s="164" t="str">
        <f ca="1">IFERROR(__xludf.DUMMYFUNCTION("""COMPUTED_VALUE"""),"OIC MARPO")</f>
        <v>OIC MARPO</v>
      </c>
      <c r="J1207" s="164" t="str">
        <f ca="1">IFERROR(__xludf.DUMMYFUNCTION("""COMPUTED_VALUE"""),"2023-08-0001")</f>
        <v>2023-08-0001</v>
      </c>
      <c r="K1207" s="164" t="str">
        <f ca="1">IFERROR(__xludf.DUMMYFUNCTION("""COMPUTED_VALUE"""),"TIMOTHY T. CAMSON")</f>
        <v>TIMOTHY T. CAMSON</v>
      </c>
      <c r="L1207" s="164" t="str">
        <f ca="1">IFERROR(__xludf.DUMMYFUNCTION("""COMPUTED_VALUE"""),"MARPO Cluster")</f>
        <v>MARPO Cluster</v>
      </c>
      <c r="M1207" s="164" t="str">
        <f ca="1">IFERROR(__xludf.DUMMYFUNCTION("""COMPUTED_VALUE"""),"SERVICEABLE")</f>
        <v>SERVICEABLE</v>
      </c>
      <c r="N1207" s="164"/>
    </row>
    <row r="1208" spans="1:14" ht="13.2" hidden="1">
      <c r="A1208" s="164" t="str">
        <f ca="1">IFERROR(__xludf.DUMMYFUNCTION("""COMPUTED_VALUE"""),"Region II")</f>
        <v>Region II</v>
      </c>
      <c r="B1208" s="164" t="str">
        <f ca="1">IFERROR(__xludf.DUMMYFUNCTION("""COMPUTED_VALUE"""),"NUEVA VIZCAYA")</f>
        <v>NUEVA VIZCAYA</v>
      </c>
      <c r="C1208" s="164" t="str">
        <f ca="1">IFERROR(__xludf.DUMMYFUNCTION("""COMPUTED_VALUE"""),"Desktop Computer – (Lenovo M70T)")</f>
        <v>Desktop Computer – (Lenovo M70T)</v>
      </c>
      <c r="D1208" s="164" t="str">
        <f ca="1">IFERROR(__xludf.DUMMYFUNCTION("""COMPUTED_VALUE"""),"₱ 75,468.00")</f>
        <v>₱ 75,468.00</v>
      </c>
      <c r="E1208" s="164" t="str">
        <f ca="1">IFERROR(__xludf.DUMMYFUNCTION("""COMPUTED_VALUE"""),"₱ -")</f>
        <v>₱ -</v>
      </c>
      <c r="F1208" s="164" t="str">
        <f ca="1">IFERROR(__xludf.DUMMYFUNCTION("""COMPUTED_VALUE"""),"2023-05-03-10201SP700-01")</f>
        <v>2023-05-03-10201SP700-01</v>
      </c>
      <c r="G1208" s="164" t="str">
        <f ca="1">IFERROR(__xludf.DUMMYFUNCTION("""COMPUTED_VALUE"""),"1S11T5S16200GM041AWC")</f>
        <v>1S11T5S16200GM041AWC</v>
      </c>
      <c r="H1208" s="164" t="str">
        <f ca="1">IFERROR(__xludf.DUMMYFUNCTION("""COMPUTED_VALUE"""),"NOEMI C. ANUMA")</f>
        <v>NOEMI C. ANUMA</v>
      </c>
      <c r="I1208" s="164" t="str">
        <f ca="1">IFERROR(__xludf.DUMMYFUNCTION("""COMPUTED_VALUE"""),"OIC MARPO")</f>
        <v>OIC MARPO</v>
      </c>
      <c r="J1208" s="164" t="str">
        <f ca="1">IFERROR(__xludf.DUMMYFUNCTION("""COMPUTED_VALUE"""),"2023-08-0002")</f>
        <v>2023-08-0002</v>
      </c>
      <c r="K1208" s="164" t="str">
        <f ca="1">IFERROR(__xludf.DUMMYFUNCTION("""COMPUTED_VALUE"""),"NOEMI C. ANUMA")</f>
        <v>NOEMI C. ANUMA</v>
      </c>
      <c r="L1208" s="164" t="str">
        <f ca="1">IFERROR(__xludf.DUMMYFUNCTION("""COMPUTED_VALUE"""),"MARPO Cluster")</f>
        <v>MARPO Cluster</v>
      </c>
      <c r="M1208" s="164" t="str">
        <f ca="1">IFERROR(__xludf.DUMMYFUNCTION("""COMPUTED_VALUE"""),"SERVICEABLE")</f>
        <v>SERVICEABLE</v>
      </c>
      <c r="N1208" s="164"/>
    </row>
    <row r="1209" spans="1:14" ht="13.2" hidden="1">
      <c r="A1209" s="164" t="str">
        <f ca="1">IFERROR(__xludf.DUMMYFUNCTION("""COMPUTED_VALUE"""),"Region II")</f>
        <v>Region II</v>
      </c>
      <c r="B1209" s="164" t="str">
        <f ca="1">IFERROR(__xludf.DUMMYFUNCTION("""COMPUTED_VALUE"""),"NUEVA VIZCAYA")</f>
        <v>NUEVA VIZCAYA</v>
      </c>
      <c r="C1209" s="164" t="str">
        <f ca="1">IFERROR(__xludf.DUMMYFUNCTION("""COMPUTED_VALUE"""),"Desktop Computer – (Lenovo M70T)")</f>
        <v>Desktop Computer – (Lenovo M70T)</v>
      </c>
      <c r="D1209" s="164" t="str">
        <f ca="1">IFERROR(__xludf.DUMMYFUNCTION("""COMPUTED_VALUE"""),"₱ 75,468.00")</f>
        <v>₱ 75,468.00</v>
      </c>
      <c r="E1209" s="164" t="str">
        <f ca="1">IFERROR(__xludf.DUMMYFUNCTION("""COMPUTED_VALUE"""),"₱ -")</f>
        <v>₱ -</v>
      </c>
      <c r="F1209" s="164" t="str">
        <f ca="1">IFERROR(__xludf.DUMMYFUNCTION("""COMPUTED_VALUE"""),"2023-05-03-10201SP682-01")</f>
        <v>2023-05-03-10201SP682-01</v>
      </c>
      <c r="G1209" s="164" t="str">
        <f ca="1">IFERROR(__xludf.DUMMYFUNCTION("""COMPUTED_VALUE"""),"1S11T5S16200GM041AX3")</f>
        <v>1S11T5S16200GM041AX3</v>
      </c>
      <c r="H1209" s="164" t="str">
        <f ca="1">IFERROR(__xludf.DUMMYFUNCTION("""COMPUTED_VALUE"""),"EZRA-VEDDER F. SANCHEZ")</f>
        <v>EZRA-VEDDER F. SANCHEZ</v>
      </c>
      <c r="I1209" s="164" t="str">
        <f ca="1">IFERROR(__xludf.DUMMYFUNCTION("""COMPUTED_VALUE"""),"ARPO I")</f>
        <v>ARPO I</v>
      </c>
      <c r="J1209" s="164" t="str">
        <f ca="1">IFERROR(__xludf.DUMMYFUNCTION("""COMPUTED_VALUE"""),"2024-01-0003B")</f>
        <v>2024-01-0003B</v>
      </c>
      <c r="K1209" s="164" t="str">
        <f ca="1">IFERROR(__xludf.DUMMYFUNCTION("""COMPUTED_VALUE"""),"EZRA-VEDDER F. SANCHEZ")</f>
        <v>EZRA-VEDDER F. SANCHEZ</v>
      </c>
      <c r="L1209" s="164" t="str">
        <f ca="1">IFERROR(__xludf.DUMMYFUNCTION("""COMPUTED_VALUE"""),"GSO")</f>
        <v>GSO</v>
      </c>
      <c r="M1209" s="164" t="str">
        <f ca="1">IFERROR(__xludf.DUMMYFUNCTION("""COMPUTED_VALUE"""),"SERVICEABLE")</f>
        <v>SERVICEABLE</v>
      </c>
      <c r="N1209" s="164"/>
    </row>
    <row r="1210" spans="1:14" ht="13.2" hidden="1">
      <c r="A1210" s="164" t="str">
        <f ca="1">IFERROR(__xludf.DUMMYFUNCTION("""COMPUTED_VALUE"""),"Region II")</f>
        <v>Region II</v>
      </c>
      <c r="B1210" s="164" t="str">
        <f ca="1">IFERROR(__xludf.DUMMYFUNCTION("""COMPUTED_VALUE"""),"NUEVA VIZCAYA")</f>
        <v>NUEVA VIZCAYA</v>
      </c>
      <c r="C1210" s="164" t="str">
        <f ca="1">IFERROR(__xludf.DUMMYFUNCTION("""COMPUTED_VALUE"""),"Desktop Computer – (Lenovo M70T)")</f>
        <v>Desktop Computer – (Lenovo M70T)</v>
      </c>
      <c r="D1210" s="164" t="str">
        <f ca="1">IFERROR(__xludf.DUMMYFUNCTION("""COMPUTED_VALUE"""),"₱ 75,468.00")</f>
        <v>₱ 75,468.00</v>
      </c>
      <c r="E1210" s="164" t="str">
        <f ca="1">IFERROR(__xludf.DUMMYFUNCTION("""COMPUTED_VALUE"""),"₱ -")</f>
        <v>₱ -</v>
      </c>
      <c r="F1210" s="164" t="str">
        <f ca="1">IFERROR(__xludf.DUMMYFUNCTION("""COMPUTED_VALUE"""),"2023-05-03-10201SP687-01")</f>
        <v>2023-05-03-10201SP687-01</v>
      </c>
      <c r="G1210" s="164" t="str">
        <f ca="1">IFERROR(__xludf.DUMMYFUNCTION("""COMPUTED_VALUE"""),"1S11T5S16200GM041AWA")</f>
        <v>1S11T5S16200GM041AWA</v>
      </c>
      <c r="H1210" s="164" t="str">
        <f ca="1">IFERROR(__xludf.DUMMYFUNCTION("""COMPUTED_VALUE"""),"RUBYLYN O. ARENOS")</f>
        <v>RUBYLYN O. ARENOS</v>
      </c>
      <c r="I1210" s="164" t="str">
        <f ca="1">IFERROR(__xludf.DUMMYFUNCTION("""COMPUTED_VALUE"""),"ARPT")</f>
        <v>ARPT</v>
      </c>
      <c r="J1210" s="164" t="str">
        <f ca="1">IFERROR(__xludf.DUMMYFUNCTION("""COMPUTED_VALUE"""),"2024-08-0011")</f>
        <v>2024-08-0011</v>
      </c>
      <c r="K1210" s="164" t="str">
        <f ca="1">IFERROR(__xludf.DUMMYFUNCTION("""COMPUTED_VALUE"""),"RUBYLYN O. ARENOS")</f>
        <v>RUBYLYN O. ARENOS</v>
      </c>
      <c r="L1210" s="164" t="str">
        <f ca="1">IFERROR(__xludf.DUMMYFUNCTION("""COMPUTED_VALUE"""),"LTID")</f>
        <v>LTID</v>
      </c>
      <c r="M1210" s="164" t="str">
        <f ca="1">IFERROR(__xludf.DUMMYFUNCTION("""COMPUTED_VALUE"""),"SERVICEABLE")</f>
        <v>SERVICEABLE</v>
      </c>
      <c r="N1210" s="164" t="str">
        <f ca="1">IFERROR(__xludf.DUMMYFUNCTION("""COMPUTED_VALUE"""),"unserviceable UPS")</f>
        <v>unserviceable UPS</v>
      </c>
    </row>
    <row r="1211" spans="1:14" ht="13.2" hidden="1">
      <c r="A1211" s="164" t="str">
        <f ca="1">IFERROR(__xludf.DUMMYFUNCTION("""COMPUTED_VALUE"""),"Region II")</f>
        <v>Region II</v>
      </c>
      <c r="B1211" s="164" t="str">
        <f ca="1">IFERROR(__xludf.DUMMYFUNCTION("""COMPUTED_VALUE"""),"NUEVA VIZCAYA")</f>
        <v>NUEVA VIZCAYA</v>
      </c>
      <c r="C1211" s="164" t="str">
        <f ca="1">IFERROR(__xludf.DUMMYFUNCTION("""COMPUTED_VALUE"""),"Desktop Computer – (Lenovo M70T)")</f>
        <v>Desktop Computer – (Lenovo M70T)</v>
      </c>
      <c r="D1211" s="164" t="str">
        <f ca="1">IFERROR(__xludf.DUMMYFUNCTION("""COMPUTED_VALUE"""),"₱ 75,468.00")</f>
        <v>₱ 75,468.00</v>
      </c>
      <c r="E1211" s="164" t="str">
        <f ca="1">IFERROR(__xludf.DUMMYFUNCTION("""COMPUTED_VALUE"""),"₱ -")</f>
        <v>₱ -</v>
      </c>
      <c r="F1211" s="164" t="str">
        <f ca="1">IFERROR(__xludf.DUMMYFUNCTION("""COMPUTED_VALUE"""),"2023-05-03-10201SP675-01")</f>
        <v>2023-05-03-10201SP675-01</v>
      </c>
      <c r="G1211" s="164" t="str">
        <f ca="1">IFERROR(__xludf.DUMMYFUNCTION("""COMPUTED_VALUE"""),"1S11T5S16200GM041AX6")</f>
        <v>1S11T5S16200GM041AX6</v>
      </c>
      <c r="H1211" s="164" t="str">
        <f ca="1">IFERROR(__xludf.DUMMYFUNCTION("""COMPUTED_VALUE"""),"FELICITAS M. GRAPIZA")</f>
        <v>FELICITAS M. GRAPIZA</v>
      </c>
      <c r="I1211" s="164" t="str">
        <f ca="1">IFERROR(__xludf.DUMMYFUNCTION("""COMPUTED_VALUE"""),"SARPT/ SPLIT LRA-ROD-DENR &amp; Survey Coordinator")</f>
        <v>SARPT/ SPLIT LRA-ROD-DENR &amp; Survey Coordinator</v>
      </c>
      <c r="J1211" s="164" t="str">
        <f ca="1">IFERROR(__xludf.DUMMYFUNCTION("""COMPUTED_VALUE"""),"2024-10-0016A")</f>
        <v>2024-10-0016A</v>
      </c>
      <c r="K1211" s="164" t="str">
        <f ca="1">IFERROR(__xludf.DUMMYFUNCTION("""COMPUTED_VALUE"""),"SUNSHINE S. SAGAYO")</f>
        <v>SUNSHINE S. SAGAYO</v>
      </c>
      <c r="L1211" s="164" t="str">
        <f ca="1">IFERROR(__xludf.DUMMYFUNCTION("""COMPUTED_VALUE"""),"SPLIT")</f>
        <v>SPLIT</v>
      </c>
      <c r="M1211" s="164" t="str">
        <f ca="1">IFERROR(__xludf.DUMMYFUNCTION("""COMPUTED_VALUE"""),"SERVICEABLE")</f>
        <v>SERVICEABLE</v>
      </c>
      <c r="N1211" s="164"/>
    </row>
    <row r="1212" spans="1:14" ht="13.2" hidden="1">
      <c r="A1212" s="164" t="str">
        <f ca="1">IFERROR(__xludf.DUMMYFUNCTION("""COMPUTED_VALUE"""),"Region II")</f>
        <v>Region II</v>
      </c>
      <c r="B1212" s="164" t="str">
        <f ca="1">IFERROR(__xludf.DUMMYFUNCTION("""COMPUTED_VALUE"""),"NUEVA VIZCAYA")</f>
        <v>NUEVA VIZCAYA</v>
      </c>
      <c r="C1212" s="164" t="str">
        <f ca="1">IFERROR(__xludf.DUMMYFUNCTION("""COMPUTED_VALUE"""),"Desktop Computer – (Lenovo M70T)")</f>
        <v>Desktop Computer – (Lenovo M70T)</v>
      </c>
      <c r="D1212" s="164" t="str">
        <f ca="1">IFERROR(__xludf.DUMMYFUNCTION("""COMPUTED_VALUE"""),"₱ 75,468.00")</f>
        <v>₱ 75,468.00</v>
      </c>
      <c r="E1212" s="164" t="str">
        <f ca="1">IFERROR(__xludf.DUMMYFUNCTION("""COMPUTED_VALUE"""),"₱ -")</f>
        <v>₱ -</v>
      </c>
      <c r="F1212" s="164" t="str">
        <f ca="1">IFERROR(__xludf.DUMMYFUNCTION("""COMPUTED_VALUE"""),"2023-05-03-10201SP717-01")</f>
        <v>2023-05-03-10201SP717-01</v>
      </c>
      <c r="G1212" s="164" t="str">
        <f ca="1">IFERROR(__xludf.DUMMYFUNCTION("""COMPUTED_VALUE"""),"1S11T5S16200GM041AWS")</f>
        <v>1S11T5S16200GM041AWS</v>
      </c>
      <c r="H1212" s="164" t="str">
        <f ca="1">IFERROR(__xludf.DUMMYFUNCTION("""COMPUTED_VALUE"""),"CESAR V. BAUTISTA")</f>
        <v>CESAR V. BAUTISTA</v>
      </c>
      <c r="I1212" s="164" t="str">
        <f ca="1">IFERROR(__xludf.DUMMYFUNCTION("""COMPUTED_VALUE"""),"OIC CARPO/ SPLIT Parcelization Component &amp; FVT Coordinator")</f>
        <v>OIC CARPO/ SPLIT Parcelization Component &amp; FVT Coordinator</v>
      </c>
      <c r="J1212" s="164" t="str">
        <f ca="1">IFERROR(__xludf.DUMMYFUNCTION("""COMPUTED_VALUE"""),"2025-01-0001")</f>
        <v>2025-01-0001</v>
      </c>
      <c r="K1212" s="164" t="str">
        <f ca="1">IFERROR(__xludf.DUMMYFUNCTION("""COMPUTED_VALUE"""),"ALELIE A. PINEDA")</f>
        <v>ALELIE A. PINEDA</v>
      </c>
      <c r="L1212" s="164" t="str">
        <f ca="1">IFERROR(__xludf.DUMMYFUNCTION("""COMPUTED_VALUE"""),"SPLIT")</f>
        <v>SPLIT</v>
      </c>
      <c r="M1212" s="164" t="str">
        <f ca="1">IFERROR(__xludf.DUMMYFUNCTION("""COMPUTED_VALUE"""),"SERVICEABLE")</f>
        <v>SERVICEABLE</v>
      </c>
      <c r="N1212" s="164" t="str">
        <f ca="1">IFERROR(__xludf.DUMMYFUNCTION("""COMPUTED_VALUE"""),"unserviceable printer")</f>
        <v>unserviceable printer</v>
      </c>
    </row>
    <row r="1213" spans="1:14" ht="13.2" hidden="1">
      <c r="A1213" s="164" t="str">
        <f ca="1">IFERROR(__xludf.DUMMYFUNCTION("""COMPUTED_VALUE"""),"Region II")</f>
        <v>Region II</v>
      </c>
      <c r="B1213" s="164" t="str">
        <f ca="1">IFERROR(__xludf.DUMMYFUNCTION("""COMPUTED_VALUE"""),"NUEVA VIZCAYA")</f>
        <v>NUEVA VIZCAYA</v>
      </c>
      <c r="C1213" s="164" t="str">
        <f ca="1">IFERROR(__xludf.DUMMYFUNCTION("""COMPUTED_VALUE"""),"Desktop Computer – (Lenovo M70T)")</f>
        <v>Desktop Computer – (Lenovo M70T)</v>
      </c>
      <c r="D1213" s="164" t="str">
        <f ca="1">IFERROR(__xludf.DUMMYFUNCTION("""COMPUTED_VALUE"""),"₱ 75,468.00")</f>
        <v>₱ 75,468.00</v>
      </c>
      <c r="E1213" s="164" t="str">
        <f ca="1">IFERROR(__xludf.DUMMYFUNCTION("""COMPUTED_VALUE"""),"₱ -")</f>
        <v>₱ -</v>
      </c>
      <c r="F1213" s="164" t="str">
        <f ca="1">IFERROR(__xludf.DUMMYFUNCTION("""COMPUTED_VALUE"""),"2023-05-03-10201SP699-01")</f>
        <v>2023-05-03-10201SP699-01</v>
      </c>
      <c r="G1213" s="164" t="str">
        <f ca="1">IFERROR(__xludf.DUMMYFUNCTION("""COMPUTED_VALUE"""),"1S11T5S16200GM041B0B")</f>
        <v>1S11T5S16200GM041B0B</v>
      </c>
      <c r="H1213" s="164" t="str">
        <f ca="1">IFERROR(__xludf.DUMMYFUNCTION("""COMPUTED_VALUE"""),"VINOLINDA J. LANNU")</f>
        <v>VINOLINDA J. LANNU</v>
      </c>
      <c r="I1213" s="164" t="str">
        <f ca="1">IFERROR(__xludf.DUMMYFUNCTION("""COMPUTED_VALUE"""),"AO IV/ HRMO")</f>
        <v>AO IV/ HRMO</v>
      </c>
      <c r="J1213" s="164" t="str">
        <f ca="1">IFERROR(__xludf.DUMMYFUNCTION("""COMPUTED_VALUE"""),"2023-08-0007")</f>
        <v>2023-08-0007</v>
      </c>
      <c r="K1213" s="164" t="str">
        <f ca="1">IFERROR(__xludf.DUMMYFUNCTION("""COMPUTED_VALUE"""),"VINOLINDA J. LANNU")</f>
        <v>VINOLINDA J. LANNU</v>
      </c>
      <c r="L1213" s="164" t="str">
        <f ca="1">IFERROR(__xludf.DUMMYFUNCTION("""COMPUTED_VALUE"""),"HR")</f>
        <v>HR</v>
      </c>
      <c r="M1213" s="164" t="str">
        <f ca="1">IFERROR(__xludf.DUMMYFUNCTION("""COMPUTED_VALUE"""),"SERVICEABLE")</f>
        <v>SERVICEABLE</v>
      </c>
      <c r="N1213" s="164"/>
    </row>
    <row r="1214" spans="1:14" ht="13.2" hidden="1">
      <c r="A1214" s="164" t="str">
        <f ca="1">IFERROR(__xludf.DUMMYFUNCTION("""COMPUTED_VALUE"""),"Region II")</f>
        <v>Region II</v>
      </c>
      <c r="B1214" s="164" t="str">
        <f ca="1">IFERROR(__xludf.DUMMYFUNCTION("""COMPUTED_VALUE"""),"NUEVA VIZCAYA")</f>
        <v>NUEVA VIZCAYA</v>
      </c>
      <c r="C1214" s="164" t="str">
        <f ca="1">IFERROR(__xludf.DUMMYFUNCTION("""COMPUTED_VALUE"""),"Desktop Computer – (Lenovo M70T)")</f>
        <v>Desktop Computer – (Lenovo M70T)</v>
      </c>
      <c r="D1214" s="164" t="str">
        <f ca="1">IFERROR(__xludf.DUMMYFUNCTION("""COMPUTED_VALUE"""),"₱ 75,468.00")</f>
        <v>₱ 75,468.00</v>
      </c>
      <c r="E1214" s="164" t="str">
        <f ca="1">IFERROR(__xludf.DUMMYFUNCTION("""COMPUTED_VALUE"""),"₱ -")</f>
        <v>₱ -</v>
      </c>
      <c r="F1214" s="164" t="str">
        <f ca="1">IFERROR(__xludf.DUMMYFUNCTION("""COMPUTED_VALUE"""),"2023-05-03-10201SP708-01")</f>
        <v>2023-05-03-10201SP708-01</v>
      </c>
      <c r="G1214" s="164" t="str">
        <f ca="1">IFERROR(__xludf.DUMMYFUNCTION("""COMPUTED_VALUE"""),"1S11T5S16200GM041B6N")</f>
        <v>1S11T5S16200GM041B6N</v>
      </c>
      <c r="H1214" s="164" t="str">
        <f ca="1">IFERROR(__xludf.DUMMYFUNCTION("""COMPUTED_VALUE"""),"CESAR V. BAUTISTA")</f>
        <v>CESAR V. BAUTISTA</v>
      </c>
      <c r="I1214" s="164" t="str">
        <f ca="1">IFERROR(__xludf.DUMMYFUNCTION("""COMPUTED_VALUE"""),"OIC CARPO/ SPLIT Parcelization Component &amp; FVT Coordinator")</f>
        <v>OIC CARPO/ SPLIT Parcelization Component &amp; FVT Coordinator</v>
      </c>
      <c r="J1214" s="164" t="str">
        <f ca="1">IFERROR(__xludf.DUMMYFUNCTION("""COMPUTED_VALUE"""),"2024-03-0006")</f>
        <v>2024-03-0006</v>
      </c>
      <c r="K1214" s="164" t="str">
        <f ca="1">IFERROR(__xludf.DUMMYFUNCTION("""COMPUTED_VALUE"""),"CYLYN P. OYAN")</f>
        <v>CYLYN P. OYAN</v>
      </c>
      <c r="L1214" s="164" t="str">
        <f ca="1">IFERROR(__xludf.DUMMYFUNCTION("""COMPUTED_VALUE"""),"SPLIT")</f>
        <v>SPLIT</v>
      </c>
      <c r="M1214" s="164" t="str">
        <f ca="1">IFERROR(__xludf.DUMMYFUNCTION("""COMPUTED_VALUE"""),"SERVICEABLE")</f>
        <v>SERVICEABLE</v>
      </c>
      <c r="N1214" s="164"/>
    </row>
    <row r="1215" spans="1:14" ht="13.2" hidden="1">
      <c r="A1215" s="164" t="str">
        <f ca="1">IFERROR(__xludf.DUMMYFUNCTION("""COMPUTED_VALUE"""),"Region II")</f>
        <v>Region II</v>
      </c>
      <c r="B1215" s="164" t="str">
        <f ca="1">IFERROR(__xludf.DUMMYFUNCTION("""COMPUTED_VALUE"""),"NUEVA VIZCAYA")</f>
        <v>NUEVA VIZCAYA</v>
      </c>
      <c r="C1215" s="164" t="str">
        <f ca="1">IFERROR(__xludf.DUMMYFUNCTION("""COMPUTED_VALUE"""),"Desktop Computer – (Lenovo M70T)")</f>
        <v>Desktop Computer – (Lenovo M70T)</v>
      </c>
      <c r="D1215" s="164" t="str">
        <f ca="1">IFERROR(__xludf.DUMMYFUNCTION("""COMPUTED_VALUE"""),"₱ 75,468.00")</f>
        <v>₱ 75,468.00</v>
      </c>
      <c r="E1215" s="164" t="str">
        <f ca="1">IFERROR(__xludf.DUMMYFUNCTION("""COMPUTED_VALUE"""),"₱ -")</f>
        <v>₱ -</v>
      </c>
      <c r="F1215" s="164" t="str">
        <f ca="1">IFERROR(__xludf.DUMMYFUNCTION("""COMPUTED_VALUE"""),"2023-05-03-10201SP677-01")</f>
        <v>2023-05-03-10201SP677-01</v>
      </c>
      <c r="G1215" s="164" t="str">
        <f ca="1">IFERROR(__xludf.DUMMYFUNCTION("""COMPUTED_VALUE"""),"1S11T5S16200GM041B6J")</f>
        <v>1S11T5S16200GM041B6J</v>
      </c>
      <c r="H1215" s="164" t="str">
        <f ca="1">IFERROR(__xludf.DUMMYFUNCTION("""COMPUTED_VALUE"""),"ESTERLINA P. MARTIN")</f>
        <v>ESTERLINA P. MARTIN</v>
      </c>
      <c r="I1215" s="164" t="str">
        <f ca="1">IFERROR(__xludf.DUMMYFUNCTION("""COMPUTED_VALUE"""),"AO IV/ GSO Head")</f>
        <v>AO IV/ GSO Head</v>
      </c>
      <c r="J1215" s="164" t="str">
        <f ca="1">IFERROR(__xludf.DUMMYFUNCTION("""COMPUTED_VALUE"""),"2023-08-0010")</f>
        <v>2023-08-0010</v>
      </c>
      <c r="K1215" s="164" t="str">
        <f ca="1">IFERROR(__xludf.DUMMYFUNCTION("""COMPUTED_VALUE"""),"PHAMELA FHAE R. ABIADO")</f>
        <v>PHAMELA FHAE R. ABIADO</v>
      </c>
      <c r="L1215" s="164" t="str">
        <f ca="1">IFERROR(__xludf.DUMMYFUNCTION("""COMPUTED_VALUE"""),"GSO")</f>
        <v>GSO</v>
      </c>
      <c r="M1215" s="164" t="str">
        <f ca="1">IFERROR(__xludf.DUMMYFUNCTION("""COMPUTED_VALUE"""),"SERVICEABLE")</f>
        <v>SERVICEABLE</v>
      </c>
      <c r="N1215" s="164"/>
    </row>
    <row r="1216" spans="1:14" ht="13.2" hidden="1">
      <c r="A1216" s="164" t="str">
        <f ca="1">IFERROR(__xludf.DUMMYFUNCTION("""COMPUTED_VALUE"""),"Region II")</f>
        <v>Region II</v>
      </c>
      <c r="B1216" s="164" t="str">
        <f ca="1">IFERROR(__xludf.DUMMYFUNCTION("""COMPUTED_VALUE"""),"NUEVA VIZCAYA")</f>
        <v>NUEVA VIZCAYA</v>
      </c>
      <c r="C1216" s="164" t="str">
        <f ca="1">IFERROR(__xludf.DUMMYFUNCTION("""COMPUTED_VALUE"""),"Desktop Computer – (Lenovo M70T)")</f>
        <v>Desktop Computer – (Lenovo M70T)</v>
      </c>
      <c r="D1216" s="164" t="str">
        <f ca="1">IFERROR(__xludf.DUMMYFUNCTION("""COMPUTED_VALUE"""),"₱ 75,468.00")</f>
        <v>₱ 75,468.00</v>
      </c>
      <c r="E1216" s="164" t="str">
        <f ca="1">IFERROR(__xludf.DUMMYFUNCTION("""COMPUTED_VALUE"""),"₱ -")</f>
        <v>₱ -</v>
      </c>
      <c r="F1216" s="164" t="str">
        <f ca="1">IFERROR(__xludf.DUMMYFUNCTION("""COMPUTED_VALUE"""),"2023-05-03-10201SP752-01")</f>
        <v>2023-05-03-10201SP752-01</v>
      </c>
      <c r="G1216" s="164" t="str">
        <f ca="1">IFERROR(__xludf.DUMMYFUNCTION("""COMPUTED_VALUE"""),"1S11T5S16200GM041B6E")</f>
        <v>1S11T5S16200GM041B6E</v>
      </c>
      <c r="H1216" s="164" t="str">
        <f ca="1">IFERROR(__xludf.DUMMYFUNCTION("""COMPUTED_VALUE"""),"RONALD JOHN G. CELESTINO")</f>
        <v>RONALD JOHN G. CELESTINO</v>
      </c>
      <c r="I1216" s="164" t="str">
        <f ca="1">IFERROR(__xludf.DUMMYFUNCTION("""COMPUTED_VALUE"""),"ARPO II/ ESS Support Staff")</f>
        <v>ARPO II/ ESS Support Staff</v>
      </c>
      <c r="J1216" s="164" t="str">
        <f ca="1">IFERROR(__xludf.DUMMYFUNCTION("""COMPUTED_VALUE"""),"2023-08-0011")</f>
        <v>2023-08-0011</v>
      </c>
      <c r="K1216" s="164" t="str">
        <f ca="1">IFERROR(__xludf.DUMMYFUNCTION("""COMPUTED_VALUE"""),"RONALD JOHN G. CELESTINO")</f>
        <v>RONALD JOHN G. CELESTINO</v>
      </c>
      <c r="L1216" s="164" t="str">
        <f ca="1">IFERROR(__xludf.DUMMYFUNCTION("""COMPUTED_VALUE"""),"PBDD")</f>
        <v>PBDD</v>
      </c>
      <c r="M1216" s="164" t="str">
        <f ca="1">IFERROR(__xludf.DUMMYFUNCTION("""COMPUTED_VALUE"""),"SERVICEABLE")</f>
        <v>SERVICEABLE</v>
      </c>
      <c r="N1216" s="164"/>
    </row>
    <row r="1217" spans="1:14" ht="13.2" hidden="1">
      <c r="A1217" s="164" t="str">
        <f ca="1">IFERROR(__xludf.DUMMYFUNCTION("""COMPUTED_VALUE"""),"Region II")</f>
        <v>Region II</v>
      </c>
      <c r="B1217" s="164" t="str">
        <f ca="1">IFERROR(__xludf.DUMMYFUNCTION("""COMPUTED_VALUE"""),"NUEVA VIZCAYA")</f>
        <v>NUEVA VIZCAYA</v>
      </c>
      <c r="C1217" s="164" t="str">
        <f ca="1">IFERROR(__xludf.DUMMYFUNCTION("""COMPUTED_VALUE"""),"Desktop Computer – (Lenovo M70T)")</f>
        <v>Desktop Computer – (Lenovo M70T)</v>
      </c>
      <c r="D1217" s="164" t="str">
        <f ca="1">IFERROR(__xludf.DUMMYFUNCTION("""COMPUTED_VALUE"""),"₱ 75,468.00")</f>
        <v>₱ 75,468.00</v>
      </c>
      <c r="E1217" s="164" t="str">
        <f ca="1">IFERROR(__xludf.DUMMYFUNCTION("""COMPUTED_VALUE"""),"₱ -")</f>
        <v>₱ -</v>
      </c>
      <c r="F1217" s="164" t="str">
        <f ca="1">IFERROR(__xludf.DUMMYFUNCTION("""COMPUTED_VALUE"""),"2023-05-03-10201SP704-01")</f>
        <v>2023-05-03-10201SP704-01</v>
      </c>
      <c r="G1217" s="164" t="str">
        <f ca="1">IFERROR(__xludf.DUMMYFUNCTION("""COMPUTED_VALUE"""),"1S11T5S16200GM041B47")</f>
        <v>1S11T5S16200GM041B47</v>
      </c>
      <c r="H1217" s="164" t="str">
        <f ca="1">IFERROR(__xludf.DUMMYFUNCTION("""COMPUTED_VALUE"""),"EDUARDO R. BAJO")</f>
        <v>EDUARDO R. BAJO</v>
      </c>
      <c r="I1217" s="164" t="str">
        <f ca="1">IFERROR(__xludf.DUMMYFUNCTION("""COMPUTED_VALUE"""),"ARPO II/ MISS Coordinator")</f>
        <v>ARPO II/ MISS Coordinator</v>
      </c>
      <c r="J1217" s="164" t="str">
        <f ca="1">IFERROR(__xludf.DUMMYFUNCTION("""COMPUTED_VALUE"""),"2023-09-0017")</f>
        <v>2023-09-0017</v>
      </c>
      <c r="K1217" s="164" t="str">
        <f ca="1">IFERROR(__xludf.DUMMYFUNCTION("""COMPUTED_VALUE"""),"EDUARDO R. BAJO")</f>
        <v>EDUARDO R. BAJO</v>
      </c>
      <c r="L1217" s="164" t="str">
        <f ca="1">IFERROR(__xludf.DUMMYFUNCTION("""COMPUTED_VALUE"""),"LTID")</f>
        <v>LTID</v>
      </c>
      <c r="M1217" s="164" t="str">
        <f ca="1">IFERROR(__xludf.DUMMYFUNCTION("""COMPUTED_VALUE"""),"SERVICEABLE")</f>
        <v>SERVICEABLE</v>
      </c>
      <c r="N1217" s="164"/>
    </row>
    <row r="1218" spans="1:14" ht="13.2" hidden="1">
      <c r="A1218" s="164" t="str">
        <f ca="1">IFERROR(__xludf.DUMMYFUNCTION("""COMPUTED_VALUE"""),"Region II")</f>
        <v>Region II</v>
      </c>
      <c r="B1218" s="164" t="str">
        <f ca="1">IFERROR(__xludf.DUMMYFUNCTION("""COMPUTED_VALUE"""),"NUEVA VIZCAYA")</f>
        <v>NUEVA VIZCAYA</v>
      </c>
      <c r="C1218" s="164" t="str">
        <f ca="1">IFERROR(__xludf.DUMMYFUNCTION("""COMPUTED_VALUE"""),"Desktop Computer – (Lenovo M70T)")</f>
        <v>Desktop Computer – (Lenovo M70T)</v>
      </c>
      <c r="D1218" s="164" t="str">
        <f ca="1">IFERROR(__xludf.DUMMYFUNCTION("""COMPUTED_VALUE"""),"₱ 75,468.00")</f>
        <v>₱ 75,468.00</v>
      </c>
      <c r="E1218" s="164" t="str">
        <f ca="1">IFERROR(__xludf.DUMMYFUNCTION("""COMPUTED_VALUE"""),"₱ -")</f>
        <v>₱ -</v>
      </c>
      <c r="F1218" s="164" t="str">
        <f ca="1">IFERROR(__xludf.DUMMYFUNCTION("""COMPUTED_VALUE"""),"2023-05-03-10201SP705-01")</f>
        <v>2023-05-03-10201SP705-01</v>
      </c>
      <c r="G1218" s="164" t="str">
        <f ca="1">IFERROR(__xludf.DUMMYFUNCTION("""COMPUTED_VALUE"""),"0")</f>
        <v>0</v>
      </c>
      <c r="H1218" s="164" t="str">
        <f ca="1">IFERROR(__xludf.DUMMYFUNCTION("""COMPUTED_VALUE"""),"CESAR V. BAUTISTA")</f>
        <v>CESAR V. BAUTISTA</v>
      </c>
      <c r="I1218" s="164" t="str">
        <f ca="1">IFERROR(__xludf.DUMMYFUNCTION("""COMPUTED_VALUE"""),"OIC CARPO/ SPLIT Parcelization Component &amp; FVT Coordinator")</f>
        <v>OIC CARPO/ SPLIT Parcelization Component &amp; FVT Coordinator</v>
      </c>
      <c r="J1218" s="164" t="str">
        <f ca="1">IFERROR(__xludf.DUMMYFUNCTION("""COMPUTED_VALUE"""),"2025-01-0002")</f>
        <v>2025-01-0002</v>
      </c>
      <c r="K1218" s="164" t="str">
        <f ca="1">IFERROR(__xludf.DUMMYFUNCTION("""COMPUTED_VALUE"""),"BERNADETH G. PELAYO")</f>
        <v>BERNADETH G. PELAYO</v>
      </c>
      <c r="L1218" s="164" t="str">
        <f ca="1">IFERROR(__xludf.DUMMYFUNCTION("""COMPUTED_VALUE"""),"SPLIT")</f>
        <v>SPLIT</v>
      </c>
      <c r="M1218" s="164" t="str">
        <f ca="1">IFERROR(__xludf.DUMMYFUNCTION("""COMPUTED_VALUE"""),"SERVICEABLE")</f>
        <v>SERVICEABLE</v>
      </c>
      <c r="N1218" s="164" t="str">
        <f ca="1">IFERROR(__xludf.DUMMYFUNCTION("""COMPUTED_VALUE"""),"unserviceable printer")</f>
        <v>unserviceable printer</v>
      </c>
    </row>
    <row r="1219" spans="1:14" ht="13.2" hidden="1">
      <c r="A1219" s="164" t="str">
        <f ca="1">IFERROR(__xludf.DUMMYFUNCTION("""COMPUTED_VALUE"""),"Region II")</f>
        <v>Region II</v>
      </c>
      <c r="B1219" s="164" t="str">
        <f ca="1">IFERROR(__xludf.DUMMYFUNCTION("""COMPUTED_VALUE"""),"NUEVA VIZCAYA")</f>
        <v>NUEVA VIZCAYA</v>
      </c>
      <c r="C1219" s="164" t="str">
        <f ca="1">IFERROR(__xludf.DUMMYFUNCTION("""COMPUTED_VALUE"""),"Desktop Computer – (Lenovo M70T)")</f>
        <v>Desktop Computer – (Lenovo M70T)</v>
      </c>
      <c r="D1219" s="164" t="str">
        <f ca="1">IFERROR(__xludf.DUMMYFUNCTION("""COMPUTED_VALUE"""),"₱ 75,468.00")</f>
        <v>₱ 75,468.00</v>
      </c>
      <c r="E1219" s="164" t="str">
        <f ca="1">IFERROR(__xludf.DUMMYFUNCTION("""COMPUTED_VALUE"""),"₱ -")</f>
        <v>₱ -</v>
      </c>
      <c r="F1219" s="164" t="str">
        <f ca="1">IFERROR(__xludf.DUMMYFUNCTION("""COMPUTED_VALUE"""),"2023-05-03-10201SP684-01")</f>
        <v>2023-05-03-10201SP684-01</v>
      </c>
      <c r="G1219" s="164" t="str">
        <f ca="1">IFERROR(__xludf.DUMMYFUNCTION("""COMPUTED_VALUE"""),"1S11T5S16200GM041B6C")</f>
        <v>1S11T5S16200GM041B6C</v>
      </c>
      <c r="H1219" s="164" t="str">
        <f ca="1">IFERROR(__xludf.DUMMYFUNCTION("""COMPUTED_VALUE"""),"CESAR V. BAUTISTA")</f>
        <v>CESAR V. BAUTISTA</v>
      </c>
      <c r="I1219" s="164" t="str">
        <f ca="1">IFERROR(__xludf.DUMMYFUNCTION("""COMPUTED_VALUE"""),"OIC CARPO/ SPLIT Parcelization Component &amp; FVT Coordinator")</f>
        <v>OIC CARPO/ SPLIT Parcelization Component &amp; FVT Coordinator</v>
      </c>
      <c r="J1219" s="164" t="str">
        <f ca="1">IFERROR(__xludf.DUMMYFUNCTION("""COMPUTED_VALUE"""),"2025-01-0003")</f>
        <v>2025-01-0003</v>
      </c>
      <c r="K1219" s="164" t="str">
        <f ca="1">IFERROR(__xludf.DUMMYFUNCTION("""COMPUTED_VALUE"""),"MARJORIE M. VILLEGAS")</f>
        <v>MARJORIE M. VILLEGAS</v>
      </c>
      <c r="L1219" s="164" t="str">
        <f ca="1">IFERROR(__xludf.DUMMYFUNCTION("""COMPUTED_VALUE"""),"SPLIT")</f>
        <v>SPLIT</v>
      </c>
      <c r="M1219" s="164" t="str">
        <f ca="1">IFERROR(__xludf.DUMMYFUNCTION("""COMPUTED_VALUE"""),"SERVICEABLE")</f>
        <v>SERVICEABLE</v>
      </c>
      <c r="N1219" s="164" t="str">
        <f ca="1">IFERROR(__xludf.DUMMYFUNCTION("""COMPUTED_VALUE"""),"unserviceable printer")</f>
        <v>unserviceable printer</v>
      </c>
    </row>
    <row r="1220" spans="1:14" ht="13.2" hidden="1">
      <c r="A1220" s="164" t="str">
        <f ca="1">IFERROR(__xludf.DUMMYFUNCTION("""COMPUTED_VALUE"""),"Region II")</f>
        <v>Region II</v>
      </c>
      <c r="B1220" s="164" t="str">
        <f ca="1">IFERROR(__xludf.DUMMYFUNCTION("""COMPUTED_VALUE"""),"NUEVA VIZCAYA")</f>
        <v>NUEVA VIZCAYA</v>
      </c>
      <c r="C1220" s="164" t="str">
        <f ca="1">IFERROR(__xludf.DUMMYFUNCTION("""COMPUTED_VALUE"""),"Desktop Computer – (Lenovo M70T)")</f>
        <v>Desktop Computer – (Lenovo M70T)</v>
      </c>
      <c r="D1220" s="164" t="str">
        <f ca="1">IFERROR(__xludf.DUMMYFUNCTION("""COMPUTED_VALUE"""),"₱ 75,468.00")</f>
        <v>₱ 75,468.00</v>
      </c>
      <c r="E1220" s="164" t="str">
        <f ca="1">IFERROR(__xludf.DUMMYFUNCTION("""COMPUTED_VALUE"""),"₱ -")</f>
        <v>₱ -</v>
      </c>
      <c r="F1220" s="164" t="str">
        <f ca="1">IFERROR(__xludf.DUMMYFUNCTION("""COMPUTED_VALUE"""),"2023-05-03-10201SP710-01")</f>
        <v>2023-05-03-10201SP710-01</v>
      </c>
      <c r="G1220" s="164" t="str">
        <f ca="1">IFERROR(__xludf.DUMMYFUNCTION("""COMPUTED_VALUE"""),"1S11T5S16200GM041B6K")</f>
        <v>1S11T5S16200GM041B6K</v>
      </c>
      <c r="H1220" s="164" t="str">
        <f ca="1">IFERROR(__xludf.DUMMYFUNCTION("""COMPUTED_VALUE"""),"CHITA B. BUNGUBUNG")</f>
        <v>CHITA B. BUNGUBUNG</v>
      </c>
      <c r="I1220" s="164" t="str">
        <f ca="1">IFERROR(__xludf.DUMMYFUNCTION("""COMPUTED_VALUE"""),"OIC CARPO/ ESS Coordinator")</f>
        <v>OIC CARPO/ ESS Coordinator</v>
      </c>
      <c r="J1220" s="164" t="str">
        <f ca="1">IFERROR(__xludf.DUMMYFUNCTION("""COMPUTED_VALUE"""),"2024-11-0020")</f>
        <v>2024-11-0020</v>
      </c>
      <c r="K1220" s="164" t="str">
        <f ca="1">IFERROR(__xludf.DUMMYFUNCTION("""COMPUTED_VALUE"""),"RODELYN V. CALADO")</f>
        <v>RODELYN V. CALADO</v>
      </c>
      <c r="L1220" s="164" t="str">
        <f ca="1">IFERROR(__xludf.DUMMYFUNCTION("""COMPUTED_VALUE"""),"SPLIT")</f>
        <v>SPLIT</v>
      </c>
      <c r="M1220" s="164" t="str">
        <f ca="1">IFERROR(__xludf.DUMMYFUNCTION("""COMPUTED_VALUE"""),"SERVICEABLE")</f>
        <v>SERVICEABLE</v>
      </c>
      <c r="N1220" s="164"/>
    </row>
    <row r="1221" spans="1:14" ht="13.2" hidden="1">
      <c r="A1221" s="164" t="str">
        <f ca="1">IFERROR(__xludf.DUMMYFUNCTION("""COMPUTED_VALUE"""),"Region II")</f>
        <v>Region II</v>
      </c>
      <c r="B1221" s="164" t="str">
        <f ca="1">IFERROR(__xludf.DUMMYFUNCTION("""COMPUTED_VALUE"""),"NUEVA VIZCAYA")</f>
        <v>NUEVA VIZCAYA</v>
      </c>
      <c r="C1221" s="164" t="str">
        <f ca="1">IFERROR(__xludf.DUMMYFUNCTION("""COMPUTED_VALUE"""),"Laptop – (ACER EXTENSA EX215-55G i7)")</f>
        <v>Laptop – (ACER EXTENSA EX215-55G i7)</v>
      </c>
      <c r="D1221" s="164" t="str">
        <f ca="1">IFERROR(__xludf.DUMMYFUNCTION("""COMPUTED_VALUE"""),"₱ 59,500.00")</f>
        <v>₱ 59,500.00</v>
      </c>
      <c r="E1221" s="164" t="str">
        <f ca="1">IFERROR(__xludf.DUMMYFUNCTION("""COMPUTED_VALUE"""),"₱ -")</f>
        <v>₱ -</v>
      </c>
      <c r="F1221" s="164" t="str">
        <f ca="1">IFERROR(__xludf.DUMMYFUNCTION("""COMPUTED_VALUE"""),"2023-05-03-10201SP278-01")</f>
        <v>2023-05-03-10201SP278-01</v>
      </c>
      <c r="G1221" s="164" t="str">
        <f ca="1">IFERROR(__xludf.DUMMYFUNCTION("""COMPUTED_VALUE"""),"0")</f>
        <v>0</v>
      </c>
      <c r="H1221" s="164" t="str">
        <f ca="1">IFERROR(__xludf.DUMMYFUNCTION("""COMPUTED_VALUE"""),"JULIENE CHRISTINE G. DURO")</f>
        <v>JULIENE CHRISTINE G. DURO</v>
      </c>
      <c r="I1221" s="164" t="str">
        <f ca="1">IFERROR(__xludf.DUMMYFUNCTION("""COMPUTED_VALUE"""),"ARPO I")</f>
        <v>ARPO I</v>
      </c>
      <c r="J1221" s="164" t="str">
        <f ca="1">IFERROR(__xludf.DUMMYFUNCTION("""COMPUTED_VALUE"""),"2024-04-0007A")</f>
        <v>2024-04-0007A</v>
      </c>
      <c r="K1221" s="164" t="str">
        <f ca="1">IFERROR(__xludf.DUMMYFUNCTION("""COMPUTED_VALUE"""),"LORRAINE BELLE A. EVANGELISTA")</f>
        <v>LORRAINE BELLE A. EVANGELISTA</v>
      </c>
      <c r="L1221" s="164" t="str">
        <f ca="1">IFERROR(__xludf.DUMMYFUNCTION("""COMPUTED_VALUE"""),"SPLIT")</f>
        <v>SPLIT</v>
      </c>
      <c r="M1221" s="164" t="str">
        <f ca="1">IFERROR(__xludf.DUMMYFUNCTION("""COMPUTED_VALUE"""),"SERVICEABLE")</f>
        <v>SERVICEABLE</v>
      </c>
      <c r="N1221" s="164"/>
    </row>
    <row r="1222" spans="1:14" ht="13.2" hidden="1">
      <c r="A1222" s="164" t="str">
        <f ca="1">IFERROR(__xludf.DUMMYFUNCTION("""COMPUTED_VALUE"""),"Region II")</f>
        <v>Region II</v>
      </c>
      <c r="B1222" s="164" t="str">
        <f ca="1">IFERROR(__xludf.DUMMYFUNCTION("""COMPUTED_VALUE"""),"NUEVA VIZCAYA")</f>
        <v>NUEVA VIZCAYA</v>
      </c>
      <c r="C1222" s="164" t="str">
        <f ca="1">IFERROR(__xludf.DUMMYFUNCTION("""COMPUTED_VALUE"""),"Laptop – (ACER EXTENSA EX215-55G i7)")</f>
        <v>Laptop – (ACER EXTENSA EX215-55G i7)</v>
      </c>
      <c r="D1222" s="164" t="str">
        <f ca="1">IFERROR(__xludf.DUMMYFUNCTION("""COMPUTED_VALUE"""),"₱ 59,500.00")</f>
        <v>₱ 59,500.00</v>
      </c>
      <c r="E1222" s="164" t="str">
        <f ca="1">IFERROR(__xludf.DUMMYFUNCTION("""COMPUTED_VALUE"""),"₱ -")</f>
        <v>₱ -</v>
      </c>
      <c r="F1222" s="164" t="str">
        <f ca="1">IFERROR(__xludf.DUMMYFUNCTION("""COMPUTED_VALUE"""),"2023-05-03-10201SP277-01")</f>
        <v>2023-05-03-10201SP277-01</v>
      </c>
      <c r="G1222" s="164" t="str">
        <f ca="1">IFERROR(__xludf.DUMMYFUNCTION("""COMPUTED_VALUE"""),"0")</f>
        <v>0</v>
      </c>
      <c r="H1222" s="164" t="str">
        <f ca="1">IFERROR(__xludf.DUMMYFUNCTION("""COMPUTED_VALUE"""),"ESTERLINA P. MARTIN")</f>
        <v>ESTERLINA P. MARTIN</v>
      </c>
      <c r="I1222" s="164" t="str">
        <f ca="1">IFERROR(__xludf.DUMMYFUNCTION("""COMPUTED_VALUE"""),"AO IV/ GSO Head")</f>
        <v>AO IV/ GSO Head</v>
      </c>
      <c r="J1222" s="164" t="str">
        <f ca="1">IFERROR(__xludf.DUMMYFUNCTION("""COMPUTED_VALUE"""),"2024-01-0002A")</f>
        <v>2024-01-0002A</v>
      </c>
      <c r="K1222" s="164" t="str">
        <f ca="1">IFERROR(__xludf.DUMMYFUNCTION("""COMPUTED_VALUE"""),"LIZA MAY P. CABANISAS")</f>
        <v>LIZA MAY P. CABANISAS</v>
      </c>
      <c r="L1222" s="164" t="str">
        <f ca="1">IFERROR(__xludf.DUMMYFUNCTION("""COMPUTED_VALUE"""),"SPLIT")</f>
        <v>SPLIT</v>
      </c>
      <c r="M1222" s="164" t="str">
        <f ca="1">IFERROR(__xludf.DUMMYFUNCTION("""COMPUTED_VALUE"""),"SERVICEABLE")</f>
        <v>SERVICEABLE</v>
      </c>
      <c r="N1222" s="164"/>
    </row>
    <row r="1223" spans="1:14" ht="13.2" hidden="1">
      <c r="A1223" s="164" t="str">
        <f ca="1">IFERROR(__xludf.DUMMYFUNCTION("""COMPUTED_VALUE"""),"Region II")</f>
        <v>Region II</v>
      </c>
      <c r="B1223" s="164" t="str">
        <f ca="1">IFERROR(__xludf.DUMMYFUNCTION("""COMPUTED_VALUE"""),"NUEVA VIZCAYA")</f>
        <v>NUEVA VIZCAYA</v>
      </c>
      <c r="C1223" s="164" t="str">
        <f ca="1">IFERROR(__xludf.DUMMYFUNCTION("""COMPUTED_VALUE"""),"Laptop – (ACER EXTENSA EX215-55G i7)")</f>
        <v>Laptop – (ACER EXTENSA EX215-55G i7)</v>
      </c>
      <c r="D1223" s="164" t="str">
        <f ca="1">IFERROR(__xludf.DUMMYFUNCTION("""COMPUTED_VALUE"""),"₱ 59,500.00")</f>
        <v>₱ 59,500.00</v>
      </c>
      <c r="E1223" s="164" t="str">
        <f ca="1">IFERROR(__xludf.DUMMYFUNCTION("""COMPUTED_VALUE"""),"₱ -")</f>
        <v>₱ -</v>
      </c>
      <c r="F1223" s="164" t="str">
        <f ca="1">IFERROR(__xludf.DUMMYFUNCTION("""COMPUTED_VALUE"""),"2023-05-03-10201SP20-01")</f>
        <v>2023-05-03-10201SP20-01</v>
      </c>
      <c r="G1223" s="164" t="str">
        <f ca="1">IFERROR(__xludf.DUMMYFUNCTION("""COMPUTED_VALUE"""),"0")</f>
        <v>0</v>
      </c>
      <c r="H1223" s="164" t="str">
        <f ca="1">IFERROR(__xludf.DUMMYFUNCTION("""COMPUTED_VALUE"""),"CAMILLE A. FLORENDO")</f>
        <v>CAMILLE A. FLORENDO</v>
      </c>
      <c r="I1223" s="164" t="str">
        <f ca="1">IFERROR(__xludf.DUMMYFUNCTION("""COMPUTED_VALUE"""),"ARPO I")</f>
        <v>ARPO I</v>
      </c>
      <c r="J1223" s="164" t="str">
        <f ca="1">IFERROR(__xludf.DUMMYFUNCTION("""COMPUTED_VALUE"""),"2023-10-0022B")</f>
        <v>2023-10-0022B</v>
      </c>
      <c r="K1223" s="164" t="str">
        <f ca="1">IFERROR(__xludf.DUMMYFUNCTION("""COMPUTED_VALUE"""),"CAMILLE A. FLORENDO")</f>
        <v>CAMILLE A. FLORENDO</v>
      </c>
      <c r="L1223" s="164" t="str">
        <f ca="1">IFERROR(__xludf.DUMMYFUNCTION("""COMPUTED_VALUE"""),"PBDD")</f>
        <v>PBDD</v>
      </c>
      <c r="M1223" s="164" t="str">
        <f ca="1">IFERROR(__xludf.DUMMYFUNCTION("""COMPUTED_VALUE"""),"SERVICEABLE")</f>
        <v>SERVICEABLE</v>
      </c>
      <c r="N1223" s="164"/>
    </row>
    <row r="1224" spans="1:14" ht="13.2" hidden="1">
      <c r="A1224" s="164" t="str">
        <f ca="1">IFERROR(__xludf.DUMMYFUNCTION("""COMPUTED_VALUE"""),"Region II")</f>
        <v>Region II</v>
      </c>
      <c r="B1224" s="164" t="str">
        <f ca="1">IFERROR(__xludf.DUMMYFUNCTION("""COMPUTED_VALUE"""),"NUEVA VIZCAYA")</f>
        <v>NUEVA VIZCAYA</v>
      </c>
      <c r="C1224" s="164" t="str">
        <f ca="1">IFERROR(__xludf.DUMMYFUNCTION("""COMPUTED_VALUE"""),"Desktop Computer – (HP Pro SFF 280G9)")</f>
        <v>Desktop Computer – (HP Pro SFF 280G9)</v>
      </c>
      <c r="D1224" s="164" t="str">
        <f ca="1">IFERROR(__xludf.DUMMYFUNCTION("""COMPUTED_VALUE"""),"₱ 78,898.00")</f>
        <v>₱ 78,898.00</v>
      </c>
      <c r="E1224" s="164" t="str">
        <f ca="1">IFERROR(__xludf.DUMMYFUNCTION("""COMPUTED_VALUE"""),"₱ -")</f>
        <v>₱ -</v>
      </c>
      <c r="F1224" s="164" t="str">
        <f ca="1">IFERROR(__xludf.DUMMYFUNCTION("""COMPUTED_VALUE"""),"2023-05-03-10201SP203-01")</f>
        <v>2023-05-03-10201SP203-01</v>
      </c>
      <c r="G1224" s="164" t="str">
        <f ca="1">IFERROR(__xludf.DUMMYFUNCTION("""COMPUTED_VALUE"""),"0")</f>
        <v>0</v>
      </c>
      <c r="H1224" s="164" t="str">
        <f ca="1">IFERROR(__xludf.DUMMYFUNCTION("""COMPUTED_VALUE"""),"CESAR V. BAUTISTA")</f>
        <v>CESAR V. BAUTISTA</v>
      </c>
      <c r="I1224" s="164" t="str">
        <f ca="1">IFERROR(__xludf.DUMMYFUNCTION("""COMPUTED_VALUE"""),"OIC CARPO/ SPLIT Parcelization Component &amp; FVT Coordinator")</f>
        <v>OIC CARPO/ SPLIT Parcelization Component &amp; FVT Coordinator</v>
      </c>
      <c r="J1224" s="164" t="str">
        <f ca="1">IFERROR(__xludf.DUMMYFUNCTION("""COMPUTED_VALUE"""),"2024-03-0005")</f>
        <v>2024-03-0005</v>
      </c>
      <c r="K1224" s="164" t="str">
        <f ca="1">IFERROR(__xludf.DUMMYFUNCTION("""COMPUTED_VALUE"""),"CESAR V. BAUTISTA")</f>
        <v>CESAR V. BAUTISTA</v>
      </c>
      <c r="L1224" s="164" t="str">
        <f ca="1">IFERROR(__xludf.DUMMYFUNCTION("""COMPUTED_VALUE"""),"SPLIT")</f>
        <v>SPLIT</v>
      </c>
      <c r="M1224" s="164" t="str">
        <f ca="1">IFERROR(__xludf.DUMMYFUNCTION("""COMPUTED_VALUE"""),"SERVICEABLE")</f>
        <v>SERVICEABLE</v>
      </c>
      <c r="N1224" s="164"/>
    </row>
    <row r="1225" spans="1:14" ht="13.2" hidden="1">
      <c r="A1225" s="164" t="str">
        <f ca="1">IFERROR(__xludf.DUMMYFUNCTION("""COMPUTED_VALUE"""),"Region II")</f>
        <v>Region II</v>
      </c>
      <c r="B1225" s="164" t="str">
        <f ca="1">IFERROR(__xludf.DUMMYFUNCTION("""COMPUTED_VALUE"""),"NUEVA VIZCAYA")</f>
        <v>NUEVA VIZCAYA</v>
      </c>
      <c r="C1225" s="164" t="str">
        <f ca="1">IFERROR(__xludf.DUMMYFUNCTION("""COMPUTED_VALUE"""),"Desktop Computer – (HP Pro SFF 280G9)")</f>
        <v>Desktop Computer – (HP Pro SFF 280G9)</v>
      </c>
      <c r="D1225" s="164" t="str">
        <f ca="1">IFERROR(__xludf.DUMMYFUNCTION("""COMPUTED_VALUE"""),"₱ 78,898.00")</f>
        <v>₱ 78,898.00</v>
      </c>
      <c r="E1225" s="164" t="str">
        <f ca="1">IFERROR(__xludf.DUMMYFUNCTION("""COMPUTED_VALUE"""),"₱ -")</f>
        <v>₱ -</v>
      </c>
      <c r="F1225" s="164" t="str">
        <f ca="1">IFERROR(__xludf.DUMMYFUNCTION("""COMPUTED_VALUE"""),"2023-05-03-10201SP202-01")</f>
        <v>2023-05-03-10201SP202-01</v>
      </c>
      <c r="G1225" s="164" t="str">
        <f ca="1">IFERROR(__xludf.DUMMYFUNCTION("""COMPUTED_VALUE"""),"0")</f>
        <v>0</v>
      </c>
      <c r="H1225" s="164" t="str">
        <f ca="1">IFERROR(__xludf.DUMMYFUNCTION("""COMPUTED_VALUE"""),"CHRISTINE R. JOROLAN")</f>
        <v>CHRISTINE R. JOROLAN</v>
      </c>
      <c r="I1225" s="164" t="str">
        <f ca="1">IFERROR(__xludf.DUMMYFUNCTION("""COMPUTED_VALUE"""),"AO IV/ CASHIER")</f>
        <v>AO IV/ CASHIER</v>
      </c>
      <c r="J1225" s="164" t="str">
        <f ca="1">IFERROR(__xludf.DUMMYFUNCTION("""COMPUTED_VALUE"""),"2023-10-0022")</f>
        <v>2023-10-0022</v>
      </c>
      <c r="K1225" s="164" t="str">
        <f ca="1">IFERROR(__xludf.DUMMYFUNCTION("""COMPUTED_VALUE"""),"CHRISTINE R. JOROLAN")</f>
        <v>CHRISTINE R. JOROLAN</v>
      </c>
      <c r="L1225" s="164" t="str">
        <f ca="1">IFERROR(__xludf.DUMMYFUNCTION("""COMPUTED_VALUE"""),"STOD")</f>
        <v>STOD</v>
      </c>
      <c r="M1225" s="164" t="str">
        <f ca="1">IFERROR(__xludf.DUMMYFUNCTION("""COMPUTED_VALUE"""),"SERVICEABLE")</f>
        <v>SERVICEABLE</v>
      </c>
      <c r="N1225" s="164"/>
    </row>
    <row r="1226" spans="1:14" ht="13.2" hidden="1">
      <c r="A1226" s="164" t="str">
        <f ca="1">IFERROR(__xludf.DUMMYFUNCTION("""COMPUTED_VALUE"""),"Region II")</f>
        <v>Region II</v>
      </c>
      <c r="B1226" s="164" t="str">
        <f ca="1">IFERROR(__xludf.DUMMYFUNCTION("""COMPUTED_VALUE"""),"NUEVA VIZCAYA")</f>
        <v>NUEVA VIZCAYA</v>
      </c>
      <c r="C1226" s="164" t="str">
        <f ca="1">IFERROR(__xludf.DUMMYFUNCTION("""COMPUTED_VALUE"""),"Desktop Computer – (HP Pro SFF 280G9)")</f>
        <v>Desktop Computer – (HP Pro SFF 280G9)</v>
      </c>
      <c r="D1226" s="164" t="str">
        <f ca="1">IFERROR(__xludf.DUMMYFUNCTION("""COMPUTED_VALUE"""),"₱ 78,898.00")</f>
        <v>₱ 78,898.00</v>
      </c>
      <c r="E1226" s="164" t="str">
        <f ca="1">IFERROR(__xludf.DUMMYFUNCTION("""COMPUTED_VALUE"""),"₱ -")</f>
        <v>₱ -</v>
      </c>
      <c r="F1226" s="164" t="str">
        <f ca="1">IFERROR(__xludf.DUMMYFUNCTION("""COMPUTED_VALUE"""),"2023-05-03-10201SP200-01")</f>
        <v>2023-05-03-10201SP200-01</v>
      </c>
      <c r="G1226" s="164" t="str">
        <f ca="1">IFERROR(__xludf.DUMMYFUNCTION("""COMPUTED_VALUE"""),"0")</f>
        <v>0</v>
      </c>
      <c r="H1226" s="164" t="str">
        <f ca="1">IFERROR(__xludf.DUMMYFUNCTION("""COMPUTED_VALUE"""),"ATTY. CARIDAD GRACE T. TURQUEZA")</f>
        <v>ATTY. CARIDAD GRACE T. TURQUEZA</v>
      </c>
      <c r="I1226" s="164" t="str">
        <f ca="1">IFERROR(__xludf.DUMMYFUNCTION("""COMPUTED_VALUE"""),"OIC PARPO I/ Legal Coordinator")</f>
        <v>OIC PARPO I/ Legal Coordinator</v>
      </c>
      <c r="J1226" s="164" t="str">
        <f ca="1">IFERROR(__xludf.DUMMYFUNCTION("""COMPUTED_VALUE"""),"2024-08-0010")</f>
        <v>2024-08-0010</v>
      </c>
      <c r="K1226" s="164" t="str">
        <f ca="1">IFERROR(__xludf.DUMMYFUNCTION("""COMPUTED_VALUE"""),"ATTY. CARIDAD GRACE T. TURQUEZA")</f>
        <v>ATTY. CARIDAD GRACE T. TURQUEZA</v>
      </c>
      <c r="L1226" s="164" t="str">
        <f ca="1">IFERROR(__xludf.DUMMYFUNCTION("""COMPUTED_VALUE"""),"PARPO I")</f>
        <v>PARPO I</v>
      </c>
      <c r="M1226" s="164" t="str">
        <f ca="1">IFERROR(__xludf.DUMMYFUNCTION("""COMPUTED_VALUE"""),"SERVICEABLE")</f>
        <v>SERVICEABLE</v>
      </c>
      <c r="N1226" s="164"/>
    </row>
    <row r="1227" spans="1:14" ht="13.2" hidden="1">
      <c r="A1227" s="164" t="str">
        <f ca="1">IFERROR(__xludf.DUMMYFUNCTION("""COMPUTED_VALUE"""),"Region II")</f>
        <v>Region II</v>
      </c>
      <c r="B1227" s="164" t="str">
        <f ca="1">IFERROR(__xludf.DUMMYFUNCTION("""COMPUTED_VALUE"""),"NUEVA VIZCAYA")</f>
        <v>NUEVA VIZCAYA</v>
      </c>
      <c r="C1227" s="164" t="str">
        <f ca="1">IFERROR(__xludf.DUMMYFUNCTION("""COMPUTED_VALUE"""),"A3 PRINTER (BROTHER)")</f>
        <v>A3 PRINTER (BROTHER)</v>
      </c>
      <c r="D1227" s="164" t="str">
        <f ca="1">IFERROR(__xludf.DUMMYFUNCTION("""COMPUTED_VALUE"""),"₱ 33,508.00")</f>
        <v>₱ 33,508.00</v>
      </c>
      <c r="E1227" s="164" t="str">
        <f ca="1">IFERROR(__xludf.DUMMYFUNCTION("""COMPUTED_VALUE"""),"₱ -")</f>
        <v>₱ -</v>
      </c>
      <c r="F1227" s="164" t="str">
        <f ca="1">IFERROR(__xludf.DUMMYFUNCTION("""COMPUTED_VALUE"""),"HV-SPLIT-102-24-05-20")</f>
        <v>HV-SPLIT-102-24-05-20</v>
      </c>
      <c r="G1227" s="164" t="str">
        <f ca="1">IFERROR(__xludf.DUMMYFUNCTION("""COMPUTED_VALUE"""),"0")</f>
        <v>0</v>
      </c>
      <c r="H1227" s="164" t="str">
        <f ca="1">IFERROR(__xludf.DUMMYFUNCTION("""COMPUTED_VALUE"""),"CESAR V. BAUTISTA")</f>
        <v>CESAR V. BAUTISTA</v>
      </c>
      <c r="I1227" s="164" t="str">
        <f ca="1">IFERROR(__xludf.DUMMYFUNCTION("""COMPUTED_VALUE"""),"OIC CARPO/ SPLIT Parcelization Component &amp; FVT Coordinator")</f>
        <v>OIC CARPO/ SPLIT Parcelization Component &amp; FVT Coordinator</v>
      </c>
      <c r="J1227" s="164" t="str">
        <f ca="1">IFERROR(__xludf.DUMMYFUNCTION("""COMPUTED_VALUE"""),"2024-03-0005")</f>
        <v>2024-03-0005</v>
      </c>
      <c r="K1227" s="164" t="str">
        <f ca="1">IFERROR(__xludf.DUMMYFUNCTION("""COMPUTED_VALUE"""),"CESAR V. BAUTISTA")</f>
        <v>CESAR V. BAUTISTA</v>
      </c>
      <c r="L1227" s="164" t="str">
        <f ca="1">IFERROR(__xludf.DUMMYFUNCTION("""COMPUTED_VALUE"""),"SPLIT")</f>
        <v>SPLIT</v>
      </c>
      <c r="M1227" s="164" t="str">
        <f ca="1">IFERROR(__xludf.DUMMYFUNCTION("""COMPUTED_VALUE"""),"SERVICEABLE")</f>
        <v>SERVICEABLE</v>
      </c>
      <c r="N1227" s="164"/>
    </row>
    <row r="1228" spans="1:14" ht="13.2" hidden="1">
      <c r="A1228" s="164" t="str">
        <f ca="1">IFERROR(__xludf.DUMMYFUNCTION("""COMPUTED_VALUE"""),"Region II")</f>
        <v>Region II</v>
      </c>
      <c r="B1228" s="164" t="str">
        <f ca="1">IFERROR(__xludf.DUMMYFUNCTION("""COMPUTED_VALUE"""),"NUEVA VIZCAYA")</f>
        <v>NUEVA VIZCAYA</v>
      </c>
      <c r="C1228" s="164" t="str">
        <f ca="1">IFERROR(__xludf.DUMMYFUNCTION("""COMPUTED_VALUE"""),"Desktop Computer – (MSI PRO DP180)")</f>
        <v>Desktop Computer – (MSI PRO DP180)</v>
      </c>
      <c r="D1228" s="164" t="str">
        <f ca="1">IFERROR(__xludf.DUMMYFUNCTION("""COMPUTED_VALUE"""),"₱ 49,300.00")</f>
        <v>₱ 49,300.00</v>
      </c>
      <c r="E1228" s="164" t="str">
        <f ca="1">IFERROR(__xludf.DUMMYFUNCTION("""COMPUTED_VALUE"""),"₱ -")</f>
        <v>₱ -</v>
      </c>
      <c r="F1228" s="164" t="str">
        <f ca="1">IFERROR(__xludf.DUMMYFUNCTION("""COMPUTED_VALUE"""),"HV-SPLIT-102-24-05-01-041")</f>
        <v>HV-SPLIT-102-24-05-01-041</v>
      </c>
      <c r="G1228" s="164" t="str">
        <f ca="1">IFERROR(__xludf.DUMMYFUNCTION("""COMPUTED_VALUE"""),"MSB0A7O4S0103560")</f>
        <v>MSB0A7O4S0103560</v>
      </c>
      <c r="H1228" s="164" t="str">
        <f ca="1">IFERROR(__xludf.DUMMYFUNCTION("""COMPUTED_VALUE"""),"ESDISON E. VIDAD")</f>
        <v>ESDISON E. VIDAD</v>
      </c>
      <c r="I1228" s="164" t="str">
        <f ca="1">IFERROR(__xludf.DUMMYFUNCTION("""COMPUTED_VALUE"""),"ARPO I")</f>
        <v>ARPO I</v>
      </c>
      <c r="J1228" s="164" t="str">
        <f ca="1">IFERROR(__xludf.DUMMYFUNCTION("""COMPUTED_VALUE"""),"2024-11-0020")</f>
        <v>2024-11-0020</v>
      </c>
      <c r="K1228" s="164" t="str">
        <f ca="1">IFERROR(__xludf.DUMMYFUNCTION("""COMPUTED_VALUE"""),"EDISON E. VIDAD")</f>
        <v>EDISON E. VIDAD</v>
      </c>
      <c r="L1228" s="164" t="str">
        <f ca="1">IFERROR(__xludf.DUMMYFUNCTION("""COMPUTED_VALUE"""),"PBDD")</f>
        <v>PBDD</v>
      </c>
      <c r="M1228" s="164" t="str">
        <f ca="1">IFERROR(__xludf.DUMMYFUNCTION("""COMPUTED_VALUE"""),"Serviceable")</f>
        <v>Serviceable</v>
      </c>
      <c r="N1228" s="164"/>
    </row>
    <row r="1229" spans="1:14" ht="13.2" hidden="1">
      <c r="A1229" s="164" t="str">
        <f ca="1">IFERROR(__xludf.DUMMYFUNCTION("""COMPUTED_VALUE"""),"Region II")</f>
        <v>Region II</v>
      </c>
      <c r="B1229" s="164" t="str">
        <f ca="1">IFERROR(__xludf.DUMMYFUNCTION("""COMPUTED_VALUE"""),"NUEVA VIZCAYA")</f>
        <v>NUEVA VIZCAYA</v>
      </c>
      <c r="C1229" s="164" t="str">
        <f ca="1">IFERROR(__xludf.DUMMYFUNCTION("""COMPUTED_VALUE"""),"Desktop Computer – (MSI PRO DP180)")</f>
        <v>Desktop Computer – (MSI PRO DP180)</v>
      </c>
      <c r="D1229" s="164" t="str">
        <f ca="1">IFERROR(__xludf.DUMMYFUNCTION("""COMPUTED_VALUE"""),"₱ 49,300.00")</f>
        <v>₱ 49,300.00</v>
      </c>
      <c r="E1229" s="164" t="str">
        <f ca="1">IFERROR(__xludf.DUMMYFUNCTION("""COMPUTED_VALUE"""),"₱ -")</f>
        <v>₱ -</v>
      </c>
      <c r="F1229" s="164" t="str">
        <f ca="1">IFERROR(__xludf.DUMMYFUNCTION("""COMPUTED_VALUE"""),"HVSPLIT-102-24-05-01-449")</f>
        <v>HVSPLIT-102-24-05-01-449</v>
      </c>
      <c r="G1229" s="164" t="str">
        <f ca="1">IFERROR(__xludf.DUMMYFUNCTION("""COMPUTED_VALUE"""),"MSB0A7O4S103602")</f>
        <v>MSB0A7O4S103602</v>
      </c>
      <c r="H1229" s="164" t="str">
        <f ca="1">IFERROR(__xludf.DUMMYFUNCTION("""COMPUTED_VALUE"""),"TIMOTHY T. CAMSON")</f>
        <v>TIMOTHY T. CAMSON</v>
      </c>
      <c r="I1229" s="164" t="str">
        <f ca="1">IFERROR(__xludf.DUMMYFUNCTION("""COMPUTED_VALUE"""),"OIC MARPO")</f>
        <v>OIC MARPO</v>
      </c>
      <c r="J1229" s="164" t="str">
        <f ca="1">IFERROR(__xludf.DUMMYFUNCTION("""COMPUTED_VALUE"""),"2024-11-0019")</f>
        <v>2024-11-0019</v>
      </c>
      <c r="K1229" s="164" t="str">
        <f ca="1">IFERROR(__xludf.DUMMYFUNCTION("""COMPUTED_VALUE"""),"TIMOTHY T. CAMSON")</f>
        <v>TIMOTHY T. CAMSON</v>
      </c>
      <c r="L1229" s="164" t="str">
        <f ca="1">IFERROR(__xludf.DUMMYFUNCTION("""COMPUTED_VALUE"""),"MARPO Cluster")</f>
        <v>MARPO Cluster</v>
      </c>
      <c r="M1229" s="164" t="str">
        <f ca="1">IFERROR(__xludf.DUMMYFUNCTION("""COMPUTED_VALUE"""),"Serviceable")</f>
        <v>Serviceable</v>
      </c>
      <c r="N1229" s="164"/>
    </row>
    <row r="1230" spans="1:14" ht="13.2" hidden="1">
      <c r="A1230" s="164" t="str">
        <f ca="1">IFERROR(__xludf.DUMMYFUNCTION("""COMPUTED_VALUE"""),"Region II")</f>
        <v>Region II</v>
      </c>
      <c r="B1230" s="164" t="str">
        <f ca="1">IFERROR(__xludf.DUMMYFUNCTION("""COMPUTED_VALUE"""),"NUEVA VIZCAYA")</f>
        <v>NUEVA VIZCAYA</v>
      </c>
      <c r="C1230" s="164" t="str">
        <f ca="1">IFERROR(__xludf.DUMMYFUNCTION("""COMPUTED_VALUE"""),"Desktop Computer – (MSI PRO DP180)")</f>
        <v>Desktop Computer – (MSI PRO DP180)</v>
      </c>
      <c r="D1230" s="164" t="str">
        <f ca="1">IFERROR(__xludf.DUMMYFUNCTION("""COMPUTED_VALUE"""),"₱ 49,300.00")</f>
        <v>₱ 49,300.00</v>
      </c>
      <c r="E1230" s="164" t="str">
        <f ca="1">IFERROR(__xludf.DUMMYFUNCTION("""COMPUTED_VALUE"""),"₱ -")</f>
        <v>₱ -</v>
      </c>
      <c r="F1230" s="164" t="str">
        <f ca="1">IFERROR(__xludf.DUMMYFUNCTION("""COMPUTED_VALUE"""),"HVSPLIT-102-24-05-01-450")</f>
        <v>HVSPLIT-102-24-05-01-450</v>
      </c>
      <c r="G1230" s="164" t="str">
        <f ca="1">IFERROR(__xludf.DUMMYFUNCTION("""COMPUTED_VALUE"""),"MSB0A7O4S103712")</f>
        <v>MSB0A7O4S103712</v>
      </c>
      <c r="H1230" s="164" t="str">
        <f ca="1">IFERROR(__xludf.DUMMYFUNCTION("""COMPUTED_VALUE"""),"NOEMI C. ANUMA")</f>
        <v>NOEMI C. ANUMA</v>
      </c>
      <c r="I1230" s="164" t="str">
        <f ca="1">IFERROR(__xludf.DUMMYFUNCTION("""COMPUTED_VALUE"""),"OIC MARPO")</f>
        <v>OIC MARPO</v>
      </c>
      <c r="J1230" s="164" t="str">
        <f ca="1">IFERROR(__xludf.DUMMYFUNCTION("""COMPUTED_VALUE"""),"2024-11-0018")</f>
        <v>2024-11-0018</v>
      </c>
      <c r="K1230" s="164" t="str">
        <f ca="1">IFERROR(__xludf.DUMMYFUNCTION("""COMPUTED_VALUE"""),"NOEMI C. ANUMA")</f>
        <v>NOEMI C. ANUMA</v>
      </c>
      <c r="L1230" s="164" t="str">
        <f ca="1">IFERROR(__xludf.DUMMYFUNCTION("""COMPUTED_VALUE"""),"MARPO Cluster")</f>
        <v>MARPO Cluster</v>
      </c>
      <c r="M1230" s="164" t="str">
        <f ca="1">IFERROR(__xludf.DUMMYFUNCTION("""COMPUTED_VALUE"""),"Serviceable")</f>
        <v>Serviceable</v>
      </c>
      <c r="N1230" s="164"/>
    </row>
    <row r="1231" spans="1:14" ht="13.2" hidden="1">
      <c r="A1231" s="164" t="str">
        <f ca="1">IFERROR(__xludf.DUMMYFUNCTION("""COMPUTED_VALUE"""),"Region II")</f>
        <v>Region II</v>
      </c>
      <c r="B1231" s="164" t="str">
        <f ca="1">IFERROR(__xludf.DUMMYFUNCTION("""COMPUTED_VALUE"""),"NUEVA VIZCAYA")</f>
        <v>NUEVA VIZCAYA</v>
      </c>
      <c r="C1231" s="164" t="str">
        <f ca="1">IFERROR(__xludf.DUMMYFUNCTION("""COMPUTED_VALUE"""),"Desktop Computer – (MSI PRO DP180)")</f>
        <v>Desktop Computer – (MSI PRO DP180)</v>
      </c>
      <c r="D1231" s="164" t="str">
        <f ca="1">IFERROR(__xludf.DUMMYFUNCTION("""COMPUTED_VALUE"""),"₱ 49,300.00")</f>
        <v>₱ 49,300.00</v>
      </c>
      <c r="E1231" s="164" t="str">
        <f ca="1">IFERROR(__xludf.DUMMYFUNCTION("""COMPUTED_VALUE"""),"₱ -")</f>
        <v>₱ -</v>
      </c>
      <c r="F1231" s="164" t="str">
        <f ca="1">IFERROR(__xludf.DUMMYFUNCTION("""COMPUTED_VALUE"""),"HVSPLIT-102-24-05-01-451")</f>
        <v>HVSPLIT-102-24-05-01-451</v>
      </c>
      <c r="G1231" s="164" t="str">
        <f ca="1">IFERROR(__xludf.DUMMYFUNCTION("""COMPUTED_VALUE"""),"MSB0A7O4S103791")</f>
        <v>MSB0A7O4S103791</v>
      </c>
      <c r="H1231" s="164" t="str">
        <f ca="1">IFERROR(__xludf.DUMMYFUNCTION("""COMPUTED_VALUE"""),"JOHN DARYL L. YACAPIN")</f>
        <v>JOHN DARYL L. YACAPIN</v>
      </c>
      <c r="I1231" s="164" t="str">
        <f ca="1">IFERROR(__xludf.DUMMYFUNCTION("""COMPUTED_VALUE"""),"OIC MARPO")</f>
        <v>OIC MARPO</v>
      </c>
      <c r="J1231" s="164" t="str">
        <f ca="1">IFERROR(__xludf.DUMMYFUNCTION("""COMPUTED_VALUE"""),"2024-11-0018")</f>
        <v>2024-11-0018</v>
      </c>
      <c r="K1231" s="164" t="str">
        <f ca="1">IFERROR(__xludf.DUMMYFUNCTION("""COMPUTED_VALUE"""),"JOHN DARYL L. YACAPIN")</f>
        <v>JOHN DARYL L. YACAPIN</v>
      </c>
      <c r="L1231" s="164" t="str">
        <f ca="1">IFERROR(__xludf.DUMMYFUNCTION("""COMPUTED_VALUE"""),"MARPO Cluster")</f>
        <v>MARPO Cluster</v>
      </c>
      <c r="M1231" s="164" t="str">
        <f ca="1">IFERROR(__xludf.DUMMYFUNCTION("""COMPUTED_VALUE"""),"Serviceable")</f>
        <v>Serviceable</v>
      </c>
      <c r="N1231" s="164"/>
    </row>
    <row r="1232" spans="1:14" ht="13.2" hidden="1">
      <c r="A1232" s="164" t="str">
        <f ca="1">IFERROR(__xludf.DUMMYFUNCTION("""COMPUTED_VALUE"""),"Region II")</f>
        <v>Region II</v>
      </c>
      <c r="B1232" s="164" t="str">
        <f ca="1">IFERROR(__xludf.DUMMYFUNCTION("""COMPUTED_VALUE"""),"ISABELA")</f>
        <v>ISABELA</v>
      </c>
      <c r="C1232" s="164" t="str">
        <f ca="1">IFERROR(__xludf.DUMMYFUNCTION("""COMPUTED_VALUE"""),"Desktop Computer – (Lenovo M70T)")</f>
        <v>Desktop Computer – (Lenovo M70T)</v>
      </c>
      <c r="D1232" s="164" t="str">
        <f ca="1">IFERROR(__xludf.DUMMYFUNCTION("""COMPUTED_VALUE"""),"₱ 75,468.00")</f>
        <v>₱ 75,468.00</v>
      </c>
      <c r="E1232" s="164" t="str">
        <f ca="1">IFERROR(__xludf.DUMMYFUNCTION("""COMPUTED_VALUE"""),"₱ -")</f>
        <v>₱ -</v>
      </c>
      <c r="F1232" s="164" t="str">
        <f ca="1">IFERROR(__xludf.DUMMYFUNCTION("""COMPUTED_VALUE"""),"2023-05-03-10201-SP-730-01")</f>
        <v>2023-05-03-10201-SP-730-01</v>
      </c>
      <c r="G1232" s="164" t="str">
        <f ca="1">IFERROR(__xludf.DUMMYFUNCTION("""COMPUTED_VALUE"""),"1S11T5S16200GM0415XP")</f>
        <v>1S11T5S16200GM0415XP</v>
      </c>
      <c r="H1232" s="164" t="str">
        <f ca="1">IFERROR(__xludf.DUMMYFUNCTION("""COMPUTED_VALUE"""),"ELIZABETH S. SANTOS")</f>
        <v>ELIZABETH S. SANTOS</v>
      </c>
      <c r="I1232" s="164" t="str">
        <f ca="1">IFERROR(__xludf.DUMMYFUNCTION("""COMPUTED_VALUE"""),"ARPO II")</f>
        <v>ARPO II</v>
      </c>
      <c r="J1232" s="164" t="str">
        <f ca="1">IFERROR(__xludf.DUMMYFUNCTION("""COMPUTED_VALUE"""),"2021-05-001")</f>
        <v>2021-05-001</v>
      </c>
      <c r="K1232" s="164" t="str">
        <f ca="1">IFERROR(__xludf.DUMMYFUNCTION("""COMPUTED_VALUE"""),"GLEN ANTHONY C. NAUI")</f>
        <v>GLEN ANTHONY C. NAUI</v>
      </c>
      <c r="L1232" s="164" t="str">
        <f ca="1">IFERROR(__xludf.DUMMYFUNCTION("""COMPUTED_VALUE"""),"DARPO")</f>
        <v>DARPO</v>
      </c>
      <c r="M1232" s="164" t="str">
        <f ca="1">IFERROR(__xludf.DUMMYFUNCTION("""COMPUTED_VALUE"""),"SERVICEABLE")</f>
        <v>SERVICEABLE</v>
      </c>
      <c r="N1232" s="164"/>
    </row>
    <row r="1233" spans="1:14" ht="13.2" hidden="1">
      <c r="A1233" s="164" t="str">
        <f ca="1">IFERROR(__xludf.DUMMYFUNCTION("""COMPUTED_VALUE"""),"Region II")</f>
        <v>Region II</v>
      </c>
      <c r="B1233" s="164" t="str">
        <f ca="1">IFERROR(__xludf.DUMMYFUNCTION("""COMPUTED_VALUE"""),"ISABELA")</f>
        <v>ISABELA</v>
      </c>
      <c r="C1233" s="164" t="str">
        <f ca="1">IFERROR(__xludf.DUMMYFUNCTION("""COMPUTED_VALUE"""),"Desktop Computer – (Lenovo M70T)")</f>
        <v>Desktop Computer – (Lenovo M70T)</v>
      </c>
      <c r="D1233" s="164" t="str">
        <f ca="1">IFERROR(__xludf.DUMMYFUNCTION("""COMPUTED_VALUE"""),"₱ 75,468.00")</f>
        <v>₱ 75,468.00</v>
      </c>
      <c r="E1233" s="164" t="str">
        <f ca="1">IFERROR(__xludf.DUMMYFUNCTION("""COMPUTED_VALUE"""),"₱ -")</f>
        <v>₱ -</v>
      </c>
      <c r="F1233" s="164" t="str">
        <f ca="1">IFERROR(__xludf.DUMMYFUNCTION("""COMPUTED_VALUE"""),"2023-05-03-10201SP722 -01")</f>
        <v>2023-05-03-10201SP722 -01</v>
      </c>
      <c r="G1233" s="164" t="str">
        <f ca="1">IFERROR(__xludf.DUMMYFUNCTION("""COMPUTED_VALUE"""),"1S11T5S16200GM0415WK")</f>
        <v>1S11T5S16200GM0415WK</v>
      </c>
      <c r="H1233" s="164" t="str">
        <f ca="1">IFERROR(__xludf.DUMMYFUNCTION("""COMPUTED_VALUE"""),"ELIZABETH S. SANTOS")</f>
        <v>ELIZABETH S. SANTOS</v>
      </c>
      <c r="I1233" s="164" t="str">
        <f ca="1">IFERROR(__xludf.DUMMYFUNCTION("""COMPUTED_VALUE"""),"ARPO II")</f>
        <v>ARPO II</v>
      </c>
      <c r="J1233" s="164" t="str">
        <f ca="1">IFERROR(__xludf.DUMMYFUNCTION("""COMPUTED_VALUE"""),"2021-05-002")</f>
        <v>2021-05-002</v>
      </c>
      <c r="K1233" s="164" t="str">
        <f ca="1">IFERROR(__xludf.DUMMYFUNCTION("""COMPUTED_VALUE"""),"ELIZABETH S. SANTOS")</f>
        <v>ELIZABETH S. SANTOS</v>
      </c>
      <c r="L1233" s="164" t="str">
        <f ca="1">IFERROR(__xludf.DUMMYFUNCTION("""COMPUTED_VALUE"""),"DARPO")</f>
        <v>DARPO</v>
      </c>
      <c r="M1233" s="164" t="str">
        <f ca="1">IFERROR(__xludf.DUMMYFUNCTION("""COMPUTED_VALUE"""),"SERVICEABLE")</f>
        <v>SERVICEABLE</v>
      </c>
      <c r="N1233" s="164"/>
    </row>
    <row r="1234" spans="1:14" ht="13.2" hidden="1">
      <c r="A1234" s="164" t="str">
        <f ca="1">IFERROR(__xludf.DUMMYFUNCTION("""COMPUTED_VALUE"""),"Region II")</f>
        <v>Region II</v>
      </c>
      <c r="B1234" s="164" t="str">
        <f ca="1">IFERROR(__xludf.DUMMYFUNCTION("""COMPUTED_VALUE"""),"ISABELA")</f>
        <v>ISABELA</v>
      </c>
      <c r="C1234" s="164" t="str">
        <f ca="1">IFERROR(__xludf.DUMMYFUNCTION("""COMPUTED_VALUE"""),"Desktop Computer – (Lenovo M70T)")</f>
        <v>Desktop Computer – (Lenovo M70T)</v>
      </c>
      <c r="D1234" s="164" t="str">
        <f ca="1">IFERROR(__xludf.DUMMYFUNCTION("""COMPUTED_VALUE"""),"₱ 75,468.00")</f>
        <v>₱ 75,468.00</v>
      </c>
      <c r="E1234" s="164" t="str">
        <f ca="1">IFERROR(__xludf.DUMMYFUNCTION("""COMPUTED_VALUE"""),"₱ -")</f>
        <v>₱ -</v>
      </c>
      <c r="F1234" s="164" t="str">
        <f ca="1">IFERROR(__xludf.DUMMYFUNCTION("""COMPUTED_VALUE"""),"2023-05-03-10201-SP-742-01")</f>
        <v>2023-05-03-10201-SP-742-01</v>
      </c>
      <c r="G1234" s="164" t="str">
        <f ca="1">IFERROR(__xludf.DUMMYFUNCTION("""COMPUTED_VALUE"""),"1S11T5S16200GM0415YQ")</f>
        <v>1S11T5S16200GM0415YQ</v>
      </c>
      <c r="H1234" s="164" t="str">
        <f ca="1">IFERROR(__xludf.DUMMYFUNCTION("""COMPUTED_VALUE"""),"IVAN MAXIMO")</f>
        <v>IVAN MAXIMO</v>
      </c>
      <c r="I1234" s="164" t="str">
        <f ca="1">IFERROR(__xludf.DUMMYFUNCTION("""COMPUTED_VALUE"""),"MARO")</f>
        <v>MARO</v>
      </c>
      <c r="J1234" s="164" t="str">
        <f ca="1">IFERROR(__xludf.DUMMYFUNCTION("""COMPUTED_VALUE"""),"2021-05-003")</f>
        <v>2021-05-003</v>
      </c>
      <c r="K1234" s="164" t="str">
        <f ca="1">IFERROR(__xludf.DUMMYFUNCTION("""COMPUTED_VALUE"""),"MOONYEEN B. RUBI")</f>
        <v>MOONYEEN B. RUBI</v>
      </c>
      <c r="L1234" s="164" t="str">
        <f ca="1">IFERROR(__xludf.DUMMYFUNCTION("""COMPUTED_VALUE"""),"DARMO- BENITO SOLIVEN")</f>
        <v>DARMO- BENITO SOLIVEN</v>
      </c>
      <c r="M1234" s="164" t="str">
        <f ca="1">IFERROR(__xludf.DUMMYFUNCTION("""COMPUTED_VALUE"""),"SERVICEABLE")</f>
        <v>SERVICEABLE</v>
      </c>
      <c r="N1234" s="164"/>
    </row>
    <row r="1235" spans="1:14" ht="13.2" hidden="1">
      <c r="A1235" s="164" t="str">
        <f ca="1">IFERROR(__xludf.DUMMYFUNCTION("""COMPUTED_VALUE"""),"Region II")</f>
        <v>Region II</v>
      </c>
      <c r="B1235" s="164" t="str">
        <f ca="1">IFERROR(__xludf.DUMMYFUNCTION("""COMPUTED_VALUE"""),"ISABELA")</f>
        <v>ISABELA</v>
      </c>
      <c r="C1235" s="164" t="str">
        <f ca="1">IFERROR(__xludf.DUMMYFUNCTION("""COMPUTED_VALUE"""),"Desktop Computer – (Lenovo M70T)")</f>
        <v>Desktop Computer – (Lenovo M70T)</v>
      </c>
      <c r="D1235" s="164" t="str">
        <f ca="1">IFERROR(__xludf.DUMMYFUNCTION("""COMPUTED_VALUE"""),"₱ 75,468.00")</f>
        <v>₱ 75,468.00</v>
      </c>
      <c r="E1235" s="164" t="str">
        <f ca="1">IFERROR(__xludf.DUMMYFUNCTION("""COMPUTED_VALUE"""),"₱ -")</f>
        <v>₱ -</v>
      </c>
      <c r="F1235" s="164" t="str">
        <f ca="1">IFERROR(__xludf.DUMMYFUNCTION("""COMPUTED_VALUE"""),"2023-05-03-10201-SP-756-01")</f>
        <v>2023-05-03-10201-SP-756-01</v>
      </c>
      <c r="G1235" s="164" t="str">
        <f ca="1">IFERROR(__xludf.DUMMYFUNCTION("""COMPUTED_VALUE"""),"0")</f>
        <v>0</v>
      </c>
      <c r="H1235" s="164" t="str">
        <f ca="1">IFERROR(__xludf.DUMMYFUNCTION("""COMPUTED_VALUE"""),"KRISTIAN S. SAWIT")</f>
        <v>KRISTIAN S. SAWIT</v>
      </c>
      <c r="I1235" s="164" t="str">
        <f ca="1">IFERROR(__xludf.DUMMYFUNCTION("""COMPUTED_VALUE"""),"ARPT")</f>
        <v>ARPT</v>
      </c>
      <c r="J1235" s="164" t="str">
        <f ca="1">IFERROR(__xludf.DUMMYFUNCTION("""COMPUTED_VALUE"""),"2021-05-004")</f>
        <v>2021-05-004</v>
      </c>
      <c r="K1235" s="164" t="str">
        <f ca="1">IFERROR(__xludf.DUMMYFUNCTION("""COMPUTED_VALUE"""),"KRISTIAN S. SAWIT")</f>
        <v>KRISTIAN S. SAWIT</v>
      </c>
      <c r="L1235" s="164" t="str">
        <f ca="1">IFERROR(__xludf.DUMMYFUNCTION("""COMPUTED_VALUE"""),"DARMO-CAUAYAN CITY")</f>
        <v>DARMO-CAUAYAN CITY</v>
      </c>
      <c r="M1235" s="164" t="str">
        <f ca="1">IFERROR(__xludf.DUMMYFUNCTION("""COMPUTED_VALUE"""),"SERVICEABLE")</f>
        <v>SERVICEABLE</v>
      </c>
      <c r="N1235" s="164"/>
    </row>
    <row r="1236" spans="1:14" ht="13.2" hidden="1">
      <c r="A1236" s="164" t="str">
        <f ca="1">IFERROR(__xludf.DUMMYFUNCTION("""COMPUTED_VALUE"""),"Region II")</f>
        <v>Region II</v>
      </c>
      <c r="B1236" s="164" t="str">
        <f ca="1">IFERROR(__xludf.DUMMYFUNCTION("""COMPUTED_VALUE"""),"ISABELA")</f>
        <v>ISABELA</v>
      </c>
      <c r="C1236" s="164" t="str">
        <f ca="1">IFERROR(__xludf.DUMMYFUNCTION("""COMPUTED_VALUE"""),"Desktop Computer – (Lenovo M70T)")</f>
        <v>Desktop Computer – (Lenovo M70T)</v>
      </c>
      <c r="D1236" s="164" t="str">
        <f ca="1">IFERROR(__xludf.DUMMYFUNCTION("""COMPUTED_VALUE"""),"₱ 75,468.00")</f>
        <v>₱ 75,468.00</v>
      </c>
      <c r="E1236" s="164" t="str">
        <f ca="1">IFERROR(__xludf.DUMMYFUNCTION("""COMPUTED_VALUE"""),"₱ -")</f>
        <v>₱ -</v>
      </c>
      <c r="F1236" s="164" t="str">
        <f ca="1">IFERROR(__xludf.DUMMYFUNCTION("""COMPUTED_VALUE"""),"2023-05-03-10201-SP-739-01")</f>
        <v>2023-05-03-10201-SP-739-01</v>
      </c>
      <c r="G1236" s="164" t="str">
        <f ca="1">IFERROR(__xludf.DUMMYFUNCTION("""COMPUTED_VALUE"""),"1S11T5S16200GM0418C1")</f>
        <v>1S11T5S16200GM0418C1</v>
      </c>
      <c r="H1236" s="164" t="str">
        <f ca="1">IFERROR(__xludf.DUMMYFUNCTION("""COMPUTED_VALUE"""),"JOEL D. AMIANET")</f>
        <v>JOEL D. AMIANET</v>
      </c>
      <c r="I1236" s="164" t="str">
        <f ca="1">IFERROR(__xludf.DUMMYFUNCTION("""COMPUTED_VALUE"""),"ARPT")</f>
        <v>ARPT</v>
      </c>
      <c r="J1236" s="164" t="str">
        <f ca="1">IFERROR(__xludf.DUMMYFUNCTION("""COMPUTED_VALUE"""),"2021-05-005")</f>
        <v>2021-05-005</v>
      </c>
      <c r="K1236" s="164" t="str">
        <f ca="1">IFERROR(__xludf.DUMMYFUNCTION("""COMPUTED_VALUE"""),"JOEL D. AMIANET")</f>
        <v>JOEL D. AMIANET</v>
      </c>
      <c r="L1236" s="164" t="str">
        <f ca="1">IFERROR(__xludf.DUMMYFUNCTION("""COMPUTED_VALUE"""),"DARMO-ANGADANAN")</f>
        <v>DARMO-ANGADANAN</v>
      </c>
      <c r="M1236" s="164" t="str">
        <f ca="1">IFERROR(__xludf.DUMMYFUNCTION("""COMPUTED_VALUE"""),"SERVICEABLE")</f>
        <v>SERVICEABLE</v>
      </c>
      <c r="N1236" s="164"/>
    </row>
    <row r="1237" spans="1:14" ht="13.2" hidden="1">
      <c r="A1237" s="164" t="str">
        <f ca="1">IFERROR(__xludf.DUMMYFUNCTION("""COMPUTED_VALUE"""),"Region II")</f>
        <v>Region II</v>
      </c>
      <c r="B1237" s="164" t="str">
        <f ca="1">IFERROR(__xludf.DUMMYFUNCTION("""COMPUTED_VALUE"""),"ISABELA")</f>
        <v>ISABELA</v>
      </c>
      <c r="C1237" s="164" t="str">
        <f ca="1">IFERROR(__xludf.DUMMYFUNCTION("""COMPUTED_VALUE"""),"Desktop Computer – (Lenovo M70T)")</f>
        <v>Desktop Computer – (Lenovo M70T)</v>
      </c>
      <c r="D1237" s="164" t="str">
        <f ca="1">IFERROR(__xludf.DUMMYFUNCTION("""COMPUTED_VALUE"""),"₱ 75,468.00")</f>
        <v>₱ 75,468.00</v>
      </c>
      <c r="E1237" s="164" t="str">
        <f ca="1">IFERROR(__xludf.DUMMYFUNCTION("""COMPUTED_VALUE"""),"₱ -")</f>
        <v>₱ -</v>
      </c>
      <c r="F1237" s="164" t="str">
        <f ca="1">IFERROR(__xludf.DUMMYFUNCTION("""COMPUTED_VALUE"""),"2023-05-03-10201-SP-699-01")</f>
        <v>2023-05-03-10201-SP-699-01</v>
      </c>
      <c r="G1237" s="164" t="str">
        <f ca="1">IFERROR(__xludf.DUMMYFUNCTION("""COMPUTED_VALUE"""),"0")</f>
        <v>0</v>
      </c>
      <c r="H1237" s="164" t="str">
        <f ca="1">IFERROR(__xludf.DUMMYFUNCTION("""COMPUTED_VALUE"""),"EDGAR P. NICOLAS JR")</f>
        <v>EDGAR P. NICOLAS JR</v>
      </c>
      <c r="I1237" s="164" t="str">
        <f ca="1">IFERROR(__xludf.DUMMYFUNCTION("""COMPUTED_VALUE"""),"ARPT")</f>
        <v>ARPT</v>
      </c>
      <c r="J1237" s="164" t="str">
        <f ca="1">IFERROR(__xludf.DUMMYFUNCTION("""COMPUTED_VALUE"""),"2021-05-006")</f>
        <v>2021-05-006</v>
      </c>
      <c r="K1237" s="164" t="str">
        <f ca="1">IFERROR(__xludf.DUMMYFUNCTION("""COMPUTED_VALUE"""),"EDGAR P. NICOLAS JR")</f>
        <v>EDGAR P. NICOLAS JR</v>
      </c>
      <c r="L1237" s="164" t="str">
        <f ca="1">IFERROR(__xludf.DUMMYFUNCTION("""COMPUTED_VALUE"""),"DARMO-JONES")</f>
        <v>DARMO-JONES</v>
      </c>
      <c r="M1237" s="164" t="str">
        <f ca="1">IFERROR(__xludf.DUMMYFUNCTION("""COMPUTED_VALUE"""),"SERVICEABLE")</f>
        <v>SERVICEABLE</v>
      </c>
      <c r="N1237" s="164" t="str">
        <f ca="1">IFERROR(__xludf.DUMMYFUNCTION("""COMPUTED_VALUE"""),"actual unit 2023-05-03-10201SP694-01")</f>
        <v>actual unit 2023-05-03-10201SP694-01</v>
      </c>
    </row>
    <row r="1238" spans="1:14" ht="13.2" hidden="1">
      <c r="A1238" s="164" t="str">
        <f ca="1">IFERROR(__xludf.DUMMYFUNCTION("""COMPUTED_VALUE"""),"Region II")</f>
        <v>Region II</v>
      </c>
      <c r="B1238" s="164" t="str">
        <f ca="1">IFERROR(__xludf.DUMMYFUNCTION("""COMPUTED_VALUE"""),"ISABELA")</f>
        <v>ISABELA</v>
      </c>
      <c r="C1238" s="164" t="str">
        <f ca="1">IFERROR(__xludf.DUMMYFUNCTION("""COMPUTED_VALUE"""),"Desktop Computer – (Lenovo M70T)")</f>
        <v>Desktop Computer – (Lenovo M70T)</v>
      </c>
      <c r="D1238" s="164" t="str">
        <f ca="1">IFERROR(__xludf.DUMMYFUNCTION("""COMPUTED_VALUE"""),"₱ 75,468.00")</f>
        <v>₱ 75,468.00</v>
      </c>
      <c r="E1238" s="164" t="str">
        <f ca="1">IFERROR(__xludf.DUMMYFUNCTION("""COMPUTED_VALUE"""),"₱ -")</f>
        <v>₱ -</v>
      </c>
      <c r="F1238" s="164" t="str">
        <f ca="1">IFERROR(__xludf.DUMMYFUNCTION("""COMPUTED_VALUE"""),"2023-05-03-10201-SP-678-01")</f>
        <v>2023-05-03-10201-SP-678-01</v>
      </c>
      <c r="G1238" s="164" t="str">
        <f ca="1">IFERROR(__xludf.DUMMYFUNCTION("""COMPUTED_VALUE"""),"1S11T5S16200GM0415WF")</f>
        <v>1S11T5S16200GM0415WF</v>
      </c>
      <c r="H1238" s="164" t="str">
        <f ca="1">IFERROR(__xludf.DUMMYFUNCTION("""COMPUTED_VALUE"""),"CRISTINA M. CASTILLO")</f>
        <v>CRISTINA M. CASTILLO</v>
      </c>
      <c r="I1238" s="164" t="str">
        <f ca="1">IFERROR(__xludf.DUMMYFUNCTION("""COMPUTED_VALUE"""),"SARPT")</f>
        <v>SARPT</v>
      </c>
      <c r="J1238" s="164" t="str">
        <f ca="1">IFERROR(__xludf.DUMMYFUNCTION("""COMPUTED_VALUE"""),"2021-05-007")</f>
        <v>2021-05-007</v>
      </c>
      <c r="K1238" s="164" t="str">
        <f ca="1">IFERROR(__xludf.DUMMYFUNCTION("""COMPUTED_VALUE"""),"CRISTINA M. CASTILLO")</f>
        <v>CRISTINA M. CASTILLO</v>
      </c>
      <c r="L1238" s="164" t="str">
        <f ca="1">IFERROR(__xludf.DUMMYFUNCTION("""COMPUTED_VALUE"""),"DARMO-QUEZON")</f>
        <v>DARMO-QUEZON</v>
      </c>
      <c r="M1238" s="164" t="str">
        <f ca="1">IFERROR(__xludf.DUMMYFUNCTION("""COMPUTED_VALUE"""),"SERVICEABLE")</f>
        <v>SERVICEABLE</v>
      </c>
      <c r="N1238" s="164"/>
    </row>
    <row r="1239" spans="1:14" ht="13.2" hidden="1">
      <c r="A1239" s="164" t="str">
        <f ca="1">IFERROR(__xludf.DUMMYFUNCTION("""COMPUTED_VALUE"""),"Region II")</f>
        <v>Region II</v>
      </c>
      <c r="B1239" s="164" t="str">
        <f ca="1">IFERROR(__xludf.DUMMYFUNCTION("""COMPUTED_VALUE"""),"ISABELA")</f>
        <v>ISABELA</v>
      </c>
      <c r="C1239" s="164" t="str">
        <f ca="1">IFERROR(__xludf.DUMMYFUNCTION("""COMPUTED_VALUE"""),"Desktop Computer – (Lenovo M70T)")</f>
        <v>Desktop Computer – (Lenovo M70T)</v>
      </c>
      <c r="D1239" s="164" t="str">
        <f ca="1">IFERROR(__xludf.DUMMYFUNCTION("""COMPUTED_VALUE"""),"₱ 75,468.00")</f>
        <v>₱ 75,468.00</v>
      </c>
      <c r="E1239" s="164" t="str">
        <f ca="1">IFERROR(__xludf.DUMMYFUNCTION("""COMPUTED_VALUE"""),"₱ -")</f>
        <v>₱ -</v>
      </c>
      <c r="F1239" s="164" t="str">
        <f ca="1">IFERROR(__xludf.DUMMYFUNCTION("""COMPUTED_VALUE"""),"2023-05-03-10201-SP-753-01")</f>
        <v>2023-05-03-10201-SP-753-01</v>
      </c>
      <c r="G1239" s="164" t="str">
        <f ca="1">IFERROR(__xludf.DUMMYFUNCTION("""COMPUTED_VALUE"""),"1S11T5S16200GM0415XQ")</f>
        <v>1S11T5S16200GM0415XQ</v>
      </c>
      <c r="H1239" s="164" t="str">
        <f ca="1">IFERROR(__xludf.DUMMYFUNCTION("""COMPUTED_VALUE"""),"MARLON D. NICOLAS")</f>
        <v>MARLON D. NICOLAS</v>
      </c>
      <c r="I1239" s="164" t="str">
        <f ca="1">IFERROR(__xludf.DUMMYFUNCTION("""COMPUTED_VALUE"""),"MARPO")</f>
        <v>MARPO</v>
      </c>
      <c r="J1239" s="164" t="str">
        <f ca="1">IFERROR(__xludf.DUMMYFUNCTION("""COMPUTED_VALUE"""),"2021-05-009")</f>
        <v>2021-05-009</v>
      </c>
      <c r="K1239" s="164" t="str">
        <f ca="1">IFERROR(__xludf.DUMMYFUNCTION("""COMPUTED_VALUE"""),"MARLON D. NICOLAS")</f>
        <v>MARLON D. NICOLAS</v>
      </c>
      <c r="L1239" s="164" t="str">
        <f ca="1">IFERROR(__xludf.DUMMYFUNCTION("""COMPUTED_VALUE"""),"DARMO-ILAGAN")</f>
        <v>DARMO-ILAGAN</v>
      </c>
      <c r="M1239" s="164" t="str">
        <f ca="1">IFERROR(__xludf.DUMMYFUNCTION("""COMPUTED_VALUE"""),"SERVICEABLE")</f>
        <v>SERVICEABLE</v>
      </c>
      <c r="N1239" s="164"/>
    </row>
    <row r="1240" spans="1:14" ht="13.2" hidden="1">
      <c r="A1240" s="164" t="str">
        <f ca="1">IFERROR(__xludf.DUMMYFUNCTION("""COMPUTED_VALUE"""),"Region II")</f>
        <v>Region II</v>
      </c>
      <c r="B1240" s="164" t="str">
        <f ca="1">IFERROR(__xludf.DUMMYFUNCTION("""COMPUTED_VALUE"""),"ISABELA")</f>
        <v>ISABELA</v>
      </c>
      <c r="C1240" s="164" t="str">
        <f ca="1">IFERROR(__xludf.DUMMYFUNCTION("""COMPUTED_VALUE"""),"Desktop Computer – (Lenovo M70T)")</f>
        <v>Desktop Computer – (Lenovo M70T)</v>
      </c>
      <c r="D1240" s="164" t="str">
        <f ca="1">IFERROR(__xludf.DUMMYFUNCTION("""COMPUTED_VALUE"""),"₱ 75,468.00")</f>
        <v>₱ 75,468.00</v>
      </c>
      <c r="E1240" s="164" t="str">
        <f ca="1">IFERROR(__xludf.DUMMYFUNCTION("""COMPUTED_VALUE"""),"₱ -")</f>
        <v>₱ -</v>
      </c>
      <c r="F1240" s="164" t="str">
        <f ca="1">IFERROR(__xludf.DUMMYFUNCTION("""COMPUTED_VALUE"""),"2023-05-03-10201-SP-746-01")</f>
        <v>2023-05-03-10201-SP-746-01</v>
      </c>
      <c r="G1240" s="164" t="str">
        <f ca="1">IFERROR(__xludf.DUMMYFUNCTION("""COMPUTED_VALUE"""),"1S11T5S16200GM0418C9")</f>
        <v>1S11T5S16200GM0418C9</v>
      </c>
      <c r="H1240" s="164" t="str">
        <f ca="1">IFERROR(__xludf.DUMMYFUNCTION("""COMPUTED_VALUE"""),"NORMA M. ADDURU")</f>
        <v>NORMA M. ADDURU</v>
      </c>
      <c r="I1240" s="164" t="str">
        <f ca="1">IFERROR(__xludf.DUMMYFUNCTION("""COMPUTED_VALUE"""),"MARPO")</f>
        <v>MARPO</v>
      </c>
      <c r="J1240" s="164" t="str">
        <f ca="1">IFERROR(__xludf.DUMMYFUNCTION("""COMPUTED_VALUE"""),"2021-05-010")</f>
        <v>2021-05-010</v>
      </c>
      <c r="K1240" s="164" t="str">
        <f ca="1">IFERROR(__xludf.DUMMYFUNCTION("""COMPUTED_VALUE"""),"NORMA M. ADDURU")</f>
        <v>NORMA M. ADDURU</v>
      </c>
      <c r="L1240" s="164" t="str">
        <f ca="1">IFERROR(__xludf.DUMMYFUNCTION("""COMPUTED_VALUE"""),"DARMO MALLIG")</f>
        <v>DARMO MALLIG</v>
      </c>
      <c r="M1240" s="164" t="str">
        <f ca="1">IFERROR(__xludf.DUMMYFUNCTION("""COMPUTED_VALUE"""),"SERVICEABLE")</f>
        <v>SERVICEABLE</v>
      </c>
      <c r="N1240" s="164"/>
    </row>
    <row r="1241" spans="1:14" ht="13.2" hidden="1">
      <c r="A1241" s="164" t="str">
        <f ca="1">IFERROR(__xludf.DUMMYFUNCTION("""COMPUTED_VALUE"""),"Region II")</f>
        <v>Region II</v>
      </c>
      <c r="B1241" s="164" t="str">
        <f ca="1">IFERROR(__xludf.DUMMYFUNCTION("""COMPUTED_VALUE"""),"ISABELA")</f>
        <v>ISABELA</v>
      </c>
      <c r="C1241" s="164" t="str">
        <f ca="1">IFERROR(__xludf.DUMMYFUNCTION("""COMPUTED_VALUE"""),"Desktop Computer – (Lenovo M70T)")</f>
        <v>Desktop Computer – (Lenovo M70T)</v>
      </c>
      <c r="D1241" s="164" t="str">
        <f ca="1">IFERROR(__xludf.DUMMYFUNCTION("""COMPUTED_VALUE"""),"₱ 75,468.00")</f>
        <v>₱ 75,468.00</v>
      </c>
      <c r="E1241" s="164" t="str">
        <f ca="1">IFERROR(__xludf.DUMMYFUNCTION("""COMPUTED_VALUE"""),"₱ -")</f>
        <v>₱ -</v>
      </c>
      <c r="F1241" s="164" t="str">
        <f ca="1">IFERROR(__xludf.DUMMYFUNCTION("""COMPUTED_VALUE"""),"2023-05-03-10201-SP-686-01")</f>
        <v>2023-05-03-10201-SP-686-01</v>
      </c>
      <c r="G1241" s="164" t="str">
        <f ca="1">IFERROR(__xludf.DUMMYFUNCTION("""COMPUTED_VALUE"""),"0")</f>
        <v>0</v>
      </c>
      <c r="H1241" s="164" t="str">
        <f ca="1">IFERROR(__xludf.DUMMYFUNCTION("""COMPUTED_VALUE"""),"ODELON C. SANTOS")</f>
        <v>ODELON C. SANTOS</v>
      </c>
      <c r="I1241" s="164" t="str">
        <f ca="1">IFERROR(__xludf.DUMMYFUNCTION("""COMPUTED_VALUE"""),"MARPO")</f>
        <v>MARPO</v>
      </c>
      <c r="J1241" s="164" t="str">
        <f ca="1">IFERROR(__xludf.DUMMYFUNCTION("""COMPUTED_VALUE"""),"2021-05-011")</f>
        <v>2021-05-011</v>
      </c>
      <c r="K1241" s="164" t="str">
        <f ca="1">IFERROR(__xludf.DUMMYFUNCTION("""COMPUTED_VALUE"""),"MARLON D. NICOLAS")</f>
        <v>MARLON D. NICOLAS</v>
      </c>
      <c r="L1241" s="164" t="str">
        <f ca="1">IFERROR(__xludf.DUMMYFUNCTION("""COMPUTED_VALUE"""),"DARMO SAN MARIANO")</f>
        <v>DARMO SAN MARIANO</v>
      </c>
      <c r="M1241" s="164" t="str">
        <f ca="1">IFERROR(__xludf.DUMMYFUNCTION("""COMPUTED_VALUE"""),"SERVICEABLE")</f>
        <v>SERVICEABLE</v>
      </c>
      <c r="N1241" s="164"/>
    </row>
    <row r="1242" spans="1:14" ht="13.2" hidden="1">
      <c r="A1242" s="164" t="str">
        <f ca="1">IFERROR(__xludf.DUMMYFUNCTION("""COMPUTED_VALUE"""),"Region II")</f>
        <v>Region II</v>
      </c>
      <c r="B1242" s="164" t="str">
        <f ca="1">IFERROR(__xludf.DUMMYFUNCTION("""COMPUTED_VALUE"""),"ISABELA")</f>
        <v>ISABELA</v>
      </c>
      <c r="C1242" s="164" t="str">
        <f ca="1">IFERROR(__xludf.DUMMYFUNCTION("""COMPUTED_VALUE"""),"Desktop Computer – (Lenovo M70T)")</f>
        <v>Desktop Computer – (Lenovo M70T)</v>
      </c>
      <c r="D1242" s="164" t="str">
        <f ca="1">IFERROR(__xludf.DUMMYFUNCTION("""COMPUTED_VALUE"""),"₱ 75,468.00")</f>
        <v>₱ 75,468.00</v>
      </c>
      <c r="E1242" s="164" t="str">
        <f ca="1">IFERROR(__xludf.DUMMYFUNCTION("""COMPUTED_VALUE"""),"₱ -")</f>
        <v>₱ -</v>
      </c>
      <c r="F1242" s="164" t="str">
        <f ca="1">IFERROR(__xludf.DUMMYFUNCTION("""COMPUTED_VALUE"""),"2023-05-03-10201-SP-681-01")</f>
        <v>2023-05-03-10201-SP-681-01</v>
      </c>
      <c r="G1242" s="164" t="str">
        <f ca="1">IFERROR(__xludf.DUMMYFUNCTION("""COMPUTED_VALUE"""),"1S11T5S16200GM0415ZJ")</f>
        <v>1S11T5S16200GM0415ZJ</v>
      </c>
      <c r="H1242" s="164" t="str">
        <f ca="1">IFERROR(__xludf.DUMMYFUNCTION("""COMPUTED_VALUE"""),"LEOPOLDO G. CASIL")</f>
        <v>LEOPOLDO G. CASIL</v>
      </c>
      <c r="I1242" s="164" t="str">
        <f ca="1">IFERROR(__xludf.DUMMYFUNCTION("""COMPUTED_VALUE"""),"ARPO II")</f>
        <v>ARPO II</v>
      </c>
      <c r="J1242" s="164" t="str">
        <f ca="1">IFERROR(__xludf.DUMMYFUNCTION("""COMPUTED_VALUE"""),"2021-05-012")</f>
        <v>2021-05-012</v>
      </c>
      <c r="K1242" s="164" t="str">
        <f ca="1">IFERROR(__xludf.DUMMYFUNCTION("""COMPUTED_VALUE"""),"LEOPOLDO G. CASIL")</f>
        <v>LEOPOLDO G. CASIL</v>
      </c>
      <c r="L1242" s="164" t="str">
        <f ca="1">IFERROR(__xludf.DUMMYFUNCTION("""COMPUTED_VALUE"""),"DARMO TUMAUINI")</f>
        <v>DARMO TUMAUINI</v>
      </c>
      <c r="M1242" s="164" t="str">
        <f ca="1">IFERROR(__xludf.DUMMYFUNCTION("""COMPUTED_VALUE"""),"SERVICEABLE")</f>
        <v>SERVICEABLE</v>
      </c>
      <c r="N1242" s="164"/>
    </row>
    <row r="1243" spans="1:14" ht="13.2" hidden="1">
      <c r="A1243" s="164" t="str">
        <f ca="1">IFERROR(__xludf.DUMMYFUNCTION("""COMPUTED_VALUE"""),"Region II")</f>
        <v>Region II</v>
      </c>
      <c r="B1243" s="164" t="str">
        <f ca="1">IFERROR(__xludf.DUMMYFUNCTION("""COMPUTED_VALUE"""),"ISABELA")</f>
        <v>ISABELA</v>
      </c>
      <c r="C1243" s="164" t="str">
        <f ca="1">IFERROR(__xludf.DUMMYFUNCTION("""COMPUTED_VALUE"""),"Desktop Computer – (Lenovo M70T)")</f>
        <v>Desktop Computer – (Lenovo M70T)</v>
      </c>
      <c r="D1243" s="164" t="str">
        <f ca="1">IFERROR(__xludf.DUMMYFUNCTION("""COMPUTED_VALUE"""),"₱ 75,468.00")</f>
        <v>₱ 75,468.00</v>
      </c>
      <c r="E1243" s="164" t="str">
        <f ca="1">IFERROR(__xludf.DUMMYFUNCTION("""COMPUTED_VALUE"""),"₱ -")</f>
        <v>₱ -</v>
      </c>
      <c r="F1243" s="164" t="str">
        <f ca="1">IFERROR(__xludf.DUMMYFUNCTION("""COMPUTED_VALUE"""),"2023-05-03-10201-SP-702-01")</f>
        <v>2023-05-03-10201-SP-702-01</v>
      </c>
      <c r="G1243" s="164" t="str">
        <f ca="1">IFERROR(__xludf.DUMMYFUNCTION("""COMPUTED_VALUE"""),"1S11T5S16200GM0415WC")</f>
        <v>1S11T5S16200GM0415WC</v>
      </c>
      <c r="H1243" s="164" t="str">
        <f ca="1">IFERROR(__xludf.DUMMYFUNCTION("""COMPUTED_VALUE"""),"PATRICK C. SANTOS")</f>
        <v>PATRICK C. SANTOS</v>
      </c>
      <c r="I1243" s="164" t="str">
        <f ca="1">IFERROR(__xludf.DUMMYFUNCTION("""COMPUTED_VALUE"""),"SARPT")</f>
        <v>SARPT</v>
      </c>
      <c r="J1243" s="164" t="str">
        <f ca="1">IFERROR(__xludf.DUMMYFUNCTION("""COMPUTED_VALUE"""),"2021-05-014")</f>
        <v>2021-05-014</v>
      </c>
      <c r="K1243" s="164" t="str">
        <f ca="1">IFERROR(__xludf.DUMMYFUNCTION("""COMPUTED_VALUE"""),"PATRICK C. SANTOS")</f>
        <v>PATRICK C. SANTOS</v>
      </c>
      <c r="L1243" s="164" t="str">
        <f ca="1">IFERROR(__xludf.DUMMYFUNCTION("""COMPUTED_VALUE"""),"DARMO SAN AGUSTIN")</f>
        <v>DARMO SAN AGUSTIN</v>
      </c>
      <c r="M1243" s="164" t="str">
        <f ca="1">IFERROR(__xludf.DUMMYFUNCTION("""COMPUTED_VALUE"""),"SERVICEABLE")</f>
        <v>SERVICEABLE</v>
      </c>
      <c r="N1243" s="164"/>
    </row>
    <row r="1244" spans="1:14" ht="13.2" hidden="1">
      <c r="A1244" s="164" t="str">
        <f ca="1">IFERROR(__xludf.DUMMYFUNCTION("""COMPUTED_VALUE"""),"Region II")</f>
        <v>Region II</v>
      </c>
      <c r="B1244" s="164" t="str">
        <f ca="1">IFERROR(__xludf.DUMMYFUNCTION("""COMPUTED_VALUE"""),"ISABELA")</f>
        <v>ISABELA</v>
      </c>
      <c r="C1244" s="164" t="str">
        <f ca="1">IFERROR(__xludf.DUMMYFUNCTION("""COMPUTED_VALUE"""),"Desktop Computer – (Lenovo M70T)")</f>
        <v>Desktop Computer – (Lenovo M70T)</v>
      </c>
      <c r="D1244" s="164" t="str">
        <f ca="1">IFERROR(__xludf.DUMMYFUNCTION("""COMPUTED_VALUE"""),"₱ 75,468.00")</f>
        <v>₱ 75,468.00</v>
      </c>
      <c r="E1244" s="164" t="str">
        <f ca="1">IFERROR(__xludf.DUMMYFUNCTION("""COMPUTED_VALUE"""),"₱ -")</f>
        <v>₱ -</v>
      </c>
      <c r="F1244" s="164" t="str">
        <f ca="1">IFERROR(__xludf.DUMMYFUNCTION("""COMPUTED_VALUE"""),"2023-05-03-10201SP743-01")</f>
        <v>2023-05-03-10201SP743-01</v>
      </c>
      <c r="G1244" s="164" t="str">
        <f ca="1">IFERROR(__xludf.DUMMYFUNCTION("""COMPUTED_VALUE"""),"0")</f>
        <v>0</v>
      </c>
      <c r="H1244" s="164" t="str">
        <f ca="1">IFERROR(__xludf.DUMMYFUNCTION("""COMPUTED_VALUE"""),"KINGSTON MARIE V. ABOGADO")</f>
        <v>KINGSTON MARIE V. ABOGADO</v>
      </c>
      <c r="I1244" s="164" t="str">
        <f ca="1">IFERROR(__xludf.DUMMYFUNCTION("""COMPUTED_VALUE"""),"ATTY V")</f>
        <v>ATTY V</v>
      </c>
      <c r="J1244" s="164" t="str">
        <f ca="1">IFERROR(__xludf.DUMMYFUNCTION("""COMPUTED_VALUE"""),"2021-05-015")</f>
        <v>2021-05-015</v>
      </c>
      <c r="K1244" s="164" t="str">
        <f ca="1">IFERROR(__xludf.DUMMYFUNCTION("""COMPUTED_VALUE"""),"KINGSTON MARIE V. ABOGADO")</f>
        <v>KINGSTON MARIE V. ABOGADO</v>
      </c>
      <c r="L1244" s="164" t="str">
        <f ca="1">IFERROR(__xludf.DUMMYFUNCTION("""COMPUTED_VALUE"""),"LEGAL DIVISION")</f>
        <v>LEGAL DIVISION</v>
      </c>
      <c r="M1244" s="164" t="str">
        <f ca="1">IFERROR(__xludf.DUMMYFUNCTION("""COMPUTED_VALUE"""),"SERVICEABLE")</f>
        <v>SERVICEABLE</v>
      </c>
      <c r="N1244" s="164"/>
    </row>
    <row r="1245" spans="1:14" ht="13.2" hidden="1">
      <c r="A1245" s="164" t="str">
        <f ca="1">IFERROR(__xludf.DUMMYFUNCTION("""COMPUTED_VALUE"""),"Region II")</f>
        <v>Region II</v>
      </c>
      <c r="B1245" s="164" t="str">
        <f ca="1">IFERROR(__xludf.DUMMYFUNCTION("""COMPUTED_VALUE"""),"ISABELA")</f>
        <v>ISABELA</v>
      </c>
      <c r="C1245" s="164" t="str">
        <f ca="1">IFERROR(__xludf.DUMMYFUNCTION("""COMPUTED_VALUE"""),"Desktop Computer – (Lenovo M70T)")</f>
        <v>Desktop Computer – (Lenovo M70T)</v>
      </c>
      <c r="D1245" s="164" t="str">
        <f ca="1">IFERROR(__xludf.DUMMYFUNCTION("""COMPUTED_VALUE"""),"₱ 75,468.00")</f>
        <v>₱ 75,468.00</v>
      </c>
      <c r="E1245" s="164" t="str">
        <f ca="1">IFERROR(__xludf.DUMMYFUNCTION("""COMPUTED_VALUE"""),"₱ -")</f>
        <v>₱ -</v>
      </c>
      <c r="F1245" s="164" t="str">
        <f ca="1">IFERROR(__xludf.DUMMYFUNCTION("""COMPUTED_VALUE"""),"2023-05-03-10201SP751-01")</f>
        <v>2023-05-03-10201SP751-01</v>
      </c>
      <c r="G1245" s="164" t="str">
        <f ca="1">IFERROR(__xludf.DUMMYFUNCTION("""COMPUTED_VALUE"""),"1S11T5S16200GM02ZT9V")</f>
        <v>1S11T5S16200GM02ZT9V</v>
      </c>
      <c r="H1245" s="164" t="str">
        <f ca="1">IFERROR(__xludf.DUMMYFUNCTION("""COMPUTED_VALUE"""),"CRISTETO V. ACOBA JR")</f>
        <v>CRISTETO V. ACOBA JR</v>
      </c>
      <c r="I1245" s="164" t="str">
        <f ca="1">IFERROR(__xludf.DUMMYFUNCTION("""COMPUTED_VALUE"""),"CARPO")</f>
        <v>CARPO</v>
      </c>
      <c r="J1245" s="164" t="str">
        <f ca="1">IFERROR(__xludf.DUMMYFUNCTION("""COMPUTED_VALUE"""),"2021-05-016")</f>
        <v>2021-05-016</v>
      </c>
      <c r="K1245" s="164" t="str">
        <f ca="1">IFERROR(__xludf.DUMMYFUNCTION("""COMPUTED_VALUE"""),"CRISTETO V. ACOBA JR")</f>
        <v>CRISTETO V. ACOBA JR</v>
      </c>
      <c r="L1245" s="164" t="str">
        <f ca="1">IFERROR(__xludf.DUMMYFUNCTION("""COMPUTED_VALUE"""),"ARBDSP")</f>
        <v>ARBDSP</v>
      </c>
      <c r="M1245" s="164" t="str">
        <f ca="1">IFERROR(__xludf.DUMMYFUNCTION("""COMPUTED_VALUE"""),"SERVICEABLE")</f>
        <v>SERVICEABLE</v>
      </c>
      <c r="N1245" s="164"/>
    </row>
    <row r="1246" spans="1:14" ht="13.2" hidden="1">
      <c r="A1246" s="164" t="str">
        <f ca="1">IFERROR(__xludf.DUMMYFUNCTION("""COMPUTED_VALUE"""),"Region II")</f>
        <v>Region II</v>
      </c>
      <c r="B1246" s="164" t="str">
        <f ca="1">IFERROR(__xludf.DUMMYFUNCTION("""COMPUTED_VALUE"""),"ISABELA")</f>
        <v>ISABELA</v>
      </c>
      <c r="C1246" s="164" t="str">
        <f ca="1">IFERROR(__xludf.DUMMYFUNCTION("""COMPUTED_VALUE"""),"Desktop Computer – (Lenovo M70T)")</f>
        <v>Desktop Computer – (Lenovo M70T)</v>
      </c>
      <c r="D1246" s="164" t="str">
        <f ca="1">IFERROR(__xludf.DUMMYFUNCTION("""COMPUTED_VALUE"""),"₱ 75,468.00")</f>
        <v>₱ 75,468.00</v>
      </c>
      <c r="E1246" s="164" t="str">
        <f ca="1">IFERROR(__xludf.DUMMYFUNCTION("""COMPUTED_VALUE"""),"₱ -")</f>
        <v>₱ -</v>
      </c>
      <c r="F1246" s="164" t="str">
        <f ca="1">IFERROR(__xludf.DUMMYFUNCTION("""COMPUTED_VALUE"""),"2023-05-03-10201SP -01")</f>
        <v>2023-05-03-10201SP -01</v>
      </c>
      <c r="G1246" s="164" t="str">
        <f ca="1">IFERROR(__xludf.DUMMYFUNCTION("""COMPUTED_VALUE"""),"0")</f>
        <v>0</v>
      </c>
      <c r="H1246" s="164" t="str">
        <f ca="1">IFERROR(__xludf.DUMMYFUNCTION("""COMPUTED_VALUE"""),"ROGELIO G. CORTEZ, JR")</f>
        <v>ROGELIO G. CORTEZ, JR</v>
      </c>
      <c r="I1246" s="164" t="str">
        <f ca="1">IFERROR(__xludf.DUMMYFUNCTION("""COMPUTED_VALUE"""),"CHIEF SURVEY")</f>
        <v>CHIEF SURVEY</v>
      </c>
      <c r="J1246" s="164" t="str">
        <f ca="1">IFERROR(__xludf.DUMMYFUNCTION("""COMPUTED_VALUE"""),"2021-05-017")</f>
        <v>2021-05-017</v>
      </c>
      <c r="K1246" s="164" t="str">
        <f ca="1">IFERROR(__xludf.DUMMYFUNCTION("""COMPUTED_VALUE"""),"ROGELIO G. CORTEZ, JR")</f>
        <v>ROGELIO G. CORTEZ, JR</v>
      </c>
      <c r="L1246" s="164" t="str">
        <f ca="1">IFERROR(__xludf.DUMMYFUNCTION("""COMPUTED_VALUE"""),"LTI-SURVEY")</f>
        <v>LTI-SURVEY</v>
      </c>
      <c r="M1246" s="164" t="str">
        <f ca="1">IFERROR(__xludf.DUMMYFUNCTION("""COMPUTED_VALUE"""),"SERVICEABLE")</f>
        <v>SERVICEABLE</v>
      </c>
      <c r="N1246" s="164"/>
    </row>
    <row r="1247" spans="1:14" ht="13.2" hidden="1">
      <c r="A1247" s="164" t="str">
        <f ca="1">IFERROR(__xludf.DUMMYFUNCTION("""COMPUTED_VALUE"""),"Region II")</f>
        <v>Region II</v>
      </c>
      <c r="B1247" s="164" t="str">
        <f ca="1">IFERROR(__xludf.DUMMYFUNCTION("""COMPUTED_VALUE"""),"ISABELA")</f>
        <v>ISABELA</v>
      </c>
      <c r="C1247" s="164" t="str">
        <f ca="1">IFERROR(__xludf.DUMMYFUNCTION("""COMPUTED_VALUE"""),"Desktop Computer – (Lenovo M70T)")</f>
        <v>Desktop Computer – (Lenovo M70T)</v>
      </c>
      <c r="D1247" s="164" t="str">
        <f ca="1">IFERROR(__xludf.DUMMYFUNCTION("""COMPUTED_VALUE"""),"₱ 75,468.00")</f>
        <v>₱ 75,468.00</v>
      </c>
      <c r="E1247" s="164" t="str">
        <f ca="1">IFERROR(__xludf.DUMMYFUNCTION("""COMPUTED_VALUE"""),"₱ -")</f>
        <v>₱ -</v>
      </c>
      <c r="F1247" s="164" t="str">
        <f ca="1">IFERROR(__xludf.DUMMYFUNCTION("""COMPUTED_VALUE"""),"2023-05-03-10201SP737-01")</f>
        <v>2023-05-03-10201SP737-01</v>
      </c>
      <c r="G1247" s="164" t="str">
        <f ca="1">IFERROR(__xludf.DUMMYFUNCTION("""COMPUTED_VALUE"""),"1S11T5S16200GM04160Q")</f>
        <v>1S11T5S16200GM04160Q</v>
      </c>
      <c r="H1247" s="164" t="str">
        <f ca="1">IFERROR(__xludf.DUMMYFUNCTION("""COMPUTED_VALUE"""),"MARISSA D. SAN JOSE")</f>
        <v>MARISSA D. SAN JOSE</v>
      </c>
      <c r="I1247" s="164" t="str">
        <f ca="1">IFERROR(__xludf.DUMMYFUNCTION("""COMPUTED_VALUE"""),"ARPO I")</f>
        <v>ARPO I</v>
      </c>
      <c r="J1247" s="164" t="str">
        <f ca="1">IFERROR(__xludf.DUMMYFUNCTION("""COMPUTED_VALUE"""),"2021-05-018")</f>
        <v>2021-05-018</v>
      </c>
      <c r="K1247" s="164" t="str">
        <f ca="1">IFERROR(__xludf.DUMMYFUNCTION("""COMPUTED_VALUE"""),"MARISSA D. SAN JOSE")</f>
        <v>MARISSA D. SAN JOSE</v>
      </c>
      <c r="L1247" s="164" t="str">
        <f ca="1">IFERROR(__xludf.DUMMYFUNCTION("""COMPUTED_VALUE"""),"DARPO-LTI")</f>
        <v>DARPO-LTI</v>
      </c>
      <c r="M1247" s="164" t="str">
        <f ca="1">IFERROR(__xludf.DUMMYFUNCTION("""COMPUTED_VALUE"""),"SERVICEABLE")</f>
        <v>SERVICEABLE</v>
      </c>
      <c r="N1247" s="164"/>
    </row>
    <row r="1248" spans="1:14" ht="13.2" hidden="1">
      <c r="A1248" s="164" t="str">
        <f ca="1">IFERROR(__xludf.DUMMYFUNCTION("""COMPUTED_VALUE"""),"Region II")</f>
        <v>Region II</v>
      </c>
      <c r="B1248" s="164" t="str">
        <f ca="1">IFERROR(__xludf.DUMMYFUNCTION("""COMPUTED_VALUE"""),"ISABELA")</f>
        <v>ISABELA</v>
      </c>
      <c r="C1248" s="164" t="str">
        <f ca="1">IFERROR(__xludf.DUMMYFUNCTION("""COMPUTED_VALUE"""),"Desktop Computer – (Lenovo M70T)")</f>
        <v>Desktop Computer – (Lenovo M70T)</v>
      </c>
      <c r="D1248" s="164" t="str">
        <f ca="1">IFERROR(__xludf.DUMMYFUNCTION("""COMPUTED_VALUE"""),"₱ 75,468.00")</f>
        <v>₱ 75,468.00</v>
      </c>
      <c r="E1248" s="164" t="str">
        <f ca="1">IFERROR(__xludf.DUMMYFUNCTION("""COMPUTED_VALUE"""),"₱ -")</f>
        <v>₱ -</v>
      </c>
      <c r="F1248" s="164" t="str">
        <f ca="1">IFERROR(__xludf.DUMMYFUNCTION("""COMPUTED_VALUE"""),"2023-05-03-10201SP734 -01")</f>
        <v>2023-05-03-10201SP734 -01</v>
      </c>
      <c r="G1248" s="164" t="str">
        <f ca="1">IFERROR(__xludf.DUMMYFUNCTION("""COMPUTED_VALUE"""),"1S11T5S16200GM0415V7")</f>
        <v>1S11T5S16200GM0415V7</v>
      </c>
      <c r="H1248" s="164" t="str">
        <f ca="1">IFERROR(__xludf.DUMMYFUNCTION("""COMPUTED_VALUE"""),"CARMENCITA P. ALONZO")</f>
        <v>CARMENCITA P. ALONZO</v>
      </c>
      <c r="I1248" s="164" t="str">
        <f ca="1">IFERROR(__xludf.DUMMYFUNCTION("""COMPUTED_VALUE"""),"TS2 ADMINISTRATIVE AND FINANCE OFFICER")</f>
        <v>TS2 ADMINISTRATIVE AND FINANCE OFFICER</v>
      </c>
      <c r="J1248" s="164" t="str">
        <f ca="1">IFERROR(__xludf.DUMMYFUNCTION("""COMPUTED_VALUE"""),"2023-09-001")</f>
        <v>2023-09-001</v>
      </c>
      <c r="K1248" s="164" t="str">
        <f ca="1">IFERROR(__xludf.DUMMYFUNCTION("""COMPUTED_VALUE"""),"NIÑA ANGELICA B. REGUCERA")</f>
        <v>NIÑA ANGELICA B. REGUCERA</v>
      </c>
      <c r="L1248" s="164" t="str">
        <f ca="1">IFERROR(__xludf.DUMMYFUNCTION("""COMPUTED_VALUE"""),"DARPO-CAO")</f>
        <v>DARPO-CAO</v>
      </c>
      <c r="M1248" s="164" t="str">
        <f ca="1">IFERROR(__xludf.DUMMYFUNCTION("""COMPUTED_VALUE"""),"SERVICEABLE")</f>
        <v>SERVICEABLE</v>
      </c>
      <c r="N1248" s="164"/>
    </row>
    <row r="1249" spans="1:14" ht="13.2" hidden="1">
      <c r="A1249" s="164" t="str">
        <f ca="1">IFERROR(__xludf.DUMMYFUNCTION("""COMPUTED_VALUE"""),"Region II")</f>
        <v>Region II</v>
      </c>
      <c r="B1249" s="164" t="str">
        <f ca="1">IFERROR(__xludf.DUMMYFUNCTION("""COMPUTED_VALUE"""),"ISABELA")</f>
        <v>ISABELA</v>
      </c>
      <c r="C1249" s="164" t="str">
        <f ca="1">IFERROR(__xludf.DUMMYFUNCTION("""COMPUTED_VALUE"""),"Desktop Computer – (Lenovo M70T)")</f>
        <v>Desktop Computer – (Lenovo M70T)</v>
      </c>
      <c r="D1249" s="164" t="str">
        <f ca="1">IFERROR(__xludf.DUMMYFUNCTION("""COMPUTED_VALUE"""),"₱ 75,468.00")</f>
        <v>₱ 75,468.00</v>
      </c>
      <c r="E1249" s="164" t="str">
        <f ca="1">IFERROR(__xludf.DUMMYFUNCTION("""COMPUTED_VALUE"""),"₱ -")</f>
        <v>₱ -</v>
      </c>
      <c r="F1249" s="164" t="str">
        <f ca="1">IFERROR(__xludf.DUMMYFUNCTION("""COMPUTED_VALUE"""),"2023-05-03-10201SP -01")</f>
        <v>2023-05-03-10201SP -01</v>
      </c>
      <c r="G1249" s="164" t="str">
        <f ca="1">IFERROR(__xludf.DUMMYFUNCTION("""COMPUTED_VALUE"""),"0")</f>
        <v>0</v>
      </c>
      <c r="H1249" s="164" t="str">
        <f ca="1">IFERROR(__xludf.DUMMYFUNCTION("""COMPUTED_VALUE"""),"NESTOR B. GONZAGA")</f>
        <v>NESTOR B. GONZAGA</v>
      </c>
      <c r="I1249" s="164" t="str">
        <f ca="1">IFERROR(__xludf.DUMMYFUNCTION("""COMPUTED_VALUE"""),"CARPO-LTID")</f>
        <v>CARPO-LTID</v>
      </c>
      <c r="J1249" s="164" t="str">
        <f ca="1">IFERROR(__xludf.DUMMYFUNCTION("""COMPUTED_VALUE"""),"2023-09-002")</f>
        <v>2023-09-002</v>
      </c>
      <c r="K1249" s="164" t="str">
        <f ca="1">IFERROR(__xludf.DUMMYFUNCTION("""COMPUTED_VALUE"""),"MARICAR A. PASCUAL")</f>
        <v>MARICAR A. PASCUAL</v>
      </c>
      <c r="L1249" s="164" t="str">
        <f ca="1">IFERROR(__xludf.DUMMYFUNCTION("""COMPUTED_VALUE"""),"DARPO-LTID")</f>
        <v>DARPO-LTID</v>
      </c>
      <c r="M1249" s="164" t="str">
        <f ca="1">IFERROR(__xludf.DUMMYFUNCTION("""COMPUTED_VALUE"""),"SERVICEABLE")</f>
        <v>SERVICEABLE</v>
      </c>
      <c r="N1249" s="164"/>
    </row>
    <row r="1250" spans="1:14" ht="13.2" hidden="1">
      <c r="A1250" s="164" t="str">
        <f ca="1">IFERROR(__xludf.DUMMYFUNCTION("""COMPUTED_VALUE"""),"Region II")</f>
        <v>Region II</v>
      </c>
      <c r="B1250" s="164" t="str">
        <f ca="1">IFERROR(__xludf.DUMMYFUNCTION("""COMPUTED_VALUE"""),"ISABELA")</f>
        <v>ISABELA</v>
      </c>
      <c r="C1250" s="164" t="str">
        <f ca="1">IFERROR(__xludf.DUMMYFUNCTION("""COMPUTED_VALUE"""),"Desktop Computer – (Lenovo M70T)")</f>
        <v>Desktop Computer – (Lenovo M70T)</v>
      </c>
      <c r="D1250" s="164" t="str">
        <f ca="1">IFERROR(__xludf.DUMMYFUNCTION("""COMPUTED_VALUE"""),"₱ 75,468.00")</f>
        <v>₱ 75,468.00</v>
      </c>
      <c r="E1250" s="164" t="str">
        <f ca="1">IFERROR(__xludf.DUMMYFUNCTION("""COMPUTED_VALUE"""),"₱ -")</f>
        <v>₱ -</v>
      </c>
      <c r="F1250" s="164" t="str">
        <f ca="1">IFERROR(__xludf.DUMMYFUNCTION("""COMPUTED_VALUE"""),"2023-05-03-10201SP740 -01")</f>
        <v>2023-05-03-10201SP740 -01</v>
      </c>
      <c r="G1250" s="164" t="str">
        <f ca="1">IFERROR(__xludf.DUMMYFUNCTION("""COMPUTED_VALUE"""),"1S11T5S16200GM0415W8")</f>
        <v>1S11T5S16200GM0415W8</v>
      </c>
      <c r="H1250" s="164" t="str">
        <f ca="1">IFERROR(__xludf.DUMMYFUNCTION("""COMPUTED_VALUE"""),"NESTOR B. GONZAGA")</f>
        <v>NESTOR B. GONZAGA</v>
      </c>
      <c r="I1250" s="164" t="str">
        <f ca="1">IFERROR(__xludf.DUMMYFUNCTION("""COMPUTED_VALUE"""),"CARPO")</f>
        <v>CARPO</v>
      </c>
      <c r="J1250" s="164" t="str">
        <f ca="1">IFERROR(__xludf.DUMMYFUNCTION("""COMPUTED_VALUE"""),"2023-09-003")</f>
        <v>2023-09-003</v>
      </c>
      <c r="K1250" s="164" t="str">
        <f ca="1">IFERROR(__xludf.DUMMYFUNCTION("""COMPUTED_VALUE"""),"PABLO S. TUMBALI")</f>
        <v>PABLO S. TUMBALI</v>
      </c>
      <c r="L1250" s="164" t="str">
        <f ca="1">IFERROR(__xludf.DUMMYFUNCTION("""COMPUTED_VALUE"""),"DARPO-LTID")</f>
        <v>DARPO-LTID</v>
      </c>
      <c r="M1250" s="164" t="str">
        <f ca="1">IFERROR(__xludf.DUMMYFUNCTION("""COMPUTED_VALUE"""),"SERVICEABLE")</f>
        <v>SERVICEABLE</v>
      </c>
      <c r="N1250" s="164"/>
    </row>
    <row r="1251" spans="1:14" ht="13.2" hidden="1">
      <c r="A1251" s="164" t="str">
        <f ca="1">IFERROR(__xludf.DUMMYFUNCTION("""COMPUTED_VALUE"""),"Region II")</f>
        <v>Region II</v>
      </c>
      <c r="B1251" s="164" t="str">
        <f ca="1">IFERROR(__xludf.DUMMYFUNCTION("""COMPUTED_VALUE"""),"ISABELA")</f>
        <v>ISABELA</v>
      </c>
      <c r="C1251" s="164" t="str">
        <f ca="1">IFERROR(__xludf.DUMMYFUNCTION("""COMPUTED_VALUE"""),"Desktop Computer – (Lenovo M70T)")</f>
        <v>Desktop Computer – (Lenovo M70T)</v>
      </c>
      <c r="D1251" s="164" t="str">
        <f ca="1">IFERROR(__xludf.DUMMYFUNCTION("""COMPUTED_VALUE"""),"₱ 75,468.00")</f>
        <v>₱ 75,468.00</v>
      </c>
      <c r="E1251" s="164" t="str">
        <f ca="1">IFERROR(__xludf.DUMMYFUNCTION("""COMPUTED_VALUE"""),"₱ -")</f>
        <v>₱ -</v>
      </c>
      <c r="F1251" s="164" t="str">
        <f ca="1">IFERROR(__xludf.DUMMYFUNCTION("""COMPUTED_VALUE"""),"2023-05-03-10201SP672 -01")</f>
        <v>2023-05-03-10201SP672 -01</v>
      </c>
      <c r="G1251" s="164" t="str">
        <f ca="1">IFERROR(__xludf.DUMMYFUNCTION("""COMPUTED_VALUE"""),"1S11T5S16200GM0415W4")</f>
        <v>1S11T5S16200GM0415W4</v>
      </c>
      <c r="H1251" s="164" t="str">
        <f ca="1">IFERROR(__xludf.DUMMYFUNCTION("""COMPUTED_VALUE"""),"NESTOR B. GONZAGA")</f>
        <v>NESTOR B. GONZAGA</v>
      </c>
      <c r="I1251" s="164" t="str">
        <f ca="1">IFERROR(__xludf.DUMMYFUNCTION("""COMPUTED_VALUE"""),"CARPO")</f>
        <v>CARPO</v>
      </c>
      <c r="J1251" s="164" t="str">
        <f ca="1">IFERROR(__xludf.DUMMYFUNCTION("""COMPUTED_VALUE"""),"2023-09-004")</f>
        <v>2023-09-004</v>
      </c>
      <c r="K1251" s="164" t="str">
        <f ca="1">IFERROR(__xludf.DUMMYFUNCTION("""COMPUTED_VALUE"""),"JOHN CARLO B. SAHAGUN")</f>
        <v>JOHN CARLO B. SAHAGUN</v>
      </c>
      <c r="L1251" s="164" t="str">
        <f ca="1">IFERROR(__xludf.DUMMYFUNCTION("""COMPUTED_VALUE"""),"DARPO-LTID")</f>
        <v>DARPO-LTID</v>
      </c>
      <c r="M1251" s="164" t="str">
        <f ca="1">IFERROR(__xludf.DUMMYFUNCTION("""COMPUTED_VALUE"""),"SERVICEABLE")</f>
        <v>SERVICEABLE</v>
      </c>
      <c r="N1251" s="164"/>
    </row>
    <row r="1252" spans="1:14" ht="13.2" hidden="1">
      <c r="A1252" s="164" t="str">
        <f ca="1">IFERROR(__xludf.DUMMYFUNCTION("""COMPUTED_VALUE"""),"Region II")</f>
        <v>Region II</v>
      </c>
      <c r="B1252" s="164" t="str">
        <f ca="1">IFERROR(__xludf.DUMMYFUNCTION("""COMPUTED_VALUE"""),"ISABELA")</f>
        <v>ISABELA</v>
      </c>
      <c r="C1252" s="164" t="str">
        <f ca="1">IFERROR(__xludf.DUMMYFUNCTION("""COMPUTED_VALUE"""),"Desktop Computer – (Lenovo M70T)")</f>
        <v>Desktop Computer – (Lenovo M70T)</v>
      </c>
      <c r="D1252" s="164" t="str">
        <f ca="1">IFERROR(__xludf.DUMMYFUNCTION("""COMPUTED_VALUE"""),"₱ 75,468.00")</f>
        <v>₱ 75,468.00</v>
      </c>
      <c r="E1252" s="164" t="str">
        <f ca="1">IFERROR(__xludf.DUMMYFUNCTION("""COMPUTED_VALUE"""),"₱ -")</f>
        <v>₱ -</v>
      </c>
      <c r="F1252" s="164" t="str">
        <f ca="1">IFERROR(__xludf.DUMMYFUNCTION("""COMPUTED_VALUE"""),"2023-05-03-10201SP712 -01")</f>
        <v>2023-05-03-10201SP712 -01</v>
      </c>
      <c r="G1252" s="164" t="str">
        <f ca="1">IFERROR(__xludf.DUMMYFUNCTION("""COMPUTED_VALUE"""),"1S11T5S16200GM0415Y3")</f>
        <v>1S11T5S16200GM0415Y3</v>
      </c>
      <c r="H1252" s="164" t="str">
        <f ca="1">IFERROR(__xludf.DUMMYFUNCTION("""COMPUTED_VALUE"""),"MARISSA D. SAN JOSE")</f>
        <v>MARISSA D. SAN JOSE</v>
      </c>
      <c r="I1252" s="164" t="str">
        <f ca="1">IFERROR(__xludf.DUMMYFUNCTION("""COMPUTED_VALUE"""),"ARPO I")</f>
        <v>ARPO I</v>
      </c>
      <c r="J1252" s="164" t="str">
        <f ca="1">IFERROR(__xludf.DUMMYFUNCTION("""COMPUTED_VALUE"""),"2023-09-005")</f>
        <v>2023-09-005</v>
      </c>
      <c r="K1252" s="164" t="str">
        <f ca="1">IFERROR(__xludf.DUMMYFUNCTION("""COMPUTED_VALUE"""),"ANTONNETE S. LAUIGAN")</f>
        <v>ANTONNETE S. LAUIGAN</v>
      </c>
      <c r="L1252" s="164" t="str">
        <f ca="1">IFERROR(__xludf.DUMMYFUNCTION("""COMPUTED_VALUE"""),"DARPO-LTI")</f>
        <v>DARPO-LTI</v>
      </c>
      <c r="M1252" s="164" t="str">
        <f ca="1">IFERROR(__xludf.DUMMYFUNCTION("""COMPUTED_VALUE"""),"SERVICEABLE")</f>
        <v>SERVICEABLE</v>
      </c>
      <c r="N1252" s="164"/>
    </row>
    <row r="1253" spans="1:14" ht="13.2" hidden="1">
      <c r="A1253" s="164" t="str">
        <f ca="1">IFERROR(__xludf.DUMMYFUNCTION("""COMPUTED_VALUE"""),"Region II")</f>
        <v>Region II</v>
      </c>
      <c r="B1253" s="164" t="str">
        <f ca="1">IFERROR(__xludf.DUMMYFUNCTION("""COMPUTED_VALUE"""),"ISABELA")</f>
        <v>ISABELA</v>
      </c>
      <c r="C1253" s="164" t="str">
        <f ca="1">IFERROR(__xludf.DUMMYFUNCTION("""COMPUTED_VALUE"""),"Desktop Computer – (Lenovo M70T)")</f>
        <v>Desktop Computer – (Lenovo M70T)</v>
      </c>
      <c r="D1253" s="164" t="str">
        <f ca="1">IFERROR(__xludf.DUMMYFUNCTION("""COMPUTED_VALUE"""),"₱ 75,468.00")</f>
        <v>₱ 75,468.00</v>
      </c>
      <c r="E1253" s="164" t="str">
        <f ca="1">IFERROR(__xludf.DUMMYFUNCTION("""COMPUTED_VALUE"""),"₱ -")</f>
        <v>₱ -</v>
      </c>
      <c r="F1253" s="164" t="str">
        <f ca="1">IFERROR(__xludf.DUMMYFUNCTION("""COMPUTED_VALUE"""),"2023-05-03-10201-SP7E5-01")</f>
        <v>2023-05-03-10201-SP7E5-01</v>
      </c>
      <c r="G1253" s="164" t="str">
        <f ca="1">IFERROR(__xludf.DUMMYFUNCTION("""COMPUTED_VALUE"""),"0")</f>
        <v>0</v>
      </c>
      <c r="H1253" s="164" t="str">
        <f ca="1">IFERROR(__xludf.DUMMYFUNCTION("""COMPUTED_VALUE"""),"CARMENCITA P. ALONZO")</f>
        <v>CARMENCITA P. ALONZO</v>
      </c>
      <c r="I1253" s="164" t="str">
        <f ca="1">IFERROR(__xludf.DUMMYFUNCTION("""COMPUTED_VALUE"""),"TS2 ADMINISTRATIVE AND FINANCE OFFICER")</f>
        <v>TS2 ADMINISTRATIVE AND FINANCE OFFICER</v>
      </c>
      <c r="J1253" s="164" t="str">
        <f ca="1">IFERROR(__xludf.DUMMYFUNCTION("""COMPUTED_VALUE"""),"2023-05-025")</f>
        <v>2023-05-025</v>
      </c>
      <c r="K1253" s="164" t="str">
        <f ca="1">IFERROR(__xludf.DUMMYFUNCTION("""COMPUTED_VALUE"""),"ADRIEL AFEC L. GABOT")</f>
        <v>ADRIEL AFEC L. GABOT</v>
      </c>
      <c r="L1253" s="164" t="str">
        <f ca="1">IFERROR(__xludf.DUMMYFUNCTION("""COMPUTED_VALUE"""),"DARPO-CAO")</f>
        <v>DARPO-CAO</v>
      </c>
      <c r="M1253" s="164" t="str">
        <f ca="1">IFERROR(__xludf.DUMMYFUNCTION("""COMPUTED_VALUE"""),"SERVICEABLE")</f>
        <v>SERVICEABLE</v>
      </c>
      <c r="N1253" s="164"/>
    </row>
    <row r="1254" spans="1:14" ht="13.2" hidden="1">
      <c r="A1254" s="164" t="str">
        <f ca="1">IFERROR(__xludf.DUMMYFUNCTION("""COMPUTED_VALUE"""),"Region II")</f>
        <v>Region II</v>
      </c>
      <c r="B1254" s="164" t="str">
        <f ca="1">IFERROR(__xludf.DUMMYFUNCTION("""COMPUTED_VALUE"""),"ISABELA")</f>
        <v>ISABELA</v>
      </c>
      <c r="C1254" s="164" t="str">
        <f ca="1">IFERROR(__xludf.DUMMYFUNCTION("""COMPUTED_VALUE"""),"Desktop Computer – (Lenovo M70T)")</f>
        <v>Desktop Computer – (Lenovo M70T)</v>
      </c>
      <c r="D1254" s="164" t="str">
        <f ca="1">IFERROR(__xludf.DUMMYFUNCTION("""COMPUTED_VALUE"""),"₱ 75,468.00")</f>
        <v>₱ 75,468.00</v>
      </c>
      <c r="E1254" s="164" t="str">
        <f ca="1">IFERROR(__xludf.DUMMYFUNCTION("""COMPUTED_VALUE"""),"₱ -")</f>
        <v>₱ -</v>
      </c>
      <c r="F1254" s="164" t="str">
        <f ca="1">IFERROR(__xludf.DUMMYFUNCTION("""COMPUTED_VALUE"""),"2023-05-03-10201SP755 -01")</f>
        <v>2023-05-03-10201SP755 -01</v>
      </c>
      <c r="G1254" s="164" t="str">
        <f ca="1">IFERROR(__xludf.DUMMYFUNCTION("""COMPUTED_VALUE"""),"1S11T5S16200GM0418CE")</f>
        <v>1S11T5S16200GM0418CE</v>
      </c>
      <c r="H1254" s="164" t="str">
        <f ca="1">IFERROR(__xludf.DUMMYFUNCTION("""COMPUTED_VALUE"""),"ZENAIDA A. MARTIN")</f>
        <v>ZENAIDA A. MARTIN</v>
      </c>
      <c r="I1254" s="164" t="str">
        <f ca="1">IFERROR(__xludf.DUMMYFUNCTION("""COMPUTED_VALUE"""),"M&amp;E COORDINATOR")</f>
        <v>M&amp;E COORDINATOR</v>
      </c>
      <c r="J1254" s="164" t="str">
        <f ca="1">IFERROR(__xludf.DUMMYFUNCTION("""COMPUTED_VALUE"""),"2023-09-007")</f>
        <v>2023-09-007</v>
      </c>
      <c r="K1254" s="164" t="str">
        <f ca="1">IFERROR(__xludf.DUMMYFUNCTION("""COMPUTED_VALUE"""),"ESTEPHANIE BELMONTE")</f>
        <v>ESTEPHANIE BELMONTE</v>
      </c>
      <c r="L1254" s="164" t="str">
        <f ca="1">IFERROR(__xludf.DUMMYFUNCTION("""COMPUTED_VALUE"""),"DARPO")</f>
        <v>DARPO</v>
      </c>
      <c r="M1254" s="164" t="str">
        <f ca="1">IFERROR(__xludf.DUMMYFUNCTION("""COMPUTED_VALUE"""),"SERVICEABLE")</f>
        <v>SERVICEABLE</v>
      </c>
      <c r="N1254" s="164"/>
    </row>
    <row r="1255" spans="1:14" ht="13.2" hidden="1">
      <c r="A1255" s="164" t="str">
        <f ca="1">IFERROR(__xludf.DUMMYFUNCTION("""COMPUTED_VALUE"""),"Region II")</f>
        <v>Region II</v>
      </c>
      <c r="B1255" s="164" t="str">
        <f ca="1">IFERROR(__xludf.DUMMYFUNCTION("""COMPUTED_VALUE"""),"ISABELA")</f>
        <v>ISABELA</v>
      </c>
      <c r="C1255" s="164" t="str">
        <f ca="1">IFERROR(__xludf.DUMMYFUNCTION("""COMPUTED_VALUE"""),"Desktop Computer – (Lenovo M70T)")</f>
        <v>Desktop Computer – (Lenovo M70T)</v>
      </c>
      <c r="D1255" s="164" t="str">
        <f ca="1">IFERROR(__xludf.DUMMYFUNCTION("""COMPUTED_VALUE"""),"₱ 75,468.00")</f>
        <v>₱ 75,468.00</v>
      </c>
      <c r="E1255" s="164" t="str">
        <f ca="1">IFERROR(__xludf.DUMMYFUNCTION("""COMPUTED_VALUE"""),"₱ -")</f>
        <v>₱ -</v>
      </c>
      <c r="F1255" s="164" t="str">
        <f ca="1">IFERROR(__xludf.DUMMYFUNCTION("""COMPUTED_VALUE"""),"2023-05-03-10201-SP709-01")</f>
        <v>2023-05-03-10201-SP709-01</v>
      </c>
      <c r="G1255" s="164" t="str">
        <f ca="1">IFERROR(__xludf.DUMMYFUNCTION("""COMPUTED_VALUE"""),"1S11T5S16200GM0418CA")</f>
        <v>1S11T5S16200GM0418CA</v>
      </c>
      <c r="H1255" s="164" t="str">
        <f ca="1">IFERROR(__xludf.DUMMYFUNCTION("""COMPUTED_VALUE"""),"NESTOR B. GONZAGA")</f>
        <v>NESTOR B. GONZAGA</v>
      </c>
      <c r="I1255" s="164" t="str">
        <f ca="1">IFERROR(__xludf.DUMMYFUNCTION("""COMPUTED_VALUE"""),"CARPO")</f>
        <v>CARPO</v>
      </c>
      <c r="J1255" s="164" t="str">
        <f ca="1">IFERROR(__xludf.DUMMYFUNCTION("""COMPUTED_VALUE"""),"2023-05-027")</f>
        <v>2023-05-027</v>
      </c>
      <c r="K1255" s="164" t="str">
        <f ca="1">IFERROR(__xludf.DUMMYFUNCTION("""COMPUTED_VALUE"""),"MARY ROSE T. LLEGO")</f>
        <v>MARY ROSE T. LLEGO</v>
      </c>
      <c r="L1255" s="164" t="str">
        <f ca="1">IFERROR(__xludf.DUMMYFUNCTION("""COMPUTED_VALUE"""),"DARPO-LTID")</f>
        <v>DARPO-LTID</v>
      </c>
      <c r="M1255" s="164" t="str">
        <f ca="1">IFERROR(__xludf.DUMMYFUNCTION("""COMPUTED_VALUE"""),"SERVICEABLE")</f>
        <v>SERVICEABLE</v>
      </c>
      <c r="N1255" s="164"/>
    </row>
    <row r="1256" spans="1:14" ht="13.2" hidden="1">
      <c r="A1256" s="164" t="str">
        <f ca="1">IFERROR(__xludf.DUMMYFUNCTION("""COMPUTED_VALUE"""),"Region II")</f>
        <v>Region II</v>
      </c>
      <c r="B1256" s="164" t="str">
        <f ca="1">IFERROR(__xludf.DUMMYFUNCTION("""COMPUTED_VALUE"""),"ISABELA")</f>
        <v>ISABELA</v>
      </c>
      <c r="C1256" s="164" t="str">
        <f ca="1">IFERROR(__xludf.DUMMYFUNCTION("""COMPUTED_VALUE"""),"Desktop Computer – (Lenovo M70T)")</f>
        <v>Desktop Computer – (Lenovo M70T)</v>
      </c>
      <c r="D1256" s="164" t="str">
        <f ca="1">IFERROR(__xludf.DUMMYFUNCTION("""COMPUTED_VALUE"""),"₱ 75,468.00")</f>
        <v>₱ 75,468.00</v>
      </c>
      <c r="E1256" s="164" t="str">
        <f ca="1">IFERROR(__xludf.DUMMYFUNCTION("""COMPUTED_VALUE"""),"₱ -")</f>
        <v>₱ -</v>
      </c>
      <c r="F1256" s="164" t="str">
        <f ca="1">IFERROR(__xludf.DUMMYFUNCTION("""COMPUTED_VALUE"""),"2023-05-03-10201SP713 -01")</f>
        <v>2023-05-03-10201SP713 -01</v>
      </c>
      <c r="G1256" s="164" t="str">
        <f ca="1">IFERROR(__xludf.DUMMYFUNCTION("""COMPUTED_VALUE"""),"1S11T5S16200GM0415SD")</f>
        <v>1S11T5S16200GM0415SD</v>
      </c>
      <c r="H1256" s="164" t="str">
        <f ca="1">IFERROR(__xludf.DUMMYFUNCTION("""COMPUTED_VALUE"""),"NESTOR B. GONZAGA")</f>
        <v>NESTOR B. GONZAGA</v>
      </c>
      <c r="I1256" s="164" t="str">
        <f ca="1">IFERROR(__xludf.DUMMYFUNCTION("""COMPUTED_VALUE"""),"CARPO")</f>
        <v>CARPO</v>
      </c>
      <c r="J1256" s="164" t="str">
        <f ca="1">IFERROR(__xludf.DUMMYFUNCTION("""COMPUTED_VALUE"""),"2023-09-008")</f>
        <v>2023-09-008</v>
      </c>
      <c r="K1256" s="164" t="str">
        <f ca="1">IFERROR(__xludf.DUMMYFUNCTION("""COMPUTED_VALUE"""),"MIKAEL C. SORIANO")</f>
        <v>MIKAEL C. SORIANO</v>
      </c>
      <c r="L1256" s="164" t="str">
        <f ca="1">IFERROR(__xludf.DUMMYFUNCTION("""COMPUTED_VALUE"""),"DARPO-LTID")</f>
        <v>DARPO-LTID</v>
      </c>
      <c r="M1256" s="164" t="str">
        <f ca="1">IFERROR(__xludf.DUMMYFUNCTION("""COMPUTED_VALUE"""),"SERVICEABLE")</f>
        <v>SERVICEABLE</v>
      </c>
      <c r="N1256" s="164"/>
    </row>
    <row r="1257" spans="1:14" ht="13.2" hidden="1">
      <c r="A1257" s="164" t="str">
        <f ca="1">IFERROR(__xludf.DUMMYFUNCTION("""COMPUTED_VALUE"""),"Region II")</f>
        <v>Region II</v>
      </c>
      <c r="B1257" s="164" t="str">
        <f ca="1">IFERROR(__xludf.DUMMYFUNCTION("""COMPUTED_VALUE"""),"ISABELA")</f>
        <v>ISABELA</v>
      </c>
      <c r="C1257" s="164" t="str">
        <f ca="1">IFERROR(__xludf.DUMMYFUNCTION("""COMPUTED_VALUE"""),"Desktop Computer – (Lenovo M70T)")</f>
        <v>Desktop Computer – (Lenovo M70T)</v>
      </c>
      <c r="D1257" s="164" t="str">
        <f ca="1">IFERROR(__xludf.DUMMYFUNCTION("""COMPUTED_VALUE"""),"₱ 75,468.00")</f>
        <v>₱ 75,468.00</v>
      </c>
      <c r="E1257" s="164" t="str">
        <f ca="1">IFERROR(__xludf.DUMMYFUNCTION("""COMPUTED_VALUE"""),"₱ -")</f>
        <v>₱ -</v>
      </c>
      <c r="F1257" s="164" t="str">
        <f ca="1">IFERROR(__xludf.DUMMYFUNCTION("""COMPUTED_VALUE"""),"2023-05-03-10201-SP- -01")</f>
        <v>2023-05-03-10201-SP- -01</v>
      </c>
      <c r="G1257" s="164" t="str">
        <f ca="1">IFERROR(__xludf.DUMMYFUNCTION("""COMPUTED_VALUE"""),"0")</f>
        <v>0</v>
      </c>
      <c r="H1257" s="164" t="str">
        <f ca="1">IFERROR(__xludf.DUMMYFUNCTION("""COMPUTED_VALUE"""),"NESTOR B. GONZAGA")</f>
        <v>NESTOR B. GONZAGA</v>
      </c>
      <c r="I1257" s="164" t="str">
        <f ca="1">IFERROR(__xludf.DUMMYFUNCTION("""COMPUTED_VALUE"""),"CARPO")</f>
        <v>CARPO</v>
      </c>
      <c r="J1257" s="164" t="str">
        <f ca="1">IFERROR(__xludf.DUMMYFUNCTION("""COMPUTED_VALUE"""),"2021-05-029")</f>
        <v>2021-05-029</v>
      </c>
      <c r="K1257" s="164" t="str">
        <f ca="1">IFERROR(__xludf.DUMMYFUNCTION("""COMPUTED_VALUE"""),"JEREMY JAMES R. CORTEZ")</f>
        <v>JEREMY JAMES R. CORTEZ</v>
      </c>
      <c r="L1257" s="164" t="str">
        <f ca="1">IFERROR(__xludf.DUMMYFUNCTION("""COMPUTED_VALUE"""),"DARPO-LTID")</f>
        <v>DARPO-LTID</v>
      </c>
      <c r="M1257" s="164" t="str">
        <f ca="1">IFERROR(__xludf.DUMMYFUNCTION("""COMPUTED_VALUE"""),"SERVICEABLE")</f>
        <v>SERVICEABLE</v>
      </c>
      <c r="N1257" s="164"/>
    </row>
    <row r="1258" spans="1:14" ht="13.2" hidden="1">
      <c r="A1258" s="164" t="str">
        <f ca="1">IFERROR(__xludf.DUMMYFUNCTION("""COMPUTED_VALUE"""),"Region II")</f>
        <v>Region II</v>
      </c>
      <c r="B1258" s="164" t="str">
        <f ca="1">IFERROR(__xludf.DUMMYFUNCTION("""COMPUTED_VALUE"""),"ISABELA")</f>
        <v>ISABELA</v>
      </c>
      <c r="C1258" s="164" t="str">
        <f ca="1">IFERROR(__xludf.DUMMYFUNCTION("""COMPUTED_VALUE"""),"Desktop Computer – (Lenovo M70T)")</f>
        <v>Desktop Computer – (Lenovo M70T)</v>
      </c>
      <c r="D1258" s="164" t="str">
        <f ca="1">IFERROR(__xludf.DUMMYFUNCTION("""COMPUTED_VALUE"""),"₱ 75,468.00")</f>
        <v>₱ 75,468.00</v>
      </c>
      <c r="E1258" s="164" t="str">
        <f ca="1">IFERROR(__xludf.DUMMYFUNCTION("""COMPUTED_VALUE"""),"₱ -")</f>
        <v>₱ -</v>
      </c>
      <c r="F1258" s="164" t="str">
        <f ca="1">IFERROR(__xludf.DUMMYFUNCTION("""COMPUTED_VALUE"""),"2023-05-03-10201-SP-726 -01")</f>
        <v>2023-05-03-10201-SP-726 -01</v>
      </c>
      <c r="G1258" s="164" t="str">
        <f ca="1">IFERROR(__xludf.DUMMYFUNCTION("""COMPUTED_VALUE"""),"1S11T5S16200GM0415Z1")</f>
        <v>1S11T5S16200GM0415Z1</v>
      </c>
      <c r="H1258" s="164" t="str">
        <f ca="1">IFERROR(__xludf.DUMMYFUNCTION("""COMPUTED_VALUE"""),"NESTOR B. GONZAGA")</f>
        <v>NESTOR B. GONZAGA</v>
      </c>
      <c r="I1258" s="164" t="str">
        <f ca="1">IFERROR(__xludf.DUMMYFUNCTION("""COMPUTED_VALUE"""),"CARPO")</f>
        <v>CARPO</v>
      </c>
      <c r="J1258" s="164" t="str">
        <f ca="1">IFERROR(__xludf.DUMMYFUNCTION("""COMPUTED_VALUE"""),"2021-05-030")</f>
        <v>2021-05-030</v>
      </c>
      <c r="K1258" s="164" t="str">
        <f ca="1">IFERROR(__xludf.DUMMYFUNCTION("""COMPUTED_VALUE"""),"RENZY G. SADDUL")</f>
        <v>RENZY G. SADDUL</v>
      </c>
      <c r="L1258" s="164" t="str">
        <f ca="1">IFERROR(__xludf.DUMMYFUNCTION("""COMPUTED_VALUE"""),"DARPO-LTID")</f>
        <v>DARPO-LTID</v>
      </c>
      <c r="M1258" s="164" t="str">
        <f ca="1">IFERROR(__xludf.DUMMYFUNCTION("""COMPUTED_VALUE"""),"SERVICEABLE")</f>
        <v>SERVICEABLE</v>
      </c>
      <c r="N1258" s="164"/>
    </row>
    <row r="1259" spans="1:14" ht="13.2" hidden="1">
      <c r="A1259" s="164" t="str">
        <f ca="1">IFERROR(__xludf.DUMMYFUNCTION("""COMPUTED_VALUE"""),"Region II")</f>
        <v>Region II</v>
      </c>
      <c r="B1259" s="164" t="str">
        <f ca="1">IFERROR(__xludf.DUMMYFUNCTION("""COMPUTED_VALUE"""),"ISABELA")</f>
        <v>ISABELA</v>
      </c>
      <c r="C1259" s="164" t="str">
        <f ca="1">IFERROR(__xludf.DUMMYFUNCTION("""COMPUTED_VALUE"""),"Desktop Computer – (Lenovo M70T)")</f>
        <v>Desktop Computer – (Lenovo M70T)</v>
      </c>
      <c r="D1259" s="164" t="str">
        <f ca="1">IFERROR(__xludf.DUMMYFUNCTION("""COMPUTED_VALUE"""),"₱ 75,468.00")</f>
        <v>₱ 75,468.00</v>
      </c>
      <c r="E1259" s="164" t="str">
        <f ca="1">IFERROR(__xludf.DUMMYFUNCTION("""COMPUTED_VALUE"""),"₱ -")</f>
        <v>₱ -</v>
      </c>
      <c r="F1259" s="164" t="str">
        <f ca="1">IFERROR(__xludf.DUMMYFUNCTION("""COMPUTED_VALUE"""),"2023-05-03-10201-SP-744-01")</f>
        <v>2023-05-03-10201-SP-744-01</v>
      </c>
      <c r="G1259" s="164" t="str">
        <f ca="1">IFERROR(__xludf.DUMMYFUNCTION("""COMPUTED_VALUE"""),"1S11T5S16200GM0415WM")</f>
        <v>1S11T5S16200GM0415WM</v>
      </c>
      <c r="H1259" s="164" t="str">
        <f ca="1">IFERROR(__xludf.DUMMYFUNCTION("""COMPUTED_VALUE"""),"NESTOR B. GONZAGA")</f>
        <v>NESTOR B. GONZAGA</v>
      </c>
      <c r="I1259" s="164" t="str">
        <f ca="1">IFERROR(__xludf.DUMMYFUNCTION("""COMPUTED_VALUE"""),"CARPO")</f>
        <v>CARPO</v>
      </c>
      <c r="J1259" s="164" t="str">
        <f ca="1">IFERROR(__xludf.DUMMYFUNCTION("""COMPUTED_VALUE"""),"2021-05-031")</f>
        <v>2021-05-031</v>
      </c>
      <c r="K1259" s="164" t="str">
        <f ca="1">IFERROR(__xludf.DUMMYFUNCTION("""COMPUTED_VALUE"""),"MA. VISITACION C. CORPUZ")</f>
        <v>MA. VISITACION C. CORPUZ</v>
      </c>
      <c r="L1259" s="164" t="str">
        <f ca="1">IFERROR(__xludf.DUMMYFUNCTION("""COMPUTED_VALUE"""),"DARPO-LTID")</f>
        <v>DARPO-LTID</v>
      </c>
      <c r="M1259" s="164" t="str">
        <f ca="1">IFERROR(__xludf.DUMMYFUNCTION("""COMPUTED_VALUE"""),"SERVICEABLE")</f>
        <v>SERVICEABLE</v>
      </c>
      <c r="N1259" s="164"/>
    </row>
    <row r="1260" spans="1:14" ht="13.2" hidden="1">
      <c r="A1260" s="164" t="str">
        <f ca="1">IFERROR(__xludf.DUMMYFUNCTION("""COMPUTED_VALUE"""),"Region II")</f>
        <v>Region II</v>
      </c>
      <c r="B1260" s="164" t="str">
        <f ca="1">IFERROR(__xludf.DUMMYFUNCTION("""COMPUTED_VALUE"""),"ISABELA")</f>
        <v>ISABELA</v>
      </c>
      <c r="C1260" s="164" t="str">
        <f ca="1">IFERROR(__xludf.DUMMYFUNCTION("""COMPUTED_VALUE"""),"Laptop – (ACER EXTENSA EX215-55G i7)")</f>
        <v>Laptop – (ACER EXTENSA EX215-55G i7)</v>
      </c>
      <c r="D1260" s="164" t="str">
        <f ca="1">IFERROR(__xludf.DUMMYFUNCTION("""COMPUTED_VALUE"""),"₱ 59,500.00")</f>
        <v>₱ 59,500.00</v>
      </c>
      <c r="E1260" s="164" t="str">
        <f ca="1">IFERROR(__xludf.DUMMYFUNCTION("""COMPUTED_VALUE"""),"₱ -")</f>
        <v>₱ -</v>
      </c>
      <c r="F1260" s="164" t="str">
        <f ca="1">IFERROR(__xludf.DUMMYFUNCTION("""COMPUTED_VALUE"""),"2023-05-03-10202SP273-01")</f>
        <v>2023-05-03-10202SP273-01</v>
      </c>
      <c r="G1260" s="164" t="str">
        <f ca="1">IFERROR(__xludf.DUMMYFUNCTION("""COMPUTED_VALUE"""),"0")</f>
        <v>0</v>
      </c>
      <c r="H1260" s="164" t="str">
        <f ca="1">IFERROR(__xludf.DUMMYFUNCTION("""COMPUTED_VALUE"""),"ZENAIDA A. MARTIN")</f>
        <v>ZENAIDA A. MARTIN</v>
      </c>
      <c r="I1260" s="164" t="str">
        <f ca="1">IFERROR(__xludf.DUMMYFUNCTION("""COMPUTED_VALUE"""),"M&amp;E COORDINATOR")</f>
        <v>M&amp;E COORDINATOR</v>
      </c>
      <c r="J1260" s="164" t="str">
        <f ca="1">IFERROR(__xludf.DUMMYFUNCTION("""COMPUTED_VALUE"""),"2023-08-001")</f>
        <v>2023-08-001</v>
      </c>
      <c r="K1260" s="164" t="str">
        <f ca="1">IFERROR(__xludf.DUMMYFUNCTION("""COMPUTED_VALUE"""),"ZENAIDA A. MARTIN")</f>
        <v>ZENAIDA A. MARTIN</v>
      </c>
      <c r="L1260" s="164" t="str">
        <f ca="1">IFERROR(__xludf.DUMMYFUNCTION("""COMPUTED_VALUE"""),"DARPO")</f>
        <v>DARPO</v>
      </c>
      <c r="M1260" s="164" t="str">
        <f ca="1">IFERROR(__xludf.DUMMYFUNCTION("""COMPUTED_VALUE"""),"SERVICEABLE")</f>
        <v>SERVICEABLE</v>
      </c>
      <c r="N1260" s="164"/>
    </row>
    <row r="1261" spans="1:14" ht="13.2" hidden="1">
      <c r="A1261" s="164" t="str">
        <f ca="1">IFERROR(__xludf.DUMMYFUNCTION("""COMPUTED_VALUE"""),"Region II")</f>
        <v>Region II</v>
      </c>
      <c r="B1261" s="164" t="str">
        <f ca="1">IFERROR(__xludf.DUMMYFUNCTION("""COMPUTED_VALUE"""),"ISABELA")</f>
        <v>ISABELA</v>
      </c>
      <c r="C1261" s="164" t="str">
        <f ca="1">IFERROR(__xludf.DUMMYFUNCTION("""COMPUTED_VALUE"""),"Laptop – (ACER EXTENSA EX215-55G i7)")</f>
        <v>Laptop – (ACER EXTENSA EX215-55G i7)</v>
      </c>
      <c r="D1261" s="164" t="str">
        <f ca="1">IFERROR(__xludf.DUMMYFUNCTION("""COMPUTED_VALUE"""),"₱ 59,500.00")</f>
        <v>₱ 59,500.00</v>
      </c>
      <c r="E1261" s="164" t="str">
        <f ca="1">IFERROR(__xludf.DUMMYFUNCTION("""COMPUTED_VALUE"""),"₱ -")</f>
        <v>₱ -</v>
      </c>
      <c r="F1261" s="164" t="str">
        <f ca="1">IFERROR(__xludf.DUMMYFUNCTION("""COMPUTED_VALUE"""),"2023-05-03-10202SP274-01")</f>
        <v>2023-05-03-10202SP274-01</v>
      </c>
      <c r="G1261" s="164" t="str">
        <f ca="1">IFERROR(__xludf.DUMMYFUNCTION("""COMPUTED_VALUE"""),"0")</f>
        <v>0</v>
      </c>
      <c r="H1261" s="164" t="str">
        <f ca="1">IFERROR(__xludf.DUMMYFUNCTION("""COMPUTED_VALUE"""),"MARISSA D. SAN JOSE")</f>
        <v>MARISSA D. SAN JOSE</v>
      </c>
      <c r="I1261" s="164" t="str">
        <f ca="1">IFERROR(__xludf.DUMMYFUNCTION("""COMPUTED_VALUE"""),"MIS COORDINATOR")</f>
        <v>MIS COORDINATOR</v>
      </c>
      <c r="J1261" s="164" t="str">
        <f ca="1">IFERROR(__xludf.DUMMYFUNCTION("""COMPUTED_VALUE"""),"2023-09-009")</f>
        <v>2023-09-009</v>
      </c>
      <c r="K1261" s="164" t="str">
        <f ca="1">IFERROR(__xludf.DUMMYFUNCTION("""COMPUTED_VALUE"""),"ERWIN J. PALAFOX")</f>
        <v>ERWIN J. PALAFOX</v>
      </c>
      <c r="L1261" s="164" t="str">
        <f ca="1">IFERROR(__xludf.DUMMYFUNCTION("""COMPUTED_VALUE"""),"DARPO")</f>
        <v>DARPO</v>
      </c>
      <c r="M1261" s="164" t="str">
        <f ca="1">IFERROR(__xludf.DUMMYFUNCTION("""COMPUTED_VALUE"""),"SERVICEABLE")</f>
        <v>SERVICEABLE</v>
      </c>
      <c r="N1261" s="164"/>
    </row>
    <row r="1262" spans="1:14" ht="13.2" hidden="1">
      <c r="A1262" s="164" t="str">
        <f ca="1">IFERROR(__xludf.DUMMYFUNCTION("""COMPUTED_VALUE"""),"Region II")</f>
        <v>Region II</v>
      </c>
      <c r="B1262" s="164" t="str">
        <f ca="1">IFERROR(__xludf.DUMMYFUNCTION("""COMPUTED_VALUE"""),"ISABELA")</f>
        <v>ISABELA</v>
      </c>
      <c r="C1262" s="164" t="str">
        <f ca="1">IFERROR(__xludf.DUMMYFUNCTION("""COMPUTED_VALUE"""),"Laptop – (ACER EXTENSA EX215-55G i7)")</f>
        <v>Laptop – (ACER EXTENSA EX215-55G i7)</v>
      </c>
      <c r="D1262" s="164" t="str">
        <f ca="1">IFERROR(__xludf.DUMMYFUNCTION("""COMPUTED_VALUE"""),"₱ 59,500.00")</f>
        <v>₱ 59,500.00</v>
      </c>
      <c r="E1262" s="164" t="str">
        <f ca="1">IFERROR(__xludf.DUMMYFUNCTION("""COMPUTED_VALUE"""),"₱ -")</f>
        <v>₱ -</v>
      </c>
      <c r="F1262" s="164" t="str">
        <f ca="1">IFERROR(__xludf.DUMMYFUNCTION("""COMPUTED_VALUE"""),"2023-05-03-10202SP18-01")</f>
        <v>2023-05-03-10202SP18-01</v>
      </c>
      <c r="G1262" s="164" t="str">
        <f ca="1">IFERROR(__xludf.DUMMYFUNCTION("""COMPUTED_VALUE"""),"0")</f>
        <v>0</v>
      </c>
      <c r="H1262" s="164" t="str">
        <f ca="1">IFERROR(__xludf.DUMMYFUNCTION("""COMPUTED_VALUE"""),"RONAN S TUZON JR")</f>
        <v>RONAN S TUZON JR</v>
      </c>
      <c r="I1262" s="164" t="str">
        <f ca="1">IFERROR(__xludf.DUMMYFUNCTION("""COMPUTED_VALUE"""),"PROVINCIAL INFORMATION OFFICER")</f>
        <v>PROVINCIAL INFORMATION OFFICER</v>
      </c>
      <c r="J1262" s="164" t="str">
        <f ca="1">IFERROR(__xludf.DUMMYFUNCTION("""COMPUTED_VALUE"""),"2023-06-005l")</f>
        <v>2023-06-005l</v>
      </c>
      <c r="K1262" s="164" t="str">
        <f ca="1">IFERROR(__xludf.DUMMYFUNCTION("""COMPUTED_VALUE"""),"RONAN S TUZON JR")</f>
        <v>RONAN S TUZON JR</v>
      </c>
      <c r="L1262" s="164" t="str">
        <f ca="1">IFERROR(__xludf.DUMMYFUNCTION("""COMPUTED_VALUE"""),"DARPO")</f>
        <v>DARPO</v>
      </c>
      <c r="M1262" s="164" t="str">
        <f ca="1">IFERROR(__xludf.DUMMYFUNCTION("""COMPUTED_VALUE"""),"SERVICEABLE")</f>
        <v>SERVICEABLE</v>
      </c>
      <c r="N1262" s="164"/>
    </row>
    <row r="1263" spans="1:14" ht="13.2" hidden="1">
      <c r="A1263" s="164" t="str">
        <f ca="1">IFERROR(__xludf.DUMMYFUNCTION("""COMPUTED_VALUE"""),"Region II")</f>
        <v>Region II</v>
      </c>
      <c r="B1263" s="164" t="str">
        <f ca="1">IFERROR(__xludf.DUMMYFUNCTION("""COMPUTED_VALUE"""),"ISABELA")</f>
        <v>ISABELA</v>
      </c>
      <c r="C1263" s="164" t="str">
        <f ca="1">IFERROR(__xludf.DUMMYFUNCTION("""COMPUTED_VALUE"""),"Photocopier Machine – Kyocera")</f>
        <v>Photocopier Machine – Kyocera</v>
      </c>
      <c r="D1263" s="164" t="str">
        <f ca="1">IFERROR(__xludf.DUMMYFUNCTION("""COMPUTED_VALUE"""),"₱ 84,500.00")</f>
        <v>₱ 84,500.00</v>
      </c>
      <c r="E1263" s="164" t="str">
        <f ca="1">IFERROR(__xludf.DUMMYFUNCTION("""COMPUTED_VALUE"""),"₱ -")</f>
        <v>₱ -</v>
      </c>
      <c r="F1263" s="164" t="str">
        <f ca="1">IFERROR(__xludf.DUMMYFUNCTION("""COMPUTED_VALUE"""),"2022-05-02-10202SP18-01")</f>
        <v>2022-05-02-10202SP18-01</v>
      </c>
      <c r="G1263" s="164" t="str">
        <f ca="1">IFERROR(__xludf.DUMMYFUNCTION("""COMPUTED_VALUE"""),"RNK1200153")</f>
        <v>RNK1200153</v>
      </c>
      <c r="H1263" s="164" t="str">
        <f ca="1">IFERROR(__xludf.DUMMYFUNCTION("""COMPUTED_VALUE"""),"CARINA L. IBALE")</f>
        <v>CARINA L. IBALE</v>
      </c>
      <c r="I1263" s="164" t="str">
        <f ca="1">IFERROR(__xludf.DUMMYFUNCTION("""COMPUTED_VALUE"""),"PROJECT PROCUREMENT COORDINATOR")</f>
        <v>PROJECT PROCUREMENT COORDINATOR</v>
      </c>
      <c r="J1263" s="164" t="str">
        <f ca="1">IFERROR(__xludf.DUMMYFUNCTION("""COMPUTED_VALUE"""),"2022-11-001")</f>
        <v>2022-11-001</v>
      </c>
      <c r="K1263" s="164" t="str">
        <f ca="1">IFERROR(__xludf.DUMMYFUNCTION("""COMPUTED_VALUE"""),"GENESIS ORDANZA")</f>
        <v>GENESIS ORDANZA</v>
      </c>
      <c r="L1263" s="164" t="str">
        <f ca="1">IFERROR(__xludf.DUMMYFUNCTION("""COMPUTED_VALUE"""),"DARPO")</f>
        <v>DARPO</v>
      </c>
      <c r="M1263" s="164" t="str">
        <f ca="1">IFERROR(__xludf.DUMMYFUNCTION("""COMPUTED_VALUE"""),"UNSERVICEABLE")</f>
        <v>UNSERVICEABLE</v>
      </c>
      <c r="N1263" s="164" t="str">
        <f ca="1">IFERROR(__xludf.DUMMYFUNCTION("""COMPUTED_VALUE"""),"FOR DISPOSE")</f>
        <v>FOR DISPOSE</v>
      </c>
    </row>
    <row r="1264" spans="1:14" ht="13.2" hidden="1">
      <c r="A1264" s="164" t="str">
        <f ca="1">IFERROR(__xludf.DUMMYFUNCTION("""COMPUTED_VALUE"""),"Region II")</f>
        <v>Region II</v>
      </c>
      <c r="B1264" s="164" t="str">
        <f ca="1">IFERROR(__xludf.DUMMYFUNCTION("""COMPUTED_VALUE"""),"ISABELA")</f>
        <v>ISABELA</v>
      </c>
      <c r="C1264" s="164" t="str">
        <f ca="1">IFERROR(__xludf.DUMMYFUNCTION("""COMPUTED_VALUE"""),"REAL-TIME KINEMATIC – GEOMAX ZENITH60")</f>
        <v>REAL-TIME KINEMATIC – GEOMAX ZENITH60</v>
      </c>
      <c r="D1264" s="164" t="str">
        <f ca="1">IFERROR(__xludf.DUMMYFUNCTION("""COMPUTED_VALUE"""),"₱ 1,849,000.00")</f>
        <v>₱ 1,849,000.00</v>
      </c>
      <c r="E1264" s="164" t="str">
        <f ca="1">IFERROR(__xludf.DUMMYFUNCTION("""COMPUTED_VALUE"""),"₱ -")</f>
        <v>₱ -</v>
      </c>
      <c r="F1264" s="164" t="str">
        <f ca="1">IFERROR(__xludf.DUMMYFUNCTION("""COMPUTED_VALUE"""),"2023-05-14-10201SP16-01")</f>
        <v>2023-05-14-10201SP16-01</v>
      </c>
      <c r="G1264" s="164" t="str">
        <f ca="1">IFERROR(__xludf.DUMMYFUNCTION("""COMPUTED_VALUE"""),"0")</f>
        <v>0</v>
      </c>
      <c r="H1264" s="164" t="str">
        <f ca="1">IFERROR(__xludf.DUMMYFUNCTION("""COMPUTED_VALUE"""),"ROGELIO G. CORTEZ, JR")</f>
        <v>ROGELIO G. CORTEZ, JR</v>
      </c>
      <c r="I1264" s="164" t="str">
        <f ca="1">IFERROR(__xludf.DUMMYFUNCTION("""COMPUTED_VALUE"""),"CHIEF SURVEY")</f>
        <v>CHIEF SURVEY</v>
      </c>
      <c r="J1264" s="164" t="str">
        <f ca="1">IFERROR(__xludf.DUMMYFUNCTION("""COMPUTED_VALUE"""),"2024-03-002")</f>
        <v>2024-03-002</v>
      </c>
      <c r="K1264" s="164" t="str">
        <f ca="1">IFERROR(__xludf.DUMMYFUNCTION("""COMPUTED_VALUE"""),"ROGELIO G. CORTEZ, JR")</f>
        <v>ROGELIO G. CORTEZ, JR</v>
      </c>
      <c r="L1264" s="164" t="str">
        <f ca="1">IFERROR(__xludf.DUMMYFUNCTION("""COMPUTED_VALUE"""),"DARPO")</f>
        <v>DARPO</v>
      </c>
      <c r="M1264" s="164" t="str">
        <f ca="1">IFERROR(__xludf.DUMMYFUNCTION("""COMPUTED_VALUE"""),"SERVICEABLE")</f>
        <v>SERVICEABLE</v>
      </c>
      <c r="N1264" s="164" t="str">
        <f ca="1">IFERROR(__xludf.DUMMYFUNCTION("""COMPUTED_VALUE"""),"TRANSFERRED FROM DARCO")</f>
        <v>TRANSFERRED FROM DARCO</v>
      </c>
    </row>
    <row r="1265" spans="1:14" ht="13.2" hidden="1">
      <c r="A1265" s="164" t="str">
        <f ca="1">IFERROR(__xludf.DUMMYFUNCTION("""COMPUTED_VALUE"""),"Region II")</f>
        <v>Region II</v>
      </c>
      <c r="B1265" s="164" t="str">
        <f ca="1">IFERROR(__xludf.DUMMYFUNCTION("""COMPUTED_VALUE"""),"ISABELA")</f>
        <v>ISABELA</v>
      </c>
      <c r="C1265" s="164" t="str">
        <f ca="1">IFERROR(__xludf.DUMMYFUNCTION("""COMPUTED_VALUE"""),"REAL-TIME KINEMATIC – GEOMAX ZENITH60")</f>
        <v>REAL-TIME KINEMATIC – GEOMAX ZENITH60</v>
      </c>
      <c r="D1265" s="164" t="str">
        <f ca="1">IFERROR(__xludf.DUMMYFUNCTION("""COMPUTED_VALUE"""),"₱ 1,849,000.00")</f>
        <v>₱ 1,849,000.00</v>
      </c>
      <c r="E1265" s="164" t="str">
        <f ca="1">IFERROR(__xludf.DUMMYFUNCTION("""COMPUTED_VALUE"""),"₱ -")</f>
        <v>₱ -</v>
      </c>
      <c r="F1265" s="164" t="str">
        <f ca="1">IFERROR(__xludf.DUMMYFUNCTION("""COMPUTED_VALUE"""),"2023-05-14-10201SP28-01")</f>
        <v>2023-05-14-10201SP28-01</v>
      </c>
      <c r="G1265" s="164" t="str">
        <f ca="1">IFERROR(__xludf.DUMMYFUNCTION("""COMPUTED_VALUE"""),"0")</f>
        <v>0</v>
      </c>
      <c r="H1265" s="164" t="str">
        <f ca="1">IFERROR(__xludf.DUMMYFUNCTION("""COMPUTED_VALUE"""),"ROGELIO G. CORTEZ, JR")</f>
        <v>ROGELIO G. CORTEZ, JR</v>
      </c>
      <c r="I1265" s="164" t="str">
        <f ca="1">IFERROR(__xludf.DUMMYFUNCTION("""COMPUTED_VALUE"""),"CHIEF SURVEY")</f>
        <v>CHIEF SURVEY</v>
      </c>
      <c r="J1265" s="164" t="str">
        <f ca="1">IFERROR(__xludf.DUMMYFUNCTION("""COMPUTED_VALUE"""),"2023-03-001")</f>
        <v>2023-03-001</v>
      </c>
      <c r="K1265" s="164" t="str">
        <f ca="1">IFERROR(__xludf.DUMMYFUNCTION("""COMPUTED_VALUE"""),"ROGELIO G. CORTEZ, JR")</f>
        <v>ROGELIO G. CORTEZ, JR</v>
      </c>
      <c r="L1265" s="164" t="str">
        <f ca="1">IFERROR(__xludf.DUMMYFUNCTION("""COMPUTED_VALUE"""),"DARPO")</f>
        <v>DARPO</v>
      </c>
      <c r="M1265" s="164" t="str">
        <f ca="1">IFERROR(__xludf.DUMMYFUNCTION("""COMPUTED_VALUE"""),"SERVICEABLE")</f>
        <v>SERVICEABLE</v>
      </c>
      <c r="N1265" s="164" t="str">
        <f ca="1">IFERROR(__xludf.DUMMYFUNCTION("""COMPUTED_VALUE"""),"damage Tablets / swollen battery")</f>
        <v>damage Tablets / swollen battery</v>
      </c>
    </row>
    <row r="1266" spans="1:14" ht="13.2" hidden="1">
      <c r="A1266" s="164" t="str">
        <f ca="1">IFERROR(__xludf.DUMMYFUNCTION("""COMPUTED_VALUE"""),"Region II")</f>
        <v>Region II</v>
      </c>
      <c r="B1266" s="164" t="str">
        <f ca="1">IFERROR(__xludf.DUMMYFUNCTION("""COMPUTED_VALUE"""),"ISABELA")</f>
        <v>ISABELA</v>
      </c>
      <c r="C1266" s="164" t="str">
        <f ca="1">IFERROR(__xludf.DUMMYFUNCTION("""COMPUTED_VALUE"""),"HANDHELD GPS – MODEL P6")</f>
        <v>HANDHELD GPS – MODEL P6</v>
      </c>
      <c r="D1266" s="164" t="str">
        <f ca="1">IFERROR(__xludf.DUMMYFUNCTION("""COMPUTED_VALUE"""),"₱ 79,000.00")</f>
        <v>₱ 79,000.00</v>
      </c>
      <c r="E1266" s="164" t="str">
        <f ca="1">IFERROR(__xludf.DUMMYFUNCTION("""COMPUTED_VALUE"""),"₱ -")</f>
        <v>₱ -</v>
      </c>
      <c r="F1266" s="164" t="str">
        <f ca="1">IFERROR(__xludf.DUMMYFUNCTION("""COMPUTED_VALUE"""),"2023-05-14-10202SP35-01")</f>
        <v>2023-05-14-10202SP35-01</v>
      </c>
      <c r="G1266" s="164" t="str">
        <f ca="1">IFERROR(__xludf.DUMMYFUNCTION("""COMPUTED_VALUE"""),"0")</f>
        <v>0</v>
      </c>
      <c r="H1266" s="164" t="str">
        <f ca="1">IFERROR(__xludf.DUMMYFUNCTION("""COMPUTED_VALUE"""),"ROGELIO G. CORTEZ, JR")</f>
        <v>ROGELIO G. CORTEZ, JR</v>
      </c>
      <c r="I1266" s="164" t="str">
        <f ca="1">IFERROR(__xludf.DUMMYFUNCTION("""COMPUTED_VALUE"""),"CHIEF SURVEY")</f>
        <v>CHIEF SURVEY</v>
      </c>
      <c r="J1266" s="164" t="str">
        <f ca="1">IFERROR(__xludf.DUMMYFUNCTION("""COMPUTED_VALUE"""),"2023-03-002")</f>
        <v>2023-03-002</v>
      </c>
      <c r="K1266" s="164" t="str">
        <f ca="1">IFERROR(__xludf.DUMMYFUNCTION("""COMPUTED_VALUE"""),"ROGELIO G. CORTEZ, JR")</f>
        <v>ROGELIO G. CORTEZ, JR</v>
      </c>
      <c r="L1266" s="164" t="str">
        <f ca="1">IFERROR(__xludf.DUMMYFUNCTION("""COMPUTED_VALUE"""),"DARPO")</f>
        <v>DARPO</v>
      </c>
      <c r="M1266" s="164" t="str">
        <f ca="1">IFERROR(__xludf.DUMMYFUNCTION("""COMPUTED_VALUE"""),"SERVICEABLE")</f>
        <v>SERVICEABLE</v>
      </c>
      <c r="N1266" s="164"/>
    </row>
    <row r="1267" spans="1:14" ht="13.2" hidden="1">
      <c r="A1267" s="164" t="str">
        <f ca="1">IFERROR(__xludf.DUMMYFUNCTION("""COMPUTED_VALUE"""),"Region II")</f>
        <v>Region II</v>
      </c>
      <c r="B1267" s="164" t="str">
        <f ca="1">IFERROR(__xludf.DUMMYFUNCTION("""COMPUTED_VALUE"""),"ISABELA")</f>
        <v>ISABELA</v>
      </c>
      <c r="C1267" s="164" t="str">
        <f ca="1">IFERROR(__xludf.DUMMYFUNCTION("""COMPUTED_VALUE"""),"TOTAL STATION – GEOMAX TOTAL STATION ZOOM 50")</f>
        <v>TOTAL STATION – GEOMAX TOTAL STATION ZOOM 50</v>
      </c>
      <c r="D1267" s="164" t="str">
        <f ca="1">IFERROR(__xludf.DUMMYFUNCTION("""COMPUTED_VALUE"""),"₱ 648,000.00")</f>
        <v>₱ 648,000.00</v>
      </c>
      <c r="E1267" s="164" t="str">
        <f ca="1">IFERROR(__xludf.DUMMYFUNCTION("""COMPUTED_VALUE"""),"₱ -")</f>
        <v>₱ -</v>
      </c>
      <c r="F1267" s="164" t="str">
        <f ca="1">IFERROR(__xludf.DUMMYFUNCTION("""COMPUTED_VALUE"""),"2023-05-14-10201SP16-01")</f>
        <v>2023-05-14-10201SP16-01</v>
      </c>
      <c r="G1267" s="164" t="str">
        <f ca="1">IFERROR(__xludf.DUMMYFUNCTION("""COMPUTED_VALUE"""),"0")</f>
        <v>0</v>
      </c>
      <c r="H1267" s="164" t="str">
        <f ca="1">IFERROR(__xludf.DUMMYFUNCTION("""COMPUTED_VALUE"""),"ROGELIO G. CORTEZ, JR")</f>
        <v>ROGELIO G. CORTEZ, JR</v>
      </c>
      <c r="I1267" s="164" t="str">
        <f ca="1">IFERROR(__xludf.DUMMYFUNCTION("""COMPUTED_VALUE"""),"CHIEF SURVEY")</f>
        <v>CHIEF SURVEY</v>
      </c>
      <c r="J1267" s="164" t="str">
        <f ca="1">IFERROR(__xludf.DUMMYFUNCTION("""COMPUTED_VALUE"""),"2024-03-002")</f>
        <v>2024-03-002</v>
      </c>
      <c r="K1267" s="164" t="str">
        <f ca="1">IFERROR(__xludf.DUMMYFUNCTION("""COMPUTED_VALUE"""),"ROGELIO G. CORTEZ, JR")</f>
        <v>ROGELIO G. CORTEZ, JR</v>
      </c>
      <c r="L1267" s="164" t="str">
        <f ca="1">IFERROR(__xludf.DUMMYFUNCTION("""COMPUTED_VALUE"""),"DARPO")</f>
        <v>DARPO</v>
      </c>
      <c r="M1267" s="164" t="str">
        <f ca="1">IFERROR(__xludf.DUMMYFUNCTION("""COMPUTED_VALUE"""),"SERVICEABLE")</f>
        <v>SERVICEABLE</v>
      </c>
      <c r="N1267" s="164" t="str">
        <f ca="1">IFERROR(__xludf.DUMMYFUNCTION("""COMPUTED_VALUE"""),"TRANSFERRED FROM DARCO")</f>
        <v>TRANSFERRED FROM DARCO</v>
      </c>
    </row>
    <row r="1268" spans="1:14" ht="13.2" hidden="1">
      <c r="A1268" s="164" t="str">
        <f ca="1">IFERROR(__xludf.DUMMYFUNCTION("""COMPUTED_VALUE"""),"Region II")</f>
        <v>Region II</v>
      </c>
      <c r="B1268" s="164" t="str">
        <f ca="1">IFERROR(__xludf.DUMMYFUNCTION("""COMPUTED_VALUE"""),"ISABELA")</f>
        <v>ISABELA</v>
      </c>
      <c r="C1268" s="164" t="str">
        <f ca="1">IFERROR(__xludf.DUMMYFUNCTION("""COMPUTED_VALUE"""),"TOTAL STATION – GEOMAX TOTAL STATION ZOOM 50")</f>
        <v>TOTAL STATION – GEOMAX TOTAL STATION ZOOM 50</v>
      </c>
      <c r="D1268" s="164" t="str">
        <f ca="1">IFERROR(__xludf.DUMMYFUNCTION("""COMPUTED_VALUE"""),"₱ 648,000.00")</f>
        <v>₱ 648,000.00</v>
      </c>
      <c r="E1268" s="164" t="str">
        <f ca="1">IFERROR(__xludf.DUMMYFUNCTION("""COMPUTED_VALUE"""),"₱ -")</f>
        <v>₱ -</v>
      </c>
      <c r="F1268" s="164" t="str">
        <f ca="1">IFERROR(__xludf.DUMMYFUNCTION("""COMPUTED_VALUE"""),"2023-05-14-10201SP28-01")</f>
        <v>2023-05-14-10201SP28-01</v>
      </c>
      <c r="G1268" s="164" t="str">
        <f ca="1">IFERROR(__xludf.DUMMYFUNCTION("""COMPUTED_VALUE"""),"0")</f>
        <v>0</v>
      </c>
      <c r="H1268" s="164" t="str">
        <f ca="1">IFERROR(__xludf.DUMMYFUNCTION("""COMPUTED_VALUE"""),"ROGELIO G. CORTEZ, JR")</f>
        <v>ROGELIO G. CORTEZ, JR</v>
      </c>
      <c r="I1268" s="164" t="str">
        <f ca="1">IFERROR(__xludf.DUMMYFUNCTION("""COMPUTED_VALUE"""),"CHIEF SURVEY")</f>
        <v>CHIEF SURVEY</v>
      </c>
      <c r="J1268" s="164" t="str">
        <f ca="1">IFERROR(__xludf.DUMMYFUNCTION("""COMPUTED_VALUE"""),"2023-03-003")</f>
        <v>2023-03-003</v>
      </c>
      <c r="K1268" s="164" t="str">
        <f ca="1">IFERROR(__xludf.DUMMYFUNCTION("""COMPUTED_VALUE"""),"ROGELIO G. CORTEZ, JR")</f>
        <v>ROGELIO G. CORTEZ, JR</v>
      </c>
      <c r="L1268" s="164" t="str">
        <f ca="1">IFERROR(__xludf.DUMMYFUNCTION("""COMPUTED_VALUE"""),"DARPO")</f>
        <v>DARPO</v>
      </c>
      <c r="M1268" s="164" t="str">
        <f ca="1">IFERROR(__xludf.DUMMYFUNCTION("""COMPUTED_VALUE"""),"SERVICEABLE")</f>
        <v>SERVICEABLE</v>
      </c>
      <c r="N1268" s="164"/>
    </row>
    <row r="1269" spans="1:14" ht="13.2" hidden="1">
      <c r="A1269" s="164" t="str">
        <f ca="1">IFERROR(__xludf.DUMMYFUNCTION("""COMPUTED_VALUE"""),"Region II")</f>
        <v>Region II</v>
      </c>
      <c r="B1269" s="164" t="str">
        <f ca="1">IFERROR(__xludf.DUMMYFUNCTION("""COMPUTED_VALUE"""),"ISABELA")</f>
        <v>ISABELA</v>
      </c>
      <c r="C1269" s="164" t="str">
        <f ca="1">IFERROR(__xludf.DUMMYFUNCTION("""COMPUTED_VALUE"""),"A3 PRINTER (BROTHER)")</f>
        <v>A3 PRINTER (BROTHER)</v>
      </c>
      <c r="D1269" s="164" t="str">
        <f ca="1">IFERROR(__xludf.DUMMYFUNCTION("""COMPUTED_VALUE"""),"₱ 33,508.00")</f>
        <v>₱ 33,508.00</v>
      </c>
      <c r="E1269" s="164" t="str">
        <f ca="1">IFERROR(__xludf.DUMMYFUNCTION("""COMPUTED_VALUE"""),"₱ -")</f>
        <v>₱ -</v>
      </c>
      <c r="F1269" s="164" t="str">
        <f ca="1">IFERROR(__xludf.DUMMYFUNCTION("""COMPUTED_VALUE"""),"HV-SPLIT-102-24-05-21
 HV-SPLIT-102-24-05-04-02")</f>
        <v>HV-SPLIT-102-24-05-21
 HV-SPLIT-102-24-05-04-02</v>
      </c>
      <c r="G1269" s="164" t="str">
        <f ca="1">IFERROR(__xludf.DUMMYFUNCTION("""COMPUTED_VALUE"""),"0")</f>
        <v>0</v>
      </c>
      <c r="H1269" s="164" t="str">
        <f ca="1">IFERROR(__xludf.DUMMYFUNCTION("""COMPUTED_VALUE"""),"MARISSA D. SAN JOSE")</f>
        <v>MARISSA D. SAN JOSE</v>
      </c>
      <c r="I1269" s="164" t="str">
        <f ca="1">IFERROR(__xludf.DUMMYFUNCTION("""COMPUTED_VALUE"""),"PROJECT PROCUREMENT COORDINATOR")</f>
        <v>PROJECT PROCUREMENT COORDINATOR</v>
      </c>
      <c r="J1269" s="164" t="str">
        <f ca="1">IFERROR(__xludf.DUMMYFUNCTION("""COMPUTED_VALUE"""),"2024-03-003")</f>
        <v>2024-03-003</v>
      </c>
      <c r="K1269" s="164" t="str">
        <f ca="1">IFERROR(__xludf.DUMMYFUNCTION("""COMPUTED_VALUE"""),"ERWIN J. PALAFOX")</f>
        <v>ERWIN J. PALAFOX</v>
      </c>
      <c r="L1269" s="164" t="str">
        <f ca="1">IFERROR(__xludf.DUMMYFUNCTION("""COMPUTED_VALUE"""),"DARPO ISABELA")</f>
        <v>DARPO ISABELA</v>
      </c>
      <c r="M1269" s="164" t="str">
        <f ca="1">IFERROR(__xludf.DUMMYFUNCTION("""COMPUTED_VALUE"""),"SERVICEABLE")</f>
        <v>SERVICEABLE</v>
      </c>
      <c r="N1269" s="164" t="str">
        <f ca="1">IFERROR(__xludf.DUMMYFUNCTION("""COMPUTED_VALUE"""),"FOR REPAIR")</f>
        <v>FOR REPAIR</v>
      </c>
    </row>
    <row r="1270" spans="1:14" ht="13.2">
      <c r="A1270" s="164" t="str">
        <f ca="1">IFERROR(__xludf.DUMMYFUNCTION("""COMPUTED_VALUE"""),"Region II")</f>
        <v>Region II</v>
      </c>
      <c r="B1270" s="164" t="str">
        <f ca="1">IFERROR(__xludf.DUMMYFUNCTION("""COMPUTED_VALUE"""),"QUIRINO")</f>
        <v>QUIRINO</v>
      </c>
      <c r="C1270" s="164" t="str">
        <f ca="1">IFERROR(__xludf.DUMMYFUNCTION("""COMPUTED_VALUE"""),"Desktop Computer – (Lenovo M70T)")</f>
        <v>Desktop Computer – (Lenovo M70T)</v>
      </c>
      <c r="D1270" s="164" t="str">
        <f ca="1">IFERROR(__xludf.DUMMYFUNCTION("""COMPUTED_VALUE"""),"₱ 75,468.00")</f>
        <v>₱ 75,468.00</v>
      </c>
      <c r="E1270" s="164" t="str">
        <f ca="1">IFERROR(__xludf.DUMMYFUNCTION("""COMPUTED_VALUE"""),"₱ -")</f>
        <v>₱ -</v>
      </c>
      <c r="F1270" s="164" t="str">
        <f ca="1">IFERROR(__xludf.DUMMYFUNCTION("""COMPUTED_VALUE"""),"2023-05-03-10201SP669-01")</f>
        <v>2023-05-03-10201SP669-01</v>
      </c>
      <c r="G1270" s="164" t="str">
        <f ca="1">IFERROR(__xludf.DUMMYFUNCTION("""COMPUTED_VALUE"""),"1S11T5S16200GM0418HG")</f>
        <v>1S11T5S16200GM0418HG</v>
      </c>
      <c r="H1270" s="164" t="str">
        <f ca="1">IFERROR(__xludf.DUMMYFUNCTION("""COMPUTED_VALUE"""),"ENG JESSBERG M VAFLOR")</f>
        <v>ENG JESSBERG M VAFLOR</v>
      </c>
      <c r="I1270" s="164" t="str">
        <f ca="1">IFERROR(__xludf.DUMMYFUNCTION("""COMPUTED_VALUE"""),"Parcelization Coordinator")</f>
        <v>Parcelization Coordinator</v>
      </c>
      <c r="J1270" s="164" t="str">
        <f ca="1">IFERROR(__xludf.DUMMYFUNCTION("""COMPUTED_VALUE"""),"2023-06-001")</f>
        <v>2023-06-001</v>
      </c>
      <c r="K1270" s="164" t="str">
        <f ca="1">IFERROR(__xludf.DUMMYFUNCTION("""COMPUTED_VALUE"""),"SPLIT PPMO ORGANIC")</f>
        <v>SPLIT PPMO ORGANIC</v>
      </c>
      <c r="L1270" s="164" t="str">
        <f ca="1">IFERROR(__xludf.DUMMYFUNCTION("""COMPUTED_VALUE"""),"LTS")</f>
        <v>LTS</v>
      </c>
      <c r="M1270" s="164" t="str">
        <f ca="1">IFERROR(__xludf.DUMMYFUNCTION("""COMPUTED_VALUE"""),"SERVICEABLE")</f>
        <v>SERVICEABLE</v>
      </c>
      <c r="N1270" s="164"/>
    </row>
    <row r="1271" spans="1:14" ht="13.2">
      <c r="A1271" s="164" t="str">
        <f ca="1">IFERROR(__xludf.DUMMYFUNCTION("""COMPUTED_VALUE"""),"Region II")</f>
        <v>Region II</v>
      </c>
      <c r="B1271" s="164" t="str">
        <f ca="1">IFERROR(__xludf.DUMMYFUNCTION("""COMPUTED_VALUE"""),"QUIRINO")</f>
        <v>QUIRINO</v>
      </c>
      <c r="C1271" s="164" t="str">
        <f ca="1">IFERROR(__xludf.DUMMYFUNCTION("""COMPUTED_VALUE"""),"Desktop Computer – (Lenovo M70T)")</f>
        <v>Desktop Computer – (Lenovo M70T)</v>
      </c>
      <c r="D1271" s="164" t="str">
        <f ca="1">IFERROR(__xludf.DUMMYFUNCTION("""COMPUTED_VALUE"""),"₱ 75,468.00")</f>
        <v>₱ 75,468.00</v>
      </c>
      <c r="E1271" s="164" t="str">
        <f ca="1">IFERROR(__xludf.DUMMYFUNCTION("""COMPUTED_VALUE"""),"₱ -")</f>
        <v>₱ -</v>
      </c>
      <c r="F1271" s="164" t="str">
        <f ca="1">IFERROR(__xludf.DUMMYFUNCTION("""COMPUTED_VALUE"""),"2023-05-03-10201SP738-01")</f>
        <v>2023-05-03-10201SP738-01</v>
      </c>
      <c r="G1271" s="164" t="str">
        <f ca="1">IFERROR(__xludf.DUMMYFUNCTION("""COMPUTED_VALUE"""),"1S11T5S16200GM041APP")</f>
        <v>1S11T5S16200GM041APP</v>
      </c>
      <c r="H1271" s="164" t="str">
        <f ca="1">IFERROR(__xludf.DUMMYFUNCTION("""COMPUTED_VALUE"""),"GINA G HERRERA")</f>
        <v>GINA G HERRERA</v>
      </c>
      <c r="I1271" s="164" t="str">
        <f ca="1">IFERROR(__xludf.DUMMYFUNCTION("""COMPUTED_VALUE"""),"MIS COORDINATOR")</f>
        <v>MIS COORDINATOR</v>
      </c>
      <c r="J1271" s="164" t="str">
        <f ca="1">IFERROR(__xludf.DUMMYFUNCTION("""COMPUTED_VALUE"""),"2023-06-002")</f>
        <v>2023-06-002</v>
      </c>
      <c r="K1271" s="164" t="str">
        <f ca="1">IFERROR(__xludf.DUMMYFUNCTION("""COMPUTED_VALUE"""),"GINA G HERRERA")</f>
        <v>GINA G HERRERA</v>
      </c>
      <c r="L1271" s="164" t="str">
        <f ca="1">IFERROR(__xludf.DUMMYFUNCTION("""COMPUTED_VALUE"""),"LTS")</f>
        <v>LTS</v>
      </c>
      <c r="M1271" s="164" t="str">
        <f ca="1">IFERROR(__xludf.DUMMYFUNCTION("""COMPUTED_VALUE"""),"SERVICEABLE")</f>
        <v>SERVICEABLE</v>
      </c>
      <c r="N1271" s="164"/>
    </row>
    <row r="1272" spans="1:14" ht="13.2">
      <c r="A1272" s="164" t="str">
        <f ca="1">IFERROR(__xludf.DUMMYFUNCTION("""COMPUTED_VALUE"""),"Region II")</f>
        <v>Region II</v>
      </c>
      <c r="B1272" s="164" t="str">
        <f ca="1">IFERROR(__xludf.DUMMYFUNCTION("""COMPUTED_VALUE"""),"QUIRINO")</f>
        <v>QUIRINO</v>
      </c>
      <c r="C1272" s="164" t="str">
        <f ca="1">IFERROR(__xludf.DUMMYFUNCTION("""COMPUTED_VALUE"""),"Desktop Computer – (Lenovo M70T)")</f>
        <v>Desktop Computer – (Lenovo M70T)</v>
      </c>
      <c r="D1272" s="164" t="str">
        <f ca="1">IFERROR(__xludf.DUMMYFUNCTION("""COMPUTED_VALUE"""),"₱ 75,468.00")</f>
        <v>₱ 75,468.00</v>
      </c>
      <c r="E1272" s="164" t="str">
        <f ca="1">IFERROR(__xludf.DUMMYFUNCTION("""COMPUTED_VALUE"""),"₱ -")</f>
        <v>₱ -</v>
      </c>
      <c r="F1272" s="164" t="str">
        <f ca="1">IFERROR(__xludf.DUMMYFUNCTION("""COMPUTED_VALUE"""),"2023-05-03-10201SP690-01")</f>
        <v>2023-05-03-10201SP690-01</v>
      </c>
      <c r="G1272" s="164" t="str">
        <f ca="1">IFERROR(__xludf.DUMMYFUNCTION("""COMPUTED_VALUE"""),"1S11T5S16200GM041APN")</f>
        <v>1S11T5S16200GM041APN</v>
      </c>
      <c r="H1272" s="164" t="str">
        <f ca="1">IFERROR(__xludf.DUMMYFUNCTION("""COMPUTED_VALUE"""),"ATTY CARIDAD GRACE T TURQUEZA")</f>
        <v>ATTY CARIDAD GRACE T TURQUEZA</v>
      </c>
      <c r="I1272" s="164" t="str">
        <f ca="1">IFERROR(__xludf.DUMMYFUNCTION("""COMPUTED_VALUE"""),"LEGAL COORDINATOR")</f>
        <v>LEGAL COORDINATOR</v>
      </c>
      <c r="J1272" s="164" t="str">
        <f ca="1">IFERROR(__xludf.DUMMYFUNCTION("""COMPUTED_VALUE"""),"2023-06-003")</f>
        <v>2023-06-003</v>
      </c>
      <c r="K1272" s="164" t="str">
        <f ca="1">IFERROR(__xludf.DUMMYFUNCTION("""COMPUTED_VALUE"""),"ATTY CARIDAD GRACE T TURQUEZA")</f>
        <v>ATTY CARIDAD GRACE T TURQUEZA</v>
      </c>
      <c r="L1272" s="164" t="str">
        <f ca="1">IFERROR(__xludf.DUMMYFUNCTION("""COMPUTED_VALUE"""),"LEGAL")</f>
        <v>LEGAL</v>
      </c>
      <c r="M1272" s="164" t="str">
        <f ca="1">IFERROR(__xludf.DUMMYFUNCTION("""COMPUTED_VALUE"""),"SERVICEABLE")</f>
        <v>SERVICEABLE</v>
      </c>
      <c r="N1272" s="164"/>
    </row>
    <row r="1273" spans="1:14" ht="13.2">
      <c r="A1273" s="164" t="str">
        <f ca="1">IFERROR(__xludf.DUMMYFUNCTION("""COMPUTED_VALUE"""),"Region II")</f>
        <v>Region II</v>
      </c>
      <c r="B1273" s="164" t="str">
        <f ca="1">IFERROR(__xludf.DUMMYFUNCTION("""COMPUTED_VALUE"""),"QUIRINO")</f>
        <v>QUIRINO</v>
      </c>
      <c r="C1273" s="164" t="str">
        <f ca="1">IFERROR(__xludf.DUMMYFUNCTION("""COMPUTED_VALUE"""),"Desktop Computer – (Lenovo M70T)")</f>
        <v>Desktop Computer – (Lenovo M70T)</v>
      </c>
      <c r="D1273" s="164" t="str">
        <f ca="1">IFERROR(__xludf.DUMMYFUNCTION("""COMPUTED_VALUE"""),"₱ 75,468.00")</f>
        <v>₱ 75,468.00</v>
      </c>
      <c r="E1273" s="164" t="str">
        <f ca="1">IFERROR(__xludf.DUMMYFUNCTION("""COMPUTED_VALUE"""),"₱ -")</f>
        <v>₱ -</v>
      </c>
      <c r="F1273" s="164" t="str">
        <f ca="1">IFERROR(__xludf.DUMMYFUNCTION("""COMPUTED_VALUE"""),"2023-05-03-10201SP674-01")</f>
        <v>2023-05-03-10201SP674-01</v>
      </c>
      <c r="G1273" s="164" t="str">
        <f ca="1">IFERROR(__xludf.DUMMYFUNCTION("""COMPUTED_VALUE"""),"0")</f>
        <v>0</v>
      </c>
      <c r="H1273" s="164" t="str">
        <f ca="1">IFERROR(__xludf.DUMMYFUNCTION("""COMPUTED_VALUE"""),"OLIVE F SAPON")</f>
        <v>OLIVE F SAPON</v>
      </c>
      <c r="I1273" s="164" t="str">
        <f ca="1">IFERROR(__xludf.DUMMYFUNCTION("""COMPUTED_VALUE"""),"PROJECT CASHIER")</f>
        <v>PROJECT CASHIER</v>
      </c>
      <c r="J1273" s="164" t="str">
        <f ca="1">IFERROR(__xludf.DUMMYFUNCTION("""COMPUTED_VALUE"""),"2023-06-004")</f>
        <v>2023-06-004</v>
      </c>
      <c r="K1273" s="164" t="str">
        <f ca="1">IFERROR(__xludf.DUMMYFUNCTION("""COMPUTED_VALUE"""),"OLIVE F SAPON")</f>
        <v>OLIVE F SAPON</v>
      </c>
      <c r="L1273" s="164" t="str">
        <f ca="1">IFERROR(__xludf.DUMMYFUNCTION("""COMPUTED_VALUE"""),"STOD")</f>
        <v>STOD</v>
      </c>
      <c r="M1273" s="164" t="str">
        <f ca="1">IFERROR(__xludf.DUMMYFUNCTION("""COMPUTED_VALUE"""),"SERVICEABLE")</f>
        <v>SERVICEABLE</v>
      </c>
      <c r="N1273" s="164"/>
    </row>
    <row r="1274" spans="1:14" ht="13.2">
      <c r="A1274" s="164" t="str">
        <f ca="1">IFERROR(__xludf.DUMMYFUNCTION("""COMPUTED_VALUE"""),"Region II")</f>
        <v>Region II</v>
      </c>
      <c r="B1274" s="164" t="str">
        <f ca="1">IFERROR(__xludf.DUMMYFUNCTION("""COMPUTED_VALUE"""),"QUIRINO")</f>
        <v>QUIRINO</v>
      </c>
      <c r="C1274" s="164" t="str">
        <f ca="1">IFERROR(__xludf.DUMMYFUNCTION("""COMPUTED_VALUE"""),"Desktop Computer – (Lenovo M70T)")</f>
        <v>Desktop Computer – (Lenovo M70T)</v>
      </c>
      <c r="D1274" s="164" t="str">
        <f ca="1">IFERROR(__xludf.DUMMYFUNCTION("""COMPUTED_VALUE"""),"₱ 75,468.00")</f>
        <v>₱ 75,468.00</v>
      </c>
      <c r="E1274" s="164" t="str">
        <f ca="1">IFERROR(__xludf.DUMMYFUNCTION("""COMPUTED_VALUE"""),"₱ -")</f>
        <v>₱ -</v>
      </c>
      <c r="F1274" s="164" t="str">
        <f ca="1">IFERROR(__xludf.DUMMYFUNCTION("""COMPUTED_VALUE"""),"2023-05-03-10201SP707-01")</f>
        <v>2023-05-03-10201SP707-01</v>
      </c>
      <c r="G1274" s="164" t="str">
        <f ca="1">IFERROR(__xludf.DUMMYFUNCTION("""COMPUTED_VALUE"""),"0")</f>
        <v>0</v>
      </c>
      <c r="H1274" s="164" t="str">
        <f ca="1">IFERROR(__xludf.DUMMYFUNCTION("""COMPUTED_VALUE"""),"BRIGIDA M GAPON")</f>
        <v>BRIGIDA M GAPON</v>
      </c>
      <c r="I1274" s="164" t="str">
        <f ca="1">IFERROR(__xludf.DUMMYFUNCTION("""COMPUTED_VALUE"""),"PROJECT BUDGET OFFICER")</f>
        <v>PROJECT BUDGET OFFICER</v>
      </c>
      <c r="J1274" s="164" t="str">
        <f ca="1">IFERROR(__xludf.DUMMYFUNCTION("""COMPUTED_VALUE"""),"2023-06-005")</f>
        <v>2023-06-005</v>
      </c>
      <c r="K1274" s="164" t="str">
        <f ca="1">IFERROR(__xludf.DUMMYFUNCTION("""COMPUTED_VALUE"""),"BRIGIDA M GAPON")</f>
        <v>BRIGIDA M GAPON</v>
      </c>
      <c r="L1274" s="164" t="str">
        <f ca="1">IFERROR(__xludf.DUMMYFUNCTION("""COMPUTED_VALUE"""),"STOD")</f>
        <v>STOD</v>
      </c>
      <c r="M1274" s="164" t="str">
        <f ca="1">IFERROR(__xludf.DUMMYFUNCTION("""COMPUTED_VALUE"""),"SERVICEABLE")</f>
        <v>SERVICEABLE</v>
      </c>
      <c r="N1274" s="164"/>
    </row>
    <row r="1275" spans="1:14" ht="13.2">
      <c r="A1275" s="164" t="str">
        <f ca="1">IFERROR(__xludf.DUMMYFUNCTION("""COMPUTED_VALUE"""),"Region II")</f>
        <v>Region II</v>
      </c>
      <c r="B1275" s="164" t="str">
        <f ca="1">IFERROR(__xludf.DUMMYFUNCTION("""COMPUTED_VALUE"""),"QUIRINO")</f>
        <v>QUIRINO</v>
      </c>
      <c r="C1275" s="164" t="str">
        <f ca="1">IFERROR(__xludf.DUMMYFUNCTION("""COMPUTED_VALUE"""),"Desktop Computer – (Lenovo M70T)")</f>
        <v>Desktop Computer – (Lenovo M70T)</v>
      </c>
      <c r="D1275" s="164" t="str">
        <f ca="1">IFERROR(__xludf.DUMMYFUNCTION("""COMPUTED_VALUE"""),"₱ 75,468.00")</f>
        <v>₱ 75,468.00</v>
      </c>
      <c r="E1275" s="164" t="str">
        <f ca="1">IFERROR(__xludf.DUMMYFUNCTION("""COMPUTED_VALUE"""),"₱ -")</f>
        <v>₱ -</v>
      </c>
      <c r="F1275" s="164" t="str">
        <f ca="1">IFERROR(__xludf.DUMMYFUNCTION("""COMPUTED_VALUE"""),"2023-05-03-10201SP698-01")</f>
        <v>2023-05-03-10201SP698-01</v>
      </c>
      <c r="G1275" s="164" t="str">
        <f ca="1">IFERROR(__xludf.DUMMYFUNCTION("""COMPUTED_VALUE"""),"1S11T5S16200GM041AVW")</f>
        <v>1S11T5S16200GM041AVW</v>
      </c>
      <c r="H1275" s="164" t="str">
        <f ca="1">IFERROR(__xludf.DUMMYFUNCTION("""COMPUTED_VALUE"""),"JULIUS C GARINGAN")</f>
        <v>JULIUS C GARINGAN</v>
      </c>
      <c r="I1275" s="164" t="str">
        <f ca="1">IFERROR(__xludf.DUMMYFUNCTION("""COMPUTED_VALUE"""),"ADMIN &amp; FINANCE COORDINATOR")</f>
        <v>ADMIN &amp; FINANCE COORDINATOR</v>
      </c>
      <c r="J1275" s="164" t="str">
        <f ca="1">IFERROR(__xludf.DUMMYFUNCTION("""COMPUTED_VALUE"""),"2023-06-006")</f>
        <v>2023-06-006</v>
      </c>
      <c r="K1275" s="164" t="str">
        <f ca="1">IFERROR(__xludf.DUMMYFUNCTION("""COMPUTED_VALUE"""),"JULIUS C GARINGAN")</f>
        <v>JULIUS C GARINGAN</v>
      </c>
      <c r="L1275" s="164" t="str">
        <f ca="1">IFERROR(__xludf.DUMMYFUNCTION("""COMPUTED_VALUE"""),"STOD")</f>
        <v>STOD</v>
      </c>
      <c r="M1275" s="164" t="str">
        <f ca="1">IFERROR(__xludf.DUMMYFUNCTION("""COMPUTED_VALUE"""),"SERVICEABLE")</f>
        <v>SERVICEABLE</v>
      </c>
      <c r="N1275" s="164"/>
    </row>
    <row r="1276" spans="1:14" ht="13.2">
      <c r="A1276" s="164" t="str">
        <f ca="1">IFERROR(__xludf.DUMMYFUNCTION("""COMPUTED_VALUE"""),"Region II")</f>
        <v>Region II</v>
      </c>
      <c r="B1276" s="164" t="str">
        <f ca="1">IFERROR(__xludf.DUMMYFUNCTION("""COMPUTED_VALUE"""),"QUIRINO")</f>
        <v>QUIRINO</v>
      </c>
      <c r="C1276" s="164" t="str">
        <f ca="1">IFERROR(__xludf.DUMMYFUNCTION("""COMPUTED_VALUE"""),"Desktop Computer – (Lenovo M70T)")</f>
        <v>Desktop Computer – (Lenovo M70T)</v>
      </c>
      <c r="D1276" s="164" t="str">
        <f ca="1">IFERROR(__xludf.DUMMYFUNCTION("""COMPUTED_VALUE"""),"₱ 75,468.00")</f>
        <v>₱ 75,468.00</v>
      </c>
      <c r="E1276" s="164" t="str">
        <f ca="1">IFERROR(__xludf.DUMMYFUNCTION("""COMPUTED_VALUE"""),"₱ -")</f>
        <v>₱ -</v>
      </c>
      <c r="F1276" s="164" t="str">
        <f ca="1">IFERROR(__xludf.DUMMYFUNCTION("""COMPUTED_VALUE"""),"2023-05-03-10201SP693-01")</f>
        <v>2023-05-03-10201SP693-01</v>
      </c>
      <c r="G1276" s="164" t="str">
        <f ca="1">IFERROR(__xludf.DUMMYFUNCTION("""COMPUTED_VALUE"""),"1S11T5S16200GM041AVT")</f>
        <v>1S11T5S16200GM041AVT</v>
      </c>
      <c r="H1276" s="164" t="str">
        <f ca="1">IFERROR(__xludf.DUMMYFUNCTION("""COMPUTED_VALUE"""),"RICHARD F SORIBEN")</f>
        <v>RICHARD F SORIBEN</v>
      </c>
      <c r="I1276" s="164" t="str">
        <f ca="1">IFERROR(__xludf.DUMMYFUNCTION("""COMPUTED_VALUE"""),"PROCUREMENT OFFICER")</f>
        <v>PROCUREMENT OFFICER</v>
      </c>
      <c r="J1276" s="164" t="str">
        <f ca="1">IFERROR(__xludf.DUMMYFUNCTION("""COMPUTED_VALUE"""),"2023-06-007")</f>
        <v>2023-06-007</v>
      </c>
      <c r="K1276" s="164" t="str">
        <f ca="1">IFERROR(__xludf.DUMMYFUNCTION("""COMPUTED_VALUE"""),"RICHARD F SORIBEN")</f>
        <v>RICHARD F SORIBEN</v>
      </c>
      <c r="L1276" s="164" t="str">
        <f ca="1">IFERROR(__xludf.DUMMYFUNCTION("""COMPUTED_VALUE"""),"STOD")</f>
        <v>STOD</v>
      </c>
      <c r="M1276" s="164" t="str">
        <f ca="1">IFERROR(__xludf.DUMMYFUNCTION("""COMPUTED_VALUE"""),"SERVICEABLE")</f>
        <v>SERVICEABLE</v>
      </c>
      <c r="N1276" s="164"/>
    </row>
    <row r="1277" spans="1:14" ht="13.2">
      <c r="A1277" s="164" t="str">
        <f ca="1">IFERROR(__xludf.DUMMYFUNCTION("""COMPUTED_VALUE"""),"Region II")</f>
        <v>Region II</v>
      </c>
      <c r="B1277" s="164" t="str">
        <f ca="1">IFERROR(__xludf.DUMMYFUNCTION("""COMPUTED_VALUE"""),"QUIRINO")</f>
        <v>QUIRINO</v>
      </c>
      <c r="C1277" s="164" t="str">
        <f ca="1">IFERROR(__xludf.DUMMYFUNCTION("""COMPUTED_VALUE"""),"Desktop Computer – (Lenovo M70T)")</f>
        <v>Desktop Computer – (Lenovo M70T)</v>
      </c>
      <c r="D1277" s="164" t="str">
        <f ca="1">IFERROR(__xludf.DUMMYFUNCTION("""COMPUTED_VALUE"""),"₱ 75,468.00")</f>
        <v>₱ 75,468.00</v>
      </c>
      <c r="E1277" s="164" t="str">
        <f ca="1">IFERROR(__xludf.DUMMYFUNCTION("""COMPUTED_VALUE"""),"₱ -")</f>
        <v>₱ -</v>
      </c>
      <c r="F1277" s="164" t="str">
        <f ca="1">IFERROR(__xludf.DUMMYFUNCTION("""COMPUTED_VALUE"""),"2023-05-03-10201SP721-01")</f>
        <v>2023-05-03-10201SP721-01</v>
      </c>
      <c r="G1277" s="164" t="str">
        <f ca="1">IFERROR(__xludf.DUMMYFUNCTION("""COMPUTED_VALUE"""),"0")</f>
        <v>0</v>
      </c>
      <c r="H1277" s="164" t="str">
        <f ca="1">IFERROR(__xludf.DUMMYFUNCTION("""COMPUTED_VALUE"""),"ENGR JOE MARI G RAMOS")</f>
        <v>ENGR JOE MARI G RAMOS</v>
      </c>
      <c r="I1277" s="164" t="str">
        <f ca="1">IFERROR(__xludf.DUMMYFUNCTION("""COMPUTED_VALUE"""),"M&amp;E COORDINATOR")</f>
        <v>M&amp;E COORDINATOR</v>
      </c>
      <c r="J1277" s="164" t="str">
        <f ca="1">IFERROR(__xludf.DUMMYFUNCTION("""COMPUTED_VALUE"""),"2023-06-008")</f>
        <v>2023-06-008</v>
      </c>
      <c r="K1277" s="164" t="str">
        <f ca="1">IFERROR(__xludf.DUMMYFUNCTION("""COMPUTED_VALUE"""),"ENGR JOE MARI G RAMOS")</f>
        <v>ENGR JOE MARI G RAMOS</v>
      </c>
      <c r="L1277" s="164" t="str">
        <f ca="1">IFERROR(__xludf.DUMMYFUNCTION("""COMPUTED_VALUE"""),"STOD")</f>
        <v>STOD</v>
      </c>
      <c r="M1277" s="164" t="str">
        <f ca="1">IFERROR(__xludf.DUMMYFUNCTION("""COMPUTED_VALUE"""),"SERVICEABLE")</f>
        <v>SERVICEABLE</v>
      </c>
      <c r="N1277" s="164"/>
    </row>
    <row r="1278" spans="1:14" ht="13.2">
      <c r="A1278" s="164" t="str">
        <f ca="1">IFERROR(__xludf.DUMMYFUNCTION("""COMPUTED_VALUE"""),"Region II")</f>
        <v>Region II</v>
      </c>
      <c r="B1278" s="164" t="str">
        <f ca="1">IFERROR(__xludf.DUMMYFUNCTION("""COMPUTED_VALUE"""),"QUIRINO")</f>
        <v>QUIRINO</v>
      </c>
      <c r="C1278" s="164" t="str">
        <f ca="1">IFERROR(__xludf.DUMMYFUNCTION("""COMPUTED_VALUE"""),"Desktop Computer – (Lenovo M70T)")</f>
        <v>Desktop Computer – (Lenovo M70T)</v>
      </c>
      <c r="D1278" s="164" t="str">
        <f ca="1">IFERROR(__xludf.DUMMYFUNCTION("""COMPUTED_VALUE"""),"₱ 75,468.00")</f>
        <v>₱ 75,468.00</v>
      </c>
      <c r="E1278" s="164" t="str">
        <f ca="1">IFERROR(__xludf.DUMMYFUNCTION("""COMPUTED_VALUE"""),"₱ -")</f>
        <v>₱ -</v>
      </c>
      <c r="F1278" s="164" t="str">
        <f ca="1">IFERROR(__xludf.DUMMYFUNCTION("""COMPUTED_VALUE"""),"2023-05-03-10201SP706-01")</f>
        <v>2023-05-03-10201SP706-01</v>
      </c>
      <c r="G1278" s="164" t="str">
        <f ca="1">IFERROR(__xludf.DUMMYFUNCTION("""COMPUTED_VALUE"""),"1S11T5S16200GM0418GQ")</f>
        <v>1S11T5S16200GM0418GQ</v>
      </c>
      <c r="H1278" s="164" t="str">
        <f ca="1">IFERROR(__xludf.DUMMYFUNCTION("""COMPUTED_VALUE"""),"ENGR JESSBERG M VAFLOR")</f>
        <v>ENGR JESSBERG M VAFLOR</v>
      </c>
      <c r="I1278" s="164" t="str">
        <f ca="1">IFERROR(__xludf.DUMMYFUNCTION("""COMPUTED_VALUE"""),"PARCELIZATION COORDINATOR")</f>
        <v>PARCELIZATION COORDINATOR</v>
      </c>
      <c r="J1278" s="164" t="str">
        <f ca="1">IFERROR(__xludf.DUMMYFUNCTION("""COMPUTED_VALUE"""),"2023-06-009")</f>
        <v>2023-06-009</v>
      </c>
      <c r="K1278" s="164" t="str">
        <f ca="1">IFERROR(__xludf.DUMMYFUNCTION("""COMPUTED_VALUE"""),"ENGR JESSBERG M VAFLOR")</f>
        <v>ENGR JESSBERG M VAFLOR</v>
      </c>
      <c r="L1278" s="164" t="str">
        <f ca="1">IFERROR(__xludf.DUMMYFUNCTION("""COMPUTED_VALUE"""),"LTS")</f>
        <v>LTS</v>
      </c>
      <c r="M1278" s="164" t="str">
        <f ca="1">IFERROR(__xludf.DUMMYFUNCTION("""COMPUTED_VALUE"""),"SERVICEABLE")</f>
        <v>SERVICEABLE</v>
      </c>
      <c r="N1278" s="164"/>
    </row>
    <row r="1279" spans="1:14" ht="13.2">
      <c r="A1279" s="164" t="str">
        <f ca="1">IFERROR(__xludf.DUMMYFUNCTION("""COMPUTED_VALUE"""),"Region II")</f>
        <v>Region II</v>
      </c>
      <c r="B1279" s="164" t="str">
        <f ca="1">IFERROR(__xludf.DUMMYFUNCTION("""COMPUTED_VALUE"""),"QUIRINO")</f>
        <v>QUIRINO</v>
      </c>
      <c r="C1279" s="164" t="str">
        <f ca="1">IFERROR(__xludf.DUMMYFUNCTION("""COMPUTED_VALUE"""),"Desktop Computer – (Lenovo M70T)")</f>
        <v>Desktop Computer – (Lenovo M70T)</v>
      </c>
      <c r="D1279" s="164" t="str">
        <f ca="1">IFERROR(__xludf.DUMMYFUNCTION("""COMPUTED_VALUE"""),"₱ 75,468.00")</f>
        <v>₱ 75,468.00</v>
      </c>
      <c r="E1279" s="164" t="str">
        <f ca="1">IFERROR(__xludf.DUMMYFUNCTION("""COMPUTED_VALUE"""),"₱ -")</f>
        <v>₱ -</v>
      </c>
      <c r="F1279" s="164" t="str">
        <f ca="1">IFERROR(__xludf.DUMMYFUNCTION("""COMPUTED_VALUE"""),"2023-05-03-10201SP750-01")</f>
        <v>2023-05-03-10201SP750-01</v>
      </c>
      <c r="G1279" s="164" t="str">
        <f ca="1">IFERROR(__xludf.DUMMYFUNCTION("""COMPUTED_VALUE"""),"0")</f>
        <v>0</v>
      </c>
      <c r="H1279" s="164" t="str">
        <f ca="1">IFERROR(__xludf.DUMMYFUNCTION("""COMPUTED_VALUE"""),"BRIGIDA M DAPON")</f>
        <v>BRIGIDA M DAPON</v>
      </c>
      <c r="I1279" s="164" t="str">
        <f ca="1">IFERROR(__xludf.DUMMYFUNCTION("""COMPUTED_VALUE"""),"PROJECT BUDGET OFFICER")</f>
        <v>PROJECT BUDGET OFFICER</v>
      </c>
      <c r="J1279" s="164" t="str">
        <f ca="1">IFERROR(__xludf.DUMMYFUNCTION("""COMPUTED_VALUE"""),"2023-06-010")</f>
        <v>2023-06-010</v>
      </c>
      <c r="K1279" s="164" t="str">
        <f ca="1">IFERROR(__xludf.DUMMYFUNCTION("""COMPUTED_VALUE"""),"BRIGIDA M DAPON")</f>
        <v>BRIGIDA M DAPON</v>
      </c>
      <c r="L1279" s="164" t="str">
        <f ca="1">IFERROR(__xludf.DUMMYFUNCTION("""COMPUTED_VALUE"""),"STOD")</f>
        <v>STOD</v>
      </c>
      <c r="M1279" s="164" t="str">
        <f ca="1">IFERROR(__xludf.DUMMYFUNCTION("""COMPUTED_VALUE"""),"SERVICEABLE")</f>
        <v>SERVICEABLE</v>
      </c>
      <c r="N1279" s="164"/>
    </row>
    <row r="1280" spans="1:14" ht="13.2">
      <c r="A1280" s="164" t="str">
        <f ca="1">IFERROR(__xludf.DUMMYFUNCTION("""COMPUTED_VALUE"""),"Region II")</f>
        <v>Region II</v>
      </c>
      <c r="B1280" s="164" t="str">
        <f ca="1">IFERROR(__xludf.DUMMYFUNCTION("""COMPUTED_VALUE"""),"QUIRINO")</f>
        <v>QUIRINO</v>
      </c>
      <c r="C1280" s="164" t="str">
        <f ca="1">IFERROR(__xludf.DUMMYFUNCTION("""COMPUTED_VALUE"""),"Desktop Computer – (Lenovo M70T)")</f>
        <v>Desktop Computer – (Lenovo M70T)</v>
      </c>
      <c r="D1280" s="164" t="str">
        <f ca="1">IFERROR(__xludf.DUMMYFUNCTION("""COMPUTED_VALUE"""),"₱ 75,468.00")</f>
        <v>₱ 75,468.00</v>
      </c>
      <c r="E1280" s="164" t="str">
        <f ca="1">IFERROR(__xludf.DUMMYFUNCTION("""COMPUTED_VALUE"""),"₱ -")</f>
        <v>₱ -</v>
      </c>
      <c r="F1280" s="164" t="str">
        <f ca="1">IFERROR(__xludf.DUMMYFUNCTION("""COMPUTED_VALUE"""),"2023-05-03-10201SP719-01")</f>
        <v>2023-05-03-10201SP719-01</v>
      </c>
      <c r="G1280" s="164" t="str">
        <f ca="1">IFERROR(__xludf.DUMMYFUNCTION("""COMPUTED_VALUE"""),"1S11T5S16200GM041AVX")</f>
        <v>1S11T5S16200GM041AVX</v>
      </c>
      <c r="H1280" s="164" t="str">
        <f ca="1">IFERROR(__xludf.DUMMYFUNCTION("""COMPUTED_VALUE"""),"GINA G HERRERA")</f>
        <v>GINA G HERRERA</v>
      </c>
      <c r="I1280" s="164" t="str">
        <f ca="1">IFERROR(__xludf.DUMMYFUNCTION("""COMPUTED_VALUE"""),"MIS COORDINATOR")</f>
        <v>MIS COORDINATOR</v>
      </c>
      <c r="J1280" s="164" t="str">
        <f ca="1">IFERROR(__xludf.DUMMYFUNCTION("""COMPUTED_VALUE"""),"2023-06-011")</f>
        <v>2023-06-011</v>
      </c>
      <c r="K1280" s="164" t="str">
        <f ca="1">IFERROR(__xludf.DUMMYFUNCTION("""COMPUTED_VALUE"""),"GINA G HERRERA")</f>
        <v>GINA G HERRERA</v>
      </c>
      <c r="L1280" s="164" t="str">
        <f ca="1">IFERROR(__xludf.DUMMYFUNCTION("""COMPUTED_VALUE"""),"LTS")</f>
        <v>LTS</v>
      </c>
      <c r="M1280" s="164" t="str">
        <f ca="1">IFERROR(__xludf.DUMMYFUNCTION("""COMPUTED_VALUE"""),"SERVICEABLE")</f>
        <v>SERVICEABLE</v>
      </c>
      <c r="N1280" s="164"/>
    </row>
    <row r="1281" spans="1:14" ht="13.2">
      <c r="A1281" s="164" t="str">
        <f ca="1">IFERROR(__xludf.DUMMYFUNCTION("""COMPUTED_VALUE"""),"Region II")</f>
        <v>Region II</v>
      </c>
      <c r="B1281" s="164" t="str">
        <f ca="1">IFERROR(__xludf.DUMMYFUNCTION("""COMPUTED_VALUE"""),"QUIRINO")</f>
        <v>QUIRINO</v>
      </c>
      <c r="C1281" s="164" t="str">
        <f ca="1">IFERROR(__xludf.DUMMYFUNCTION("""COMPUTED_VALUE"""),"Desktop Computer – (Lenovo M70T)")</f>
        <v>Desktop Computer – (Lenovo M70T)</v>
      </c>
      <c r="D1281" s="164" t="str">
        <f ca="1">IFERROR(__xludf.DUMMYFUNCTION("""COMPUTED_VALUE"""),"₱ 75,468.00")</f>
        <v>₱ 75,468.00</v>
      </c>
      <c r="E1281" s="164" t="str">
        <f ca="1">IFERROR(__xludf.DUMMYFUNCTION("""COMPUTED_VALUE"""),"₱ -")</f>
        <v>₱ -</v>
      </c>
      <c r="F1281" s="164" t="str">
        <f ca="1">IFERROR(__xludf.DUMMYFUNCTION("""COMPUTED_VALUE"""),"2023-05-03-10201SP733-01")</f>
        <v>2023-05-03-10201SP733-01</v>
      </c>
      <c r="G1281" s="164" t="str">
        <f ca="1">IFERROR(__xludf.DUMMYFUNCTION("""COMPUTED_VALUE"""),"1S11T5S16200GM0418GG")</f>
        <v>1S11T5S16200GM0418GG</v>
      </c>
      <c r="H1281" s="164" t="str">
        <f ca="1">IFERROR(__xludf.DUMMYFUNCTION("""COMPUTED_VALUE"""),"ENGR JESSBERG M VAFLOR")</f>
        <v>ENGR JESSBERG M VAFLOR</v>
      </c>
      <c r="I1281" s="164" t="str">
        <f ca="1">IFERROR(__xludf.DUMMYFUNCTION("""COMPUTED_VALUE"""),"PARCELIZATION COORDINATOR")</f>
        <v>PARCELIZATION COORDINATOR</v>
      </c>
      <c r="J1281" s="164" t="str">
        <f ca="1">IFERROR(__xludf.DUMMYFUNCTION("""COMPUTED_VALUE"""),"2023-09-001")</f>
        <v>2023-09-001</v>
      </c>
      <c r="K1281" s="164" t="str">
        <f ca="1">IFERROR(__xludf.DUMMYFUNCTION("""COMPUTED_VALUE"""),"ENGR JESSBERG M VAFLOR")</f>
        <v>ENGR JESSBERG M VAFLOR</v>
      </c>
      <c r="L1281" s="164" t="str">
        <f ca="1">IFERROR(__xludf.DUMMYFUNCTION("""COMPUTED_VALUE"""),"LTS")</f>
        <v>LTS</v>
      </c>
      <c r="M1281" s="164" t="str">
        <f ca="1">IFERROR(__xludf.DUMMYFUNCTION("""COMPUTED_VALUE"""),"SERVICEABLE")</f>
        <v>SERVICEABLE</v>
      </c>
      <c r="N1281" s="164"/>
    </row>
    <row r="1282" spans="1:14" ht="13.2">
      <c r="A1282" s="164" t="str">
        <f ca="1">IFERROR(__xludf.DUMMYFUNCTION("""COMPUTED_VALUE"""),"Region II")</f>
        <v>Region II</v>
      </c>
      <c r="B1282" s="164" t="str">
        <f ca="1">IFERROR(__xludf.DUMMYFUNCTION("""COMPUTED_VALUE"""),"QUIRINO")</f>
        <v>QUIRINO</v>
      </c>
      <c r="C1282" s="164" t="str">
        <f ca="1">IFERROR(__xludf.DUMMYFUNCTION("""COMPUTED_VALUE"""),"Desktop Computer – (Lenovo M70T)")</f>
        <v>Desktop Computer – (Lenovo M70T)</v>
      </c>
      <c r="D1282" s="164" t="str">
        <f ca="1">IFERROR(__xludf.DUMMYFUNCTION("""COMPUTED_VALUE"""),"₱ 75,468.00")</f>
        <v>₱ 75,468.00</v>
      </c>
      <c r="E1282" s="164" t="str">
        <f ca="1">IFERROR(__xludf.DUMMYFUNCTION("""COMPUTED_VALUE"""),"₱ -")</f>
        <v>₱ -</v>
      </c>
      <c r="F1282" s="164" t="str">
        <f ca="1">IFERROR(__xludf.DUMMYFUNCTION("""COMPUTED_VALUE"""),"2023-05-03-10201SP696-01")</f>
        <v>2023-05-03-10201SP696-01</v>
      </c>
      <c r="G1282" s="164" t="str">
        <f ca="1">IFERROR(__xludf.DUMMYFUNCTION("""COMPUTED_VALUE"""),"1S11T5S16200GM041AT7")</f>
        <v>1S11T5S16200GM041AT7</v>
      </c>
      <c r="H1282" s="164" t="str">
        <f ca="1">IFERROR(__xludf.DUMMYFUNCTION("""COMPUTED_VALUE"""),"ENGR JESSBERG M VAFLOR")</f>
        <v>ENGR JESSBERG M VAFLOR</v>
      </c>
      <c r="I1282" s="164" t="str">
        <f ca="1">IFERROR(__xludf.DUMMYFUNCTION("""COMPUTED_VALUE"""),"PARCELIZATION COORDINATOR")</f>
        <v>PARCELIZATION COORDINATOR</v>
      </c>
      <c r="J1282" s="164" t="str">
        <f ca="1">IFERROR(__xludf.DUMMYFUNCTION("""COMPUTED_VALUE"""),"2023-09-002")</f>
        <v>2023-09-002</v>
      </c>
      <c r="K1282" s="164" t="str">
        <f ca="1">IFERROR(__xludf.DUMMYFUNCTION("""COMPUTED_VALUE"""),"ENGR JESSBERG M VAFLOR")</f>
        <v>ENGR JESSBERG M VAFLOR</v>
      </c>
      <c r="L1282" s="164" t="str">
        <f ca="1">IFERROR(__xludf.DUMMYFUNCTION("""COMPUTED_VALUE"""),"LTS")</f>
        <v>LTS</v>
      </c>
      <c r="M1282" s="164" t="str">
        <f ca="1">IFERROR(__xludf.DUMMYFUNCTION("""COMPUTED_VALUE"""),"SERVICEABLE")</f>
        <v>SERVICEABLE</v>
      </c>
      <c r="N1282" s="164"/>
    </row>
    <row r="1283" spans="1:14" ht="13.2">
      <c r="A1283" s="164" t="str">
        <f ca="1">IFERROR(__xludf.DUMMYFUNCTION("""COMPUTED_VALUE"""),"Region II")</f>
        <v>Region II</v>
      </c>
      <c r="B1283" s="164" t="str">
        <f ca="1">IFERROR(__xludf.DUMMYFUNCTION("""COMPUTED_VALUE"""),"QUIRINO")</f>
        <v>QUIRINO</v>
      </c>
      <c r="C1283" s="164" t="str">
        <f ca="1">IFERROR(__xludf.DUMMYFUNCTION("""COMPUTED_VALUE"""),"Desktop Computer – (Lenovo M70T)")</f>
        <v>Desktop Computer – (Lenovo M70T)</v>
      </c>
      <c r="D1283" s="164" t="str">
        <f ca="1">IFERROR(__xludf.DUMMYFUNCTION("""COMPUTED_VALUE"""),"₱ 75,468.00")</f>
        <v>₱ 75,468.00</v>
      </c>
      <c r="E1283" s="164" t="str">
        <f ca="1">IFERROR(__xludf.DUMMYFUNCTION("""COMPUTED_VALUE"""),"₱ -")</f>
        <v>₱ -</v>
      </c>
      <c r="F1283" s="164" t="str">
        <f ca="1">IFERROR(__xludf.DUMMYFUNCTION("""COMPUTED_VALUE"""),"2023-05-03-10201SP720-01")</f>
        <v>2023-05-03-10201SP720-01</v>
      </c>
      <c r="G1283" s="164" t="str">
        <f ca="1">IFERROR(__xludf.DUMMYFUNCTION("""COMPUTED_VALUE"""),"0")</f>
        <v>0</v>
      </c>
      <c r="H1283" s="164" t="str">
        <f ca="1">IFERROR(__xludf.DUMMYFUNCTION("""COMPUTED_VALUE"""),"MARY ANN RHONALIE G CAGATAO")</f>
        <v>MARY ANN RHONALIE G CAGATAO</v>
      </c>
      <c r="I1283" s="164" t="str">
        <f ca="1">IFERROR(__xludf.DUMMYFUNCTION("""COMPUTED_VALUE"""),"PROJECT ACCOUNTANT")</f>
        <v>PROJECT ACCOUNTANT</v>
      </c>
      <c r="J1283" s="164" t="str">
        <f ca="1">IFERROR(__xludf.DUMMYFUNCTION("""COMPUTED_VALUE"""),"2023-09-003")</f>
        <v>2023-09-003</v>
      </c>
      <c r="K1283" s="164" t="str">
        <f ca="1">IFERROR(__xludf.DUMMYFUNCTION("""COMPUTED_VALUE"""),"MARY ANN RHONALIE G CAGATAO")</f>
        <v>MARY ANN RHONALIE G CAGATAO</v>
      </c>
      <c r="L1283" s="164" t="str">
        <f ca="1">IFERROR(__xludf.DUMMYFUNCTION("""COMPUTED_VALUE"""),"STOD")</f>
        <v>STOD</v>
      </c>
      <c r="M1283" s="164" t="str">
        <f ca="1">IFERROR(__xludf.DUMMYFUNCTION("""COMPUTED_VALUE"""),"SERVICEABLE")</f>
        <v>SERVICEABLE</v>
      </c>
      <c r="N1283" s="164"/>
    </row>
    <row r="1284" spans="1:14" ht="13.2">
      <c r="A1284" s="164" t="str">
        <f ca="1">IFERROR(__xludf.DUMMYFUNCTION("""COMPUTED_VALUE"""),"Region II")</f>
        <v>Region II</v>
      </c>
      <c r="B1284" s="164" t="str">
        <f ca="1">IFERROR(__xludf.DUMMYFUNCTION("""COMPUTED_VALUE"""),"QUIRINO")</f>
        <v>QUIRINO</v>
      </c>
      <c r="C1284" s="164" t="str">
        <f ca="1">IFERROR(__xludf.DUMMYFUNCTION("""COMPUTED_VALUE"""),"Desktop Computer – (HP Pro SFF 280G9)")</f>
        <v>Desktop Computer – (HP Pro SFF 280G9)</v>
      </c>
      <c r="D1284" s="164" t="str">
        <f ca="1">IFERROR(__xludf.DUMMYFUNCTION("""COMPUTED_VALUE"""),"₱ 78,898.00")</f>
        <v>₱ 78,898.00</v>
      </c>
      <c r="E1284" s="164" t="str">
        <f ca="1">IFERROR(__xludf.DUMMYFUNCTION("""COMPUTED_VALUE"""),"₱ -")</f>
        <v>₱ -</v>
      </c>
      <c r="F1284" s="164" t="str">
        <f ca="1">IFERROR(__xludf.DUMMYFUNCTION("""COMPUTED_VALUE"""),"2023-05-03-10201SP205-01")</f>
        <v>2023-05-03-10201SP205-01</v>
      </c>
      <c r="G1284" s="164" t="str">
        <f ca="1">IFERROR(__xludf.DUMMYFUNCTION("""COMPUTED_VALUE"""),"0")</f>
        <v>0</v>
      </c>
      <c r="H1284" s="164" t="str">
        <f ca="1">IFERROR(__xludf.DUMMYFUNCTION("""COMPUTED_VALUE"""),"MARY ANN RHONALIE G CAGATAO")</f>
        <v>MARY ANN RHONALIE G CAGATAO</v>
      </c>
      <c r="I1284" s="164" t="str">
        <f ca="1">IFERROR(__xludf.DUMMYFUNCTION("""COMPUTED_VALUE"""),"PROJCET ACCOUNTANT")</f>
        <v>PROJCET ACCOUNTANT</v>
      </c>
      <c r="J1284" s="164" t="str">
        <f ca="1">IFERROR(__xludf.DUMMYFUNCTION("""COMPUTED_VALUE"""),"2023-10-004")</f>
        <v>2023-10-004</v>
      </c>
      <c r="K1284" s="164" t="str">
        <f ca="1">IFERROR(__xludf.DUMMYFUNCTION("""COMPUTED_VALUE"""),"MARY ANN RHONALIE G CAGATAO")</f>
        <v>MARY ANN RHONALIE G CAGATAO</v>
      </c>
      <c r="L1284" s="164" t="str">
        <f ca="1">IFERROR(__xludf.DUMMYFUNCTION("""COMPUTED_VALUE"""),"STOD")</f>
        <v>STOD</v>
      </c>
      <c r="M1284" s="164" t="str">
        <f ca="1">IFERROR(__xludf.DUMMYFUNCTION("""COMPUTED_VALUE"""),"SERVICEABLE")</f>
        <v>SERVICEABLE</v>
      </c>
      <c r="N1284" s="164"/>
    </row>
    <row r="1285" spans="1:14" ht="13.2">
      <c r="A1285" s="164" t="str">
        <f ca="1">IFERROR(__xludf.DUMMYFUNCTION("""COMPUTED_VALUE"""),"Region II")</f>
        <v>Region II</v>
      </c>
      <c r="B1285" s="164" t="str">
        <f ca="1">IFERROR(__xludf.DUMMYFUNCTION("""COMPUTED_VALUE"""),"QUIRINO")</f>
        <v>QUIRINO</v>
      </c>
      <c r="C1285" s="164" t="str">
        <f ca="1">IFERROR(__xludf.DUMMYFUNCTION("""COMPUTED_VALUE"""),"Desktop Computer – (HP Pro SFF 280G9)")</f>
        <v>Desktop Computer – (HP Pro SFF 280G9)</v>
      </c>
      <c r="D1285" s="164" t="str">
        <f ca="1">IFERROR(__xludf.DUMMYFUNCTION("""COMPUTED_VALUE"""),"₱ 78,898.00")</f>
        <v>₱ 78,898.00</v>
      </c>
      <c r="E1285" s="164" t="str">
        <f ca="1">IFERROR(__xludf.DUMMYFUNCTION("""COMPUTED_VALUE"""),"₱ -")</f>
        <v>₱ -</v>
      </c>
      <c r="F1285" s="164" t="str">
        <f ca="1">IFERROR(__xludf.DUMMYFUNCTION("""COMPUTED_VALUE"""),"2023-05-03-10201SP204-01")</f>
        <v>2023-05-03-10201SP204-01</v>
      </c>
      <c r="G1285" s="164" t="str">
        <f ca="1">IFERROR(__xludf.DUMMYFUNCTION("""COMPUTED_VALUE"""),"0")</f>
        <v>0</v>
      </c>
      <c r="H1285" s="164" t="str">
        <f ca="1">IFERROR(__xludf.DUMMYFUNCTION("""COMPUTED_VALUE"""),"ENGR JESSBERG M VAFLOR")</f>
        <v>ENGR JESSBERG M VAFLOR</v>
      </c>
      <c r="I1285" s="164" t="str">
        <f ca="1">IFERROR(__xludf.DUMMYFUNCTION("""COMPUTED_VALUE"""),"PARCELIZATION COORDINATOR")</f>
        <v>PARCELIZATION COORDINATOR</v>
      </c>
      <c r="J1285" s="164" t="str">
        <f ca="1">IFERROR(__xludf.DUMMYFUNCTION("""COMPUTED_VALUE"""),"2023-10-005")</f>
        <v>2023-10-005</v>
      </c>
      <c r="K1285" s="164" t="str">
        <f ca="1">IFERROR(__xludf.DUMMYFUNCTION("""COMPUTED_VALUE"""),"ENGR JESSBERG M VAFLOR")</f>
        <v>ENGR JESSBERG M VAFLOR</v>
      </c>
      <c r="L1285" s="164" t="str">
        <f ca="1">IFERROR(__xludf.DUMMYFUNCTION("""COMPUTED_VALUE"""),"LTS")</f>
        <v>LTS</v>
      </c>
      <c r="M1285" s="164" t="str">
        <f ca="1">IFERROR(__xludf.DUMMYFUNCTION("""COMPUTED_VALUE"""),"SERVICEABLE")</f>
        <v>SERVICEABLE</v>
      </c>
      <c r="N1285" s="164"/>
    </row>
    <row r="1286" spans="1:14" ht="13.2">
      <c r="A1286" s="164" t="str">
        <f ca="1">IFERROR(__xludf.DUMMYFUNCTION("""COMPUTED_VALUE"""),"Region II")</f>
        <v>Region II</v>
      </c>
      <c r="B1286" s="164" t="str">
        <f ca="1">IFERROR(__xludf.DUMMYFUNCTION("""COMPUTED_VALUE"""),"QUIRINO")</f>
        <v>QUIRINO</v>
      </c>
      <c r="C1286" s="164" t="str">
        <f ca="1">IFERROR(__xludf.DUMMYFUNCTION("""COMPUTED_VALUE"""),"Desktop Computer – (HP Pro SFF 280G9)")</f>
        <v>Desktop Computer – (HP Pro SFF 280G9)</v>
      </c>
      <c r="D1286" s="164" t="str">
        <f ca="1">IFERROR(__xludf.DUMMYFUNCTION("""COMPUTED_VALUE"""),"₱ 78,898.00")</f>
        <v>₱ 78,898.00</v>
      </c>
      <c r="E1286" s="164" t="str">
        <f ca="1">IFERROR(__xludf.DUMMYFUNCTION("""COMPUTED_VALUE"""),"₱ -")</f>
        <v>₱ -</v>
      </c>
      <c r="F1286" s="164" t="str">
        <f ca="1">IFERROR(__xludf.DUMMYFUNCTION("""COMPUTED_VALUE"""),"2023-05-03-10201SP198-01")</f>
        <v>2023-05-03-10201SP198-01</v>
      </c>
      <c r="G1286" s="164" t="str">
        <f ca="1">IFERROR(__xludf.DUMMYFUNCTION("""COMPUTED_VALUE"""),"0")</f>
        <v>0</v>
      </c>
      <c r="H1286" s="164" t="str">
        <f ca="1">IFERROR(__xludf.DUMMYFUNCTION("""COMPUTED_VALUE"""),"ARVIN JAY G. QUIDASOL")</f>
        <v>ARVIN JAY G. QUIDASOL</v>
      </c>
      <c r="I1286" s="164" t="str">
        <f ca="1">IFERROR(__xludf.DUMMYFUNCTION("""COMPUTED_VALUE"""),"Media Staff")</f>
        <v>Media Staff</v>
      </c>
      <c r="J1286" s="164" t="str">
        <f ca="1">IFERROR(__xludf.DUMMYFUNCTION("""COMPUTED_VALUE"""),"2023-10-007")</f>
        <v>2023-10-007</v>
      </c>
      <c r="K1286" s="164" t="str">
        <f ca="1">IFERROR(__xludf.DUMMYFUNCTION("""COMPUTED_VALUE"""),"ARVIN JAY G. QUIDASOL")</f>
        <v>ARVIN JAY G. QUIDASOL</v>
      </c>
      <c r="L1286" s="164" t="str">
        <f ca="1">IFERROR(__xludf.DUMMYFUNCTION("""COMPUTED_VALUE"""),"SPLIT")</f>
        <v>SPLIT</v>
      </c>
      <c r="M1286" s="164" t="str">
        <f ca="1">IFERROR(__xludf.DUMMYFUNCTION("""COMPUTED_VALUE"""),"SERVICEABLE")</f>
        <v>SERVICEABLE</v>
      </c>
      <c r="N1286" s="164"/>
    </row>
    <row r="1287" spans="1:14" ht="13.2">
      <c r="A1287" s="164" t="str">
        <f ca="1">IFERROR(__xludf.DUMMYFUNCTION("""COMPUTED_VALUE"""),"Region II")</f>
        <v>Region II</v>
      </c>
      <c r="B1287" s="164" t="str">
        <f ca="1">IFERROR(__xludf.DUMMYFUNCTION("""COMPUTED_VALUE"""),"QUIRINO")</f>
        <v>QUIRINO</v>
      </c>
      <c r="C1287" s="164" t="str">
        <f ca="1">IFERROR(__xludf.DUMMYFUNCTION("""COMPUTED_VALUE"""),"Desktop Computer – (HP Pro SFF 280G9)")</f>
        <v>Desktop Computer – (HP Pro SFF 280G9)</v>
      </c>
      <c r="D1287" s="164" t="str">
        <f ca="1">IFERROR(__xludf.DUMMYFUNCTION("""COMPUTED_VALUE"""),"₱ 78,898.00")</f>
        <v>₱ 78,898.00</v>
      </c>
      <c r="E1287" s="164" t="str">
        <f ca="1">IFERROR(__xludf.DUMMYFUNCTION("""COMPUTED_VALUE"""),"₱ -")</f>
        <v>₱ -</v>
      </c>
      <c r="F1287" s="164" t="str">
        <f ca="1">IFERROR(__xludf.DUMMYFUNCTION("""COMPUTED_VALUE"""),"2023-05-03-10201SP201-01")</f>
        <v>2023-05-03-10201SP201-01</v>
      </c>
      <c r="G1287" s="164" t="str">
        <f ca="1">IFERROR(__xludf.DUMMYFUNCTION("""COMPUTED_VALUE"""),"0")</f>
        <v>0</v>
      </c>
      <c r="H1287" s="164" t="str">
        <f ca="1">IFERROR(__xludf.DUMMYFUNCTION("""COMPUTED_VALUE"""),"ALLAYSA HOPE R. LAURETA")</f>
        <v>ALLAYSA HOPE R. LAURETA</v>
      </c>
      <c r="I1287" s="164" t="str">
        <f ca="1">IFERROR(__xludf.DUMMYFUNCTION("""COMPUTED_VALUE"""),"Parcelization Support Staff")</f>
        <v>Parcelization Support Staff</v>
      </c>
      <c r="J1287" s="164" t="str">
        <f ca="1">IFERROR(__xludf.DUMMYFUNCTION("""COMPUTED_VALUE"""),"2023-10-009")</f>
        <v>2023-10-009</v>
      </c>
      <c r="K1287" s="164" t="str">
        <f ca="1">IFERROR(__xludf.DUMMYFUNCTION("""COMPUTED_VALUE"""),"ALLAYSA HOPE R. LAURETA")</f>
        <v>ALLAYSA HOPE R. LAURETA</v>
      </c>
      <c r="L1287" s="164" t="str">
        <f ca="1">IFERROR(__xludf.DUMMYFUNCTION("""COMPUTED_VALUE"""),"SPLIT")</f>
        <v>SPLIT</v>
      </c>
      <c r="M1287" s="164" t="str">
        <f ca="1">IFERROR(__xludf.DUMMYFUNCTION("""COMPUTED_VALUE"""),"SERVICEABLE")</f>
        <v>SERVICEABLE</v>
      </c>
      <c r="N1287" s="164"/>
    </row>
    <row r="1288" spans="1:14" ht="13.2">
      <c r="A1288" s="164" t="str">
        <f ca="1">IFERROR(__xludf.DUMMYFUNCTION("""COMPUTED_VALUE"""),"Region II")</f>
        <v>Region II</v>
      </c>
      <c r="B1288" s="164" t="str">
        <f ca="1">IFERROR(__xludf.DUMMYFUNCTION("""COMPUTED_VALUE"""),"QUIRINO")</f>
        <v>QUIRINO</v>
      </c>
      <c r="C1288" s="164" t="str">
        <f ca="1">IFERROR(__xludf.DUMMYFUNCTION("""COMPUTED_VALUE"""),"Desktop Computer – (HP Pro SFF 280G9)")</f>
        <v>Desktop Computer – (HP Pro SFF 280G9)</v>
      </c>
      <c r="D1288" s="164" t="str">
        <f ca="1">IFERROR(__xludf.DUMMYFUNCTION("""COMPUTED_VALUE"""),"₱ 78,898.00")</f>
        <v>₱ 78,898.00</v>
      </c>
      <c r="E1288" s="164" t="str">
        <f ca="1">IFERROR(__xludf.DUMMYFUNCTION("""COMPUTED_VALUE"""),"₱ -")</f>
        <v>₱ -</v>
      </c>
      <c r="F1288" s="164" t="str">
        <f ca="1">IFERROR(__xludf.DUMMYFUNCTION("""COMPUTED_VALUE"""),"2023-05-03-10201SP199-01")</f>
        <v>2023-05-03-10201SP199-01</v>
      </c>
      <c r="G1288" s="164" t="str">
        <f ca="1">IFERROR(__xludf.DUMMYFUNCTION("""COMPUTED_VALUE"""),"0")</f>
        <v>0</v>
      </c>
      <c r="H1288" s="164" t="str">
        <f ca="1">IFERROR(__xludf.DUMMYFUNCTION("""COMPUTED_VALUE"""),"FARAHLEEN PEARL S. PALAC")</f>
        <v>FARAHLEEN PEARL S. PALAC</v>
      </c>
      <c r="I1288" s="164" t="str">
        <f ca="1">IFERROR(__xludf.DUMMYFUNCTION("""COMPUTED_VALUE"""),"ESS Support Staff")</f>
        <v>ESS Support Staff</v>
      </c>
      <c r="J1288" s="164" t="str">
        <f ca="1">IFERROR(__xludf.DUMMYFUNCTION("""COMPUTED_VALUE"""),"2023-10-008")</f>
        <v>2023-10-008</v>
      </c>
      <c r="K1288" s="164" t="str">
        <f ca="1">IFERROR(__xludf.DUMMYFUNCTION("""COMPUTED_VALUE"""),"FARAHLEEN PEARL S. PALAC")</f>
        <v>FARAHLEEN PEARL S. PALAC</v>
      </c>
      <c r="L1288" s="164" t="str">
        <f ca="1">IFERROR(__xludf.DUMMYFUNCTION("""COMPUTED_VALUE"""),"SPLIT")</f>
        <v>SPLIT</v>
      </c>
      <c r="M1288" s="164" t="str">
        <f ca="1">IFERROR(__xludf.DUMMYFUNCTION("""COMPUTED_VALUE"""),"SERVICEABLE")</f>
        <v>SERVICEABLE</v>
      </c>
      <c r="N1288" s="164"/>
    </row>
    <row r="1289" spans="1:14" ht="13.2">
      <c r="A1289" s="164" t="str">
        <f ca="1">IFERROR(__xludf.DUMMYFUNCTION("""COMPUTED_VALUE"""),"Region II")</f>
        <v>Region II</v>
      </c>
      <c r="B1289" s="164" t="str">
        <f ca="1">IFERROR(__xludf.DUMMYFUNCTION("""COMPUTED_VALUE"""),"QUIRINO")</f>
        <v>QUIRINO</v>
      </c>
      <c r="C1289" s="164" t="str">
        <f ca="1">IFERROR(__xludf.DUMMYFUNCTION("""COMPUTED_VALUE"""),"Laptop – (ACER EXTENSA EX215-55G i7)")</f>
        <v>Laptop – (ACER EXTENSA EX215-55G i7)</v>
      </c>
      <c r="D1289" s="164" t="str">
        <f ca="1">IFERROR(__xludf.DUMMYFUNCTION("""COMPUTED_VALUE"""),"₱ 59,500.00")</f>
        <v>₱ 59,500.00</v>
      </c>
      <c r="E1289" s="164" t="str">
        <f ca="1">IFERROR(__xludf.DUMMYFUNCTION("""COMPUTED_VALUE"""),"₱ -")</f>
        <v>₱ -</v>
      </c>
      <c r="F1289" s="164" t="str">
        <f ca="1">IFERROR(__xludf.DUMMYFUNCTION("""COMPUTED_VALUE"""),"2023-05-03-10201SP279-01")</f>
        <v>2023-05-03-10201SP279-01</v>
      </c>
      <c r="G1289" s="164" t="str">
        <f ca="1">IFERROR(__xludf.DUMMYFUNCTION("""COMPUTED_VALUE"""),"0")</f>
        <v>0</v>
      </c>
      <c r="H1289" s="164" t="str">
        <f ca="1">IFERROR(__xludf.DUMMYFUNCTION("""COMPUTED_VALUE"""),"BRIGIDA M. DAPON")</f>
        <v>BRIGIDA M. DAPON</v>
      </c>
      <c r="I1289" s="164" t="str">
        <f ca="1">IFERROR(__xludf.DUMMYFUNCTION("""COMPUTED_VALUE"""),"Project Budget Officer")</f>
        <v>Project Budget Officer</v>
      </c>
      <c r="J1289" s="164" t="str">
        <f ca="1">IFERROR(__xludf.DUMMYFUNCTION("""COMPUTED_VALUE"""),"2023-10-001")</f>
        <v>2023-10-001</v>
      </c>
      <c r="K1289" s="164" t="str">
        <f ca="1">IFERROR(__xludf.DUMMYFUNCTION("""COMPUTED_VALUE"""),"BRIGIDA M. DAPON")</f>
        <v>BRIGIDA M. DAPON</v>
      </c>
      <c r="L1289" s="164" t="str">
        <f ca="1">IFERROR(__xludf.DUMMYFUNCTION("""COMPUTED_VALUE"""),"STOD")</f>
        <v>STOD</v>
      </c>
      <c r="M1289" s="164" t="str">
        <f ca="1">IFERROR(__xludf.DUMMYFUNCTION("""COMPUTED_VALUE"""),"SERVICEABLE")</f>
        <v>SERVICEABLE</v>
      </c>
      <c r="N1289" s="164"/>
    </row>
    <row r="1290" spans="1:14" ht="13.2">
      <c r="A1290" s="164" t="str">
        <f ca="1">IFERROR(__xludf.DUMMYFUNCTION("""COMPUTED_VALUE"""),"Region II")</f>
        <v>Region II</v>
      </c>
      <c r="B1290" s="164" t="str">
        <f ca="1">IFERROR(__xludf.DUMMYFUNCTION("""COMPUTED_VALUE"""),"QUIRINO")</f>
        <v>QUIRINO</v>
      </c>
      <c r="C1290" s="164" t="str">
        <f ca="1">IFERROR(__xludf.DUMMYFUNCTION("""COMPUTED_VALUE"""),"Laptop – (ACER EXTENSA EX215-55G i7)")</f>
        <v>Laptop – (ACER EXTENSA EX215-55G i7)</v>
      </c>
      <c r="D1290" s="164" t="str">
        <f ca="1">IFERROR(__xludf.DUMMYFUNCTION("""COMPUTED_VALUE"""),"₱ 59,500.00")</f>
        <v>₱ 59,500.00</v>
      </c>
      <c r="E1290" s="164" t="str">
        <f ca="1">IFERROR(__xludf.DUMMYFUNCTION("""COMPUTED_VALUE"""),"₱ -")</f>
        <v>₱ -</v>
      </c>
      <c r="F1290" s="164" t="str">
        <f ca="1">IFERROR(__xludf.DUMMYFUNCTION("""COMPUTED_VALUE"""),"2023-05-03-10201SP275-01")</f>
        <v>2023-05-03-10201SP275-01</v>
      </c>
      <c r="G1290" s="164" t="str">
        <f ca="1">IFERROR(__xludf.DUMMYFUNCTION("""COMPUTED_VALUE"""),"0")</f>
        <v>0</v>
      </c>
      <c r="H1290" s="164" t="str">
        <f ca="1">IFERROR(__xludf.DUMMYFUNCTION("""COMPUTED_VALUE"""),"RICHARD F. SORIBEN")</f>
        <v>RICHARD F. SORIBEN</v>
      </c>
      <c r="I1290" s="164" t="str">
        <f ca="1">IFERROR(__xludf.DUMMYFUNCTION("""COMPUTED_VALUE"""),"Procurement Officer")</f>
        <v>Procurement Officer</v>
      </c>
      <c r="J1290" s="164" t="str">
        <f ca="1">IFERROR(__xludf.DUMMYFUNCTION("""COMPUTED_VALUE"""),"2023-10-002")</f>
        <v>2023-10-002</v>
      </c>
      <c r="K1290" s="164" t="str">
        <f ca="1">IFERROR(__xludf.DUMMYFUNCTION("""COMPUTED_VALUE"""),"RICHARD F. SORIBEN")</f>
        <v>RICHARD F. SORIBEN</v>
      </c>
      <c r="L1290" s="164" t="str">
        <f ca="1">IFERROR(__xludf.DUMMYFUNCTION("""COMPUTED_VALUE"""),"GSS")</f>
        <v>GSS</v>
      </c>
      <c r="M1290" s="164" t="str">
        <f ca="1">IFERROR(__xludf.DUMMYFUNCTION("""COMPUTED_VALUE"""),"SERVICEABLE")</f>
        <v>SERVICEABLE</v>
      </c>
      <c r="N1290" s="164"/>
    </row>
    <row r="1291" spans="1:14" ht="13.2">
      <c r="A1291" s="164" t="str">
        <f ca="1">IFERROR(__xludf.DUMMYFUNCTION("""COMPUTED_VALUE"""),"Region II")</f>
        <v>Region II</v>
      </c>
      <c r="B1291" s="164" t="str">
        <f ca="1">IFERROR(__xludf.DUMMYFUNCTION("""COMPUTED_VALUE"""),"QUIRINO")</f>
        <v>QUIRINO</v>
      </c>
      <c r="C1291" s="164" t="str">
        <f ca="1">IFERROR(__xludf.DUMMYFUNCTION("""COMPUTED_VALUE"""),"Laptop – (ACER EXTENSA EX215-55G i7)")</f>
        <v>Laptop – (ACER EXTENSA EX215-55G i7)</v>
      </c>
      <c r="D1291" s="164" t="str">
        <f ca="1">IFERROR(__xludf.DUMMYFUNCTION("""COMPUTED_VALUE"""),"₱ 59,500.00")</f>
        <v>₱ 59,500.00</v>
      </c>
      <c r="E1291" s="164" t="str">
        <f ca="1">IFERROR(__xludf.DUMMYFUNCTION("""COMPUTED_VALUE"""),"₱ -")</f>
        <v>₱ -</v>
      </c>
      <c r="F1291" s="164" t="str">
        <f ca="1">IFERROR(__xludf.DUMMYFUNCTION("""COMPUTED_VALUE"""),"2023-05-03-10201SP276-01")</f>
        <v>2023-05-03-10201SP276-01</v>
      </c>
      <c r="G1291" s="164" t="str">
        <f ca="1">IFERROR(__xludf.DUMMYFUNCTION("""COMPUTED_VALUE"""),"0")</f>
        <v>0</v>
      </c>
      <c r="H1291" s="164" t="str">
        <f ca="1">IFERROR(__xludf.DUMMYFUNCTION("""COMPUTED_VALUE"""),"KATRINA JANE M. DIVINA")</f>
        <v>KATRINA JANE M. DIVINA</v>
      </c>
      <c r="I1291" s="164" t="str">
        <f ca="1">IFERROR(__xludf.DUMMYFUNCTION("""COMPUTED_VALUE"""),"M&amp;E Support Staff")</f>
        <v>M&amp;E Support Staff</v>
      </c>
      <c r="J1291" s="164" t="str">
        <f ca="1">IFERROR(__xludf.DUMMYFUNCTION("""COMPUTED_VALUE"""),"2023-10-003")</f>
        <v>2023-10-003</v>
      </c>
      <c r="K1291" s="164" t="str">
        <f ca="1">IFERROR(__xludf.DUMMYFUNCTION("""COMPUTED_VALUE"""),"KATRINA JANE NAVARRO")</f>
        <v>KATRINA JANE NAVARRO</v>
      </c>
      <c r="L1291" s="164" t="str">
        <f ca="1">IFERROR(__xludf.DUMMYFUNCTION("""COMPUTED_VALUE"""),"SPLIT")</f>
        <v>SPLIT</v>
      </c>
      <c r="M1291" s="164" t="str">
        <f ca="1">IFERROR(__xludf.DUMMYFUNCTION("""COMPUTED_VALUE"""),"SERVICEABLE")</f>
        <v>SERVICEABLE</v>
      </c>
      <c r="N1291" s="164"/>
    </row>
    <row r="1292" spans="1:14" ht="13.2">
      <c r="A1292" s="164" t="str">
        <f ca="1">IFERROR(__xludf.DUMMYFUNCTION("""COMPUTED_VALUE"""),"Region II")</f>
        <v>Region II</v>
      </c>
      <c r="B1292" s="164" t="str">
        <f ca="1">IFERROR(__xludf.DUMMYFUNCTION("""COMPUTED_VALUE"""),"QUIRINO")</f>
        <v>QUIRINO</v>
      </c>
      <c r="C1292" s="164" t="str">
        <f ca="1">IFERROR(__xludf.DUMMYFUNCTION("""COMPUTED_VALUE"""),"Laptop – (ACER EXTENSA EX215-55G i7)")</f>
        <v>Laptop – (ACER EXTENSA EX215-55G i7)</v>
      </c>
      <c r="D1292" s="164" t="str">
        <f ca="1">IFERROR(__xludf.DUMMYFUNCTION("""COMPUTED_VALUE"""),"₱ 59,500.00")</f>
        <v>₱ 59,500.00</v>
      </c>
      <c r="E1292" s="164" t="str">
        <f ca="1">IFERROR(__xludf.DUMMYFUNCTION("""COMPUTED_VALUE"""),"₱ -")</f>
        <v>₱ -</v>
      </c>
      <c r="F1292" s="164" t="str">
        <f ca="1">IFERROR(__xludf.DUMMYFUNCTION("""COMPUTED_VALUE"""),"2023-05-03-10201SP19-01")</f>
        <v>2023-05-03-10201SP19-01</v>
      </c>
      <c r="G1292" s="164" t="str">
        <f ca="1">IFERROR(__xludf.DUMMYFUNCTION("""COMPUTED_VALUE"""),"0")</f>
        <v>0</v>
      </c>
      <c r="H1292" s="164" t="str">
        <f ca="1">IFERROR(__xludf.DUMMYFUNCTION("""COMPUTED_VALUE"""),"EVANGELINE URATA")</f>
        <v>EVANGELINE URATA</v>
      </c>
      <c r="I1292" s="164" t="str">
        <f ca="1">IFERROR(__xludf.DUMMYFUNCTION("""COMPUTED_VALUE"""),"PIO")</f>
        <v>PIO</v>
      </c>
      <c r="J1292" s="164" t="str">
        <f ca="1">IFERROR(__xludf.DUMMYFUNCTION("""COMPUTED_VALUE"""),"2023-06-005L")</f>
        <v>2023-06-005L</v>
      </c>
      <c r="K1292" s="164" t="str">
        <f ca="1">IFERROR(__xludf.DUMMYFUNCTION("""COMPUTED_VALUE"""),"EVANGELINE URATA")</f>
        <v>EVANGELINE URATA</v>
      </c>
      <c r="L1292" s="164" t="str">
        <f ca="1">IFERROR(__xludf.DUMMYFUNCTION("""COMPUTED_VALUE"""),"LEGAL")</f>
        <v>LEGAL</v>
      </c>
      <c r="M1292" s="164" t="str">
        <f ca="1">IFERROR(__xludf.DUMMYFUNCTION("""COMPUTED_VALUE"""),"SERVICEABLE")</f>
        <v>SERVICEABLE</v>
      </c>
      <c r="N1292" s="164"/>
    </row>
    <row r="1293" spans="1:14" ht="13.2">
      <c r="A1293" s="164" t="str">
        <f ca="1">IFERROR(__xludf.DUMMYFUNCTION("""COMPUTED_VALUE"""),"Region II")</f>
        <v>Region II</v>
      </c>
      <c r="B1293" s="164" t="str">
        <f ca="1">IFERROR(__xludf.DUMMYFUNCTION("""COMPUTED_VALUE"""),"QUIRINO")</f>
        <v>QUIRINO</v>
      </c>
      <c r="C1293" s="164" t="str">
        <f ca="1">IFERROR(__xludf.DUMMYFUNCTION("""COMPUTED_VALUE"""),"HANDHELD GPS – MODEL P6")</f>
        <v>HANDHELD GPS – MODEL P6</v>
      </c>
      <c r="D1293" s="164" t="str">
        <f ca="1">IFERROR(__xludf.DUMMYFUNCTION("""COMPUTED_VALUE"""),"₱ 79,000.00")</f>
        <v>₱ 79,000.00</v>
      </c>
      <c r="E1293" s="164" t="str">
        <f ca="1">IFERROR(__xludf.DUMMYFUNCTION("""COMPUTED_VALUE"""),"₱ -")</f>
        <v>₱ -</v>
      </c>
      <c r="F1293" s="164" t="str">
        <f ca="1">IFERROR(__xludf.DUMMYFUNCTION("""COMPUTED_VALUE"""),"2023-05-14-10202SP34-01")</f>
        <v>2023-05-14-10202SP34-01</v>
      </c>
      <c r="G1293" s="164" t="str">
        <f ca="1">IFERROR(__xludf.DUMMYFUNCTION("""COMPUTED_VALUE"""),"0")</f>
        <v>0</v>
      </c>
      <c r="H1293" s="164" t="str">
        <f ca="1">IFERROR(__xludf.DUMMYFUNCTION("""COMPUTED_VALUE"""),"ENGR JESSBERG M VAFLOR")</f>
        <v>ENGR JESSBERG M VAFLOR</v>
      </c>
      <c r="I1293" s="164" t="str">
        <f ca="1">IFERROR(__xludf.DUMMYFUNCTION("""COMPUTED_VALUE"""),"PARCELIZATION COORDINATOR")</f>
        <v>PARCELIZATION COORDINATOR</v>
      </c>
      <c r="J1293" s="164" t="str">
        <f ca="1">IFERROR(__xludf.DUMMYFUNCTION("""COMPUTED_VALUE"""),"2023-03-004")</f>
        <v>2023-03-004</v>
      </c>
      <c r="K1293" s="164" t="str">
        <f ca="1">IFERROR(__xludf.DUMMYFUNCTION("""COMPUTED_VALUE"""),"ENGR. ROLLY J. MARAMAG")</f>
        <v>ENGR. ROLLY J. MARAMAG</v>
      </c>
      <c r="L1293" s="164" t="str">
        <f ca="1">IFERROR(__xludf.DUMMYFUNCTION("""COMPUTED_VALUE"""),"DENR/LRA-ROD Survey Coordinator")</f>
        <v>DENR/LRA-ROD Survey Coordinator</v>
      </c>
      <c r="M1293" s="164" t="str">
        <f ca="1">IFERROR(__xludf.DUMMYFUNCTION("""COMPUTED_VALUE"""),"SERVICEABLE")</f>
        <v>SERVICEABLE</v>
      </c>
      <c r="N1293" s="164"/>
    </row>
    <row r="1294" spans="1:14" ht="13.2">
      <c r="A1294" s="164" t="str">
        <f ca="1">IFERROR(__xludf.DUMMYFUNCTION("""COMPUTED_VALUE"""),"Region II")</f>
        <v>Region II</v>
      </c>
      <c r="B1294" s="164" t="str">
        <f ca="1">IFERROR(__xludf.DUMMYFUNCTION("""COMPUTED_VALUE"""),"QUIRINO")</f>
        <v>QUIRINO</v>
      </c>
      <c r="C1294" s="164" t="str">
        <f ca="1">IFERROR(__xludf.DUMMYFUNCTION("""COMPUTED_VALUE"""),"TOTAL STATION – GEOMAX TOTAL STATION ZOOM 50")</f>
        <v>TOTAL STATION – GEOMAX TOTAL STATION ZOOM 50</v>
      </c>
      <c r="D1294" s="164" t="str">
        <f ca="1">IFERROR(__xludf.DUMMYFUNCTION("""COMPUTED_VALUE"""),"₱ 648,000.00")</f>
        <v>₱ 648,000.00</v>
      </c>
      <c r="E1294" s="164" t="str">
        <f ca="1">IFERROR(__xludf.DUMMYFUNCTION("""COMPUTED_VALUE"""),"₱ -")</f>
        <v>₱ -</v>
      </c>
      <c r="F1294" s="164" t="str">
        <f ca="1">IFERROR(__xludf.DUMMYFUNCTION("""COMPUTED_VALUE"""),"2023-05-14-10202SP27-01")</f>
        <v>2023-05-14-10202SP27-01</v>
      </c>
      <c r="G1294" s="164" t="str">
        <f ca="1">IFERROR(__xludf.DUMMYFUNCTION("""COMPUTED_VALUE"""),"0")</f>
        <v>0</v>
      </c>
      <c r="H1294" s="164" t="str">
        <f ca="1">IFERROR(__xludf.DUMMYFUNCTION("""COMPUTED_VALUE"""),"ENGR. ROLLY J. MARAMAG")</f>
        <v>ENGR. ROLLY J. MARAMAG</v>
      </c>
      <c r="I1294" s="164" t="str">
        <f ca="1">IFERROR(__xludf.DUMMYFUNCTION("""COMPUTED_VALUE"""),"DENR/LRA-ROD Survey Coordinator")</f>
        <v>DENR/LRA-ROD Survey Coordinator</v>
      </c>
      <c r="J1294" s="164" t="str">
        <f ca="1">IFERROR(__xludf.DUMMYFUNCTION("""COMPUTED_VALUE"""),"2023-03-004")</f>
        <v>2023-03-004</v>
      </c>
      <c r="K1294" s="164" t="str">
        <f ca="1">IFERROR(__xludf.DUMMYFUNCTION("""COMPUTED_VALUE"""),"ENGR. ROLLY J. MARAMAG")</f>
        <v>ENGR. ROLLY J. MARAMAG</v>
      </c>
      <c r="L1294" s="164" t="str">
        <f ca="1">IFERROR(__xludf.DUMMYFUNCTION("""COMPUTED_VALUE"""),"LTID")</f>
        <v>LTID</v>
      </c>
      <c r="M1294" s="164" t="str">
        <f ca="1">IFERROR(__xludf.DUMMYFUNCTION("""COMPUTED_VALUE"""),"SERVICEABLE")</f>
        <v>SERVICEABLE</v>
      </c>
      <c r="N1294" s="164"/>
    </row>
    <row r="1295" spans="1:14" ht="13.2">
      <c r="A1295" s="164" t="str">
        <f ca="1">IFERROR(__xludf.DUMMYFUNCTION("""COMPUTED_VALUE"""),"Region II")</f>
        <v>Region II</v>
      </c>
      <c r="B1295" s="164" t="str">
        <f ca="1">IFERROR(__xludf.DUMMYFUNCTION("""COMPUTED_VALUE"""),"QUIRINO")</f>
        <v>QUIRINO</v>
      </c>
      <c r="C1295" s="164" t="str">
        <f ca="1">IFERROR(__xludf.DUMMYFUNCTION("""COMPUTED_VALUE"""),"REAL-TIME KINEMATIC – GEOMAX ZENITH60")</f>
        <v>REAL-TIME KINEMATIC – GEOMAX ZENITH60</v>
      </c>
      <c r="D1295" s="164" t="str">
        <f ca="1">IFERROR(__xludf.DUMMYFUNCTION("""COMPUTED_VALUE"""),"₱ 1,849,000.00")</f>
        <v>₱ 1,849,000.00</v>
      </c>
      <c r="E1295" s="164" t="str">
        <f ca="1">IFERROR(__xludf.DUMMYFUNCTION("""COMPUTED_VALUE"""),"₱ -")</f>
        <v>₱ -</v>
      </c>
      <c r="F1295" s="164" t="str">
        <f ca="1">IFERROR(__xludf.DUMMYFUNCTION("""COMPUTED_VALUE"""),"2023-05-14-10202SP27-01")</f>
        <v>2023-05-14-10202SP27-01</v>
      </c>
      <c r="G1295" s="164" t="str">
        <f ca="1">IFERROR(__xludf.DUMMYFUNCTION("""COMPUTED_VALUE"""),"0")</f>
        <v>0</v>
      </c>
      <c r="H1295" s="164" t="str">
        <f ca="1">IFERROR(__xludf.DUMMYFUNCTION("""COMPUTED_VALUE"""),"ENGR. ROLLY J. MARAMAG")</f>
        <v>ENGR. ROLLY J. MARAMAG</v>
      </c>
      <c r="I1295" s="164" t="str">
        <f ca="1">IFERROR(__xludf.DUMMYFUNCTION("""COMPUTED_VALUE"""),"DENR/LRA-ROD Survey Coordinator")</f>
        <v>DENR/LRA-ROD Survey Coordinator</v>
      </c>
      <c r="J1295" s="164" t="str">
        <f ca="1">IFERROR(__xludf.DUMMYFUNCTION("""COMPUTED_VALUE"""),"2023-03-004")</f>
        <v>2023-03-004</v>
      </c>
      <c r="K1295" s="164" t="str">
        <f ca="1">IFERROR(__xludf.DUMMYFUNCTION("""COMPUTED_VALUE"""),"ENGR. ROLLY J. MARAMAG")</f>
        <v>ENGR. ROLLY J. MARAMAG</v>
      </c>
      <c r="L1295" s="164" t="str">
        <f ca="1">IFERROR(__xludf.DUMMYFUNCTION("""COMPUTED_VALUE"""),"LTID")</f>
        <v>LTID</v>
      </c>
      <c r="M1295" s="164" t="str">
        <f ca="1">IFERROR(__xludf.DUMMYFUNCTION("""COMPUTED_VALUE"""),"SERVICEABLE")</f>
        <v>SERVICEABLE</v>
      </c>
      <c r="N1295" s="164"/>
    </row>
    <row r="1296" spans="1:14" ht="13.2">
      <c r="A1296" s="164" t="str">
        <f ca="1">IFERROR(__xludf.DUMMYFUNCTION("""COMPUTED_VALUE"""),"Region II")</f>
        <v>Region II</v>
      </c>
      <c r="B1296" s="164" t="str">
        <f ca="1">IFERROR(__xludf.DUMMYFUNCTION("""COMPUTED_VALUE"""),"QUIRINO")</f>
        <v>QUIRINO</v>
      </c>
      <c r="C1296" s="164" t="str">
        <f ca="1">IFERROR(__xludf.DUMMYFUNCTION("""COMPUTED_VALUE"""),"Photocopier Machine – Kyocera")</f>
        <v>Photocopier Machine – Kyocera</v>
      </c>
      <c r="D1296" s="164" t="str">
        <f ca="1">IFERROR(__xludf.DUMMYFUNCTION("""COMPUTED_VALUE"""),"₱ 84,500.00")</f>
        <v>₱ 84,500.00</v>
      </c>
      <c r="E1296" s="164" t="str">
        <f ca="1">IFERROR(__xludf.DUMMYFUNCTION("""COMPUTED_VALUE"""),"₱ -")</f>
        <v>₱ -</v>
      </c>
      <c r="F1296" s="164" t="str">
        <f ca="1">IFERROR(__xludf.DUMMYFUNCTION("""COMPUTED_VALUE"""),"2023-05-14-10202SP17-01")</f>
        <v>2023-05-14-10202SP17-01</v>
      </c>
      <c r="G1296" s="164" t="str">
        <f ca="1">IFERROR(__xludf.DUMMYFUNCTION("""COMPUTED_VALUE"""),"RNK1200136")</f>
        <v>RNK1200136</v>
      </c>
      <c r="H1296" s="164" t="str">
        <f ca="1">IFERROR(__xludf.DUMMYFUNCTION("""COMPUTED_VALUE"""),"JULIUS C. GARINGAN")</f>
        <v>JULIUS C. GARINGAN</v>
      </c>
      <c r="I1296" s="164" t="str">
        <f ca="1">IFERROR(__xludf.DUMMYFUNCTION("""COMPUTED_VALUE"""),"Technical Staff 2 - Admin and Finance Officer")</f>
        <v>Technical Staff 2 - Admin and Finance Officer</v>
      </c>
      <c r="J1296" s="164" t="str">
        <f ca="1">IFERROR(__xludf.DUMMYFUNCTION("""COMPUTED_VALUE"""),"2023-03-001")</f>
        <v>2023-03-001</v>
      </c>
      <c r="K1296" s="164" t="str">
        <f ca="1">IFERROR(__xludf.DUMMYFUNCTION("""COMPUTED_VALUE"""),"JULIUS C. GARINGAN")</f>
        <v>JULIUS C. GARINGAN</v>
      </c>
      <c r="L1296" s="164" t="str">
        <f ca="1">IFERROR(__xludf.DUMMYFUNCTION("""COMPUTED_VALUE"""),"GSS")</f>
        <v>GSS</v>
      </c>
      <c r="M1296" s="164" t="str">
        <f ca="1">IFERROR(__xludf.DUMMYFUNCTION("""COMPUTED_VALUE"""),"UNSERVISABLE")</f>
        <v>UNSERVISABLE</v>
      </c>
      <c r="N1296" s="164"/>
    </row>
    <row r="1297" spans="1:14" ht="13.2">
      <c r="A1297" s="164" t="str">
        <f ca="1">IFERROR(__xludf.DUMMYFUNCTION("""COMPUTED_VALUE"""),"Region II")</f>
        <v>Region II</v>
      </c>
      <c r="B1297" s="164" t="str">
        <f ca="1">IFERROR(__xludf.DUMMYFUNCTION("""COMPUTED_VALUE"""),"QUIRINO")</f>
        <v>QUIRINO</v>
      </c>
      <c r="C1297" s="164" t="str">
        <f ca="1">IFERROR(__xludf.DUMMYFUNCTION("""COMPUTED_VALUE"""),"A3 PRINTER (BROTHER)")</f>
        <v>A3 PRINTER (BROTHER)</v>
      </c>
      <c r="D1297" s="164" t="str">
        <f ca="1">IFERROR(__xludf.DUMMYFUNCTION("""COMPUTED_VALUE"""),"₱ 33,508.00")</f>
        <v>₱ 33,508.00</v>
      </c>
      <c r="E1297" s="164" t="str">
        <f ca="1">IFERROR(__xludf.DUMMYFUNCTION("""COMPUTED_VALUE"""),"₱ -")</f>
        <v>₱ -</v>
      </c>
      <c r="F1297" s="164" t="str">
        <f ca="1">IFERROR(__xludf.DUMMYFUNCTION("""COMPUTED_VALUE"""),"HV-SPLIT-102-24-05-22")</f>
        <v>HV-SPLIT-102-24-05-22</v>
      </c>
      <c r="G1297" s="164" t="str">
        <f ca="1">IFERROR(__xludf.DUMMYFUNCTION("""COMPUTED_VALUE"""),"0")</f>
        <v>0</v>
      </c>
      <c r="H1297" s="164" t="str">
        <f ca="1">IFERROR(__xludf.DUMMYFUNCTION("""COMPUTED_VALUE"""),"BRIGIDA M. DAPON")</f>
        <v>BRIGIDA M. DAPON</v>
      </c>
      <c r="I1297" s="164" t="str">
        <f ca="1">IFERROR(__xludf.DUMMYFUNCTION("""COMPUTED_VALUE"""),"Project Budget Officer")</f>
        <v>Project Budget Officer</v>
      </c>
      <c r="J1297" s="164" t="str">
        <f ca="1">IFERROR(__xludf.DUMMYFUNCTION("""COMPUTED_VALUE"""),"45444")</f>
        <v>45444</v>
      </c>
      <c r="K1297" s="164" t="str">
        <f ca="1">IFERROR(__xludf.DUMMYFUNCTION("""COMPUTED_VALUE"""),"BRIGIDA M. DAPON")</f>
        <v>BRIGIDA M. DAPON</v>
      </c>
      <c r="L1297" s="164" t="str">
        <f ca="1">IFERROR(__xludf.DUMMYFUNCTION("""COMPUTED_VALUE"""),"STOD")</f>
        <v>STOD</v>
      </c>
      <c r="M1297" s="164" t="str">
        <f ca="1">IFERROR(__xludf.DUMMYFUNCTION("""COMPUTED_VALUE"""),"SERVICEABLE")</f>
        <v>SERVICEABLE</v>
      </c>
      <c r="N1297" s="164" t="str">
        <f ca="1">IFERROR(__xludf.DUMMYFUNCTION("""COMPUTED_VALUE"""),"Actual unit HV-SPLIT-102-24-05-21")</f>
        <v>Actual unit HV-SPLIT-102-24-05-21</v>
      </c>
    </row>
    <row r="1298" spans="1:14" ht="13.2" hidden="1">
      <c r="A1298" s="164" t="str">
        <f ca="1">IFERROR(__xludf.DUMMYFUNCTION("""COMPUTED_VALUE"""),"Region II")</f>
        <v>Region II</v>
      </c>
      <c r="B1298" s="164" t="str">
        <f ca="1">IFERROR(__xludf.DUMMYFUNCTION("""COMPUTED_VALUE"""),"Regional Office")</f>
        <v>Regional Office</v>
      </c>
      <c r="C1298" s="164" t="str">
        <f ca="1">IFERROR(__xludf.DUMMYFUNCTION("""COMPUTED_VALUE"""),"PLOTTER (3IN1)")</f>
        <v>PLOTTER (3IN1)</v>
      </c>
      <c r="D1298" s="164" t="str">
        <f ca="1">IFERROR(__xludf.DUMMYFUNCTION("""COMPUTED_VALUE"""),"₱ 49,300.00")</f>
        <v>₱ 49,300.00</v>
      </c>
      <c r="E1298" s="164" t="str">
        <f ca="1">IFERROR(__xludf.DUMMYFUNCTION("""COMPUTED_VALUE"""),"₱ -")</f>
        <v>₱ -</v>
      </c>
      <c r="F1298" s="164" t="str">
        <f ca="1">IFERROR(__xludf.DUMMYFUNCTION("""COMPUTED_VALUE"""),"2024-05-13-10204SP07-O1")</f>
        <v>2024-05-13-10204SP07-O1</v>
      </c>
      <c r="G1298" s="164" t="str">
        <f ca="1">IFERROR(__xludf.DUMMYFUNCTION("""COMPUTED_VALUE"""),"0")</f>
        <v>0</v>
      </c>
      <c r="H1298" s="164" t="str">
        <f ca="1">IFERROR(__xludf.DUMMYFUNCTION("""COMPUTED_VALUE"""),"RODERICK E. ESCOBAR")</f>
        <v>RODERICK E. ESCOBAR</v>
      </c>
      <c r="I1298" s="164" t="str">
        <f ca="1">IFERROR(__xludf.DUMMYFUNCTION("""COMPUTED_VALUE"""),"DENR/SURVEY/LRA COORDINATOR")</f>
        <v>DENR/SURVEY/LRA COORDINATOR</v>
      </c>
      <c r="J1298" s="164" t="str">
        <f ca="1">IFERROR(__xludf.DUMMYFUNCTION("""COMPUTED_VALUE"""),"PAR NO. 2025-05-007")</f>
        <v>PAR NO. 2025-05-007</v>
      </c>
      <c r="K1298" s="164" t="str">
        <f ca="1">IFERROR(__xludf.DUMMYFUNCTION("""COMPUTED_VALUE"""),"RODERICK E. ESCOBAR")</f>
        <v>RODERICK E. ESCOBAR</v>
      </c>
      <c r="L1298" s="164" t="str">
        <f ca="1">IFERROR(__xludf.DUMMYFUNCTION("""COMPUTED_VALUE"""),"LTID")</f>
        <v>LTID</v>
      </c>
      <c r="M1298" s="164" t="str">
        <f ca="1">IFERROR(__xludf.DUMMYFUNCTION("""COMPUTED_VALUE"""),"SERVICEABLE")</f>
        <v>SERVICEABLE</v>
      </c>
      <c r="N1298" s="164" t="str">
        <f ca="1">IFERROR(__xludf.DUMMYFUNCTION("""COMPUTED_VALUE"""),"Actual unit 2024-05-14-10201SP10-01")</f>
        <v>Actual unit 2024-05-14-10201SP10-01</v>
      </c>
    </row>
    <row r="1299" spans="1:14" ht="13.2" hidden="1">
      <c r="A1299" s="164" t="str">
        <f ca="1">IFERROR(__xludf.DUMMYFUNCTION("""COMPUTED_VALUE"""),"Region II")</f>
        <v>Region II</v>
      </c>
      <c r="B1299" s="164" t="str">
        <f ca="1">IFERROR(__xludf.DUMMYFUNCTION("""COMPUTED_VALUE"""),"CAGAYAN")</f>
        <v>CAGAYAN</v>
      </c>
      <c r="C1299" s="164" t="str">
        <f ca="1">IFERROR(__xludf.DUMMYFUNCTION("""COMPUTED_VALUE"""),"Desktop Computer – (MSI PRO DP180)")</f>
        <v>Desktop Computer – (MSI PRO DP180)</v>
      </c>
      <c r="D1299" s="164" t="str">
        <f ca="1">IFERROR(__xludf.DUMMYFUNCTION("""COMPUTED_VALUE"""),"₱ 49,300.00")</f>
        <v>₱ 49,300.00</v>
      </c>
      <c r="E1299" s="164" t="str">
        <f ca="1">IFERROR(__xludf.DUMMYFUNCTION("""COMPUTED_VALUE"""),"₱ -")</f>
        <v>₱ -</v>
      </c>
      <c r="F1299" s="164" t="str">
        <f ca="1">IFERROR(__xludf.DUMMYFUNCTION("""COMPUTED_VALUE"""),"HVSPLIT-102-24-05-01-441")</f>
        <v>HVSPLIT-102-24-05-01-441</v>
      </c>
      <c r="G1299" s="164" t="str">
        <f ca="1">IFERROR(__xludf.DUMMYFUNCTION("""COMPUTED_VALUE"""),"MSB0A7O4S0104002")</f>
        <v>MSB0A7O4S0104002</v>
      </c>
      <c r="H1299" s="164" t="str">
        <f ca="1">IFERROR(__xludf.DUMMYFUNCTION("""COMPUTED_VALUE"""),"CHERRYL S. TUGADE")</f>
        <v>CHERRYL S. TUGADE</v>
      </c>
      <c r="I1299" s="164" t="str">
        <f ca="1">IFERROR(__xludf.DUMMYFUNCTION("""COMPUTED_VALUE"""),"ENGINEER II")</f>
        <v>ENGINEER II</v>
      </c>
      <c r="J1299" s="164" t="str">
        <f ca="1">IFERROR(__xludf.DUMMYFUNCTION("""COMPUTED_VALUE"""),"2024-10-SP-46")</f>
        <v>2024-10-SP-46</v>
      </c>
      <c r="K1299" s="164" t="str">
        <f ca="1">IFERROR(__xludf.DUMMYFUNCTION("""COMPUTED_VALUE"""),"CHERRYL S. TUGADE")</f>
        <v>CHERRYL S. TUGADE</v>
      </c>
      <c r="L1299" s="164" t="str">
        <f ca="1">IFERROR(__xludf.DUMMYFUNCTION("""COMPUTED_VALUE"""),"LTID")</f>
        <v>LTID</v>
      </c>
      <c r="M1299" s="164" t="str">
        <f ca="1">IFERROR(__xludf.DUMMYFUNCTION("""COMPUTED_VALUE"""),"Serviceable")</f>
        <v>Serviceable</v>
      </c>
      <c r="N1299" s="164"/>
    </row>
    <row r="1300" spans="1:14" ht="13.2" hidden="1">
      <c r="A1300" s="164" t="str">
        <f ca="1">IFERROR(__xludf.DUMMYFUNCTION("""COMPUTED_VALUE"""),"Region II")</f>
        <v>Region II</v>
      </c>
      <c r="B1300" s="164" t="str">
        <f ca="1">IFERROR(__xludf.DUMMYFUNCTION("""COMPUTED_VALUE"""),"CAGAYAN")</f>
        <v>CAGAYAN</v>
      </c>
      <c r="C1300" s="164" t="str">
        <f ca="1">IFERROR(__xludf.DUMMYFUNCTION("""COMPUTED_VALUE"""),"Desktop Computer – (MSI PRO DP180)")</f>
        <v>Desktop Computer – (MSI PRO DP180)</v>
      </c>
      <c r="D1300" s="164" t="str">
        <f ca="1">IFERROR(__xludf.DUMMYFUNCTION("""COMPUTED_VALUE"""),"₱ 49,300.00")</f>
        <v>₱ 49,300.00</v>
      </c>
      <c r="E1300" s="164" t="str">
        <f ca="1">IFERROR(__xludf.DUMMYFUNCTION("""COMPUTED_VALUE"""),"₱ -")</f>
        <v>₱ -</v>
      </c>
      <c r="F1300" s="164" t="str">
        <f ca="1">IFERROR(__xludf.DUMMYFUNCTION("""COMPUTED_VALUE"""),"HVSPLIT-102-24-05-01-442")</f>
        <v>HVSPLIT-102-24-05-01-442</v>
      </c>
      <c r="G1300" s="164" t="str">
        <f ca="1">IFERROR(__xludf.DUMMYFUNCTION("""COMPUTED_VALUE"""),"MSB0A7O4S0103849")</f>
        <v>MSB0A7O4S0103849</v>
      </c>
      <c r="H1300" s="164" t="str">
        <f ca="1">IFERROR(__xludf.DUMMYFUNCTION("""COMPUTED_VALUE"""),"CHRISTIAN D. SALES")</f>
        <v>CHRISTIAN D. SALES</v>
      </c>
      <c r="I1300" s="164" t="str">
        <f ca="1">IFERROR(__xludf.DUMMYFUNCTION("""COMPUTED_VALUE"""),"OIC-CARPO, PBDD")</f>
        <v>OIC-CARPO, PBDD</v>
      </c>
      <c r="J1300" s="164" t="str">
        <f ca="1">IFERROR(__xludf.DUMMYFUNCTION("""COMPUTED_VALUE"""),"2024-10-SP-47")</f>
        <v>2024-10-SP-47</v>
      </c>
      <c r="K1300" s="164" t="str">
        <f ca="1">IFERROR(__xludf.DUMMYFUNCTION("""COMPUTED_VALUE"""),"CHRISTIAN D. SALES")</f>
        <v>CHRISTIAN D. SALES</v>
      </c>
      <c r="L1300" s="164" t="str">
        <f ca="1">IFERROR(__xludf.DUMMYFUNCTION("""COMPUTED_VALUE"""),"PBDD")</f>
        <v>PBDD</v>
      </c>
      <c r="M1300" s="164" t="str">
        <f ca="1">IFERROR(__xludf.DUMMYFUNCTION("""COMPUTED_VALUE"""),"Serviceable")</f>
        <v>Serviceable</v>
      </c>
      <c r="N1300" s="164"/>
    </row>
    <row r="1301" spans="1:14" ht="13.2" hidden="1">
      <c r="A1301" s="164" t="str">
        <f ca="1">IFERROR(__xludf.DUMMYFUNCTION("""COMPUTED_VALUE"""),"Region II")</f>
        <v>Region II</v>
      </c>
      <c r="B1301" s="164" t="str">
        <f ca="1">IFERROR(__xludf.DUMMYFUNCTION("""COMPUTED_VALUE"""),"CAGAYAN")</f>
        <v>CAGAYAN</v>
      </c>
      <c r="C1301" s="164" t="str">
        <f ca="1">IFERROR(__xludf.DUMMYFUNCTION("""COMPUTED_VALUE"""),"Desktop Computer – (MSI PRO DP180)")</f>
        <v>Desktop Computer – (MSI PRO DP180)</v>
      </c>
      <c r="D1301" s="164" t="str">
        <f ca="1">IFERROR(__xludf.DUMMYFUNCTION("""COMPUTED_VALUE"""),"₱ 49,300.00")</f>
        <v>₱ 49,300.00</v>
      </c>
      <c r="E1301" s="164" t="str">
        <f ca="1">IFERROR(__xludf.DUMMYFUNCTION("""COMPUTED_VALUE"""),"₱ -")</f>
        <v>₱ -</v>
      </c>
      <c r="F1301" s="164" t="str">
        <f ca="1">IFERROR(__xludf.DUMMYFUNCTION("""COMPUTED_VALUE"""),"HVSPLIT-102-24-05-01-443")</f>
        <v>HVSPLIT-102-24-05-01-443</v>
      </c>
      <c r="G1301" s="164" t="str">
        <f ca="1">IFERROR(__xludf.DUMMYFUNCTION("""COMPUTED_VALUE"""),"MSB0A7O4S0103922")</f>
        <v>MSB0A7O4S0103922</v>
      </c>
      <c r="H1301" s="164" t="str">
        <f ca="1">IFERROR(__xludf.DUMMYFUNCTION("""COMPUTED_VALUE"""),"JOSEPHINE BATTUNG")</f>
        <v>JOSEPHINE BATTUNG</v>
      </c>
      <c r="I1301" s="164" t="str">
        <f ca="1">IFERROR(__xludf.DUMMYFUNCTION("""COMPUTED_VALUE"""),"CASHIER")</f>
        <v>CASHIER</v>
      </c>
      <c r="J1301" s="164" t="str">
        <f ca="1">IFERROR(__xludf.DUMMYFUNCTION("""COMPUTED_VALUE"""),"2024-10-SP-48")</f>
        <v>2024-10-SP-48</v>
      </c>
      <c r="K1301" s="164" t="str">
        <f ca="1">IFERROR(__xludf.DUMMYFUNCTION("""COMPUTED_VALUE"""),"JOSEPHINE BATTUNG")</f>
        <v>JOSEPHINE BATTUNG</v>
      </c>
      <c r="L1301" s="164" t="str">
        <f ca="1">IFERROR(__xludf.DUMMYFUNCTION("""COMPUTED_VALUE"""),"CASHIER OFFICE")</f>
        <v>CASHIER OFFICE</v>
      </c>
      <c r="M1301" s="164" t="str">
        <f ca="1">IFERROR(__xludf.DUMMYFUNCTION("""COMPUTED_VALUE"""),"Serviceable")</f>
        <v>Serviceable</v>
      </c>
      <c r="N1301" s="164"/>
    </row>
    <row r="1302" spans="1:14" ht="13.2" hidden="1">
      <c r="A1302" s="164" t="str">
        <f ca="1">IFERROR(__xludf.DUMMYFUNCTION("""COMPUTED_VALUE"""),"Region III")</f>
        <v>Region III</v>
      </c>
      <c r="B1302" s="164" t="str">
        <f ca="1">IFERROR(__xludf.DUMMYFUNCTION("""COMPUTED_VALUE"""),"ISABELA")</f>
        <v>ISABELA</v>
      </c>
      <c r="C1302" s="164" t="str">
        <f ca="1">IFERROR(__xludf.DUMMYFUNCTION("""COMPUTED_VALUE"""),"Desktop Computer – (MSI PRO DP180)")</f>
        <v>Desktop Computer – (MSI PRO DP180)</v>
      </c>
      <c r="D1302" s="164" t="str">
        <f ca="1">IFERROR(__xludf.DUMMYFUNCTION("""COMPUTED_VALUE"""),"₱ 49,300.00")</f>
        <v>₱ 49,300.00</v>
      </c>
      <c r="E1302" s="164"/>
      <c r="F1302" s="164" t="str">
        <f ca="1">IFERROR(__xludf.DUMMYFUNCTION("""COMPUTED_VALUE"""),"HV-SPLIT-102-24-05-01-455")</f>
        <v>HV-SPLIT-102-24-05-01-455</v>
      </c>
      <c r="G1302" s="164" t="str">
        <f ca="1">IFERROR(__xludf.DUMMYFUNCTION("""COMPUTED_VALUE"""),"MSBOA7O4S0103576")</f>
        <v>MSBOA7O4S0103576</v>
      </c>
      <c r="H1302" s="164" t="str">
        <f ca="1">IFERROR(__xludf.DUMMYFUNCTION("""COMPUTED_VALUE"""),"JEMELYN EDROZO")</f>
        <v>JEMELYN EDROZO</v>
      </c>
      <c r="I1302" s="164" t="str">
        <f ca="1">IFERROR(__xludf.DUMMYFUNCTION("""COMPUTED_VALUE"""),"MARPO")</f>
        <v>MARPO</v>
      </c>
      <c r="J1302" s="164" t="str">
        <f ca="1">IFERROR(__xludf.DUMMYFUNCTION("""COMPUTED_VALUE"""),"2024-11-001")</f>
        <v>2024-11-001</v>
      </c>
      <c r="K1302" s="164" t="str">
        <f ca="1">IFERROR(__xludf.DUMMYFUNCTION("""COMPUTED_VALUE"""),"SPLIT PPMO ORGANIC")</f>
        <v>SPLIT PPMO ORGANIC</v>
      </c>
      <c r="L1302" s="164" t="str">
        <f ca="1">IFERROR(__xludf.DUMMYFUNCTION("""COMPUTED_VALUE"""),"DARMO SANTIAGO")</f>
        <v>DARMO SANTIAGO</v>
      </c>
      <c r="M1302" s="164" t="str">
        <f ca="1">IFERROR(__xludf.DUMMYFUNCTION("""COMPUTED_VALUE"""),"Serviceable")</f>
        <v>Serviceable</v>
      </c>
      <c r="N1302" s="164"/>
    </row>
    <row r="1303" spans="1:14" ht="13.2" hidden="1">
      <c r="A1303" s="164" t="str">
        <f ca="1">IFERROR(__xludf.DUMMYFUNCTION("""COMPUTED_VALUE"""),"Region III")</f>
        <v>Region III</v>
      </c>
      <c r="B1303" s="164" t="str">
        <f ca="1">IFERROR(__xludf.DUMMYFUNCTION("""COMPUTED_VALUE"""),"ISABELA")</f>
        <v>ISABELA</v>
      </c>
      <c r="C1303" s="164" t="str">
        <f ca="1">IFERROR(__xludf.DUMMYFUNCTION("""COMPUTED_VALUE"""),"Desktop Computer – (MSI PRO DP180)")</f>
        <v>Desktop Computer – (MSI PRO DP180)</v>
      </c>
      <c r="D1303" s="164" t="str">
        <f ca="1">IFERROR(__xludf.DUMMYFUNCTION("""COMPUTED_VALUE"""),"₱ 49,300.00")</f>
        <v>₱ 49,300.00</v>
      </c>
      <c r="E1303" s="164"/>
      <c r="F1303" s="164" t="str">
        <f ca="1">IFERROR(__xludf.DUMMYFUNCTION("""COMPUTED_VALUE"""),"HV-SPLIT-102-24-05-01-456")</f>
        <v>HV-SPLIT-102-24-05-01-456</v>
      </c>
      <c r="G1303" s="164" t="str">
        <f ca="1">IFERROR(__xludf.DUMMYFUNCTION("""COMPUTED_VALUE"""),"MSBOA7O450103644")</f>
        <v>MSBOA7O450103644</v>
      </c>
      <c r="H1303" s="164" t="str">
        <f ca="1">IFERROR(__xludf.DUMMYFUNCTION("""COMPUTED_VALUE"""),"MONALISA MANGANTULAO")</f>
        <v>MONALISA MANGANTULAO</v>
      </c>
      <c r="I1303" s="164" t="str">
        <f ca="1">IFERROR(__xludf.DUMMYFUNCTION("""COMPUTED_VALUE"""),"MARPO")</f>
        <v>MARPO</v>
      </c>
      <c r="J1303" s="164" t="str">
        <f ca="1">IFERROR(__xludf.DUMMYFUNCTION("""COMPUTED_VALUE"""),"2024-11-001")</f>
        <v>2024-11-001</v>
      </c>
      <c r="K1303" s="164" t="str">
        <f ca="1">IFERROR(__xludf.DUMMYFUNCTION("""COMPUTED_VALUE"""),"SPLIT PPMO ORGANIC")</f>
        <v>SPLIT PPMO ORGANIC</v>
      </c>
      <c r="L1303" s="164" t="str">
        <f ca="1">IFERROR(__xludf.DUMMYFUNCTION("""COMPUTED_VALUE"""),"DARMO CABATUAN")</f>
        <v>DARMO CABATUAN</v>
      </c>
      <c r="M1303" s="164" t="str">
        <f ca="1">IFERROR(__xludf.DUMMYFUNCTION("""COMPUTED_VALUE"""),"Serviceable")</f>
        <v>Serviceable</v>
      </c>
      <c r="N1303" s="164"/>
    </row>
    <row r="1304" spans="1:14" ht="13.2" hidden="1">
      <c r="A1304" s="164" t="str">
        <f ca="1">IFERROR(__xludf.DUMMYFUNCTION("""COMPUTED_VALUE"""),"Region III")</f>
        <v>Region III</v>
      </c>
      <c r="B1304" s="164" t="str">
        <f ca="1">IFERROR(__xludf.DUMMYFUNCTION("""COMPUTED_VALUE"""),"ISABELA")</f>
        <v>ISABELA</v>
      </c>
      <c r="C1304" s="164" t="str">
        <f ca="1">IFERROR(__xludf.DUMMYFUNCTION("""COMPUTED_VALUE"""),"Desktop Computer – (MSI PRO DP180)")</f>
        <v>Desktop Computer – (MSI PRO DP180)</v>
      </c>
      <c r="D1304" s="164" t="str">
        <f ca="1">IFERROR(__xludf.DUMMYFUNCTION("""COMPUTED_VALUE"""),"₱ 49,300.00")</f>
        <v>₱ 49,300.00</v>
      </c>
      <c r="E1304" s="164"/>
      <c r="F1304" s="164" t="str">
        <f ca="1">IFERROR(__xludf.DUMMYFUNCTION("""COMPUTED_VALUE"""),"HV-SPLIT-102-24-05-01-457")</f>
        <v>HV-SPLIT-102-24-05-01-457</v>
      </c>
      <c r="G1304" s="164" t="str">
        <f ca="1">IFERROR(__xludf.DUMMYFUNCTION("""COMPUTED_VALUE"""),"MSBOA7O450103644")</f>
        <v>MSBOA7O450103644</v>
      </c>
      <c r="H1304" s="164" t="str">
        <f ca="1">IFERROR(__xludf.DUMMYFUNCTION("""COMPUTED_VALUE"""),"PABLO L DERAY III")</f>
        <v>PABLO L DERAY III</v>
      </c>
      <c r="I1304" s="164" t="str">
        <f ca="1">IFERROR(__xludf.DUMMYFUNCTION("""COMPUTED_VALUE"""),"OIC-CARPO")</f>
        <v>OIC-CARPO</v>
      </c>
      <c r="J1304" s="164" t="str">
        <f ca="1">IFERROR(__xludf.DUMMYFUNCTION("""COMPUTED_VALUE"""),"2024-11-001")</f>
        <v>2024-11-001</v>
      </c>
      <c r="K1304" s="164" t="str">
        <f ca="1">IFERROR(__xludf.DUMMYFUNCTION("""COMPUTED_VALUE"""),"SPLIT PPMO ORGANIC")</f>
        <v>SPLIT PPMO ORGANIC</v>
      </c>
      <c r="L1304" s="164" t="str">
        <f ca="1">IFERROR(__xludf.DUMMYFUNCTION("""COMPUTED_VALUE"""),"DARMO CAUAYAN")</f>
        <v>DARMO CAUAYAN</v>
      </c>
      <c r="M1304" s="164" t="str">
        <f ca="1">IFERROR(__xludf.DUMMYFUNCTION("""COMPUTED_VALUE"""),"Serviceable")</f>
        <v>Serviceable</v>
      </c>
      <c r="N1304" s="164"/>
    </row>
    <row r="1305" spans="1:14" ht="13.2" hidden="1">
      <c r="A1305" s="164" t="str">
        <f ca="1">IFERROR(__xludf.DUMMYFUNCTION("""COMPUTED_VALUE"""),"Region III")</f>
        <v>Region III</v>
      </c>
      <c r="B1305" s="164" t="str">
        <f ca="1">IFERROR(__xludf.DUMMYFUNCTION("""COMPUTED_VALUE"""),"ISABELA")</f>
        <v>ISABELA</v>
      </c>
      <c r="C1305" s="164" t="str">
        <f ca="1">IFERROR(__xludf.DUMMYFUNCTION("""COMPUTED_VALUE"""),"Desktop Computer – (MSI PRO DP180)")</f>
        <v>Desktop Computer – (MSI PRO DP180)</v>
      </c>
      <c r="D1305" s="164" t="str">
        <f ca="1">IFERROR(__xludf.DUMMYFUNCTION("""COMPUTED_VALUE"""),"₱ 49,300.00")</f>
        <v>₱ 49,300.00</v>
      </c>
      <c r="E1305" s="164"/>
      <c r="F1305" s="164" t="str">
        <f ca="1">IFERROR(__xludf.DUMMYFUNCTION("""COMPUTED_VALUE"""),"HV-SPLIT-102-24-05-01-458")</f>
        <v>HV-SPLIT-102-24-05-01-458</v>
      </c>
      <c r="G1305" s="164" t="str">
        <f ca="1">IFERROR(__xludf.DUMMYFUNCTION("""COMPUTED_VALUE"""),"MSBOA7O450103318")</f>
        <v>MSBOA7O450103318</v>
      </c>
      <c r="H1305" s="164" t="str">
        <f ca="1">IFERROR(__xludf.DUMMYFUNCTION("""COMPUTED_VALUE"""),"ALBER M. SANGUILLERMO")</f>
        <v>ALBER M. SANGUILLERMO</v>
      </c>
      <c r="I1305" s="164" t="str">
        <f ca="1">IFERROR(__xludf.DUMMYFUNCTION("""COMPUTED_VALUE"""),"MARPO")</f>
        <v>MARPO</v>
      </c>
      <c r="J1305" s="164" t="str">
        <f ca="1">IFERROR(__xludf.DUMMYFUNCTION("""COMPUTED_VALUE"""),"2024-11-001")</f>
        <v>2024-11-001</v>
      </c>
      <c r="K1305" s="164" t="str">
        <f ca="1">IFERROR(__xludf.DUMMYFUNCTION("""COMPUTED_VALUE"""),"SPLIT PPMO ORGANIC")</f>
        <v>SPLIT PPMO ORGANIC</v>
      </c>
      <c r="L1305" s="164" t="str">
        <f ca="1">IFERROR(__xludf.DUMMYFUNCTION("""COMPUTED_VALUE"""),"DARMO SAN GUILLERMO")</f>
        <v>DARMO SAN GUILLERMO</v>
      </c>
      <c r="M1305" s="164" t="str">
        <f ca="1">IFERROR(__xludf.DUMMYFUNCTION("""COMPUTED_VALUE"""),"Serviceable")</f>
        <v>Serviceable</v>
      </c>
      <c r="N1305" s="164"/>
    </row>
    <row r="1306" spans="1:14" ht="13.2" hidden="1">
      <c r="A1306" s="164" t="str">
        <f ca="1">IFERROR(__xludf.DUMMYFUNCTION("""COMPUTED_VALUE"""),"Region III")</f>
        <v>Region III</v>
      </c>
      <c r="B1306" s="164" t="str">
        <f ca="1">IFERROR(__xludf.DUMMYFUNCTION("""COMPUTED_VALUE"""),"ISABELA")</f>
        <v>ISABELA</v>
      </c>
      <c r="C1306" s="164" t="str">
        <f ca="1">IFERROR(__xludf.DUMMYFUNCTION("""COMPUTED_VALUE"""),"Desktop Computer – (MSI PRO DP180)")</f>
        <v>Desktop Computer – (MSI PRO DP180)</v>
      </c>
      <c r="D1306" s="164" t="str">
        <f ca="1">IFERROR(__xludf.DUMMYFUNCTION("""COMPUTED_VALUE"""),"₱ 49,300.00")</f>
        <v>₱ 49,300.00</v>
      </c>
      <c r="E1306" s="164"/>
      <c r="F1306" s="164" t="str">
        <f ca="1">IFERROR(__xludf.DUMMYFUNCTION("""COMPUTED_VALUE"""),"HV-SPLIT-102-24-05-01-459")</f>
        <v>HV-SPLIT-102-24-05-01-459</v>
      </c>
      <c r="G1306" s="164" t="str">
        <f ca="1">IFERROR(__xludf.DUMMYFUNCTION("""COMPUTED_VALUE"""),"MSBOA7O450103968")</f>
        <v>MSBOA7O450103968</v>
      </c>
      <c r="H1306" s="164" t="str">
        <f ca="1">IFERROR(__xludf.DUMMYFUNCTION("""COMPUTED_VALUE"""),"CARMENCITA P. ALONZO")</f>
        <v>CARMENCITA P. ALONZO</v>
      </c>
      <c r="I1306" s="164" t="str">
        <f ca="1">IFERROR(__xludf.DUMMYFUNCTION("""COMPUTED_VALUE"""),"TS2 ADMINISTRATIVE AND FINANCE OFFICER")</f>
        <v>TS2 ADMINISTRATIVE AND FINANCE OFFICER</v>
      </c>
      <c r="J1306" s="164" t="str">
        <f ca="1">IFERROR(__xludf.DUMMYFUNCTION("""COMPUTED_VALUE"""),"2024-11-001")</f>
        <v>2024-11-001</v>
      </c>
      <c r="K1306" s="164" t="str">
        <f ca="1">IFERROR(__xludf.DUMMYFUNCTION("""COMPUTED_VALUE"""),"MARIFE V. PALACOL")</f>
        <v>MARIFE V. PALACOL</v>
      </c>
      <c r="L1306" s="164" t="str">
        <f ca="1">IFERROR(__xludf.DUMMYFUNCTION("""COMPUTED_VALUE"""),"DARPO")</f>
        <v>DARPO</v>
      </c>
      <c r="M1306" s="164" t="str">
        <f ca="1">IFERROR(__xludf.DUMMYFUNCTION("""COMPUTED_VALUE"""),"Serviceable")</f>
        <v>Serviceable</v>
      </c>
      <c r="N1306" s="164"/>
    </row>
    <row r="1307" spans="1:14" ht="13.2" hidden="1">
      <c r="A1307" s="164" t="str">
        <f ca="1">IFERROR(__xludf.DUMMYFUNCTION("""COMPUTED_VALUE"""),"Region III")</f>
        <v>Region III</v>
      </c>
      <c r="B1307" s="164" t="str">
        <f ca="1">IFERROR(__xludf.DUMMYFUNCTION("""COMPUTED_VALUE"""),"ISABELA")</f>
        <v>ISABELA</v>
      </c>
      <c r="C1307" s="164" t="str">
        <f ca="1">IFERROR(__xludf.DUMMYFUNCTION("""COMPUTED_VALUE"""),"Desktop Computer – (MSI PRO DP180)")</f>
        <v>Desktop Computer – (MSI PRO DP180)</v>
      </c>
      <c r="D1307" s="164" t="str">
        <f ca="1">IFERROR(__xludf.DUMMYFUNCTION("""COMPUTED_VALUE"""),"₱ 49,300.00")</f>
        <v>₱ 49,300.00</v>
      </c>
      <c r="E1307" s="164"/>
      <c r="F1307" s="164" t="str">
        <f ca="1">IFERROR(__xludf.DUMMYFUNCTION("""COMPUTED_VALUE"""),"HV-SPLIT-102-24-05-01-042")</f>
        <v>HV-SPLIT-102-24-05-01-042</v>
      </c>
      <c r="G1307" s="164" t="str">
        <f ca="1">IFERROR(__xludf.DUMMYFUNCTION("""COMPUTED_VALUE"""),"PC6M064401799")</f>
        <v>PC6M064401799</v>
      </c>
      <c r="H1307" s="164" t="str">
        <f ca="1">IFERROR(__xludf.DUMMYFUNCTION("""COMPUTED_VALUE"""),"IRENE CORPUZ")</f>
        <v>IRENE CORPUZ</v>
      </c>
      <c r="I1307" s="164" t="str">
        <f ca="1">IFERROR(__xludf.DUMMYFUNCTION("""COMPUTED_VALUE"""),"ARPO II / PBD")</f>
        <v>ARPO II / PBD</v>
      </c>
      <c r="J1307" s="164" t="str">
        <f ca="1">IFERROR(__xludf.DUMMYFUNCTION("""COMPUTED_VALUE"""),"2024-11-001")</f>
        <v>2024-11-001</v>
      </c>
      <c r="K1307" s="164" t="str">
        <f ca="1">IFERROR(__xludf.DUMMYFUNCTION("""COMPUTED_VALUE"""),"SPLIT PPMO ORGANIC")</f>
        <v>SPLIT PPMO ORGANIC</v>
      </c>
      <c r="L1307" s="164" t="str">
        <f ca="1">IFERROR(__xludf.DUMMYFUNCTION("""COMPUTED_VALUE"""),"DARPO")</f>
        <v>DARPO</v>
      </c>
      <c r="M1307" s="164" t="str">
        <f ca="1">IFERROR(__xludf.DUMMYFUNCTION("""COMPUTED_VALUE"""),"Serviceable")</f>
        <v>Serviceable</v>
      </c>
      <c r="N1307" s="164"/>
    </row>
    <row r="1308" spans="1:14" ht="13.2" hidden="1">
      <c r="A1308" s="164" t="str">
        <f ca="1">IFERROR(__xludf.DUMMYFUNCTION("""COMPUTED_VALUE"""),"Region II")</f>
        <v>Region II</v>
      </c>
      <c r="B1308" s="164" t="str">
        <f ca="1">IFERROR(__xludf.DUMMYFUNCTION("""COMPUTED_VALUE"""),"Regional Office")</f>
        <v>Regional Office</v>
      </c>
      <c r="C1308" s="164" t="str">
        <f ca="1">IFERROR(__xludf.DUMMYFUNCTION("""COMPUTED_VALUE"""),"ACER TRAVELMATE")</f>
        <v>ACER TRAVELMATE</v>
      </c>
      <c r="D1308" s="164" t="str">
        <f ca="1">IFERROR(__xludf.DUMMYFUNCTION("""COMPUTED_VALUE"""),"₱ 46,580.00")</f>
        <v>₱ 46,580.00</v>
      </c>
      <c r="E1308" s="164"/>
      <c r="F1308" s="164" t="str">
        <f ca="1">IFERROR(__xludf.DUMMYFUNCTION("""COMPUTED_VALUE"""),"2024-05-03-10202SP-247-01")</f>
        <v>2024-05-03-10202SP-247-01</v>
      </c>
      <c r="G1308" s="164"/>
      <c r="H1308" s="164" t="str">
        <f ca="1">IFERROR(__xludf.DUMMYFUNCTION("""COMPUTED_VALUE"""),"JENALYN F. BALEVA")</f>
        <v>JENALYN F. BALEVA</v>
      </c>
      <c r="I1308" s="164" t="str">
        <f ca="1">IFERROR(__xludf.DUMMYFUNCTION("""COMPUTED_VALUE"""),"ESS COORDINATOR")</f>
        <v>ESS COORDINATOR</v>
      </c>
      <c r="J1308" s="164" t="str">
        <f ca="1">IFERROR(__xludf.DUMMYFUNCTION("""COMPUTED_VALUE"""),"ICS NO. 2024-08-042")</f>
        <v>ICS NO. 2024-08-042</v>
      </c>
      <c r="K1308" s="164" t="str">
        <f ca="1">IFERROR(__xludf.DUMMYFUNCTION("""COMPUTED_VALUE"""),"LUCILLE M. BUSOG")</f>
        <v>LUCILLE M. BUSOG</v>
      </c>
      <c r="L1308" s="164" t="str">
        <f ca="1">IFERROR(__xludf.DUMMYFUNCTION("""COMPUTED_VALUE"""),"SPLIT")</f>
        <v>SPLIT</v>
      </c>
      <c r="M1308" s="164" t="str">
        <f ca="1">IFERROR(__xludf.DUMMYFUNCTION("""COMPUTED_VALUE"""),"SERVICEABLE")</f>
        <v>SERVICEABLE</v>
      </c>
      <c r="N1308" s="164"/>
    </row>
    <row r="1309" spans="1:14" ht="13.2" hidden="1">
      <c r="A1309" s="164" t="str">
        <f ca="1">IFERROR(__xludf.DUMMYFUNCTION("""COMPUTED_VALUE"""),"Region II")</f>
        <v>Region II</v>
      </c>
      <c r="B1309" s="164" t="str">
        <f ca="1">IFERROR(__xludf.DUMMYFUNCTION("""COMPUTED_VALUE"""),"Regional Office")</f>
        <v>Regional Office</v>
      </c>
      <c r="C1309" s="164" t="str">
        <f ca="1">IFERROR(__xludf.DUMMYFUNCTION("""COMPUTED_VALUE"""),"ACER TRAVELMATE")</f>
        <v>ACER TRAVELMATE</v>
      </c>
      <c r="D1309" s="164" t="str">
        <f ca="1">IFERROR(__xludf.DUMMYFUNCTION("""COMPUTED_VALUE"""),"₱ 46,580.00")</f>
        <v>₱ 46,580.00</v>
      </c>
      <c r="E1309" s="164"/>
      <c r="F1309" s="164" t="str">
        <f ca="1">IFERROR(__xludf.DUMMYFUNCTION("""COMPUTED_VALUE"""),"2024-05-03-10202SP-325-01")</f>
        <v>2024-05-03-10202SP-325-01</v>
      </c>
      <c r="G1309" s="164"/>
      <c r="H1309" s="164" t="str">
        <f ca="1">IFERROR(__xludf.DUMMYFUNCTION("""COMPUTED_VALUE"""),"ATTY. DENNIS L. JARAMILLA")</f>
        <v>ATTY. DENNIS L. JARAMILLA</v>
      </c>
      <c r="I1309" s="164" t="str">
        <f ca="1">IFERROR(__xludf.DUMMYFUNCTION("""COMPUTED_VALUE"""),"GRM COORDINATOR")</f>
        <v>GRM COORDINATOR</v>
      </c>
      <c r="J1309" s="164" t="str">
        <f ca="1">IFERROR(__xludf.DUMMYFUNCTION("""COMPUTED_VALUE"""),"ICS NO. 2025-05-009")</f>
        <v>ICS NO. 2025-05-009</v>
      </c>
      <c r="K1309" s="164" t="str">
        <f ca="1">IFERROR(__xludf.DUMMYFUNCTION("""COMPUTED_VALUE"""),"LORAINE ANN D. DOMINGO")</f>
        <v>LORAINE ANN D. DOMINGO</v>
      </c>
      <c r="L1309" s="164" t="str">
        <f ca="1">IFERROR(__xludf.DUMMYFUNCTION("""COMPUTED_VALUE"""),"DARAB")</f>
        <v>DARAB</v>
      </c>
      <c r="M1309" s="164" t="str">
        <f ca="1">IFERROR(__xludf.DUMMYFUNCTION("""COMPUTED_VALUE"""),"SERVICEABLE")</f>
        <v>SERVICEABLE</v>
      </c>
      <c r="N1309" s="164"/>
    </row>
    <row r="1310" spans="1:14" ht="13.2" hidden="1">
      <c r="A1310" s="164" t="str">
        <f ca="1">IFERROR(__xludf.DUMMYFUNCTION("""COMPUTED_VALUE"""),"Region II")</f>
        <v>Region II</v>
      </c>
      <c r="B1310" s="164" t="str">
        <f ca="1">IFERROR(__xludf.DUMMYFUNCTION("""COMPUTED_VALUE"""),"Regional Office")</f>
        <v>Regional Office</v>
      </c>
      <c r="C1310" s="164" t="str">
        <f ca="1">IFERROR(__xludf.DUMMYFUNCTION("""COMPUTED_VALUE"""),"Desktop Computer – (MSI PRO DP180)")</f>
        <v>Desktop Computer – (MSI PRO DP180)</v>
      </c>
      <c r="D1310" s="164" t="str">
        <f ca="1">IFERROR(__xludf.DUMMYFUNCTION("""COMPUTED_VALUE"""),"₱ 49,300.00")</f>
        <v>₱ 49,300.00</v>
      </c>
      <c r="E1310" s="164"/>
      <c r="F1310" s="164" t="str">
        <f ca="1">IFERROR(__xludf.DUMMYFUNCTION("""COMPUTED_VALUE"""),"HVSPLIT-102-24-05-01-039")</f>
        <v>HVSPLIT-102-24-05-01-039</v>
      </c>
      <c r="G1310" s="164" t="str">
        <f ca="1">IFERROR(__xludf.DUMMYFUNCTION("""COMPUTED_VALUE"""),"MSB0A7O4S0103867")</f>
        <v>MSB0A7O4S0103867</v>
      </c>
      <c r="H1310" s="164" t="str">
        <f ca="1">IFERROR(__xludf.DUMMYFUNCTION("""COMPUTED_VALUE"""),"JENALYN F. BALEVA")</f>
        <v>JENALYN F. BALEVA</v>
      </c>
      <c r="I1310" s="164" t="str">
        <f ca="1">IFERROR(__xludf.DUMMYFUNCTION("""COMPUTED_VALUE"""),"ESS COORDINATOR")</f>
        <v>ESS COORDINATOR</v>
      </c>
      <c r="J1310" s="164" t="str">
        <f ca="1">IFERROR(__xludf.DUMMYFUNCTION("""COMPUTED_VALUE"""),"ICS NO. 2025-05-010")</f>
        <v>ICS NO. 2025-05-010</v>
      </c>
      <c r="K1310" s="164" t="str">
        <f ca="1">IFERROR(__xludf.DUMMYFUNCTION("""COMPUTED_VALUE"""),"RYAN GABUAT")</f>
        <v>RYAN GABUAT</v>
      </c>
      <c r="L1310" s="164" t="str">
        <f ca="1">IFERROR(__xludf.DUMMYFUNCTION("""COMPUTED_VALUE"""),"PBDD")</f>
        <v>PBDD</v>
      </c>
      <c r="M1310" s="164" t="str">
        <f ca="1">IFERROR(__xludf.DUMMYFUNCTION("""COMPUTED_VALUE"""),"Serviceable")</f>
        <v>Serviceable</v>
      </c>
      <c r="N1310" s="164"/>
    </row>
    <row r="1311" spans="1:14" ht="13.2" hidden="1">
      <c r="A1311" s="164" t="str">
        <f ca="1">IFERROR(__xludf.DUMMYFUNCTION("""COMPUTED_VALUE"""),"Region II")</f>
        <v>Region II</v>
      </c>
      <c r="B1311" s="164" t="str">
        <f ca="1">IFERROR(__xludf.DUMMYFUNCTION("""COMPUTED_VALUE"""),"Regional Office")</f>
        <v>Regional Office</v>
      </c>
      <c r="C1311" s="164" t="str">
        <f ca="1">IFERROR(__xludf.DUMMYFUNCTION("""COMPUTED_VALUE"""),"Desktop Computer – (MSI PRO DP180)")</f>
        <v>Desktop Computer – (MSI PRO DP180)</v>
      </c>
      <c r="D1311" s="164" t="str">
        <f ca="1">IFERROR(__xludf.DUMMYFUNCTION("""COMPUTED_VALUE"""),"₱ 49,300.00")</f>
        <v>₱ 49,300.00</v>
      </c>
      <c r="E1311" s="164"/>
      <c r="F1311" s="164" t="str">
        <f ca="1">IFERROR(__xludf.DUMMYFUNCTION("""COMPUTED_VALUE"""),"HVSPLIT-102-24-05-01-169")</f>
        <v>HVSPLIT-102-24-05-01-169</v>
      </c>
      <c r="G1311" s="164" t="str">
        <f ca="1">IFERROR(__xludf.DUMMYFUNCTION("""COMPUTED_VALUE"""),"MSB0A7O4S0103977")</f>
        <v>MSB0A7O4S0103977</v>
      </c>
      <c r="H1311" s="164" t="str">
        <f ca="1">IFERROR(__xludf.DUMMYFUNCTION("""COMPUTED_VALUE"""),"MARITES U. ALLAG")</f>
        <v>MARITES U. ALLAG</v>
      </c>
      <c r="I1311" s="164" t="str">
        <f ca="1">IFERROR(__xludf.DUMMYFUNCTION("""COMPUTED_VALUE"""),"STRATEGIC MEDIA COORDINATOR")</f>
        <v>STRATEGIC MEDIA COORDINATOR</v>
      </c>
      <c r="J1311" s="164" t="str">
        <f ca="1">IFERROR(__xludf.DUMMYFUNCTION("""COMPUTED_VALUE"""),"ICS NO. 2025-08-40")</f>
        <v>ICS NO. 2025-08-40</v>
      </c>
      <c r="K1311" s="164" t="str">
        <f ca="1">IFERROR(__xludf.DUMMYFUNCTION("""COMPUTED_VALUE"""),"KING HARDEE II PIZARRO")</f>
        <v>KING HARDEE II PIZARRO</v>
      </c>
      <c r="L1311" s="164" t="str">
        <f ca="1">IFERROR(__xludf.DUMMYFUNCTION("""COMPUTED_VALUE"""),"STOD")</f>
        <v>STOD</v>
      </c>
      <c r="M1311" s="164" t="str">
        <f ca="1">IFERROR(__xludf.DUMMYFUNCTION("""COMPUTED_VALUE"""),"Serviceable")</f>
        <v>Serviceable</v>
      </c>
      <c r="N1311" s="164"/>
    </row>
    <row r="1312" spans="1:14" ht="13.2" hidden="1">
      <c r="A1312" s="164" t="str">
        <f ca="1">IFERROR(__xludf.DUMMYFUNCTION("""COMPUTED_VALUE"""),"Region II")</f>
        <v>Region II</v>
      </c>
      <c r="B1312" s="164" t="str">
        <f ca="1">IFERROR(__xludf.DUMMYFUNCTION("""COMPUTED_VALUE"""),"Regional Office")</f>
        <v>Regional Office</v>
      </c>
      <c r="C1312" s="164" t="str">
        <f ca="1">IFERROR(__xludf.DUMMYFUNCTION("""COMPUTED_VALUE"""),"Desktop Computer – (MSI PRO DP180)")</f>
        <v>Desktop Computer – (MSI PRO DP180)</v>
      </c>
      <c r="D1312" s="164" t="str">
        <f ca="1">IFERROR(__xludf.DUMMYFUNCTION("""COMPUTED_VALUE"""),"₱ 49,300.00")</f>
        <v>₱ 49,300.00</v>
      </c>
      <c r="E1312" s="164"/>
      <c r="F1312" s="164" t="str">
        <f ca="1">IFERROR(__xludf.DUMMYFUNCTION("""COMPUTED_VALUE"""),"HVSPLIT-102-24-05-01-444")</f>
        <v>HVSPLIT-102-24-05-01-444</v>
      </c>
      <c r="G1312" s="164" t="str">
        <f ca="1">IFERROR(__xludf.DUMMYFUNCTION("""COMPUTED_VALUE"""),"MSB0A7O4S0103559")</f>
        <v>MSB0A7O4S0103559</v>
      </c>
      <c r="H1312" s="164" t="str">
        <f ca="1">IFERROR(__xludf.DUMMYFUNCTION("""COMPUTED_VALUE"""),"MARISSA M. DELA CRUZ")</f>
        <v>MARISSA M. DELA CRUZ</v>
      </c>
      <c r="I1312" s="164" t="str">
        <f ca="1">IFERROR(__xludf.DUMMYFUNCTION("""COMPUTED_VALUE"""),"PROJECT PROCUREMENT COORDINATOR")</f>
        <v>PROJECT PROCUREMENT COORDINATOR</v>
      </c>
      <c r="J1312" s="164" t="str">
        <f ca="1">IFERROR(__xludf.DUMMYFUNCTION("""COMPUTED_VALUE"""),"ICS NO. 2024-10-047")</f>
        <v>ICS NO. 2024-10-047</v>
      </c>
      <c r="K1312" s="164" t="str">
        <f ca="1">IFERROR(__xludf.DUMMYFUNCTION("""COMPUTED_VALUE"""),"KENNETH J. PAMITTAN")</f>
        <v>KENNETH J. PAMITTAN</v>
      </c>
      <c r="L1312" s="164" t="str">
        <f ca="1">IFERROR(__xludf.DUMMYFUNCTION("""COMPUTED_VALUE"""),"SPLIT")</f>
        <v>SPLIT</v>
      </c>
      <c r="M1312" s="164" t="str">
        <f ca="1">IFERROR(__xludf.DUMMYFUNCTION("""COMPUTED_VALUE"""),"Serviceable")</f>
        <v>Serviceable</v>
      </c>
      <c r="N1312" s="164"/>
    </row>
    <row r="1313" spans="1:14" ht="13.2" hidden="1">
      <c r="A1313" s="164" t="str">
        <f ca="1">IFERROR(__xludf.DUMMYFUNCTION("""COMPUTED_VALUE"""),"Region II")</f>
        <v>Region II</v>
      </c>
      <c r="B1313" s="164" t="str">
        <f ca="1">IFERROR(__xludf.DUMMYFUNCTION("""COMPUTED_VALUE"""),"Regional Office")</f>
        <v>Regional Office</v>
      </c>
      <c r="C1313" s="164" t="str">
        <f ca="1">IFERROR(__xludf.DUMMYFUNCTION("""COMPUTED_VALUE"""),"Desktop Computer – (MSI PRO DP180)")</f>
        <v>Desktop Computer – (MSI PRO DP180)</v>
      </c>
      <c r="D1313" s="164" t="str">
        <f ca="1">IFERROR(__xludf.DUMMYFUNCTION("""COMPUTED_VALUE"""),"₱ 49,300.00")</f>
        <v>₱ 49,300.00</v>
      </c>
      <c r="E1313" s="164"/>
      <c r="F1313" s="164" t="str">
        <f ca="1">IFERROR(__xludf.DUMMYFUNCTION("""COMPUTED_VALUE"""),"HVSPLIT-102-24-05-01-445")</f>
        <v>HVSPLIT-102-24-05-01-445</v>
      </c>
      <c r="G1313" s="164" t="str">
        <f ca="1">IFERROR(__xludf.DUMMYFUNCTION("""COMPUTED_VALUE"""),"MSB0A7O4S0103974")</f>
        <v>MSB0A7O4S0103974</v>
      </c>
      <c r="H1313" s="164" t="str">
        <f ca="1">IFERROR(__xludf.DUMMYFUNCTION("""COMPUTED_VALUE"""),"MARISSA M. DELA CRUZ")</f>
        <v>MARISSA M. DELA CRUZ</v>
      </c>
      <c r="I1313" s="164" t="str">
        <f ca="1">IFERROR(__xludf.DUMMYFUNCTION("""COMPUTED_VALUE"""),"PROJECT PROCUREMENT COORDINATOR")</f>
        <v>PROJECT PROCUREMENT COORDINATOR</v>
      </c>
      <c r="J1313" s="164" t="str">
        <f ca="1">IFERROR(__xludf.DUMMYFUNCTION("""COMPUTED_VALUE"""),"ICS NO. 2024-10-048")</f>
        <v>ICS NO. 2024-10-048</v>
      </c>
      <c r="K1313" s="164" t="str">
        <f ca="1">IFERROR(__xludf.DUMMYFUNCTION("""COMPUTED_VALUE"""),"PEARL FATIMA L. AGPAOA")</f>
        <v>PEARL FATIMA L. AGPAOA</v>
      </c>
      <c r="L1313" s="164" t="str">
        <f ca="1">IFERROR(__xludf.DUMMYFUNCTION("""COMPUTED_VALUE"""),"STOD")</f>
        <v>STOD</v>
      </c>
      <c r="M1313" s="164" t="str">
        <f ca="1">IFERROR(__xludf.DUMMYFUNCTION("""COMPUTED_VALUE"""),"Serviceable")</f>
        <v>Serviceable</v>
      </c>
      <c r="N1313" s="164"/>
    </row>
    <row r="1314" spans="1:14" ht="13.2" hidden="1">
      <c r="A1314" s="164" t="str">
        <f ca="1">IFERROR(__xludf.DUMMYFUNCTION("""COMPUTED_VALUE"""),"Region II")</f>
        <v>Region II</v>
      </c>
      <c r="B1314" s="164" t="str">
        <f ca="1">IFERROR(__xludf.DUMMYFUNCTION("""COMPUTED_VALUE"""),"Regional Office")</f>
        <v>Regional Office</v>
      </c>
      <c r="C1314" s="164" t="str">
        <f ca="1">IFERROR(__xludf.DUMMYFUNCTION("""COMPUTED_VALUE"""),"Desktop Computer – (MSI PRO DP180)")</f>
        <v>Desktop Computer – (MSI PRO DP180)</v>
      </c>
      <c r="D1314" s="164" t="str">
        <f ca="1">IFERROR(__xludf.DUMMYFUNCTION("""COMPUTED_VALUE"""),"₱ 49,300.00")</f>
        <v>₱ 49,300.00</v>
      </c>
      <c r="E1314" s="164"/>
      <c r="F1314" s="164" t="str">
        <f ca="1">IFERROR(__xludf.DUMMYFUNCTION("""COMPUTED_VALUE"""),"HVSPLIT-102-24-05-01-446")</f>
        <v>HVSPLIT-102-24-05-01-446</v>
      </c>
      <c r="G1314" s="164" t="str">
        <f ca="1">IFERROR(__xludf.DUMMYFUNCTION("""COMPUTED_VALUE"""),"MSB0A7O4S0103885")</f>
        <v>MSB0A7O4S0103885</v>
      </c>
      <c r="H1314" s="164" t="str">
        <f ca="1">IFERROR(__xludf.DUMMYFUNCTION("""COMPUTED_VALUE"""),"JESS BETH G. QUIDASOL")</f>
        <v>JESS BETH G. QUIDASOL</v>
      </c>
      <c r="I1314" s="164" t="str">
        <f ca="1">IFERROR(__xludf.DUMMYFUNCTION("""COMPUTED_VALUE"""),"ASST. PROJECT MANAGER FOR OPERATIONS")</f>
        <v>ASST. PROJECT MANAGER FOR OPERATIONS</v>
      </c>
      <c r="J1314" s="164" t="str">
        <f ca="1">IFERROR(__xludf.DUMMYFUNCTION("""COMPUTED_VALUE"""),"ICS NO. 2025-05-027")</f>
        <v>ICS NO. 2025-05-027</v>
      </c>
      <c r="K1314" s="164" t="str">
        <f ca="1">IFERROR(__xludf.DUMMYFUNCTION("""COMPUTED_VALUE"""),"JESS BETH G. QUIDASOL")</f>
        <v>JESS BETH G. QUIDASOL</v>
      </c>
      <c r="L1314" s="164" t="str">
        <f ca="1">IFERROR(__xludf.DUMMYFUNCTION("""COMPUTED_VALUE"""),"LEGAL")</f>
        <v>LEGAL</v>
      </c>
      <c r="M1314" s="164" t="str">
        <f ca="1">IFERROR(__xludf.DUMMYFUNCTION("""COMPUTED_VALUE"""),"Serviceable")</f>
        <v>Serviceable</v>
      </c>
      <c r="N1314" s="164"/>
    </row>
    <row r="1315" spans="1:14" ht="13.2" hidden="1">
      <c r="A1315" s="164" t="str">
        <f ca="1">IFERROR(__xludf.DUMMYFUNCTION("""COMPUTED_VALUE"""),"Region II")</f>
        <v>Region II</v>
      </c>
      <c r="B1315" s="164" t="str">
        <f ca="1">IFERROR(__xludf.DUMMYFUNCTION("""COMPUTED_VALUE"""),"Regional Office")</f>
        <v>Regional Office</v>
      </c>
      <c r="C1315" s="164" t="str">
        <f ca="1">IFERROR(__xludf.DUMMYFUNCTION("""COMPUTED_VALUE"""),"Desktop Computer – (MSI PRO DP180)")</f>
        <v>Desktop Computer – (MSI PRO DP180)</v>
      </c>
      <c r="D1315" s="164" t="str">
        <f ca="1">IFERROR(__xludf.DUMMYFUNCTION("""COMPUTED_VALUE"""),"₱ 49,300.00")</f>
        <v>₱ 49,300.00</v>
      </c>
      <c r="E1315" s="164"/>
      <c r="F1315" s="164" t="str">
        <f ca="1">IFERROR(__xludf.DUMMYFUNCTION("""COMPUTED_VALUE"""),"HVSPLIT-102-24-05-01-447")</f>
        <v>HVSPLIT-102-24-05-01-447</v>
      </c>
      <c r="G1315" s="164" t="str">
        <f ca="1">IFERROR(__xludf.DUMMYFUNCTION("""COMPUTED_VALUE"""),"MSB0A7O4S0103603")</f>
        <v>MSB0A7O4S0103603</v>
      </c>
      <c r="H1315" s="164" t="str">
        <f ca="1">IFERROR(__xludf.DUMMYFUNCTION("""COMPUTED_VALUE"""),"IMELDA R. PAA")</f>
        <v>IMELDA R. PAA</v>
      </c>
      <c r="I1315" s="164" t="str">
        <f ca="1">IFERROR(__xludf.DUMMYFUNCTION("""COMPUTED_VALUE"""),"PROJECT BUDGET OFFICER")</f>
        <v>PROJECT BUDGET OFFICER</v>
      </c>
      <c r="J1315" s="164" t="str">
        <f ca="1">IFERROR(__xludf.DUMMYFUNCTION("""COMPUTED_VALUE"""),"ICS NO. 2025-08-39")</f>
        <v>ICS NO. 2025-08-39</v>
      </c>
      <c r="K1315" s="164" t="str">
        <f ca="1">IFERROR(__xludf.DUMMYFUNCTION("""COMPUTED_VALUE"""),"ANGELIE H. BURGOS")</f>
        <v>ANGELIE H. BURGOS</v>
      </c>
      <c r="L1315" s="164" t="str">
        <f ca="1">IFERROR(__xludf.DUMMYFUNCTION("""COMPUTED_VALUE"""),"STOD")</f>
        <v>STOD</v>
      </c>
      <c r="M1315" s="164" t="str">
        <f ca="1">IFERROR(__xludf.DUMMYFUNCTION("""COMPUTED_VALUE"""),"Serviceable")</f>
        <v>Serviceable</v>
      </c>
      <c r="N1315" s="164"/>
    </row>
    <row r="1316" spans="1:14" ht="13.2" hidden="1">
      <c r="A1316" s="164" t="str">
        <f ca="1">IFERROR(__xludf.DUMMYFUNCTION("""COMPUTED_VALUE"""),"Region II")</f>
        <v>Region II</v>
      </c>
      <c r="B1316" s="164" t="str">
        <f ca="1">IFERROR(__xludf.DUMMYFUNCTION("""COMPUTED_VALUE"""),"Regional Office")</f>
        <v>Regional Office</v>
      </c>
      <c r="C1316" s="164" t="str">
        <f ca="1">IFERROR(__xludf.DUMMYFUNCTION("""COMPUTED_VALUE"""),"Desktop Computer – (MSI PRO DP180)")</f>
        <v>Desktop Computer – (MSI PRO DP180)</v>
      </c>
      <c r="D1316" s="164" t="str">
        <f ca="1">IFERROR(__xludf.DUMMYFUNCTION("""COMPUTED_VALUE"""),"₱ 49,300.00")</f>
        <v>₱ 49,300.00</v>
      </c>
      <c r="E1316" s="164"/>
      <c r="F1316" s="164" t="str">
        <f ca="1">IFERROR(__xludf.DUMMYFUNCTION("""COMPUTED_VALUE"""),"HVSPLIT-102-24-05-01-448")</f>
        <v>HVSPLIT-102-24-05-01-448</v>
      </c>
      <c r="G1316" s="164" t="str">
        <f ca="1">IFERROR(__xludf.DUMMYFUNCTION("""COMPUTED_VALUE"""),"MSB0A7O4S0103594")</f>
        <v>MSB0A7O4S0103594</v>
      </c>
      <c r="H1316" s="164" t="str">
        <f ca="1">IFERROR(__xludf.DUMMYFUNCTION("""COMPUTED_VALUE"""),"JOSEPHINE LADDARAN")</f>
        <v>JOSEPHINE LADDARAN</v>
      </c>
      <c r="I1316" s="164" t="str">
        <f ca="1">IFERROR(__xludf.DUMMYFUNCTION("""COMPUTED_VALUE"""),"PROJECT ACCOUNTANT")</f>
        <v>PROJECT ACCOUNTANT</v>
      </c>
      <c r="J1316" s="164" t="str">
        <f ca="1">IFERROR(__xludf.DUMMYFUNCTION("""COMPUTED_VALUE"""),"JOSEPHINE LADDARAN")</f>
        <v>JOSEPHINE LADDARAN</v>
      </c>
      <c r="K1316" s="164" t="str">
        <f ca="1">IFERROR(__xludf.DUMMYFUNCTION("""COMPUTED_VALUE"""),"JOSEPHINE LADDARAN")</f>
        <v>JOSEPHINE LADDARAN</v>
      </c>
      <c r="L1316" s="164" t="str">
        <f ca="1">IFERROR(__xludf.DUMMYFUNCTION("""COMPUTED_VALUE"""),"STOD")</f>
        <v>STOD</v>
      </c>
      <c r="M1316" s="164" t="str">
        <f ca="1">IFERROR(__xludf.DUMMYFUNCTION("""COMPUTED_VALUE"""),"Serviceable")</f>
        <v>Serviceable</v>
      </c>
      <c r="N1316" s="164"/>
    </row>
    <row r="1317" spans="1:14" ht="13.2">
      <c r="A1317" s="164" t="str">
        <f ca="1">IFERROR(__xludf.DUMMYFUNCTION("""COMPUTED_VALUE"""),"Region III")</f>
        <v>Region III</v>
      </c>
      <c r="B1317" s="164" t="str">
        <f ca="1">IFERROR(__xludf.DUMMYFUNCTION("""COMPUTED_VALUE"""),"QUIRINO")</f>
        <v>QUIRINO</v>
      </c>
      <c r="C1317" s="164" t="str">
        <f ca="1">IFERROR(__xludf.DUMMYFUNCTION("""COMPUTED_VALUE"""),"Desktop Computer – (MSI PRO DP180)")</f>
        <v>Desktop Computer – (MSI PRO DP180)</v>
      </c>
      <c r="D1317" s="164" t="str">
        <f ca="1">IFERROR(__xludf.DUMMYFUNCTION("""COMPUTED_VALUE"""),"₱ 49,300.00")</f>
        <v>₱ 49,300.00</v>
      </c>
      <c r="E1317" s="164"/>
      <c r="F1317" s="164" t="str">
        <f ca="1">IFERROR(__xludf.DUMMYFUNCTION("""COMPUTED_VALUE"""),"HVSPLIT-102-24-05-01-452")</f>
        <v>HVSPLIT-102-24-05-01-452</v>
      </c>
      <c r="G1317" s="164"/>
      <c r="H1317" s="164" t="str">
        <f ca="1">IFERROR(__xludf.DUMMYFUNCTION("""COMPUTED_VALUE"""),"RICHARD F. SORIBEN")</f>
        <v>RICHARD F. SORIBEN</v>
      </c>
      <c r="I1317" s="164" t="str">
        <f ca="1">IFERROR(__xludf.DUMMYFUNCTION("""COMPUTED_VALUE"""),"Procurement Officer")</f>
        <v>Procurement Officer</v>
      </c>
      <c r="J1317" s="164" t="str">
        <f ca="1">IFERROR(__xludf.DUMMYFUNCTION("""COMPUTED_VALUE"""),"2024-12-002")</f>
        <v>2024-12-002</v>
      </c>
      <c r="K1317" s="164" t="str">
        <f ca="1">IFERROR(__xludf.DUMMYFUNCTION("""COMPUTED_VALUE"""),"RICHARD F. SORIBEN")</f>
        <v>RICHARD F. SORIBEN</v>
      </c>
      <c r="L1317" s="164" t="str">
        <f ca="1">IFERROR(__xludf.DUMMYFUNCTION("""COMPUTED_VALUE"""),"GSS")</f>
        <v>GSS</v>
      </c>
      <c r="M1317" s="164" t="str">
        <f ca="1">IFERROR(__xludf.DUMMYFUNCTION("""COMPUTED_VALUE"""),"Serviceable")</f>
        <v>Serviceable</v>
      </c>
      <c r="N1317" s="164"/>
    </row>
    <row r="1318" spans="1:14" ht="13.2">
      <c r="A1318" s="164" t="str">
        <f ca="1">IFERROR(__xludf.DUMMYFUNCTION("""COMPUTED_VALUE"""),"Region III")</f>
        <v>Region III</v>
      </c>
      <c r="B1318" s="164" t="str">
        <f ca="1">IFERROR(__xludf.DUMMYFUNCTION("""COMPUTED_VALUE"""),"QUIRINO")</f>
        <v>QUIRINO</v>
      </c>
      <c r="C1318" s="164" t="str">
        <f ca="1">IFERROR(__xludf.DUMMYFUNCTION("""COMPUTED_VALUE"""),"Desktop Computer – (MSI PRO DP180)")</f>
        <v>Desktop Computer – (MSI PRO DP180)</v>
      </c>
      <c r="D1318" s="164" t="str">
        <f ca="1">IFERROR(__xludf.DUMMYFUNCTION("""COMPUTED_VALUE"""),"₱ 49,300.00")</f>
        <v>₱ 49,300.00</v>
      </c>
      <c r="E1318" s="164"/>
      <c r="F1318" s="164" t="str">
        <f ca="1">IFERROR(__xludf.DUMMYFUNCTION("""COMPUTED_VALUE"""),"HVSPLIT-102-24-05-01-453")</f>
        <v>HVSPLIT-102-24-05-01-453</v>
      </c>
      <c r="G1318" s="164" t="str">
        <f ca="1">IFERROR(__xludf.DUMMYFUNCTION("""COMPUTED_VALUE"""),"MSB0A7O4S0103944")</f>
        <v>MSB0A7O4S0103944</v>
      </c>
      <c r="H1318" s="164" t="str">
        <f ca="1">IFERROR(__xludf.DUMMYFUNCTION("""COMPUTED_VALUE"""),"JOHN PAUL TOLENADA")</f>
        <v>JOHN PAUL TOLENADA</v>
      </c>
      <c r="I1318" s="164" t="str">
        <f ca="1">IFERROR(__xludf.DUMMYFUNCTION("""COMPUTED_VALUE"""),"ESS Support Staff")</f>
        <v>ESS Support Staff</v>
      </c>
      <c r="J1318" s="164" t="str">
        <f ca="1">IFERROR(__xludf.DUMMYFUNCTION("""COMPUTED_VALUE"""),"2024-12-001")</f>
        <v>2024-12-001</v>
      </c>
      <c r="K1318" s="164" t="str">
        <f ca="1">IFERROR(__xludf.DUMMYFUNCTION("""COMPUTED_VALUE"""),"JOHN PAUL TOLENADA")</f>
        <v>JOHN PAUL TOLENADA</v>
      </c>
      <c r="L1318" s="164" t="str">
        <f ca="1">IFERROR(__xludf.DUMMYFUNCTION("""COMPUTED_VALUE"""),"PBDD")</f>
        <v>PBDD</v>
      </c>
      <c r="M1318" s="164" t="str">
        <f ca="1">IFERROR(__xludf.DUMMYFUNCTION("""COMPUTED_VALUE"""),"Serviceable")</f>
        <v>Serviceable</v>
      </c>
      <c r="N1318" s="164"/>
    </row>
    <row r="1319" spans="1:14" ht="13.2">
      <c r="A1319" s="164" t="str">
        <f ca="1">IFERROR(__xludf.DUMMYFUNCTION("""COMPUTED_VALUE"""),"Region III")</f>
        <v>Region III</v>
      </c>
      <c r="B1319" s="164" t="str">
        <f ca="1">IFERROR(__xludf.DUMMYFUNCTION("""COMPUTED_VALUE"""),"QUIRINO")</f>
        <v>QUIRINO</v>
      </c>
      <c r="C1319" s="164" t="str">
        <f ca="1">IFERROR(__xludf.DUMMYFUNCTION("""COMPUTED_VALUE"""),"Desktop Computer – (MSI PRO DP180)")</f>
        <v>Desktop Computer – (MSI PRO DP180)</v>
      </c>
      <c r="D1319" s="164" t="str">
        <f ca="1">IFERROR(__xludf.DUMMYFUNCTION("""COMPUTED_VALUE"""),"₱ 49,300.00")</f>
        <v>₱ 49,300.00</v>
      </c>
      <c r="E1319" s="164"/>
      <c r="F1319" s="164" t="str">
        <f ca="1">IFERROR(__xludf.DUMMYFUNCTION("""COMPUTED_VALUE"""),"HVSPLIT-102-24-05-01-454")</f>
        <v>HVSPLIT-102-24-05-01-454</v>
      </c>
      <c r="G1319" s="164" t="str">
        <f ca="1">IFERROR(__xludf.DUMMYFUNCTION("""COMPUTED_VALUE"""),"MSB0A7O4S0103866")</f>
        <v>MSB0A7O4S0103866</v>
      </c>
      <c r="H1319" s="164" t="str">
        <f ca="1">IFERROR(__xludf.DUMMYFUNCTION("""COMPUTED_VALUE"""),"MARY ANN RHONALIE G. CAGATAO")</f>
        <v>MARY ANN RHONALIE G. CAGATAO</v>
      </c>
      <c r="I1319" s="164" t="str">
        <f ca="1">IFERROR(__xludf.DUMMYFUNCTION("""COMPUTED_VALUE"""),"Project Accountant")</f>
        <v>Project Accountant</v>
      </c>
      <c r="J1319" s="164" t="str">
        <f ca="1">IFERROR(__xludf.DUMMYFUNCTION("""COMPUTED_VALUE"""),"2024-12-003")</f>
        <v>2024-12-003</v>
      </c>
      <c r="K1319" s="164" t="str">
        <f ca="1">IFERROR(__xludf.DUMMYFUNCTION("""COMPUTED_VALUE"""),"MARY ANN RHONALIE G. CAGATAO")</f>
        <v>MARY ANN RHONALIE G. CAGATAO</v>
      </c>
      <c r="L1319" s="164" t="str">
        <f ca="1">IFERROR(__xludf.DUMMYFUNCTION("""COMPUTED_VALUE"""),"STOD")</f>
        <v>STOD</v>
      </c>
      <c r="M1319" s="164" t="str">
        <f ca="1">IFERROR(__xludf.DUMMYFUNCTION("""COMPUTED_VALUE"""),"Serviceable")</f>
        <v>Serviceable</v>
      </c>
      <c r="N1319" s="164"/>
    </row>
    <row r="1320" spans="1:14" ht="13.2">
      <c r="A1320" s="164" t="str">
        <f ca="1">IFERROR(__xludf.DUMMYFUNCTION("""COMPUTED_VALUE"""),"Region III")</f>
        <v>Region III</v>
      </c>
      <c r="B1320" s="164" t="str">
        <f ca="1">IFERROR(__xludf.DUMMYFUNCTION("""COMPUTED_VALUE"""),"QUIRINO")</f>
        <v>QUIRINO</v>
      </c>
      <c r="C1320" s="164" t="str">
        <f ca="1">IFERROR(__xludf.DUMMYFUNCTION("""COMPUTED_VALUE"""),"Desktop Computer – (MSI PRO DP180)")</f>
        <v>Desktop Computer – (MSI PRO DP180)</v>
      </c>
      <c r="D1320" s="164" t="str">
        <f ca="1">IFERROR(__xludf.DUMMYFUNCTION("""COMPUTED_VALUE"""),"₱ 49,300.00")</f>
        <v>₱ 49,300.00</v>
      </c>
      <c r="E1320" s="164"/>
      <c r="F1320" s="164" t="str">
        <f ca="1">IFERROR(__xludf.DUMMYFUNCTION("""COMPUTED_VALUE"""),"HVSPLIT-102-24-05-01-040")</f>
        <v>HVSPLIT-102-24-05-01-040</v>
      </c>
      <c r="G1320" s="164" t="str">
        <f ca="1">IFERROR(__xludf.DUMMYFUNCTION("""COMPUTED_VALUE"""),"MSB047O4S0103653; PC6M064401934")</f>
        <v>MSB047O4S0103653; PC6M064401934</v>
      </c>
      <c r="H1320" s="164" t="str">
        <f ca="1">IFERROR(__xludf.DUMMYFUNCTION("""COMPUTED_VALUE"""),"HERGIELYN E. ABAGGUEY")</f>
        <v>HERGIELYN E. ABAGGUEY</v>
      </c>
      <c r="I1320" s="164" t="str">
        <f ca="1">IFERROR(__xludf.DUMMYFUNCTION("""COMPUTED_VALUE"""),"ARPT")</f>
        <v>ARPT</v>
      </c>
      <c r="J1320" s="164" t="str">
        <f ca="1">IFERROR(__xludf.DUMMYFUNCTION("""COMPUTED_VALUE"""),"2024-12-004")</f>
        <v>2024-12-004</v>
      </c>
      <c r="K1320" s="164" t="str">
        <f ca="1">IFERROR(__xludf.DUMMYFUNCTION("""COMPUTED_VALUE"""),"HERGIELYN E. ABAGGUEY")</f>
        <v>HERGIELYN E. ABAGGUEY</v>
      </c>
      <c r="L1320" s="164" t="str">
        <f ca="1">IFERROR(__xludf.DUMMYFUNCTION("""COMPUTED_VALUE"""),"PBDD")</f>
        <v>PBDD</v>
      </c>
      <c r="M1320" s="164" t="str">
        <f ca="1">IFERROR(__xludf.DUMMYFUNCTION("""COMPUTED_VALUE"""),"Serviceable")</f>
        <v>Serviceable</v>
      </c>
      <c r="N1320" s="164"/>
    </row>
    <row r="1321" spans="1:14" ht="13.2">
      <c r="A1321" s="164" t="str">
        <f ca="1">IFERROR(__xludf.DUMMYFUNCTION("""COMPUTED_VALUE"""),"Region III")</f>
        <v>Region III</v>
      </c>
      <c r="B1321" s="164" t="str">
        <f ca="1">IFERROR(__xludf.DUMMYFUNCTION("""COMPUTED_VALUE"""),"QUIRINO")</f>
        <v>QUIRINO</v>
      </c>
      <c r="C1321" s="164" t="str">
        <f ca="1">IFERROR(__xludf.DUMMYFUNCTION("""COMPUTED_VALUE"""),"Desktop Computer – (MSI PRO DP180)")</f>
        <v>Desktop Computer – (MSI PRO DP180)</v>
      </c>
      <c r="D1321" s="164" t="str">
        <f ca="1">IFERROR(__xludf.DUMMYFUNCTION("""COMPUTED_VALUE"""),"₱ 49,300.00")</f>
        <v>₱ 49,300.00</v>
      </c>
      <c r="E1321" s="164"/>
      <c r="F1321" s="164" t="str">
        <f ca="1">IFERROR(__xludf.DUMMYFUNCTION("""COMPUTED_VALUE"""),"HVSPLIT-102-24-05-01-043")</f>
        <v>HVSPLIT-102-24-05-01-043</v>
      </c>
      <c r="G1321" s="164" t="str">
        <f ca="1">IFERROR(__xludf.DUMMYFUNCTION("""COMPUTED_VALUE"""),"MSB047O4S0103826; PC6M064401934")</f>
        <v>MSB047O4S0103826; PC6M064401934</v>
      </c>
      <c r="H1321" s="164" t="str">
        <f ca="1">IFERROR(__xludf.DUMMYFUNCTION("""COMPUTED_VALUE"""),"GOLDWIN JERR RESURRECCION")</f>
        <v>GOLDWIN JERR RESURRECCION</v>
      </c>
      <c r="I1321" s="164" t="str">
        <f ca="1">IFERROR(__xludf.DUMMYFUNCTION("""COMPUTED_VALUE"""),"ARPO I")</f>
        <v>ARPO I</v>
      </c>
      <c r="J1321" s="164" t="str">
        <f ca="1">IFERROR(__xludf.DUMMYFUNCTION("""COMPUTED_VALUE"""),"2024-12-005")</f>
        <v>2024-12-005</v>
      </c>
      <c r="K1321" s="164" t="str">
        <f ca="1">IFERROR(__xludf.DUMMYFUNCTION("""COMPUTED_VALUE"""),"GOLDWIN JERR RESURRECCION")</f>
        <v>GOLDWIN JERR RESURRECCION</v>
      </c>
      <c r="L1321" s="164" t="str">
        <f ca="1">IFERROR(__xludf.DUMMYFUNCTION("""COMPUTED_VALUE"""),"PBDD")</f>
        <v>PBDD</v>
      </c>
      <c r="M1321" s="164" t="str">
        <f ca="1">IFERROR(__xludf.DUMMYFUNCTION("""COMPUTED_VALUE"""),"Serviceable")</f>
        <v>Serviceable</v>
      </c>
      <c r="N1321" s="164"/>
    </row>
    <row r="1322" spans="1:14" ht="13.2" hidden="1">
      <c r="A1322" s="164" t="str">
        <f ca="1">IFERROR(__xludf.DUMMYFUNCTION("""COMPUTED_VALUE"""),"Region II")</f>
        <v>Region II</v>
      </c>
      <c r="B1322" s="164" t="str">
        <f ca="1">IFERROR(__xludf.DUMMYFUNCTION("""COMPUTED_VALUE"""),"Regional Office")</f>
        <v>Regional Office</v>
      </c>
      <c r="C1322" s="164" t="str">
        <f ca="1">IFERROR(__xludf.DUMMYFUNCTION("""COMPUTED_VALUE"""),"Double Cabin Pick-up Vehicles – Mitsubishi Strada")</f>
        <v>Double Cabin Pick-up Vehicles – Mitsubishi Strada</v>
      </c>
      <c r="D1322" s="164" t="str">
        <f ca="1">IFERROR(__xludf.DUMMYFUNCTION("""COMPUTED_VALUE"""),"₱ 1,752,400.00")</f>
        <v>₱ 1,752,400.00</v>
      </c>
      <c r="E1322" s="164" t="str">
        <f ca="1">IFERROR(__xludf.DUMMYFUNCTION("""COMPUTED_VALUE"""),"₱ -")</f>
        <v>₱ -</v>
      </c>
      <c r="F1322" s="164" t="str">
        <f ca="1">IFERROR(__xludf.DUMMYFUNCTION("""COMPUTED_VALUE"""),"2023-06-01-10201SP05-01")</f>
        <v>2023-06-01-10201SP05-01</v>
      </c>
      <c r="G1322" s="164" t="str">
        <f ca="1">IFERROR(__xludf.DUMMYFUNCTION("""COMPUTED_VALUE"""),"SNC 1194")</f>
        <v>SNC 1194</v>
      </c>
      <c r="H1322" s="164" t="str">
        <f ca="1">IFERROR(__xludf.DUMMYFUNCTION("""COMPUTED_VALUE"""),"MARISSA M. DELA CRUZ")</f>
        <v>MARISSA M. DELA CRUZ</v>
      </c>
      <c r="I1322" s="164" t="str">
        <f ca="1">IFERROR(__xludf.DUMMYFUNCTION("""COMPUTED_VALUE"""),"PROJECT PROCUREMENT COORDINATOR")</f>
        <v>PROJECT PROCUREMENT COORDINATOR</v>
      </c>
      <c r="J1322" s="164" t="str">
        <f ca="1">IFERROR(__xludf.DUMMYFUNCTION("""COMPUTED_VALUE"""),"PAR NO. 2023-10-005")</f>
        <v>PAR NO. 2023-10-005</v>
      </c>
      <c r="K1322" s="164" t="str">
        <f ca="1">IFERROR(__xludf.DUMMYFUNCTION("""COMPUTED_VALUE"""),"MARISSA M. DELA CRUZ")</f>
        <v>MARISSA M. DELA CRUZ</v>
      </c>
      <c r="L1322" s="164" t="str">
        <f ca="1">IFERROR(__xludf.DUMMYFUNCTION("""COMPUTED_VALUE"""),"OFFICE OF THE ARDO")</f>
        <v>OFFICE OF THE ARDO</v>
      </c>
      <c r="M1322" s="164" t="str">
        <f ca="1">IFERROR(__xludf.DUMMYFUNCTION("""COMPUTED_VALUE"""),"SERVICEABLE")</f>
        <v>SERVICEABLE</v>
      </c>
      <c r="N1322" s="164"/>
    </row>
    <row r="1323" spans="1:14" ht="13.2" hidden="1">
      <c r="A1323" s="164" t="str">
        <f ca="1">IFERROR(__xludf.DUMMYFUNCTION("""COMPUTED_VALUE"""),"Region II")</f>
        <v>Region II</v>
      </c>
      <c r="B1323" s="164" t="str">
        <f ca="1">IFERROR(__xludf.DUMMYFUNCTION("""COMPUTED_VALUE"""),"Regional Office")</f>
        <v>Regional Office</v>
      </c>
      <c r="C1323" s="164" t="str">
        <f ca="1">IFERROR(__xludf.DUMMYFUNCTION("""COMPUTED_VALUE"""),"Double Cabin Pick-up Vehicles – Mitsubishi Strada")</f>
        <v>Double Cabin Pick-up Vehicles – Mitsubishi Strada</v>
      </c>
      <c r="D1323" s="164" t="str">
        <f ca="1">IFERROR(__xludf.DUMMYFUNCTION("""COMPUTED_VALUE"""),"₱ 1,752,400.00")</f>
        <v>₱ 1,752,400.00</v>
      </c>
      <c r="E1323" s="164" t="str">
        <f ca="1">IFERROR(__xludf.DUMMYFUNCTION("""COMPUTED_VALUE"""),"₱-")</f>
        <v>₱-</v>
      </c>
      <c r="F1323" s="164" t="str">
        <f ca="1">IFERROR(__xludf.DUMMYFUNCTION("""COMPUTED_VALUE"""),"2023-06-01-10201SP52-01")</f>
        <v>2023-06-01-10201SP52-01</v>
      </c>
      <c r="G1323" s="164" t="str">
        <f ca="1">IFERROR(__xludf.DUMMYFUNCTION("""COMPUTED_VALUE"""),"SNC 1084")</f>
        <v>SNC 1084</v>
      </c>
      <c r="H1323" s="164" t="str">
        <f ca="1">IFERROR(__xludf.DUMMYFUNCTION("""COMPUTED_VALUE"""),"JESS BETH G. QUIDASOL")</f>
        <v>JESS BETH G. QUIDASOL</v>
      </c>
      <c r="I1323" s="164" t="str">
        <f ca="1">IFERROR(__xludf.DUMMYFUNCTION("""COMPUTED_VALUE"""),"ASST. PROJECT MANAGER FOR OPERATIONS")</f>
        <v>ASST. PROJECT MANAGER FOR OPERATIONS</v>
      </c>
      <c r="J1323" s="164" t="str">
        <f ca="1">IFERROR(__xludf.DUMMYFUNCTION("""COMPUTED_VALUE"""),"PAR NO. 2025-02-009")</f>
        <v>PAR NO. 2025-02-009</v>
      </c>
      <c r="K1323" s="164" t="str">
        <f ca="1">IFERROR(__xludf.DUMMYFUNCTION("""COMPUTED_VALUE"""),"JESS BETH G. QUIDASOL")</f>
        <v>JESS BETH G. QUIDASOL</v>
      </c>
      <c r="L1323" s="164" t="str">
        <f ca="1">IFERROR(__xludf.DUMMYFUNCTION("""COMPUTED_VALUE"""),"OFFICE OF THE RD")</f>
        <v>OFFICE OF THE RD</v>
      </c>
      <c r="M1323" s="164" t="str">
        <f ca="1">IFERROR(__xludf.DUMMYFUNCTION("""COMPUTED_VALUE"""),"SERVICEABLE")</f>
        <v>SERVICEABLE</v>
      </c>
      <c r="N1323" s="164"/>
    </row>
    <row r="1324" spans="1:14" ht="13.2" hidden="1">
      <c r="A1324" s="164" t="str">
        <f ca="1">IFERROR(__xludf.DUMMYFUNCTION("""COMPUTED_VALUE"""),"Region II")</f>
        <v>Region II</v>
      </c>
      <c r="B1324" s="164" t="str">
        <f ca="1">IFERROR(__xludf.DUMMYFUNCTION("""COMPUTED_VALUE"""),"Regional Office")</f>
        <v>Regional Office</v>
      </c>
      <c r="C1324" s="164" t="str">
        <f ca="1">IFERROR(__xludf.DUMMYFUNCTION("""COMPUTED_VALUE"""),"Double Cabin Pick-up Vehicles – Mitsubishi Strada")</f>
        <v>Double Cabin Pick-up Vehicles – Mitsubishi Strada</v>
      </c>
      <c r="D1324" s="164" t="str">
        <f ca="1">IFERROR(__xludf.DUMMYFUNCTION("""COMPUTED_VALUE"""),"₱ 1,752,400.00")</f>
        <v>₱ 1,752,400.00</v>
      </c>
      <c r="E1324" s="164" t="str">
        <f ca="1">IFERROR(__xludf.DUMMYFUNCTION("""COMPUTED_VALUE"""),"₱-")</f>
        <v>₱-</v>
      </c>
      <c r="F1324" s="164" t="str">
        <f ca="1">IFERROR(__xludf.DUMMYFUNCTION("""COMPUTED_VALUE"""),"2023-06-01-10201SP53-01")</f>
        <v>2023-06-01-10201SP53-01</v>
      </c>
      <c r="G1324" s="164" t="str">
        <f ca="1">IFERROR(__xludf.DUMMYFUNCTION("""COMPUTED_VALUE"""),"SNC 1173")</f>
        <v>SNC 1173</v>
      </c>
      <c r="H1324" s="164" t="str">
        <f ca="1">IFERROR(__xludf.DUMMYFUNCTION("""COMPUTED_VALUE"""),"PRIMO C. LARA")</f>
        <v>PRIMO C. LARA</v>
      </c>
      <c r="I1324" s="164" t="str">
        <f ca="1">IFERROR(__xludf.DUMMYFUNCTION("""COMPUTED_VALUE"""),"REGIONAL PROJECT MANAGER")</f>
        <v>REGIONAL PROJECT MANAGER</v>
      </c>
      <c r="J1324" s="164" t="str">
        <f ca="1">IFERROR(__xludf.DUMMYFUNCTION("""COMPUTED_VALUE"""),"PAR NO. 2023-10-006")</f>
        <v>PAR NO. 2023-10-006</v>
      </c>
      <c r="K1324" s="164" t="str">
        <f ca="1">IFERROR(__xludf.DUMMYFUNCTION("""COMPUTED_VALUE"""),"PRIMO C. LARA")</f>
        <v>PRIMO C. LARA</v>
      </c>
      <c r="L1324" s="164" t="str">
        <f ca="1">IFERROR(__xludf.DUMMYFUNCTION("""COMPUTED_VALUE"""),"DARRO II")</f>
        <v>DARRO II</v>
      </c>
      <c r="M1324" s="164" t="str">
        <f ca="1">IFERROR(__xludf.DUMMYFUNCTION("""COMPUTED_VALUE"""),"SERVICEABLE")</f>
        <v>SERVICEABLE</v>
      </c>
      <c r="N1324" s="164"/>
    </row>
    <row r="1325" spans="1:14" ht="13.2" hidden="1">
      <c r="A1325" s="164" t="str">
        <f ca="1">IFERROR(__xludf.DUMMYFUNCTION("""COMPUTED_VALUE"""),"Region II")</f>
        <v>Region II</v>
      </c>
      <c r="B1325" s="164" t="str">
        <f ca="1">IFERROR(__xludf.DUMMYFUNCTION("""COMPUTED_VALUE"""),"BATANES")</f>
        <v>BATANES</v>
      </c>
      <c r="C1325" s="164" t="str">
        <f ca="1">IFERROR(__xludf.DUMMYFUNCTION("""COMPUTED_VALUE"""),"Motorcycle – (Honda XRL 150)")</f>
        <v>Motorcycle – (Honda XRL 150)</v>
      </c>
      <c r="D1325" s="164" t="str">
        <f ca="1">IFERROR(__xludf.DUMMYFUNCTION("""COMPUTED_VALUE"""),"₱ 124,900.00")</f>
        <v>₱ 124,900.00</v>
      </c>
      <c r="E1325" s="164" t="str">
        <f ca="1">IFERROR(__xludf.DUMMYFUNCTION("""COMPUTED_VALUE"""),"₱-")</f>
        <v>₱-</v>
      </c>
      <c r="F1325" s="164" t="str">
        <f ca="1">IFERROR(__xludf.DUMMYFUNCTION("""COMPUTED_VALUE"""),"2023-01-2023UV15-01
 2023-06-01-10202SP55-01")</f>
        <v>2023-01-2023UV15-01
 2023-06-01-10202SP55-01</v>
      </c>
      <c r="G1325" s="164" t="str">
        <f ca="1">IFERROR(__xludf.DUMMYFUNCTION("""COMPUTED_VALUE"""),"no plate available")</f>
        <v>no plate available</v>
      </c>
      <c r="H1325" s="164" t="str">
        <f ca="1">IFERROR(__xludf.DUMMYFUNCTION("""COMPUTED_VALUE"""),"SARA E. NOBLEZA")</f>
        <v>SARA E. NOBLEZA</v>
      </c>
      <c r="I1325" s="164" t="str">
        <f ca="1">IFERROR(__xludf.DUMMYFUNCTION("""COMPUTED_VALUE"""),"A.A VI// Property Custodian")</f>
        <v>A.A VI// Property Custodian</v>
      </c>
      <c r="J1325" s="164" t="str">
        <f ca="1">IFERROR(__xludf.DUMMYFUNCTION("""COMPUTED_VALUE"""),"02-2023-11-06")</f>
        <v>02-2023-11-06</v>
      </c>
      <c r="K1325" s="164" t="str">
        <f ca="1">IFERROR(__xludf.DUMMYFUNCTION("""COMPUTED_VALUE"""),"RICHARD R. BARCELONA")</f>
        <v>RICHARD R. BARCELONA</v>
      </c>
      <c r="L1325" s="164" t="str">
        <f ca="1">IFERROR(__xludf.DUMMYFUNCTION("""COMPUTED_VALUE"""),"LTID")</f>
        <v>LTID</v>
      </c>
      <c r="M1325" s="164" t="str">
        <f ca="1">IFERROR(__xludf.DUMMYFUNCTION("""COMPUTED_VALUE"""),"SERVICEABLE")</f>
        <v>SERVICEABLE</v>
      </c>
      <c r="N1325" s="164"/>
    </row>
    <row r="1326" spans="1:14" ht="13.2" hidden="1">
      <c r="A1326" s="164" t="str">
        <f ca="1">IFERROR(__xludf.DUMMYFUNCTION("""COMPUTED_VALUE"""),"Region II")</f>
        <v>Region II</v>
      </c>
      <c r="B1326" s="164" t="str">
        <f ca="1">IFERROR(__xludf.DUMMYFUNCTION("""COMPUTED_VALUE"""),"CAGAYAN")</f>
        <v>CAGAYAN</v>
      </c>
      <c r="C1326" s="164" t="str">
        <f ca="1">IFERROR(__xludf.DUMMYFUNCTION("""COMPUTED_VALUE"""),"Motorcycle – (Honda XRL 150)")</f>
        <v>Motorcycle – (Honda XRL 150)</v>
      </c>
      <c r="D1326" s="164" t="str">
        <f ca="1">IFERROR(__xludf.DUMMYFUNCTION("""COMPUTED_VALUE"""),"₱ 124,900.00")</f>
        <v>₱ 124,900.00</v>
      </c>
      <c r="E1326" s="164" t="str">
        <f ca="1">IFERROR(__xludf.DUMMYFUNCTION("""COMPUTED_VALUE"""),"₱-")</f>
        <v>₱-</v>
      </c>
      <c r="F1326" s="164" t="str">
        <f ca="1">IFERROR(__xludf.DUMMYFUNCTION("""COMPUTED_VALUE"""),"2023-06-01-10202SP56-01")</f>
        <v>2023-06-01-10202SP56-01</v>
      </c>
      <c r="G1326" s="164" t="str">
        <f ca="1">IFERROR(__xludf.DUMMYFUNCTION("""COMPUTED_VALUE"""),"no plate available")</f>
        <v>no plate available</v>
      </c>
      <c r="H1326" s="164" t="str">
        <f ca="1">IFERROR(__xludf.DUMMYFUNCTION("""COMPUTED_VALUE"""),"ELEUTERIO DE LEON JR.")</f>
        <v>ELEUTERIO DE LEON JR.</v>
      </c>
      <c r="I1326" s="164" t="str">
        <f ca="1">IFERROR(__xludf.DUMMYFUNCTION("""COMPUTED_VALUE"""),"AO IV/ GSO Head")</f>
        <v>AO IV/ GSO Head</v>
      </c>
      <c r="J1326" s="164" t="str">
        <f ca="1">IFERROR(__xludf.DUMMYFUNCTION("""COMPUTED_VALUE"""),"2023-0127-01-10")</f>
        <v>2023-0127-01-10</v>
      </c>
      <c r="K1326" s="164" t="str">
        <f ca="1">IFERROR(__xludf.DUMMYFUNCTION("""COMPUTED_VALUE"""),"ALL DAR-SPLIT PERSONNEL")</f>
        <v>ALL DAR-SPLIT PERSONNEL</v>
      </c>
      <c r="L1326" s="164" t="str">
        <f ca="1">IFERROR(__xludf.DUMMYFUNCTION("""COMPUTED_VALUE"""),"SPLIT")</f>
        <v>SPLIT</v>
      </c>
      <c r="M1326" s="164" t="str">
        <f ca="1">IFERROR(__xludf.DUMMYFUNCTION("""COMPUTED_VALUE"""),"SERVICEABLE")</f>
        <v>SERVICEABLE</v>
      </c>
      <c r="N1326" s="164"/>
    </row>
    <row r="1327" spans="1:14" ht="13.2" hidden="1">
      <c r="A1327" s="164" t="str">
        <f ca="1">IFERROR(__xludf.DUMMYFUNCTION("""COMPUTED_VALUE"""),"Region II")</f>
        <v>Region II</v>
      </c>
      <c r="B1327" s="164" t="str">
        <f ca="1">IFERROR(__xludf.DUMMYFUNCTION("""COMPUTED_VALUE"""),"CAGAYAN")</f>
        <v>CAGAYAN</v>
      </c>
      <c r="C1327" s="164" t="str">
        <f ca="1">IFERROR(__xludf.DUMMYFUNCTION("""COMPUTED_VALUE"""),"Motorcycle – (Honda XRL 150)")</f>
        <v>Motorcycle – (Honda XRL 150)</v>
      </c>
      <c r="D1327" s="164" t="str">
        <f ca="1">IFERROR(__xludf.DUMMYFUNCTION("""COMPUTED_VALUE"""),"₱ 124,900.00")</f>
        <v>₱ 124,900.00</v>
      </c>
      <c r="E1327" s="164" t="str">
        <f ca="1">IFERROR(__xludf.DUMMYFUNCTION("""COMPUTED_VALUE"""),"₱-")</f>
        <v>₱-</v>
      </c>
      <c r="F1327" s="164" t="str">
        <f ca="1">IFERROR(__xludf.DUMMYFUNCTION("""COMPUTED_VALUE"""),"2023-06-01-10202SP57-01")</f>
        <v>2023-06-01-10202SP57-01</v>
      </c>
      <c r="G1327" s="164" t="str">
        <f ca="1">IFERROR(__xludf.DUMMYFUNCTION("""COMPUTED_VALUE"""),"no plate available")</f>
        <v>no plate available</v>
      </c>
      <c r="H1327" s="164" t="str">
        <f ca="1">IFERROR(__xludf.DUMMYFUNCTION("""COMPUTED_VALUE"""),"ELEUTERIO DE LEON JR.")</f>
        <v>ELEUTERIO DE LEON JR.</v>
      </c>
      <c r="I1327" s="164" t="str">
        <f ca="1">IFERROR(__xludf.DUMMYFUNCTION("""COMPUTED_VALUE"""),"AO IV/ GSO Head")</f>
        <v>AO IV/ GSO Head</v>
      </c>
      <c r="J1327" s="164" t="str">
        <f ca="1">IFERROR(__xludf.DUMMYFUNCTION("""COMPUTED_VALUE"""),"2023-0127-01-10")</f>
        <v>2023-0127-01-10</v>
      </c>
      <c r="K1327" s="164" t="str">
        <f ca="1">IFERROR(__xludf.DUMMYFUNCTION("""COMPUTED_VALUE"""),"ALL DAR-SPLIT PERSONNEL")</f>
        <v>ALL DAR-SPLIT PERSONNEL</v>
      </c>
      <c r="L1327" s="164" t="str">
        <f ca="1">IFERROR(__xludf.DUMMYFUNCTION("""COMPUTED_VALUE"""),"SPLIT")</f>
        <v>SPLIT</v>
      </c>
      <c r="M1327" s="164" t="str">
        <f ca="1">IFERROR(__xludf.DUMMYFUNCTION("""COMPUTED_VALUE"""),"SERVICEABLE")</f>
        <v>SERVICEABLE</v>
      </c>
      <c r="N1327" s="164"/>
    </row>
    <row r="1328" spans="1:14" ht="13.2" hidden="1">
      <c r="A1328" s="164" t="str">
        <f ca="1">IFERROR(__xludf.DUMMYFUNCTION("""COMPUTED_VALUE"""),"Region II")</f>
        <v>Region II</v>
      </c>
      <c r="B1328" s="164" t="str">
        <f ca="1">IFERROR(__xludf.DUMMYFUNCTION("""COMPUTED_VALUE"""),"CAGAYAN")</f>
        <v>CAGAYAN</v>
      </c>
      <c r="C1328" s="164" t="str">
        <f ca="1">IFERROR(__xludf.DUMMYFUNCTION("""COMPUTED_VALUE"""),"Motorcycle – (Honda XRL 150)")</f>
        <v>Motorcycle – (Honda XRL 150)</v>
      </c>
      <c r="D1328" s="164" t="str">
        <f ca="1">IFERROR(__xludf.DUMMYFUNCTION("""COMPUTED_VALUE"""),"₱ 124,900.00")</f>
        <v>₱ 124,900.00</v>
      </c>
      <c r="E1328" s="164" t="str">
        <f ca="1">IFERROR(__xludf.DUMMYFUNCTION("""COMPUTED_VALUE"""),"₱-")</f>
        <v>₱-</v>
      </c>
      <c r="F1328" s="164" t="str">
        <f ca="1">IFERROR(__xludf.DUMMYFUNCTION("""COMPUTED_VALUE"""),"2023-06-01-10202SP58-01")</f>
        <v>2023-06-01-10202SP58-01</v>
      </c>
      <c r="G1328" s="164" t="str">
        <f ca="1">IFERROR(__xludf.DUMMYFUNCTION("""COMPUTED_VALUE"""),"no plate available")</f>
        <v>no plate available</v>
      </c>
      <c r="H1328" s="164" t="str">
        <f ca="1">IFERROR(__xludf.DUMMYFUNCTION("""COMPUTED_VALUE"""),"MARK JAY MACANAS")</f>
        <v>MARK JAY MACANAS</v>
      </c>
      <c r="I1328" s="164" t="str">
        <f ca="1">IFERROR(__xludf.DUMMYFUNCTION("""COMPUTED_VALUE"""),"ARPO I")</f>
        <v>ARPO I</v>
      </c>
      <c r="J1328" s="164" t="str">
        <f ca="1">IFERROR(__xludf.DUMMYFUNCTION("""COMPUTED_VALUE"""),"2023-0127-01-10")</f>
        <v>2023-0127-01-10</v>
      </c>
      <c r="K1328" s="164" t="str">
        <f ca="1">IFERROR(__xludf.DUMMYFUNCTION("""COMPUTED_VALUE"""),"MARK JAY MACANAS")</f>
        <v>MARK JAY MACANAS</v>
      </c>
      <c r="L1328" s="164" t="str">
        <f ca="1">IFERROR(__xludf.DUMMYFUNCTION("""COMPUTED_VALUE"""),"PBDD")</f>
        <v>PBDD</v>
      </c>
      <c r="M1328" s="164" t="str">
        <f ca="1">IFERROR(__xludf.DUMMYFUNCTION("""COMPUTED_VALUE"""),"SERVICEABLE")</f>
        <v>SERVICEABLE</v>
      </c>
      <c r="N1328" s="164"/>
    </row>
    <row r="1329" spans="1:14" ht="13.2" hidden="1">
      <c r="A1329" s="164" t="str">
        <f ca="1">IFERROR(__xludf.DUMMYFUNCTION("""COMPUTED_VALUE"""),"Region II")</f>
        <v>Region II</v>
      </c>
      <c r="B1329" s="164" t="str">
        <f ca="1">IFERROR(__xludf.DUMMYFUNCTION("""COMPUTED_VALUE"""),"CAGAYAN")</f>
        <v>CAGAYAN</v>
      </c>
      <c r="C1329" s="164" t="str">
        <f ca="1">IFERROR(__xludf.DUMMYFUNCTION("""COMPUTED_VALUE"""),"Motorcycle – (Honda XRL 150)")</f>
        <v>Motorcycle – (Honda XRL 150)</v>
      </c>
      <c r="D1329" s="164" t="str">
        <f ca="1">IFERROR(__xludf.DUMMYFUNCTION("""COMPUTED_VALUE"""),"₱ 124,900.00")</f>
        <v>₱ 124,900.00</v>
      </c>
      <c r="E1329" s="164" t="str">
        <f ca="1">IFERROR(__xludf.DUMMYFUNCTION("""COMPUTED_VALUE"""),"₱-")</f>
        <v>₱-</v>
      </c>
      <c r="F1329" s="164" t="str">
        <f ca="1">IFERROR(__xludf.DUMMYFUNCTION("""COMPUTED_VALUE"""),"2023-06-01-10202SP59-01")</f>
        <v>2023-06-01-10202SP59-01</v>
      </c>
      <c r="G1329" s="164" t="str">
        <f ca="1">IFERROR(__xludf.DUMMYFUNCTION("""COMPUTED_VALUE"""),"no plate available")</f>
        <v>no plate available</v>
      </c>
      <c r="H1329" s="164" t="str">
        <f ca="1">IFERROR(__xludf.DUMMYFUNCTION("""COMPUTED_VALUE"""),"ELEUTERIO DE LEON JR.")</f>
        <v>ELEUTERIO DE LEON JR.</v>
      </c>
      <c r="I1329" s="164" t="str">
        <f ca="1">IFERROR(__xludf.DUMMYFUNCTION("""COMPUTED_VALUE"""),"AO IV/ GSO Head")</f>
        <v>AO IV/ GSO Head</v>
      </c>
      <c r="J1329" s="164" t="str">
        <f ca="1">IFERROR(__xludf.DUMMYFUNCTION("""COMPUTED_VALUE"""),"2023-0127-01-10")</f>
        <v>2023-0127-01-10</v>
      </c>
      <c r="K1329" s="164" t="str">
        <f ca="1">IFERROR(__xludf.DUMMYFUNCTION("""COMPUTED_VALUE"""),"ALL DAR-SPLIT PERSONNEL")</f>
        <v>ALL DAR-SPLIT PERSONNEL</v>
      </c>
      <c r="L1329" s="164" t="str">
        <f ca="1">IFERROR(__xludf.DUMMYFUNCTION("""COMPUTED_VALUE"""),"SPLIT")</f>
        <v>SPLIT</v>
      </c>
      <c r="M1329" s="164" t="str">
        <f ca="1">IFERROR(__xludf.DUMMYFUNCTION("""COMPUTED_VALUE"""),"SERVICEABLE")</f>
        <v>SERVICEABLE</v>
      </c>
      <c r="N1329" s="164"/>
    </row>
    <row r="1330" spans="1:14" ht="13.2" hidden="1">
      <c r="A1330" s="164" t="str">
        <f ca="1">IFERROR(__xludf.DUMMYFUNCTION("""COMPUTED_VALUE"""),"Region II")</f>
        <v>Region II</v>
      </c>
      <c r="B1330" s="164" t="str">
        <f ca="1">IFERROR(__xludf.DUMMYFUNCTION("""COMPUTED_VALUE"""),"CAGAYAN")</f>
        <v>CAGAYAN</v>
      </c>
      <c r="C1330" s="164" t="str">
        <f ca="1">IFERROR(__xludf.DUMMYFUNCTION("""COMPUTED_VALUE"""),"Motorcycle – (Honda XRL 150)")</f>
        <v>Motorcycle – (Honda XRL 150)</v>
      </c>
      <c r="D1330" s="164" t="str">
        <f ca="1">IFERROR(__xludf.DUMMYFUNCTION("""COMPUTED_VALUE"""),"₱ 124,900.00")</f>
        <v>₱ 124,900.00</v>
      </c>
      <c r="E1330" s="164" t="str">
        <f ca="1">IFERROR(__xludf.DUMMYFUNCTION("""COMPUTED_VALUE"""),"₱-")</f>
        <v>₱-</v>
      </c>
      <c r="F1330" s="164" t="str">
        <f ca="1">IFERROR(__xludf.DUMMYFUNCTION("""COMPUTED_VALUE"""),"2023-06-01-10202SP60-01")</f>
        <v>2023-06-01-10202SP60-01</v>
      </c>
      <c r="G1330" s="164" t="str">
        <f ca="1">IFERROR(__xludf.DUMMYFUNCTION("""COMPUTED_VALUE"""),"no plate available")</f>
        <v>no plate available</v>
      </c>
      <c r="H1330" s="164" t="str">
        <f ca="1">IFERROR(__xludf.DUMMYFUNCTION("""COMPUTED_VALUE"""),"ELEUTERIO DE LEON JR.")</f>
        <v>ELEUTERIO DE LEON JR.</v>
      </c>
      <c r="I1330" s="164" t="str">
        <f ca="1">IFERROR(__xludf.DUMMYFUNCTION("""COMPUTED_VALUE"""),"AO IV/ GSO Head")</f>
        <v>AO IV/ GSO Head</v>
      </c>
      <c r="J1330" s="164" t="str">
        <f ca="1">IFERROR(__xludf.DUMMYFUNCTION("""COMPUTED_VALUE"""),"2023-0127-01-10")</f>
        <v>2023-0127-01-10</v>
      </c>
      <c r="K1330" s="164" t="str">
        <f ca="1">IFERROR(__xludf.DUMMYFUNCTION("""COMPUTED_VALUE"""),"ALL DAR-SPLIT PERSONNEL")</f>
        <v>ALL DAR-SPLIT PERSONNEL</v>
      </c>
      <c r="L1330" s="164" t="str">
        <f ca="1">IFERROR(__xludf.DUMMYFUNCTION("""COMPUTED_VALUE"""),"SPLIT")</f>
        <v>SPLIT</v>
      </c>
      <c r="M1330" s="164" t="str">
        <f ca="1">IFERROR(__xludf.DUMMYFUNCTION("""COMPUTED_VALUE"""),"SERVICEABLE")</f>
        <v>SERVICEABLE</v>
      </c>
      <c r="N1330" s="164"/>
    </row>
    <row r="1331" spans="1:14" ht="13.2" hidden="1">
      <c r="A1331" s="164" t="str">
        <f ca="1">IFERROR(__xludf.DUMMYFUNCTION("""COMPUTED_VALUE"""),"Region II")</f>
        <v>Region II</v>
      </c>
      <c r="B1331" s="164" t="str">
        <f ca="1">IFERROR(__xludf.DUMMYFUNCTION("""COMPUTED_VALUE"""),"CAGAYAN")</f>
        <v>CAGAYAN</v>
      </c>
      <c r="C1331" s="164" t="str">
        <f ca="1">IFERROR(__xludf.DUMMYFUNCTION("""COMPUTED_VALUE"""),"Motorcycle – (Honda XRL 150)")</f>
        <v>Motorcycle – (Honda XRL 150)</v>
      </c>
      <c r="D1331" s="164" t="str">
        <f ca="1">IFERROR(__xludf.DUMMYFUNCTION("""COMPUTED_VALUE"""),"₱ 124,900.00")</f>
        <v>₱ 124,900.00</v>
      </c>
      <c r="E1331" s="164" t="str">
        <f ca="1">IFERROR(__xludf.DUMMYFUNCTION("""COMPUTED_VALUE"""),"₱-")</f>
        <v>₱-</v>
      </c>
      <c r="F1331" s="164" t="str">
        <f ca="1">IFERROR(__xludf.DUMMYFUNCTION("""COMPUTED_VALUE"""),"2023-06-01-10202SP61-01")</f>
        <v>2023-06-01-10202SP61-01</v>
      </c>
      <c r="G1331" s="164" t="str">
        <f ca="1">IFERROR(__xludf.DUMMYFUNCTION("""COMPUTED_VALUE"""),"no plate available")</f>
        <v>no plate available</v>
      </c>
      <c r="H1331" s="164" t="str">
        <f ca="1">IFERROR(__xludf.DUMMYFUNCTION("""COMPUTED_VALUE"""),"GIL BARAL")</f>
        <v>GIL BARAL</v>
      </c>
      <c r="I1331" s="164" t="str">
        <f ca="1">IFERROR(__xludf.DUMMYFUNCTION("""COMPUTED_VALUE"""),"ARPO I")</f>
        <v>ARPO I</v>
      </c>
      <c r="J1331" s="164" t="str">
        <f ca="1">IFERROR(__xludf.DUMMYFUNCTION("""COMPUTED_VALUE"""),"2023-0127-01-10")</f>
        <v>2023-0127-01-10</v>
      </c>
      <c r="K1331" s="164" t="str">
        <f ca="1">IFERROR(__xludf.DUMMYFUNCTION("""COMPUTED_VALUE"""),"GIL BARAL")</f>
        <v>GIL BARAL</v>
      </c>
      <c r="L1331" s="164" t="str">
        <f ca="1">IFERROR(__xludf.DUMMYFUNCTION("""COMPUTED_VALUE"""),"LTID")</f>
        <v>LTID</v>
      </c>
      <c r="M1331" s="164" t="str">
        <f ca="1">IFERROR(__xludf.DUMMYFUNCTION("""COMPUTED_VALUE"""),"SERVICEABLE")</f>
        <v>SERVICEABLE</v>
      </c>
      <c r="N1331" s="164"/>
    </row>
    <row r="1332" spans="1:14" ht="13.2" hidden="1">
      <c r="A1332" s="164" t="str">
        <f ca="1">IFERROR(__xludf.DUMMYFUNCTION("""COMPUTED_VALUE"""),"Region II")</f>
        <v>Region II</v>
      </c>
      <c r="B1332" s="164" t="str">
        <f ca="1">IFERROR(__xludf.DUMMYFUNCTION("""COMPUTED_VALUE"""),"CAGAYAN")</f>
        <v>CAGAYAN</v>
      </c>
      <c r="C1332" s="164" t="str">
        <f ca="1">IFERROR(__xludf.DUMMYFUNCTION("""COMPUTED_VALUE"""),"Motorcycle – (Honda XRL 150)")</f>
        <v>Motorcycle – (Honda XRL 150)</v>
      </c>
      <c r="D1332" s="164" t="str">
        <f ca="1">IFERROR(__xludf.DUMMYFUNCTION("""COMPUTED_VALUE"""),"₱ 124,900.00")</f>
        <v>₱ 124,900.00</v>
      </c>
      <c r="E1332" s="164" t="str">
        <f ca="1">IFERROR(__xludf.DUMMYFUNCTION("""COMPUTED_VALUE"""),"₱-")</f>
        <v>₱-</v>
      </c>
      <c r="F1332" s="164" t="str">
        <f ca="1">IFERROR(__xludf.DUMMYFUNCTION("""COMPUTED_VALUE"""),"2023-06-01-10202SP62-01")</f>
        <v>2023-06-01-10202SP62-01</v>
      </c>
      <c r="G1332" s="164" t="str">
        <f ca="1">IFERROR(__xludf.DUMMYFUNCTION("""COMPUTED_VALUE"""),"no plate available")</f>
        <v>no plate available</v>
      </c>
      <c r="H1332" s="164" t="str">
        <f ca="1">IFERROR(__xludf.DUMMYFUNCTION("""COMPUTED_VALUE"""),"MANUEL LUIS SEDANO")</f>
        <v>MANUEL LUIS SEDANO</v>
      </c>
      <c r="I1332" s="164" t="str">
        <f ca="1">IFERROR(__xludf.DUMMYFUNCTION("""COMPUTED_VALUE"""),"ARPO I")</f>
        <v>ARPO I</v>
      </c>
      <c r="J1332" s="164" t="str">
        <f ca="1">IFERROR(__xludf.DUMMYFUNCTION("""COMPUTED_VALUE"""),"2023-0127-01-10")</f>
        <v>2023-0127-01-10</v>
      </c>
      <c r="K1332" s="164" t="str">
        <f ca="1">IFERROR(__xludf.DUMMYFUNCTION("""COMPUTED_VALUE"""),"MANUEL LUIS SEDANO")</f>
        <v>MANUEL LUIS SEDANO</v>
      </c>
      <c r="L1332" s="164" t="str">
        <f ca="1">IFERROR(__xludf.DUMMYFUNCTION("""COMPUTED_VALUE"""),"PBDD")</f>
        <v>PBDD</v>
      </c>
      <c r="M1332" s="164" t="str">
        <f ca="1">IFERROR(__xludf.DUMMYFUNCTION("""COMPUTED_VALUE"""),"SERVICEABLE")</f>
        <v>SERVICEABLE</v>
      </c>
      <c r="N1332" s="164"/>
    </row>
    <row r="1333" spans="1:14" ht="13.2" hidden="1">
      <c r="A1333" s="164" t="str">
        <f ca="1">IFERROR(__xludf.DUMMYFUNCTION("""COMPUTED_VALUE"""),"Region II")</f>
        <v>Region II</v>
      </c>
      <c r="B1333" s="164" t="str">
        <f ca="1">IFERROR(__xludf.DUMMYFUNCTION("""COMPUTED_VALUE"""),"CAGAYAN")</f>
        <v>CAGAYAN</v>
      </c>
      <c r="C1333" s="164" t="str">
        <f ca="1">IFERROR(__xludf.DUMMYFUNCTION("""COMPUTED_VALUE"""),"Motorcycle – (Honda XRL 150)")</f>
        <v>Motorcycle – (Honda XRL 150)</v>
      </c>
      <c r="D1333" s="164" t="str">
        <f ca="1">IFERROR(__xludf.DUMMYFUNCTION("""COMPUTED_VALUE"""),"₱ 124,900.00")</f>
        <v>₱ 124,900.00</v>
      </c>
      <c r="E1333" s="164" t="str">
        <f ca="1">IFERROR(__xludf.DUMMYFUNCTION("""COMPUTED_VALUE"""),"₱-")</f>
        <v>₱-</v>
      </c>
      <c r="F1333" s="164" t="str">
        <f ca="1">IFERROR(__xludf.DUMMYFUNCTION("""COMPUTED_VALUE"""),"2023-06-01-10202SP63-01")</f>
        <v>2023-06-01-10202SP63-01</v>
      </c>
      <c r="G1333" s="164" t="str">
        <f ca="1">IFERROR(__xludf.DUMMYFUNCTION("""COMPUTED_VALUE"""),"no plate available")</f>
        <v>no plate available</v>
      </c>
      <c r="H1333" s="164" t="str">
        <f ca="1">IFERROR(__xludf.DUMMYFUNCTION("""COMPUTED_VALUE"""),"CARLO MAGNO C. PADUA")</f>
        <v>CARLO MAGNO C. PADUA</v>
      </c>
      <c r="I1333" s="164" t="str">
        <f ca="1">IFERROR(__xludf.DUMMYFUNCTION("""COMPUTED_VALUE"""),"ADMIN AIDE VI")</f>
        <v>ADMIN AIDE VI</v>
      </c>
      <c r="J1333" s="164" t="str">
        <f ca="1">IFERROR(__xludf.DUMMYFUNCTION("""COMPUTED_VALUE"""),"2023-1124-01-09")</f>
        <v>2023-1124-01-09</v>
      </c>
      <c r="K1333" s="164" t="str">
        <f ca="1">IFERROR(__xludf.DUMMYFUNCTION("""COMPUTED_VALUE"""),"CARLO MAGNO PADUA")</f>
        <v>CARLO MAGNO PADUA</v>
      </c>
      <c r="L1333" s="164" t="str">
        <f ca="1">IFERROR(__xludf.DUMMYFUNCTION("""COMPUTED_VALUE"""),"DARMO AMULUNG")</f>
        <v>DARMO AMULUNG</v>
      </c>
      <c r="M1333" s="164" t="str">
        <f ca="1">IFERROR(__xludf.DUMMYFUNCTION("""COMPUTED_VALUE"""),"SERVICEABLE")</f>
        <v>SERVICEABLE</v>
      </c>
      <c r="N1333" s="164"/>
    </row>
    <row r="1334" spans="1:14" ht="13.2" hidden="1">
      <c r="A1334" s="164" t="str">
        <f ca="1">IFERROR(__xludf.DUMMYFUNCTION("""COMPUTED_VALUE"""),"Region II")</f>
        <v>Region II</v>
      </c>
      <c r="B1334" s="164" t="str">
        <f ca="1">IFERROR(__xludf.DUMMYFUNCTION("""COMPUTED_VALUE"""),"CAGAYAN")</f>
        <v>CAGAYAN</v>
      </c>
      <c r="C1334" s="164" t="str">
        <f ca="1">IFERROR(__xludf.DUMMYFUNCTION("""COMPUTED_VALUE"""),"Motorcycle – (Honda XRL 150)")</f>
        <v>Motorcycle – (Honda XRL 150)</v>
      </c>
      <c r="D1334" s="164" t="str">
        <f ca="1">IFERROR(__xludf.DUMMYFUNCTION("""COMPUTED_VALUE"""),"₱ 124,900.00")</f>
        <v>₱ 124,900.00</v>
      </c>
      <c r="E1334" s="164" t="str">
        <f ca="1">IFERROR(__xludf.DUMMYFUNCTION("""COMPUTED_VALUE"""),"₱-")</f>
        <v>₱-</v>
      </c>
      <c r="F1334" s="164" t="str">
        <f ca="1">IFERROR(__xludf.DUMMYFUNCTION("""COMPUTED_VALUE"""),"2023-06-01-10202SP64-01")</f>
        <v>2023-06-01-10202SP64-01</v>
      </c>
      <c r="G1334" s="164" t="str">
        <f ca="1">IFERROR(__xludf.DUMMYFUNCTION("""COMPUTED_VALUE"""),"no plate available")</f>
        <v>no plate available</v>
      </c>
      <c r="H1334" s="164" t="str">
        <f ca="1">IFERROR(__xludf.DUMMYFUNCTION("""COMPUTED_VALUE"""),"RAMON L. BAYLON")</f>
        <v>RAMON L. BAYLON</v>
      </c>
      <c r="I1334" s="164" t="str">
        <f ca="1">IFERROR(__xludf.DUMMYFUNCTION("""COMPUTED_VALUE"""),"ADMIN AIDE VI")</f>
        <v>ADMIN AIDE VI</v>
      </c>
      <c r="J1334" s="164" t="str">
        <f ca="1">IFERROR(__xludf.DUMMYFUNCTION("""COMPUTED_VALUE"""),"2024-0104-01-05")</f>
        <v>2024-0104-01-05</v>
      </c>
      <c r="K1334" s="164" t="str">
        <f ca="1">IFERROR(__xludf.DUMMYFUNCTION("""COMPUTED_VALUE"""),"RAMON L. BAYLON")</f>
        <v>RAMON L. BAYLON</v>
      </c>
      <c r="L1334" s="164" t="str">
        <f ca="1">IFERROR(__xludf.DUMMYFUNCTION("""COMPUTED_VALUE"""),"DARMO PAMPLONA")</f>
        <v>DARMO PAMPLONA</v>
      </c>
      <c r="M1334" s="164" t="str">
        <f ca="1">IFERROR(__xludf.DUMMYFUNCTION("""COMPUTED_VALUE"""),"SERVICEABLE")</f>
        <v>SERVICEABLE</v>
      </c>
      <c r="N1334" s="164"/>
    </row>
    <row r="1335" spans="1:14" ht="13.2" hidden="1">
      <c r="A1335" s="164" t="str">
        <f ca="1">IFERROR(__xludf.DUMMYFUNCTION("""COMPUTED_VALUE"""),"Region II")</f>
        <v>Region II</v>
      </c>
      <c r="B1335" s="164" t="str">
        <f ca="1">IFERROR(__xludf.DUMMYFUNCTION("""COMPUTED_VALUE"""),"CAGAYAN")</f>
        <v>CAGAYAN</v>
      </c>
      <c r="C1335" s="164" t="str">
        <f ca="1">IFERROR(__xludf.DUMMYFUNCTION("""COMPUTED_VALUE"""),"Motorcycle – (Honda XRL 150)")</f>
        <v>Motorcycle – (Honda XRL 150)</v>
      </c>
      <c r="D1335" s="164" t="str">
        <f ca="1">IFERROR(__xludf.DUMMYFUNCTION("""COMPUTED_VALUE"""),"₱ 124,900.00")</f>
        <v>₱ 124,900.00</v>
      </c>
      <c r="E1335" s="164" t="str">
        <f ca="1">IFERROR(__xludf.DUMMYFUNCTION("""COMPUTED_VALUE"""),"₱-")</f>
        <v>₱-</v>
      </c>
      <c r="F1335" s="164" t="str">
        <f ca="1">IFERROR(__xludf.DUMMYFUNCTION("""COMPUTED_VALUE"""),"2023-06-01-10202SP65-01")</f>
        <v>2023-06-01-10202SP65-01</v>
      </c>
      <c r="G1335" s="164" t="str">
        <f ca="1">IFERROR(__xludf.DUMMYFUNCTION("""COMPUTED_VALUE"""),"no plate available")</f>
        <v>no plate available</v>
      </c>
      <c r="H1335" s="164" t="str">
        <f ca="1">IFERROR(__xludf.DUMMYFUNCTION("""COMPUTED_VALUE"""),"REYNAN GARINGGAN")</f>
        <v>REYNAN GARINGGAN</v>
      </c>
      <c r="I1335" s="164" t="str">
        <f ca="1">IFERROR(__xludf.DUMMYFUNCTION("""COMPUTED_VALUE"""),"ARPO I")</f>
        <v>ARPO I</v>
      </c>
      <c r="J1335" s="164" t="str">
        <f ca="1">IFERROR(__xludf.DUMMYFUNCTION("""COMPUTED_VALUE"""),"2023-0127-01-10")</f>
        <v>2023-0127-01-10</v>
      </c>
      <c r="K1335" s="164" t="str">
        <f ca="1">IFERROR(__xludf.DUMMYFUNCTION("""COMPUTED_VALUE"""),"REYNAN GARINGGAN")</f>
        <v>REYNAN GARINGGAN</v>
      </c>
      <c r="L1335" s="164" t="str">
        <f ca="1">IFERROR(__xludf.DUMMYFUNCTION("""COMPUTED_VALUE"""),"PBDD")</f>
        <v>PBDD</v>
      </c>
      <c r="M1335" s="164" t="str">
        <f ca="1">IFERROR(__xludf.DUMMYFUNCTION("""COMPUTED_VALUE"""),"SERVICEABLE")</f>
        <v>SERVICEABLE</v>
      </c>
      <c r="N1335" s="164"/>
    </row>
    <row r="1336" spans="1:14" ht="13.2" hidden="1">
      <c r="A1336" s="164" t="str">
        <f ca="1">IFERROR(__xludf.DUMMYFUNCTION("""COMPUTED_VALUE"""),"Region II")</f>
        <v>Region II</v>
      </c>
      <c r="B1336" s="164" t="str">
        <f ca="1">IFERROR(__xludf.DUMMYFUNCTION("""COMPUTED_VALUE"""),"CAGAYAN")</f>
        <v>CAGAYAN</v>
      </c>
      <c r="C1336" s="164" t="str">
        <f ca="1">IFERROR(__xludf.DUMMYFUNCTION("""COMPUTED_VALUE"""),"Double Cabin Pick-up Vehicles – Mitsubishi Strada")</f>
        <v>Double Cabin Pick-up Vehicles – Mitsubishi Strada</v>
      </c>
      <c r="D1336" s="164" t="str">
        <f ca="1">IFERROR(__xludf.DUMMYFUNCTION("""COMPUTED_VALUE"""),"₱ 1,752,400.00")</f>
        <v>₱ 1,752,400.00</v>
      </c>
      <c r="E1336" s="164" t="str">
        <f ca="1">IFERROR(__xludf.DUMMYFUNCTION("""COMPUTED_VALUE"""),"₱-")</f>
        <v>₱-</v>
      </c>
      <c r="F1336" s="164" t="str">
        <f ca="1">IFERROR(__xludf.DUMMYFUNCTION("""COMPUTED_VALUE"""),"2023-06-01-10201SP55-01")</f>
        <v>2023-06-01-10201SP55-01</v>
      </c>
      <c r="G1336" s="164" t="str">
        <f ca="1">IFERROR(__xludf.DUMMYFUNCTION("""COMPUTED_VALUE"""),"SNC 1136")</f>
        <v>SNC 1136</v>
      </c>
      <c r="H1336" s="164" t="str">
        <f ca="1">IFERROR(__xludf.DUMMYFUNCTION("""COMPUTED_VALUE"""),"ELEUTERIO T. DE LEON JR.")</f>
        <v>ELEUTERIO T. DE LEON JR.</v>
      </c>
      <c r="I1336" s="164" t="str">
        <f ca="1">IFERROR(__xludf.DUMMYFUNCTION("""COMPUTED_VALUE"""),"AO IV/ GSO Head")</f>
        <v>AO IV/ GSO Head</v>
      </c>
      <c r="J1336" s="164" t="str">
        <f ca="1">IFERROR(__xludf.DUMMYFUNCTION("""COMPUTED_VALUE"""),"2024-01-SP-02")</f>
        <v>2024-01-SP-02</v>
      </c>
      <c r="K1336" s="164" t="str">
        <f ca="1">IFERROR(__xludf.DUMMYFUNCTION("""COMPUTED_VALUE"""),"ALL DAR-SPLIT PERSONNEL")</f>
        <v>ALL DAR-SPLIT PERSONNEL</v>
      </c>
      <c r="L1336" s="164" t="str">
        <f ca="1">IFERROR(__xludf.DUMMYFUNCTION("""COMPUTED_VALUE"""),"DARPO CAGAYAN")</f>
        <v>DARPO CAGAYAN</v>
      </c>
      <c r="M1336" s="164" t="str">
        <f ca="1">IFERROR(__xludf.DUMMYFUNCTION("""COMPUTED_VALUE"""),"SERVICEABLE")</f>
        <v>SERVICEABLE</v>
      </c>
      <c r="N1336" s="164"/>
    </row>
    <row r="1337" spans="1:14" ht="13.2" hidden="1">
      <c r="A1337" s="164" t="str">
        <f ca="1">IFERROR(__xludf.DUMMYFUNCTION("""COMPUTED_VALUE"""),"Region II")</f>
        <v>Region II</v>
      </c>
      <c r="B1337" s="164" t="str">
        <f ca="1">IFERROR(__xludf.DUMMYFUNCTION("""COMPUTED_VALUE"""),"CAGAYAN")</f>
        <v>CAGAYAN</v>
      </c>
      <c r="C1337" s="164" t="str">
        <f ca="1">IFERROR(__xludf.DUMMYFUNCTION("""COMPUTED_VALUE"""),"Double Cabin Pick-up Vehicles – Mitsubishi Strada")</f>
        <v>Double Cabin Pick-up Vehicles – Mitsubishi Strada</v>
      </c>
      <c r="D1337" s="164" t="str">
        <f ca="1">IFERROR(__xludf.DUMMYFUNCTION("""COMPUTED_VALUE"""),"₱ 1,752,400.00")</f>
        <v>₱ 1,752,400.00</v>
      </c>
      <c r="E1337" s="164" t="str">
        <f ca="1">IFERROR(__xludf.DUMMYFUNCTION("""COMPUTED_VALUE"""),"₱-")</f>
        <v>₱-</v>
      </c>
      <c r="F1337" s="164" t="str">
        <f ca="1">IFERROR(__xludf.DUMMYFUNCTION("""COMPUTED_VALUE"""),"2023-06-01-10201SP75-01")</f>
        <v>2023-06-01-10201SP75-01</v>
      </c>
      <c r="G1337" s="164" t="str">
        <f ca="1">IFERROR(__xludf.DUMMYFUNCTION("""COMPUTED_VALUE"""),"SNC 1164")</f>
        <v>SNC 1164</v>
      </c>
      <c r="H1337" s="164" t="str">
        <f ca="1">IFERROR(__xludf.DUMMYFUNCTION("""COMPUTED_VALUE"""),"ELEUTERIO T. DE LEON JR.")</f>
        <v>ELEUTERIO T. DE LEON JR.</v>
      </c>
      <c r="I1337" s="164" t="str">
        <f ca="1">IFERROR(__xludf.DUMMYFUNCTION("""COMPUTED_VALUE"""),"AO IV/ GSO Head")</f>
        <v>AO IV/ GSO Head</v>
      </c>
      <c r="J1337" s="164" t="str">
        <f ca="1">IFERROR(__xludf.DUMMYFUNCTION("""COMPUTED_VALUE"""),"2024-01-SP-02")</f>
        <v>2024-01-SP-02</v>
      </c>
      <c r="K1337" s="164" t="str">
        <f ca="1">IFERROR(__xludf.DUMMYFUNCTION("""COMPUTED_VALUE"""),"ALL DAR-SPLIT PERSONNEL")</f>
        <v>ALL DAR-SPLIT PERSONNEL</v>
      </c>
      <c r="L1337" s="164" t="str">
        <f ca="1">IFERROR(__xludf.DUMMYFUNCTION("""COMPUTED_VALUE"""),"DARPO CAGAYAN")</f>
        <v>DARPO CAGAYAN</v>
      </c>
      <c r="M1337" s="164" t="str">
        <f ca="1">IFERROR(__xludf.DUMMYFUNCTION("""COMPUTED_VALUE"""),"SERVICEABLE")</f>
        <v>SERVICEABLE</v>
      </c>
      <c r="N1337" s="164"/>
    </row>
    <row r="1338" spans="1:14" ht="13.2" hidden="1">
      <c r="A1338" s="164" t="str">
        <f ca="1">IFERROR(__xludf.DUMMYFUNCTION("""COMPUTED_VALUE"""),"Region II")</f>
        <v>Region II</v>
      </c>
      <c r="B1338" s="164" t="str">
        <f ca="1">IFERROR(__xludf.DUMMYFUNCTION("""COMPUTED_VALUE"""),"NUEVA VIZCAYA")</f>
        <v>NUEVA VIZCAYA</v>
      </c>
      <c r="C1338" s="164" t="str">
        <f ca="1">IFERROR(__xludf.DUMMYFUNCTION("""COMPUTED_VALUE"""),"Motorcycle – (Honda XRL 150)")</f>
        <v>Motorcycle – (Honda XRL 150)</v>
      </c>
      <c r="D1338" s="164" t="str">
        <f ca="1">IFERROR(__xludf.DUMMYFUNCTION("""COMPUTED_VALUE"""),"₱ 124,900.00")</f>
        <v>₱ 124,900.00</v>
      </c>
      <c r="E1338" s="164" t="str">
        <f ca="1">IFERROR(__xludf.DUMMYFUNCTION("""COMPUTED_VALUE"""),"₱-")</f>
        <v>₱-</v>
      </c>
      <c r="F1338" s="164" t="str">
        <f ca="1">IFERROR(__xludf.DUMMYFUNCTION("""COMPUTED_VALUE"""),"2023-06-01-10202SP93-01")</f>
        <v>2023-06-01-10202SP93-01</v>
      </c>
      <c r="G1338" s="164" t="str">
        <f ca="1">IFERROR(__xludf.DUMMYFUNCTION("""COMPUTED_VALUE"""),"no plate available")</f>
        <v>no plate available</v>
      </c>
      <c r="H1338" s="164" t="str">
        <f ca="1">IFERROR(__xludf.DUMMYFUNCTION("""COMPUTED_VALUE"""),"RONALD JOHN G. CELESTINO")</f>
        <v>RONALD JOHN G. CELESTINO</v>
      </c>
      <c r="I1338" s="164" t="str">
        <f ca="1">IFERROR(__xludf.DUMMYFUNCTION("""COMPUTED_VALUE"""),"ARPO II")</f>
        <v>ARPO II</v>
      </c>
      <c r="J1338" s="164" t="str">
        <f ca="1">IFERROR(__xludf.DUMMYFUNCTION("""COMPUTED_VALUE"""),"2025-01-0004")</f>
        <v>2025-01-0004</v>
      </c>
      <c r="K1338" s="164" t="str">
        <f ca="1">IFERROR(__xludf.DUMMYFUNCTION("""COMPUTED_VALUE"""),"RONALD JOHN G. CELESTINO")</f>
        <v>RONALD JOHN G. CELESTINO</v>
      </c>
      <c r="L1338" s="164" t="str">
        <f ca="1">IFERROR(__xludf.DUMMYFUNCTION("""COMPUTED_VALUE"""),"PBDD")</f>
        <v>PBDD</v>
      </c>
      <c r="M1338" s="164" t="str">
        <f ca="1">IFERROR(__xludf.DUMMYFUNCTION("""COMPUTED_VALUE"""),"SERVICEABLE")</f>
        <v>SERVICEABLE</v>
      </c>
      <c r="N1338" s="164"/>
    </row>
    <row r="1339" spans="1:14" ht="13.2" hidden="1">
      <c r="A1339" s="164" t="str">
        <f ca="1">IFERROR(__xludf.DUMMYFUNCTION("""COMPUTED_VALUE"""),"Region II")</f>
        <v>Region II</v>
      </c>
      <c r="B1339" s="164" t="str">
        <f ca="1">IFERROR(__xludf.DUMMYFUNCTION("""COMPUTED_VALUE"""),"NUEVA VIZCAYA")</f>
        <v>NUEVA VIZCAYA</v>
      </c>
      <c r="C1339" s="164" t="str">
        <f ca="1">IFERROR(__xludf.DUMMYFUNCTION("""COMPUTED_VALUE"""),"Motorcycle – (Honda XRL 150)")</f>
        <v>Motorcycle – (Honda XRL 150)</v>
      </c>
      <c r="D1339" s="164" t="str">
        <f ca="1">IFERROR(__xludf.DUMMYFUNCTION("""COMPUTED_VALUE"""),"₱ 124,900.00")</f>
        <v>₱ 124,900.00</v>
      </c>
      <c r="E1339" s="164" t="str">
        <f ca="1">IFERROR(__xludf.DUMMYFUNCTION("""COMPUTED_VALUE"""),"₱-")</f>
        <v>₱-</v>
      </c>
      <c r="F1339" s="164" t="str">
        <f ca="1">IFERROR(__xludf.DUMMYFUNCTION("""COMPUTED_VALUE"""),"2023-06-01-10202SP94-01")</f>
        <v>2023-06-01-10202SP94-01</v>
      </c>
      <c r="G1339" s="164" t="str">
        <f ca="1">IFERROR(__xludf.DUMMYFUNCTION("""COMPUTED_VALUE"""),"no plate available")</f>
        <v>no plate available</v>
      </c>
      <c r="H1339" s="164" t="str">
        <f ca="1">IFERROR(__xludf.DUMMYFUNCTION("""COMPUTED_VALUE"""),"ROLDAN G. MAXIMO")</f>
        <v>ROLDAN G. MAXIMO</v>
      </c>
      <c r="I1339" s="164" t="str">
        <f ca="1">IFERROR(__xludf.DUMMYFUNCTION("""COMPUTED_VALUE"""),"ARPO I")</f>
        <v>ARPO I</v>
      </c>
      <c r="J1339" s="164" t="str">
        <f ca="1">IFERROR(__xludf.DUMMYFUNCTION("""COMPUTED_VALUE"""),"2024-09-0016")</f>
        <v>2024-09-0016</v>
      </c>
      <c r="K1339" s="164" t="str">
        <f ca="1">IFERROR(__xludf.DUMMYFUNCTION("""COMPUTED_VALUE"""),"ROLDAN G. MAXIMO")</f>
        <v>ROLDAN G. MAXIMO</v>
      </c>
      <c r="L1339" s="164" t="str">
        <f ca="1">IFERROR(__xludf.DUMMYFUNCTION("""COMPUTED_VALUE"""),"MARPO Cluster")</f>
        <v>MARPO Cluster</v>
      </c>
      <c r="M1339" s="164" t="str">
        <f ca="1">IFERROR(__xludf.DUMMYFUNCTION("""COMPUTED_VALUE"""),"SERVICEABLE")</f>
        <v>SERVICEABLE</v>
      </c>
      <c r="N1339" s="164"/>
    </row>
    <row r="1340" spans="1:14" ht="13.2" hidden="1">
      <c r="A1340" s="164" t="str">
        <f ca="1">IFERROR(__xludf.DUMMYFUNCTION("""COMPUTED_VALUE"""),"Region II")</f>
        <v>Region II</v>
      </c>
      <c r="B1340" s="164" t="str">
        <f ca="1">IFERROR(__xludf.DUMMYFUNCTION("""COMPUTED_VALUE"""),"NUEVA VIZCAYA")</f>
        <v>NUEVA VIZCAYA</v>
      </c>
      <c r="C1340" s="164" t="str">
        <f ca="1">IFERROR(__xludf.DUMMYFUNCTION("""COMPUTED_VALUE"""),"Motorcycle – (Honda XRL 150)")</f>
        <v>Motorcycle – (Honda XRL 150)</v>
      </c>
      <c r="D1340" s="164" t="str">
        <f ca="1">IFERROR(__xludf.DUMMYFUNCTION("""COMPUTED_VALUE"""),"₱ 124,900.00")</f>
        <v>₱ 124,900.00</v>
      </c>
      <c r="E1340" s="164" t="str">
        <f ca="1">IFERROR(__xludf.DUMMYFUNCTION("""COMPUTED_VALUE"""),"₱-")</f>
        <v>₱-</v>
      </c>
      <c r="F1340" s="164" t="str">
        <f ca="1">IFERROR(__xludf.DUMMYFUNCTION("""COMPUTED_VALUE"""),"2023-06-01-10202SP95-01")</f>
        <v>2023-06-01-10202SP95-01</v>
      </c>
      <c r="G1340" s="164" t="str">
        <f ca="1">IFERROR(__xludf.DUMMYFUNCTION("""COMPUTED_VALUE"""),"no plate available")</f>
        <v>no plate available</v>
      </c>
      <c r="H1340" s="164" t="str">
        <f ca="1">IFERROR(__xludf.DUMMYFUNCTION("""COMPUTED_VALUE"""),"EZRA-VEDDER F. SANCHEZ")</f>
        <v>EZRA-VEDDER F. SANCHEZ</v>
      </c>
      <c r="I1340" s="164" t="str">
        <f ca="1">IFERROR(__xludf.DUMMYFUNCTION("""COMPUTED_VALUE"""),"ARPO I")</f>
        <v>ARPO I</v>
      </c>
      <c r="J1340" s="164" t="str">
        <f ca="1">IFERROR(__xludf.DUMMYFUNCTION("""COMPUTED_VALUE"""),"2023-09-0015")</f>
        <v>2023-09-0015</v>
      </c>
      <c r="K1340" s="164" t="str">
        <f ca="1">IFERROR(__xludf.DUMMYFUNCTION("""COMPUTED_VALUE"""),"EZRA-VEDDER F. SANCHEZ")</f>
        <v>EZRA-VEDDER F. SANCHEZ</v>
      </c>
      <c r="L1340" s="164" t="str">
        <f ca="1">IFERROR(__xludf.DUMMYFUNCTION("""COMPUTED_VALUE"""),"GSO")</f>
        <v>GSO</v>
      </c>
      <c r="M1340" s="164" t="str">
        <f ca="1">IFERROR(__xludf.DUMMYFUNCTION("""COMPUTED_VALUE"""),"SERVICEABLE")</f>
        <v>SERVICEABLE</v>
      </c>
      <c r="N1340" s="164"/>
    </row>
    <row r="1341" spans="1:14" ht="13.2" hidden="1">
      <c r="A1341" s="164" t="str">
        <f ca="1">IFERROR(__xludf.DUMMYFUNCTION("""COMPUTED_VALUE"""),"Region II")</f>
        <v>Region II</v>
      </c>
      <c r="B1341" s="164" t="str">
        <f ca="1">IFERROR(__xludf.DUMMYFUNCTION("""COMPUTED_VALUE"""),"NUEVA VIZCAYA")</f>
        <v>NUEVA VIZCAYA</v>
      </c>
      <c r="C1341" s="164" t="str">
        <f ca="1">IFERROR(__xludf.DUMMYFUNCTION("""COMPUTED_VALUE"""),"Motorcycle – (Honda XRL 150)")</f>
        <v>Motorcycle – (Honda XRL 150)</v>
      </c>
      <c r="D1341" s="164" t="str">
        <f ca="1">IFERROR(__xludf.DUMMYFUNCTION("""COMPUTED_VALUE"""),"₱ 124,900.00")</f>
        <v>₱ 124,900.00</v>
      </c>
      <c r="E1341" s="164" t="str">
        <f ca="1">IFERROR(__xludf.DUMMYFUNCTION("""COMPUTED_VALUE"""),"₱-")</f>
        <v>₱-</v>
      </c>
      <c r="F1341" s="164" t="str">
        <f ca="1">IFERROR(__xludf.DUMMYFUNCTION("""COMPUTED_VALUE"""),"2023-06-01-10202SP96-01")</f>
        <v>2023-06-01-10202SP96-01</v>
      </c>
      <c r="G1341" s="164" t="str">
        <f ca="1">IFERROR(__xludf.DUMMYFUNCTION("""COMPUTED_VALUE"""),"no plate available")</f>
        <v>no plate available</v>
      </c>
      <c r="H1341" s="164" t="str">
        <f ca="1">IFERROR(__xludf.DUMMYFUNCTION("""COMPUTED_VALUE"""),"RENE C. PULIDO")</f>
        <v>RENE C. PULIDO</v>
      </c>
      <c r="I1341" s="164" t="str">
        <f ca="1">IFERROR(__xludf.DUMMYFUNCTION("""COMPUTED_VALUE"""),"SHERIFF")</f>
        <v>SHERIFF</v>
      </c>
      <c r="J1341" s="164" t="str">
        <f ca="1">IFERROR(__xludf.DUMMYFUNCTION("""COMPUTED_VALUE"""),"2023-09-0016")</f>
        <v>2023-09-0016</v>
      </c>
      <c r="K1341" s="164" t="str">
        <f ca="1">IFERROR(__xludf.DUMMYFUNCTION("""COMPUTED_VALUE"""),"RENE C. PULIDO")</f>
        <v>RENE C. PULIDO</v>
      </c>
      <c r="L1341" s="164" t="str">
        <f ca="1">IFERROR(__xludf.DUMMYFUNCTION("""COMPUTED_VALUE"""),"DARAB")</f>
        <v>DARAB</v>
      </c>
      <c r="M1341" s="164" t="str">
        <f ca="1">IFERROR(__xludf.DUMMYFUNCTION("""COMPUTED_VALUE"""),"SERVICEABLE")</f>
        <v>SERVICEABLE</v>
      </c>
      <c r="N1341" s="164"/>
    </row>
    <row r="1342" spans="1:14" ht="13.2" hidden="1">
      <c r="A1342" s="164" t="str">
        <f ca="1">IFERROR(__xludf.DUMMYFUNCTION("""COMPUTED_VALUE"""),"Region II")</f>
        <v>Region II</v>
      </c>
      <c r="B1342" s="164" t="str">
        <f ca="1">IFERROR(__xludf.DUMMYFUNCTION("""COMPUTED_VALUE"""),"NUEVA VIZCAYA")</f>
        <v>NUEVA VIZCAYA</v>
      </c>
      <c r="C1342" s="164" t="str">
        <f ca="1">IFERROR(__xludf.DUMMYFUNCTION("""COMPUTED_VALUE"""),"Motorcycle – (Honda XRL 150)")</f>
        <v>Motorcycle – (Honda XRL 150)</v>
      </c>
      <c r="D1342" s="164" t="str">
        <f ca="1">IFERROR(__xludf.DUMMYFUNCTION("""COMPUTED_VALUE"""),"₱ 124,900.00")</f>
        <v>₱ 124,900.00</v>
      </c>
      <c r="E1342" s="164" t="str">
        <f ca="1">IFERROR(__xludf.DUMMYFUNCTION("""COMPUTED_VALUE"""),"₱-")</f>
        <v>₱-</v>
      </c>
      <c r="F1342" s="164" t="str">
        <f ca="1">IFERROR(__xludf.DUMMYFUNCTION("""COMPUTED_VALUE"""),"2023-06-01-10202SP97-01")</f>
        <v>2023-06-01-10202SP97-01</v>
      </c>
      <c r="G1342" s="164" t="str">
        <f ca="1">IFERROR(__xludf.DUMMYFUNCTION("""COMPUTED_VALUE"""),"no plate available")</f>
        <v>no plate available</v>
      </c>
      <c r="H1342" s="164" t="str">
        <f ca="1">IFERROR(__xludf.DUMMYFUNCTION("""COMPUTED_VALUE"""),"MIEL GERONN ANGELO M. ANDRES")</f>
        <v>MIEL GERONN ANGELO M. ANDRES</v>
      </c>
      <c r="I1342" s="164" t="str">
        <f ca="1">IFERROR(__xludf.DUMMYFUNCTION("""COMPUTED_VALUE"""),"ARPT")</f>
        <v>ARPT</v>
      </c>
      <c r="J1342" s="164" t="str">
        <f ca="1">IFERROR(__xludf.DUMMYFUNCTION("""COMPUTED_VALUE"""),"2024-01-0001")</f>
        <v>2024-01-0001</v>
      </c>
      <c r="K1342" s="164" t="str">
        <f ca="1">IFERROR(__xludf.DUMMYFUNCTION("""COMPUTED_VALUE"""),"MIEL GERONN ANGELO M. ANDRES")</f>
        <v>MIEL GERONN ANGELO M. ANDRES</v>
      </c>
      <c r="L1342" s="164" t="str">
        <f ca="1">IFERROR(__xludf.DUMMYFUNCTION("""COMPUTED_VALUE"""),"MARPO Cluster")</f>
        <v>MARPO Cluster</v>
      </c>
      <c r="M1342" s="164" t="str">
        <f ca="1">IFERROR(__xludf.DUMMYFUNCTION("""COMPUTED_VALUE"""),"SERVICEABLE")</f>
        <v>SERVICEABLE</v>
      </c>
      <c r="N1342" s="164"/>
    </row>
    <row r="1343" spans="1:14" ht="13.2" hidden="1">
      <c r="A1343" s="164" t="str">
        <f ca="1">IFERROR(__xludf.DUMMYFUNCTION("""COMPUTED_VALUE"""),"Region II")</f>
        <v>Region II</v>
      </c>
      <c r="B1343" s="164" t="str">
        <f ca="1">IFERROR(__xludf.DUMMYFUNCTION("""COMPUTED_VALUE"""),"NUEVA VIZCAYA")</f>
        <v>NUEVA VIZCAYA</v>
      </c>
      <c r="C1343" s="164" t="str">
        <f ca="1">IFERROR(__xludf.DUMMYFUNCTION("""COMPUTED_VALUE"""),"Double Cabin Pick-up Vehicles – Mitsubishi Strada")</f>
        <v>Double Cabin Pick-up Vehicles – Mitsubishi Strada</v>
      </c>
      <c r="D1343" s="164" t="str">
        <f ca="1">IFERROR(__xludf.DUMMYFUNCTION("""COMPUTED_VALUE"""),"₱ 1,752,400.00")</f>
        <v>₱ 1,752,400.00</v>
      </c>
      <c r="E1343" s="164" t="str">
        <f ca="1">IFERROR(__xludf.DUMMYFUNCTION("""COMPUTED_VALUE"""),"₱-")</f>
        <v>₱-</v>
      </c>
      <c r="F1343" s="164" t="str">
        <f ca="1">IFERROR(__xludf.DUMMYFUNCTION("""COMPUTED_VALUE"""),"2023-06-01-10201SP57-01")</f>
        <v>2023-06-01-10201SP57-01</v>
      </c>
      <c r="G1343" s="164" t="str">
        <f ca="1">IFERROR(__xludf.DUMMYFUNCTION("""COMPUTED_VALUE"""),"SNC 1138")</f>
        <v>SNC 1138</v>
      </c>
      <c r="H1343" s="164" t="str">
        <f ca="1">IFERROR(__xludf.DUMMYFUNCTION("""COMPUTED_VALUE"""),"ESTERLINA P. MARTIN")</f>
        <v>ESTERLINA P. MARTIN</v>
      </c>
      <c r="I1343" s="164" t="str">
        <f ca="1">IFERROR(__xludf.DUMMYFUNCTION("""COMPUTED_VALUE"""),"AO IV/ GSO HEAD")</f>
        <v>AO IV/ GSO HEAD</v>
      </c>
      <c r="J1343" s="164" t="str">
        <f ca="1">IFERROR(__xludf.DUMMYFUNCTION("""COMPUTED_VALUE"""),"2023-10-0022A")</f>
        <v>2023-10-0022A</v>
      </c>
      <c r="K1343" s="164" t="str">
        <f ca="1">IFERROR(__xludf.DUMMYFUNCTION("""COMPUTED_VALUE"""),"ESTERLINA P. MARTIN")</f>
        <v>ESTERLINA P. MARTIN</v>
      </c>
      <c r="L1343" s="164" t="str">
        <f ca="1">IFERROR(__xludf.DUMMYFUNCTION("""COMPUTED_VALUE"""),"GSO")</f>
        <v>GSO</v>
      </c>
      <c r="M1343" s="164" t="str">
        <f ca="1">IFERROR(__xludf.DUMMYFUNCTION("""COMPUTED_VALUE"""),"SERVICEABLE")</f>
        <v>SERVICEABLE</v>
      </c>
      <c r="N1343" s="164"/>
    </row>
    <row r="1344" spans="1:14" ht="13.2" hidden="1">
      <c r="A1344" s="164" t="str">
        <f ca="1">IFERROR(__xludf.DUMMYFUNCTION("""COMPUTED_VALUE"""),"Region II")</f>
        <v>Region II</v>
      </c>
      <c r="B1344" s="164" t="str">
        <f ca="1">IFERROR(__xludf.DUMMYFUNCTION("""COMPUTED_VALUE"""),"ISABELA")</f>
        <v>ISABELA</v>
      </c>
      <c r="C1344" s="164" t="str">
        <f ca="1">IFERROR(__xludf.DUMMYFUNCTION("""COMPUTED_VALUE"""),"Double Cabin Pick-up Vehicles – Mitsubishi Strada")</f>
        <v>Double Cabin Pick-up Vehicles – Mitsubishi Strada</v>
      </c>
      <c r="D1344" s="164" t="str">
        <f ca="1">IFERROR(__xludf.DUMMYFUNCTION("""COMPUTED_VALUE"""),"₱ 1,752,400.00")</f>
        <v>₱ 1,752,400.00</v>
      </c>
      <c r="E1344" s="164" t="str">
        <f ca="1">IFERROR(__xludf.DUMMYFUNCTION("""COMPUTED_VALUE"""),"₱-")</f>
        <v>₱-</v>
      </c>
      <c r="F1344" s="164" t="str">
        <f ca="1">IFERROR(__xludf.DUMMYFUNCTION("""COMPUTED_VALUE"""),"2023-06-01-10201SP54-01")</f>
        <v>2023-06-01-10201SP54-01</v>
      </c>
      <c r="G1344" s="164" t="str">
        <f ca="1">IFERROR(__xludf.DUMMYFUNCTION("""COMPUTED_VALUE"""),"SNC1116")</f>
        <v>SNC1116</v>
      </c>
      <c r="H1344" s="164" t="str">
        <f ca="1">IFERROR(__xludf.DUMMYFUNCTION("""COMPUTED_VALUE"""),"CARINA L. IBALE")</f>
        <v>CARINA L. IBALE</v>
      </c>
      <c r="I1344" s="164" t="str">
        <f ca="1">IFERROR(__xludf.DUMMYFUNCTION("""COMPUTED_VALUE"""),"PROJECT PROCUREMENT COORDINATOR")</f>
        <v>PROJECT PROCUREMENT COORDINATOR</v>
      </c>
      <c r="J1344" s="164" t="str">
        <f ca="1">IFERROR(__xludf.DUMMYFUNCTION("""COMPUTED_VALUE"""),"2023-10-001")</f>
        <v>2023-10-001</v>
      </c>
      <c r="K1344" s="164" t="str">
        <f ca="1">IFERROR(__xludf.DUMMYFUNCTION("""COMPUTED_VALUE"""),"SPLIT PPMO ORGANIC")</f>
        <v>SPLIT PPMO ORGANIC</v>
      </c>
      <c r="L1344" s="164" t="str">
        <f ca="1">IFERROR(__xludf.DUMMYFUNCTION("""COMPUTED_VALUE"""),"DARPO")</f>
        <v>DARPO</v>
      </c>
      <c r="M1344" s="164" t="str">
        <f ca="1">IFERROR(__xludf.DUMMYFUNCTION("""COMPUTED_VALUE"""),"UNSERVICEABLE")</f>
        <v>UNSERVICEABLE</v>
      </c>
      <c r="N1344" s="164" t="str">
        <f ca="1">IFERROR(__xludf.DUMMYFUNCTION("""COMPUTED_VALUE"""),"MAJOR REPAIR")</f>
        <v>MAJOR REPAIR</v>
      </c>
    </row>
    <row r="1345" spans="1:14" ht="13.2" hidden="1">
      <c r="A1345" s="164" t="str">
        <f ca="1">IFERROR(__xludf.DUMMYFUNCTION("""COMPUTED_VALUE"""),"Region II")</f>
        <v>Region II</v>
      </c>
      <c r="B1345" s="164" t="str">
        <f ca="1">IFERROR(__xludf.DUMMYFUNCTION("""COMPUTED_VALUE"""),"ISABELA")</f>
        <v>ISABELA</v>
      </c>
      <c r="C1345" s="164" t="str">
        <f ca="1">IFERROR(__xludf.DUMMYFUNCTION("""COMPUTED_VALUE"""),"Double Cabin Pick-up Vehicles – Mitsubishi Strada")</f>
        <v>Double Cabin Pick-up Vehicles – Mitsubishi Strada</v>
      </c>
      <c r="D1345" s="164" t="str">
        <f ca="1">IFERROR(__xludf.DUMMYFUNCTION("""COMPUTED_VALUE"""),"₱ 1,752,400.00")</f>
        <v>₱ 1,752,400.00</v>
      </c>
      <c r="E1345" s="164" t="str">
        <f ca="1">IFERROR(__xludf.DUMMYFUNCTION("""COMPUTED_VALUE"""),"₱-")</f>
        <v>₱-</v>
      </c>
      <c r="F1345" s="164" t="str">
        <f ca="1">IFERROR(__xludf.DUMMYFUNCTION("""COMPUTED_VALUE"""),"2023-06-01-10201SP56-01")</f>
        <v>2023-06-01-10201SP56-01</v>
      </c>
      <c r="G1345" s="164" t="str">
        <f ca="1">IFERROR(__xludf.DUMMYFUNCTION("""COMPUTED_VALUE"""),"SNC1058")</f>
        <v>SNC1058</v>
      </c>
      <c r="H1345" s="164" t="str">
        <f ca="1">IFERROR(__xludf.DUMMYFUNCTION("""COMPUTED_VALUE"""),"ATTY. RAUL C.LALUAN")</f>
        <v>ATTY. RAUL C.LALUAN</v>
      </c>
      <c r="I1345" s="164" t="str">
        <f ca="1">IFERROR(__xludf.DUMMYFUNCTION("""COMPUTED_VALUE"""),"PARPO II")</f>
        <v>PARPO II</v>
      </c>
      <c r="J1345" s="164" t="str">
        <f ca="1">IFERROR(__xludf.DUMMYFUNCTION("""COMPUTED_VALUE"""),"2023-10-002")</f>
        <v>2023-10-002</v>
      </c>
      <c r="K1345" s="164" t="str">
        <f ca="1">IFERROR(__xludf.DUMMYFUNCTION("""COMPUTED_VALUE"""),"ATTY. RAUL C.LALUAN")</f>
        <v>ATTY. RAUL C.LALUAN</v>
      </c>
      <c r="L1345" s="164" t="str">
        <f ca="1">IFERROR(__xludf.DUMMYFUNCTION("""COMPUTED_VALUE"""),"DARPO")</f>
        <v>DARPO</v>
      </c>
      <c r="M1345" s="164" t="str">
        <f ca="1">IFERROR(__xludf.DUMMYFUNCTION("""COMPUTED_VALUE"""),"SERVICEABLE")</f>
        <v>SERVICEABLE</v>
      </c>
      <c r="N1345" s="164"/>
    </row>
    <row r="1346" spans="1:14" ht="13.2" hidden="1">
      <c r="A1346" s="164" t="str">
        <f ca="1">IFERROR(__xludf.DUMMYFUNCTION("""COMPUTED_VALUE"""),"Region II")</f>
        <v>Region II</v>
      </c>
      <c r="B1346" s="164" t="str">
        <f ca="1">IFERROR(__xludf.DUMMYFUNCTION("""COMPUTED_VALUE"""),"ISABELA")</f>
        <v>ISABELA</v>
      </c>
      <c r="C1346" s="164" t="str">
        <f ca="1">IFERROR(__xludf.DUMMYFUNCTION("""COMPUTED_VALUE"""),"Motorcycle – (Honda XRL 150)")</f>
        <v>Motorcycle – (Honda XRL 150)</v>
      </c>
      <c r="D1346" s="164" t="str">
        <f ca="1">IFERROR(__xludf.DUMMYFUNCTION("""COMPUTED_VALUE"""),"₱ 124,900.00")</f>
        <v>₱ 124,900.00</v>
      </c>
      <c r="E1346" s="164" t="str">
        <f ca="1">IFERROR(__xludf.DUMMYFUNCTION("""COMPUTED_VALUE"""),"₱-")</f>
        <v>₱-</v>
      </c>
      <c r="F1346" s="164" t="str">
        <f ca="1">IFERROR(__xludf.DUMMYFUNCTION("""COMPUTED_VALUE"""),"2023-06-01-10202SP66-01")</f>
        <v>2023-06-01-10202SP66-01</v>
      </c>
      <c r="G1346" s="164" t="str">
        <f ca="1">IFERROR(__xludf.DUMMYFUNCTION("""COMPUTED_VALUE"""),"no plate available")</f>
        <v>no plate available</v>
      </c>
      <c r="H1346" s="164" t="str">
        <f ca="1">IFERROR(__xludf.DUMMYFUNCTION("""COMPUTED_VALUE"""),"NORMAN R VALLEJO")</f>
        <v>NORMAN R VALLEJO</v>
      </c>
      <c r="I1346" s="164" t="str">
        <f ca="1">IFERROR(__xludf.DUMMYFUNCTION("""COMPUTED_VALUE"""),"ARPT")</f>
        <v>ARPT</v>
      </c>
      <c r="J1346" s="164" t="str">
        <f ca="1">IFERROR(__xludf.DUMMYFUNCTION("""COMPUTED_VALUE"""),"2023-06-003")</f>
        <v>2023-06-003</v>
      </c>
      <c r="K1346" s="164" t="str">
        <f ca="1">IFERROR(__xludf.DUMMYFUNCTION("""COMPUTED_VALUE"""),"NORMAN R VALLEJO")</f>
        <v>NORMAN R VALLEJO</v>
      </c>
      <c r="L1346" s="164" t="str">
        <f ca="1">IFERROR(__xludf.DUMMYFUNCTION("""COMPUTED_VALUE"""),"DARMO-MALLIG")</f>
        <v>DARMO-MALLIG</v>
      </c>
      <c r="M1346" s="164" t="str">
        <f ca="1">IFERROR(__xludf.DUMMYFUNCTION("""COMPUTED_VALUE"""),"SERVICEABLE")</f>
        <v>SERVICEABLE</v>
      </c>
      <c r="N1346" s="164"/>
    </row>
    <row r="1347" spans="1:14" ht="13.2" hidden="1">
      <c r="A1347" s="164" t="str">
        <f ca="1">IFERROR(__xludf.DUMMYFUNCTION("""COMPUTED_VALUE"""),"Region II")</f>
        <v>Region II</v>
      </c>
      <c r="B1347" s="164" t="str">
        <f ca="1">IFERROR(__xludf.DUMMYFUNCTION("""COMPUTED_VALUE"""),"ISABELA")</f>
        <v>ISABELA</v>
      </c>
      <c r="C1347" s="164" t="str">
        <f ca="1">IFERROR(__xludf.DUMMYFUNCTION("""COMPUTED_VALUE"""),"Motorcycle – (Honda XRL 150)")</f>
        <v>Motorcycle – (Honda XRL 150)</v>
      </c>
      <c r="D1347" s="164" t="str">
        <f ca="1">IFERROR(__xludf.DUMMYFUNCTION("""COMPUTED_VALUE"""),"₱ 124,900.00")</f>
        <v>₱ 124,900.00</v>
      </c>
      <c r="E1347" s="164" t="str">
        <f ca="1">IFERROR(__xludf.DUMMYFUNCTION("""COMPUTED_VALUE"""),"₱-")</f>
        <v>₱-</v>
      </c>
      <c r="F1347" s="164" t="str">
        <f ca="1">IFERROR(__xludf.DUMMYFUNCTION("""COMPUTED_VALUE"""),"2023-06-01-10202SP67-01")</f>
        <v>2023-06-01-10202SP67-01</v>
      </c>
      <c r="G1347" s="164" t="str">
        <f ca="1">IFERROR(__xludf.DUMMYFUNCTION("""COMPUTED_VALUE"""),"no plate available")</f>
        <v>no plate available</v>
      </c>
      <c r="H1347" s="164" t="str">
        <f ca="1">IFERROR(__xludf.DUMMYFUNCTION("""COMPUTED_VALUE"""),"TERSO M DELOS SANTOS")</f>
        <v>TERSO M DELOS SANTOS</v>
      </c>
      <c r="I1347" s="164" t="str">
        <f ca="1">IFERROR(__xludf.DUMMYFUNCTION("""COMPUTED_VALUE"""),"ARPT")</f>
        <v>ARPT</v>
      </c>
      <c r="J1347" s="164" t="str">
        <f ca="1">IFERROR(__xludf.DUMMYFUNCTION("""COMPUTED_VALUE"""),"2023-06-013")</f>
        <v>2023-06-013</v>
      </c>
      <c r="K1347" s="164" t="str">
        <f ca="1">IFERROR(__xludf.DUMMYFUNCTION("""COMPUTED_VALUE"""),"TERSO M DELOS SANTOS")</f>
        <v>TERSO M DELOS SANTOS</v>
      </c>
      <c r="L1347" s="164" t="str">
        <f ca="1">IFERROR(__xludf.DUMMYFUNCTION("""COMPUTED_VALUE"""),"DARMO-BENITO SOLIVE")</f>
        <v>DARMO-BENITO SOLIVE</v>
      </c>
      <c r="M1347" s="164" t="str">
        <f ca="1">IFERROR(__xludf.DUMMYFUNCTION("""COMPUTED_VALUE"""),"SERVICEABLE")</f>
        <v>SERVICEABLE</v>
      </c>
      <c r="N1347" s="164"/>
    </row>
    <row r="1348" spans="1:14" ht="13.2" hidden="1">
      <c r="A1348" s="164" t="str">
        <f ca="1">IFERROR(__xludf.DUMMYFUNCTION("""COMPUTED_VALUE"""),"Region II")</f>
        <v>Region II</v>
      </c>
      <c r="B1348" s="164" t="str">
        <f ca="1">IFERROR(__xludf.DUMMYFUNCTION("""COMPUTED_VALUE"""),"ISABELA")</f>
        <v>ISABELA</v>
      </c>
      <c r="C1348" s="164" t="str">
        <f ca="1">IFERROR(__xludf.DUMMYFUNCTION("""COMPUTED_VALUE"""),"Motorcycle – (Honda XRL 150)")</f>
        <v>Motorcycle – (Honda XRL 150)</v>
      </c>
      <c r="D1348" s="164" t="str">
        <f ca="1">IFERROR(__xludf.DUMMYFUNCTION("""COMPUTED_VALUE"""),"₱ 124,900.00")</f>
        <v>₱ 124,900.00</v>
      </c>
      <c r="E1348" s="164" t="str">
        <f ca="1">IFERROR(__xludf.DUMMYFUNCTION("""COMPUTED_VALUE"""),"₱-")</f>
        <v>₱-</v>
      </c>
      <c r="F1348" s="164" t="str">
        <f ca="1">IFERROR(__xludf.DUMMYFUNCTION("""COMPUTED_VALUE"""),"2023-06-01-10202SP68-01")</f>
        <v>2023-06-01-10202SP68-01</v>
      </c>
      <c r="G1348" s="164" t="str">
        <f ca="1">IFERROR(__xludf.DUMMYFUNCTION("""COMPUTED_VALUE"""),"no plate available")</f>
        <v>no plate available</v>
      </c>
      <c r="H1348" s="164" t="str">
        <f ca="1">IFERROR(__xludf.DUMMYFUNCTION("""COMPUTED_VALUE"""),"PONCIANO C PIMENTEL")</f>
        <v>PONCIANO C PIMENTEL</v>
      </c>
      <c r="I1348" s="164" t="str">
        <f ca="1">IFERROR(__xludf.DUMMYFUNCTION("""COMPUTED_VALUE"""),"ARPT")</f>
        <v>ARPT</v>
      </c>
      <c r="J1348" s="164" t="str">
        <f ca="1">IFERROR(__xludf.DUMMYFUNCTION("""COMPUTED_VALUE"""),"2023-06-016")</f>
        <v>2023-06-016</v>
      </c>
      <c r="K1348" s="164" t="str">
        <f ca="1">IFERROR(__xludf.DUMMYFUNCTION("""COMPUTED_VALUE"""),"PONCIANO C PIMENTEL")</f>
        <v>PONCIANO C PIMENTEL</v>
      </c>
      <c r="L1348" s="164" t="str">
        <f ca="1">IFERROR(__xludf.DUMMYFUNCTION("""COMPUTED_VALUE"""),"DARMO-ILAGAN")</f>
        <v>DARMO-ILAGAN</v>
      </c>
      <c r="M1348" s="164" t="str">
        <f ca="1">IFERROR(__xludf.DUMMYFUNCTION("""COMPUTED_VALUE"""),"SERVICEABLE")</f>
        <v>SERVICEABLE</v>
      </c>
      <c r="N1348" s="164"/>
    </row>
    <row r="1349" spans="1:14" ht="13.2" hidden="1">
      <c r="A1349" s="164" t="str">
        <f ca="1">IFERROR(__xludf.DUMMYFUNCTION("""COMPUTED_VALUE"""),"Region II")</f>
        <v>Region II</v>
      </c>
      <c r="B1349" s="164" t="str">
        <f ca="1">IFERROR(__xludf.DUMMYFUNCTION("""COMPUTED_VALUE"""),"ISABELA")</f>
        <v>ISABELA</v>
      </c>
      <c r="C1349" s="164" t="str">
        <f ca="1">IFERROR(__xludf.DUMMYFUNCTION("""COMPUTED_VALUE"""),"Motorcycle – (Honda XRL 150)")</f>
        <v>Motorcycle – (Honda XRL 150)</v>
      </c>
      <c r="D1349" s="164" t="str">
        <f ca="1">IFERROR(__xludf.DUMMYFUNCTION("""COMPUTED_VALUE"""),"₱ 124,900.00")</f>
        <v>₱ 124,900.00</v>
      </c>
      <c r="E1349" s="164" t="str">
        <f ca="1">IFERROR(__xludf.DUMMYFUNCTION("""COMPUTED_VALUE"""),"₱-")</f>
        <v>₱-</v>
      </c>
      <c r="F1349" s="164" t="str">
        <f ca="1">IFERROR(__xludf.DUMMYFUNCTION("""COMPUTED_VALUE"""),"2023-06-01-10202SP69-01")</f>
        <v>2023-06-01-10202SP69-01</v>
      </c>
      <c r="G1349" s="164" t="str">
        <f ca="1">IFERROR(__xludf.DUMMYFUNCTION("""COMPUTED_VALUE"""),"no plate available")</f>
        <v>no plate available</v>
      </c>
      <c r="H1349" s="164" t="str">
        <f ca="1">IFERROR(__xludf.DUMMYFUNCTION("""COMPUTED_VALUE"""),"RYAN JOEL M GABRIEL")</f>
        <v>RYAN JOEL M GABRIEL</v>
      </c>
      <c r="I1349" s="164" t="str">
        <f ca="1">IFERROR(__xludf.DUMMYFUNCTION("""COMPUTED_VALUE"""),"SARPT")</f>
        <v>SARPT</v>
      </c>
      <c r="J1349" s="164" t="str">
        <f ca="1">IFERROR(__xludf.DUMMYFUNCTION("""COMPUTED_VALUE"""),"2023-06-019")</f>
        <v>2023-06-019</v>
      </c>
      <c r="K1349" s="164" t="str">
        <f ca="1">IFERROR(__xludf.DUMMYFUNCTION("""COMPUTED_VALUE"""),"RYAN JOEL M GABRIEL")</f>
        <v>RYAN JOEL M GABRIEL</v>
      </c>
      <c r="L1349" s="164" t="str">
        <f ca="1">IFERROR(__xludf.DUMMYFUNCTION("""COMPUTED_VALUE"""),"DARMO-SAN AGUSTIN")</f>
        <v>DARMO-SAN AGUSTIN</v>
      </c>
      <c r="M1349" s="164" t="str">
        <f ca="1">IFERROR(__xludf.DUMMYFUNCTION("""COMPUTED_VALUE"""),"SERVICEABLE")</f>
        <v>SERVICEABLE</v>
      </c>
      <c r="N1349" s="164"/>
    </row>
    <row r="1350" spans="1:14" ht="13.2" hidden="1">
      <c r="A1350" s="164" t="str">
        <f ca="1">IFERROR(__xludf.DUMMYFUNCTION("""COMPUTED_VALUE"""),"Region II")</f>
        <v>Region II</v>
      </c>
      <c r="B1350" s="164" t="str">
        <f ca="1">IFERROR(__xludf.DUMMYFUNCTION("""COMPUTED_VALUE"""),"ISABELA")</f>
        <v>ISABELA</v>
      </c>
      <c r="C1350" s="164" t="str">
        <f ca="1">IFERROR(__xludf.DUMMYFUNCTION("""COMPUTED_VALUE"""),"Motorcycle – (Honda XRL 150)")</f>
        <v>Motorcycle – (Honda XRL 150)</v>
      </c>
      <c r="D1350" s="164" t="str">
        <f ca="1">IFERROR(__xludf.DUMMYFUNCTION("""COMPUTED_VALUE"""),"₱ 124,900.00")</f>
        <v>₱ 124,900.00</v>
      </c>
      <c r="E1350" s="164" t="str">
        <f ca="1">IFERROR(__xludf.DUMMYFUNCTION("""COMPUTED_VALUE"""),"₱-")</f>
        <v>₱-</v>
      </c>
      <c r="F1350" s="164" t="str">
        <f ca="1">IFERROR(__xludf.DUMMYFUNCTION("""COMPUTED_VALUE"""),"2023-06-01-10202SP70-01")</f>
        <v>2023-06-01-10202SP70-01</v>
      </c>
      <c r="G1350" s="164" t="str">
        <f ca="1">IFERROR(__xludf.DUMMYFUNCTION("""COMPUTED_VALUE"""),"no plate available")</f>
        <v>no plate available</v>
      </c>
      <c r="H1350" s="164" t="str">
        <f ca="1">IFERROR(__xludf.DUMMYFUNCTION("""COMPUTED_VALUE"""),"DENNIS C PEREZ")</f>
        <v>DENNIS C PEREZ</v>
      </c>
      <c r="I1350" s="164" t="str">
        <f ca="1">IFERROR(__xludf.DUMMYFUNCTION("""COMPUTED_VALUE"""),"ARPT")</f>
        <v>ARPT</v>
      </c>
      <c r="J1350" s="164" t="str">
        <f ca="1">IFERROR(__xludf.DUMMYFUNCTION("""COMPUTED_VALUE"""),"2023-06-006")</f>
        <v>2023-06-006</v>
      </c>
      <c r="K1350" s="164" t="str">
        <f ca="1">IFERROR(__xludf.DUMMYFUNCTION("""COMPUTED_VALUE"""),"DENNIS C PEREZ")</f>
        <v>DENNIS C PEREZ</v>
      </c>
      <c r="L1350" s="164" t="str">
        <f ca="1">IFERROR(__xludf.DUMMYFUNCTION("""COMPUTED_VALUE"""),"DARMO ROXAS")</f>
        <v>DARMO ROXAS</v>
      </c>
      <c r="M1350" s="164" t="str">
        <f ca="1">IFERROR(__xludf.DUMMYFUNCTION("""COMPUTED_VALUE"""),"SERVICEABLE")</f>
        <v>SERVICEABLE</v>
      </c>
      <c r="N1350" s="164"/>
    </row>
    <row r="1351" spans="1:14" ht="13.2" hidden="1">
      <c r="A1351" s="164" t="str">
        <f ca="1">IFERROR(__xludf.DUMMYFUNCTION("""COMPUTED_VALUE"""),"Region II")</f>
        <v>Region II</v>
      </c>
      <c r="B1351" s="164" t="str">
        <f ca="1">IFERROR(__xludf.DUMMYFUNCTION("""COMPUTED_VALUE"""),"ISABELA")</f>
        <v>ISABELA</v>
      </c>
      <c r="C1351" s="164" t="str">
        <f ca="1">IFERROR(__xludf.DUMMYFUNCTION("""COMPUTED_VALUE"""),"Motorcycle – (Honda XRL 150)")</f>
        <v>Motorcycle – (Honda XRL 150)</v>
      </c>
      <c r="D1351" s="164" t="str">
        <f ca="1">IFERROR(__xludf.DUMMYFUNCTION("""COMPUTED_VALUE"""),"₱ 124,900.00")</f>
        <v>₱ 124,900.00</v>
      </c>
      <c r="E1351" s="164" t="str">
        <f ca="1">IFERROR(__xludf.DUMMYFUNCTION("""COMPUTED_VALUE"""),"₱-")</f>
        <v>₱-</v>
      </c>
      <c r="F1351" s="164" t="str">
        <f ca="1">IFERROR(__xludf.DUMMYFUNCTION("""COMPUTED_VALUE"""),"2023-06-01-10202SP71-01")</f>
        <v>2023-06-01-10202SP71-01</v>
      </c>
      <c r="G1351" s="164" t="str">
        <f ca="1">IFERROR(__xludf.DUMMYFUNCTION("""COMPUTED_VALUE"""),"no plate available")</f>
        <v>no plate available</v>
      </c>
      <c r="H1351" s="164" t="str">
        <f ca="1">IFERROR(__xludf.DUMMYFUNCTION("""COMPUTED_VALUE"""),"NELSON A RAMOS JR")</f>
        <v>NELSON A RAMOS JR</v>
      </c>
      <c r="I1351" s="164" t="str">
        <f ca="1">IFERROR(__xludf.DUMMYFUNCTION("""COMPUTED_VALUE"""),"ARPT")</f>
        <v>ARPT</v>
      </c>
      <c r="J1351" s="164" t="str">
        <f ca="1">IFERROR(__xludf.DUMMYFUNCTION("""COMPUTED_VALUE"""),"2023-06-012")</f>
        <v>2023-06-012</v>
      </c>
      <c r="K1351" s="164" t="str">
        <f ca="1">IFERROR(__xludf.DUMMYFUNCTION("""COMPUTED_VALUE"""),"NELSON A RAMOS JR")</f>
        <v>NELSON A RAMOS JR</v>
      </c>
      <c r="L1351" s="164" t="str">
        <f ca="1">IFERROR(__xludf.DUMMYFUNCTION("""COMPUTED_VALUE"""),"DARMO CAUAYAN")</f>
        <v>DARMO CAUAYAN</v>
      </c>
      <c r="M1351" s="164" t="str">
        <f ca="1">IFERROR(__xludf.DUMMYFUNCTION("""COMPUTED_VALUE"""),"SERVICEABLE")</f>
        <v>SERVICEABLE</v>
      </c>
      <c r="N1351" s="164"/>
    </row>
    <row r="1352" spans="1:14" ht="13.2" hidden="1">
      <c r="A1352" s="164" t="str">
        <f ca="1">IFERROR(__xludf.DUMMYFUNCTION("""COMPUTED_VALUE"""),"Region II")</f>
        <v>Region II</v>
      </c>
      <c r="B1352" s="164" t="str">
        <f ca="1">IFERROR(__xludf.DUMMYFUNCTION("""COMPUTED_VALUE"""),"ISABELA")</f>
        <v>ISABELA</v>
      </c>
      <c r="C1352" s="164" t="str">
        <f ca="1">IFERROR(__xludf.DUMMYFUNCTION("""COMPUTED_VALUE"""),"Motorcycle – (Honda XRL 150)")</f>
        <v>Motorcycle – (Honda XRL 150)</v>
      </c>
      <c r="D1352" s="164" t="str">
        <f ca="1">IFERROR(__xludf.DUMMYFUNCTION("""COMPUTED_VALUE"""),"₱ 124,900.00")</f>
        <v>₱ 124,900.00</v>
      </c>
      <c r="E1352" s="164" t="str">
        <f ca="1">IFERROR(__xludf.DUMMYFUNCTION("""COMPUTED_VALUE"""),"₱-")</f>
        <v>₱-</v>
      </c>
      <c r="F1352" s="164" t="str">
        <f ca="1">IFERROR(__xludf.DUMMYFUNCTION("""COMPUTED_VALUE"""),"2023-06-01-10202SP72-01")</f>
        <v>2023-06-01-10202SP72-01</v>
      </c>
      <c r="G1352" s="164" t="str">
        <f ca="1">IFERROR(__xludf.DUMMYFUNCTION("""COMPUTED_VALUE"""),"no plate available")</f>
        <v>no plate available</v>
      </c>
      <c r="H1352" s="164" t="str">
        <f ca="1">IFERROR(__xludf.DUMMYFUNCTION("""COMPUTED_VALUE"""),"ARIES G MALLANAO")</f>
        <v>ARIES G MALLANAO</v>
      </c>
      <c r="I1352" s="164" t="str">
        <f ca="1">IFERROR(__xludf.DUMMYFUNCTION("""COMPUTED_VALUE"""),"ARPT")</f>
        <v>ARPT</v>
      </c>
      <c r="J1352" s="164" t="str">
        <f ca="1">IFERROR(__xludf.DUMMYFUNCTION("""COMPUTED_VALUE"""),"2023-06-007")</f>
        <v>2023-06-007</v>
      </c>
      <c r="K1352" s="164" t="str">
        <f ca="1">IFERROR(__xludf.DUMMYFUNCTION("""COMPUTED_VALUE"""),"ARIES G MALLANAO")</f>
        <v>ARIES G MALLANAO</v>
      </c>
      <c r="L1352" s="164" t="str">
        <f ca="1">IFERROR(__xludf.DUMMYFUNCTION("""COMPUTED_VALUE"""),"DARMO CABAGANISTA MARIA")</f>
        <v>DARMO CABAGANISTA MARIA</v>
      </c>
      <c r="M1352" s="164" t="str">
        <f ca="1">IFERROR(__xludf.DUMMYFUNCTION("""COMPUTED_VALUE"""),"SERVICEABLE")</f>
        <v>SERVICEABLE</v>
      </c>
      <c r="N1352" s="164"/>
    </row>
    <row r="1353" spans="1:14" ht="13.2" hidden="1">
      <c r="A1353" s="164" t="str">
        <f ca="1">IFERROR(__xludf.DUMMYFUNCTION("""COMPUTED_VALUE"""),"Region II")</f>
        <v>Region II</v>
      </c>
      <c r="B1353" s="164" t="str">
        <f ca="1">IFERROR(__xludf.DUMMYFUNCTION("""COMPUTED_VALUE"""),"ISABELA")</f>
        <v>ISABELA</v>
      </c>
      <c r="C1353" s="164" t="str">
        <f ca="1">IFERROR(__xludf.DUMMYFUNCTION("""COMPUTED_VALUE"""),"Motorcycle – (Honda XRL 150)")</f>
        <v>Motorcycle – (Honda XRL 150)</v>
      </c>
      <c r="D1353" s="164" t="str">
        <f ca="1">IFERROR(__xludf.DUMMYFUNCTION("""COMPUTED_VALUE"""),"₱ 124,900.00")</f>
        <v>₱ 124,900.00</v>
      </c>
      <c r="E1353" s="164" t="str">
        <f ca="1">IFERROR(__xludf.DUMMYFUNCTION("""COMPUTED_VALUE"""),"₱-")</f>
        <v>₱-</v>
      </c>
      <c r="F1353" s="164" t="str">
        <f ca="1">IFERROR(__xludf.DUMMYFUNCTION("""COMPUTED_VALUE"""),"2023-06-01-10202SP73-01")</f>
        <v>2023-06-01-10202SP73-01</v>
      </c>
      <c r="G1353" s="164" t="str">
        <f ca="1">IFERROR(__xludf.DUMMYFUNCTION("""COMPUTED_VALUE"""),"no plate available")</f>
        <v>no plate available</v>
      </c>
      <c r="H1353" s="164" t="str">
        <f ca="1">IFERROR(__xludf.DUMMYFUNCTION("""COMPUTED_VALUE"""),"NESTOR B. GONZAGA")</f>
        <v>NESTOR B. GONZAGA</v>
      </c>
      <c r="I1353" s="164" t="str">
        <f ca="1">IFERROR(__xludf.DUMMYFUNCTION("""COMPUTED_VALUE"""),"CARPO")</f>
        <v>CARPO</v>
      </c>
      <c r="J1353" s="164" t="str">
        <f ca="1">IFERROR(__xludf.DUMMYFUNCTION("""COMPUTED_VALUE"""),"2023-06-024")</f>
        <v>2023-06-024</v>
      </c>
      <c r="K1353" s="164" t="str">
        <f ca="1">IFERROR(__xludf.DUMMYFUNCTION("""COMPUTED_VALUE"""),"NESTOR B. GONZAGA")</f>
        <v>NESTOR B. GONZAGA</v>
      </c>
      <c r="L1353" s="164" t="str">
        <f ca="1">IFERROR(__xludf.DUMMYFUNCTION("""COMPUTED_VALUE"""),"DARPO")</f>
        <v>DARPO</v>
      </c>
      <c r="M1353" s="164" t="str">
        <f ca="1">IFERROR(__xludf.DUMMYFUNCTION("""COMPUTED_VALUE"""),"SERVICEABLE")</f>
        <v>SERVICEABLE</v>
      </c>
      <c r="N1353" s="164"/>
    </row>
    <row r="1354" spans="1:14" ht="13.2" hidden="1">
      <c r="A1354" s="164" t="str">
        <f ca="1">IFERROR(__xludf.DUMMYFUNCTION("""COMPUTED_VALUE"""),"Region II")</f>
        <v>Region II</v>
      </c>
      <c r="B1354" s="164" t="str">
        <f ca="1">IFERROR(__xludf.DUMMYFUNCTION("""COMPUTED_VALUE"""),"ISABELA")</f>
        <v>ISABELA</v>
      </c>
      <c r="C1354" s="164" t="str">
        <f ca="1">IFERROR(__xludf.DUMMYFUNCTION("""COMPUTED_VALUE"""),"Motorcycle – (Honda XRL 150)")</f>
        <v>Motorcycle – (Honda XRL 150)</v>
      </c>
      <c r="D1354" s="164" t="str">
        <f ca="1">IFERROR(__xludf.DUMMYFUNCTION("""COMPUTED_VALUE"""),"₱ 124,900.00")</f>
        <v>₱ 124,900.00</v>
      </c>
      <c r="E1354" s="164" t="str">
        <f ca="1">IFERROR(__xludf.DUMMYFUNCTION("""COMPUTED_VALUE"""),"₱-")</f>
        <v>₱-</v>
      </c>
      <c r="F1354" s="164" t="str">
        <f ca="1">IFERROR(__xludf.DUMMYFUNCTION("""COMPUTED_VALUE"""),"2023-06-01-10202SP74-01")</f>
        <v>2023-06-01-10202SP74-01</v>
      </c>
      <c r="G1354" s="164" t="str">
        <f ca="1">IFERROR(__xludf.DUMMYFUNCTION("""COMPUTED_VALUE"""),"no plate available")</f>
        <v>no plate available</v>
      </c>
      <c r="H1354" s="164" t="str">
        <f ca="1">IFERROR(__xludf.DUMMYFUNCTION("""COMPUTED_VALUE"""),"DARIGOLD I PASCUA")</f>
        <v>DARIGOLD I PASCUA</v>
      </c>
      <c r="I1354" s="164" t="str">
        <f ca="1">IFERROR(__xludf.DUMMYFUNCTION("""COMPUTED_VALUE"""),"SARPT")</f>
        <v>SARPT</v>
      </c>
      <c r="J1354" s="164" t="str">
        <f ca="1">IFERROR(__xludf.DUMMYFUNCTION("""COMPUTED_VALUE"""),"2023-06-008")</f>
        <v>2023-06-008</v>
      </c>
      <c r="K1354" s="164" t="str">
        <f ca="1">IFERROR(__xludf.DUMMYFUNCTION("""COMPUTED_VALUE"""),"DARIGOLD I PASCUA")</f>
        <v>DARIGOLD I PASCUA</v>
      </c>
      <c r="L1354" s="164" t="str">
        <f ca="1">IFERROR(__xludf.DUMMYFUNCTION("""COMPUTED_VALUE"""),"DARMO ECHAGUE")</f>
        <v>DARMO ECHAGUE</v>
      </c>
      <c r="M1354" s="164" t="str">
        <f ca="1">IFERROR(__xludf.DUMMYFUNCTION("""COMPUTED_VALUE"""),"SERVICEABLE")</f>
        <v>SERVICEABLE</v>
      </c>
      <c r="N1354" s="164"/>
    </row>
    <row r="1355" spans="1:14" ht="13.2" hidden="1">
      <c r="A1355" s="164" t="str">
        <f ca="1">IFERROR(__xludf.DUMMYFUNCTION("""COMPUTED_VALUE"""),"Region II")</f>
        <v>Region II</v>
      </c>
      <c r="B1355" s="164" t="str">
        <f ca="1">IFERROR(__xludf.DUMMYFUNCTION("""COMPUTED_VALUE"""),"ISABELA")</f>
        <v>ISABELA</v>
      </c>
      <c r="C1355" s="164" t="str">
        <f ca="1">IFERROR(__xludf.DUMMYFUNCTION("""COMPUTED_VALUE"""),"Motorcycle – (Honda XRL 150)")</f>
        <v>Motorcycle – (Honda XRL 150)</v>
      </c>
      <c r="D1355" s="164" t="str">
        <f ca="1">IFERROR(__xludf.DUMMYFUNCTION("""COMPUTED_VALUE"""),"₱ 124,900.00")</f>
        <v>₱ 124,900.00</v>
      </c>
      <c r="E1355" s="164" t="str">
        <f ca="1">IFERROR(__xludf.DUMMYFUNCTION("""COMPUTED_VALUE"""),"₱-")</f>
        <v>₱-</v>
      </c>
      <c r="F1355" s="164" t="str">
        <f ca="1">IFERROR(__xludf.DUMMYFUNCTION("""COMPUTED_VALUE"""),"2023-06-01-10202SP75-01")</f>
        <v>2023-06-01-10202SP75-01</v>
      </c>
      <c r="G1355" s="164" t="str">
        <f ca="1">IFERROR(__xludf.DUMMYFUNCTION("""COMPUTED_VALUE"""),"no plate available")</f>
        <v>no plate available</v>
      </c>
      <c r="H1355" s="164" t="str">
        <f ca="1">IFERROR(__xludf.DUMMYFUNCTION("""COMPUTED_VALUE"""),"CHOY KENNETH S ANDRES")</f>
        <v>CHOY KENNETH S ANDRES</v>
      </c>
      <c r="I1355" s="164" t="str">
        <f ca="1">IFERROR(__xludf.DUMMYFUNCTION("""COMPUTED_VALUE"""),"ARPT")</f>
        <v>ARPT</v>
      </c>
      <c r="J1355" s="164" t="str">
        <f ca="1">IFERROR(__xludf.DUMMYFUNCTION("""COMPUTED_VALUE"""),"2023-06-005")</f>
        <v>2023-06-005</v>
      </c>
      <c r="K1355" s="164" t="str">
        <f ca="1">IFERROR(__xludf.DUMMYFUNCTION("""COMPUTED_VALUE"""),"CHOY KENNETH S ANDRES")</f>
        <v>CHOY KENNETH S ANDRES</v>
      </c>
      <c r="L1355" s="164" t="str">
        <f ca="1">IFERROR(__xludf.DUMMYFUNCTION("""COMPUTED_VALUE"""),"DARMO GAMU BURGOS")</f>
        <v>DARMO GAMU BURGOS</v>
      </c>
      <c r="M1355" s="164" t="str">
        <f ca="1">IFERROR(__xludf.DUMMYFUNCTION("""COMPUTED_VALUE"""),"SERVICEABLE")</f>
        <v>SERVICEABLE</v>
      </c>
      <c r="N1355" s="164"/>
    </row>
    <row r="1356" spans="1:14" ht="13.2" hidden="1">
      <c r="A1356" s="164" t="str">
        <f ca="1">IFERROR(__xludf.DUMMYFUNCTION("""COMPUTED_VALUE"""),"Region II")</f>
        <v>Region II</v>
      </c>
      <c r="B1356" s="164" t="str">
        <f ca="1">IFERROR(__xludf.DUMMYFUNCTION("""COMPUTED_VALUE"""),"ISABELA")</f>
        <v>ISABELA</v>
      </c>
      <c r="C1356" s="164" t="str">
        <f ca="1">IFERROR(__xludf.DUMMYFUNCTION("""COMPUTED_VALUE"""),"Motorcycle – (Honda XRL 150)")</f>
        <v>Motorcycle – (Honda XRL 150)</v>
      </c>
      <c r="D1356" s="164" t="str">
        <f ca="1">IFERROR(__xludf.DUMMYFUNCTION("""COMPUTED_VALUE"""),"₱ 124,900.00")</f>
        <v>₱ 124,900.00</v>
      </c>
      <c r="E1356" s="164" t="str">
        <f ca="1">IFERROR(__xludf.DUMMYFUNCTION("""COMPUTED_VALUE"""),"₱-")</f>
        <v>₱-</v>
      </c>
      <c r="F1356" s="164" t="str">
        <f ca="1">IFERROR(__xludf.DUMMYFUNCTION("""COMPUTED_VALUE"""),"2023-06-01-10202SP76-01")</f>
        <v>2023-06-01-10202SP76-01</v>
      </c>
      <c r="G1356" s="164" t="str">
        <f ca="1">IFERROR(__xludf.DUMMYFUNCTION("""COMPUTED_VALUE"""),"no plate available")</f>
        <v>no plate available</v>
      </c>
      <c r="H1356" s="164" t="str">
        <f ca="1">IFERROR(__xludf.DUMMYFUNCTION("""COMPUTED_VALUE"""),"ROGELIO G CORTEZ JR")</f>
        <v>ROGELIO G CORTEZ JR</v>
      </c>
      <c r="I1356" s="164" t="str">
        <f ca="1">IFERROR(__xludf.DUMMYFUNCTION("""COMPUTED_VALUE"""),"CHIEF SURVEY")</f>
        <v>CHIEF SURVEY</v>
      </c>
      <c r="J1356" s="164" t="str">
        <f ca="1">IFERROR(__xludf.DUMMYFUNCTION("""COMPUTED_VALUE"""),"2023-06-014")</f>
        <v>2023-06-014</v>
      </c>
      <c r="K1356" s="164" t="str">
        <f ca="1">IFERROR(__xludf.DUMMYFUNCTION("""COMPUTED_VALUE"""),"ROGELIO G CORTEZ JR")</f>
        <v>ROGELIO G CORTEZ JR</v>
      </c>
      <c r="L1356" s="164" t="str">
        <f ca="1">IFERROR(__xludf.DUMMYFUNCTION("""COMPUTED_VALUE"""),"SURVEY")</f>
        <v>SURVEY</v>
      </c>
      <c r="M1356" s="164" t="str">
        <f ca="1">IFERROR(__xludf.DUMMYFUNCTION("""COMPUTED_VALUE"""),"SERVICEABLE")</f>
        <v>SERVICEABLE</v>
      </c>
      <c r="N1356" s="164"/>
    </row>
    <row r="1357" spans="1:14" ht="13.2" hidden="1">
      <c r="A1357" s="164" t="str">
        <f ca="1">IFERROR(__xludf.DUMMYFUNCTION("""COMPUTED_VALUE"""),"Region II")</f>
        <v>Region II</v>
      </c>
      <c r="B1357" s="164" t="str">
        <f ca="1">IFERROR(__xludf.DUMMYFUNCTION("""COMPUTED_VALUE"""),"ISABELA")</f>
        <v>ISABELA</v>
      </c>
      <c r="C1357" s="164" t="str">
        <f ca="1">IFERROR(__xludf.DUMMYFUNCTION("""COMPUTED_VALUE"""),"Motorcycle – (Honda XRL 150)")</f>
        <v>Motorcycle – (Honda XRL 150)</v>
      </c>
      <c r="D1357" s="164" t="str">
        <f ca="1">IFERROR(__xludf.DUMMYFUNCTION("""COMPUTED_VALUE"""),"₱ 124,900.00")</f>
        <v>₱ 124,900.00</v>
      </c>
      <c r="E1357" s="164" t="str">
        <f ca="1">IFERROR(__xludf.DUMMYFUNCTION("""COMPUTED_VALUE"""),"₱-")</f>
        <v>₱-</v>
      </c>
      <c r="F1357" s="164" t="str">
        <f ca="1">IFERROR(__xludf.DUMMYFUNCTION("""COMPUTED_VALUE"""),"2023-06-01-10202SP77-01")</f>
        <v>2023-06-01-10202SP77-01</v>
      </c>
      <c r="G1357" s="164" t="str">
        <f ca="1">IFERROR(__xludf.DUMMYFUNCTION("""COMPUTED_VALUE"""),"no plate available")</f>
        <v>no plate available</v>
      </c>
      <c r="H1357" s="164" t="str">
        <f ca="1">IFERROR(__xludf.DUMMYFUNCTION("""COMPUTED_VALUE"""),"MARK ANTHONY B ROBLES")</f>
        <v>MARK ANTHONY B ROBLES</v>
      </c>
      <c r="I1357" s="164" t="str">
        <f ca="1">IFERROR(__xludf.DUMMYFUNCTION("""COMPUTED_VALUE"""),"ARPT")</f>
        <v>ARPT</v>
      </c>
      <c r="J1357" s="164" t="str">
        <f ca="1">IFERROR(__xludf.DUMMYFUNCTION("""COMPUTED_VALUE"""),"2023-06-001")</f>
        <v>2023-06-001</v>
      </c>
      <c r="K1357" s="164" t="str">
        <f ca="1">IFERROR(__xludf.DUMMYFUNCTION("""COMPUTED_VALUE"""),"MARK ANTHONY B ROBLES")</f>
        <v>MARK ANTHONY B ROBLES</v>
      </c>
      <c r="L1357" s="164" t="str">
        <f ca="1">IFERROR(__xludf.DUMMYFUNCTION("""COMPUTED_VALUE"""),"DARMO SAN MARIANO")</f>
        <v>DARMO SAN MARIANO</v>
      </c>
      <c r="M1357" s="164" t="str">
        <f ca="1">IFERROR(__xludf.DUMMYFUNCTION("""COMPUTED_VALUE"""),"SERVICEABLE")</f>
        <v>SERVICEABLE</v>
      </c>
      <c r="N1357" s="164"/>
    </row>
    <row r="1358" spans="1:14" ht="13.2" hidden="1">
      <c r="A1358" s="164" t="str">
        <f ca="1">IFERROR(__xludf.DUMMYFUNCTION("""COMPUTED_VALUE"""),"Region II")</f>
        <v>Region II</v>
      </c>
      <c r="B1358" s="164" t="str">
        <f ca="1">IFERROR(__xludf.DUMMYFUNCTION("""COMPUTED_VALUE"""),"ISABELA")</f>
        <v>ISABELA</v>
      </c>
      <c r="C1358" s="164" t="str">
        <f ca="1">IFERROR(__xludf.DUMMYFUNCTION("""COMPUTED_VALUE"""),"Motorcycle – (Honda XRL 150)")</f>
        <v>Motorcycle – (Honda XRL 150)</v>
      </c>
      <c r="D1358" s="164" t="str">
        <f ca="1">IFERROR(__xludf.DUMMYFUNCTION("""COMPUTED_VALUE"""),"₱ 124,900.00")</f>
        <v>₱ 124,900.00</v>
      </c>
      <c r="E1358" s="164" t="str">
        <f ca="1">IFERROR(__xludf.DUMMYFUNCTION("""COMPUTED_VALUE"""),"₱-")</f>
        <v>₱-</v>
      </c>
      <c r="F1358" s="164" t="str">
        <f ca="1">IFERROR(__xludf.DUMMYFUNCTION("""COMPUTED_VALUE"""),"2023-06-01-10202SP78-01")</f>
        <v>2023-06-01-10202SP78-01</v>
      </c>
      <c r="G1358" s="164" t="str">
        <f ca="1">IFERROR(__xludf.DUMMYFUNCTION("""COMPUTED_VALUE"""),"no plate available")</f>
        <v>no plate available</v>
      </c>
      <c r="H1358" s="164" t="str">
        <f ca="1">IFERROR(__xludf.DUMMYFUNCTION("""COMPUTED_VALUE"""),"EDGAR P NICOLAS JR")</f>
        <v>EDGAR P NICOLAS JR</v>
      </c>
      <c r="I1358" s="164" t="str">
        <f ca="1">IFERROR(__xludf.DUMMYFUNCTION("""COMPUTED_VALUE"""),"ARPT")</f>
        <v>ARPT</v>
      </c>
      <c r="J1358" s="164" t="str">
        <f ca="1">IFERROR(__xludf.DUMMYFUNCTION("""COMPUTED_VALUE"""),"2023-06-008")</f>
        <v>2023-06-008</v>
      </c>
      <c r="K1358" s="164" t="str">
        <f ca="1">IFERROR(__xludf.DUMMYFUNCTION("""COMPUTED_VALUE"""),"EDGAR P NICOLAS JR")</f>
        <v>EDGAR P NICOLAS JR</v>
      </c>
      <c r="L1358" s="164" t="str">
        <f ca="1">IFERROR(__xludf.DUMMYFUNCTION("""COMPUTED_VALUE"""),"DARMO JONES")</f>
        <v>DARMO JONES</v>
      </c>
      <c r="M1358" s="164" t="str">
        <f ca="1">IFERROR(__xludf.DUMMYFUNCTION("""COMPUTED_VALUE"""),"SERVICEABLE")</f>
        <v>SERVICEABLE</v>
      </c>
      <c r="N1358" s="164"/>
    </row>
    <row r="1359" spans="1:14" ht="13.2" hidden="1">
      <c r="A1359" s="164" t="str">
        <f ca="1">IFERROR(__xludf.DUMMYFUNCTION("""COMPUTED_VALUE"""),"Region II")</f>
        <v>Region II</v>
      </c>
      <c r="B1359" s="164" t="str">
        <f ca="1">IFERROR(__xludf.DUMMYFUNCTION("""COMPUTED_VALUE"""),"ISABELA")</f>
        <v>ISABELA</v>
      </c>
      <c r="C1359" s="164" t="str">
        <f ca="1">IFERROR(__xludf.DUMMYFUNCTION("""COMPUTED_VALUE"""),"Motorcycle – (Honda XRL 150)")</f>
        <v>Motorcycle – (Honda XRL 150)</v>
      </c>
      <c r="D1359" s="164" t="str">
        <f ca="1">IFERROR(__xludf.DUMMYFUNCTION("""COMPUTED_VALUE"""),"₱ 124,900.00")</f>
        <v>₱ 124,900.00</v>
      </c>
      <c r="E1359" s="164" t="str">
        <f ca="1">IFERROR(__xludf.DUMMYFUNCTION("""COMPUTED_VALUE"""),"₱-")</f>
        <v>₱-</v>
      </c>
      <c r="F1359" s="164" t="str">
        <f ca="1">IFERROR(__xludf.DUMMYFUNCTION("""COMPUTED_VALUE"""),"2023-06-01-10202SP79-01")</f>
        <v>2023-06-01-10202SP79-01</v>
      </c>
      <c r="G1359" s="164" t="str">
        <f ca="1">IFERROR(__xludf.DUMMYFUNCTION("""COMPUTED_VALUE"""),"no plate available")</f>
        <v>no plate available</v>
      </c>
      <c r="H1359" s="164" t="str">
        <f ca="1">IFERROR(__xludf.DUMMYFUNCTION("""COMPUTED_VALUE"""),"EMIELOU L LEAL")</f>
        <v>EMIELOU L LEAL</v>
      </c>
      <c r="I1359" s="164" t="str">
        <f ca="1">IFERROR(__xludf.DUMMYFUNCTION("""COMPUTED_VALUE"""),"ARPT")</f>
        <v>ARPT</v>
      </c>
      <c r="J1359" s="164" t="str">
        <f ca="1">IFERROR(__xludf.DUMMYFUNCTION("""COMPUTED_VALUE"""),"2023-06-002")</f>
        <v>2023-06-002</v>
      </c>
      <c r="K1359" s="164" t="str">
        <f ca="1">IFERROR(__xludf.DUMMYFUNCTION("""COMPUTED_VALUE"""),"EMIELOU L LEAL")</f>
        <v>EMIELOU L LEAL</v>
      </c>
      <c r="L1359" s="164" t="str">
        <f ca="1">IFERROR(__xludf.DUMMYFUNCTION("""COMPUTED_VALUE"""),"DARMO QUEZON")</f>
        <v>DARMO QUEZON</v>
      </c>
      <c r="M1359" s="164" t="str">
        <f ca="1">IFERROR(__xludf.DUMMYFUNCTION("""COMPUTED_VALUE"""),"SERVICEABLE")</f>
        <v>SERVICEABLE</v>
      </c>
      <c r="N1359" s="164"/>
    </row>
    <row r="1360" spans="1:14" ht="13.2" hidden="1">
      <c r="A1360" s="164" t="str">
        <f ca="1">IFERROR(__xludf.DUMMYFUNCTION("""COMPUTED_VALUE"""),"Region II")</f>
        <v>Region II</v>
      </c>
      <c r="B1360" s="164" t="str">
        <f ca="1">IFERROR(__xludf.DUMMYFUNCTION("""COMPUTED_VALUE"""),"ISABELA")</f>
        <v>ISABELA</v>
      </c>
      <c r="C1360" s="164" t="str">
        <f ca="1">IFERROR(__xludf.DUMMYFUNCTION("""COMPUTED_VALUE"""),"Motorcycle – (Honda XRL 150)")</f>
        <v>Motorcycle – (Honda XRL 150)</v>
      </c>
      <c r="D1360" s="164" t="str">
        <f ca="1">IFERROR(__xludf.DUMMYFUNCTION("""COMPUTED_VALUE"""),"₱ 124,900.00")</f>
        <v>₱ 124,900.00</v>
      </c>
      <c r="E1360" s="164" t="str">
        <f ca="1">IFERROR(__xludf.DUMMYFUNCTION("""COMPUTED_VALUE"""),"₱-")</f>
        <v>₱-</v>
      </c>
      <c r="F1360" s="164" t="str">
        <f ca="1">IFERROR(__xludf.DUMMYFUNCTION("""COMPUTED_VALUE"""),"2023-06-01-10202SP80-01")</f>
        <v>2023-06-01-10202SP80-01</v>
      </c>
      <c r="G1360" s="164" t="str">
        <f ca="1">IFERROR(__xludf.DUMMYFUNCTION("""COMPUTED_VALUE"""),"no plate available")</f>
        <v>no plate available</v>
      </c>
      <c r="H1360" s="164" t="str">
        <f ca="1">IFERROR(__xludf.DUMMYFUNCTION("""COMPUTED_VALUE"""),"LEOPOLDO G. CASIL")</f>
        <v>LEOPOLDO G. CASIL</v>
      </c>
      <c r="I1360" s="164" t="str">
        <f ca="1">IFERROR(__xludf.DUMMYFUNCTION("""COMPUTED_VALUE"""),"SARPT")</f>
        <v>SARPT</v>
      </c>
      <c r="J1360" s="164" t="str">
        <f ca="1">IFERROR(__xludf.DUMMYFUNCTION("""COMPUTED_VALUE"""),"2023-06-020")</f>
        <v>2023-06-020</v>
      </c>
      <c r="K1360" s="164" t="str">
        <f ca="1">IFERROR(__xludf.DUMMYFUNCTION("""COMPUTED_VALUE"""),"LEOPOLDO G. CASIL")</f>
        <v>LEOPOLDO G. CASIL</v>
      </c>
      <c r="L1360" s="164" t="str">
        <f ca="1">IFERROR(__xludf.DUMMYFUNCTION("""COMPUTED_VALUE"""),"DARMO TAMAUINI")</f>
        <v>DARMO TAMAUINI</v>
      </c>
      <c r="M1360" s="164" t="str">
        <f ca="1">IFERROR(__xludf.DUMMYFUNCTION("""COMPUTED_VALUE"""),"SERVICEABLE")</f>
        <v>SERVICEABLE</v>
      </c>
      <c r="N1360" s="164"/>
    </row>
    <row r="1361" spans="1:14" ht="13.2" hidden="1">
      <c r="A1361" s="164" t="str">
        <f ca="1">IFERROR(__xludf.DUMMYFUNCTION("""COMPUTED_VALUE"""),"Region II")</f>
        <v>Region II</v>
      </c>
      <c r="B1361" s="164" t="str">
        <f ca="1">IFERROR(__xludf.DUMMYFUNCTION("""COMPUTED_VALUE"""),"ISABELA")</f>
        <v>ISABELA</v>
      </c>
      <c r="C1361" s="164" t="str">
        <f ca="1">IFERROR(__xludf.DUMMYFUNCTION("""COMPUTED_VALUE"""),"Motorcycle – (Honda XRL 150)")</f>
        <v>Motorcycle – (Honda XRL 150)</v>
      </c>
      <c r="D1361" s="164" t="str">
        <f ca="1">IFERROR(__xludf.DUMMYFUNCTION("""COMPUTED_VALUE"""),"₱ 124,900.00")</f>
        <v>₱ 124,900.00</v>
      </c>
      <c r="E1361" s="164" t="str">
        <f ca="1">IFERROR(__xludf.DUMMYFUNCTION("""COMPUTED_VALUE"""),"₱-")</f>
        <v>₱-</v>
      </c>
      <c r="F1361" s="164" t="str">
        <f ca="1">IFERROR(__xludf.DUMMYFUNCTION("""COMPUTED_VALUE"""),"2023-06-01-10202SP81-01")</f>
        <v>2023-06-01-10202SP81-01</v>
      </c>
      <c r="G1361" s="164" t="str">
        <f ca="1">IFERROR(__xludf.DUMMYFUNCTION("""COMPUTED_VALUE"""),"no plate available")</f>
        <v>no plate available</v>
      </c>
      <c r="H1361" s="164" t="str">
        <f ca="1">IFERROR(__xludf.DUMMYFUNCTION("""COMPUTED_VALUE"""),"FERDINAND A MANUEL")</f>
        <v>FERDINAND A MANUEL</v>
      </c>
      <c r="I1361" s="164" t="str">
        <f ca="1">IFERROR(__xludf.DUMMYFUNCTION("""COMPUTED_VALUE"""),"SARPT")</f>
        <v>SARPT</v>
      </c>
      <c r="J1361" s="164" t="str">
        <f ca="1">IFERROR(__xludf.DUMMYFUNCTION("""COMPUTED_VALUE"""),"2023-06-015")</f>
        <v>2023-06-015</v>
      </c>
      <c r="K1361" s="164" t="str">
        <f ca="1">IFERROR(__xludf.DUMMYFUNCTION("""COMPUTED_VALUE"""),"FERDINAND A MANUEL")</f>
        <v>FERDINAND A MANUEL</v>
      </c>
      <c r="L1361" s="164" t="str">
        <f ca="1">IFERROR(__xludf.DUMMYFUNCTION("""COMPUTED_VALUE"""),"DARMO ECHAGUE")</f>
        <v>DARMO ECHAGUE</v>
      </c>
      <c r="M1361" s="164" t="str">
        <f ca="1">IFERROR(__xludf.DUMMYFUNCTION("""COMPUTED_VALUE"""),"SERVICEABLE")</f>
        <v>SERVICEABLE</v>
      </c>
      <c r="N1361" s="164"/>
    </row>
    <row r="1362" spans="1:14" ht="13.2" hidden="1">
      <c r="A1362" s="164" t="str">
        <f ca="1">IFERROR(__xludf.DUMMYFUNCTION("""COMPUTED_VALUE"""),"Region II")</f>
        <v>Region II</v>
      </c>
      <c r="B1362" s="164" t="str">
        <f ca="1">IFERROR(__xludf.DUMMYFUNCTION("""COMPUTED_VALUE"""),"ISABELA")</f>
        <v>ISABELA</v>
      </c>
      <c r="C1362" s="164" t="str">
        <f ca="1">IFERROR(__xludf.DUMMYFUNCTION("""COMPUTED_VALUE"""),"Motorcycle – (Honda XRL 150)")</f>
        <v>Motorcycle – (Honda XRL 150)</v>
      </c>
      <c r="D1362" s="164" t="str">
        <f ca="1">IFERROR(__xludf.DUMMYFUNCTION("""COMPUTED_VALUE"""),"₱ 124,900.00")</f>
        <v>₱ 124,900.00</v>
      </c>
      <c r="E1362" s="164" t="str">
        <f ca="1">IFERROR(__xludf.DUMMYFUNCTION("""COMPUTED_VALUE"""),"₱-")</f>
        <v>₱-</v>
      </c>
      <c r="F1362" s="164" t="str">
        <f ca="1">IFERROR(__xludf.DUMMYFUNCTION("""COMPUTED_VALUE"""),"2023-06-01-10202SP82-01")</f>
        <v>2023-06-01-10202SP82-01</v>
      </c>
      <c r="G1362" s="164" t="str">
        <f ca="1">IFERROR(__xludf.DUMMYFUNCTION("""COMPUTED_VALUE"""),"no plate available")</f>
        <v>no plate available</v>
      </c>
      <c r="H1362" s="164" t="str">
        <f ca="1">IFERROR(__xludf.DUMMYFUNCTION("""COMPUTED_VALUE"""),"IRENE B CORPUS")</f>
        <v>IRENE B CORPUS</v>
      </c>
      <c r="I1362" s="164" t="str">
        <f ca="1">IFERROR(__xludf.DUMMYFUNCTION("""COMPUTED_VALUE"""),"ARPO")</f>
        <v>ARPO</v>
      </c>
      <c r="J1362" s="164" t="str">
        <f ca="1">IFERROR(__xludf.DUMMYFUNCTION("""COMPUTED_VALUE"""),"2023-06-004")</f>
        <v>2023-06-004</v>
      </c>
      <c r="K1362" s="164" t="str">
        <f ca="1">IFERROR(__xludf.DUMMYFUNCTION("""COMPUTED_VALUE"""),"IRENE B CORPUS")</f>
        <v>IRENE B CORPUS</v>
      </c>
      <c r="L1362" s="164" t="str">
        <f ca="1">IFERROR(__xludf.DUMMYFUNCTION("""COMPUTED_VALUE"""),"ARBDSP")</f>
        <v>ARBDSP</v>
      </c>
      <c r="M1362" s="164" t="str">
        <f ca="1">IFERROR(__xludf.DUMMYFUNCTION("""COMPUTED_VALUE"""),"SERVICEABLE")</f>
        <v>SERVICEABLE</v>
      </c>
      <c r="N1362" s="164"/>
    </row>
    <row r="1363" spans="1:14" ht="13.2" hidden="1">
      <c r="A1363" s="164" t="str">
        <f ca="1">IFERROR(__xludf.DUMMYFUNCTION("""COMPUTED_VALUE"""),"Region II")</f>
        <v>Region II</v>
      </c>
      <c r="B1363" s="164" t="str">
        <f ca="1">IFERROR(__xludf.DUMMYFUNCTION("""COMPUTED_VALUE"""),"ISABELA")</f>
        <v>ISABELA</v>
      </c>
      <c r="C1363" s="164" t="str">
        <f ca="1">IFERROR(__xludf.DUMMYFUNCTION("""COMPUTED_VALUE"""),"Motorcycle – (Honda XRL 150)")</f>
        <v>Motorcycle – (Honda XRL 150)</v>
      </c>
      <c r="D1363" s="164" t="str">
        <f ca="1">IFERROR(__xludf.DUMMYFUNCTION("""COMPUTED_VALUE"""),"₱ 124,900.00")</f>
        <v>₱ 124,900.00</v>
      </c>
      <c r="E1363" s="164" t="str">
        <f ca="1">IFERROR(__xludf.DUMMYFUNCTION("""COMPUTED_VALUE"""),"₱-")</f>
        <v>₱-</v>
      </c>
      <c r="F1363" s="164" t="str">
        <f ca="1">IFERROR(__xludf.DUMMYFUNCTION("""COMPUTED_VALUE"""),"2023-06-01-10202SP83-01")</f>
        <v>2023-06-01-10202SP83-01</v>
      </c>
      <c r="G1363" s="164" t="str">
        <f ca="1">IFERROR(__xludf.DUMMYFUNCTION("""COMPUTED_VALUE"""),"no plate available")</f>
        <v>no plate available</v>
      </c>
      <c r="H1363" s="164" t="str">
        <f ca="1">IFERROR(__xludf.DUMMYFUNCTION("""COMPUTED_VALUE"""),"JHOVANY L SEMANA")</f>
        <v>JHOVANY L SEMANA</v>
      </c>
      <c r="I1363" s="164" t="str">
        <f ca="1">IFERROR(__xludf.DUMMYFUNCTION("""COMPUTED_VALUE"""),"ARPT")</f>
        <v>ARPT</v>
      </c>
      <c r="J1363" s="164" t="str">
        <f ca="1">IFERROR(__xludf.DUMMYFUNCTION("""COMPUTED_VALUE"""),"2023-06-017")</f>
        <v>2023-06-017</v>
      </c>
      <c r="K1363" s="164" t="str">
        <f ca="1">IFERROR(__xludf.DUMMYFUNCTION("""COMPUTED_VALUE"""),"JHOVANY L SEMANA")</f>
        <v>JHOVANY L SEMANA</v>
      </c>
      <c r="L1363" s="164" t="str">
        <f ca="1">IFERROR(__xludf.DUMMYFUNCTION("""COMPUTED_VALUE"""),"DARMO JONES")</f>
        <v>DARMO JONES</v>
      </c>
      <c r="M1363" s="164" t="str">
        <f ca="1">IFERROR(__xludf.DUMMYFUNCTION("""COMPUTED_VALUE"""),"SERVICEABLE")</f>
        <v>SERVICEABLE</v>
      </c>
      <c r="N1363" s="164"/>
    </row>
    <row r="1364" spans="1:14" ht="13.2" hidden="1">
      <c r="A1364" s="164" t="str">
        <f ca="1">IFERROR(__xludf.DUMMYFUNCTION("""COMPUTED_VALUE"""),"Region II")</f>
        <v>Region II</v>
      </c>
      <c r="B1364" s="164" t="str">
        <f ca="1">IFERROR(__xludf.DUMMYFUNCTION("""COMPUTED_VALUE"""),"ISABELA")</f>
        <v>ISABELA</v>
      </c>
      <c r="C1364" s="164" t="str">
        <f ca="1">IFERROR(__xludf.DUMMYFUNCTION("""COMPUTED_VALUE"""),"Motorcycle – (Honda XRL 150)")</f>
        <v>Motorcycle – (Honda XRL 150)</v>
      </c>
      <c r="D1364" s="164" t="str">
        <f ca="1">IFERROR(__xludf.DUMMYFUNCTION("""COMPUTED_VALUE"""),"₱ 124,900.00")</f>
        <v>₱ 124,900.00</v>
      </c>
      <c r="E1364" s="164" t="str">
        <f ca="1">IFERROR(__xludf.DUMMYFUNCTION("""COMPUTED_VALUE"""),"₱-")</f>
        <v>₱-</v>
      </c>
      <c r="F1364" s="164" t="str">
        <f ca="1">IFERROR(__xludf.DUMMYFUNCTION("""COMPUTED_VALUE"""),"2023-06-01-10202SP84-01")</f>
        <v>2023-06-01-10202SP84-01</v>
      </c>
      <c r="G1364" s="164" t="str">
        <f ca="1">IFERROR(__xludf.DUMMYFUNCTION("""COMPUTED_VALUE"""),"no plate available")</f>
        <v>no plate available</v>
      </c>
      <c r="H1364" s="164" t="str">
        <f ca="1">IFERROR(__xludf.DUMMYFUNCTION("""COMPUTED_VALUE"""),"MARK CHRISTIAN S TAGUIBAO")</f>
        <v>MARK CHRISTIAN S TAGUIBAO</v>
      </c>
      <c r="I1364" s="164" t="str">
        <f ca="1">IFERROR(__xludf.DUMMYFUNCTION("""COMPUTED_VALUE"""),"SARPT")</f>
        <v>SARPT</v>
      </c>
      <c r="J1364" s="164" t="str">
        <f ca="1">IFERROR(__xludf.DUMMYFUNCTION("""COMPUTED_VALUE"""),"2023-06-021")</f>
        <v>2023-06-021</v>
      </c>
      <c r="K1364" s="164" t="str">
        <f ca="1">IFERROR(__xludf.DUMMYFUNCTION("""COMPUTED_VALUE"""),"MARK CHRISTIAN S TAGUIBAO")</f>
        <v>MARK CHRISTIAN S TAGUIBAO</v>
      </c>
      <c r="L1364" s="164" t="str">
        <f ca="1">IFERROR(__xludf.DUMMYFUNCTION("""COMPUTED_VALUE"""),"DARMO SAN PABLO")</f>
        <v>DARMO SAN PABLO</v>
      </c>
      <c r="M1364" s="164" t="str">
        <f ca="1">IFERROR(__xludf.DUMMYFUNCTION("""COMPUTED_VALUE"""),"SERVICEABLE")</f>
        <v>SERVICEABLE</v>
      </c>
      <c r="N1364" s="164"/>
    </row>
    <row r="1365" spans="1:14" ht="13.2" hidden="1">
      <c r="A1365" s="164" t="str">
        <f ca="1">IFERROR(__xludf.DUMMYFUNCTION("""COMPUTED_VALUE"""),"Region II")</f>
        <v>Region II</v>
      </c>
      <c r="B1365" s="164" t="str">
        <f ca="1">IFERROR(__xludf.DUMMYFUNCTION("""COMPUTED_VALUE"""),"ISABELA")</f>
        <v>ISABELA</v>
      </c>
      <c r="C1365" s="164" t="str">
        <f ca="1">IFERROR(__xludf.DUMMYFUNCTION("""COMPUTED_VALUE"""),"Motorcycle – (Honda XRL 150)")</f>
        <v>Motorcycle – (Honda XRL 150)</v>
      </c>
      <c r="D1365" s="164" t="str">
        <f ca="1">IFERROR(__xludf.DUMMYFUNCTION("""COMPUTED_VALUE"""),"₱ 124,900.00")</f>
        <v>₱ 124,900.00</v>
      </c>
      <c r="E1365" s="164" t="str">
        <f ca="1">IFERROR(__xludf.DUMMYFUNCTION("""COMPUTED_VALUE"""),"₱-")</f>
        <v>₱-</v>
      </c>
      <c r="F1365" s="164" t="str">
        <f ca="1">IFERROR(__xludf.DUMMYFUNCTION("""COMPUTED_VALUE"""),"2023-06-01-10202SP85-01")</f>
        <v>2023-06-01-10202SP85-01</v>
      </c>
      <c r="G1365" s="164" t="str">
        <f ca="1">IFERROR(__xludf.DUMMYFUNCTION("""COMPUTED_VALUE"""),"no plate available")</f>
        <v>no plate available</v>
      </c>
      <c r="H1365" s="164" t="str">
        <f ca="1">IFERROR(__xludf.DUMMYFUNCTION("""COMPUTED_VALUE"""),"SALCEDO R PASCUAL")</f>
        <v>SALCEDO R PASCUAL</v>
      </c>
      <c r="I1365" s="164" t="str">
        <f ca="1">IFERROR(__xludf.DUMMYFUNCTION("""COMPUTED_VALUE"""),"SARPT")</f>
        <v>SARPT</v>
      </c>
      <c r="J1365" s="164" t="str">
        <f ca="1">IFERROR(__xludf.DUMMYFUNCTION("""COMPUTED_VALUE"""),"2023-06-009")</f>
        <v>2023-06-009</v>
      </c>
      <c r="K1365" s="164" t="str">
        <f ca="1">IFERROR(__xludf.DUMMYFUNCTION("""COMPUTED_VALUE"""),"SALCEDO R PASCUAL")</f>
        <v>SALCEDO R PASCUAL</v>
      </c>
      <c r="L1365" s="164" t="str">
        <f ca="1">IFERROR(__xludf.DUMMYFUNCTION("""COMPUTED_VALUE"""),"DARPO")</f>
        <v>DARPO</v>
      </c>
      <c r="M1365" s="164" t="str">
        <f ca="1">IFERROR(__xludf.DUMMYFUNCTION("""COMPUTED_VALUE"""),"SERVICEABLE")</f>
        <v>SERVICEABLE</v>
      </c>
      <c r="N1365" s="164"/>
    </row>
    <row r="1366" spans="1:14" ht="13.2" hidden="1">
      <c r="A1366" s="164" t="str">
        <f ca="1">IFERROR(__xludf.DUMMYFUNCTION("""COMPUTED_VALUE"""),"Region II")</f>
        <v>Region II</v>
      </c>
      <c r="B1366" s="164" t="str">
        <f ca="1">IFERROR(__xludf.DUMMYFUNCTION("""COMPUTED_VALUE"""),"ISABELA")</f>
        <v>ISABELA</v>
      </c>
      <c r="C1366" s="164" t="str">
        <f ca="1">IFERROR(__xludf.DUMMYFUNCTION("""COMPUTED_VALUE"""),"Motorcycle – (Honda XRL 150)")</f>
        <v>Motorcycle – (Honda XRL 150)</v>
      </c>
      <c r="D1366" s="164" t="str">
        <f ca="1">IFERROR(__xludf.DUMMYFUNCTION("""COMPUTED_VALUE"""),"₱ 124,900.00")</f>
        <v>₱ 124,900.00</v>
      </c>
      <c r="E1366" s="164" t="str">
        <f ca="1">IFERROR(__xludf.DUMMYFUNCTION("""COMPUTED_VALUE"""),"₱-")</f>
        <v>₱-</v>
      </c>
      <c r="F1366" s="164" t="str">
        <f ca="1">IFERROR(__xludf.DUMMYFUNCTION("""COMPUTED_VALUE"""),"2023-06-01-10202SP86-01")</f>
        <v>2023-06-01-10202SP86-01</v>
      </c>
      <c r="G1366" s="164" t="str">
        <f ca="1">IFERROR(__xludf.DUMMYFUNCTION("""COMPUTED_VALUE"""),"no plate available")</f>
        <v>no plate available</v>
      </c>
      <c r="H1366" s="164" t="str">
        <f ca="1">IFERROR(__xludf.DUMMYFUNCTION("""COMPUTED_VALUE"""),"NESTOR B. GONZAGA")</f>
        <v>NESTOR B. GONZAGA</v>
      </c>
      <c r="I1366" s="164" t="str">
        <f ca="1">IFERROR(__xludf.DUMMYFUNCTION("""COMPUTED_VALUE"""),"CARPO")</f>
        <v>CARPO</v>
      </c>
      <c r="J1366" s="164" t="str">
        <f ca="1">IFERROR(__xludf.DUMMYFUNCTION("""COMPUTED_VALUE"""),"2023-06-025")</f>
        <v>2023-06-025</v>
      </c>
      <c r="K1366" s="164" t="str">
        <f ca="1">IFERROR(__xludf.DUMMYFUNCTION("""COMPUTED_VALUE"""),"NESTOR B. GONZAGA")</f>
        <v>NESTOR B. GONZAGA</v>
      </c>
      <c r="L1366" s="164" t="str">
        <f ca="1">IFERROR(__xludf.DUMMYFUNCTION("""COMPUTED_VALUE"""),"DARPO")</f>
        <v>DARPO</v>
      </c>
      <c r="M1366" s="164" t="str">
        <f ca="1">IFERROR(__xludf.DUMMYFUNCTION("""COMPUTED_VALUE"""),"SERVICEABLE")</f>
        <v>SERVICEABLE</v>
      </c>
      <c r="N1366" s="164"/>
    </row>
    <row r="1367" spans="1:14" ht="13.2" hidden="1">
      <c r="A1367" s="164" t="str">
        <f ca="1">IFERROR(__xludf.DUMMYFUNCTION("""COMPUTED_VALUE"""),"Region II")</f>
        <v>Region II</v>
      </c>
      <c r="B1367" s="164" t="str">
        <f ca="1">IFERROR(__xludf.DUMMYFUNCTION("""COMPUTED_VALUE"""),"ISABELA")</f>
        <v>ISABELA</v>
      </c>
      <c r="C1367" s="164" t="str">
        <f ca="1">IFERROR(__xludf.DUMMYFUNCTION("""COMPUTED_VALUE"""),"Motorcycle – (Honda XRL 150)")</f>
        <v>Motorcycle – (Honda XRL 150)</v>
      </c>
      <c r="D1367" s="164" t="str">
        <f ca="1">IFERROR(__xludf.DUMMYFUNCTION("""COMPUTED_VALUE"""),"₱ 124,900.00")</f>
        <v>₱ 124,900.00</v>
      </c>
      <c r="E1367" s="164" t="str">
        <f ca="1">IFERROR(__xludf.DUMMYFUNCTION("""COMPUTED_VALUE"""),"₱-")</f>
        <v>₱-</v>
      </c>
      <c r="F1367" s="164" t="str">
        <f ca="1">IFERROR(__xludf.DUMMYFUNCTION("""COMPUTED_VALUE"""),"2023-06-01-10202SP87-01")</f>
        <v>2023-06-01-10202SP87-01</v>
      </c>
      <c r="G1367" s="164" t="str">
        <f ca="1">IFERROR(__xludf.DUMMYFUNCTION("""COMPUTED_VALUE"""),"no plate available")</f>
        <v>no plate available</v>
      </c>
      <c r="H1367" s="164" t="str">
        <f ca="1">IFERROR(__xludf.DUMMYFUNCTION("""COMPUTED_VALUE"""),"ELMER CAGURANGAN")</f>
        <v>ELMER CAGURANGAN</v>
      </c>
      <c r="I1367" s="164" t="str">
        <f ca="1">IFERROR(__xludf.DUMMYFUNCTION("""COMPUTED_VALUE"""),"SARPT")</f>
        <v>SARPT</v>
      </c>
      <c r="J1367" s="164" t="str">
        <f ca="1">IFERROR(__xludf.DUMMYFUNCTION("""COMPUTED_VALUE"""),"2023-06-018")</f>
        <v>2023-06-018</v>
      </c>
      <c r="K1367" s="164" t="str">
        <f ca="1">IFERROR(__xludf.DUMMYFUNCTION("""COMPUTED_VALUE"""),"ELMER CAGURANGAN")</f>
        <v>ELMER CAGURANGAN</v>
      </c>
      <c r="L1367" s="164" t="str">
        <f ca="1">IFERROR(__xludf.DUMMYFUNCTION("""COMPUTED_VALUE"""),"DARMO NAGUILAN")</f>
        <v>DARMO NAGUILAN</v>
      </c>
      <c r="M1367" s="164" t="str">
        <f ca="1">IFERROR(__xludf.DUMMYFUNCTION("""COMPUTED_VALUE"""),"SERVICEABLE")</f>
        <v>SERVICEABLE</v>
      </c>
      <c r="N1367" s="164"/>
    </row>
    <row r="1368" spans="1:14" ht="13.2" hidden="1">
      <c r="A1368" s="164" t="str">
        <f ca="1">IFERROR(__xludf.DUMMYFUNCTION("""COMPUTED_VALUE"""),"Region II")</f>
        <v>Region II</v>
      </c>
      <c r="B1368" s="164" t="str">
        <f ca="1">IFERROR(__xludf.DUMMYFUNCTION("""COMPUTED_VALUE"""),"ISABELA")</f>
        <v>ISABELA</v>
      </c>
      <c r="C1368" s="164" t="str">
        <f ca="1">IFERROR(__xludf.DUMMYFUNCTION("""COMPUTED_VALUE"""),"Motorcycle – (Honda XRL 150)")</f>
        <v>Motorcycle – (Honda XRL 150)</v>
      </c>
      <c r="D1368" s="164" t="str">
        <f ca="1">IFERROR(__xludf.DUMMYFUNCTION("""COMPUTED_VALUE"""),"₱ 124,900.00")</f>
        <v>₱ 124,900.00</v>
      </c>
      <c r="E1368" s="164" t="str">
        <f ca="1">IFERROR(__xludf.DUMMYFUNCTION("""COMPUTED_VALUE"""),"₱-")</f>
        <v>₱-</v>
      </c>
      <c r="F1368" s="164" t="str">
        <f ca="1">IFERROR(__xludf.DUMMYFUNCTION("""COMPUTED_VALUE"""),"2023-06-01-10202SP88-01")</f>
        <v>2023-06-01-10202SP88-01</v>
      </c>
      <c r="G1368" s="164" t="str">
        <f ca="1">IFERROR(__xludf.DUMMYFUNCTION("""COMPUTED_VALUE"""),"no plate available")</f>
        <v>no plate available</v>
      </c>
      <c r="H1368" s="164" t="str">
        <f ca="1">IFERROR(__xludf.DUMMYFUNCTION("""COMPUTED_VALUE"""),"JOEL D. AMIANET")</f>
        <v>JOEL D. AMIANET</v>
      </c>
      <c r="I1368" s="164" t="str">
        <f ca="1">IFERROR(__xludf.DUMMYFUNCTION("""COMPUTED_VALUE"""),"ARPT")</f>
        <v>ARPT</v>
      </c>
      <c r="J1368" s="164" t="str">
        <f ca="1">IFERROR(__xludf.DUMMYFUNCTION("""COMPUTED_VALUE"""),"2023-06-011")</f>
        <v>2023-06-011</v>
      </c>
      <c r="K1368" s="164" t="str">
        <f ca="1">IFERROR(__xludf.DUMMYFUNCTION("""COMPUTED_VALUE"""),"JOEL D. AMIANET")</f>
        <v>JOEL D. AMIANET</v>
      </c>
      <c r="L1368" s="164" t="str">
        <f ca="1">IFERROR(__xludf.DUMMYFUNCTION("""COMPUTED_VALUE"""),"DARMO ANGADANAN")</f>
        <v>DARMO ANGADANAN</v>
      </c>
      <c r="M1368" s="164" t="str">
        <f ca="1">IFERROR(__xludf.DUMMYFUNCTION("""COMPUTED_VALUE"""),"SERVICEABLE")</f>
        <v>SERVICEABLE</v>
      </c>
      <c r="N1368" s="164"/>
    </row>
    <row r="1369" spans="1:14" ht="13.2" hidden="1">
      <c r="A1369" s="164" t="str">
        <f ca="1">IFERROR(__xludf.DUMMYFUNCTION("""COMPUTED_VALUE"""),"Region II")</f>
        <v>Region II</v>
      </c>
      <c r="B1369" s="164" t="str">
        <f ca="1">IFERROR(__xludf.DUMMYFUNCTION("""COMPUTED_VALUE"""),"ISABELA")</f>
        <v>ISABELA</v>
      </c>
      <c r="C1369" s="164" t="str">
        <f ca="1">IFERROR(__xludf.DUMMYFUNCTION("""COMPUTED_VALUE"""),"Motorcycle – (Honda XRL 150)")</f>
        <v>Motorcycle – (Honda XRL 150)</v>
      </c>
      <c r="D1369" s="164" t="str">
        <f ca="1">IFERROR(__xludf.DUMMYFUNCTION("""COMPUTED_VALUE"""),"₱ 124,900.00")</f>
        <v>₱ 124,900.00</v>
      </c>
      <c r="E1369" s="164" t="str">
        <f ca="1">IFERROR(__xludf.DUMMYFUNCTION("""COMPUTED_VALUE"""),"₱-")</f>
        <v>₱-</v>
      </c>
      <c r="F1369" s="164" t="str">
        <f ca="1">IFERROR(__xludf.DUMMYFUNCTION("""COMPUTED_VALUE"""),"2023-06-01-10202SP89-01")</f>
        <v>2023-06-01-10202SP89-01</v>
      </c>
      <c r="G1369" s="164" t="str">
        <f ca="1">IFERROR(__xludf.DUMMYFUNCTION("""COMPUTED_VALUE"""),"no plate available")</f>
        <v>no plate available</v>
      </c>
      <c r="H1369" s="164" t="str">
        <f ca="1">IFERROR(__xludf.DUMMYFUNCTION("""COMPUTED_VALUE"""),"PATRICK C. SANTOS")</f>
        <v>PATRICK C. SANTOS</v>
      </c>
      <c r="I1369" s="164" t="str">
        <f ca="1">IFERROR(__xludf.DUMMYFUNCTION("""COMPUTED_VALUE"""),"ARPT")</f>
        <v>ARPT</v>
      </c>
      <c r="J1369" s="164" t="str">
        <f ca="1">IFERROR(__xludf.DUMMYFUNCTION("""COMPUTED_VALUE"""),"2023-06-010")</f>
        <v>2023-06-010</v>
      </c>
      <c r="K1369" s="164" t="str">
        <f ca="1">IFERROR(__xludf.DUMMYFUNCTION("""COMPUTED_VALUE"""),"PATRICK C. SANTOS")</f>
        <v>PATRICK C. SANTOS</v>
      </c>
      <c r="L1369" s="164" t="str">
        <f ca="1">IFERROR(__xludf.DUMMYFUNCTION("""COMPUTED_VALUE"""),"DARMO SAN GUILLERMO")</f>
        <v>DARMO SAN GUILLERMO</v>
      </c>
      <c r="M1369" s="164" t="str">
        <f ca="1">IFERROR(__xludf.DUMMYFUNCTION("""COMPUTED_VALUE"""),"SERVICEABLE")</f>
        <v>SERVICEABLE</v>
      </c>
      <c r="N1369" s="164"/>
    </row>
    <row r="1370" spans="1:14" ht="13.2" hidden="1">
      <c r="A1370" s="164" t="str">
        <f ca="1">IFERROR(__xludf.DUMMYFUNCTION("""COMPUTED_VALUE"""),"Region II")</f>
        <v>Region II</v>
      </c>
      <c r="B1370" s="164" t="str">
        <f ca="1">IFERROR(__xludf.DUMMYFUNCTION("""COMPUTED_VALUE"""),"ISABELA")</f>
        <v>ISABELA</v>
      </c>
      <c r="C1370" s="164" t="str">
        <f ca="1">IFERROR(__xludf.DUMMYFUNCTION("""COMPUTED_VALUE"""),"Motorcycle – (Honda XRL 150)")</f>
        <v>Motorcycle – (Honda XRL 150)</v>
      </c>
      <c r="D1370" s="164" t="str">
        <f ca="1">IFERROR(__xludf.DUMMYFUNCTION("""COMPUTED_VALUE"""),"₱ 124,900.00")</f>
        <v>₱ 124,900.00</v>
      </c>
      <c r="E1370" s="164" t="str">
        <f ca="1">IFERROR(__xludf.DUMMYFUNCTION("""COMPUTED_VALUE"""),"₱-")</f>
        <v>₱-</v>
      </c>
      <c r="F1370" s="164" t="str">
        <f ca="1">IFERROR(__xludf.DUMMYFUNCTION("""COMPUTED_VALUE"""),"2023-06-01-10202SP90-01")</f>
        <v>2023-06-01-10202SP90-01</v>
      </c>
      <c r="G1370" s="164" t="str">
        <f ca="1">IFERROR(__xludf.DUMMYFUNCTION("""COMPUTED_VALUE"""),"no plate available")</f>
        <v>no plate available</v>
      </c>
      <c r="H1370" s="164" t="str">
        <f ca="1">IFERROR(__xludf.DUMMYFUNCTION("""COMPUTED_VALUE"""),"NESTOR B. GONZAGA")</f>
        <v>NESTOR B. GONZAGA</v>
      </c>
      <c r="I1370" s="164" t="str">
        <f ca="1">IFERROR(__xludf.DUMMYFUNCTION("""COMPUTED_VALUE"""),"CARPO")</f>
        <v>CARPO</v>
      </c>
      <c r="J1370" s="164" t="str">
        <f ca="1">IFERROR(__xludf.DUMMYFUNCTION("""COMPUTED_VALUE"""),"2023-06-027")</f>
        <v>2023-06-027</v>
      </c>
      <c r="K1370" s="164" t="str">
        <f ca="1">IFERROR(__xludf.DUMMYFUNCTION("""COMPUTED_VALUE"""),"NESTOR B. GONZAGA")</f>
        <v>NESTOR B. GONZAGA</v>
      </c>
      <c r="L1370" s="164" t="str">
        <f ca="1">IFERROR(__xludf.DUMMYFUNCTION("""COMPUTED_VALUE"""),"DARPO")</f>
        <v>DARPO</v>
      </c>
      <c r="M1370" s="164" t="str">
        <f ca="1">IFERROR(__xludf.DUMMYFUNCTION("""COMPUTED_VALUE"""),"SERVICEABLE")</f>
        <v>SERVICEABLE</v>
      </c>
      <c r="N1370" s="164"/>
    </row>
    <row r="1371" spans="1:14" ht="13.2" hidden="1">
      <c r="A1371" s="164" t="str">
        <f ca="1">IFERROR(__xludf.DUMMYFUNCTION("""COMPUTED_VALUE"""),"Region II")</f>
        <v>Region II</v>
      </c>
      <c r="B1371" s="164" t="str">
        <f ca="1">IFERROR(__xludf.DUMMYFUNCTION("""COMPUTED_VALUE"""),"ISABELA")</f>
        <v>ISABELA</v>
      </c>
      <c r="C1371" s="164" t="str">
        <f ca="1">IFERROR(__xludf.DUMMYFUNCTION("""COMPUTED_VALUE"""),"Motorcycle – (Honda XRL 150)")</f>
        <v>Motorcycle – (Honda XRL 150)</v>
      </c>
      <c r="D1371" s="164" t="str">
        <f ca="1">IFERROR(__xludf.DUMMYFUNCTION("""COMPUTED_VALUE"""),"₱ 124,900.00")</f>
        <v>₱ 124,900.00</v>
      </c>
      <c r="E1371" s="164" t="str">
        <f ca="1">IFERROR(__xludf.DUMMYFUNCTION("""COMPUTED_VALUE"""),"₱-")</f>
        <v>₱-</v>
      </c>
      <c r="F1371" s="164" t="str">
        <f ca="1">IFERROR(__xludf.DUMMYFUNCTION("""COMPUTED_VALUE"""),"2023-06-01-10202SP91-01")</f>
        <v>2023-06-01-10202SP91-01</v>
      </c>
      <c r="G1371" s="164" t="str">
        <f ca="1">IFERROR(__xludf.DUMMYFUNCTION("""COMPUTED_VALUE"""),"no plate available")</f>
        <v>no plate available</v>
      </c>
      <c r="H1371" s="164" t="str">
        <f ca="1">IFERROR(__xludf.DUMMYFUNCTION("""COMPUTED_VALUE"""),"NESTOR B. GONZAGA")</f>
        <v>NESTOR B. GONZAGA</v>
      </c>
      <c r="I1371" s="164" t="str">
        <f ca="1">IFERROR(__xludf.DUMMYFUNCTION("""COMPUTED_VALUE"""),"CARPO")</f>
        <v>CARPO</v>
      </c>
      <c r="J1371" s="164" t="str">
        <f ca="1">IFERROR(__xludf.DUMMYFUNCTION("""COMPUTED_VALUE"""),"2023-06-023")</f>
        <v>2023-06-023</v>
      </c>
      <c r="K1371" s="164" t="str">
        <f ca="1">IFERROR(__xludf.DUMMYFUNCTION("""COMPUTED_VALUE"""),"NESTOR B. GONZAGA")</f>
        <v>NESTOR B. GONZAGA</v>
      </c>
      <c r="L1371" s="164" t="str">
        <f ca="1">IFERROR(__xludf.DUMMYFUNCTION("""COMPUTED_VALUE"""),"DARPO")</f>
        <v>DARPO</v>
      </c>
      <c r="M1371" s="164" t="str">
        <f ca="1">IFERROR(__xludf.DUMMYFUNCTION("""COMPUTED_VALUE"""),"SERVICEABLE")</f>
        <v>SERVICEABLE</v>
      </c>
      <c r="N1371" s="164"/>
    </row>
    <row r="1372" spans="1:14" ht="13.2" hidden="1">
      <c r="A1372" s="164" t="str">
        <f ca="1">IFERROR(__xludf.DUMMYFUNCTION("""COMPUTED_VALUE"""),"Region II")</f>
        <v>Region II</v>
      </c>
      <c r="B1372" s="164" t="str">
        <f ca="1">IFERROR(__xludf.DUMMYFUNCTION("""COMPUTED_VALUE"""),"ISABELA")</f>
        <v>ISABELA</v>
      </c>
      <c r="C1372" s="164" t="str">
        <f ca="1">IFERROR(__xludf.DUMMYFUNCTION("""COMPUTED_VALUE"""),"Motorcycle – (Honda XRL 150)")</f>
        <v>Motorcycle – (Honda XRL 150)</v>
      </c>
      <c r="D1372" s="164" t="str">
        <f ca="1">IFERROR(__xludf.DUMMYFUNCTION("""COMPUTED_VALUE"""),"₱ 124,900.00")</f>
        <v>₱ 124,900.00</v>
      </c>
      <c r="E1372" s="164" t="str">
        <f ca="1">IFERROR(__xludf.DUMMYFUNCTION("""COMPUTED_VALUE"""),"₱-")</f>
        <v>₱-</v>
      </c>
      <c r="F1372" s="164" t="str">
        <f ca="1">IFERROR(__xludf.DUMMYFUNCTION("""COMPUTED_VALUE"""),"2023-06-01-10202SP92-01")</f>
        <v>2023-06-01-10202SP92-01</v>
      </c>
      <c r="G1372" s="164" t="str">
        <f ca="1">IFERROR(__xludf.DUMMYFUNCTION("""COMPUTED_VALUE"""),"no plate available")</f>
        <v>no plate available</v>
      </c>
      <c r="H1372" s="164" t="str">
        <f ca="1">IFERROR(__xludf.DUMMYFUNCTION("""COMPUTED_VALUE"""),"NESTOR B. GONZAGA")</f>
        <v>NESTOR B. GONZAGA</v>
      </c>
      <c r="I1372" s="164" t="str">
        <f ca="1">IFERROR(__xludf.DUMMYFUNCTION("""COMPUTED_VALUE"""),"CARPO")</f>
        <v>CARPO</v>
      </c>
      <c r="J1372" s="164" t="str">
        <f ca="1">IFERROR(__xludf.DUMMYFUNCTION("""COMPUTED_VALUE"""),"2023-06-001")</f>
        <v>2023-06-001</v>
      </c>
      <c r="K1372" s="164" t="str">
        <f ca="1">IFERROR(__xludf.DUMMYFUNCTION("""COMPUTED_VALUE"""),"NESTOR B. GONZAGA")</f>
        <v>NESTOR B. GONZAGA</v>
      </c>
      <c r="L1372" s="164" t="str">
        <f ca="1">IFERROR(__xludf.DUMMYFUNCTION("""COMPUTED_VALUE"""),"DARPO")</f>
        <v>DARPO</v>
      </c>
      <c r="M1372" s="164" t="str">
        <f ca="1">IFERROR(__xludf.DUMMYFUNCTION("""COMPUTED_VALUE"""),"SERVICEABLE")</f>
        <v>SERVICEABLE</v>
      </c>
      <c r="N1372" s="164"/>
    </row>
    <row r="1373" spans="1:14" ht="13.2">
      <c r="A1373" s="164" t="str">
        <f ca="1">IFERROR(__xludf.DUMMYFUNCTION("""COMPUTED_VALUE"""),"Region II")</f>
        <v>Region II</v>
      </c>
      <c r="B1373" s="164" t="str">
        <f ca="1">IFERROR(__xludf.DUMMYFUNCTION("""COMPUTED_VALUE"""),"QUIRINO")</f>
        <v>QUIRINO</v>
      </c>
      <c r="C1373" s="164" t="str">
        <f ca="1">IFERROR(__xludf.DUMMYFUNCTION("""COMPUTED_VALUE"""),"Motorcycle – (Honda XRL 150)")</f>
        <v>Motorcycle – (Honda XRL 150)</v>
      </c>
      <c r="D1373" s="164" t="str">
        <f ca="1">IFERROR(__xludf.DUMMYFUNCTION("""COMPUTED_VALUE"""),"₱ 124,900.00")</f>
        <v>₱ 124,900.00</v>
      </c>
      <c r="E1373" s="164" t="str">
        <f ca="1">IFERROR(__xludf.DUMMYFUNCTION("""COMPUTED_VALUE"""),"₱-")</f>
        <v>₱-</v>
      </c>
      <c r="F1373" s="164" t="str">
        <f ca="1">IFERROR(__xludf.DUMMYFUNCTION("""COMPUTED_VALUE"""),"2023-06-01-10202SP98-01")</f>
        <v>2023-06-01-10202SP98-01</v>
      </c>
      <c r="G1373" s="164" t="str">
        <f ca="1">IFERROR(__xludf.DUMMYFUNCTION("""COMPUTED_VALUE"""),"no plate available")</f>
        <v>no plate available</v>
      </c>
      <c r="H1373" s="164" t="str">
        <f ca="1">IFERROR(__xludf.DUMMYFUNCTION("""COMPUTED_VALUE"""),"HONOREX A. DE VERA JR.")</f>
        <v>HONOREX A. DE VERA JR.</v>
      </c>
      <c r="I1373" s="164" t="str">
        <f ca="1">IFERROR(__xludf.DUMMYFUNCTION("""COMPUTED_VALUE"""),"ARPT")</f>
        <v>ARPT</v>
      </c>
      <c r="J1373" s="164" t="str">
        <f ca="1">IFERROR(__xludf.DUMMYFUNCTION("""COMPUTED_VALUE"""),"2023-03-005")</f>
        <v>2023-03-005</v>
      </c>
      <c r="K1373" s="164" t="str">
        <f ca="1">IFERROR(__xludf.DUMMYFUNCTION("""COMPUTED_VALUE"""),"HONOREX A. DE VERA JR.")</f>
        <v>HONOREX A. DE VERA JR.</v>
      </c>
      <c r="L1373" s="164" t="str">
        <f ca="1">IFERROR(__xludf.DUMMYFUNCTION("""COMPUTED_VALUE"""),"DARMO")</f>
        <v>DARMO</v>
      </c>
      <c r="M1373" s="164" t="str">
        <f ca="1">IFERROR(__xludf.DUMMYFUNCTION("""COMPUTED_VALUE"""),"SERVICEABLE")</f>
        <v>SERVICEABLE</v>
      </c>
      <c r="N1373" s="164"/>
    </row>
    <row r="1374" spans="1:14" ht="13.2">
      <c r="A1374" s="164" t="str">
        <f ca="1">IFERROR(__xludf.DUMMYFUNCTION("""COMPUTED_VALUE"""),"Region II")</f>
        <v>Region II</v>
      </c>
      <c r="B1374" s="164" t="str">
        <f ca="1">IFERROR(__xludf.DUMMYFUNCTION("""COMPUTED_VALUE"""),"QUIRINO")</f>
        <v>QUIRINO</v>
      </c>
      <c r="C1374" s="164" t="str">
        <f ca="1">IFERROR(__xludf.DUMMYFUNCTION("""COMPUTED_VALUE"""),"Motorcycle – (Honda XRL 150)")</f>
        <v>Motorcycle – (Honda XRL 150)</v>
      </c>
      <c r="D1374" s="164" t="str">
        <f ca="1">IFERROR(__xludf.DUMMYFUNCTION("""COMPUTED_VALUE"""),"₱ 124,900.00")</f>
        <v>₱ 124,900.00</v>
      </c>
      <c r="E1374" s="164" t="str">
        <f ca="1">IFERROR(__xludf.DUMMYFUNCTION("""COMPUTED_VALUE"""),"₱-")</f>
        <v>₱-</v>
      </c>
      <c r="F1374" s="164" t="str">
        <f ca="1">IFERROR(__xludf.DUMMYFUNCTION("""COMPUTED_VALUE"""),"2023-06-01-10202SP99-01")</f>
        <v>2023-06-01-10202SP99-01</v>
      </c>
      <c r="G1374" s="164" t="str">
        <f ca="1">IFERROR(__xludf.DUMMYFUNCTION("""COMPUTED_VALUE"""),"no plate available")</f>
        <v>no plate available</v>
      </c>
      <c r="H1374" s="164" t="str">
        <f ca="1">IFERROR(__xludf.DUMMYFUNCTION("""COMPUTED_VALUE"""),"ENGR. SHERWIN CHARLIMAGNE OBADO")</f>
        <v>ENGR. SHERWIN CHARLIMAGNE OBADO</v>
      </c>
      <c r="I1374" s="164" t="str">
        <f ca="1">IFERROR(__xludf.DUMMYFUNCTION("""COMPUTED_VALUE"""),"SARPT")</f>
        <v>SARPT</v>
      </c>
      <c r="J1374" s="164" t="str">
        <f ca="1">IFERROR(__xludf.DUMMYFUNCTION("""COMPUTED_VALUE"""),"2023-03-006")</f>
        <v>2023-03-006</v>
      </c>
      <c r="K1374" s="164" t="str">
        <f ca="1">IFERROR(__xludf.DUMMYFUNCTION("""COMPUTED_VALUE"""),"ENGR. SHERWIN CHARLIMAGNE OBADO")</f>
        <v>ENGR. SHERWIN CHARLIMAGNE OBADO</v>
      </c>
      <c r="L1374" s="164" t="str">
        <f ca="1">IFERROR(__xludf.DUMMYFUNCTION("""COMPUTED_VALUE"""),"DARMO")</f>
        <v>DARMO</v>
      </c>
      <c r="M1374" s="164" t="str">
        <f ca="1">IFERROR(__xludf.DUMMYFUNCTION("""COMPUTED_VALUE"""),"SERVICEABLE")</f>
        <v>SERVICEABLE</v>
      </c>
      <c r="N1374" s="164"/>
    </row>
    <row r="1375" spans="1:14" ht="13.2">
      <c r="A1375" s="164" t="str">
        <f ca="1">IFERROR(__xludf.DUMMYFUNCTION("""COMPUTED_VALUE"""),"Region II")</f>
        <v>Region II</v>
      </c>
      <c r="B1375" s="164" t="str">
        <f ca="1">IFERROR(__xludf.DUMMYFUNCTION("""COMPUTED_VALUE"""),"QUIRINO")</f>
        <v>QUIRINO</v>
      </c>
      <c r="C1375" s="164" t="str">
        <f ca="1">IFERROR(__xludf.DUMMYFUNCTION("""COMPUTED_VALUE"""),"Motorcycle – (Honda XRL 150)")</f>
        <v>Motorcycle – (Honda XRL 150)</v>
      </c>
      <c r="D1375" s="164" t="str">
        <f ca="1">IFERROR(__xludf.DUMMYFUNCTION("""COMPUTED_VALUE"""),"₱ 124,900.00")</f>
        <v>₱ 124,900.00</v>
      </c>
      <c r="E1375" s="164" t="str">
        <f ca="1">IFERROR(__xludf.DUMMYFUNCTION("""COMPUTED_VALUE"""),"₱-")</f>
        <v>₱-</v>
      </c>
      <c r="F1375" s="164" t="str">
        <f ca="1">IFERROR(__xludf.DUMMYFUNCTION("""COMPUTED_VALUE"""),"2023-06-01-10202SP100-01")</f>
        <v>2023-06-01-10202SP100-01</v>
      </c>
      <c r="G1375" s="164" t="str">
        <f ca="1">IFERROR(__xludf.DUMMYFUNCTION("""COMPUTED_VALUE"""),"no plate available")</f>
        <v>no plate available</v>
      </c>
      <c r="H1375" s="164" t="str">
        <f ca="1">IFERROR(__xludf.DUMMYFUNCTION("""COMPUTED_VALUE"""),"FREDERICK P. MANLAPAZ")</f>
        <v>FREDERICK P. MANLAPAZ</v>
      </c>
      <c r="I1375" s="164" t="str">
        <f ca="1">IFERROR(__xludf.DUMMYFUNCTION("""COMPUTED_VALUE"""),"SARPT")</f>
        <v>SARPT</v>
      </c>
      <c r="J1375" s="164" t="str">
        <f ca="1">IFERROR(__xludf.DUMMYFUNCTION("""COMPUTED_VALUE"""),"2023-03-007")</f>
        <v>2023-03-007</v>
      </c>
      <c r="K1375" s="164" t="str">
        <f ca="1">IFERROR(__xludf.DUMMYFUNCTION("""COMPUTED_VALUE"""),"FREDERICK P. MANLAPAZ")</f>
        <v>FREDERICK P. MANLAPAZ</v>
      </c>
      <c r="L1375" s="164" t="str">
        <f ca="1">IFERROR(__xludf.DUMMYFUNCTION("""COMPUTED_VALUE"""),"DARMO")</f>
        <v>DARMO</v>
      </c>
      <c r="M1375" s="164" t="str">
        <f ca="1">IFERROR(__xludf.DUMMYFUNCTION("""COMPUTED_VALUE"""),"SERVICEABLE")</f>
        <v>SERVICEABLE</v>
      </c>
      <c r="N1375" s="164"/>
    </row>
    <row r="1376" spans="1:14" ht="13.2">
      <c r="A1376" s="164" t="str">
        <f ca="1">IFERROR(__xludf.DUMMYFUNCTION("""COMPUTED_VALUE"""),"Region II")</f>
        <v>Region II</v>
      </c>
      <c r="B1376" s="164" t="str">
        <f ca="1">IFERROR(__xludf.DUMMYFUNCTION("""COMPUTED_VALUE"""),"QUIRINO")</f>
        <v>QUIRINO</v>
      </c>
      <c r="C1376" s="164" t="str">
        <f ca="1">IFERROR(__xludf.DUMMYFUNCTION("""COMPUTED_VALUE"""),"Motorcycle – (Honda XRL 150)")</f>
        <v>Motorcycle – (Honda XRL 150)</v>
      </c>
      <c r="D1376" s="164" t="str">
        <f ca="1">IFERROR(__xludf.DUMMYFUNCTION("""COMPUTED_VALUE"""),"₱ 124,900.00")</f>
        <v>₱ 124,900.00</v>
      </c>
      <c r="E1376" s="164" t="str">
        <f ca="1">IFERROR(__xludf.DUMMYFUNCTION("""COMPUTED_VALUE"""),"₱-")</f>
        <v>₱-</v>
      </c>
      <c r="F1376" s="164" t="str">
        <f ca="1">IFERROR(__xludf.DUMMYFUNCTION("""COMPUTED_VALUE"""),"2023-06-01-10202SP101-01")</f>
        <v>2023-06-01-10202SP101-01</v>
      </c>
      <c r="G1376" s="164" t="str">
        <f ca="1">IFERROR(__xludf.DUMMYFUNCTION("""COMPUTED_VALUE"""),"no plate available")</f>
        <v>no plate available</v>
      </c>
      <c r="H1376" s="164" t="str">
        <f ca="1">IFERROR(__xludf.DUMMYFUNCTION("""COMPUTED_VALUE"""),"JULIUS C. GARINGAN")</f>
        <v>JULIUS C. GARINGAN</v>
      </c>
      <c r="I1376" s="164" t="str">
        <f ca="1">IFERROR(__xludf.DUMMYFUNCTION("""COMPUTED_VALUE"""),"Technical Staff 2 - Admin and Finance Officer")</f>
        <v>Technical Staff 2 - Admin and Finance Officer</v>
      </c>
      <c r="J1376" s="164" t="str">
        <f ca="1">IFERROR(__xludf.DUMMYFUNCTION("""COMPUTED_VALUE"""),"2023-03-008")</f>
        <v>2023-03-008</v>
      </c>
      <c r="K1376" s="164" t="str">
        <f ca="1">IFERROR(__xludf.DUMMYFUNCTION("""COMPUTED_VALUE"""),"JULIUS C. GARINGAN")</f>
        <v>JULIUS C. GARINGAN</v>
      </c>
      <c r="L1376" s="164" t="str">
        <f ca="1">IFERROR(__xludf.DUMMYFUNCTION("""COMPUTED_VALUE"""),"GSS")</f>
        <v>GSS</v>
      </c>
      <c r="M1376" s="164" t="str">
        <f ca="1">IFERROR(__xludf.DUMMYFUNCTION("""COMPUTED_VALUE"""),"SERVICEABLE")</f>
        <v>SERVICEABLE</v>
      </c>
      <c r="N1376" s="164"/>
    </row>
    <row r="1377" spans="1:14" ht="13.2">
      <c r="A1377" s="164" t="str">
        <f ca="1">IFERROR(__xludf.DUMMYFUNCTION("""COMPUTED_VALUE"""),"Region II")</f>
        <v>Region II</v>
      </c>
      <c r="B1377" s="164" t="str">
        <f ca="1">IFERROR(__xludf.DUMMYFUNCTION("""COMPUTED_VALUE"""),"QUIRINO")</f>
        <v>QUIRINO</v>
      </c>
      <c r="C1377" s="164" t="str">
        <f ca="1">IFERROR(__xludf.DUMMYFUNCTION("""COMPUTED_VALUE"""),"Motorcycle – (Honda XRL 150)")</f>
        <v>Motorcycle – (Honda XRL 150)</v>
      </c>
      <c r="D1377" s="164" t="str">
        <f ca="1">IFERROR(__xludf.DUMMYFUNCTION("""COMPUTED_VALUE"""),"₱ 124,900.00")</f>
        <v>₱ 124,900.00</v>
      </c>
      <c r="E1377" s="164" t="str">
        <f ca="1">IFERROR(__xludf.DUMMYFUNCTION("""COMPUTED_VALUE"""),"₱-")</f>
        <v>₱-</v>
      </c>
      <c r="F1377" s="164" t="str">
        <f ca="1">IFERROR(__xludf.DUMMYFUNCTION("""COMPUTED_VALUE"""),"2023-06-01-10202SP102-01")</f>
        <v>2023-06-01-10202SP102-01</v>
      </c>
      <c r="G1377" s="164" t="str">
        <f ca="1">IFERROR(__xludf.DUMMYFUNCTION("""COMPUTED_VALUE"""),"no plate available")</f>
        <v>no plate available</v>
      </c>
      <c r="H1377" s="164" t="str">
        <f ca="1">IFERROR(__xludf.DUMMYFUNCTION("""COMPUTED_VALUE"""),"ROLAND NARCISO")</f>
        <v>ROLAND NARCISO</v>
      </c>
      <c r="I1377" s="164" t="str">
        <f ca="1">IFERROR(__xludf.DUMMYFUNCTION("""COMPUTED_VALUE"""),"Driver")</f>
        <v>Driver</v>
      </c>
      <c r="J1377" s="164" t="str">
        <f ca="1">IFERROR(__xludf.DUMMYFUNCTION("""COMPUTED_VALUE"""),"2023-03-009")</f>
        <v>2023-03-009</v>
      </c>
      <c r="K1377" s="164" t="str">
        <f ca="1">IFERROR(__xludf.DUMMYFUNCTION("""COMPUTED_VALUE"""),"ROLAND NARCISO")</f>
        <v>ROLAND NARCISO</v>
      </c>
      <c r="L1377" s="164" t="str">
        <f ca="1">IFERROR(__xludf.DUMMYFUNCTION("""COMPUTED_VALUE"""),"GSS")</f>
        <v>GSS</v>
      </c>
      <c r="M1377" s="164" t="str">
        <f ca="1">IFERROR(__xludf.DUMMYFUNCTION("""COMPUTED_VALUE"""),"SERVICEABLE")</f>
        <v>SERVICEABLE</v>
      </c>
      <c r="N1377" s="164"/>
    </row>
    <row r="1378" spans="1:14" ht="13.2">
      <c r="A1378" s="164" t="str">
        <f ca="1">IFERROR(__xludf.DUMMYFUNCTION("""COMPUTED_VALUE"""),"Region II")</f>
        <v>Region II</v>
      </c>
      <c r="B1378" s="164" t="str">
        <f ca="1">IFERROR(__xludf.DUMMYFUNCTION("""COMPUTED_VALUE"""),"QUIRINO")</f>
        <v>QUIRINO</v>
      </c>
      <c r="C1378" s="164" t="str">
        <f ca="1">IFERROR(__xludf.DUMMYFUNCTION("""COMPUTED_VALUE"""),"Motorcycle – (Honda XRL 150)")</f>
        <v>Motorcycle – (Honda XRL 150)</v>
      </c>
      <c r="D1378" s="164" t="str">
        <f ca="1">IFERROR(__xludf.DUMMYFUNCTION("""COMPUTED_VALUE"""),"₱ 124,900.00")</f>
        <v>₱ 124,900.00</v>
      </c>
      <c r="E1378" s="164" t="str">
        <f ca="1">IFERROR(__xludf.DUMMYFUNCTION("""COMPUTED_VALUE"""),"₱-")</f>
        <v>₱-</v>
      </c>
      <c r="F1378" s="164" t="str">
        <f ca="1">IFERROR(__xludf.DUMMYFUNCTION("""COMPUTED_VALUE"""),"2023-06-01-10202SP103-01")</f>
        <v>2023-06-01-10202SP103-01</v>
      </c>
      <c r="G1378" s="164" t="str">
        <f ca="1">IFERROR(__xludf.DUMMYFUNCTION("""COMPUTED_VALUE"""),"no plate available")</f>
        <v>no plate available</v>
      </c>
      <c r="H1378" s="164" t="str">
        <f ca="1">IFERROR(__xludf.DUMMYFUNCTION("""COMPUTED_VALUE"""),"RICHARD F. SORIBEN")</f>
        <v>RICHARD F. SORIBEN</v>
      </c>
      <c r="I1378" s="164" t="str">
        <f ca="1">IFERROR(__xludf.DUMMYFUNCTION("""COMPUTED_VALUE"""),"Procurement Officer")</f>
        <v>Procurement Officer</v>
      </c>
      <c r="J1378" s="164" t="str">
        <f ca="1">IFERROR(__xludf.DUMMYFUNCTION("""COMPUTED_VALUE"""),"2023-03-010")</f>
        <v>2023-03-010</v>
      </c>
      <c r="K1378" s="164" t="str">
        <f ca="1">IFERROR(__xludf.DUMMYFUNCTION("""COMPUTED_VALUE"""),"RICHARD F. SORIBEN")</f>
        <v>RICHARD F. SORIBEN</v>
      </c>
      <c r="L1378" s="164" t="str">
        <f ca="1">IFERROR(__xludf.DUMMYFUNCTION("""COMPUTED_VALUE"""),"GSS")</f>
        <v>GSS</v>
      </c>
      <c r="M1378" s="164" t="str">
        <f ca="1">IFERROR(__xludf.DUMMYFUNCTION("""COMPUTED_VALUE"""),"SERVICEABLE")</f>
        <v>SERVICEABLE</v>
      </c>
      <c r="N1378" s="164"/>
    </row>
    <row r="1379" spans="1:14" ht="13.2">
      <c r="A1379" s="164" t="str">
        <f ca="1">IFERROR(__xludf.DUMMYFUNCTION("""COMPUTED_VALUE"""),"Region II")</f>
        <v>Region II</v>
      </c>
      <c r="B1379" s="164" t="str">
        <f ca="1">IFERROR(__xludf.DUMMYFUNCTION("""COMPUTED_VALUE"""),"QUIRINO")</f>
        <v>QUIRINO</v>
      </c>
      <c r="C1379" s="164" t="str">
        <f ca="1">IFERROR(__xludf.DUMMYFUNCTION("""COMPUTED_VALUE"""),"Motorcycle – (Honda XRL 150)")</f>
        <v>Motorcycle – (Honda XRL 150)</v>
      </c>
      <c r="D1379" s="164" t="str">
        <f ca="1">IFERROR(__xludf.DUMMYFUNCTION("""COMPUTED_VALUE"""),"₱ 124,900.00")</f>
        <v>₱ 124,900.00</v>
      </c>
      <c r="E1379" s="164" t="str">
        <f ca="1">IFERROR(__xludf.DUMMYFUNCTION("""COMPUTED_VALUE"""),"₱-")</f>
        <v>₱-</v>
      </c>
      <c r="F1379" s="164" t="str">
        <f ca="1">IFERROR(__xludf.DUMMYFUNCTION("""COMPUTED_VALUE"""),"2023-06-01-10202SP104-01")</f>
        <v>2023-06-01-10202SP104-01</v>
      </c>
      <c r="G1379" s="164" t="str">
        <f ca="1">IFERROR(__xludf.DUMMYFUNCTION("""COMPUTED_VALUE"""),"no plate available")</f>
        <v>no plate available</v>
      </c>
      <c r="H1379" s="164" t="str">
        <f ca="1">IFERROR(__xludf.DUMMYFUNCTION("""COMPUTED_VALUE"""),"RONNIEL CALIMLIM")</f>
        <v>RONNIEL CALIMLIM</v>
      </c>
      <c r="I1379" s="164" t="str">
        <f ca="1">IFERROR(__xludf.DUMMYFUNCTION("""COMPUTED_VALUE"""),"ARPT")</f>
        <v>ARPT</v>
      </c>
      <c r="J1379" s="164" t="str">
        <f ca="1">IFERROR(__xludf.DUMMYFUNCTION("""COMPUTED_VALUE"""),"2023-03-011")</f>
        <v>2023-03-011</v>
      </c>
      <c r="K1379" s="164" t="str">
        <f ca="1">IFERROR(__xludf.DUMMYFUNCTION("""COMPUTED_VALUE"""),"RONNIEL CALIMLIM")</f>
        <v>RONNIEL CALIMLIM</v>
      </c>
      <c r="L1379" s="164" t="str">
        <f ca="1">IFERROR(__xludf.DUMMYFUNCTION("""COMPUTED_VALUE"""),"DARMO")</f>
        <v>DARMO</v>
      </c>
      <c r="M1379" s="164" t="str">
        <f ca="1">IFERROR(__xludf.DUMMYFUNCTION("""COMPUTED_VALUE"""),"SERVICEABLE")</f>
        <v>SERVICEABLE</v>
      </c>
      <c r="N1379" s="164"/>
    </row>
    <row r="1380" spans="1:14" ht="13.2">
      <c r="A1380" s="164" t="str">
        <f ca="1">IFERROR(__xludf.DUMMYFUNCTION("""COMPUTED_VALUE"""),"Region II")</f>
        <v>Region II</v>
      </c>
      <c r="B1380" s="164" t="str">
        <f ca="1">IFERROR(__xludf.DUMMYFUNCTION("""COMPUTED_VALUE"""),"QUIRINO")</f>
        <v>QUIRINO</v>
      </c>
      <c r="C1380" s="164" t="str">
        <f ca="1">IFERROR(__xludf.DUMMYFUNCTION("""COMPUTED_VALUE"""),"Motorcycle – (Honda XRL 150)")</f>
        <v>Motorcycle – (Honda XRL 150)</v>
      </c>
      <c r="D1380" s="164" t="str">
        <f ca="1">IFERROR(__xludf.DUMMYFUNCTION("""COMPUTED_VALUE"""),"₱ 124,900.00")</f>
        <v>₱ 124,900.00</v>
      </c>
      <c r="E1380" s="164" t="str">
        <f ca="1">IFERROR(__xludf.DUMMYFUNCTION("""COMPUTED_VALUE"""),"₱-")</f>
        <v>₱-</v>
      </c>
      <c r="F1380" s="164" t="str">
        <f ca="1">IFERROR(__xludf.DUMMYFUNCTION("""COMPUTED_VALUE"""),"2023-06-01-10202SP105-01")</f>
        <v>2023-06-01-10202SP105-01</v>
      </c>
      <c r="G1380" s="164" t="str">
        <f ca="1">IFERROR(__xludf.DUMMYFUNCTION("""COMPUTED_VALUE"""),"no plate available")</f>
        <v>no plate available</v>
      </c>
      <c r="H1380" s="164" t="str">
        <f ca="1">IFERROR(__xludf.DUMMYFUNCTION("""COMPUTED_VALUE"""),"JOEL TABOY")</f>
        <v>JOEL TABOY</v>
      </c>
      <c r="I1380" s="164" t="str">
        <f ca="1">IFERROR(__xludf.DUMMYFUNCTION("""COMPUTED_VALUE"""),"SARPT")</f>
        <v>SARPT</v>
      </c>
      <c r="J1380" s="164" t="str">
        <f ca="1">IFERROR(__xludf.DUMMYFUNCTION("""COMPUTED_VALUE"""),"2023-03-012")</f>
        <v>2023-03-012</v>
      </c>
      <c r="K1380" s="164" t="str">
        <f ca="1">IFERROR(__xludf.DUMMYFUNCTION("""COMPUTED_VALUE"""),"JOEL TABOY")</f>
        <v>JOEL TABOY</v>
      </c>
      <c r="L1380" s="164" t="str">
        <f ca="1">IFERROR(__xludf.DUMMYFUNCTION("""COMPUTED_VALUE"""),"DARMO")</f>
        <v>DARMO</v>
      </c>
      <c r="M1380" s="164" t="str">
        <f ca="1">IFERROR(__xludf.DUMMYFUNCTION("""COMPUTED_VALUE"""),"SERVICEABLE")</f>
        <v>SERVICEABLE</v>
      </c>
      <c r="N1380" s="164"/>
    </row>
    <row r="1381" spans="1:14" ht="13.2">
      <c r="A1381" s="164" t="str">
        <f ca="1">IFERROR(__xludf.DUMMYFUNCTION("""COMPUTED_VALUE"""),"Region II")</f>
        <v>Region II</v>
      </c>
      <c r="B1381" s="164" t="str">
        <f ca="1">IFERROR(__xludf.DUMMYFUNCTION("""COMPUTED_VALUE"""),"QUIRINO")</f>
        <v>QUIRINO</v>
      </c>
      <c r="C1381" s="164" t="str">
        <f ca="1">IFERROR(__xludf.DUMMYFUNCTION("""COMPUTED_VALUE"""),"Motorcycle – (Honda XRL 150)")</f>
        <v>Motorcycle – (Honda XRL 150)</v>
      </c>
      <c r="D1381" s="164" t="str">
        <f ca="1">IFERROR(__xludf.DUMMYFUNCTION("""COMPUTED_VALUE"""),"₱ 124,900.00")</f>
        <v>₱ 124,900.00</v>
      </c>
      <c r="E1381" s="164" t="str">
        <f ca="1">IFERROR(__xludf.DUMMYFUNCTION("""COMPUTED_VALUE"""),"₱-")</f>
        <v>₱-</v>
      </c>
      <c r="F1381" s="164" t="str">
        <f ca="1">IFERROR(__xludf.DUMMYFUNCTION("""COMPUTED_VALUE"""),"2023-06-01-10202SP106-01")</f>
        <v>2023-06-01-10202SP106-01</v>
      </c>
      <c r="G1381" s="164" t="str">
        <f ca="1">IFERROR(__xludf.DUMMYFUNCTION("""COMPUTED_VALUE"""),"no plate available")</f>
        <v>no plate available</v>
      </c>
      <c r="H1381" s="164" t="str">
        <f ca="1">IFERROR(__xludf.DUMMYFUNCTION("""COMPUTED_VALUE"""),"PAUL MICHAEL A. OFECIAR")</f>
        <v>PAUL MICHAEL A. OFECIAR</v>
      </c>
      <c r="I1381" s="164" t="str">
        <f ca="1">IFERROR(__xludf.DUMMYFUNCTION("""COMPUTED_VALUE"""),"ARPT")</f>
        <v>ARPT</v>
      </c>
      <c r="J1381" s="164" t="str">
        <f ca="1">IFERROR(__xludf.DUMMYFUNCTION("""COMPUTED_VALUE"""),"2023-03-013")</f>
        <v>2023-03-013</v>
      </c>
      <c r="K1381" s="164" t="str">
        <f ca="1">IFERROR(__xludf.DUMMYFUNCTION("""COMPUTED_VALUE"""),"PAUL MICHAEL A. OFECIAR")</f>
        <v>PAUL MICHAEL A. OFECIAR</v>
      </c>
      <c r="L1381" s="164" t="str">
        <f ca="1">IFERROR(__xludf.DUMMYFUNCTION("""COMPUTED_VALUE"""),"DARMO")</f>
        <v>DARMO</v>
      </c>
      <c r="M1381" s="164" t="str">
        <f ca="1">IFERROR(__xludf.DUMMYFUNCTION("""COMPUTED_VALUE"""),"SERVICEABLE")</f>
        <v>SERVICEABLE</v>
      </c>
      <c r="N1381" s="164"/>
    </row>
    <row r="1382" spans="1:14" ht="13.2">
      <c r="A1382" s="164" t="str">
        <f ca="1">IFERROR(__xludf.DUMMYFUNCTION("""COMPUTED_VALUE"""),"Region II")</f>
        <v>Region II</v>
      </c>
      <c r="B1382" s="164" t="str">
        <f ca="1">IFERROR(__xludf.DUMMYFUNCTION("""COMPUTED_VALUE"""),"QUIRINO")</f>
        <v>QUIRINO</v>
      </c>
      <c r="C1382" s="164" t="str">
        <f ca="1">IFERROR(__xludf.DUMMYFUNCTION("""COMPUTED_VALUE"""),"Double Cabin Pick-up Vehicles – Mitsubishi Strada")</f>
        <v>Double Cabin Pick-up Vehicles – Mitsubishi Strada</v>
      </c>
      <c r="D1382" s="164" t="str">
        <f ca="1">IFERROR(__xludf.DUMMYFUNCTION("""COMPUTED_VALUE"""),"₱ 1,752,400.00")</f>
        <v>₱ 1,752,400.00</v>
      </c>
      <c r="E1382" s="164" t="str">
        <f ca="1">IFERROR(__xludf.DUMMYFUNCTION("""COMPUTED_VALUE"""),"₱-")</f>
        <v>₱-</v>
      </c>
      <c r="F1382" s="164" t="str">
        <f ca="1">IFERROR(__xludf.DUMMYFUNCTION("""COMPUTED_VALUE"""),"2023-06-01-10201SP58-01")</f>
        <v>2023-06-01-10201SP58-01</v>
      </c>
      <c r="G1382" s="164" t="str">
        <f ca="1">IFERROR(__xludf.DUMMYFUNCTION("""COMPUTED_VALUE"""),"SNC 1114")</f>
        <v>SNC 1114</v>
      </c>
      <c r="H1382" s="164" t="str">
        <f ca="1">IFERROR(__xludf.DUMMYFUNCTION("""COMPUTED_VALUE"""),"RICHARD F. SORIBEN")</f>
        <v>RICHARD F. SORIBEN</v>
      </c>
      <c r="I1382" s="164" t="str">
        <f ca="1">IFERROR(__xludf.DUMMYFUNCTION("""COMPUTED_VALUE"""),"AO IV/ GSO HEAD")</f>
        <v>AO IV/ GSO HEAD</v>
      </c>
      <c r="J1382" s="164" t="str">
        <f ca="1">IFERROR(__xludf.DUMMYFUNCTION("""COMPUTED_VALUE"""),"2024-01-003")</f>
        <v>2024-01-003</v>
      </c>
      <c r="K1382" s="164" t="str">
        <f ca="1">IFERROR(__xludf.DUMMYFUNCTION("""COMPUTED_VALUE"""),"RICHARD F SORIBEN")</f>
        <v>RICHARD F SORIBEN</v>
      </c>
      <c r="L1382" s="164" t="str">
        <f ca="1">IFERROR(__xludf.DUMMYFUNCTION("""COMPUTED_VALUE"""),"GSO")</f>
        <v>GSO</v>
      </c>
      <c r="M1382" s="164" t="str">
        <f ca="1">IFERROR(__xludf.DUMMYFUNCTION("""COMPUTED_VALUE"""),"SERVICEABLE")</f>
        <v>SERVICEABLE</v>
      </c>
      <c r="N1382" s="164"/>
    </row>
    <row r="1383" spans="1:14" ht="13.2" hidden="1">
      <c r="A1383" s="164" t="str">
        <f ca="1">IFERROR(__xludf.DUMMYFUNCTION("""COMPUTED_VALUE"""),"Region II")</f>
        <v>Region II</v>
      </c>
      <c r="B1383" s="164" t="str">
        <f ca="1">IFERROR(__xludf.DUMMYFUNCTION("""COMPUTED_VALUE"""),"Regional Office")</f>
        <v>Regional Office</v>
      </c>
      <c r="C1383" s="164" t="str">
        <f ca="1">IFERROR(__xludf.DUMMYFUNCTION("""COMPUTED_VALUE"""),"Double Cabin Pick-up Vehicles – Mitsubishi Strada")</f>
        <v>Double Cabin Pick-up Vehicles – Mitsubishi Strada</v>
      </c>
      <c r="D1383" s="164" t="str">
        <f ca="1">IFERROR(__xludf.DUMMYFUNCTION("""COMPUTED_VALUE"""),"₱ 1,752,400.00")</f>
        <v>₱ 1,752,400.00</v>
      </c>
      <c r="E1383" s="164"/>
      <c r="F1383" s="164" t="str">
        <f ca="1">IFERROR(__xludf.DUMMYFUNCTION("""COMPUTED_VALUE"""),"2023-06-01-10201SP28-01")</f>
        <v>2023-06-01-10201SP28-01</v>
      </c>
      <c r="G1383" s="164" t="str">
        <f ca="1">IFERROR(__xludf.DUMMYFUNCTION("""COMPUTED_VALUE"""),"Y2-Z521/SNC 1108")</f>
        <v>Y2-Z521/SNC 1108</v>
      </c>
      <c r="H1383" s="164"/>
      <c r="I1383" s="164" t="str">
        <f ca="1">IFERROR(__xludf.DUMMYFUNCTION("""COMPUTED_VALUE"""),"RD PRIME")</f>
        <v>RD PRIME</v>
      </c>
      <c r="J1383" s="164" t="str">
        <f ca="1">IFERROR(__xludf.DUMMYFUNCTION("""COMPUTED_VALUE"""),"2023-10-025MV")</f>
        <v>2023-10-025MV</v>
      </c>
      <c r="K1383" s="164"/>
      <c r="L1383" s="164" t="str">
        <f ca="1">IFERROR(__xludf.DUMMYFUNCTION("""COMPUTED_VALUE"""),"DARRO II")</f>
        <v>DARRO II</v>
      </c>
      <c r="M1383" s="164" t="str">
        <f ca="1">IFERROR(__xludf.DUMMYFUNCTION("""COMPUTED_VALUE"""),"SERVICEABLE")</f>
        <v>SERVICEABLE</v>
      </c>
      <c r="N1383" s="164"/>
    </row>
    <row r="1384" spans="1:14" ht="13.2" hidden="1">
      <c r="A1384" s="164" t="str">
        <f ca="1">IFERROR(__xludf.DUMMYFUNCTION("""COMPUTED_VALUE"""),"Region II")</f>
        <v>Region II</v>
      </c>
      <c r="B1384" s="164" t="str">
        <f ca="1">IFERROR(__xludf.DUMMYFUNCTION("""COMPUTED_VALUE"""),"Regional Office")</f>
        <v>Regional Office</v>
      </c>
      <c r="C1384" s="164" t="str">
        <f ca="1">IFERROR(__xludf.DUMMYFUNCTION("""COMPUTED_VALUE"""),"Double Cabin Pick-up Vehicles – Mitsubishi Strada")</f>
        <v>Double Cabin Pick-up Vehicles – Mitsubishi Strada</v>
      </c>
      <c r="D1384" s="164" t="str">
        <f ca="1">IFERROR(__xludf.DUMMYFUNCTION("""COMPUTED_VALUE"""),"₱ 1,752,400.00")</f>
        <v>₱ 1,752,400.00</v>
      </c>
      <c r="E1384" s="164"/>
      <c r="F1384" s="164" t="str">
        <f ca="1">IFERROR(__xludf.DUMMYFUNCTION("""COMPUTED_VALUE"""),"2023-06-01-10201SP20-01")</f>
        <v>2023-06-01-10201SP20-01</v>
      </c>
      <c r="G1384" s="164" t="str">
        <f ca="1">IFERROR(__xludf.DUMMYFUNCTION("""COMPUTED_VALUE"""),"Y3-B130/SNC 1075/NFX 1808")</f>
        <v>Y3-B130/SNC 1075/NFX 1808</v>
      </c>
      <c r="H1384" s="164"/>
      <c r="I1384" s="164" t="str">
        <f ca="1">IFERROR(__xludf.DUMMYFUNCTION("""COMPUTED_VALUE"""),"RD PRIME")</f>
        <v>RD PRIME</v>
      </c>
      <c r="J1384" s="164" t="str">
        <f ca="1">IFERROR(__xludf.DUMMYFUNCTION("""COMPUTED_VALUE"""),"2023-09-002MV/007")</f>
        <v>2023-09-002MV/007</v>
      </c>
      <c r="K1384" s="164"/>
      <c r="L1384" s="164" t="str">
        <f ca="1">IFERROR(__xludf.DUMMYFUNCTION("""COMPUTED_VALUE"""),"DARRO II")</f>
        <v>DARRO II</v>
      </c>
      <c r="M1384" s="164" t="str">
        <f ca="1">IFERROR(__xludf.DUMMYFUNCTION("""COMPUTED_VALUE"""),"SERVICEABLE")</f>
        <v>SERVICEABLE</v>
      </c>
      <c r="N1384" s="164"/>
    </row>
    <row r="1385" spans="1:14" ht="13.2" hidden="1">
      <c r="A1385" s="164" t="str">
        <f ca="1">IFERROR(__xludf.DUMMYFUNCTION("""COMPUTED_VALUE"""),"Region III")</f>
        <v>Region III</v>
      </c>
      <c r="B1385" s="164" t="str">
        <f ca="1">IFERROR(__xludf.DUMMYFUNCTION("""COMPUTED_VALUE"""),"Regional Office")</f>
        <v>Regional Office</v>
      </c>
      <c r="C1385" s="164" t="str">
        <f ca="1">IFERROR(__xludf.DUMMYFUNCTION("""COMPUTED_VALUE"""),"Desktop Computer – (Lenovo M70T)")</f>
        <v>Desktop Computer – (Lenovo M70T)</v>
      </c>
      <c r="D1385" s="164" t="str">
        <f ca="1">IFERROR(__xludf.DUMMYFUNCTION("""COMPUTED_VALUE"""),"₱ 75,468.00")</f>
        <v>₱ 75,468.00</v>
      </c>
      <c r="E1385" s="164" t="str">
        <f ca="1">IFERROR(__xludf.DUMMYFUNCTION("""COMPUTED_VALUE"""),"₱ -")</f>
        <v>₱ -</v>
      </c>
      <c r="F1385" s="164" t="str">
        <f ca="1">IFERROR(__xludf.DUMMYFUNCTION("""COMPUTED_VALUE"""),"2023-05-03-10201SP763-01")</f>
        <v>2023-05-03-10201SP763-01</v>
      </c>
      <c r="G1385" s="164" t="str">
        <f ca="1">IFERROR(__xludf.DUMMYFUNCTION("""COMPUTED_VALUE"""),"1S11T5S16200GM03S3PW")</f>
        <v>1S11T5S16200GM03S3PW</v>
      </c>
      <c r="H1385" s="164" t="str">
        <f ca="1">IFERROR(__xludf.DUMMYFUNCTION("""COMPUTED_VALUE"""),"Atty. Eric Luna")</f>
        <v>Atty. Eric Luna</v>
      </c>
      <c r="I1385" s="164" t="str">
        <f ca="1">IFERROR(__xludf.DUMMYFUNCTION("""COMPUTED_VALUE"""),"Regional Director")</f>
        <v>Regional Director</v>
      </c>
      <c r="J1385" s="164" t="str">
        <f ca="1">IFERROR(__xludf.DUMMYFUNCTION("""COMPUTED_VALUE"""),"2023-06-002")</f>
        <v>2023-06-002</v>
      </c>
      <c r="K1385" s="164" t="str">
        <f ca="1">IFERROR(__xludf.DUMMYFUNCTION("""COMPUTED_VALUE"""),"Roel Fortin")</f>
        <v>Roel Fortin</v>
      </c>
      <c r="L1385" s="164" t="str">
        <f ca="1">IFERROR(__xludf.DUMMYFUNCTION("""COMPUTED_VALUE"""),"RDs Office")</f>
        <v>RDs Office</v>
      </c>
      <c r="M1385" s="164" t="str">
        <f ca="1">IFERROR(__xludf.DUMMYFUNCTION("""COMPUTED_VALUE"""),"SERVICEABLE")</f>
        <v>SERVICEABLE</v>
      </c>
      <c r="N1385" s="164"/>
    </row>
    <row r="1386" spans="1:14" ht="13.2" hidden="1">
      <c r="A1386" s="164" t="str">
        <f ca="1">IFERROR(__xludf.DUMMYFUNCTION("""COMPUTED_VALUE"""),"Region III")</f>
        <v>Region III</v>
      </c>
      <c r="B1386" s="164" t="str">
        <f ca="1">IFERROR(__xludf.DUMMYFUNCTION("""COMPUTED_VALUE"""),"Regional Office")</f>
        <v>Regional Office</v>
      </c>
      <c r="C1386" s="164" t="str">
        <f ca="1">IFERROR(__xludf.DUMMYFUNCTION("""COMPUTED_VALUE"""),"Desktop Computer – (Lenovo M70T)")</f>
        <v>Desktop Computer – (Lenovo M70T)</v>
      </c>
      <c r="D1386" s="164" t="str">
        <f ca="1">IFERROR(__xludf.DUMMYFUNCTION("""COMPUTED_VALUE"""),"₱ 75,468.00")</f>
        <v>₱ 75,468.00</v>
      </c>
      <c r="E1386" s="164" t="str">
        <f ca="1">IFERROR(__xludf.DUMMYFUNCTION("""COMPUTED_VALUE"""),"₱-")</f>
        <v>₱-</v>
      </c>
      <c r="F1386" s="164" t="str">
        <f ca="1">IFERROR(__xludf.DUMMYFUNCTION("""COMPUTED_VALUE"""),"2023-05-03-10201SP764-01")</f>
        <v>2023-05-03-10201SP764-01</v>
      </c>
      <c r="G1386" s="164" t="str">
        <f ca="1">IFERROR(__xludf.DUMMYFUNCTION("""COMPUTED_VALUE"""),"1S11T5S16200GM02ZT9G")</f>
        <v>1S11T5S16200GM02ZT9G</v>
      </c>
      <c r="H1386" s="164" t="str">
        <f ca="1">IFERROR(__xludf.DUMMYFUNCTION("""COMPUTED_VALUE"""),"Atty. Odgie C. Cayabyab")</f>
        <v>Atty. Odgie C. Cayabyab</v>
      </c>
      <c r="I1386" s="164" t="str">
        <f ca="1">IFERROR(__xludf.DUMMYFUNCTION("""COMPUTED_VALUE"""),"Asst. Regional Director")</f>
        <v>Asst. Regional Director</v>
      </c>
      <c r="J1386" s="164" t="str">
        <f ca="1">IFERROR(__xludf.DUMMYFUNCTION("""COMPUTED_VALUE"""),"2023-06-003")</f>
        <v>2023-06-003</v>
      </c>
      <c r="K1386" s="164" t="str">
        <f ca="1">IFERROR(__xludf.DUMMYFUNCTION("""COMPUTED_VALUE"""),"Ed Maglalang")</f>
        <v>Ed Maglalang</v>
      </c>
      <c r="L1386" s="164" t="str">
        <f ca="1">IFERROR(__xludf.DUMMYFUNCTION("""COMPUTED_VALUE"""),"ARDs Office")</f>
        <v>ARDs Office</v>
      </c>
      <c r="M1386" s="164" t="str">
        <f ca="1">IFERROR(__xludf.DUMMYFUNCTION("""COMPUTED_VALUE"""),"SERVICEABLE")</f>
        <v>SERVICEABLE</v>
      </c>
      <c r="N1386" s="164"/>
    </row>
    <row r="1387" spans="1:14" ht="13.2" hidden="1">
      <c r="A1387" s="164" t="str">
        <f ca="1">IFERROR(__xludf.DUMMYFUNCTION("""COMPUTED_VALUE"""),"Region III")</f>
        <v>Region III</v>
      </c>
      <c r="B1387" s="164" t="str">
        <f ca="1">IFERROR(__xludf.DUMMYFUNCTION("""COMPUTED_VALUE"""),"Regional Office")</f>
        <v>Regional Office</v>
      </c>
      <c r="C1387" s="164" t="str">
        <f ca="1">IFERROR(__xludf.DUMMYFUNCTION("""COMPUTED_VALUE"""),"Desktop Computer – (Lenovo M70T)")</f>
        <v>Desktop Computer – (Lenovo M70T)</v>
      </c>
      <c r="D1387" s="164" t="str">
        <f ca="1">IFERROR(__xludf.DUMMYFUNCTION("""COMPUTED_VALUE"""),"₱ 75,468.00")</f>
        <v>₱ 75,468.00</v>
      </c>
      <c r="E1387" s="164" t="str">
        <f ca="1">IFERROR(__xludf.DUMMYFUNCTION("""COMPUTED_VALUE"""),"₱-")</f>
        <v>₱-</v>
      </c>
      <c r="F1387" s="164" t="str">
        <f ca="1">IFERROR(__xludf.DUMMYFUNCTION("""COMPUTED_VALUE"""),"2023-05-03-10201SP769-01")</f>
        <v>2023-05-03-10201SP769-01</v>
      </c>
      <c r="G1387" s="164" t="str">
        <f ca="1">IFERROR(__xludf.DUMMYFUNCTION("""COMPUTED_VALUE"""),"1S11T5S16200GM02ZT72")</f>
        <v>1S11T5S16200GM02ZT72</v>
      </c>
      <c r="H1387" s="164" t="str">
        <f ca="1">IFERROR(__xludf.DUMMYFUNCTION("""COMPUTED_VALUE"""),"Atty. Judita Tungol")</f>
        <v>Atty. Judita Tungol</v>
      </c>
      <c r="I1387" s="164" t="str">
        <f ca="1">IFERROR(__xludf.DUMMYFUNCTION("""COMPUTED_VALUE"""),"RARAD/GRM Coordinator")</f>
        <v>RARAD/GRM Coordinator</v>
      </c>
      <c r="J1387" s="164" t="str">
        <f ca="1">IFERROR(__xludf.DUMMYFUNCTION("""COMPUTED_VALUE"""),"2023-06-008")</f>
        <v>2023-06-008</v>
      </c>
      <c r="K1387" s="164" t="str">
        <f ca="1">IFERROR(__xludf.DUMMYFUNCTION("""COMPUTED_VALUE"""),"Atty. Judita Tungol")</f>
        <v>Atty. Judita Tungol</v>
      </c>
      <c r="L1387" s="164" t="str">
        <f ca="1">IFERROR(__xludf.DUMMYFUNCTION("""COMPUTED_VALUE"""),"DARAB")</f>
        <v>DARAB</v>
      </c>
      <c r="M1387" s="164" t="str">
        <f ca="1">IFERROR(__xludf.DUMMYFUNCTION("""COMPUTED_VALUE"""),"SERVICEABLE")</f>
        <v>SERVICEABLE</v>
      </c>
      <c r="N1387" s="164"/>
    </row>
    <row r="1388" spans="1:14" ht="13.2" hidden="1">
      <c r="A1388" s="164" t="str">
        <f ca="1">IFERROR(__xludf.DUMMYFUNCTION("""COMPUTED_VALUE"""),"Region III")</f>
        <v>Region III</v>
      </c>
      <c r="B1388" s="164" t="str">
        <f ca="1">IFERROR(__xludf.DUMMYFUNCTION("""COMPUTED_VALUE"""),"Regional Office")</f>
        <v>Regional Office</v>
      </c>
      <c r="C1388" s="164" t="str">
        <f ca="1">IFERROR(__xludf.DUMMYFUNCTION("""COMPUTED_VALUE"""),"Desktop Computer – (Lenovo M70T)")</f>
        <v>Desktop Computer – (Lenovo M70T)</v>
      </c>
      <c r="D1388" s="164" t="str">
        <f ca="1">IFERROR(__xludf.DUMMYFUNCTION("""COMPUTED_VALUE"""),"₱ 75,468.00")</f>
        <v>₱ 75,468.00</v>
      </c>
      <c r="E1388" s="164" t="str">
        <f ca="1">IFERROR(__xludf.DUMMYFUNCTION("""COMPUTED_VALUE"""),"₱-")</f>
        <v>₱-</v>
      </c>
      <c r="F1388" s="164" t="str">
        <f ca="1">IFERROR(__xludf.DUMMYFUNCTION("""COMPUTED_VALUE"""),"2023-05-03-10201SP765-01")</f>
        <v>2023-05-03-10201SP765-01</v>
      </c>
      <c r="G1388" s="164" t="str">
        <f ca="1">IFERROR(__xludf.DUMMYFUNCTION("""COMPUTED_VALUE"""),"1S11T5S16200GM02ZT84")</f>
        <v>1S11T5S16200GM02ZT84</v>
      </c>
      <c r="H1388" s="164" t="str">
        <f ca="1">IFERROR(__xludf.DUMMYFUNCTION("""COMPUTED_VALUE"""),"Iluminado Ocampo")</f>
        <v>Iluminado Ocampo</v>
      </c>
      <c r="I1388" s="164" t="str">
        <f ca="1">IFERROR(__xludf.DUMMYFUNCTION("""COMPUTED_VALUE"""),"OIC CARPO-FOD/Parcelization Component Coordinator")</f>
        <v>OIC CARPO-FOD/Parcelization Component Coordinator</v>
      </c>
      <c r="J1388" s="164" t="str">
        <f ca="1">IFERROR(__xludf.DUMMYFUNCTION("""COMPUTED_VALUE"""),"2023-06-004")</f>
        <v>2023-06-004</v>
      </c>
      <c r="K1388" s="164" t="str">
        <f ca="1">IFERROR(__xludf.DUMMYFUNCTION("""COMPUTED_VALUE"""),"Iluminado Ocampo")</f>
        <v>Iluminado Ocampo</v>
      </c>
      <c r="L1388" s="164" t="str">
        <f ca="1">IFERROR(__xludf.DUMMYFUNCTION("""COMPUTED_VALUE"""),"FOD")</f>
        <v>FOD</v>
      </c>
      <c r="M1388" s="164" t="str">
        <f ca="1">IFERROR(__xludf.DUMMYFUNCTION("""COMPUTED_VALUE"""),"SERVICEABLE")</f>
        <v>SERVICEABLE</v>
      </c>
      <c r="N1388" s="164"/>
    </row>
    <row r="1389" spans="1:14" ht="13.2" hidden="1">
      <c r="A1389" s="164" t="str">
        <f ca="1">IFERROR(__xludf.DUMMYFUNCTION("""COMPUTED_VALUE"""),"Region III")</f>
        <v>Region III</v>
      </c>
      <c r="B1389" s="164" t="str">
        <f ca="1">IFERROR(__xludf.DUMMYFUNCTION("""COMPUTED_VALUE"""),"Regional Office")</f>
        <v>Regional Office</v>
      </c>
      <c r="C1389" s="164" t="str">
        <f ca="1">IFERROR(__xludf.DUMMYFUNCTION("""COMPUTED_VALUE"""),"Desktop Computer – (Lenovo M70T)")</f>
        <v>Desktop Computer – (Lenovo M70T)</v>
      </c>
      <c r="D1389" s="164" t="str">
        <f ca="1">IFERROR(__xludf.DUMMYFUNCTION("""COMPUTED_VALUE"""),"₱ 75,468.00")</f>
        <v>₱ 75,468.00</v>
      </c>
      <c r="E1389" s="164" t="str">
        <f ca="1">IFERROR(__xludf.DUMMYFUNCTION("""COMPUTED_VALUE"""),"₱-")</f>
        <v>₱-</v>
      </c>
      <c r="F1389" s="164" t="str">
        <f ca="1">IFERROR(__xludf.DUMMYFUNCTION("""COMPUTED_VALUE"""),"2023-05-03-10201SP768-01")</f>
        <v>2023-05-03-10201SP768-01</v>
      </c>
      <c r="G1389" s="164" t="str">
        <f ca="1">IFERROR(__xludf.DUMMYFUNCTION("""COMPUTED_VALUE"""),"1S11T5S16200GM041ASM")</f>
        <v>1S11T5S16200GM041ASM</v>
      </c>
      <c r="H1389" s="164" t="str">
        <f ca="1">IFERROR(__xludf.DUMMYFUNCTION("""COMPUTED_VALUE"""),"Atty. Cristina Miguel")</f>
        <v>Atty. Cristina Miguel</v>
      </c>
      <c r="I1389" s="164" t="str">
        <f ca="1">IFERROR(__xludf.DUMMYFUNCTION("""COMPUTED_VALUE"""),"Chief, Legal Division/Legal Coordinator")</f>
        <v>Chief, Legal Division/Legal Coordinator</v>
      </c>
      <c r="J1389" s="164" t="str">
        <f ca="1">IFERROR(__xludf.DUMMYFUNCTION("""COMPUTED_VALUE"""),"2023-06-007")</f>
        <v>2023-06-007</v>
      </c>
      <c r="K1389" s="164" t="str">
        <f ca="1">IFERROR(__xludf.DUMMYFUNCTION("""COMPUTED_VALUE"""),"Atty. Cristina Miguel")</f>
        <v>Atty. Cristina Miguel</v>
      </c>
      <c r="L1389" s="164" t="str">
        <f ca="1">IFERROR(__xludf.DUMMYFUNCTION("""COMPUTED_VALUE"""),"Legal Division")</f>
        <v>Legal Division</v>
      </c>
      <c r="M1389" s="164" t="str">
        <f ca="1">IFERROR(__xludf.DUMMYFUNCTION("""COMPUTED_VALUE"""),"SERVICEABLE")</f>
        <v>SERVICEABLE</v>
      </c>
      <c r="N1389" s="164"/>
    </row>
    <row r="1390" spans="1:14" ht="13.2" hidden="1">
      <c r="A1390" s="164" t="str">
        <f ca="1">IFERROR(__xludf.DUMMYFUNCTION("""COMPUTED_VALUE"""),"Region III")</f>
        <v>Region III</v>
      </c>
      <c r="B1390" s="164" t="str">
        <f ca="1">IFERROR(__xludf.DUMMYFUNCTION("""COMPUTED_VALUE"""),"Regional Office")</f>
        <v>Regional Office</v>
      </c>
      <c r="C1390" s="164" t="str">
        <f ca="1">IFERROR(__xludf.DUMMYFUNCTION("""COMPUTED_VALUE"""),"Desktop Computer – (Lenovo M70T)")</f>
        <v>Desktop Computer – (Lenovo M70T)</v>
      </c>
      <c r="D1390" s="164" t="str">
        <f ca="1">IFERROR(__xludf.DUMMYFUNCTION("""COMPUTED_VALUE"""),"₱ 75,468.00")</f>
        <v>₱ 75,468.00</v>
      </c>
      <c r="E1390" s="164" t="str">
        <f ca="1">IFERROR(__xludf.DUMMYFUNCTION("""COMPUTED_VALUE"""),"₱-")</f>
        <v>₱-</v>
      </c>
      <c r="F1390" s="164" t="str">
        <f ca="1">IFERROR(__xludf.DUMMYFUNCTION("""COMPUTED_VALUE"""),"2023-05-03-10201SP762-01")</f>
        <v>2023-05-03-10201SP762-01</v>
      </c>
      <c r="G1390" s="164" t="str">
        <f ca="1">IFERROR(__xludf.DUMMYFUNCTION("""COMPUTED_VALUE"""),"1S11T5S16200GM041AY7")</f>
        <v>1S11T5S16200GM041AY7</v>
      </c>
      <c r="H1390" s="164" t="str">
        <f ca="1">IFERROR(__xludf.DUMMYFUNCTION("""COMPUTED_VALUE"""),"Lilian C. Dela Cruz")</f>
        <v>Lilian C. Dela Cruz</v>
      </c>
      <c r="I1390" s="164" t="str">
        <f ca="1">IFERROR(__xludf.DUMMYFUNCTION("""COMPUTED_VALUE"""),"RCAO/Admin. And Finance Officer")</f>
        <v>RCAO/Admin. And Finance Officer</v>
      </c>
      <c r="J1390" s="164" t="str">
        <f ca="1">IFERROR(__xludf.DUMMYFUNCTION("""COMPUTED_VALUE"""),"2023-06-015")</f>
        <v>2023-06-015</v>
      </c>
      <c r="K1390" s="164" t="str">
        <f ca="1">IFERROR(__xludf.DUMMYFUNCTION("""COMPUTED_VALUE"""),"Lilian C. Dela Cruz")</f>
        <v>Lilian C. Dela Cruz</v>
      </c>
      <c r="L1390" s="164" t="str">
        <f ca="1">IFERROR(__xludf.DUMMYFUNCTION("""COMPUTED_VALUE"""),"STOD")</f>
        <v>STOD</v>
      </c>
      <c r="M1390" s="164" t="str">
        <f ca="1">IFERROR(__xludf.DUMMYFUNCTION("""COMPUTED_VALUE"""),"SERVICEABLE")</f>
        <v>SERVICEABLE</v>
      </c>
      <c r="N1390" s="164"/>
    </row>
    <row r="1391" spans="1:14" ht="13.2" hidden="1">
      <c r="A1391" s="164" t="str">
        <f ca="1">IFERROR(__xludf.DUMMYFUNCTION("""COMPUTED_VALUE"""),"Region III")</f>
        <v>Region III</v>
      </c>
      <c r="B1391" s="164" t="str">
        <f ca="1">IFERROR(__xludf.DUMMYFUNCTION("""COMPUTED_VALUE"""),"Regional Office")</f>
        <v>Regional Office</v>
      </c>
      <c r="C1391" s="164" t="str">
        <f ca="1">IFERROR(__xludf.DUMMYFUNCTION("""COMPUTED_VALUE"""),"Desktop Computer – (Lenovo M70T)")</f>
        <v>Desktop Computer – (Lenovo M70T)</v>
      </c>
      <c r="D1391" s="164" t="str">
        <f ca="1">IFERROR(__xludf.DUMMYFUNCTION("""COMPUTED_VALUE"""),"₱ 75,468.00")</f>
        <v>₱ 75,468.00</v>
      </c>
      <c r="E1391" s="164" t="str">
        <f ca="1">IFERROR(__xludf.DUMMYFUNCTION("""COMPUTED_VALUE"""),"₱-")</f>
        <v>₱-</v>
      </c>
      <c r="F1391" s="164" t="str">
        <f ca="1">IFERROR(__xludf.DUMMYFUNCTION("""COMPUTED_VALUE"""),"2023-05-03-10201SP770-01")</f>
        <v>2023-05-03-10201SP770-01</v>
      </c>
      <c r="G1391" s="164" t="str">
        <f ca="1">IFERROR(__xludf.DUMMYFUNCTION("""COMPUTED_VALUE"""),"1S11T5S16200GM041APX")</f>
        <v>1S11T5S16200GM041APX</v>
      </c>
      <c r="H1391" s="164" t="str">
        <f ca="1">IFERROR(__xludf.DUMMYFUNCTION("""COMPUTED_VALUE"""),"Jemmycho Otchenco")</f>
        <v>Jemmycho Otchenco</v>
      </c>
      <c r="I1391" s="164" t="str">
        <f ca="1">IFERROR(__xludf.DUMMYFUNCTION("""COMPUTED_VALUE"""),"Regional Accountant/Project Accountant")</f>
        <v>Regional Accountant/Project Accountant</v>
      </c>
      <c r="J1391" s="164" t="str">
        <f ca="1">IFERROR(__xludf.DUMMYFUNCTION("""COMPUTED_VALUE"""),"2023-06-009")</f>
        <v>2023-06-009</v>
      </c>
      <c r="K1391" s="164" t="str">
        <f ca="1">IFERROR(__xludf.DUMMYFUNCTION("""COMPUTED_VALUE"""),"COS")</f>
        <v>COS</v>
      </c>
      <c r="L1391" s="164" t="str">
        <f ca="1">IFERROR(__xludf.DUMMYFUNCTION("""COMPUTED_VALUE"""),"Accounting")</f>
        <v>Accounting</v>
      </c>
      <c r="M1391" s="164" t="str">
        <f ca="1">IFERROR(__xludf.DUMMYFUNCTION("""COMPUTED_VALUE"""),"SERVICEABLE")</f>
        <v>SERVICEABLE</v>
      </c>
      <c r="N1391" s="164"/>
    </row>
    <row r="1392" spans="1:14" ht="13.2" hidden="1">
      <c r="A1392" s="164" t="str">
        <f ca="1">IFERROR(__xludf.DUMMYFUNCTION("""COMPUTED_VALUE"""),"Region III")</f>
        <v>Region III</v>
      </c>
      <c r="B1392" s="164" t="str">
        <f ca="1">IFERROR(__xludf.DUMMYFUNCTION("""COMPUTED_VALUE"""),"Regional Office")</f>
        <v>Regional Office</v>
      </c>
      <c r="C1392" s="164" t="str">
        <f ca="1">IFERROR(__xludf.DUMMYFUNCTION("""COMPUTED_VALUE"""),"Desktop Computer – (Lenovo M70T)")</f>
        <v>Desktop Computer – (Lenovo M70T)</v>
      </c>
      <c r="D1392" s="164" t="str">
        <f ca="1">IFERROR(__xludf.DUMMYFUNCTION("""COMPUTED_VALUE"""),"₱ 75,468.00")</f>
        <v>₱ 75,468.00</v>
      </c>
      <c r="E1392" s="164" t="str">
        <f ca="1">IFERROR(__xludf.DUMMYFUNCTION("""COMPUTED_VALUE"""),"₱-")</f>
        <v>₱-</v>
      </c>
      <c r="F1392" s="164" t="str">
        <f ca="1">IFERROR(__xludf.DUMMYFUNCTION("""COMPUTED_VALUE"""),"2023-05-03-10201SP771-01")</f>
        <v>2023-05-03-10201SP771-01</v>
      </c>
      <c r="G1392" s="164" t="str">
        <f ca="1">IFERROR(__xludf.DUMMYFUNCTION("""COMPUTED_VALUE"""),"1S11T5S16200GM04182Z")</f>
        <v>1S11T5S16200GM04182Z</v>
      </c>
      <c r="H1392" s="164" t="str">
        <f ca="1">IFERROR(__xludf.DUMMYFUNCTION("""COMPUTED_VALUE"""),"Marlyn P. Romero")</f>
        <v>Marlyn P. Romero</v>
      </c>
      <c r="I1392" s="164" t="str">
        <f ca="1">IFERROR(__xludf.DUMMYFUNCTION("""COMPUTED_VALUE"""),"Budget Officer/Project Budget Officer")</f>
        <v>Budget Officer/Project Budget Officer</v>
      </c>
      <c r="J1392" s="164" t="str">
        <f ca="1">IFERROR(__xludf.DUMMYFUNCTION("""COMPUTED_VALUE"""),"2023-06-010")</f>
        <v>2023-06-010</v>
      </c>
      <c r="K1392" s="164" t="str">
        <f ca="1">IFERROR(__xludf.DUMMYFUNCTION("""COMPUTED_VALUE"""),"COS")</f>
        <v>COS</v>
      </c>
      <c r="L1392" s="164" t="str">
        <f ca="1">IFERROR(__xludf.DUMMYFUNCTION("""COMPUTED_VALUE"""),"Budget")</f>
        <v>Budget</v>
      </c>
      <c r="M1392" s="164" t="str">
        <f ca="1">IFERROR(__xludf.DUMMYFUNCTION("""COMPUTED_VALUE"""),"SERVICEABLE")</f>
        <v>SERVICEABLE</v>
      </c>
      <c r="N1392" s="164"/>
    </row>
    <row r="1393" spans="1:14" ht="13.2" hidden="1">
      <c r="A1393" s="164" t="str">
        <f ca="1">IFERROR(__xludf.DUMMYFUNCTION("""COMPUTED_VALUE"""),"Region III")</f>
        <v>Region III</v>
      </c>
      <c r="B1393" s="164" t="str">
        <f ca="1">IFERROR(__xludf.DUMMYFUNCTION("""COMPUTED_VALUE"""),"Regional Office")</f>
        <v>Regional Office</v>
      </c>
      <c r="C1393" s="164" t="str">
        <f ca="1">IFERROR(__xludf.DUMMYFUNCTION("""COMPUTED_VALUE"""),"Desktop Computer – (Lenovo M70T)")</f>
        <v>Desktop Computer – (Lenovo M70T)</v>
      </c>
      <c r="D1393" s="164" t="str">
        <f ca="1">IFERROR(__xludf.DUMMYFUNCTION("""COMPUTED_VALUE"""),"₱ 75,468.00")</f>
        <v>₱ 75,468.00</v>
      </c>
      <c r="E1393" s="164" t="str">
        <f ca="1">IFERROR(__xludf.DUMMYFUNCTION("""COMPUTED_VALUE"""),"₱-")</f>
        <v>₱-</v>
      </c>
      <c r="F1393" s="164" t="str">
        <f ca="1">IFERROR(__xludf.DUMMYFUNCTION("""COMPUTED_VALUE"""),"2023-05-03-10201SP759-01")</f>
        <v>2023-05-03-10201SP759-01</v>
      </c>
      <c r="G1393" s="164" t="str">
        <f ca="1">IFERROR(__xludf.DUMMYFUNCTION("""COMPUTED_VALUE"""),"1S11T5S16200GM041AQN")</f>
        <v>1S11T5S16200GM041AQN</v>
      </c>
      <c r="H1393" s="164" t="str">
        <f ca="1">IFERROR(__xludf.DUMMYFUNCTION("""COMPUTED_VALUE"""),"Rico Trajano")</f>
        <v>Rico Trajano</v>
      </c>
      <c r="I1393" s="164" t="str">
        <f ca="1">IFERROR(__xludf.DUMMYFUNCTION("""COMPUTED_VALUE"""),"ISA II/M&amp;E Coordinator")</f>
        <v>ISA II/M&amp;E Coordinator</v>
      </c>
      <c r="J1393" s="164" t="str">
        <f ca="1">IFERROR(__xludf.DUMMYFUNCTION("""COMPUTED_VALUE"""),"2023-06-012")</f>
        <v>2023-06-012</v>
      </c>
      <c r="K1393" s="164" t="str">
        <f ca="1">IFERROR(__xludf.DUMMYFUNCTION("""COMPUTED_VALUE"""),"Rico Trajano")</f>
        <v>Rico Trajano</v>
      </c>
      <c r="L1393" s="164" t="str">
        <f ca="1">IFERROR(__xludf.DUMMYFUNCTION("""COMPUTED_VALUE"""),"Planning")</f>
        <v>Planning</v>
      </c>
      <c r="M1393" s="164" t="str">
        <f ca="1">IFERROR(__xludf.DUMMYFUNCTION("""COMPUTED_VALUE"""),"SERVICEABLE")</f>
        <v>SERVICEABLE</v>
      </c>
      <c r="N1393" s="164"/>
    </row>
    <row r="1394" spans="1:14" ht="13.2" hidden="1">
      <c r="A1394" s="164" t="str">
        <f ca="1">IFERROR(__xludf.DUMMYFUNCTION("""COMPUTED_VALUE"""),"Region III")</f>
        <v>Region III</v>
      </c>
      <c r="B1394" s="164" t="str">
        <f ca="1">IFERROR(__xludf.DUMMYFUNCTION("""COMPUTED_VALUE"""),"Regional Office")</f>
        <v>Regional Office</v>
      </c>
      <c r="C1394" s="164" t="str">
        <f ca="1">IFERROR(__xludf.DUMMYFUNCTION("""COMPUTED_VALUE"""),"Desktop Computer – (Lenovo M70T)")</f>
        <v>Desktop Computer – (Lenovo M70T)</v>
      </c>
      <c r="D1394" s="164" t="str">
        <f ca="1">IFERROR(__xludf.DUMMYFUNCTION("""COMPUTED_VALUE"""),"₱ 75,468.00")</f>
        <v>₱ 75,468.00</v>
      </c>
      <c r="E1394" s="164" t="str">
        <f ca="1">IFERROR(__xludf.DUMMYFUNCTION("""COMPUTED_VALUE"""),"₱-")</f>
        <v>₱-</v>
      </c>
      <c r="F1394" s="164" t="str">
        <f ca="1">IFERROR(__xludf.DUMMYFUNCTION("""COMPUTED_VALUE"""),"2023-05-03-10201SP773-01")</f>
        <v>2023-05-03-10201SP773-01</v>
      </c>
      <c r="G1394" s="164" t="str">
        <f ca="1">IFERROR(__xludf.DUMMYFUNCTION("""COMPUTED_VALUE"""),"1S11T5S16200GM02ZT75")</f>
        <v>1S11T5S16200GM02ZT75</v>
      </c>
      <c r="H1394" s="164" t="str">
        <f ca="1">IFERROR(__xludf.DUMMYFUNCTION("""COMPUTED_VALUE"""),"Rico Trajano")</f>
        <v>Rico Trajano</v>
      </c>
      <c r="I1394" s="164" t="str">
        <f ca="1">IFERROR(__xludf.DUMMYFUNCTION("""COMPUTED_VALUE"""),"ISA II/M&amp;E Coordinator")</f>
        <v>ISA II/M&amp;E Coordinator</v>
      </c>
      <c r="J1394" s="164" t="str">
        <f ca="1">IFERROR(__xludf.DUMMYFUNCTION("""COMPUTED_VALUE"""),"2023-09-017")</f>
        <v>2023-09-017</v>
      </c>
      <c r="K1394" s="164" t="str">
        <f ca="1">IFERROR(__xludf.DUMMYFUNCTION("""COMPUTED_VALUE"""),"COS")</f>
        <v>COS</v>
      </c>
      <c r="L1394" s="164" t="str">
        <f ca="1">IFERROR(__xludf.DUMMYFUNCTION("""COMPUTED_VALUE"""),"Planning")</f>
        <v>Planning</v>
      </c>
      <c r="M1394" s="164" t="str">
        <f ca="1">IFERROR(__xludf.DUMMYFUNCTION("""COMPUTED_VALUE"""),"SERVICEABLE")</f>
        <v>SERVICEABLE</v>
      </c>
      <c r="N1394" s="164"/>
    </row>
    <row r="1395" spans="1:14" ht="13.2" hidden="1">
      <c r="A1395" s="164" t="str">
        <f ca="1">IFERROR(__xludf.DUMMYFUNCTION("""COMPUTED_VALUE"""),"Region III")</f>
        <v>Region III</v>
      </c>
      <c r="B1395" s="164" t="str">
        <f ca="1">IFERROR(__xludf.DUMMYFUNCTION("""COMPUTED_VALUE"""),"Regional Office")</f>
        <v>Regional Office</v>
      </c>
      <c r="C1395" s="164" t="str">
        <f ca="1">IFERROR(__xludf.DUMMYFUNCTION("""COMPUTED_VALUE"""),"Desktop Computer – (Lenovo M70T)")</f>
        <v>Desktop Computer – (Lenovo M70T)</v>
      </c>
      <c r="D1395" s="164" t="str">
        <f ca="1">IFERROR(__xludf.DUMMYFUNCTION("""COMPUTED_VALUE"""),"₱ 75,468.00")</f>
        <v>₱ 75,468.00</v>
      </c>
      <c r="E1395" s="164" t="str">
        <f ca="1">IFERROR(__xludf.DUMMYFUNCTION("""COMPUTED_VALUE"""),"₱-")</f>
        <v>₱-</v>
      </c>
      <c r="F1395" s="164" t="str">
        <f ca="1">IFERROR(__xludf.DUMMYFUNCTION("""COMPUTED_VALUE"""),"2023-05-03-10201SP758-01")</f>
        <v>2023-05-03-10201SP758-01</v>
      </c>
      <c r="G1395" s="164" t="str">
        <f ca="1">IFERROR(__xludf.DUMMYFUNCTION("""COMPUTED_VALUE"""),"1S11T5S16200GM02ZT78")</f>
        <v>1S11T5S16200GM02ZT78</v>
      </c>
      <c r="H1395" s="164" t="str">
        <f ca="1">IFERROR(__xludf.DUMMYFUNCTION("""COMPUTED_VALUE"""),"Dante Manalo")</f>
        <v>Dante Manalo</v>
      </c>
      <c r="I1395" s="164" t="str">
        <f ca="1">IFERROR(__xludf.DUMMYFUNCTION("""COMPUTED_VALUE"""),"ARPT/MIS Coordinator")</f>
        <v>ARPT/MIS Coordinator</v>
      </c>
      <c r="J1395" s="164" t="str">
        <f ca="1">IFERROR(__xludf.DUMMYFUNCTION("""COMPUTED_VALUE"""),"2023-06-011")</f>
        <v>2023-06-011</v>
      </c>
      <c r="K1395" s="164" t="str">
        <f ca="1">IFERROR(__xludf.DUMMYFUNCTION("""COMPUTED_VALUE"""),"Dante Manalo")</f>
        <v>Dante Manalo</v>
      </c>
      <c r="L1395" s="164" t="str">
        <f ca="1">IFERROR(__xludf.DUMMYFUNCTION("""COMPUTED_VALUE"""),"Planning")</f>
        <v>Planning</v>
      </c>
      <c r="M1395" s="164" t="str">
        <f ca="1">IFERROR(__xludf.DUMMYFUNCTION("""COMPUTED_VALUE"""),"SERVICEABLE")</f>
        <v>SERVICEABLE</v>
      </c>
      <c r="N1395" s="164"/>
    </row>
    <row r="1396" spans="1:14" ht="13.2" hidden="1">
      <c r="A1396" s="164" t="str">
        <f ca="1">IFERROR(__xludf.DUMMYFUNCTION("""COMPUTED_VALUE"""),"Region III")</f>
        <v>Region III</v>
      </c>
      <c r="B1396" s="164" t="str">
        <f ca="1">IFERROR(__xludf.DUMMYFUNCTION("""COMPUTED_VALUE"""),"Regional Office")</f>
        <v>Regional Office</v>
      </c>
      <c r="C1396" s="164" t="str">
        <f ca="1">IFERROR(__xludf.DUMMYFUNCTION("""COMPUTED_VALUE"""),"Desktop Computer – (Lenovo M70T)")</f>
        <v>Desktop Computer – (Lenovo M70T)</v>
      </c>
      <c r="D1396" s="164" t="str">
        <f ca="1">IFERROR(__xludf.DUMMYFUNCTION("""COMPUTED_VALUE"""),"₱ 75,468.00")</f>
        <v>₱ 75,468.00</v>
      </c>
      <c r="E1396" s="164" t="str">
        <f ca="1">IFERROR(__xludf.DUMMYFUNCTION("""COMPUTED_VALUE"""),"₱-")</f>
        <v>₱-</v>
      </c>
      <c r="F1396" s="164" t="str">
        <f ca="1">IFERROR(__xludf.DUMMYFUNCTION("""COMPUTED_VALUE"""),"2023-05-03-10201SP760-01")</f>
        <v>2023-05-03-10201SP760-01</v>
      </c>
      <c r="G1396" s="164" t="str">
        <f ca="1">IFERROR(__xludf.DUMMYFUNCTION("""COMPUTED_VALUE"""),"1S11T5S16200GM02ZT8E")</f>
        <v>1S11T5S16200GM02ZT8E</v>
      </c>
      <c r="H1396" s="164" t="str">
        <f ca="1">IFERROR(__xludf.DUMMYFUNCTION("""COMPUTED_VALUE"""),"Josell Fernan Guintu")</f>
        <v>Josell Fernan Guintu</v>
      </c>
      <c r="I1396" s="164" t="str">
        <f ca="1">IFERROR(__xludf.DUMMYFUNCTION("""COMPUTED_VALUE"""),"Chief, Supply &amp; GS/Project Procurement Officer")</f>
        <v>Chief, Supply &amp; GS/Project Procurement Officer</v>
      </c>
      <c r="J1396" s="164" t="str">
        <f ca="1">IFERROR(__xludf.DUMMYFUNCTION("""COMPUTED_VALUE"""),"2023-09-013")</f>
        <v>2023-09-013</v>
      </c>
      <c r="K1396" s="164" t="str">
        <f ca="1">IFERROR(__xludf.DUMMYFUNCTION("""COMPUTED_VALUE"""),"Josell Fernan Guintu")</f>
        <v>Josell Fernan Guintu</v>
      </c>
      <c r="L1396" s="164" t="str">
        <f ca="1">IFERROR(__xludf.DUMMYFUNCTION("""COMPUTED_VALUE"""),"General Services/Supply")</f>
        <v>General Services/Supply</v>
      </c>
      <c r="M1396" s="164" t="str">
        <f ca="1">IFERROR(__xludf.DUMMYFUNCTION("""COMPUTED_VALUE"""),"SERVICEABLE")</f>
        <v>SERVICEABLE</v>
      </c>
      <c r="N1396" s="164"/>
    </row>
    <row r="1397" spans="1:14" ht="13.2" hidden="1">
      <c r="A1397" s="164" t="str">
        <f ca="1">IFERROR(__xludf.DUMMYFUNCTION("""COMPUTED_VALUE"""),"Region III")</f>
        <v>Region III</v>
      </c>
      <c r="B1397" s="164" t="str">
        <f ca="1">IFERROR(__xludf.DUMMYFUNCTION("""COMPUTED_VALUE"""),"Regional Office")</f>
        <v>Regional Office</v>
      </c>
      <c r="C1397" s="164" t="str">
        <f ca="1">IFERROR(__xludf.DUMMYFUNCTION("""COMPUTED_VALUE"""),"Desktop Computer – (Lenovo M70T)")</f>
        <v>Desktop Computer – (Lenovo M70T)</v>
      </c>
      <c r="D1397" s="164" t="str">
        <f ca="1">IFERROR(__xludf.DUMMYFUNCTION("""COMPUTED_VALUE"""),"₱ 75,468.00")</f>
        <v>₱ 75,468.00</v>
      </c>
      <c r="E1397" s="164" t="str">
        <f ca="1">IFERROR(__xludf.DUMMYFUNCTION("""COMPUTED_VALUE"""),"₱-")</f>
        <v>₱-</v>
      </c>
      <c r="F1397" s="164" t="str">
        <f ca="1">IFERROR(__xludf.DUMMYFUNCTION("""COMPUTED_VALUE"""),"2023-05-03-10201SP761-01")</f>
        <v>2023-05-03-10201SP761-01</v>
      </c>
      <c r="G1397" s="164" t="str">
        <f ca="1">IFERROR(__xludf.DUMMYFUNCTION("""COMPUTED_VALUE"""),"1S11T5S16200GM041AQV")</f>
        <v>1S11T5S16200GM041AQV</v>
      </c>
      <c r="H1397" s="164" t="str">
        <f ca="1">IFERROR(__xludf.DUMMYFUNCTION("""COMPUTED_VALUE"""),"Engr. Victor Batu")</f>
        <v>Engr. Victor Batu</v>
      </c>
      <c r="I1397" s="164" t="str">
        <f ca="1">IFERROR(__xludf.DUMMYFUNCTION("""COMPUTED_VALUE"""),"Engineer II/CBTA/ESS Coordinator")</f>
        <v>Engineer II/CBTA/ESS Coordinator</v>
      </c>
      <c r="J1397" s="164" t="str">
        <f ca="1">IFERROR(__xludf.DUMMYFUNCTION("""COMPUTED_VALUE"""),"2023-09-014")</f>
        <v>2023-09-014</v>
      </c>
      <c r="K1397" s="164" t="str">
        <f ca="1">IFERROR(__xludf.DUMMYFUNCTION("""COMPUTED_VALUE"""),"Engr. Victor Batu")</f>
        <v>Engr. Victor Batu</v>
      </c>
      <c r="L1397" s="164" t="str">
        <f ca="1">IFERROR(__xludf.DUMMYFUNCTION("""COMPUTED_VALUE"""),"FOD")</f>
        <v>FOD</v>
      </c>
      <c r="M1397" s="164" t="str">
        <f ca="1">IFERROR(__xludf.DUMMYFUNCTION("""COMPUTED_VALUE"""),"SERVICEABLE")</f>
        <v>SERVICEABLE</v>
      </c>
      <c r="N1397" s="164"/>
    </row>
    <row r="1398" spans="1:14" ht="13.2" hidden="1">
      <c r="A1398" s="164" t="str">
        <f ca="1">IFERROR(__xludf.DUMMYFUNCTION("""COMPUTED_VALUE"""),"Region III")</f>
        <v>Region III</v>
      </c>
      <c r="B1398" s="164" t="str">
        <f ca="1">IFERROR(__xludf.DUMMYFUNCTION("""COMPUTED_VALUE"""),"Regional Office")</f>
        <v>Regional Office</v>
      </c>
      <c r="C1398" s="164" t="str">
        <f ca="1">IFERROR(__xludf.DUMMYFUNCTION("""COMPUTED_VALUE"""),"Desktop Computer – (Lenovo M70T)")</f>
        <v>Desktop Computer – (Lenovo M70T)</v>
      </c>
      <c r="D1398" s="164" t="str">
        <f ca="1">IFERROR(__xludf.DUMMYFUNCTION("""COMPUTED_VALUE"""),"₱ 75,468.00")</f>
        <v>₱ 75,468.00</v>
      </c>
      <c r="E1398" s="164" t="str">
        <f ca="1">IFERROR(__xludf.DUMMYFUNCTION("""COMPUTED_VALUE"""),"₱-")</f>
        <v>₱-</v>
      </c>
      <c r="F1398" s="164" t="str">
        <f ca="1">IFERROR(__xludf.DUMMYFUNCTION("""COMPUTED_VALUE"""),"2023-05-03-10201SP766-01")</f>
        <v>2023-05-03-10201SP766-01</v>
      </c>
      <c r="G1398" s="164" t="str">
        <f ca="1">IFERROR(__xludf.DUMMYFUNCTION("""COMPUTED_VALUE"""),"1S11T5S16200GM041ASN")</f>
        <v>1S11T5S16200GM041ASN</v>
      </c>
      <c r="H1398" s="164" t="str">
        <f ca="1">IFERROR(__xludf.DUMMYFUNCTION("""COMPUTED_VALUE"""),"Renato Yambao")</f>
        <v>Renato Yambao</v>
      </c>
      <c r="I1398" s="164" t="str">
        <f ca="1">IFERROR(__xludf.DUMMYFUNCTION("""COMPUTED_VALUE"""),"Cartographer II/Survey Coordinator")</f>
        <v>Cartographer II/Survey Coordinator</v>
      </c>
      <c r="J1398" s="164" t="str">
        <f ca="1">IFERROR(__xludf.DUMMYFUNCTION("""COMPUTED_VALUE"""),"2023-06-005")</f>
        <v>2023-06-005</v>
      </c>
      <c r="K1398" s="164" t="str">
        <f ca="1">IFERROR(__xludf.DUMMYFUNCTION("""COMPUTED_VALUE"""),"COS")</f>
        <v>COS</v>
      </c>
      <c r="L1398" s="164" t="str">
        <f ca="1">IFERROR(__xludf.DUMMYFUNCTION("""COMPUTED_VALUE"""),"FOD")</f>
        <v>FOD</v>
      </c>
      <c r="M1398" s="164" t="str">
        <f ca="1">IFERROR(__xludf.DUMMYFUNCTION("""COMPUTED_VALUE"""),"SERVICEABLE")</f>
        <v>SERVICEABLE</v>
      </c>
      <c r="N1398" s="164"/>
    </row>
    <row r="1399" spans="1:14" ht="13.2" hidden="1">
      <c r="A1399" s="164" t="str">
        <f ca="1">IFERROR(__xludf.DUMMYFUNCTION("""COMPUTED_VALUE"""),"Region III")</f>
        <v>Region III</v>
      </c>
      <c r="B1399" s="164" t="str">
        <f ca="1">IFERROR(__xludf.DUMMYFUNCTION("""COMPUTED_VALUE"""),"Regional Office")</f>
        <v>Regional Office</v>
      </c>
      <c r="C1399" s="164" t="str">
        <f ca="1">IFERROR(__xludf.DUMMYFUNCTION("""COMPUTED_VALUE"""),"Desktop Computer – (Lenovo M70T)")</f>
        <v>Desktop Computer – (Lenovo M70T)</v>
      </c>
      <c r="D1399" s="164" t="str">
        <f ca="1">IFERROR(__xludf.DUMMYFUNCTION("""COMPUTED_VALUE"""),"₱ 75,468.00")</f>
        <v>₱ 75,468.00</v>
      </c>
      <c r="E1399" s="164" t="str">
        <f ca="1">IFERROR(__xludf.DUMMYFUNCTION("""COMPUTED_VALUE"""),"₱-")</f>
        <v>₱-</v>
      </c>
      <c r="F1399" s="164" t="str">
        <f ca="1">IFERROR(__xludf.DUMMYFUNCTION("""COMPUTED_VALUE"""),"2023-05-03-10201SP767-01")</f>
        <v>2023-05-03-10201SP767-01</v>
      </c>
      <c r="G1399" s="164" t="str">
        <f ca="1">IFERROR(__xludf.DUMMYFUNCTION("""COMPUTED_VALUE"""),"1S11T5S16200GM041AXQ")</f>
        <v>1S11T5S16200GM041AXQ</v>
      </c>
      <c r="H1399" s="164" t="str">
        <f ca="1">IFERROR(__xludf.DUMMYFUNCTION("""COMPUTED_VALUE"""),"Yolanda Payuyao")</f>
        <v>Yolanda Payuyao</v>
      </c>
      <c r="I1399" s="164" t="str">
        <f ca="1">IFERROR(__xludf.DUMMYFUNCTION("""COMPUTED_VALUE"""),"SARPO/ESS Support Staff")</f>
        <v>SARPO/ESS Support Staff</v>
      </c>
      <c r="J1399" s="164" t="str">
        <f ca="1">IFERROR(__xludf.DUMMYFUNCTION("""COMPUTED_VALUE"""),"2023-06-006")</f>
        <v>2023-06-006</v>
      </c>
      <c r="K1399" s="164" t="str">
        <f ca="1">IFERROR(__xludf.DUMMYFUNCTION("""COMPUTED_VALUE"""),"Yolanda Payuyao")</f>
        <v>Yolanda Payuyao</v>
      </c>
      <c r="L1399" s="164" t="str">
        <f ca="1">IFERROR(__xludf.DUMMYFUNCTION("""COMPUTED_VALUE"""),"FOD")</f>
        <v>FOD</v>
      </c>
      <c r="M1399" s="164" t="str">
        <f ca="1">IFERROR(__xludf.DUMMYFUNCTION("""COMPUTED_VALUE"""),"SERVICEABLE")</f>
        <v>SERVICEABLE</v>
      </c>
      <c r="N1399" s="164"/>
    </row>
    <row r="1400" spans="1:14" ht="13.2" hidden="1">
      <c r="A1400" s="164" t="str">
        <f ca="1">IFERROR(__xludf.DUMMYFUNCTION("""COMPUTED_VALUE"""),"Region III")</f>
        <v>Region III</v>
      </c>
      <c r="B1400" s="164" t="str">
        <f ca="1">IFERROR(__xludf.DUMMYFUNCTION("""COMPUTED_VALUE"""),"Regional Office")</f>
        <v>Regional Office</v>
      </c>
      <c r="C1400" s="164" t="str">
        <f ca="1">IFERROR(__xludf.DUMMYFUNCTION("""COMPUTED_VALUE"""),"Desktop Computer – (Lenovo M70T)")</f>
        <v>Desktop Computer – (Lenovo M70T)</v>
      </c>
      <c r="D1400" s="164" t="str">
        <f ca="1">IFERROR(__xludf.DUMMYFUNCTION("""COMPUTED_VALUE"""),"₱ 75,468.00")</f>
        <v>₱ 75,468.00</v>
      </c>
      <c r="E1400" s="164" t="str">
        <f ca="1">IFERROR(__xludf.DUMMYFUNCTION("""COMPUTED_VALUE"""),"₱-")</f>
        <v>₱-</v>
      </c>
      <c r="F1400" s="164" t="str">
        <f ca="1">IFERROR(__xludf.DUMMYFUNCTION("""COMPUTED_VALUE"""),"2023-05-03-10201SP772-01")</f>
        <v>2023-05-03-10201SP772-01</v>
      </c>
      <c r="G1400" s="164" t="str">
        <f ca="1">IFERROR(__xludf.DUMMYFUNCTION("""COMPUTED_VALUE"""),"1S11T5S16200GM02ZT8T")</f>
        <v>1S11T5S16200GM02ZT8T</v>
      </c>
      <c r="H1400" s="164" t="str">
        <f ca="1">IFERROR(__xludf.DUMMYFUNCTION("""COMPUTED_VALUE"""),"Socorro Tayag")</f>
        <v>Socorro Tayag</v>
      </c>
      <c r="I1400" s="164" t="str">
        <f ca="1">IFERROR(__xludf.DUMMYFUNCTION("""COMPUTED_VALUE"""),"Regional Cashier")</f>
        <v>Regional Cashier</v>
      </c>
      <c r="J1400" s="164" t="str">
        <f ca="1">IFERROR(__xludf.DUMMYFUNCTION("""COMPUTED_VALUE"""),"2023-06-016")</f>
        <v>2023-06-016</v>
      </c>
      <c r="K1400" s="164" t="str">
        <f ca="1">IFERROR(__xludf.DUMMYFUNCTION("""COMPUTED_VALUE"""),"Socorro Tayag")</f>
        <v>Socorro Tayag</v>
      </c>
      <c r="L1400" s="164" t="str">
        <f ca="1">IFERROR(__xludf.DUMMYFUNCTION("""COMPUTED_VALUE"""),"Cashier")</f>
        <v>Cashier</v>
      </c>
      <c r="M1400" s="164" t="str">
        <f ca="1">IFERROR(__xludf.DUMMYFUNCTION("""COMPUTED_VALUE"""),"SERVICEABLE")</f>
        <v>SERVICEABLE</v>
      </c>
      <c r="N1400" s="164"/>
    </row>
    <row r="1401" spans="1:14" ht="13.2" hidden="1">
      <c r="A1401" s="164" t="str">
        <f ca="1">IFERROR(__xludf.DUMMYFUNCTION("""COMPUTED_VALUE"""),"Region III")</f>
        <v>Region III</v>
      </c>
      <c r="B1401" s="164" t="str">
        <f ca="1">IFERROR(__xludf.DUMMYFUNCTION("""COMPUTED_VALUE"""),"Regional Office")</f>
        <v>Regional Office</v>
      </c>
      <c r="C1401" s="164" t="str">
        <f ca="1">IFERROR(__xludf.DUMMYFUNCTION("""COMPUTED_VALUE"""),"Desktop Computer – (HP Pro SFF 280G9)")</f>
        <v>Desktop Computer – (HP Pro SFF 280G9)</v>
      </c>
      <c r="D1401" s="164" t="str">
        <f ca="1">IFERROR(__xludf.DUMMYFUNCTION("""COMPUTED_VALUE"""),"₱ 78,898.00")</f>
        <v>₱ 78,898.00</v>
      </c>
      <c r="E1401" s="164" t="str">
        <f ca="1">IFERROR(__xludf.DUMMYFUNCTION("""COMPUTED_VALUE"""),"₱-")</f>
        <v>₱-</v>
      </c>
      <c r="F1401" s="164" t="str">
        <f ca="1">IFERROR(__xludf.DUMMYFUNCTION("""COMPUTED_VALUE"""),"2023-05-03-10201SP331-01")</f>
        <v>2023-05-03-10201SP331-01</v>
      </c>
      <c r="G1401" s="164" t="str">
        <f ca="1">IFERROR(__xludf.DUMMYFUNCTION("""COMPUTED_VALUE"""),"4CE301DH71")</f>
        <v>4CE301DH71</v>
      </c>
      <c r="H1401" s="164" t="str">
        <f ca="1">IFERROR(__xludf.DUMMYFUNCTION("""COMPUTED_VALUE"""),"Iluminado Ocampo")</f>
        <v>Iluminado Ocampo</v>
      </c>
      <c r="I1401" s="164" t="str">
        <f ca="1">IFERROR(__xludf.DUMMYFUNCTION("""COMPUTED_VALUE"""),"OIC CARPO-FOD/Parcelization Component Coordinator")</f>
        <v>OIC CARPO-FOD/Parcelization Component Coordinator</v>
      </c>
      <c r="J1401" s="164" t="str">
        <f ca="1">IFERROR(__xludf.DUMMYFUNCTION("""COMPUTED_VALUE"""),"2023-09-018")</f>
        <v>2023-09-018</v>
      </c>
      <c r="K1401" s="164" t="str">
        <f ca="1">IFERROR(__xludf.DUMMYFUNCTION("""COMPUTED_VALUE"""),"DENR Personnel")</f>
        <v>DENR Personnel</v>
      </c>
      <c r="L1401" s="164" t="str">
        <f ca="1">IFERROR(__xludf.DUMMYFUNCTION("""COMPUTED_VALUE"""),"FOD")</f>
        <v>FOD</v>
      </c>
      <c r="M1401" s="164" t="str">
        <f ca="1">IFERROR(__xludf.DUMMYFUNCTION("""COMPUTED_VALUE"""),"SERVICEABLE")</f>
        <v>SERVICEABLE</v>
      </c>
      <c r="N1401" s="164"/>
    </row>
    <row r="1402" spans="1:14" ht="13.2" hidden="1">
      <c r="A1402" s="164" t="str">
        <f ca="1">IFERROR(__xludf.DUMMYFUNCTION("""COMPUTED_VALUE"""),"Region III")</f>
        <v>Region III</v>
      </c>
      <c r="B1402" s="164" t="str">
        <f ca="1">IFERROR(__xludf.DUMMYFUNCTION("""COMPUTED_VALUE"""),"Regional Office")</f>
        <v>Regional Office</v>
      </c>
      <c r="C1402" s="164" t="str">
        <f ca="1">IFERROR(__xludf.DUMMYFUNCTION("""COMPUTED_VALUE"""),"Desktop Computer – (HP Pro SFF 280G9)")</f>
        <v>Desktop Computer – (HP Pro SFF 280G9)</v>
      </c>
      <c r="D1402" s="164" t="str">
        <f ca="1">IFERROR(__xludf.DUMMYFUNCTION("""COMPUTED_VALUE"""),"₱ 78,898.00")</f>
        <v>₱ 78,898.00</v>
      </c>
      <c r="E1402" s="164" t="str">
        <f ca="1">IFERROR(__xludf.DUMMYFUNCTION("""COMPUTED_VALUE"""),"₱-")</f>
        <v>₱-</v>
      </c>
      <c r="F1402" s="164" t="str">
        <f ca="1">IFERROR(__xludf.DUMMYFUNCTION("""COMPUTED_VALUE"""),"2023-05-03-10201SP332-01")</f>
        <v>2023-05-03-10201SP332-01</v>
      </c>
      <c r="G1402" s="164" t="str">
        <f ca="1">IFERROR(__xludf.DUMMYFUNCTION("""COMPUTED_VALUE"""),"4CE301DSK6")</f>
        <v>4CE301DSK6</v>
      </c>
      <c r="H1402" s="164" t="str">
        <f ca="1">IFERROR(__xludf.DUMMYFUNCTION("""COMPUTED_VALUE"""),"Iluminado Ocampo")</f>
        <v>Iluminado Ocampo</v>
      </c>
      <c r="I1402" s="164" t="str">
        <f ca="1">IFERROR(__xludf.DUMMYFUNCTION("""COMPUTED_VALUE"""),"OIC CARPO-FOD/Parcelization Component Coordinator")</f>
        <v>OIC CARPO-FOD/Parcelization Component Coordinator</v>
      </c>
      <c r="J1402" s="164" t="str">
        <f ca="1">IFERROR(__xludf.DUMMYFUNCTION("""COMPUTED_VALUE"""),"2023-09-018")</f>
        <v>2023-09-018</v>
      </c>
      <c r="K1402" s="164" t="str">
        <f ca="1">IFERROR(__xludf.DUMMYFUNCTION("""COMPUTED_VALUE"""),"DENR Personnel")</f>
        <v>DENR Personnel</v>
      </c>
      <c r="L1402" s="164" t="str">
        <f ca="1">IFERROR(__xludf.DUMMYFUNCTION("""COMPUTED_VALUE"""),"FOD")</f>
        <v>FOD</v>
      </c>
      <c r="M1402" s="164" t="str">
        <f ca="1">IFERROR(__xludf.DUMMYFUNCTION("""COMPUTED_VALUE"""),"SERVICEABLE")</f>
        <v>SERVICEABLE</v>
      </c>
      <c r="N1402" s="164"/>
    </row>
    <row r="1403" spans="1:14" ht="13.2" hidden="1">
      <c r="A1403" s="164" t="str">
        <f ca="1">IFERROR(__xludf.DUMMYFUNCTION("""COMPUTED_VALUE"""),"Region III")</f>
        <v>Region III</v>
      </c>
      <c r="B1403" s="164" t="str">
        <f ca="1">IFERROR(__xludf.DUMMYFUNCTION("""COMPUTED_VALUE"""),"Regional Office")</f>
        <v>Regional Office</v>
      </c>
      <c r="C1403" s="164" t="str">
        <f ca="1">IFERROR(__xludf.DUMMYFUNCTION("""COMPUTED_VALUE"""),"Desktop Computer – (HP Pro SFF 280G9)")</f>
        <v>Desktop Computer – (HP Pro SFF 280G9)</v>
      </c>
      <c r="D1403" s="164" t="str">
        <f ca="1">IFERROR(__xludf.DUMMYFUNCTION("""COMPUTED_VALUE"""),"₱ 78,898.00")</f>
        <v>₱ 78,898.00</v>
      </c>
      <c r="E1403" s="164" t="str">
        <f ca="1">IFERROR(__xludf.DUMMYFUNCTION("""COMPUTED_VALUE"""),"₱-")</f>
        <v>₱-</v>
      </c>
      <c r="F1403" s="164" t="str">
        <f ca="1">IFERROR(__xludf.DUMMYFUNCTION("""COMPUTED_VALUE"""),"2023-05-03-10201SP333-01")</f>
        <v>2023-05-03-10201SP333-01</v>
      </c>
      <c r="G1403" s="164" t="str">
        <f ca="1">IFERROR(__xludf.DUMMYFUNCTION("""COMPUTED_VALUE"""),"4CE301DH34")</f>
        <v>4CE301DH34</v>
      </c>
      <c r="H1403" s="164" t="str">
        <f ca="1">IFERROR(__xludf.DUMMYFUNCTION("""COMPUTED_VALUE"""),"Atty. Cristina Miguel")</f>
        <v>Atty. Cristina Miguel</v>
      </c>
      <c r="I1403" s="164" t="str">
        <f ca="1">IFERROR(__xludf.DUMMYFUNCTION("""COMPUTED_VALUE"""),"Chief, Legal Division/Legal Coordinator")</f>
        <v>Chief, Legal Division/Legal Coordinator</v>
      </c>
      <c r="J1403" s="164" t="str">
        <f ca="1">IFERROR(__xludf.DUMMYFUNCTION("""COMPUTED_VALUE"""),"2023-09-019")</f>
        <v>2023-09-019</v>
      </c>
      <c r="K1403" s="164" t="str">
        <f ca="1">IFERROR(__xludf.DUMMYFUNCTION("""COMPUTED_VALUE"""),"COS")</f>
        <v>COS</v>
      </c>
      <c r="L1403" s="164" t="str">
        <f ca="1">IFERROR(__xludf.DUMMYFUNCTION("""COMPUTED_VALUE"""),"Legal Division")</f>
        <v>Legal Division</v>
      </c>
      <c r="M1403" s="164" t="str">
        <f ca="1">IFERROR(__xludf.DUMMYFUNCTION("""COMPUTED_VALUE"""),"SERVICEABLE")</f>
        <v>SERVICEABLE</v>
      </c>
      <c r="N1403" s="164"/>
    </row>
    <row r="1404" spans="1:14" ht="13.2" hidden="1">
      <c r="A1404" s="164" t="str">
        <f ca="1">IFERROR(__xludf.DUMMYFUNCTION("""COMPUTED_VALUE"""),"Region III")</f>
        <v>Region III</v>
      </c>
      <c r="B1404" s="164" t="str">
        <f ca="1">IFERROR(__xludf.DUMMYFUNCTION("""COMPUTED_VALUE"""),"Regional Office")</f>
        <v>Regional Office</v>
      </c>
      <c r="C1404" s="164" t="str">
        <f ca="1">IFERROR(__xludf.DUMMYFUNCTION("""COMPUTED_VALUE"""),"Desktop Computer – (HP Pro SFF 280G9)")</f>
        <v>Desktop Computer – (HP Pro SFF 280G9)</v>
      </c>
      <c r="D1404" s="164" t="str">
        <f ca="1">IFERROR(__xludf.DUMMYFUNCTION("""COMPUTED_VALUE"""),"₱ 78,898.00")</f>
        <v>₱ 78,898.00</v>
      </c>
      <c r="E1404" s="164" t="str">
        <f ca="1">IFERROR(__xludf.DUMMYFUNCTION("""COMPUTED_VALUE"""),"₱-")</f>
        <v>₱-</v>
      </c>
      <c r="F1404" s="164" t="str">
        <f ca="1">IFERROR(__xludf.DUMMYFUNCTION("""COMPUTED_VALUE"""),"2023-05-03-10201SP335-01")</f>
        <v>2023-05-03-10201SP335-01</v>
      </c>
      <c r="G1404" s="164" t="str">
        <f ca="1">IFERROR(__xludf.DUMMYFUNCTION("""COMPUTED_VALUE"""),"4CE301DHBF")</f>
        <v>4CE301DHBF</v>
      </c>
      <c r="H1404" s="164" t="str">
        <f ca="1">IFERROR(__xludf.DUMMYFUNCTION("""COMPUTED_VALUE"""),"Engr. Luke Alexis Tanhueco")</f>
        <v>Engr. Luke Alexis Tanhueco</v>
      </c>
      <c r="I1404" s="164" t="str">
        <f ca="1">IFERROR(__xludf.DUMMYFUNCTION("""COMPUTED_VALUE"""),"Engineer II/CBTA/ESS Coordinator")</f>
        <v>Engineer II/CBTA/ESS Coordinator</v>
      </c>
      <c r="J1404" s="164" t="str">
        <f ca="1">IFERROR(__xludf.DUMMYFUNCTION("""COMPUTED_VALUE"""),"2023-09-021")</f>
        <v>2023-09-021</v>
      </c>
      <c r="K1404" s="164" t="str">
        <f ca="1">IFERROR(__xludf.DUMMYFUNCTION("""COMPUTED_VALUE"""),"COS")</f>
        <v>COS</v>
      </c>
      <c r="L1404" s="164" t="str">
        <f ca="1">IFERROR(__xludf.DUMMYFUNCTION("""COMPUTED_VALUE"""),"FOD")</f>
        <v>FOD</v>
      </c>
      <c r="M1404" s="164" t="str">
        <f ca="1">IFERROR(__xludf.DUMMYFUNCTION("""COMPUTED_VALUE"""),"SERVICEABLE")</f>
        <v>SERVICEABLE</v>
      </c>
      <c r="N1404" s="164"/>
    </row>
    <row r="1405" spans="1:14" ht="13.2" hidden="1">
      <c r="A1405" s="164" t="str">
        <f ca="1">IFERROR(__xludf.DUMMYFUNCTION("""COMPUTED_VALUE"""),"Region III")</f>
        <v>Region III</v>
      </c>
      <c r="B1405" s="164" t="str">
        <f ca="1">IFERROR(__xludf.DUMMYFUNCTION("""COMPUTED_VALUE"""),"Regional Office")</f>
        <v>Regional Office</v>
      </c>
      <c r="C1405" s="164" t="str">
        <f ca="1">IFERROR(__xludf.DUMMYFUNCTION("""COMPUTED_VALUE"""),"Desktop Computer – (HP Pro SFF 280G9)")</f>
        <v>Desktop Computer – (HP Pro SFF 280G9)</v>
      </c>
      <c r="D1405" s="164" t="str">
        <f ca="1">IFERROR(__xludf.DUMMYFUNCTION("""COMPUTED_VALUE"""),"₱ 78,898.00")</f>
        <v>₱ 78,898.00</v>
      </c>
      <c r="E1405" s="164" t="str">
        <f ca="1">IFERROR(__xludf.DUMMYFUNCTION("""COMPUTED_VALUE"""),"₱-")</f>
        <v>₱-</v>
      </c>
      <c r="F1405" s="164" t="str">
        <f ca="1">IFERROR(__xludf.DUMMYFUNCTION("""COMPUTED_VALUE"""),"2023-05-03-10201SP334-01")</f>
        <v>2023-05-03-10201SP334-01</v>
      </c>
      <c r="G1405" s="164" t="str">
        <f ca="1">IFERROR(__xludf.DUMMYFUNCTION("""COMPUTED_VALUE"""),"4CE301DHB9")</f>
        <v>4CE301DHB9</v>
      </c>
      <c r="H1405" s="164" t="str">
        <f ca="1">IFERROR(__xludf.DUMMYFUNCTION("""COMPUTED_VALUE"""),"Engr. Victor Batu")</f>
        <v>Engr. Victor Batu</v>
      </c>
      <c r="I1405" s="164" t="str">
        <f ca="1">IFERROR(__xludf.DUMMYFUNCTION("""COMPUTED_VALUE"""),"OIC CARPO-FOD/Parcelization Component Coordinator")</f>
        <v>OIC CARPO-FOD/Parcelization Component Coordinator</v>
      </c>
      <c r="J1405" s="164" t="str">
        <f ca="1">IFERROR(__xludf.DUMMYFUNCTION("""COMPUTED_VALUE"""),"2023-09-020")</f>
        <v>2023-09-020</v>
      </c>
      <c r="K1405" s="164" t="str">
        <f ca="1">IFERROR(__xludf.DUMMYFUNCTION("""COMPUTED_VALUE"""),"COS")</f>
        <v>COS</v>
      </c>
      <c r="L1405" s="164" t="str">
        <f ca="1">IFERROR(__xludf.DUMMYFUNCTION("""COMPUTED_VALUE"""),"FOD")</f>
        <v>FOD</v>
      </c>
      <c r="M1405" s="164" t="str">
        <f ca="1">IFERROR(__xludf.DUMMYFUNCTION("""COMPUTED_VALUE"""),"SERVICEABLE")</f>
        <v>SERVICEABLE</v>
      </c>
      <c r="N1405" s="164"/>
    </row>
    <row r="1406" spans="1:14" ht="13.2" hidden="1">
      <c r="A1406" s="164" t="str">
        <f ca="1">IFERROR(__xludf.DUMMYFUNCTION("""COMPUTED_VALUE"""),"Region III")</f>
        <v>Region III</v>
      </c>
      <c r="B1406" s="164" t="str">
        <f ca="1">IFERROR(__xludf.DUMMYFUNCTION("""COMPUTED_VALUE"""),"Regional Office")</f>
        <v>Regional Office</v>
      </c>
      <c r="C1406" s="164" t="str">
        <f ca="1">IFERROR(__xludf.DUMMYFUNCTION("""COMPUTED_VALUE"""),"Desktop Computer – (HP Pro SFF 280G9)")</f>
        <v>Desktop Computer – (HP Pro SFF 280G9)</v>
      </c>
      <c r="D1406" s="164" t="str">
        <f ca="1">IFERROR(__xludf.DUMMYFUNCTION("""COMPUTED_VALUE"""),"₱ 78,898.00")</f>
        <v>₱ 78,898.00</v>
      </c>
      <c r="E1406" s="164" t="str">
        <f ca="1">IFERROR(__xludf.DUMMYFUNCTION("""COMPUTED_VALUE"""),"₱-")</f>
        <v>₱-</v>
      </c>
      <c r="F1406" s="164" t="str">
        <f ca="1">IFERROR(__xludf.DUMMYFUNCTION("""COMPUTED_VALUE"""),"2023-05-03-10201SP336-01")</f>
        <v>2023-05-03-10201SP336-01</v>
      </c>
      <c r="G1406" s="164" t="str">
        <f ca="1">IFERROR(__xludf.DUMMYFUNCTION("""COMPUTED_VALUE"""),"4CE301DH54")</f>
        <v>4CE301DH54</v>
      </c>
      <c r="H1406" s="164" t="str">
        <f ca="1">IFERROR(__xludf.DUMMYFUNCTION("""COMPUTED_VALUE"""),"Yolanda Payuyao")</f>
        <v>Yolanda Payuyao</v>
      </c>
      <c r="I1406" s="164" t="str">
        <f ca="1">IFERROR(__xludf.DUMMYFUNCTION("""COMPUTED_VALUE"""),"SARPO/ESS Support Staff")</f>
        <v>SARPO/ESS Support Staff</v>
      </c>
      <c r="J1406" s="164" t="str">
        <f ca="1">IFERROR(__xludf.DUMMYFUNCTION("""COMPUTED_VALUE"""),"2023-09-022")</f>
        <v>2023-09-022</v>
      </c>
      <c r="K1406" s="164" t="str">
        <f ca="1">IFERROR(__xludf.DUMMYFUNCTION("""COMPUTED_VALUE"""),"COS")</f>
        <v>COS</v>
      </c>
      <c r="L1406" s="164" t="str">
        <f ca="1">IFERROR(__xludf.DUMMYFUNCTION("""COMPUTED_VALUE"""),"FOD")</f>
        <v>FOD</v>
      </c>
      <c r="M1406" s="164" t="str">
        <f ca="1">IFERROR(__xludf.DUMMYFUNCTION("""COMPUTED_VALUE"""),"SERVICEABLE")</f>
        <v>SERVICEABLE</v>
      </c>
      <c r="N1406" s="164"/>
    </row>
    <row r="1407" spans="1:14" ht="13.2" hidden="1">
      <c r="A1407" s="164" t="str">
        <f ca="1">IFERROR(__xludf.DUMMYFUNCTION("""COMPUTED_VALUE"""),"Region III")</f>
        <v>Region III</v>
      </c>
      <c r="B1407" s="164" t="str">
        <f ca="1">IFERROR(__xludf.DUMMYFUNCTION("""COMPUTED_VALUE"""),"Regional Office")</f>
        <v>Regional Office</v>
      </c>
      <c r="C1407" s="164" t="str">
        <f ca="1">IFERROR(__xludf.DUMMYFUNCTION("""COMPUTED_VALUE"""),"Desktop Computer – (HP Pro SFF 280G9)")</f>
        <v>Desktop Computer – (HP Pro SFF 280G9)</v>
      </c>
      <c r="D1407" s="164" t="str">
        <f ca="1">IFERROR(__xludf.DUMMYFUNCTION("""COMPUTED_VALUE"""),"₱ 78,898.00")</f>
        <v>₱ 78,898.00</v>
      </c>
      <c r="E1407" s="164" t="str">
        <f ca="1">IFERROR(__xludf.DUMMYFUNCTION("""COMPUTED_VALUE"""),"₱-")</f>
        <v>₱-</v>
      </c>
      <c r="F1407" s="164" t="str">
        <f ca="1">IFERROR(__xludf.DUMMYFUNCTION("""COMPUTED_VALUE"""),"2023-05-03-10201SP337-01")</f>
        <v>2023-05-03-10201SP337-01</v>
      </c>
      <c r="G1407" s="164" t="str">
        <f ca="1">IFERROR(__xludf.DUMMYFUNCTION("""COMPUTED_VALUE"""),"4CE301DH36")</f>
        <v>4CE301DH36</v>
      </c>
      <c r="H1407" s="164" t="str">
        <f ca="1">IFERROR(__xludf.DUMMYFUNCTION("""COMPUTED_VALUE"""),"Jemmycho Otchenco")</f>
        <v>Jemmycho Otchenco</v>
      </c>
      <c r="I1407" s="164" t="str">
        <f ca="1">IFERROR(__xludf.DUMMYFUNCTION("""COMPUTED_VALUE"""),"Regional Accountant/Project Accountant")</f>
        <v>Regional Accountant/Project Accountant</v>
      </c>
      <c r="J1407" s="164" t="str">
        <f ca="1">IFERROR(__xludf.DUMMYFUNCTION("""COMPUTED_VALUE"""),"2023-09-023")</f>
        <v>2023-09-023</v>
      </c>
      <c r="K1407" s="164" t="str">
        <f ca="1">IFERROR(__xludf.DUMMYFUNCTION("""COMPUTED_VALUE"""),"COS")</f>
        <v>COS</v>
      </c>
      <c r="L1407" s="164" t="str">
        <f ca="1">IFERROR(__xludf.DUMMYFUNCTION("""COMPUTED_VALUE"""),"Accounting")</f>
        <v>Accounting</v>
      </c>
      <c r="M1407" s="164" t="str">
        <f ca="1">IFERROR(__xludf.DUMMYFUNCTION("""COMPUTED_VALUE"""),"SERVICEABLE")</f>
        <v>SERVICEABLE</v>
      </c>
      <c r="N1407" s="164"/>
    </row>
    <row r="1408" spans="1:14" ht="13.2" hidden="1">
      <c r="A1408" s="164" t="str">
        <f ca="1">IFERROR(__xludf.DUMMYFUNCTION("""COMPUTED_VALUE"""),"Region III")</f>
        <v>Region III</v>
      </c>
      <c r="B1408" s="164" t="str">
        <f ca="1">IFERROR(__xludf.DUMMYFUNCTION("""COMPUTED_VALUE"""),"Regional Office")</f>
        <v>Regional Office</v>
      </c>
      <c r="C1408" s="164" t="str">
        <f ca="1">IFERROR(__xludf.DUMMYFUNCTION("""COMPUTED_VALUE"""),"Laptop – (ACER EXTENSA EX215-55G i7)")</f>
        <v>Laptop – (ACER EXTENSA EX215-55G i7)</v>
      </c>
      <c r="D1408" s="164" t="str">
        <f ca="1">IFERROR(__xludf.DUMMYFUNCTION("""COMPUTED_VALUE"""),"₱ 59,500.00")</f>
        <v>₱ 59,500.00</v>
      </c>
      <c r="E1408" s="164" t="str">
        <f ca="1">IFERROR(__xludf.DUMMYFUNCTION("""COMPUTED_VALUE"""),"₱-")</f>
        <v>₱-</v>
      </c>
      <c r="F1408" s="164" t="str">
        <f ca="1">IFERROR(__xludf.DUMMYFUNCTION("""COMPUTED_VALUE"""),"2023-05-03-10202SP156-01")</f>
        <v>2023-05-03-10202SP156-01</v>
      </c>
      <c r="G1408" s="164"/>
      <c r="H1408" s="164" t="str">
        <f ca="1">IFERROR(__xludf.DUMMYFUNCTION("""COMPUTED_VALUE"""),"James Arsenio O. Ponce, CESO III")</f>
        <v>James Arsenio O. Ponce, CESO III</v>
      </c>
      <c r="I1408" s="164" t="str">
        <f ca="1">IFERROR(__xludf.DUMMYFUNCTION("""COMPUTED_VALUE"""),"Assistant Secretary")</f>
        <v>Assistant Secretary</v>
      </c>
      <c r="J1408" s="164" t="str">
        <f ca="1">IFERROR(__xludf.DUMMYFUNCTION("""COMPUTED_VALUE"""),"2023-09-025")</f>
        <v>2023-09-025</v>
      </c>
      <c r="K1408" s="164" t="str">
        <f ca="1">IFERROR(__xludf.DUMMYFUNCTION("""COMPUTED_VALUE"""),"James Arsenio O. Ponce, CESO III")</f>
        <v>James Arsenio O. Ponce, CESO III</v>
      </c>
      <c r="L1408" s="164" t="str">
        <f ca="1">IFERROR(__xludf.DUMMYFUNCTION("""COMPUTED_VALUE"""),"ASSO")</f>
        <v>ASSO</v>
      </c>
      <c r="M1408" s="164" t="str">
        <f ca="1">IFERROR(__xludf.DUMMYFUNCTION("""COMPUTED_VALUE"""),"SERVICEABLE")</f>
        <v>SERVICEABLE</v>
      </c>
      <c r="N1408" s="164" t="str">
        <f ca="1">IFERROR(__xludf.DUMMYFUNCTION("""COMPUTED_VALUE"""),"Central Office")</f>
        <v>Central Office</v>
      </c>
    </row>
    <row r="1409" spans="1:14" ht="13.2" hidden="1">
      <c r="A1409" s="164" t="str">
        <f ca="1">IFERROR(__xludf.DUMMYFUNCTION("""COMPUTED_VALUE"""),"Region III")</f>
        <v>Region III</v>
      </c>
      <c r="B1409" s="164" t="str">
        <f ca="1">IFERROR(__xludf.DUMMYFUNCTION("""COMPUTED_VALUE"""),"Regional Office")</f>
        <v>Regional Office</v>
      </c>
      <c r="C1409" s="164" t="str">
        <f ca="1">IFERROR(__xludf.DUMMYFUNCTION("""COMPUTED_VALUE"""),"Laptop – (ACER EXTENSA EX215-55G i7)")</f>
        <v>Laptop – (ACER EXTENSA EX215-55G i7)</v>
      </c>
      <c r="D1409" s="164" t="str">
        <f ca="1">IFERROR(__xludf.DUMMYFUNCTION("""COMPUTED_VALUE"""),"₱ 59,500.00")</f>
        <v>₱ 59,500.00</v>
      </c>
      <c r="E1409" s="164" t="str">
        <f ca="1">IFERROR(__xludf.DUMMYFUNCTION("""COMPUTED_VALUE"""),"₱-")</f>
        <v>₱-</v>
      </c>
      <c r="F1409" s="164" t="str">
        <f ca="1">IFERROR(__xludf.DUMMYFUNCTION("""COMPUTED_VALUE"""),"2023-05-03-10202SP155-01")</f>
        <v>2023-05-03-10202SP155-01</v>
      </c>
      <c r="G1409" s="164"/>
      <c r="H1409" s="164" t="str">
        <f ca="1">IFERROR(__xludf.DUMMYFUNCTION("""COMPUTED_VALUE"""),"Dante Manalo")</f>
        <v>Dante Manalo</v>
      </c>
      <c r="I1409" s="164" t="str">
        <f ca="1">IFERROR(__xludf.DUMMYFUNCTION("""COMPUTED_VALUE"""),"ISA II/M&amp;E Coordinator")</f>
        <v>ISA II/M&amp;E Coordinator</v>
      </c>
      <c r="J1409" s="164" t="str">
        <f ca="1">IFERROR(__xludf.DUMMYFUNCTION("""COMPUTED_VALUE"""),"2023-09-024")</f>
        <v>2023-09-024</v>
      </c>
      <c r="K1409" s="164" t="str">
        <f ca="1">IFERROR(__xludf.DUMMYFUNCTION("""COMPUTED_VALUE"""),"COS")</f>
        <v>COS</v>
      </c>
      <c r="L1409" s="164" t="str">
        <f ca="1">IFERROR(__xludf.DUMMYFUNCTION("""COMPUTED_VALUE"""),"Planning")</f>
        <v>Planning</v>
      </c>
      <c r="M1409" s="164" t="str">
        <f ca="1">IFERROR(__xludf.DUMMYFUNCTION("""COMPUTED_VALUE"""),"SERVICEABLE")</f>
        <v>SERVICEABLE</v>
      </c>
      <c r="N1409" s="164"/>
    </row>
    <row r="1410" spans="1:14" ht="13.2" hidden="1">
      <c r="A1410" s="164" t="str">
        <f ca="1">IFERROR(__xludf.DUMMYFUNCTION("""COMPUTED_VALUE"""),"Region III")</f>
        <v>Region III</v>
      </c>
      <c r="B1410" s="164" t="str">
        <f ca="1">IFERROR(__xludf.DUMMYFUNCTION("""COMPUTED_VALUE"""),"Regional Office")</f>
        <v>Regional Office</v>
      </c>
      <c r="C1410" s="164" t="str">
        <f ca="1">IFERROR(__xludf.DUMMYFUNCTION("""COMPUTED_VALUE"""),"Laptop – (ACER EXTENSA EX215-55G i7)")</f>
        <v>Laptop – (ACER EXTENSA EX215-55G i7)</v>
      </c>
      <c r="D1410" s="164" t="str">
        <f ca="1">IFERROR(__xludf.DUMMYFUNCTION("""COMPUTED_VALUE"""),"₱ 59,500.00")</f>
        <v>₱ 59,500.00</v>
      </c>
      <c r="E1410" s="164" t="str">
        <f ca="1">IFERROR(__xludf.DUMMYFUNCTION("""COMPUTED_VALUE"""),"₱-")</f>
        <v>₱-</v>
      </c>
      <c r="F1410" s="164" t="str">
        <f ca="1">IFERROR(__xludf.DUMMYFUNCTION("""COMPUTED_VALUE"""),"2023-05-03-10202SP157-01")</f>
        <v>2023-05-03-10202SP157-01</v>
      </c>
      <c r="G1410" s="164"/>
      <c r="H1410" s="164" t="str">
        <f ca="1">IFERROR(__xludf.DUMMYFUNCTION("""COMPUTED_VALUE"""),"Lilian C. Dela Cruz")</f>
        <v>Lilian C. Dela Cruz</v>
      </c>
      <c r="I1410" s="164" t="str">
        <f ca="1">IFERROR(__xludf.DUMMYFUNCTION("""COMPUTED_VALUE"""),"RCAO/Admin. And Finance Officer")</f>
        <v>RCAO/Admin. And Finance Officer</v>
      </c>
      <c r="J1410" s="164" t="str">
        <f ca="1">IFERROR(__xludf.DUMMYFUNCTION("""COMPUTED_VALUE"""),"2023-10-029")</f>
        <v>2023-10-029</v>
      </c>
      <c r="K1410" s="164" t="str">
        <f ca="1">IFERROR(__xludf.DUMMYFUNCTION("""COMPUTED_VALUE"""),"Lilian C. Dela Cruz")</f>
        <v>Lilian C. Dela Cruz</v>
      </c>
      <c r="L1410" s="164" t="str">
        <f ca="1">IFERROR(__xludf.DUMMYFUNCTION("""COMPUTED_VALUE"""),"STOD")</f>
        <v>STOD</v>
      </c>
      <c r="M1410" s="164" t="str">
        <f ca="1">IFERROR(__xludf.DUMMYFUNCTION("""COMPUTED_VALUE"""),"SERVICEABLE")</f>
        <v>SERVICEABLE</v>
      </c>
      <c r="N1410" s="164"/>
    </row>
    <row r="1411" spans="1:14" ht="13.2" hidden="1">
      <c r="A1411" s="164" t="str">
        <f ca="1">IFERROR(__xludf.DUMMYFUNCTION("""COMPUTED_VALUE"""),"Region III")</f>
        <v>Region III</v>
      </c>
      <c r="B1411" s="164" t="str">
        <f ca="1">IFERROR(__xludf.DUMMYFUNCTION("""COMPUTED_VALUE"""),"Regional Office")</f>
        <v>Regional Office</v>
      </c>
      <c r="C1411" s="164" t="str">
        <f ca="1">IFERROR(__xludf.DUMMYFUNCTION("""COMPUTED_VALUE"""),"Laptop – (ACER EXTENSA EX215-55G i7)")</f>
        <v>Laptop – (ACER EXTENSA EX215-55G i7)</v>
      </c>
      <c r="D1411" s="164" t="str">
        <f ca="1">IFERROR(__xludf.DUMMYFUNCTION("""COMPUTED_VALUE"""),"₱ 59,500.00")</f>
        <v>₱ 59,500.00</v>
      </c>
      <c r="E1411" s="164" t="str">
        <f ca="1">IFERROR(__xludf.DUMMYFUNCTION("""COMPUTED_VALUE"""),"₱-")</f>
        <v>₱-</v>
      </c>
      <c r="F1411" s="164" t="str">
        <f ca="1">IFERROR(__xludf.DUMMYFUNCTION("""COMPUTED_VALUE"""),"2023-05-03-10202SP23-01")</f>
        <v>2023-05-03-10202SP23-01</v>
      </c>
      <c r="G1411" s="164"/>
      <c r="H1411" s="164" t="str">
        <f ca="1">IFERROR(__xludf.DUMMYFUNCTION("""COMPUTED_VALUE"""),"Albert Sapnu")</f>
        <v>Albert Sapnu</v>
      </c>
      <c r="I1411" s="164" t="str">
        <f ca="1">IFERROR(__xludf.DUMMYFUNCTION("""COMPUTED_VALUE"""),"Regional Information Officer")</f>
        <v>Regional Information Officer</v>
      </c>
      <c r="J1411" s="164" t="str">
        <f ca="1">IFERROR(__xludf.DUMMYFUNCTION("""COMPUTED_VALUE"""),"2024-01-001")</f>
        <v>2024-01-001</v>
      </c>
      <c r="K1411" s="164" t="str">
        <f ca="1">IFERROR(__xludf.DUMMYFUNCTION("""COMPUTED_VALUE"""),"Albert Sapnu")</f>
        <v>Albert Sapnu</v>
      </c>
      <c r="L1411" s="164" t="str">
        <f ca="1">IFERROR(__xludf.DUMMYFUNCTION("""COMPUTED_VALUE"""),"Information")</f>
        <v>Information</v>
      </c>
      <c r="M1411" s="164" t="str">
        <f ca="1">IFERROR(__xludf.DUMMYFUNCTION("""COMPUTED_VALUE"""),"SERVICEABLE")</f>
        <v>SERVICEABLE</v>
      </c>
      <c r="N1411" s="164"/>
    </row>
    <row r="1412" spans="1:14" ht="13.2" hidden="1">
      <c r="A1412" s="164" t="str">
        <f ca="1">IFERROR(__xludf.DUMMYFUNCTION("""COMPUTED_VALUE"""),"Region III")</f>
        <v>Region III</v>
      </c>
      <c r="B1412" s="164" t="str">
        <f ca="1">IFERROR(__xludf.DUMMYFUNCTION("""COMPUTED_VALUE"""),"Regional Office")</f>
        <v>Regional Office</v>
      </c>
      <c r="C1412" s="164" t="str">
        <f ca="1">IFERROR(__xludf.DUMMYFUNCTION("""COMPUTED_VALUE"""),"A3 PRINTER (BROTHER)")</f>
        <v>A3 PRINTER (BROTHER)</v>
      </c>
      <c r="D1412" s="164" t="str">
        <f ca="1">IFERROR(__xludf.DUMMYFUNCTION("""COMPUTED_VALUE"""),"₱ 33,508.00")</f>
        <v>₱ 33,508.00</v>
      </c>
      <c r="E1412" s="164" t="str">
        <f ca="1">IFERROR(__xludf.DUMMYFUNCTION("""COMPUTED_VALUE"""),"₱-")</f>
        <v>₱-</v>
      </c>
      <c r="F1412" s="164" t="str">
        <f ca="1">IFERROR(__xludf.DUMMYFUNCTION("""COMPUTED_VALUE"""),"HV-SPLIT-102-24-05-23")</f>
        <v>HV-SPLIT-102-24-05-23</v>
      </c>
      <c r="G1412" s="164" t="str">
        <f ca="1">IFERROR(__xludf.DUMMYFUNCTION("""COMPUTED_VALUE"""),"E78947L3H871346")</f>
        <v>E78947L3H871346</v>
      </c>
      <c r="H1412" s="164" t="str">
        <f ca="1">IFERROR(__xludf.DUMMYFUNCTION("""COMPUTED_VALUE"""),"Rico Trajano")</f>
        <v>Rico Trajano</v>
      </c>
      <c r="I1412" s="164" t="str">
        <f ca="1">IFERROR(__xludf.DUMMYFUNCTION("""COMPUTED_VALUE"""),"Chief, Supply &amp; GS/Project Procurement Officer")</f>
        <v>Chief, Supply &amp; GS/Project Procurement Officer</v>
      </c>
      <c r="J1412" s="164" t="str">
        <f ca="1">IFERROR(__xludf.DUMMYFUNCTION("""COMPUTED_VALUE"""),"2024-03-004")</f>
        <v>2024-03-004</v>
      </c>
      <c r="K1412" s="164" t="str">
        <f ca="1">IFERROR(__xludf.DUMMYFUNCTION("""COMPUTED_VALUE"""),"DARRO SPLIT Personnel")</f>
        <v>DARRO SPLIT Personnel</v>
      </c>
      <c r="L1412" s="164" t="str">
        <f ca="1">IFERROR(__xludf.DUMMYFUNCTION("""COMPUTED_VALUE"""),"DARRO3")</f>
        <v>DARRO3</v>
      </c>
      <c r="M1412" s="164" t="str">
        <f ca="1">IFERROR(__xludf.DUMMYFUNCTION("""COMPUTED_VALUE"""),"SERVICEABLE")</f>
        <v>SERVICEABLE</v>
      </c>
      <c r="N1412" s="164"/>
    </row>
    <row r="1413" spans="1:14" ht="13.2" hidden="1">
      <c r="A1413" s="164" t="str">
        <f ca="1">IFERROR(__xludf.DUMMYFUNCTION("""COMPUTED_VALUE"""),"Region III")</f>
        <v>Region III</v>
      </c>
      <c r="B1413" s="164" t="str">
        <f ca="1">IFERROR(__xludf.DUMMYFUNCTION("""COMPUTED_VALUE"""),"Regional Office")</f>
        <v>Regional Office</v>
      </c>
      <c r="C1413" s="164" t="str">
        <f ca="1">IFERROR(__xludf.DUMMYFUNCTION("""COMPUTED_VALUE"""),"ACER TRAVELMATE")</f>
        <v>ACER TRAVELMATE</v>
      </c>
      <c r="D1413" s="164" t="str">
        <f ca="1">IFERROR(__xludf.DUMMYFUNCTION("""COMPUTED_VALUE"""),"₱ 46,580.00")</f>
        <v>₱ 46,580.00</v>
      </c>
      <c r="E1413" s="164" t="str">
        <f ca="1">IFERROR(__xludf.DUMMYFUNCTION("""COMPUTED_VALUE"""),"₱-")</f>
        <v>₱-</v>
      </c>
      <c r="F1413" s="164" t="str">
        <f ca="1">IFERROR(__xludf.DUMMYFUNCTION("""COMPUTED_VALUE"""),"2024-05-03-10202SP-308-01")</f>
        <v>2024-05-03-10202SP-308-01</v>
      </c>
      <c r="G1413" s="164" t="str">
        <f ca="1">IFERROR(__xludf.DUMMYFUNCTION("""COMPUTED_VALUE"""),"NXVXKSP00341913C307600")</f>
        <v>NXVXKSP00341913C307600</v>
      </c>
      <c r="H1413" s="164" t="str">
        <f ca="1">IFERROR(__xludf.DUMMYFUNCTION("""COMPUTED_VALUE"""),"Albert Sapnu")</f>
        <v>Albert Sapnu</v>
      </c>
      <c r="I1413" s="164" t="str">
        <f ca="1">IFERROR(__xludf.DUMMYFUNCTION("""COMPUTED_VALUE"""),"INFO OFFICER III")</f>
        <v>INFO OFFICER III</v>
      </c>
      <c r="J1413" s="164" t="str">
        <f ca="1">IFERROR(__xludf.DUMMYFUNCTION("""COMPUTED_VALUE"""),"SP020-2024")</f>
        <v>SP020-2024</v>
      </c>
      <c r="K1413" s="164" t="str">
        <f ca="1">IFERROR(__xludf.DUMMYFUNCTION("""COMPUTED_VALUE"""),"ALBERT SAPNU")</f>
        <v>ALBERT SAPNU</v>
      </c>
      <c r="L1413" s="164" t="str">
        <f ca="1">IFERROR(__xludf.DUMMYFUNCTION("""COMPUTED_VALUE"""),"DARRO 3")</f>
        <v>DARRO 3</v>
      </c>
      <c r="M1413" s="164" t="str">
        <f ca="1">IFERROR(__xludf.DUMMYFUNCTION("""COMPUTED_VALUE"""),"SERVICEABLE")</f>
        <v>SERVICEABLE</v>
      </c>
      <c r="N1413" s="164"/>
    </row>
    <row r="1414" spans="1:14" ht="13.2" hidden="1">
      <c r="A1414" s="164" t="str">
        <f ca="1">IFERROR(__xludf.DUMMYFUNCTION("""COMPUTED_VALUE"""),"Region III")</f>
        <v>Region III</v>
      </c>
      <c r="B1414" s="164" t="str">
        <f ca="1">IFERROR(__xludf.DUMMYFUNCTION("""COMPUTED_VALUE"""),"Regional Office")</f>
        <v>Regional Office</v>
      </c>
      <c r="C1414" s="164" t="str">
        <f ca="1">IFERROR(__xludf.DUMMYFUNCTION("""COMPUTED_VALUE"""),"ACER TRAVELMATE")</f>
        <v>ACER TRAVELMATE</v>
      </c>
      <c r="D1414" s="164" t="str">
        <f ca="1">IFERROR(__xludf.DUMMYFUNCTION("""COMPUTED_VALUE"""),"₱ 46,580.00")</f>
        <v>₱ 46,580.00</v>
      </c>
      <c r="E1414" s="164" t="str">
        <f ca="1">IFERROR(__xludf.DUMMYFUNCTION("""COMPUTED_VALUE"""),"₱-")</f>
        <v>₱-</v>
      </c>
      <c r="F1414" s="164" t="str">
        <f ca="1">IFERROR(__xludf.DUMMYFUNCTION("""COMPUTED_VALUE"""),"2024-05-03-10202SP-321-01")</f>
        <v>2024-05-03-10202SP-321-01</v>
      </c>
      <c r="G1414" s="164" t="str">
        <f ca="1">IFERROR(__xludf.DUMMYFUNCTION("""COMPUTED_VALUE"""),"NXVXKSO00341913C687600")</f>
        <v>NXVXKSO00341913C687600</v>
      </c>
      <c r="H1414" s="164" t="str">
        <f ca="1">IFERROR(__xludf.DUMMYFUNCTION("""COMPUTED_VALUE"""),"Albert Sapnu")</f>
        <v>Albert Sapnu</v>
      </c>
      <c r="I1414" s="164" t="str">
        <f ca="1">IFERROR(__xludf.DUMMYFUNCTION("""COMPUTED_VALUE"""),"ESS Staff")</f>
        <v>ESS Staff</v>
      </c>
      <c r="J1414" s="164" t="str">
        <f ca="1">IFERROR(__xludf.DUMMYFUNCTION("""COMPUTED_VALUE"""),"2024-07-026-H")</f>
        <v>2024-07-026-H</v>
      </c>
      <c r="K1414" s="164" t="str">
        <f ca="1">IFERROR(__xludf.DUMMYFUNCTION("""COMPUTED_VALUE"""),"COS")</f>
        <v>COS</v>
      </c>
      <c r="L1414" s="164" t="str">
        <f ca="1">IFERROR(__xludf.DUMMYFUNCTION("""COMPUTED_VALUE"""),"FOD")</f>
        <v>FOD</v>
      </c>
      <c r="M1414" s="164" t="str">
        <f ca="1">IFERROR(__xludf.DUMMYFUNCTION("""COMPUTED_VALUE"""),"SERVICEABLE")</f>
        <v>SERVICEABLE</v>
      </c>
      <c r="N1414" s="164"/>
    </row>
    <row r="1415" spans="1:14" ht="13.2" hidden="1">
      <c r="A1415" s="164" t="str">
        <f ca="1">IFERROR(__xludf.DUMMYFUNCTION("""COMPUTED_VALUE"""),"Region III")</f>
        <v>Region III</v>
      </c>
      <c r="B1415" s="164" t="str">
        <f ca="1">IFERROR(__xludf.DUMMYFUNCTION("""COMPUTED_VALUE"""),"Aurora")</f>
        <v>Aurora</v>
      </c>
      <c r="C1415" s="164" t="str">
        <f ca="1">IFERROR(__xludf.DUMMYFUNCTION("""COMPUTED_VALUE"""),"Desktop Computer – (Lenovo M70T)")</f>
        <v>Desktop Computer – (Lenovo M70T)</v>
      </c>
      <c r="D1415" s="164" t="str">
        <f ca="1">IFERROR(__xludf.DUMMYFUNCTION("""COMPUTED_VALUE"""),"₱ 75,468.00")</f>
        <v>₱ 75,468.00</v>
      </c>
      <c r="E1415" s="164" t="str">
        <f ca="1">IFERROR(__xludf.DUMMYFUNCTION("""COMPUTED_VALUE"""),"₱-")</f>
        <v>₱-</v>
      </c>
      <c r="F1415" s="164" t="str">
        <f ca="1">IFERROR(__xludf.DUMMYFUNCTION("""COMPUTED_VALUE"""),"2023-05-03-10201SP780 -01")</f>
        <v>2023-05-03-10201SP780 -01</v>
      </c>
      <c r="G1415" s="164" t="str">
        <f ca="1">IFERROR(__xludf.DUMMYFUNCTION("""COMPUTED_VALUE"""),"1S11T5S16200GM041AXE")</f>
        <v>1S11T5S16200GM041AXE</v>
      </c>
      <c r="H1415" s="164" t="str">
        <f ca="1">IFERROR(__xludf.DUMMYFUNCTION("""COMPUTED_VALUE"""),"Elleonore Irish C. Dulay")</f>
        <v>Elleonore Irish C. Dulay</v>
      </c>
      <c r="I1415" s="164" t="str">
        <f ca="1">IFERROR(__xludf.DUMMYFUNCTION("""COMPUTED_VALUE"""),"SARPT/MIS Coordinator")</f>
        <v>SARPT/MIS Coordinator</v>
      </c>
      <c r="J1415" s="164" t="str">
        <f ca="1">IFERROR(__xludf.DUMMYFUNCTION("""COMPUTED_VALUE"""),"2023-05-002")</f>
        <v>2023-05-002</v>
      </c>
      <c r="K1415" s="164" t="str">
        <f ca="1">IFERROR(__xludf.DUMMYFUNCTION("""COMPUTED_VALUE"""),"Elleonore Irish C. Dulay")</f>
        <v>Elleonore Irish C. Dulay</v>
      </c>
      <c r="L1415" s="164" t="str">
        <f ca="1">IFERROR(__xludf.DUMMYFUNCTION("""COMPUTED_VALUE"""),"LTS")</f>
        <v>LTS</v>
      </c>
      <c r="M1415" s="164" t="str">
        <f ca="1">IFERROR(__xludf.DUMMYFUNCTION("""COMPUTED_VALUE"""),"SERVICEABLE")</f>
        <v>SERVICEABLE</v>
      </c>
      <c r="N1415" s="164"/>
    </row>
    <row r="1416" spans="1:14" ht="13.2" hidden="1">
      <c r="A1416" s="164" t="str">
        <f ca="1">IFERROR(__xludf.DUMMYFUNCTION("""COMPUTED_VALUE"""),"Region III")</f>
        <v>Region III</v>
      </c>
      <c r="B1416" s="164" t="str">
        <f ca="1">IFERROR(__xludf.DUMMYFUNCTION("""COMPUTED_VALUE"""),"Aurora")</f>
        <v>Aurora</v>
      </c>
      <c r="C1416" s="164" t="str">
        <f ca="1">IFERROR(__xludf.DUMMYFUNCTION("""COMPUTED_VALUE"""),"Desktop Computer – (Lenovo M70T)")</f>
        <v>Desktop Computer – (Lenovo M70T)</v>
      </c>
      <c r="D1416" s="164" t="str">
        <f ca="1">IFERROR(__xludf.DUMMYFUNCTION("""COMPUTED_VALUE"""),"₱ 75,468.00")</f>
        <v>₱ 75,468.00</v>
      </c>
      <c r="E1416" s="164" t="str">
        <f ca="1">IFERROR(__xludf.DUMMYFUNCTION("""COMPUTED_VALUE"""),"₱-")</f>
        <v>₱-</v>
      </c>
      <c r="F1416" s="164" t="str">
        <f ca="1">IFERROR(__xludf.DUMMYFUNCTION("""COMPUTED_VALUE"""),"2023-05-03-10201SP774-01")</f>
        <v>2023-05-03-10201SP774-01</v>
      </c>
      <c r="G1416" s="164" t="str">
        <f ca="1">IFERROR(__xludf.DUMMYFUNCTION("""COMPUTED_VALUE"""),"1S11T5S16200GM041B7A")</f>
        <v>1S11T5S16200GM041B7A</v>
      </c>
      <c r="H1416" s="164" t="str">
        <f ca="1">IFERROR(__xludf.DUMMYFUNCTION("""COMPUTED_VALUE"""),"MA. ELIZABETH JANE V. BUENCAMINO")</f>
        <v>MA. ELIZABETH JANE V. BUENCAMINO</v>
      </c>
      <c r="I1416" s="164" t="str">
        <f ca="1">IFERROR(__xludf.DUMMYFUNCTION("""COMPUTED_VALUE"""),"ACCOUNTANT II")</f>
        <v>ACCOUNTANT II</v>
      </c>
      <c r="J1416" s="164" t="str">
        <f ca="1">IFERROR(__xludf.DUMMYFUNCTION("""COMPUTED_VALUE"""),"2023-05-003")</f>
        <v>2023-05-003</v>
      </c>
      <c r="K1416" s="164" t="str">
        <f ca="1">IFERROR(__xludf.DUMMYFUNCTION("""COMPUTED_VALUE"""),"MA. ELIZABETH JANE V. BUENCAMINO")</f>
        <v>MA. ELIZABETH JANE V. BUENCAMINO</v>
      </c>
      <c r="L1416" s="164" t="str">
        <f ca="1">IFERROR(__xludf.DUMMYFUNCTION("""COMPUTED_VALUE"""),"STOD")</f>
        <v>STOD</v>
      </c>
      <c r="M1416" s="164" t="str">
        <f ca="1">IFERROR(__xludf.DUMMYFUNCTION("""COMPUTED_VALUE"""),"SERVICEABLE")</f>
        <v>SERVICEABLE</v>
      </c>
      <c r="N1416" s="164"/>
    </row>
    <row r="1417" spans="1:14" ht="13.2" hidden="1">
      <c r="A1417" s="164" t="str">
        <f ca="1">IFERROR(__xludf.DUMMYFUNCTION("""COMPUTED_VALUE"""),"Region III")</f>
        <v>Region III</v>
      </c>
      <c r="B1417" s="164" t="str">
        <f ca="1">IFERROR(__xludf.DUMMYFUNCTION("""COMPUTED_VALUE"""),"Aurora")</f>
        <v>Aurora</v>
      </c>
      <c r="C1417" s="164" t="str">
        <f ca="1">IFERROR(__xludf.DUMMYFUNCTION("""COMPUTED_VALUE"""),"Desktop Computer – (Lenovo M70T)")</f>
        <v>Desktop Computer – (Lenovo M70T)</v>
      </c>
      <c r="D1417" s="164" t="str">
        <f ca="1">IFERROR(__xludf.DUMMYFUNCTION("""COMPUTED_VALUE"""),"₱ 75,468.00")</f>
        <v>₱ 75,468.00</v>
      </c>
      <c r="E1417" s="164" t="str">
        <f ca="1">IFERROR(__xludf.DUMMYFUNCTION("""COMPUTED_VALUE"""),"₱-")</f>
        <v>₱-</v>
      </c>
      <c r="F1417" s="164" t="str">
        <f ca="1">IFERROR(__xludf.DUMMYFUNCTION("""COMPUTED_VALUE"""),"2023-05-03-10201SP775-01")</f>
        <v>2023-05-03-10201SP775-01</v>
      </c>
      <c r="G1417" s="164" t="str">
        <f ca="1">IFERROR(__xludf.DUMMYFUNCTION("""COMPUTED_VALUE"""),"1S11T5S16200GM041B6Y")</f>
        <v>1S11T5S16200GM041B6Y</v>
      </c>
      <c r="H1417" s="164" t="str">
        <f ca="1">IFERROR(__xludf.DUMMYFUNCTION("""COMPUTED_VALUE"""),"Karren G. Abordo")</f>
        <v>Karren G. Abordo</v>
      </c>
      <c r="I1417" s="164" t="str">
        <f ca="1">IFERROR(__xludf.DUMMYFUNCTION("""COMPUTED_VALUE"""),"AO IV/Project Budget Officer")</f>
        <v>AO IV/Project Budget Officer</v>
      </c>
      <c r="J1417" s="164" t="str">
        <f ca="1">IFERROR(__xludf.DUMMYFUNCTION("""COMPUTED_VALUE"""),"2023-05-004")</f>
        <v>2023-05-004</v>
      </c>
      <c r="K1417" s="164" t="str">
        <f ca="1">IFERROR(__xludf.DUMMYFUNCTION("""COMPUTED_VALUE"""),"Karren G. Abordo")</f>
        <v>Karren G. Abordo</v>
      </c>
      <c r="L1417" s="164" t="str">
        <f ca="1">IFERROR(__xludf.DUMMYFUNCTION("""COMPUTED_VALUE"""),"STOD")</f>
        <v>STOD</v>
      </c>
      <c r="M1417" s="164" t="str">
        <f ca="1">IFERROR(__xludf.DUMMYFUNCTION("""COMPUTED_VALUE"""),"SERVICEABLE")</f>
        <v>SERVICEABLE</v>
      </c>
      <c r="N1417" s="164"/>
    </row>
    <row r="1418" spans="1:14" ht="13.2" hidden="1">
      <c r="A1418" s="164" t="str">
        <f ca="1">IFERROR(__xludf.DUMMYFUNCTION("""COMPUTED_VALUE"""),"Region III")</f>
        <v>Region III</v>
      </c>
      <c r="B1418" s="164" t="str">
        <f ca="1">IFERROR(__xludf.DUMMYFUNCTION("""COMPUTED_VALUE"""),"Aurora")</f>
        <v>Aurora</v>
      </c>
      <c r="C1418" s="164" t="str">
        <f ca="1">IFERROR(__xludf.DUMMYFUNCTION("""COMPUTED_VALUE"""),"Desktop Computer – (Lenovo M70T)")</f>
        <v>Desktop Computer – (Lenovo M70T)</v>
      </c>
      <c r="D1418" s="164" t="str">
        <f ca="1">IFERROR(__xludf.DUMMYFUNCTION("""COMPUTED_VALUE"""),"₱ 75,468.00")</f>
        <v>₱ 75,468.00</v>
      </c>
      <c r="E1418" s="164" t="str">
        <f ca="1">IFERROR(__xludf.DUMMYFUNCTION("""COMPUTED_VALUE"""),"₱-")</f>
        <v>₱-</v>
      </c>
      <c r="F1418" s="164" t="str">
        <f ca="1">IFERROR(__xludf.DUMMYFUNCTION("""COMPUTED_VALUE"""),"2023-05-03-10201SP776-01")</f>
        <v>2023-05-03-10201SP776-01</v>
      </c>
      <c r="G1418" s="164" t="str">
        <f ca="1">IFERROR(__xludf.DUMMYFUNCTION("""COMPUTED_VALUE"""),"1S11T5S16200GM041B1N")</f>
        <v>1S11T5S16200GM041B1N</v>
      </c>
      <c r="H1418" s="164" t="str">
        <f ca="1">IFERROR(__xludf.DUMMYFUNCTION("""COMPUTED_VALUE"""),"Mary Chiles S. Caballes")</f>
        <v>Mary Chiles S. Caballes</v>
      </c>
      <c r="I1418" s="164" t="str">
        <f ca="1">IFERROR(__xludf.DUMMYFUNCTION("""COMPUTED_VALUE"""),"AO III/Project Cashier")</f>
        <v>AO III/Project Cashier</v>
      </c>
      <c r="J1418" s="164" t="str">
        <f ca="1">IFERROR(__xludf.DUMMYFUNCTION("""COMPUTED_VALUE"""),"2023-05-005")</f>
        <v>2023-05-005</v>
      </c>
      <c r="K1418" s="164" t="str">
        <f ca="1">IFERROR(__xludf.DUMMYFUNCTION("""COMPUTED_VALUE"""),"Mary Chiles S. Caballes")</f>
        <v>Mary Chiles S. Caballes</v>
      </c>
      <c r="L1418" s="164" t="str">
        <f ca="1">IFERROR(__xludf.DUMMYFUNCTION("""COMPUTED_VALUE"""),"STOD")</f>
        <v>STOD</v>
      </c>
      <c r="M1418" s="164" t="str">
        <f ca="1">IFERROR(__xludf.DUMMYFUNCTION("""COMPUTED_VALUE"""),"SERVICEABLE")</f>
        <v>SERVICEABLE</v>
      </c>
      <c r="N1418" s="164"/>
    </row>
    <row r="1419" spans="1:14" ht="13.2" hidden="1">
      <c r="A1419" s="164" t="str">
        <f ca="1">IFERROR(__xludf.DUMMYFUNCTION("""COMPUTED_VALUE"""),"Region III")</f>
        <v>Region III</v>
      </c>
      <c r="B1419" s="164" t="str">
        <f ca="1">IFERROR(__xludf.DUMMYFUNCTION("""COMPUTED_VALUE"""),"Aurora")</f>
        <v>Aurora</v>
      </c>
      <c r="C1419" s="164" t="str">
        <f ca="1">IFERROR(__xludf.DUMMYFUNCTION("""COMPUTED_VALUE"""),"Desktop Computer – (Lenovo M70T)")</f>
        <v>Desktop Computer – (Lenovo M70T)</v>
      </c>
      <c r="D1419" s="164" t="str">
        <f ca="1">IFERROR(__xludf.DUMMYFUNCTION("""COMPUTED_VALUE"""),"₱ 75,468.00")</f>
        <v>₱ 75,468.00</v>
      </c>
      <c r="E1419" s="164" t="str">
        <f ca="1">IFERROR(__xludf.DUMMYFUNCTION("""COMPUTED_VALUE"""),"₱-")</f>
        <v>₱-</v>
      </c>
      <c r="F1419" s="164" t="str">
        <f ca="1">IFERROR(__xludf.DUMMYFUNCTION("""COMPUTED_VALUE"""),"2023-05-03-10201SP781-01")</f>
        <v>2023-05-03-10201SP781-01</v>
      </c>
      <c r="G1419" s="164" t="str">
        <f ca="1">IFERROR(__xludf.DUMMYFUNCTION("""COMPUTED_VALUE"""),"1S11T5S16200GM041B1R")</f>
        <v>1S11T5S16200GM041B1R</v>
      </c>
      <c r="H1419" s="164" t="str">
        <f ca="1">IFERROR(__xludf.DUMMYFUNCTION("""COMPUTED_VALUE"""),"JOHN C.VELASCO")</f>
        <v>JOHN C.VELASCO</v>
      </c>
      <c r="I1419" s="164" t="str">
        <f ca="1">IFERROR(__xludf.DUMMYFUNCTION("""COMPUTED_VALUE"""),"CAO/Admin. and Finance Officer/CBTA Coordinator")</f>
        <v>CAO/Admin. and Finance Officer/CBTA Coordinator</v>
      </c>
      <c r="J1419" s="164" t="str">
        <f ca="1">IFERROR(__xludf.DUMMYFUNCTION("""COMPUTED_VALUE"""),"2023-05-006")</f>
        <v>2023-05-006</v>
      </c>
      <c r="K1419" s="164" t="str">
        <f ca="1">IFERROR(__xludf.DUMMYFUNCTION("""COMPUTED_VALUE"""),"SPLIT Support Staff (Procurement)")</f>
        <v>SPLIT Support Staff (Procurement)</v>
      </c>
      <c r="L1419" s="164" t="str">
        <f ca="1">IFERROR(__xludf.DUMMYFUNCTION("""COMPUTED_VALUE"""),"STOD")</f>
        <v>STOD</v>
      </c>
      <c r="M1419" s="164" t="str">
        <f ca="1">IFERROR(__xludf.DUMMYFUNCTION("""COMPUTED_VALUE"""),"SERVICEABLE")</f>
        <v>SERVICEABLE</v>
      </c>
      <c r="N1419" s="164"/>
    </row>
    <row r="1420" spans="1:14" ht="13.2" hidden="1">
      <c r="A1420" s="164" t="str">
        <f ca="1">IFERROR(__xludf.DUMMYFUNCTION("""COMPUTED_VALUE"""),"Region III")</f>
        <v>Region III</v>
      </c>
      <c r="B1420" s="164" t="str">
        <f ca="1">IFERROR(__xludf.DUMMYFUNCTION("""COMPUTED_VALUE"""),"Aurora")</f>
        <v>Aurora</v>
      </c>
      <c r="C1420" s="164" t="str">
        <f ca="1">IFERROR(__xludf.DUMMYFUNCTION("""COMPUTED_VALUE"""),"Desktop Computer – (Lenovo M70T)")</f>
        <v>Desktop Computer – (Lenovo M70T)</v>
      </c>
      <c r="D1420" s="164" t="str">
        <f ca="1">IFERROR(__xludf.DUMMYFUNCTION("""COMPUTED_VALUE"""),"₱ 75,468.00")</f>
        <v>₱ 75,468.00</v>
      </c>
      <c r="E1420" s="164" t="str">
        <f ca="1">IFERROR(__xludf.DUMMYFUNCTION("""COMPUTED_VALUE"""),"₱-")</f>
        <v>₱-</v>
      </c>
      <c r="F1420" s="164" t="str">
        <f ca="1">IFERROR(__xludf.DUMMYFUNCTION("""COMPUTED_VALUE"""),"2023-05-03-10201SP782-01")</f>
        <v>2023-05-03-10201SP782-01</v>
      </c>
      <c r="G1420" s="164" t="str">
        <f ca="1">IFERROR(__xludf.DUMMYFUNCTION("""COMPUTED_VALUE"""),"1S11T5S16200GM041ANZ")</f>
        <v>1S11T5S16200GM041ANZ</v>
      </c>
      <c r="H1420" s="164" t="str">
        <f ca="1">IFERROR(__xludf.DUMMYFUNCTION("""COMPUTED_VALUE"""),"Ian Vincent O. Natividad")</f>
        <v>Ian Vincent O. Natividad</v>
      </c>
      <c r="I1420" s="164" t="str">
        <f ca="1">IFERROR(__xludf.DUMMYFUNCTION("""COMPUTED_VALUE"""),"SARPO/Legal Coordinator")</f>
        <v>SARPO/Legal Coordinator</v>
      </c>
      <c r="J1420" s="164" t="str">
        <f ca="1">IFERROR(__xludf.DUMMYFUNCTION("""COMPUTED_VALUE"""),"2023-05-007")</f>
        <v>2023-05-007</v>
      </c>
      <c r="K1420" s="164" t="str">
        <f ca="1">IFERROR(__xludf.DUMMYFUNCTION("""COMPUTED_VALUE"""),"Ian Vincent O. Natividad")</f>
        <v>Ian Vincent O. Natividad</v>
      </c>
      <c r="L1420" s="164" t="str">
        <f ca="1">IFERROR(__xludf.DUMMYFUNCTION("""COMPUTED_VALUE"""),"ALSD")</f>
        <v>ALSD</v>
      </c>
      <c r="M1420" s="164" t="str">
        <f ca="1">IFERROR(__xludf.DUMMYFUNCTION("""COMPUTED_VALUE"""),"SERVICEABLE")</f>
        <v>SERVICEABLE</v>
      </c>
      <c r="N1420" s="164"/>
    </row>
    <row r="1421" spans="1:14" ht="13.2" hidden="1">
      <c r="A1421" s="164" t="str">
        <f ca="1">IFERROR(__xludf.DUMMYFUNCTION("""COMPUTED_VALUE"""),"Region III")</f>
        <v>Region III</v>
      </c>
      <c r="B1421" s="164" t="str">
        <f ca="1">IFERROR(__xludf.DUMMYFUNCTION("""COMPUTED_VALUE"""),"Aurora")</f>
        <v>Aurora</v>
      </c>
      <c r="C1421" s="164" t="str">
        <f ca="1">IFERROR(__xludf.DUMMYFUNCTION("""COMPUTED_VALUE"""),"Desktop Computer – (Lenovo M70T)")</f>
        <v>Desktop Computer – (Lenovo M70T)</v>
      </c>
      <c r="D1421" s="164" t="str">
        <f ca="1">IFERROR(__xludf.DUMMYFUNCTION("""COMPUTED_VALUE"""),"₱ 75,468.00")</f>
        <v>₱ 75,468.00</v>
      </c>
      <c r="E1421" s="164" t="str">
        <f ca="1">IFERROR(__xludf.DUMMYFUNCTION("""COMPUTED_VALUE"""),"₱-")</f>
        <v>₱-</v>
      </c>
      <c r="F1421" s="164" t="str">
        <f ca="1">IFERROR(__xludf.DUMMYFUNCTION("""COMPUTED_VALUE"""),"2023-05-03-10201SP783-01")</f>
        <v>2023-05-03-10201SP783-01</v>
      </c>
      <c r="G1421" s="164" t="str">
        <f ca="1">IFERROR(__xludf.DUMMYFUNCTION("""COMPUTED_VALUE"""),"1S11T5S16200GM041B1E")</f>
        <v>1S11T5S16200GM041B1E</v>
      </c>
      <c r="H1421" s="164" t="str">
        <f ca="1">IFERROR(__xludf.DUMMYFUNCTION("""COMPUTED_VALUE"""),"Ma. Dina R. Daguman")</f>
        <v>Ma. Dina R. Daguman</v>
      </c>
      <c r="I1421" s="164" t="str">
        <f ca="1">IFERROR(__xludf.DUMMYFUNCTION("""COMPUTED_VALUE"""),"CARPO/")</f>
        <v>CARPO/</v>
      </c>
      <c r="J1421" s="164" t="str">
        <f ca="1">IFERROR(__xludf.DUMMYFUNCTION("""COMPUTED_VALUE"""),"2023-05-008")</f>
        <v>2023-05-008</v>
      </c>
      <c r="K1421" s="164" t="str">
        <f ca="1">IFERROR(__xludf.DUMMYFUNCTION("""COMPUTED_VALUE"""),"Ma. Dina R. Daguman")</f>
        <v>Ma. Dina R. Daguman</v>
      </c>
      <c r="L1421" s="164" t="str">
        <f ca="1">IFERROR(__xludf.DUMMYFUNCTION("""COMPUTED_VALUE"""),"PBDD")</f>
        <v>PBDD</v>
      </c>
      <c r="M1421" s="164" t="str">
        <f ca="1">IFERROR(__xludf.DUMMYFUNCTION("""COMPUTED_VALUE"""),"SERVICEABLE")</f>
        <v>SERVICEABLE</v>
      </c>
      <c r="N1421" s="164"/>
    </row>
    <row r="1422" spans="1:14" ht="13.2" hidden="1">
      <c r="A1422" s="164" t="str">
        <f ca="1">IFERROR(__xludf.DUMMYFUNCTION("""COMPUTED_VALUE"""),"Region III")</f>
        <v>Region III</v>
      </c>
      <c r="B1422" s="164" t="str">
        <f ca="1">IFERROR(__xludf.DUMMYFUNCTION("""COMPUTED_VALUE"""),"Aurora")</f>
        <v>Aurora</v>
      </c>
      <c r="C1422" s="164" t="str">
        <f ca="1">IFERROR(__xludf.DUMMYFUNCTION("""COMPUTED_VALUE"""),"Desktop Computer – (Lenovo M70T)")</f>
        <v>Desktop Computer – (Lenovo M70T)</v>
      </c>
      <c r="D1422" s="164" t="str">
        <f ca="1">IFERROR(__xludf.DUMMYFUNCTION("""COMPUTED_VALUE"""),"₱ 75,468.00")</f>
        <v>₱ 75,468.00</v>
      </c>
      <c r="E1422" s="164" t="str">
        <f ca="1">IFERROR(__xludf.DUMMYFUNCTION("""COMPUTED_VALUE"""),"₱-")</f>
        <v>₱-</v>
      </c>
      <c r="F1422" s="164" t="str">
        <f ca="1">IFERROR(__xludf.DUMMYFUNCTION("""COMPUTED_VALUE"""),"2023-05-03-10201SP785-01")</f>
        <v>2023-05-03-10201SP785-01</v>
      </c>
      <c r="G1422" s="164" t="str">
        <f ca="1">IFERROR(__xludf.DUMMYFUNCTION("""COMPUTED_VALUE"""),"1S11T5S16200GM041B76")</f>
        <v>1S11T5S16200GM041B76</v>
      </c>
      <c r="H1422" s="164" t="str">
        <f ca="1">IFERROR(__xludf.DUMMYFUNCTION("""COMPUTED_VALUE"""),"Teresita P. Nacino")</f>
        <v>Teresita P. Nacino</v>
      </c>
      <c r="I1422" s="164" t="str">
        <f ca="1">IFERROR(__xludf.DUMMYFUNCTION("""COMPUTED_VALUE"""),"ARPO II/Parcelization Component and Field Validation Team Coordinator")</f>
        <v>ARPO II/Parcelization Component and Field Validation Team Coordinator</v>
      </c>
      <c r="J1422" s="164" t="str">
        <f ca="1">IFERROR(__xludf.DUMMYFUNCTION("""COMPUTED_VALUE"""),"2023-05-014")</f>
        <v>2023-05-014</v>
      </c>
      <c r="K1422" s="164" t="str">
        <f ca="1">IFERROR(__xludf.DUMMYFUNCTION("""COMPUTED_VALUE"""),"Teresita P. Nacino")</f>
        <v>Teresita P. Nacino</v>
      </c>
      <c r="L1422" s="164" t="str">
        <f ca="1">IFERROR(__xludf.DUMMYFUNCTION("""COMPUTED_VALUE"""),"LTS")</f>
        <v>LTS</v>
      </c>
      <c r="M1422" s="164" t="str">
        <f ca="1">IFERROR(__xludf.DUMMYFUNCTION("""COMPUTED_VALUE"""),"SERVICEABLE")</f>
        <v>SERVICEABLE</v>
      </c>
      <c r="N1422" s="164"/>
    </row>
    <row r="1423" spans="1:14" ht="13.2" hidden="1">
      <c r="A1423" s="164" t="str">
        <f ca="1">IFERROR(__xludf.DUMMYFUNCTION("""COMPUTED_VALUE"""),"Region III")</f>
        <v>Region III</v>
      </c>
      <c r="B1423" s="164" t="str">
        <f ca="1">IFERROR(__xludf.DUMMYFUNCTION("""COMPUTED_VALUE"""),"Aurora")</f>
        <v>Aurora</v>
      </c>
      <c r="C1423" s="164" t="str">
        <f ca="1">IFERROR(__xludf.DUMMYFUNCTION("""COMPUTED_VALUE"""),"Desktop Computer – (Lenovo M70T)")</f>
        <v>Desktop Computer – (Lenovo M70T)</v>
      </c>
      <c r="D1423" s="164" t="str">
        <f ca="1">IFERROR(__xludf.DUMMYFUNCTION("""COMPUTED_VALUE"""),"₱ 75,468.00")</f>
        <v>₱ 75,468.00</v>
      </c>
      <c r="E1423" s="164" t="str">
        <f ca="1">IFERROR(__xludf.DUMMYFUNCTION("""COMPUTED_VALUE"""),"₱-")</f>
        <v>₱-</v>
      </c>
      <c r="F1423" s="164" t="str">
        <f ca="1">IFERROR(__xludf.DUMMYFUNCTION("""COMPUTED_VALUE"""),"2023-05-03-10201SP784-01")</f>
        <v>2023-05-03-10201SP784-01</v>
      </c>
      <c r="G1423" s="164" t="str">
        <f ca="1">IFERROR(__xludf.DUMMYFUNCTION("""COMPUTED_VALUE"""),"1S11T5S16200GM041AW")</f>
        <v>1S11T5S16200GM041AW</v>
      </c>
      <c r="H1423" s="164" t="str">
        <f ca="1">IFERROR(__xludf.DUMMYFUNCTION("""COMPUTED_VALUE"""),"Teresita P. Nacino")</f>
        <v>Teresita P. Nacino</v>
      </c>
      <c r="I1423" s="164" t="str">
        <f ca="1">IFERROR(__xludf.DUMMYFUNCTION("""COMPUTED_VALUE"""),"ARPO II/Parcelization Component and Field Validation Team Coordinator")</f>
        <v>ARPO II/Parcelization Component and Field Validation Team Coordinator</v>
      </c>
      <c r="J1423" s="164" t="str">
        <f ca="1">IFERROR(__xludf.DUMMYFUNCTION("""COMPUTED_VALUE"""),"2023-05-013")</f>
        <v>2023-05-013</v>
      </c>
      <c r="K1423" s="164" t="str">
        <f ca="1">IFERROR(__xludf.DUMMYFUNCTION("""COMPUTED_VALUE"""),"SPLIT Support Staff")</f>
        <v>SPLIT Support Staff</v>
      </c>
      <c r="L1423" s="164" t="str">
        <f ca="1">IFERROR(__xludf.DUMMYFUNCTION("""COMPUTED_VALUE"""),"LTS")</f>
        <v>LTS</v>
      </c>
      <c r="M1423" s="164" t="str">
        <f ca="1">IFERROR(__xludf.DUMMYFUNCTION("""COMPUTED_VALUE"""),"SERVICEABLE")</f>
        <v>SERVICEABLE</v>
      </c>
      <c r="N1423" s="164"/>
    </row>
    <row r="1424" spans="1:14" ht="13.2" hidden="1">
      <c r="A1424" s="164" t="str">
        <f ca="1">IFERROR(__xludf.DUMMYFUNCTION("""COMPUTED_VALUE"""),"Region III")</f>
        <v>Region III</v>
      </c>
      <c r="B1424" s="164" t="str">
        <f ca="1">IFERROR(__xludf.DUMMYFUNCTION("""COMPUTED_VALUE"""),"Aurora")</f>
        <v>Aurora</v>
      </c>
      <c r="C1424" s="164" t="str">
        <f ca="1">IFERROR(__xludf.DUMMYFUNCTION("""COMPUTED_VALUE"""),"Desktop Computer – (Lenovo M70T)")</f>
        <v>Desktop Computer – (Lenovo M70T)</v>
      </c>
      <c r="D1424" s="164" t="str">
        <f ca="1">IFERROR(__xludf.DUMMYFUNCTION("""COMPUTED_VALUE"""),"₱ 75,468.00")</f>
        <v>₱ 75,468.00</v>
      </c>
      <c r="E1424" s="164" t="str">
        <f ca="1">IFERROR(__xludf.DUMMYFUNCTION("""COMPUTED_VALUE"""),"₱-")</f>
        <v>₱-</v>
      </c>
      <c r="F1424" s="164" t="str">
        <f ca="1">IFERROR(__xludf.DUMMYFUNCTION("""COMPUTED_VALUE"""),"2023-05-03-10201SP777-01")</f>
        <v>2023-05-03-10201SP777-01</v>
      </c>
      <c r="G1424" s="164" t="str">
        <f ca="1">IFERROR(__xludf.DUMMYFUNCTION("""COMPUTED_VALUE"""),"1S11T5S16200GM041B7M")</f>
        <v>1S11T5S16200GM041B7M</v>
      </c>
      <c r="H1424" s="164" t="str">
        <f ca="1">IFERROR(__xludf.DUMMYFUNCTION("""COMPUTED_VALUE"""),"JOHN C.VELASCO")</f>
        <v>JOHN C.VELASCO</v>
      </c>
      <c r="I1424" s="164" t="str">
        <f ca="1">IFERROR(__xludf.DUMMYFUNCTION("""COMPUTED_VALUE"""),"CAO")</f>
        <v>CAO</v>
      </c>
      <c r="J1424" s="164" t="str">
        <f ca="1">IFERROR(__xludf.DUMMYFUNCTION("""COMPUTED_VALUE"""),"2023-05-020")</f>
        <v>2023-05-020</v>
      </c>
      <c r="K1424" s="164" t="str">
        <f ca="1">IFERROR(__xludf.DUMMYFUNCTION("""COMPUTED_VALUE"""),"JOHN C.VELASCO")</f>
        <v>JOHN C.VELASCO</v>
      </c>
      <c r="L1424" s="164" t="str">
        <f ca="1">IFERROR(__xludf.DUMMYFUNCTION("""COMPUTED_VALUE"""),"STOD")</f>
        <v>STOD</v>
      </c>
      <c r="M1424" s="164" t="str">
        <f ca="1">IFERROR(__xludf.DUMMYFUNCTION("""COMPUTED_VALUE"""),"SERVICEABLE")</f>
        <v>SERVICEABLE</v>
      </c>
      <c r="N1424" s="164"/>
    </row>
    <row r="1425" spans="1:14" ht="13.2" hidden="1">
      <c r="A1425" s="164" t="str">
        <f ca="1">IFERROR(__xludf.DUMMYFUNCTION("""COMPUTED_VALUE"""),"Region III")</f>
        <v>Region III</v>
      </c>
      <c r="B1425" s="164" t="str">
        <f ca="1">IFERROR(__xludf.DUMMYFUNCTION("""COMPUTED_VALUE"""),"Aurora")</f>
        <v>Aurora</v>
      </c>
      <c r="C1425" s="164" t="str">
        <f ca="1">IFERROR(__xludf.DUMMYFUNCTION("""COMPUTED_VALUE"""),"Desktop Computer – (Lenovo M70T)")</f>
        <v>Desktop Computer – (Lenovo M70T)</v>
      </c>
      <c r="D1425" s="164" t="str">
        <f ca="1">IFERROR(__xludf.DUMMYFUNCTION("""COMPUTED_VALUE"""),"₱ 75,468.00")</f>
        <v>₱ 75,468.00</v>
      </c>
      <c r="E1425" s="164" t="str">
        <f ca="1">IFERROR(__xludf.DUMMYFUNCTION("""COMPUTED_VALUE"""),"₱-")</f>
        <v>₱-</v>
      </c>
      <c r="F1425" s="164" t="str">
        <f ca="1">IFERROR(__xludf.DUMMYFUNCTION("""COMPUTED_VALUE"""),"2023-05-03-10201SP778-01")</f>
        <v>2023-05-03-10201SP778-01</v>
      </c>
      <c r="G1425" s="164" t="str">
        <f ca="1">IFERROR(__xludf.DUMMYFUNCTION("""COMPUTED_VALUE"""),"1S11T5S16200GM041ANX")</f>
        <v>1S11T5S16200GM041ANX</v>
      </c>
      <c r="H1425" s="164" t="str">
        <f ca="1">IFERROR(__xludf.DUMMYFUNCTION("""COMPUTED_VALUE"""),"JOHN C.VELASCO")</f>
        <v>JOHN C.VELASCO</v>
      </c>
      <c r="I1425" s="164" t="str">
        <f ca="1">IFERROR(__xludf.DUMMYFUNCTION("""COMPUTED_VALUE"""),"CAO")</f>
        <v>CAO</v>
      </c>
      <c r="J1425" s="164" t="str">
        <f ca="1">IFERROR(__xludf.DUMMYFUNCTION("""COMPUTED_VALUE"""),"2023-05-019")</f>
        <v>2023-05-019</v>
      </c>
      <c r="K1425" s="164" t="str">
        <f ca="1">IFERROR(__xludf.DUMMYFUNCTION("""COMPUTED_VALUE"""),"JOHN C.VELASCO")</f>
        <v>JOHN C.VELASCO</v>
      </c>
      <c r="L1425" s="164" t="str">
        <f ca="1">IFERROR(__xludf.DUMMYFUNCTION("""COMPUTED_VALUE"""),"STOD")</f>
        <v>STOD</v>
      </c>
      <c r="M1425" s="164" t="str">
        <f ca="1">IFERROR(__xludf.DUMMYFUNCTION("""COMPUTED_VALUE"""),"SERVICEABLE")</f>
        <v>SERVICEABLE</v>
      </c>
      <c r="N1425" s="164"/>
    </row>
    <row r="1426" spans="1:14" ht="13.2" hidden="1">
      <c r="A1426" s="164" t="str">
        <f ca="1">IFERROR(__xludf.DUMMYFUNCTION("""COMPUTED_VALUE"""),"Region III")</f>
        <v>Region III</v>
      </c>
      <c r="B1426" s="164" t="str">
        <f ca="1">IFERROR(__xludf.DUMMYFUNCTION("""COMPUTED_VALUE"""),"Aurora")</f>
        <v>Aurora</v>
      </c>
      <c r="C1426" s="164" t="str">
        <f ca="1">IFERROR(__xludf.DUMMYFUNCTION("""COMPUTED_VALUE"""),"Desktop Computer – (Lenovo M70T)")</f>
        <v>Desktop Computer – (Lenovo M70T)</v>
      </c>
      <c r="D1426" s="164" t="str">
        <f ca="1">IFERROR(__xludf.DUMMYFUNCTION("""COMPUTED_VALUE"""),"₱ 75,468.00")</f>
        <v>₱ 75,468.00</v>
      </c>
      <c r="E1426" s="164" t="str">
        <f ca="1">IFERROR(__xludf.DUMMYFUNCTION("""COMPUTED_VALUE"""),"₱-")</f>
        <v>₱-</v>
      </c>
      <c r="F1426" s="164" t="str">
        <f ca="1">IFERROR(__xludf.DUMMYFUNCTION("""COMPUTED_VALUE"""),"2023-05-03-10201SP779-01")</f>
        <v>2023-05-03-10201SP779-01</v>
      </c>
      <c r="G1426" s="164" t="str">
        <f ca="1">IFERROR(__xludf.DUMMYFUNCTION("""COMPUTED_VALUE"""),"1S11T5S16200GM041ANJ")</f>
        <v>1S11T5S16200GM041ANJ</v>
      </c>
      <c r="H1426" s="164" t="str">
        <f ca="1">IFERROR(__xludf.DUMMYFUNCTION("""COMPUTED_VALUE"""),"JOSEPHINE K. AGUINALDO")</f>
        <v>JOSEPHINE K. AGUINALDO</v>
      </c>
      <c r="I1426" s="164" t="str">
        <f ca="1">IFERROR(__xludf.DUMMYFUNCTION("""COMPUTED_VALUE"""),"PARPO II")</f>
        <v>PARPO II</v>
      </c>
      <c r="J1426" s="164" t="str">
        <f ca="1">IFERROR(__xludf.DUMMYFUNCTION("""COMPUTED_VALUE"""),"2023-05-018")</f>
        <v>2023-05-018</v>
      </c>
      <c r="K1426" s="164" t="str">
        <f ca="1">IFERROR(__xludf.DUMMYFUNCTION("""COMPUTED_VALUE"""),"SPLIT Support Staff")</f>
        <v>SPLIT Support Staff</v>
      </c>
      <c r="L1426" s="164" t="str">
        <f ca="1">IFERROR(__xludf.DUMMYFUNCTION("""COMPUTED_VALUE"""),"PARPO")</f>
        <v>PARPO</v>
      </c>
      <c r="M1426" s="164" t="str">
        <f ca="1">IFERROR(__xludf.DUMMYFUNCTION("""COMPUTED_VALUE"""),"SERVICEABLE")</f>
        <v>SERVICEABLE</v>
      </c>
      <c r="N1426" s="164"/>
    </row>
    <row r="1427" spans="1:14" ht="13.2" hidden="1">
      <c r="A1427" s="164" t="str">
        <f ca="1">IFERROR(__xludf.DUMMYFUNCTION("""COMPUTED_VALUE"""),"Region III")</f>
        <v>Region III</v>
      </c>
      <c r="B1427" s="164" t="str">
        <f ca="1">IFERROR(__xludf.DUMMYFUNCTION("""COMPUTED_VALUE"""),"Aurora")</f>
        <v>Aurora</v>
      </c>
      <c r="C1427" s="164" t="str">
        <f ca="1">IFERROR(__xludf.DUMMYFUNCTION("""COMPUTED_VALUE"""),"Desktop Computer – (Lenovo M70T)")</f>
        <v>Desktop Computer – (Lenovo M70T)</v>
      </c>
      <c r="D1427" s="164" t="str">
        <f ca="1">IFERROR(__xludf.DUMMYFUNCTION("""COMPUTED_VALUE"""),"₱ 75,468.00")</f>
        <v>₱ 75,468.00</v>
      </c>
      <c r="E1427" s="164" t="str">
        <f ca="1">IFERROR(__xludf.DUMMYFUNCTION("""COMPUTED_VALUE"""),"₱-")</f>
        <v>₱-</v>
      </c>
      <c r="F1427" s="164" t="str">
        <f ca="1">IFERROR(__xludf.DUMMYFUNCTION("""COMPUTED_VALUE"""),"2023-05-03-10201SP786-01")</f>
        <v>2023-05-03-10201SP786-01</v>
      </c>
      <c r="G1427" s="164" t="str">
        <f ca="1">IFERROR(__xludf.DUMMYFUNCTION("""COMPUTED_VALUE"""),"1S11T5S16200GM041B77")</f>
        <v>1S11T5S16200GM041B77</v>
      </c>
      <c r="H1427" s="164" t="str">
        <f ca="1">IFERROR(__xludf.DUMMYFUNCTION("""COMPUTED_VALUE"""),"Alan O. Ibale")</f>
        <v>Alan O. Ibale</v>
      </c>
      <c r="I1427" s="164" t="str">
        <f ca="1">IFERROR(__xludf.DUMMYFUNCTION("""COMPUTED_VALUE"""),"Planning Officer II/M &amp; E Coordinator")</f>
        <v>Planning Officer II/M &amp; E Coordinator</v>
      </c>
      <c r="J1427" s="164" t="str">
        <f ca="1">IFERROR(__xludf.DUMMYFUNCTION("""COMPUTED_VALUE"""),"2023-08-022")</f>
        <v>2023-08-022</v>
      </c>
      <c r="K1427" s="164" t="str">
        <f ca="1">IFERROR(__xludf.DUMMYFUNCTION("""COMPUTED_VALUE"""),"SPLIT Support Staff")</f>
        <v>SPLIT Support Staff</v>
      </c>
      <c r="L1427" s="164" t="str">
        <f ca="1">IFERROR(__xludf.DUMMYFUNCTION("""COMPUTED_VALUE"""),"STOD")</f>
        <v>STOD</v>
      </c>
      <c r="M1427" s="164" t="str">
        <f ca="1">IFERROR(__xludf.DUMMYFUNCTION("""COMPUTED_VALUE"""),"SERVICEABLE")</f>
        <v>SERVICEABLE</v>
      </c>
      <c r="N1427" s="164"/>
    </row>
    <row r="1428" spans="1:14" ht="13.2" hidden="1">
      <c r="A1428" s="164" t="str">
        <f ca="1">IFERROR(__xludf.DUMMYFUNCTION("""COMPUTED_VALUE"""),"Region III")</f>
        <v>Region III</v>
      </c>
      <c r="B1428" s="164" t="str">
        <f ca="1">IFERROR(__xludf.DUMMYFUNCTION("""COMPUTED_VALUE"""),"Aurora")</f>
        <v>Aurora</v>
      </c>
      <c r="C1428" s="164" t="str">
        <f ca="1">IFERROR(__xludf.DUMMYFUNCTION("""COMPUTED_VALUE"""),"Desktop Computer – (Lenovo M70T)")</f>
        <v>Desktop Computer – (Lenovo M70T)</v>
      </c>
      <c r="D1428" s="164" t="str">
        <f ca="1">IFERROR(__xludf.DUMMYFUNCTION("""COMPUTED_VALUE"""),"₱ 75,468.00")</f>
        <v>₱ 75,468.00</v>
      </c>
      <c r="E1428" s="164" t="str">
        <f ca="1">IFERROR(__xludf.DUMMYFUNCTION("""COMPUTED_VALUE"""),"₱-")</f>
        <v>₱-</v>
      </c>
      <c r="F1428" s="164" t="str">
        <f ca="1">IFERROR(__xludf.DUMMYFUNCTION("""COMPUTED_VALUE"""),"2023-05-03-10201SP787-01")</f>
        <v>2023-05-03-10201SP787-01</v>
      </c>
      <c r="G1428" s="164" t="str">
        <f ca="1">IFERROR(__xludf.DUMMYFUNCTION("""COMPUTED_VALUE"""),"1S11T5S16200GM041B75")</f>
        <v>1S11T5S16200GM041B75</v>
      </c>
      <c r="H1428" s="164" t="str">
        <f ca="1">IFERROR(__xludf.DUMMYFUNCTION("""COMPUTED_VALUE"""),"Joyce P. Galope")</f>
        <v>Joyce P. Galope</v>
      </c>
      <c r="I1428" s="164" t="str">
        <f ca="1">IFERROR(__xludf.DUMMYFUNCTION("""COMPUTED_VALUE"""),"ARPO II/ Documentation/ESS Support Staff")</f>
        <v>ARPO II/ Documentation/ESS Support Staff</v>
      </c>
      <c r="J1428" s="164" t="str">
        <f ca="1">IFERROR(__xludf.DUMMYFUNCTION("""COMPUTED_VALUE"""),"2023-10-027")</f>
        <v>2023-10-027</v>
      </c>
      <c r="K1428" s="164" t="str">
        <f ca="1">IFERROR(__xludf.DUMMYFUNCTION("""COMPUTED_VALUE"""),"Joyce P. Galope")</f>
        <v>Joyce P. Galope</v>
      </c>
      <c r="L1428" s="164" t="str">
        <f ca="1">IFERROR(__xludf.DUMMYFUNCTION("""COMPUTED_VALUE"""),"PBDD")</f>
        <v>PBDD</v>
      </c>
      <c r="M1428" s="164" t="str">
        <f ca="1">IFERROR(__xludf.DUMMYFUNCTION("""COMPUTED_VALUE"""),"SERVICEABLE")</f>
        <v>SERVICEABLE</v>
      </c>
      <c r="N1428" s="164"/>
    </row>
    <row r="1429" spans="1:14" ht="13.2" hidden="1">
      <c r="A1429" s="164" t="str">
        <f ca="1">IFERROR(__xludf.DUMMYFUNCTION("""COMPUTED_VALUE"""),"Region III")</f>
        <v>Region III</v>
      </c>
      <c r="B1429" s="164" t="str">
        <f ca="1">IFERROR(__xludf.DUMMYFUNCTION("""COMPUTED_VALUE"""),"Aurora")</f>
        <v>Aurora</v>
      </c>
      <c r="C1429" s="164" t="str">
        <f ca="1">IFERROR(__xludf.DUMMYFUNCTION("""COMPUTED_VALUE"""),"Desktop Computer – (HP Pro SFF 280G9)")</f>
        <v>Desktop Computer – (HP Pro SFF 280G9)</v>
      </c>
      <c r="D1429" s="164" t="str">
        <f ca="1">IFERROR(__xludf.DUMMYFUNCTION("""COMPUTED_VALUE"""),"₱ 78,898.00")</f>
        <v>₱ 78,898.00</v>
      </c>
      <c r="E1429" s="164" t="str">
        <f ca="1">IFERROR(__xludf.DUMMYFUNCTION("""COMPUTED_VALUE"""),"₱-")</f>
        <v>₱-</v>
      </c>
      <c r="F1429" s="164" t="str">
        <f ca="1">IFERROR(__xludf.DUMMYFUNCTION("""COMPUTED_VALUE"""),"2023-05-03-10201SP317 -01")</f>
        <v>2023-05-03-10201SP317 -01</v>
      </c>
      <c r="G1429" s="164" t="str">
        <f ca="1">IFERROR(__xludf.DUMMYFUNCTION("""COMPUTED_VALUE"""),"4CE301DH4W")</f>
        <v>4CE301DH4W</v>
      </c>
      <c r="H1429" s="164" t="str">
        <f ca="1">IFERROR(__xludf.DUMMYFUNCTION("""COMPUTED_VALUE"""),"ROSSANA P. ESPERANZA")</f>
        <v>ROSSANA P. ESPERANZA</v>
      </c>
      <c r="I1429" s="164" t="str">
        <f ca="1">IFERROR(__xludf.DUMMYFUNCTION("""COMPUTED_VALUE"""),"AO IV/GS HEAD")</f>
        <v>AO IV/GS HEAD</v>
      </c>
      <c r="J1429" s="164" t="str">
        <f ca="1">IFERROR(__xludf.DUMMYFUNCTION("""COMPUTED_VALUE"""),"2023-10-025")</f>
        <v>2023-10-025</v>
      </c>
      <c r="K1429" s="164" t="str">
        <f ca="1">IFERROR(__xludf.DUMMYFUNCTION("""COMPUTED_VALUE"""),"SPLIT Support Staff")</f>
        <v>SPLIT Support Staff</v>
      </c>
      <c r="L1429" s="164" t="str">
        <f ca="1">IFERROR(__xludf.DUMMYFUNCTION("""COMPUTED_VALUE"""),"STOD")</f>
        <v>STOD</v>
      </c>
      <c r="M1429" s="164" t="str">
        <f ca="1">IFERROR(__xludf.DUMMYFUNCTION("""COMPUTED_VALUE"""),"SERVICEABLE")</f>
        <v>SERVICEABLE</v>
      </c>
      <c r="N1429" s="164"/>
    </row>
    <row r="1430" spans="1:14" ht="13.2" hidden="1">
      <c r="A1430" s="164" t="str">
        <f ca="1">IFERROR(__xludf.DUMMYFUNCTION("""COMPUTED_VALUE"""),"Region III")</f>
        <v>Region III</v>
      </c>
      <c r="B1430" s="164" t="str">
        <f ca="1">IFERROR(__xludf.DUMMYFUNCTION("""COMPUTED_VALUE"""),"Aurora")</f>
        <v>Aurora</v>
      </c>
      <c r="C1430" s="164" t="str">
        <f ca="1">IFERROR(__xludf.DUMMYFUNCTION("""COMPUTED_VALUE"""),"Desktop Computer – (HP Pro SFF 280G9)")</f>
        <v>Desktop Computer – (HP Pro SFF 280G9)</v>
      </c>
      <c r="D1430" s="164" t="str">
        <f ca="1">IFERROR(__xludf.DUMMYFUNCTION("""COMPUTED_VALUE"""),"₱ 78,898.00")</f>
        <v>₱ 78,898.00</v>
      </c>
      <c r="E1430" s="164" t="str">
        <f ca="1">IFERROR(__xludf.DUMMYFUNCTION("""COMPUTED_VALUE"""),"₱-")</f>
        <v>₱-</v>
      </c>
      <c r="F1430" s="164" t="str">
        <f ca="1">IFERROR(__xludf.DUMMYFUNCTION("""COMPUTED_VALUE"""),"2023-05-03-10201SP318-01")</f>
        <v>2023-05-03-10201SP318-01</v>
      </c>
      <c r="G1430" s="164" t="str">
        <f ca="1">IFERROR(__xludf.DUMMYFUNCTION("""COMPUTED_VALUE"""),"4CE301DH7Q")</f>
        <v>4CE301DH7Q</v>
      </c>
      <c r="H1430" s="164" t="str">
        <f ca="1">IFERROR(__xludf.DUMMYFUNCTION("""COMPUTED_VALUE"""),"MELISSA ESPINOSA-GUMPENG")</f>
        <v>MELISSA ESPINOSA-GUMPENG</v>
      </c>
      <c r="I1430" s="164" t="str">
        <f ca="1">IFERROR(__xludf.DUMMYFUNCTION("""COMPUTED_VALUE"""),"ARPT/DENR/LRA-ROD Survey Coordinator")</f>
        <v>ARPT/DENR/LRA-ROD Survey Coordinator</v>
      </c>
      <c r="J1430" s="164" t="str">
        <f ca="1">IFERROR(__xludf.DUMMYFUNCTION("""COMPUTED_VALUE"""),"2023-10-024")</f>
        <v>2023-10-024</v>
      </c>
      <c r="K1430" s="164" t="str">
        <f ca="1">IFERROR(__xludf.DUMMYFUNCTION("""COMPUTED_VALUE"""),"Melissa S. Espinosa")</f>
        <v>Melissa S. Espinosa</v>
      </c>
      <c r="L1430" s="164" t="str">
        <f ca="1">IFERROR(__xludf.DUMMYFUNCTION("""COMPUTED_VALUE"""),"LTS")</f>
        <v>LTS</v>
      </c>
      <c r="M1430" s="164" t="str">
        <f ca="1">IFERROR(__xludf.DUMMYFUNCTION("""COMPUTED_VALUE"""),"SERVICEABLE")</f>
        <v>SERVICEABLE</v>
      </c>
      <c r="N1430" s="164"/>
    </row>
    <row r="1431" spans="1:14" ht="13.2" hidden="1">
      <c r="A1431" s="164" t="str">
        <f ca="1">IFERROR(__xludf.DUMMYFUNCTION("""COMPUTED_VALUE"""),"Region III")</f>
        <v>Region III</v>
      </c>
      <c r="B1431" s="164" t="str">
        <f ca="1">IFERROR(__xludf.DUMMYFUNCTION("""COMPUTED_VALUE"""),"Aurora")</f>
        <v>Aurora</v>
      </c>
      <c r="C1431" s="164" t="str">
        <f ca="1">IFERROR(__xludf.DUMMYFUNCTION("""COMPUTED_VALUE"""),"Laptop – (ACER EXTENSA EX215-55G i7)")</f>
        <v>Laptop – (ACER EXTENSA EX215-55G i7)</v>
      </c>
      <c r="D1431" s="164" t="str">
        <f ca="1">IFERROR(__xludf.DUMMYFUNCTION("""COMPUTED_VALUE"""),"₱ 59,500.00")</f>
        <v>₱ 59,500.00</v>
      </c>
      <c r="E1431" s="164" t="str">
        <f ca="1">IFERROR(__xludf.DUMMYFUNCTION("""COMPUTED_VALUE"""),"₱-")</f>
        <v>₱-</v>
      </c>
      <c r="F1431" s="164" t="str">
        <f ca="1">IFERROR(__xludf.DUMMYFUNCTION("""COMPUTED_VALUE"""),"2023-05-03-10202SP27-01")</f>
        <v>2023-05-03-10202SP27-01</v>
      </c>
      <c r="G1431" s="164" t="str">
        <f ca="1">IFERROR(__xludf.DUMMYFUNCTION("""COMPUTED_VALUE"""),"NXEGZSP00330801D233400")</f>
        <v>NXEGZSP00330801D233400</v>
      </c>
      <c r="H1431" s="164" t="str">
        <f ca="1">IFERROR(__xludf.DUMMYFUNCTION("""COMPUTED_VALUE"""),"ALAN O. IBALE")</f>
        <v>ALAN O. IBALE</v>
      </c>
      <c r="I1431" s="164" t="str">
        <f ca="1">IFERROR(__xludf.DUMMYFUNCTION("""COMPUTED_VALUE"""),"Planning Officer II/M &amp; E Coordinator")</f>
        <v>Planning Officer II/M &amp; E Coordinator</v>
      </c>
      <c r="J1431" s="164" t="str">
        <f ca="1">IFERROR(__xludf.DUMMYFUNCTION("""COMPUTED_VALUE"""),"2023-11-028")</f>
        <v>2023-11-028</v>
      </c>
      <c r="K1431" s="164" t="str">
        <f ca="1">IFERROR(__xludf.DUMMYFUNCTION("""COMPUTED_VALUE"""),"Alan O. Ibale")</f>
        <v>Alan O. Ibale</v>
      </c>
      <c r="L1431" s="164" t="str">
        <f ca="1">IFERROR(__xludf.DUMMYFUNCTION("""COMPUTED_VALUE"""),"STOD")</f>
        <v>STOD</v>
      </c>
      <c r="M1431" s="164" t="str">
        <f ca="1">IFERROR(__xludf.DUMMYFUNCTION("""COMPUTED_VALUE"""),"SERVICEABLE")</f>
        <v>SERVICEABLE</v>
      </c>
      <c r="N1431" s="164"/>
    </row>
    <row r="1432" spans="1:14" ht="13.2" hidden="1">
      <c r="A1432" s="164" t="str">
        <f ca="1">IFERROR(__xludf.DUMMYFUNCTION("""COMPUTED_VALUE"""),"Region III")</f>
        <v>Region III</v>
      </c>
      <c r="B1432" s="164" t="str">
        <f ca="1">IFERROR(__xludf.DUMMYFUNCTION("""COMPUTED_VALUE"""),"Aurora")</f>
        <v>Aurora</v>
      </c>
      <c r="C1432" s="164" t="str">
        <f ca="1">IFERROR(__xludf.DUMMYFUNCTION("""COMPUTED_VALUE"""),"Laptop – (ACER EXTENSA EX215-55G i7)")</f>
        <v>Laptop – (ACER EXTENSA EX215-55G i7)</v>
      </c>
      <c r="D1432" s="164" t="str">
        <f ca="1">IFERROR(__xludf.DUMMYFUNCTION("""COMPUTED_VALUE"""),"₱ 59,500.00")</f>
        <v>₱ 59,500.00</v>
      </c>
      <c r="E1432" s="164" t="str">
        <f ca="1">IFERROR(__xludf.DUMMYFUNCTION("""COMPUTED_VALUE"""),"₱-")</f>
        <v>₱-</v>
      </c>
      <c r="F1432" s="164" t="str">
        <f ca="1">IFERROR(__xludf.DUMMYFUNCTION("""COMPUTED_VALUE"""),"2023-05-03-10202SP144-01")</f>
        <v>2023-05-03-10202SP144-01</v>
      </c>
      <c r="G1432" s="164" t="str">
        <f ca="1">IFERROR(__xludf.DUMMYFUNCTION("""COMPUTED_VALUE"""),"NXEGZSP00330801CBE3400")</f>
        <v>NXEGZSP00330801CBE3400</v>
      </c>
      <c r="H1432" s="164" t="str">
        <f ca="1">IFERROR(__xludf.DUMMYFUNCTION("""COMPUTED_VALUE"""),"JOSEPHINE K. AGUINALDO")</f>
        <v>JOSEPHINE K. AGUINALDO</v>
      </c>
      <c r="I1432" s="164" t="str">
        <f ca="1">IFERROR(__xludf.DUMMYFUNCTION("""COMPUTED_VALUE"""),"PARPO II/Project Manager")</f>
        <v>PARPO II/Project Manager</v>
      </c>
      <c r="J1432" s="164" t="str">
        <f ca="1">IFERROR(__xludf.DUMMYFUNCTION("""COMPUTED_VALUE"""),"2023-10-023")</f>
        <v>2023-10-023</v>
      </c>
      <c r="K1432" s="164" t="str">
        <f ca="1">IFERROR(__xludf.DUMMYFUNCTION("""COMPUTED_VALUE"""),"Garland Leila A. Cuarteros")</f>
        <v>Garland Leila A. Cuarteros</v>
      </c>
      <c r="L1432" s="164" t="str">
        <f ca="1">IFERROR(__xludf.DUMMYFUNCTION("""COMPUTED_VALUE"""),"PARPO")</f>
        <v>PARPO</v>
      </c>
      <c r="M1432" s="164" t="str">
        <f ca="1">IFERROR(__xludf.DUMMYFUNCTION("""COMPUTED_VALUE"""),"SERVICEABLE")</f>
        <v>SERVICEABLE</v>
      </c>
      <c r="N1432" s="164"/>
    </row>
    <row r="1433" spans="1:14" ht="13.2" hidden="1">
      <c r="A1433" s="164" t="str">
        <f ca="1">IFERROR(__xludf.DUMMYFUNCTION("""COMPUTED_VALUE"""),"Region III")</f>
        <v>Region III</v>
      </c>
      <c r="B1433" s="164" t="str">
        <f ca="1">IFERROR(__xludf.DUMMYFUNCTION("""COMPUTED_VALUE"""),"Aurora")</f>
        <v>Aurora</v>
      </c>
      <c r="C1433" s="164" t="str">
        <f ca="1">IFERROR(__xludf.DUMMYFUNCTION("""COMPUTED_VALUE"""),"Photocopier Machine – Kyocera")</f>
        <v>Photocopier Machine – Kyocera</v>
      </c>
      <c r="D1433" s="164" t="str">
        <f ca="1">IFERROR(__xludf.DUMMYFUNCTION("""COMPUTED_VALUE"""),"₱ 84,500.00")</f>
        <v>₱ 84,500.00</v>
      </c>
      <c r="E1433" s="164" t="str">
        <f ca="1">IFERROR(__xludf.DUMMYFUNCTION("""COMPUTED_VALUE"""),"₱-")</f>
        <v>₱-</v>
      </c>
      <c r="F1433" s="164" t="str">
        <f ca="1">IFERROR(__xludf.DUMMYFUNCTION("""COMPUTED_VALUE"""),"2022-05-02-10202SP-21-01")</f>
        <v>2022-05-02-10202SP-21-01</v>
      </c>
      <c r="G1433" s="164" t="str">
        <f ca="1">IFERROR(__xludf.DUMMYFUNCTION("""COMPUTED_VALUE"""),"RNK2700174")</f>
        <v>RNK2700174</v>
      </c>
      <c r="H1433" s="164" t="str">
        <f ca="1">IFERROR(__xludf.DUMMYFUNCTION("""COMPUTED_VALUE"""),"TERESITA P. NACINO")</f>
        <v>TERESITA P. NACINO</v>
      </c>
      <c r="I1433" s="164" t="str">
        <f ca="1">IFERROR(__xludf.DUMMYFUNCTION("""COMPUTED_VALUE"""),"CBTA/Admin. and Finance Officer")</f>
        <v>CBTA/Admin. and Finance Officer</v>
      </c>
      <c r="J1433" s="164" t="str">
        <f ca="1">IFERROR(__xludf.DUMMYFUNCTION("""COMPUTED_VALUE"""),"2023-07-016")</f>
        <v>2023-07-016</v>
      </c>
      <c r="K1433" s="164" t="str">
        <f ca="1">IFERROR(__xludf.DUMMYFUNCTION("""COMPUTED_VALUE"""),"SPLIT personnel")</f>
        <v>SPLIT personnel</v>
      </c>
      <c r="L1433" s="164" t="str">
        <f ca="1">IFERROR(__xludf.DUMMYFUNCTION("""COMPUTED_VALUE"""),"DARPO Aurora")</f>
        <v>DARPO Aurora</v>
      </c>
      <c r="M1433" s="164" t="str">
        <f ca="1">IFERROR(__xludf.DUMMYFUNCTION("""COMPUTED_VALUE"""),"SERVICEABLE")</f>
        <v>SERVICEABLE</v>
      </c>
      <c r="N1433" s="164"/>
    </row>
    <row r="1434" spans="1:14" ht="13.2" hidden="1">
      <c r="A1434" s="164" t="str">
        <f ca="1">IFERROR(__xludf.DUMMYFUNCTION("""COMPUTED_VALUE"""),"Region III")</f>
        <v>Region III</v>
      </c>
      <c r="B1434" s="164" t="str">
        <f ca="1">IFERROR(__xludf.DUMMYFUNCTION("""COMPUTED_VALUE"""),"Aurora")</f>
        <v>Aurora</v>
      </c>
      <c r="C1434" s="164" t="str">
        <f ca="1">IFERROR(__xludf.DUMMYFUNCTION("""COMPUTED_VALUE"""),"A3 PRINTER (BROTHER)")</f>
        <v>A3 PRINTER (BROTHER)</v>
      </c>
      <c r="D1434" s="164" t="str">
        <f ca="1">IFERROR(__xludf.DUMMYFUNCTION("""COMPUTED_VALUE"""),"₱ 33,508.00")</f>
        <v>₱ 33,508.00</v>
      </c>
      <c r="E1434" s="164" t="str">
        <f ca="1">IFERROR(__xludf.DUMMYFUNCTION("""COMPUTED_VALUE"""),"₱-")</f>
        <v>₱-</v>
      </c>
      <c r="F1434" s="164" t="str">
        <f ca="1">IFERROR(__xludf.DUMMYFUNCTION("""COMPUTED_VALUE"""),"HV-SPLIT-102-24-05-24")</f>
        <v>HV-SPLIT-102-24-05-24</v>
      </c>
      <c r="G1434" s="164" t="str">
        <f ca="1">IFERROR(__xludf.DUMMYFUNCTION("""COMPUTED_VALUE"""),"E78947L3H871205")</f>
        <v>E78947L3H871205</v>
      </c>
      <c r="H1434" s="164" t="str">
        <f ca="1">IFERROR(__xludf.DUMMYFUNCTION("""COMPUTED_VALUE"""),"Teresita P. Nacino")</f>
        <v>Teresita P. Nacino</v>
      </c>
      <c r="I1434" s="164" t="str">
        <f ca="1">IFERROR(__xludf.DUMMYFUNCTION("""COMPUTED_VALUE"""),"Parcelization Coordinator/FVT Coordinator")</f>
        <v>Parcelization Coordinator/FVT Coordinator</v>
      </c>
      <c r="J1434" s="164" t="str">
        <f ca="1">IFERROR(__xludf.DUMMYFUNCTION("""COMPUTED_VALUE"""),"2024-03-004")</f>
        <v>2024-03-004</v>
      </c>
      <c r="K1434" s="164" t="str">
        <f ca="1">IFERROR(__xludf.DUMMYFUNCTION("""COMPUTED_VALUE"""),"DARPO SPLIT Personnel")</f>
        <v>DARPO SPLIT Personnel</v>
      </c>
      <c r="L1434" s="164" t="str">
        <f ca="1">IFERROR(__xludf.DUMMYFUNCTION("""COMPUTED_VALUE"""),"LTS")</f>
        <v>LTS</v>
      </c>
      <c r="M1434" s="164" t="str">
        <f ca="1">IFERROR(__xludf.DUMMYFUNCTION("""COMPUTED_VALUE"""),"SERVICEABLE")</f>
        <v>SERVICEABLE</v>
      </c>
      <c r="N1434" s="164"/>
    </row>
    <row r="1435" spans="1:14" ht="13.2" hidden="1">
      <c r="A1435" s="164" t="str">
        <f ca="1">IFERROR(__xludf.DUMMYFUNCTION("""COMPUTED_VALUE"""),"Region III")</f>
        <v>Region III</v>
      </c>
      <c r="B1435" s="164" t="str">
        <f ca="1">IFERROR(__xludf.DUMMYFUNCTION("""COMPUTED_VALUE"""),"Bataan")</f>
        <v>Bataan</v>
      </c>
      <c r="C1435" s="164" t="str">
        <f ca="1">IFERROR(__xludf.DUMMYFUNCTION("""COMPUTED_VALUE"""),"Desktop Computer – (Lenovo M70T)")</f>
        <v>Desktop Computer – (Lenovo M70T)</v>
      </c>
      <c r="D1435" s="164" t="str">
        <f ca="1">IFERROR(__xludf.DUMMYFUNCTION("""COMPUTED_VALUE"""),"₱ 75,468.00")</f>
        <v>₱ 75,468.00</v>
      </c>
      <c r="E1435" s="164" t="str">
        <f ca="1">IFERROR(__xludf.DUMMYFUNCTION("""COMPUTED_VALUE"""),"₱-")</f>
        <v>₱-</v>
      </c>
      <c r="F1435" s="164" t="str">
        <f ca="1">IFERROR(__xludf.DUMMYFUNCTION("""COMPUTED_VALUE"""),"2023-05-03-10201SP788-01")</f>
        <v>2023-05-03-10201SP788-01</v>
      </c>
      <c r="G1435" s="164" t="str">
        <f ca="1">IFERROR(__xludf.DUMMYFUNCTION("""COMPUTED_VALUE"""),"1S11T5S16200GM041B1T")</f>
        <v>1S11T5S16200GM041B1T</v>
      </c>
      <c r="H1435" s="164" t="str">
        <f ca="1">IFERROR(__xludf.DUMMYFUNCTION("""COMPUTED_VALUE"""),"Benedick C. De Mesa")</f>
        <v>Benedick C. De Mesa</v>
      </c>
      <c r="I1435" s="164" t="str">
        <f ca="1">IFERROR(__xludf.DUMMYFUNCTION("""COMPUTED_VALUE"""),"ARPO II")</f>
        <v>ARPO II</v>
      </c>
      <c r="J1435" s="164" t="str">
        <f ca="1">IFERROR(__xludf.DUMMYFUNCTION("""COMPUTED_VALUE"""),"SPLIT-2023-05-004")</f>
        <v>SPLIT-2023-05-004</v>
      </c>
      <c r="K1435" s="164" t="str">
        <f ca="1">IFERROR(__xludf.DUMMYFUNCTION("""COMPUTED_VALUE"""),"Benedick C. De Mesa")</f>
        <v>Benedick C. De Mesa</v>
      </c>
      <c r="L1435" s="164" t="str">
        <f ca="1">IFERROR(__xludf.DUMMYFUNCTION("""COMPUTED_VALUE"""),"LTSP")</f>
        <v>LTSP</v>
      </c>
      <c r="M1435" s="164" t="str">
        <f ca="1">IFERROR(__xludf.DUMMYFUNCTION("""COMPUTED_VALUE"""),"SERVICEABLE")</f>
        <v>SERVICEABLE</v>
      </c>
      <c r="N1435" s="164" t="str">
        <f ca="1">IFERROR(__xludf.DUMMYFUNCTION("""COMPUTED_VALUE"""),"UPS")</f>
        <v>UPS</v>
      </c>
    </row>
    <row r="1436" spans="1:14" ht="13.2" hidden="1">
      <c r="A1436" s="164" t="str">
        <f ca="1">IFERROR(__xludf.DUMMYFUNCTION("""COMPUTED_VALUE"""),"Region III")</f>
        <v>Region III</v>
      </c>
      <c r="B1436" s="164" t="str">
        <f ca="1">IFERROR(__xludf.DUMMYFUNCTION("""COMPUTED_VALUE"""),"Bataan")</f>
        <v>Bataan</v>
      </c>
      <c r="C1436" s="164" t="str">
        <f ca="1">IFERROR(__xludf.DUMMYFUNCTION("""COMPUTED_VALUE"""),"Desktop Computer – (Lenovo M70T)")</f>
        <v>Desktop Computer – (Lenovo M70T)</v>
      </c>
      <c r="D1436" s="164" t="str">
        <f ca="1">IFERROR(__xludf.DUMMYFUNCTION("""COMPUTED_VALUE"""),"₱ 75,468.00")</f>
        <v>₱ 75,468.00</v>
      </c>
      <c r="E1436" s="164" t="str">
        <f ca="1">IFERROR(__xludf.DUMMYFUNCTION("""COMPUTED_VALUE"""),"₱-")</f>
        <v>₱-</v>
      </c>
      <c r="F1436" s="164" t="str">
        <f ca="1">IFERROR(__xludf.DUMMYFUNCTION("""COMPUTED_VALUE"""),"2023-05-03-10201SP789-01")</f>
        <v>2023-05-03-10201SP789-01</v>
      </c>
      <c r="G1436" s="164" t="str">
        <f ca="1">IFERROR(__xludf.DUMMYFUNCTION("""COMPUTED_VALUE"""),"1S11T5S16200GM041AP2")</f>
        <v>1S11T5S16200GM041AP2</v>
      </c>
      <c r="H1436" s="164" t="str">
        <f ca="1">IFERROR(__xludf.DUMMYFUNCTION("""COMPUTED_VALUE"""),"Norma C. Lagman")</f>
        <v>Norma C. Lagman</v>
      </c>
      <c r="I1436" s="164" t="str">
        <f ca="1">IFERROR(__xludf.DUMMYFUNCTION("""COMPUTED_VALUE"""),"ARPO II")</f>
        <v>ARPO II</v>
      </c>
      <c r="J1436" s="164" t="str">
        <f ca="1">IFERROR(__xludf.DUMMYFUNCTION("""COMPUTED_VALUE"""),"SPLIT-2023-05-005")</f>
        <v>SPLIT-2023-05-005</v>
      </c>
      <c r="K1436" s="164" t="str">
        <f ca="1">IFERROR(__xludf.DUMMYFUNCTION("""COMPUTED_VALUE"""),"Norma C. Lagman")</f>
        <v>Norma C. Lagman</v>
      </c>
      <c r="L1436" s="164" t="str">
        <f ca="1">IFERROR(__xludf.DUMMYFUNCTION("""COMPUTED_VALUE"""),"LTSP")</f>
        <v>LTSP</v>
      </c>
      <c r="M1436" s="164" t="str">
        <f ca="1">IFERROR(__xludf.DUMMYFUNCTION("""COMPUTED_VALUE"""),"SERVICEABLE")</f>
        <v>SERVICEABLE</v>
      </c>
      <c r="N1436" s="164"/>
    </row>
    <row r="1437" spans="1:14" ht="13.2" hidden="1">
      <c r="A1437" s="164" t="str">
        <f ca="1">IFERROR(__xludf.DUMMYFUNCTION("""COMPUTED_VALUE"""),"Region III")</f>
        <v>Region III</v>
      </c>
      <c r="B1437" s="164" t="str">
        <f ca="1">IFERROR(__xludf.DUMMYFUNCTION("""COMPUTED_VALUE"""),"Bataan")</f>
        <v>Bataan</v>
      </c>
      <c r="C1437" s="164" t="str">
        <f ca="1">IFERROR(__xludf.DUMMYFUNCTION("""COMPUTED_VALUE"""),"Desktop Computer – (Lenovo M70T)")</f>
        <v>Desktop Computer – (Lenovo M70T)</v>
      </c>
      <c r="D1437" s="164" t="str">
        <f ca="1">IFERROR(__xludf.DUMMYFUNCTION("""COMPUTED_VALUE"""),"₱ 75,468.00")</f>
        <v>₱ 75,468.00</v>
      </c>
      <c r="E1437" s="164" t="str">
        <f ca="1">IFERROR(__xludf.DUMMYFUNCTION("""COMPUTED_VALUE"""),"₱-")</f>
        <v>₱-</v>
      </c>
      <c r="F1437" s="164" t="str">
        <f ca="1">IFERROR(__xludf.DUMMYFUNCTION("""COMPUTED_VALUE"""),"2023-05-03-10201SP790-01")</f>
        <v>2023-05-03-10201SP790-01</v>
      </c>
      <c r="G1437" s="164" t="str">
        <f ca="1">IFERROR(__xludf.DUMMYFUNCTION("""COMPUTED_VALUE"""),"1S11T5S16200GM041AP6")</f>
        <v>1S11T5S16200GM041AP6</v>
      </c>
      <c r="H1437" s="164" t="str">
        <f ca="1">IFERROR(__xludf.DUMMYFUNCTION("""COMPUTED_VALUE"""),"Aira Elaine Dabu")</f>
        <v>Aira Elaine Dabu</v>
      </c>
      <c r="I1437" s="164" t="str">
        <f ca="1">IFERROR(__xludf.DUMMYFUNCTION("""COMPUTED_VALUE"""),"ARPT")</f>
        <v>ARPT</v>
      </c>
      <c r="J1437" s="164" t="str">
        <f ca="1">IFERROR(__xludf.DUMMYFUNCTION("""COMPUTED_VALUE"""),"SPLIT-2023-05-006")</f>
        <v>SPLIT-2023-05-006</v>
      </c>
      <c r="K1437" s="164" t="str">
        <f ca="1">IFERROR(__xludf.DUMMYFUNCTION("""COMPUTED_VALUE"""),"Aira Elaine Dabu")</f>
        <v>Aira Elaine Dabu</v>
      </c>
      <c r="L1437" s="164" t="str">
        <f ca="1">IFERROR(__xludf.DUMMYFUNCTION("""COMPUTED_VALUE"""),"LTSP")</f>
        <v>LTSP</v>
      </c>
      <c r="M1437" s="164" t="str">
        <f ca="1">IFERROR(__xludf.DUMMYFUNCTION("""COMPUTED_VALUE"""),"SERVICEABLE")</f>
        <v>SERVICEABLE</v>
      </c>
      <c r="N1437" s="164" t="str">
        <f ca="1">IFERROR(__xludf.DUMMYFUNCTION("""COMPUTED_VALUE"""),"CPU (Hang)")</f>
        <v>CPU (Hang)</v>
      </c>
    </row>
    <row r="1438" spans="1:14" ht="13.2" hidden="1">
      <c r="A1438" s="164" t="str">
        <f ca="1">IFERROR(__xludf.DUMMYFUNCTION("""COMPUTED_VALUE"""),"Region III")</f>
        <v>Region III</v>
      </c>
      <c r="B1438" s="164" t="str">
        <f ca="1">IFERROR(__xludf.DUMMYFUNCTION("""COMPUTED_VALUE"""),"Bataan")</f>
        <v>Bataan</v>
      </c>
      <c r="C1438" s="164" t="str">
        <f ca="1">IFERROR(__xludf.DUMMYFUNCTION("""COMPUTED_VALUE"""),"Desktop Computer – (Lenovo M70T)")</f>
        <v>Desktop Computer – (Lenovo M70T)</v>
      </c>
      <c r="D1438" s="164" t="str">
        <f ca="1">IFERROR(__xludf.DUMMYFUNCTION("""COMPUTED_VALUE"""),"₱ 75,468.00")</f>
        <v>₱ 75,468.00</v>
      </c>
      <c r="E1438" s="164" t="str">
        <f ca="1">IFERROR(__xludf.DUMMYFUNCTION("""COMPUTED_VALUE"""),"₱-")</f>
        <v>₱-</v>
      </c>
      <c r="F1438" s="164" t="str">
        <f ca="1">IFERROR(__xludf.DUMMYFUNCTION("""COMPUTED_VALUE"""),"2023-05-03-10201SP791-01")</f>
        <v>2023-05-03-10201SP791-01</v>
      </c>
      <c r="G1438" s="164" t="str">
        <f ca="1">IFERROR(__xludf.DUMMYFUNCTION("""COMPUTED_VALUE"""),"1S11T5S16200GM041B78")</f>
        <v>1S11T5S16200GM041B78</v>
      </c>
      <c r="H1438" s="164" t="str">
        <f ca="1">IFERROR(__xludf.DUMMYFUNCTION("""COMPUTED_VALUE"""),"Jose Jaime De Jesus")</f>
        <v>Jose Jaime De Jesus</v>
      </c>
      <c r="I1438" s="164" t="str">
        <f ca="1">IFERROR(__xludf.DUMMYFUNCTION("""COMPUTED_VALUE"""),"ARPO I")</f>
        <v>ARPO I</v>
      </c>
      <c r="J1438" s="164" t="str">
        <f ca="1">IFERROR(__xludf.DUMMYFUNCTION("""COMPUTED_VALUE"""),"SPLIT-2023-05-007")</f>
        <v>SPLIT-2023-05-007</v>
      </c>
      <c r="K1438" s="164" t="str">
        <f ca="1">IFERROR(__xludf.DUMMYFUNCTION("""COMPUTED_VALUE"""),"Jose Jaime De Jesus")</f>
        <v>Jose Jaime De Jesus</v>
      </c>
      <c r="L1438" s="164" t="str">
        <f ca="1">IFERROR(__xludf.DUMMYFUNCTION("""COMPUTED_VALUE"""),"LTSP")</f>
        <v>LTSP</v>
      </c>
      <c r="M1438" s="164" t="str">
        <f ca="1">IFERROR(__xludf.DUMMYFUNCTION("""COMPUTED_VALUE"""),"SERVICEABLE")</f>
        <v>SERVICEABLE</v>
      </c>
      <c r="N1438" s="164"/>
    </row>
    <row r="1439" spans="1:14" ht="13.2" hidden="1">
      <c r="A1439" s="164" t="str">
        <f ca="1">IFERROR(__xludf.DUMMYFUNCTION("""COMPUTED_VALUE"""),"Region III")</f>
        <v>Region III</v>
      </c>
      <c r="B1439" s="164" t="str">
        <f ca="1">IFERROR(__xludf.DUMMYFUNCTION("""COMPUTED_VALUE"""),"Bataan")</f>
        <v>Bataan</v>
      </c>
      <c r="C1439" s="164" t="str">
        <f ca="1">IFERROR(__xludf.DUMMYFUNCTION("""COMPUTED_VALUE"""),"Desktop Computer – (Lenovo M70T)")</f>
        <v>Desktop Computer – (Lenovo M70T)</v>
      </c>
      <c r="D1439" s="164" t="str">
        <f ca="1">IFERROR(__xludf.DUMMYFUNCTION("""COMPUTED_VALUE"""),"₱ 75,468.00")</f>
        <v>₱ 75,468.00</v>
      </c>
      <c r="E1439" s="164" t="str">
        <f ca="1">IFERROR(__xludf.DUMMYFUNCTION("""COMPUTED_VALUE"""),"₱-")</f>
        <v>₱-</v>
      </c>
      <c r="F1439" s="164" t="str">
        <f ca="1">IFERROR(__xludf.DUMMYFUNCTION("""COMPUTED_VALUE"""),"2023-05-03-10201SP792-01")</f>
        <v>2023-05-03-10201SP792-01</v>
      </c>
      <c r="G1439" s="164" t="str">
        <f ca="1">IFERROR(__xludf.DUMMYFUNCTION("""COMPUTED_VALUE"""),"1S11T5S16200GM041AQ0")</f>
        <v>1S11T5S16200GM041AQ0</v>
      </c>
      <c r="H1439" s="164" t="str">
        <f ca="1">IFERROR(__xludf.DUMMYFUNCTION("""COMPUTED_VALUE"""),"Edwin W. Mina")</f>
        <v>Edwin W. Mina</v>
      </c>
      <c r="I1439" s="164" t="str">
        <f ca="1">IFERROR(__xludf.DUMMYFUNCTION("""COMPUTED_VALUE"""),"ADMIN AIDE VI")</f>
        <v>ADMIN AIDE VI</v>
      </c>
      <c r="J1439" s="164" t="str">
        <f ca="1">IFERROR(__xludf.DUMMYFUNCTION("""COMPUTED_VALUE"""),"SPLIT-2023-05-008")</f>
        <v>SPLIT-2023-05-008</v>
      </c>
      <c r="K1439" s="164" t="str">
        <f ca="1">IFERROR(__xludf.DUMMYFUNCTION("""COMPUTED_VALUE"""),"Edwin W. Mina")</f>
        <v>Edwin W. Mina</v>
      </c>
      <c r="L1439" s="164" t="str">
        <f ca="1">IFERROR(__xludf.DUMMYFUNCTION("""COMPUTED_VALUE"""),"LEGAL")</f>
        <v>LEGAL</v>
      </c>
      <c r="M1439" s="164" t="str">
        <f ca="1">IFERROR(__xludf.DUMMYFUNCTION("""COMPUTED_VALUE"""),"SERVICEABLE")</f>
        <v>SERVICEABLE</v>
      </c>
      <c r="N1439" s="164"/>
    </row>
    <row r="1440" spans="1:14" ht="13.2" hidden="1">
      <c r="A1440" s="164" t="str">
        <f ca="1">IFERROR(__xludf.DUMMYFUNCTION("""COMPUTED_VALUE"""),"Region III")</f>
        <v>Region III</v>
      </c>
      <c r="B1440" s="164" t="str">
        <f ca="1">IFERROR(__xludf.DUMMYFUNCTION("""COMPUTED_VALUE"""),"Bataan")</f>
        <v>Bataan</v>
      </c>
      <c r="C1440" s="164" t="str">
        <f ca="1">IFERROR(__xludf.DUMMYFUNCTION("""COMPUTED_VALUE"""),"Desktop Computer – (Lenovo M70T)")</f>
        <v>Desktop Computer – (Lenovo M70T)</v>
      </c>
      <c r="D1440" s="164" t="str">
        <f ca="1">IFERROR(__xludf.DUMMYFUNCTION("""COMPUTED_VALUE"""),"₱ 75,468.00")</f>
        <v>₱ 75,468.00</v>
      </c>
      <c r="E1440" s="164" t="str">
        <f ca="1">IFERROR(__xludf.DUMMYFUNCTION("""COMPUTED_VALUE"""),"₱-")</f>
        <v>₱-</v>
      </c>
      <c r="F1440" s="164" t="str">
        <f ca="1">IFERROR(__xludf.DUMMYFUNCTION("""COMPUTED_VALUE"""),"2023-05-03-10201SP793-01")</f>
        <v>2023-05-03-10201SP793-01</v>
      </c>
      <c r="G1440" s="164" t="str">
        <f ca="1">IFERROR(__xludf.DUMMYFUNCTION("""COMPUTED_VALUE"""),"1S11T5S16200GM041ANY")</f>
        <v>1S11T5S16200GM041ANY</v>
      </c>
      <c r="H1440" s="164" t="str">
        <f ca="1">IFERROR(__xludf.DUMMYFUNCTION("""COMPUTED_VALUE"""),"Mercedita A. Lazaro")</f>
        <v>Mercedita A. Lazaro</v>
      </c>
      <c r="I1440" s="164" t="str">
        <f ca="1">IFERROR(__xludf.DUMMYFUNCTION("""COMPUTED_VALUE"""),"AO IV")</f>
        <v>AO IV</v>
      </c>
      <c r="J1440" s="164" t="str">
        <f ca="1">IFERROR(__xludf.DUMMYFUNCTION("""COMPUTED_VALUE"""),"SPLIT-2023-05-009")</f>
        <v>SPLIT-2023-05-009</v>
      </c>
      <c r="K1440" s="164" t="str">
        <f ca="1">IFERROR(__xludf.DUMMYFUNCTION("""COMPUTED_VALUE"""),"Mercedita A. Lazaro")</f>
        <v>Mercedita A. Lazaro</v>
      </c>
      <c r="L1440" s="164" t="str">
        <f ca="1">IFERROR(__xludf.DUMMYFUNCTION("""COMPUTED_VALUE"""),"STOD")</f>
        <v>STOD</v>
      </c>
      <c r="M1440" s="164" t="str">
        <f ca="1">IFERROR(__xludf.DUMMYFUNCTION("""COMPUTED_VALUE"""),"SERVICEABLE")</f>
        <v>SERVICEABLE</v>
      </c>
      <c r="N1440" s="164" t="str">
        <f ca="1">IFERROR(__xludf.DUMMYFUNCTION("""COMPUTED_VALUE"""),"UPS")</f>
        <v>UPS</v>
      </c>
    </row>
    <row r="1441" spans="1:14" ht="13.2" hidden="1">
      <c r="A1441" s="164" t="str">
        <f ca="1">IFERROR(__xludf.DUMMYFUNCTION("""COMPUTED_VALUE"""),"Region III")</f>
        <v>Region III</v>
      </c>
      <c r="B1441" s="164" t="str">
        <f ca="1">IFERROR(__xludf.DUMMYFUNCTION("""COMPUTED_VALUE"""),"Bataan")</f>
        <v>Bataan</v>
      </c>
      <c r="C1441" s="164" t="str">
        <f ca="1">IFERROR(__xludf.DUMMYFUNCTION("""COMPUTED_VALUE"""),"Desktop Computer – (Lenovo M70T)")</f>
        <v>Desktop Computer – (Lenovo M70T)</v>
      </c>
      <c r="D1441" s="164" t="str">
        <f ca="1">IFERROR(__xludf.DUMMYFUNCTION("""COMPUTED_VALUE"""),"₱ 75,468.00")</f>
        <v>₱ 75,468.00</v>
      </c>
      <c r="E1441" s="164" t="str">
        <f ca="1">IFERROR(__xludf.DUMMYFUNCTION("""COMPUTED_VALUE"""),"₱-")</f>
        <v>₱-</v>
      </c>
      <c r="F1441" s="164" t="str">
        <f ca="1">IFERROR(__xludf.DUMMYFUNCTION("""COMPUTED_VALUE"""),"2023-05-03-10201SP794-01")</f>
        <v>2023-05-03-10201SP794-01</v>
      </c>
      <c r="G1441" s="164" t="str">
        <f ca="1">IFERROR(__xludf.DUMMYFUNCTION("""COMPUTED_VALUE"""),"1S11T5S16200GM041AXV")</f>
        <v>1S11T5S16200GM041AXV</v>
      </c>
      <c r="H1441" s="164" t="str">
        <f ca="1">IFERROR(__xludf.DUMMYFUNCTION("""COMPUTED_VALUE"""),"Margie P. Jaring")</f>
        <v>Margie P. Jaring</v>
      </c>
      <c r="I1441" s="164" t="str">
        <f ca="1">IFERROR(__xludf.DUMMYFUNCTION("""COMPUTED_VALUE"""),"ACCOUNTANT II")</f>
        <v>ACCOUNTANT II</v>
      </c>
      <c r="J1441" s="164" t="str">
        <f ca="1">IFERROR(__xludf.DUMMYFUNCTION("""COMPUTED_VALUE"""),"SPLIT-2023-05-010")</f>
        <v>SPLIT-2023-05-010</v>
      </c>
      <c r="K1441" s="164" t="str">
        <f ca="1">IFERROR(__xludf.DUMMYFUNCTION("""COMPUTED_VALUE"""),"Margie P. Jaring")</f>
        <v>Margie P. Jaring</v>
      </c>
      <c r="L1441" s="164" t="str">
        <f ca="1">IFERROR(__xludf.DUMMYFUNCTION("""COMPUTED_VALUE"""),"STOD")</f>
        <v>STOD</v>
      </c>
      <c r="M1441" s="164" t="str">
        <f ca="1">IFERROR(__xludf.DUMMYFUNCTION("""COMPUTED_VALUE"""),"SERVICEABLE")</f>
        <v>SERVICEABLE</v>
      </c>
      <c r="N1441" s="164"/>
    </row>
    <row r="1442" spans="1:14" ht="13.2" hidden="1">
      <c r="A1442" s="164" t="str">
        <f ca="1">IFERROR(__xludf.DUMMYFUNCTION("""COMPUTED_VALUE"""),"Region III")</f>
        <v>Region III</v>
      </c>
      <c r="B1442" s="164" t="str">
        <f ca="1">IFERROR(__xludf.DUMMYFUNCTION("""COMPUTED_VALUE"""),"Bataan")</f>
        <v>Bataan</v>
      </c>
      <c r="C1442" s="164" t="str">
        <f ca="1">IFERROR(__xludf.DUMMYFUNCTION("""COMPUTED_VALUE"""),"Desktop Computer – (Lenovo M70T)")</f>
        <v>Desktop Computer – (Lenovo M70T)</v>
      </c>
      <c r="D1442" s="164" t="str">
        <f ca="1">IFERROR(__xludf.DUMMYFUNCTION("""COMPUTED_VALUE"""),"₱ 75,468.00")</f>
        <v>₱ 75,468.00</v>
      </c>
      <c r="E1442" s="164" t="str">
        <f ca="1">IFERROR(__xludf.DUMMYFUNCTION("""COMPUTED_VALUE"""),"₱-")</f>
        <v>₱-</v>
      </c>
      <c r="F1442" s="164" t="str">
        <f ca="1">IFERROR(__xludf.DUMMYFUNCTION("""COMPUTED_VALUE"""),"2023-05-03-10201SP795-01")</f>
        <v>2023-05-03-10201SP795-01</v>
      </c>
      <c r="G1442" s="164" t="str">
        <f ca="1">IFERROR(__xludf.DUMMYFUNCTION("""COMPUTED_VALUE"""),"1S11T5S16200GM041AXN")</f>
        <v>1S11T5S16200GM041AXN</v>
      </c>
      <c r="H1442" s="164" t="str">
        <f ca="1">IFERROR(__xludf.DUMMYFUNCTION("""COMPUTED_VALUE"""),"Edna M. Ronquillo")</f>
        <v>Edna M. Ronquillo</v>
      </c>
      <c r="I1442" s="164" t="str">
        <f ca="1">IFERROR(__xludf.DUMMYFUNCTION("""COMPUTED_VALUE"""),"CASHIER")</f>
        <v>CASHIER</v>
      </c>
      <c r="J1442" s="164" t="str">
        <f ca="1">IFERROR(__xludf.DUMMYFUNCTION("""COMPUTED_VALUE"""),"SPLIT-2023-05-011")</f>
        <v>SPLIT-2023-05-011</v>
      </c>
      <c r="K1442" s="164" t="str">
        <f ca="1">IFERROR(__xludf.DUMMYFUNCTION("""COMPUTED_VALUE"""),"Edna M. Ronquillo")</f>
        <v>Edna M. Ronquillo</v>
      </c>
      <c r="L1442" s="164" t="str">
        <f ca="1">IFERROR(__xludf.DUMMYFUNCTION("""COMPUTED_VALUE"""),"STOD")</f>
        <v>STOD</v>
      </c>
      <c r="M1442" s="164" t="str">
        <f ca="1">IFERROR(__xludf.DUMMYFUNCTION("""COMPUTED_VALUE"""),"SERVICEABLE")</f>
        <v>SERVICEABLE</v>
      </c>
      <c r="N1442" s="164"/>
    </row>
    <row r="1443" spans="1:14" ht="13.2" hidden="1">
      <c r="A1443" s="164" t="str">
        <f ca="1">IFERROR(__xludf.DUMMYFUNCTION("""COMPUTED_VALUE"""),"Region III")</f>
        <v>Region III</v>
      </c>
      <c r="B1443" s="164" t="str">
        <f ca="1">IFERROR(__xludf.DUMMYFUNCTION("""COMPUTED_VALUE"""),"Bataan")</f>
        <v>Bataan</v>
      </c>
      <c r="C1443" s="164" t="str">
        <f ca="1">IFERROR(__xludf.DUMMYFUNCTION("""COMPUTED_VALUE"""),"Desktop Computer – (Lenovo M70T)")</f>
        <v>Desktop Computer – (Lenovo M70T)</v>
      </c>
      <c r="D1443" s="164" t="str">
        <f ca="1">IFERROR(__xludf.DUMMYFUNCTION("""COMPUTED_VALUE"""),"₱ 75,468.00")</f>
        <v>₱ 75,468.00</v>
      </c>
      <c r="E1443" s="164" t="str">
        <f ca="1">IFERROR(__xludf.DUMMYFUNCTION("""COMPUTED_VALUE"""),"₱-")</f>
        <v>₱-</v>
      </c>
      <c r="F1443" s="164" t="str">
        <f ca="1">IFERROR(__xludf.DUMMYFUNCTION("""COMPUTED_VALUE"""),"2023-05-03-10201SP796-01")</f>
        <v>2023-05-03-10201SP796-01</v>
      </c>
      <c r="G1443" s="164" t="str">
        <f ca="1">IFERROR(__xludf.DUMMYFUNCTION("""COMPUTED_VALUE"""),"1S11T5S16200GM041AP5")</f>
        <v>1S11T5S16200GM041AP5</v>
      </c>
      <c r="H1443" s="164" t="str">
        <f ca="1">IFERROR(__xludf.DUMMYFUNCTION("""COMPUTED_VALUE"""),"Gean Ariane R. Ponce")</f>
        <v>Gean Ariane R. Ponce</v>
      </c>
      <c r="I1443" s="164" t="str">
        <f ca="1">IFERROR(__xludf.DUMMYFUNCTION("""COMPUTED_VALUE"""),"ARPO I")</f>
        <v>ARPO I</v>
      </c>
      <c r="J1443" s="164" t="str">
        <f ca="1">IFERROR(__xludf.DUMMYFUNCTION("""COMPUTED_VALUE"""),"SPLIT-2023-05-012")</f>
        <v>SPLIT-2023-05-012</v>
      </c>
      <c r="K1443" s="164" t="str">
        <f ca="1">IFERROR(__xludf.DUMMYFUNCTION("""COMPUTED_VALUE"""),"Gean Ariane R. Ponce")</f>
        <v>Gean Ariane R. Ponce</v>
      </c>
      <c r="L1443" s="164" t="str">
        <f ca="1">IFERROR(__xludf.DUMMYFUNCTION("""COMPUTED_VALUE"""),"PBDD")</f>
        <v>PBDD</v>
      </c>
      <c r="M1443" s="164" t="str">
        <f ca="1">IFERROR(__xludf.DUMMYFUNCTION("""COMPUTED_VALUE"""),"SERVICEABLE")</f>
        <v>SERVICEABLE</v>
      </c>
      <c r="N1443" s="164"/>
    </row>
    <row r="1444" spans="1:14" ht="13.2" hidden="1">
      <c r="A1444" s="164" t="str">
        <f ca="1">IFERROR(__xludf.DUMMYFUNCTION("""COMPUTED_VALUE"""),"Region III")</f>
        <v>Region III</v>
      </c>
      <c r="B1444" s="164" t="str">
        <f ca="1">IFERROR(__xludf.DUMMYFUNCTION("""COMPUTED_VALUE"""),"Bataan")</f>
        <v>Bataan</v>
      </c>
      <c r="C1444" s="164" t="str">
        <f ca="1">IFERROR(__xludf.DUMMYFUNCTION("""COMPUTED_VALUE"""),"Desktop Computer – (Lenovo M70T)")</f>
        <v>Desktop Computer – (Lenovo M70T)</v>
      </c>
      <c r="D1444" s="164" t="str">
        <f ca="1">IFERROR(__xludf.DUMMYFUNCTION("""COMPUTED_VALUE"""),"₱ 75,468.00")</f>
        <v>₱ 75,468.00</v>
      </c>
      <c r="E1444" s="164" t="str">
        <f ca="1">IFERROR(__xludf.DUMMYFUNCTION("""COMPUTED_VALUE"""),"₱-")</f>
        <v>₱-</v>
      </c>
      <c r="F1444" s="164" t="str">
        <f ca="1">IFERROR(__xludf.DUMMYFUNCTION("""COMPUTED_VALUE"""),"2023-05-03-10201SP797-01")</f>
        <v>2023-05-03-10201SP797-01</v>
      </c>
      <c r="G1444" s="164" t="str">
        <f ca="1">IFERROR(__xludf.DUMMYFUNCTION("""COMPUTED_VALUE"""),"1S11T5S16200GM041B7E")</f>
        <v>1S11T5S16200GM041B7E</v>
      </c>
      <c r="H1444" s="164" t="str">
        <f ca="1">IFERROR(__xludf.DUMMYFUNCTION("""COMPUTED_VALUE"""),"April Anne Mabilanga")</f>
        <v>April Anne Mabilanga</v>
      </c>
      <c r="I1444" s="164" t="str">
        <f ca="1">IFERROR(__xludf.DUMMYFUNCTION("""COMPUTED_VALUE"""),"ARPT")</f>
        <v>ARPT</v>
      </c>
      <c r="J1444" s="164" t="str">
        <f ca="1">IFERROR(__xludf.DUMMYFUNCTION("""COMPUTED_VALUE"""),"SPLIT-2023-05-013")</f>
        <v>SPLIT-2023-05-013</v>
      </c>
      <c r="K1444" s="164" t="str">
        <f ca="1">IFERROR(__xludf.DUMMYFUNCTION("""COMPUTED_VALUE"""),"April Anne Mabilanga")</f>
        <v>April Anne Mabilanga</v>
      </c>
      <c r="L1444" s="164" t="str">
        <f ca="1">IFERROR(__xludf.DUMMYFUNCTION("""COMPUTED_VALUE"""),"PBDD")</f>
        <v>PBDD</v>
      </c>
      <c r="M1444" s="164" t="str">
        <f ca="1">IFERROR(__xludf.DUMMYFUNCTION("""COMPUTED_VALUE"""),"SERVICEABLE")</f>
        <v>SERVICEABLE</v>
      </c>
      <c r="N1444" s="164"/>
    </row>
    <row r="1445" spans="1:14" ht="13.2" hidden="1">
      <c r="A1445" s="164" t="str">
        <f ca="1">IFERROR(__xludf.DUMMYFUNCTION("""COMPUTED_VALUE"""),"Region III")</f>
        <v>Region III</v>
      </c>
      <c r="B1445" s="164" t="str">
        <f ca="1">IFERROR(__xludf.DUMMYFUNCTION("""COMPUTED_VALUE"""),"Bataan")</f>
        <v>Bataan</v>
      </c>
      <c r="C1445" s="164" t="str">
        <f ca="1">IFERROR(__xludf.DUMMYFUNCTION("""COMPUTED_VALUE"""),"Desktop Computer – (Lenovo M70T)")</f>
        <v>Desktop Computer – (Lenovo M70T)</v>
      </c>
      <c r="D1445" s="164" t="str">
        <f ca="1">IFERROR(__xludf.DUMMYFUNCTION("""COMPUTED_VALUE"""),"₱ 75,468.00")</f>
        <v>₱ 75,468.00</v>
      </c>
      <c r="E1445" s="164" t="str">
        <f ca="1">IFERROR(__xludf.DUMMYFUNCTION("""COMPUTED_VALUE"""),"₱-")</f>
        <v>₱-</v>
      </c>
      <c r="F1445" s="164" t="str">
        <f ca="1">IFERROR(__xludf.DUMMYFUNCTION("""COMPUTED_VALUE"""),"2023-05-03-10201SP798-01")</f>
        <v>2023-05-03-10201SP798-01</v>
      </c>
      <c r="G1445" s="164" t="str">
        <f ca="1">IFERROR(__xludf.DUMMYFUNCTION("""COMPUTED_VALUE"""),"1S11T5S16200GM041ASR")</f>
        <v>1S11T5S16200GM041ASR</v>
      </c>
      <c r="H1445" s="164" t="str">
        <f ca="1">IFERROR(__xludf.DUMMYFUNCTION("""COMPUTED_VALUE"""),"Eugenia B. Reyes")</f>
        <v>Eugenia B. Reyes</v>
      </c>
      <c r="I1445" s="164" t="str">
        <f ca="1">IFERROR(__xludf.DUMMYFUNCTION("""COMPUTED_VALUE"""),"ADMIN AIDE VI")</f>
        <v>ADMIN AIDE VI</v>
      </c>
      <c r="J1445" s="164" t="str">
        <f ca="1">IFERROR(__xludf.DUMMYFUNCTION("""COMPUTED_VALUE"""),"SPLIT-2023-05-014")</f>
        <v>SPLIT-2023-05-014</v>
      </c>
      <c r="K1445" s="164" t="str">
        <f ca="1">IFERROR(__xludf.DUMMYFUNCTION("""COMPUTED_VALUE"""),"Eugenia B. Reyes")</f>
        <v>Eugenia B. Reyes</v>
      </c>
      <c r="L1445" s="164" t="str">
        <f ca="1">IFERROR(__xludf.DUMMYFUNCTION("""COMPUTED_VALUE"""),"PARPO")</f>
        <v>PARPO</v>
      </c>
      <c r="M1445" s="164" t="str">
        <f ca="1">IFERROR(__xludf.DUMMYFUNCTION("""COMPUTED_VALUE"""),"SERVICEABLE")</f>
        <v>SERVICEABLE</v>
      </c>
      <c r="N1445" s="164"/>
    </row>
    <row r="1446" spans="1:14" ht="13.2" hidden="1">
      <c r="A1446" s="164" t="str">
        <f ca="1">IFERROR(__xludf.DUMMYFUNCTION("""COMPUTED_VALUE"""),"Region III")</f>
        <v>Region III</v>
      </c>
      <c r="B1446" s="164" t="str">
        <f ca="1">IFERROR(__xludf.DUMMYFUNCTION("""COMPUTED_VALUE"""),"Bataan")</f>
        <v>Bataan</v>
      </c>
      <c r="C1446" s="164" t="str">
        <f ca="1">IFERROR(__xludf.DUMMYFUNCTION("""COMPUTED_VALUE"""),"Laptop – (ACER EXTENSA EX215-55G i7)")</f>
        <v>Laptop – (ACER EXTENSA EX215-55G i7)</v>
      </c>
      <c r="D1446" s="164" t="str">
        <f ca="1">IFERROR(__xludf.DUMMYFUNCTION("""COMPUTED_VALUE"""),"₱ 59,500.00")</f>
        <v>₱ 59,500.00</v>
      </c>
      <c r="E1446" s="164" t="str">
        <f ca="1">IFERROR(__xludf.DUMMYFUNCTION("""COMPUTED_VALUE"""),"₱-")</f>
        <v>₱-</v>
      </c>
      <c r="F1446" s="164" t="str">
        <f ca="1">IFERROR(__xludf.DUMMYFUNCTION("""COMPUTED_VALUE"""),"2023-05-03-10202SP145-01")</f>
        <v>2023-05-03-10202SP145-01</v>
      </c>
      <c r="G1446" s="164"/>
      <c r="H1446" s="164" t="str">
        <f ca="1">IFERROR(__xludf.DUMMYFUNCTION("""COMPUTED_VALUE"""),"Dina Manalang")</f>
        <v>Dina Manalang</v>
      </c>
      <c r="I1446" s="164" t="str">
        <f ca="1">IFERROR(__xludf.DUMMYFUNCTION("""COMPUTED_VALUE"""),"ARPO I")</f>
        <v>ARPO I</v>
      </c>
      <c r="J1446" s="164" t="str">
        <f ca="1">IFERROR(__xludf.DUMMYFUNCTION("""COMPUTED_VALUE"""),"DBP-LAPTOP-2023-001")</f>
        <v>DBP-LAPTOP-2023-001</v>
      </c>
      <c r="K1446" s="164" t="str">
        <f ca="1">IFERROR(__xludf.DUMMYFUNCTION("""COMPUTED_VALUE"""),"MARVIN MANALO")</f>
        <v>MARVIN MANALO</v>
      </c>
      <c r="L1446" s="164" t="str">
        <f ca="1">IFERROR(__xludf.DUMMYFUNCTION("""COMPUTED_VALUE"""),"STOD")</f>
        <v>STOD</v>
      </c>
      <c r="M1446" s="164" t="str">
        <f ca="1">IFERROR(__xludf.DUMMYFUNCTION("""COMPUTED_VALUE"""),"SERVICEABLE")</f>
        <v>SERVICEABLE</v>
      </c>
      <c r="N1446" s="164"/>
    </row>
    <row r="1447" spans="1:14" ht="13.2" hidden="1">
      <c r="A1447" s="164" t="str">
        <f ca="1">IFERROR(__xludf.DUMMYFUNCTION("""COMPUTED_VALUE"""),"Region III")</f>
        <v>Region III</v>
      </c>
      <c r="B1447" s="164" t="str">
        <f ca="1">IFERROR(__xludf.DUMMYFUNCTION("""COMPUTED_VALUE"""),"Bataan")</f>
        <v>Bataan</v>
      </c>
      <c r="C1447" s="164" t="str">
        <f ca="1">IFERROR(__xludf.DUMMYFUNCTION("""COMPUTED_VALUE"""),"Laptop – (ACER EXTENSA EX215-55G i7)")</f>
        <v>Laptop – (ACER EXTENSA EX215-55G i7)</v>
      </c>
      <c r="D1447" s="164" t="str">
        <f ca="1">IFERROR(__xludf.DUMMYFUNCTION("""COMPUTED_VALUE"""),"₱ 59,500.00")</f>
        <v>₱ 59,500.00</v>
      </c>
      <c r="E1447" s="164" t="str">
        <f ca="1">IFERROR(__xludf.DUMMYFUNCTION("""COMPUTED_VALUE"""),"₱-")</f>
        <v>₱-</v>
      </c>
      <c r="F1447" s="164" t="str">
        <f ca="1">IFERROR(__xludf.DUMMYFUNCTION("""COMPUTED_VALUE"""),"2023-05-03-10202SP23-01")</f>
        <v>2023-05-03-10202SP23-01</v>
      </c>
      <c r="G1447" s="164"/>
      <c r="H1447" s="164" t="str">
        <f ca="1">IFERROR(__xludf.DUMMYFUNCTION("""COMPUTED_VALUE"""),"Cheryll Pedralvez")</f>
        <v>Cheryll Pedralvez</v>
      </c>
      <c r="I1447" s="164" t="str">
        <f ca="1">IFERROR(__xludf.DUMMYFUNCTION("""COMPUTED_VALUE"""),"ARPO I")</f>
        <v>ARPO I</v>
      </c>
      <c r="J1447" s="164" t="str">
        <f ca="1">IFERROR(__xludf.DUMMYFUNCTION("""COMPUTED_VALUE"""),"DBP-LAPTOP-2024-001")</f>
        <v>DBP-LAPTOP-2024-001</v>
      </c>
      <c r="K1447" s="164" t="str">
        <f ca="1">IFERROR(__xludf.DUMMYFUNCTION("""COMPUTED_VALUE"""),"Cheryll Pedralvez")</f>
        <v>Cheryll Pedralvez</v>
      </c>
      <c r="L1447" s="164" t="str">
        <f ca="1">IFERROR(__xludf.DUMMYFUNCTION("""COMPUTED_VALUE"""),"STOD")</f>
        <v>STOD</v>
      </c>
      <c r="M1447" s="164" t="str">
        <f ca="1">IFERROR(__xludf.DUMMYFUNCTION("""COMPUTED_VALUE"""),"SERVICEABLE")</f>
        <v>SERVICEABLE</v>
      </c>
      <c r="N1447" s="164"/>
    </row>
    <row r="1448" spans="1:14" ht="13.2" hidden="1">
      <c r="A1448" s="164" t="str">
        <f ca="1">IFERROR(__xludf.DUMMYFUNCTION("""COMPUTED_VALUE"""),"Region III")</f>
        <v>Region III</v>
      </c>
      <c r="B1448" s="164" t="str">
        <f ca="1">IFERROR(__xludf.DUMMYFUNCTION("""COMPUTED_VALUE"""),"Bataan")</f>
        <v>Bataan</v>
      </c>
      <c r="C1448" s="164" t="str">
        <f ca="1">IFERROR(__xludf.DUMMYFUNCTION("""COMPUTED_VALUE"""),"Photocopier Machine – Kyocera")</f>
        <v>Photocopier Machine – Kyocera</v>
      </c>
      <c r="D1448" s="164" t="str">
        <f ca="1">IFERROR(__xludf.DUMMYFUNCTION("""COMPUTED_VALUE"""),"₱ 84,500.00")</f>
        <v>₱ 84,500.00</v>
      </c>
      <c r="E1448" s="164" t="str">
        <f ca="1">IFERROR(__xludf.DUMMYFUNCTION("""COMPUTED_VALUE"""),"₱-")</f>
        <v>₱-</v>
      </c>
      <c r="F1448" s="164" t="str">
        <f ca="1">IFERROR(__xludf.DUMMYFUNCTION("""COMPUTED_VALUE"""),"2022-05-02-10202SP-22-01")</f>
        <v>2022-05-02-10202SP-22-01</v>
      </c>
      <c r="G1448" s="164"/>
      <c r="H1448" s="164" t="str">
        <f ca="1">IFERROR(__xludf.DUMMYFUNCTION("""COMPUTED_VALUE"""),"MARVIN MANALO")</f>
        <v>MARVIN MANALO</v>
      </c>
      <c r="I1448" s="164" t="str">
        <f ca="1">IFERROR(__xludf.DUMMYFUNCTION("""COMPUTED_VALUE"""),"LTSP")</f>
        <v>LTSP</v>
      </c>
      <c r="J1448" s="164" t="str">
        <f ca="1">IFERROR(__xludf.DUMMYFUNCTION("""COMPUTED_VALUE"""),"2022-11-001")</f>
        <v>2022-11-001</v>
      </c>
      <c r="K1448" s="164" t="str">
        <f ca="1">IFERROR(__xludf.DUMMYFUNCTION("""COMPUTED_VALUE"""),"MARVIN MANALO")</f>
        <v>MARVIN MANALO</v>
      </c>
      <c r="L1448" s="164" t="str">
        <f ca="1">IFERROR(__xludf.DUMMYFUNCTION("""COMPUTED_VALUE"""),"DARPO Bataan")</f>
        <v>DARPO Bataan</v>
      </c>
      <c r="M1448" s="164" t="str">
        <f ca="1">IFERROR(__xludf.DUMMYFUNCTION("""COMPUTED_VALUE"""),"SERVICEABLE")</f>
        <v>SERVICEABLE</v>
      </c>
      <c r="N1448" s="164"/>
    </row>
    <row r="1449" spans="1:14" ht="13.2" hidden="1">
      <c r="A1449" s="164" t="str">
        <f ca="1">IFERROR(__xludf.DUMMYFUNCTION("""COMPUTED_VALUE"""),"Region III")</f>
        <v>Region III</v>
      </c>
      <c r="B1449" s="164" t="str">
        <f ca="1">IFERROR(__xludf.DUMMYFUNCTION("""COMPUTED_VALUE"""),"Bataan")</f>
        <v>Bataan</v>
      </c>
      <c r="C1449" s="164" t="str">
        <f ca="1">IFERROR(__xludf.DUMMYFUNCTION("""COMPUTED_VALUE"""),"A3 PRINTER (BROTHER)")</f>
        <v>A3 PRINTER (BROTHER)</v>
      </c>
      <c r="D1449" s="164" t="str">
        <f ca="1">IFERROR(__xludf.DUMMYFUNCTION("""COMPUTED_VALUE"""),"₱ 33,508.00")</f>
        <v>₱ 33,508.00</v>
      </c>
      <c r="E1449" s="164" t="str">
        <f ca="1">IFERROR(__xludf.DUMMYFUNCTION("""COMPUTED_VALUE"""),"₱-")</f>
        <v>₱-</v>
      </c>
      <c r="F1449" s="164" t="str">
        <f ca="1">IFERROR(__xludf.DUMMYFUNCTION("""COMPUTED_VALUE"""),"HV-SPLIT-102-24-05-25")</f>
        <v>HV-SPLIT-102-24-05-25</v>
      </c>
      <c r="G1449" s="164" t="str">
        <f ca="1">IFERROR(__xludf.DUMMYFUNCTION("""COMPUTED_VALUE"""),"E78947L3H871157")</f>
        <v>E78947L3H871157</v>
      </c>
      <c r="H1449" s="164" t="str">
        <f ca="1">IFERROR(__xludf.DUMMYFUNCTION("""COMPUTED_VALUE"""),"Edwin Mina")</f>
        <v>Edwin Mina</v>
      </c>
      <c r="I1449" s="164" t="str">
        <f ca="1">IFERROR(__xludf.DUMMYFUNCTION("""COMPUTED_VALUE"""),"Project Procurement Officer")</f>
        <v>Project Procurement Officer</v>
      </c>
      <c r="J1449" s="164" t="str">
        <f ca="1">IFERROR(__xludf.DUMMYFUNCTION("""COMPUTED_VALUE"""),"2024-03-004")</f>
        <v>2024-03-004</v>
      </c>
      <c r="K1449" s="164" t="str">
        <f ca="1">IFERROR(__xludf.DUMMYFUNCTION("""COMPUTED_VALUE"""),"DARPO SPLIT Personnel")</f>
        <v>DARPO SPLIT Personnel</v>
      </c>
      <c r="L1449" s="164" t="str">
        <f ca="1">IFERROR(__xludf.DUMMYFUNCTION("""COMPUTED_VALUE"""),"STOD")</f>
        <v>STOD</v>
      </c>
      <c r="M1449" s="164" t="str">
        <f ca="1">IFERROR(__xludf.DUMMYFUNCTION("""COMPUTED_VALUE"""),"SERVICEABLE")</f>
        <v>SERVICEABLE</v>
      </c>
      <c r="N1449" s="164"/>
    </row>
    <row r="1450" spans="1:14" ht="13.2" hidden="1">
      <c r="A1450" s="164" t="str">
        <f ca="1">IFERROR(__xludf.DUMMYFUNCTION("""COMPUTED_VALUE"""),"Region III")</f>
        <v>Region III</v>
      </c>
      <c r="B1450" s="164" t="str">
        <f ca="1">IFERROR(__xludf.DUMMYFUNCTION("""COMPUTED_VALUE"""),"Zambales")</f>
        <v>Zambales</v>
      </c>
      <c r="C1450" s="164" t="str">
        <f ca="1">IFERROR(__xludf.DUMMYFUNCTION("""COMPUTED_VALUE"""),"Desktop Computer – (Lenovo M70T)")</f>
        <v>Desktop Computer – (Lenovo M70T)</v>
      </c>
      <c r="D1450" s="164" t="str">
        <f ca="1">IFERROR(__xludf.DUMMYFUNCTION("""COMPUTED_VALUE"""),"₱ 75,468.00")</f>
        <v>₱ 75,468.00</v>
      </c>
      <c r="E1450" s="164" t="str">
        <f ca="1">IFERROR(__xludf.DUMMYFUNCTION("""COMPUTED_VALUE"""),"₱-")</f>
        <v>₱-</v>
      </c>
      <c r="F1450" s="164" t="str">
        <f ca="1">IFERROR(__xludf.DUMMYFUNCTION("""COMPUTED_VALUE"""),"2023-05-03-10201SP858-01")</f>
        <v>2023-05-03-10201SP858-01</v>
      </c>
      <c r="G1450" s="164" t="str">
        <f ca="1">IFERROR(__xludf.DUMMYFUNCTION("""COMPUTED_VALUE"""),"1S11T5S16200GM041ANS")</f>
        <v>1S11T5S16200GM041ANS</v>
      </c>
      <c r="H1450" s="164" t="str">
        <f ca="1">IFERROR(__xludf.DUMMYFUNCTION("""COMPUTED_VALUE"""),"Marian B. Vinluan")</f>
        <v>Marian B. Vinluan</v>
      </c>
      <c r="I1450" s="164" t="str">
        <f ca="1">IFERROR(__xludf.DUMMYFUNCTION("""COMPUTED_VALUE"""),"AO IV")</f>
        <v>AO IV</v>
      </c>
      <c r="J1450" s="164" t="str">
        <f ca="1">IFERROR(__xludf.DUMMYFUNCTION("""COMPUTED_VALUE"""),"DZP-DESKCOMP-2023-006")</f>
        <v>DZP-DESKCOMP-2023-006</v>
      </c>
      <c r="K1450" s="164" t="str">
        <f ca="1">IFERROR(__xludf.DUMMYFUNCTION("""COMPUTED_VALUE"""),"Marian B. Vinluan")</f>
        <v>Marian B. Vinluan</v>
      </c>
      <c r="L1450" s="164" t="str">
        <f ca="1">IFERROR(__xludf.DUMMYFUNCTION("""COMPUTED_VALUE"""),"STOD")</f>
        <v>STOD</v>
      </c>
      <c r="M1450" s="164" t="str">
        <f ca="1">IFERROR(__xludf.DUMMYFUNCTION("""COMPUTED_VALUE"""),"SERVICEABLE")</f>
        <v>SERVICEABLE</v>
      </c>
      <c r="N1450" s="164"/>
    </row>
    <row r="1451" spans="1:14" ht="13.2" hidden="1">
      <c r="A1451" s="164" t="str">
        <f ca="1">IFERROR(__xludf.DUMMYFUNCTION("""COMPUTED_VALUE"""),"Region III")</f>
        <v>Region III</v>
      </c>
      <c r="B1451" s="164" t="str">
        <f ca="1">IFERROR(__xludf.DUMMYFUNCTION("""COMPUTED_VALUE"""),"Zambales")</f>
        <v>Zambales</v>
      </c>
      <c r="C1451" s="164" t="str">
        <f ca="1">IFERROR(__xludf.DUMMYFUNCTION("""COMPUTED_VALUE"""),"Desktop Computer – (Lenovo M70T)")</f>
        <v>Desktop Computer – (Lenovo M70T)</v>
      </c>
      <c r="D1451" s="164" t="str">
        <f ca="1">IFERROR(__xludf.DUMMYFUNCTION("""COMPUTED_VALUE"""),"₱ 75,468.00")</f>
        <v>₱ 75,468.00</v>
      </c>
      <c r="E1451" s="164" t="str">
        <f ca="1">IFERROR(__xludf.DUMMYFUNCTION("""COMPUTED_VALUE"""),"₱-")</f>
        <v>₱-</v>
      </c>
      <c r="F1451" s="164" t="str">
        <f ca="1">IFERROR(__xludf.DUMMYFUNCTION("""COMPUTED_VALUE"""),"2023-05-03-10201SP859-01")</f>
        <v>2023-05-03-10201SP859-01</v>
      </c>
      <c r="G1451" s="164" t="str">
        <f ca="1">IFERROR(__xludf.DUMMYFUNCTION("""COMPUTED_VALUE"""),"1S11T5S16200GM041AXD")</f>
        <v>1S11T5S16200GM041AXD</v>
      </c>
      <c r="H1451" s="164" t="str">
        <f ca="1">IFERROR(__xludf.DUMMYFUNCTION("""COMPUTED_VALUE"""),"Richard O. Rivera")</f>
        <v>Richard O. Rivera</v>
      </c>
      <c r="I1451" s="164" t="str">
        <f ca="1">IFERROR(__xludf.DUMMYFUNCTION("""COMPUTED_VALUE"""),"PLANNING OFFICER II")</f>
        <v>PLANNING OFFICER II</v>
      </c>
      <c r="J1451" s="164" t="str">
        <f ca="1">IFERROR(__xludf.DUMMYFUNCTION("""COMPUTED_VALUE"""),"DZP-DESKCOMP-2023-007")</f>
        <v>DZP-DESKCOMP-2023-007</v>
      </c>
      <c r="K1451" s="164" t="str">
        <f ca="1">IFERROR(__xludf.DUMMYFUNCTION("""COMPUTED_VALUE"""),"Richard O. Rivera")</f>
        <v>Richard O. Rivera</v>
      </c>
      <c r="L1451" s="164" t="str">
        <f ca="1">IFERROR(__xludf.DUMMYFUNCTION("""COMPUTED_VALUE"""),"LTSP")</f>
        <v>LTSP</v>
      </c>
      <c r="M1451" s="164" t="str">
        <f ca="1">IFERROR(__xludf.DUMMYFUNCTION("""COMPUTED_VALUE"""),"SERVICEABLE")</f>
        <v>SERVICEABLE</v>
      </c>
      <c r="N1451" s="164"/>
    </row>
    <row r="1452" spans="1:14" ht="13.2" hidden="1">
      <c r="A1452" s="164" t="str">
        <f ca="1">IFERROR(__xludf.DUMMYFUNCTION("""COMPUTED_VALUE"""),"Region III")</f>
        <v>Region III</v>
      </c>
      <c r="B1452" s="164" t="str">
        <f ca="1">IFERROR(__xludf.DUMMYFUNCTION("""COMPUTED_VALUE"""),"Zambales")</f>
        <v>Zambales</v>
      </c>
      <c r="C1452" s="164" t="str">
        <f ca="1">IFERROR(__xludf.DUMMYFUNCTION("""COMPUTED_VALUE"""),"Desktop Computer – (Lenovo M70T)")</f>
        <v>Desktop Computer – (Lenovo M70T)</v>
      </c>
      <c r="D1452" s="164" t="str">
        <f ca="1">IFERROR(__xludf.DUMMYFUNCTION("""COMPUTED_VALUE"""),"₱ 75,468.00")</f>
        <v>₱ 75,468.00</v>
      </c>
      <c r="E1452" s="164" t="str">
        <f ca="1">IFERROR(__xludf.DUMMYFUNCTION("""COMPUTED_VALUE"""),"₱-")</f>
        <v>₱-</v>
      </c>
      <c r="F1452" s="164" t="str">
        <f ca="1">IFERROR(__xludf.DUMMYFUNCTION("""COMPUTED_VALUE"""),"2023-05-03-10201SP860-01")</f>
        <v>2023-05-03-10201SP860-01</v>
      </c>
      <c r="G1452" s="164" t="str">
        <f ca="1">IFERROR(__xludf.DUMMYFUNCTION("""COMPUTED_VALUE"""),"1S11T5S16200GM041AS4")</f>
        <v>1S11T5S16200GM041AS4</v>
      </c>
      <c r="H1452" s="164" t="str">
        <f ca="1">IFERROR(__xludf.DUMMYFUNCTION("""COMPUTED_VALUE"""),"Marie Liza D. Arconado")</f>
        <v>Marie Liza D. Arconado</v>
      </c>
      <c r="I1452" s="164" t="str">
        <f ca="1">IFERROR(__xludf.DUMMYFUNCTION("""COMPUTED_VALUE"""),"ARPT")</f>
        <v>ARPT</v>
      </c>
      <c r="J1452" s="164" t="str">
        <f ca="1">IFERROR(__xludf.DUMMYFUNCTION("""COMPUTED_VALUE"""),"DZP-DESKCOMP-2023-008")</f>
        <v>DZP-DESKCOMP-2023-008</v>
      </c>
      <c r="K1452" s="164" t="str">
        <f ca="1">IFERROR(__xludf.DUMMYFUNCTION("""COMPUTED_VALUE"""),"Marie Liza D. Arconado")</f>
        <v>Marie Liza D. Arconado</v>
      </c>
      <c r="L1452" s="164" t="str">
        <f ca="1">IFERROR(__xludf.DUMMYFUNCTION("""COMPUTED_VALUE"""),"LEGAL")</f>
        <v>LEGAL</v>
      </c>
      <c r="M1452" s="164" t="str">
        <f ca="1">IFERROR(__xludf.DUMMYFUNCTION("""COMPUTED_VALUE"""),"SERVICEABLE")</f>
        <v>SERVICEABLE</v>
      </c>
      <c r="N1452" s="164"/>
    </row>
    <row r="1453" spans="1:14" ht="13.2" hidden="1">
      <c r="A1453" s="164" t="str">
        <f ca="1">IFERROR(__xludf.DUMMYFUNCTION("""COMPUTED_VALUE"""),"Region III")</f>
        <v>Region III</v>
      </c>
      <c r="B1453" s="164" t="str">
        <f ca="1">IFERROR(__xludf.DUMMYFUNCTION("""COMPUTED_VALUE"""),"Zambales")</f>
        <v>Zambales</v>
      </c>
      <c r="C1453" s="164" t="str">
        <f ca="1">IFERROR(__xludf.DUMMYFUNCTION("""COMPUTED_VALUE"""),"Desktop Computer – (Lenovo M70T)")</f>
        <v>Desktop Computer – (Lenovo M70T)</v>
      </c>
      <c r="D1453" s="164" t="str">
        <f ca="1">IFERROR(__xludf.DUMMYFUNCTION("""COMPUTED_VALUE"""),"₱ 75,468.00")</f>
        <v>₱ 75,468.00</v>
      </c>
      <c r="E1453" s="164" t="str">
        <f ca="1">IFERROR(__xludf.DUMMYFUNCTION("""COMPUTED_VALUE"""),"₱-")</f>
        <v>₱-</v>
      </c>
      <c r="F1453" s="164" t="str">
        <f ca="1">IFERROR(__xludf.DUMMYFUNCTION("""COMPUTED_VALUE"""),"2023-05-03-10201SP861-01")</f>
        <v>2023-05-03-10201SP861-01</v>
      </c>
      <c r="G1453" s="164" t="str">
        <f ca="1">IFERROR(__xludf.DUMMYFUNCTION("""COMPUTED_VALUE"""),"1S11T5S16200GM02ZT86")</f>
        <v>1S11T5S16200GM02ZT86</v>
      </c>
      <c r="H1453" s="164" t="str">
        <f ca="1">IFERROR(__xludf.DUMMYFUNCTION("""COMPUTED_VALUE"""),"Dana J. Domingo")</f>
        <v>Dana J. Domingo</v>
      </c>
      <c r="I1453" s="164" t="str">
        <f ca="1">IFERROR(__xludf.DUMMYFUNCTION("""COMPUTED_VALUE"""),"ARPO II")</f>
        <v>ARPO II</v>
      </c>
      <c r="J1453" s="164" t="str">
        <f ca="1">IFERROR(__xludf.DUMMYFUNCTION("""COMPUTED_VALUE"""),"DZP-DESKCOMP-2023-009")</f>
        <v>DZP-DESKCOMP-2023-009</v>
      </c>
      <c r="K1453" s="164" t="str">
        <f ca="1">IFERROR(__xludf.DUMMYFUNCTION("""COMPUTED_VALUE"""),"Dana J. Domingo")</f>
        <v>Dana J. Domingo</v>
      </c>
      <c r="L1453" s="164" t="str">
        <f ca="1">IFERROR(__xludf.DUMMYFUNCTION("""COMPUTED_VALUE"""),"PBDD")</f>
        <v>PBDD</v>
      </c>
      <c r="M1453" s="164" t="str">
        <f ca="1">IFERROR(__xludf.DUMMYFUNCTION("""COMPUTED_VALUE"""),"SERVICEABLE")</f>
        <v>SERVICEABLE</v>
      </c>
      <c r="N1453" s="164"/>
    </row>
    <row r="1454" spans="1:14" ht="13.2" hidden="1">
      <c r="A1454" s="164" t="str">
        <f ca="1">IFERROR(__xludf.DUMMYFUNCTION("""COMPUTED_VALUE"""),"Region III")</f>
        <v>Region III</v>
      </c>
      <c r="B1454" s="164" t="str">
        <f ca="1">IFERROR(__xludf.DUMMYFUNCTION("""COMPUTED_VALUE"""),"Zambales")</f>
        <v>Zambales</v>
      </c>
      <c r="C1454" s="164" t="str">
        <f ca="1">IFERROR(__xludf.DUMMYFUNCTION("""COMPUTED_VALUE"""),"Desktop Computer – (Lenovo M70T)")</f>
        <v>Desktop Computer – (Lenovo M70T)</v>
      </c>
      <c r="D1454" s="164" t="str">
        <f ca="1">IFERROR(__xludf.DUMMYFUNCTION("""COMPUTED_VALUE"""),"₱ 75,468.00")</f>
        <v>₱ 75,468.00</v>
      </c>
      <c r="E1454" s="164" t="str">
        <f ca="1">IFERROR(__xludf.DUMMYFUNCTION("""COMPUTED_VALUE"""),"₱-")</f>
        <v>₱-</v>
      </c>
      <c r="F1454" s="164" t="str">
        <f ca="1">IFERROR(__xludf.DUMMYFUNCTION("""COMPUTED_VALUE"""),"2023-05-03-10201SP799-01")</f>
        <v>2023-05-03-10201SP799-01</v>
      </c>
      <c r="G1454" s="164" t="str">
        <f ca="1">IFERROR(__xludf.DUMMYFUNCTION("""COMPUTED_VALUE"""),"1S11T5S16200GM041B61")</f>
        <v>1S11T5S16200GM041B61</v>
      </c>
      <c r="H1454" s="164" t="str">
        <f ca="1">IFERROR(__xludf.DUMMYFUNCTION("""COMPUTED_VALUE"""),"Leah Melissa D. Belardo")</f>
        <v>Leah Melissa D. Belardo</v>
      </c>
      <c r="I1454" s="164" t="str">
        <f ca="1">IFERROR(__xludf.DUMMYFUNCTION("""COMPUTED_VALUE"""),"ENGINEER II")</f>
        <v>ENGINEER II</v>
      </c>
      <c r="J1454" s="164" t="str">
        <f ca="1">IFERROR(__xludf.DUMMYFUNCTION("""COMPUTED_VALUE"""),"DBP-DESKCOMP-2023-012")</f>
        <v>DBP-DESKCOMP-2023-012</v>
      </c>
      <c r="K1454" s="164" t="str">
        <f ca="1">IFERROR(__xludf.DUMMYFUNCTION("""COMPUTED_VALUE"""),"Leah Melissa D. Belardo")</f>
        <v>Leah Melissa D. Belardo</v>
      </c>
      <c r="L1454" s="164" t="str">
        <f ca="1">IFERROR(__xludf.DUMMYFUNCTION("""COMPUTED_VALUE"""),"PBDD")</f>
        <v>PBDD</v>
      </c>
      <c r="M1454" s="164" t="str">
        <f ca="1">IFERROR(__xludf.DUMMYFUNCTION("""COMPUTED_VALUE"""),"SERVICEABLE")</f>
        <v>SERVICEABLE</v>
      </c>
      <c r="N1454" s="164"/>
    </row>
    <row r="1455" spans="1:14" ht="13.2" hidden="1">
      <c r="A1455" s="164" t="str">
        <f ca="1">IFERROR(__xludf.DUMMYFUNCTION("""COMPUTED_VALUE"""),"Region III")</f>
        <v>Region III</v>
      </c>
      <c r="B1455" s="164" t="str">
        <f ca="1">IFERROR(__xludf.DUMMYFUNCTION("""COMPUTED_VALUE"""),"Zambales")</f>
        <v>Zambales</v>
      </c>
      <c r="C1455" s="164" t="str">
        <f ca="1">IFERROR(__xludf.DUMMYFUNCTION("""COMPUTED_VALUE"""),"Desktop Computer – (Lenovo M70T)")</f>
        <v>Desktop Computer – (Lenovo M70T)</v>
      </c>
      <c r="D1455" s="164" t="str">
        <f ca="1">IFERROR(__xludf.DUMMYFUNCTION("""COMPUTED_VALUE"""),"₱ 75,468.00")</f>
        <v>₱ 75,468.00</v>
      </c>
      <c r="E1455" s="164" t="str">
        <f ca="1">IFERROR(__xludf.DUMMYFUNCTION("""COMPUTED_VALUE"""),"₱-")</f>
        <v>₱-</v>
      </c>
      <c r="F1455" s="164" t="str">
        <f ca="1">IFERROR(__xludf.DUMMYFUNCTION("""COMPUTED_VALUE"""),"2023-05-03-10201SP800-01")</f>
        <v>2023-05-03-10201SP800-01</v>
      </c>
      <c r="G1455" s="164" t="str">
        <f ca="1">IFERROR(__xludf.DUMMYFUNCTION("""COMPUTED_VALUE"""),"1S11T5S16200GM041B73")</f>
        <v>1S11T5S16200GM041B73</v>
      </c>
      <c r="H1455" s="164" t="str">
        <f ca="1">IFERROR(__xludf.DUMMYFUNCTION("""COMPUTED_VALUE"""),"Janette R. Famularcano")</f>
        <v>Janette R. Famularcano</v>
      </c>
      <c r="I1455" s="164" t="str">
        <f ca="1">IFERROR(__xludf.DUMMYFUNCTION("""COMPUTED_VALUE"""),"SARPT")</f>
        <v>SARPT</v>
      </c>
      <c r="J1455" s="164" t="str">
        <f ca="1">IFERROR(__xludf.DUMMYFUNCTION("""COMPUTED_VALUE"""),"DBP-DESKCOMP-2023-013")</f>
        <v>DBP-DESKCOMP-2023-013</v>
      </c>
      <c r="K1455" s="164" t="str">
        <f ca="1">IFERROR(__xludf.DUMMYFUNCTION("""COMPUTED_VALUE"""),"Janette R. Famularcano")</f>
        <v>Janette R. Famularcano</v>
      </c>
      <c r="L1455" s="164" t="str">
        <f ca="1">IFERROR(__xludf.DUMMYFUNCTION("""COMPUTED_VALUE"""),"LTSP")</f>
        <v>LTSP</v>
      </c>
      <c r="M1455" s="164" t="str">
        <f ca="1">IFERROR(__xludf.DUMMYFUNCTION("""COMPUTED_VALUE"""),"SERVICEABLE")</f>
        <v>SERVICEABLE</v>
      </c>
      <c r="N1455" s="164"/>
    </row>
    <row r="1456" spans="1:14" ht="13.2" hidden="1">
      <c r="A1456" s="164" t="str">
        <f ca="1">IFERROR(__xludf.DUMMYFUNCTION("""COMPUTED_VALUE"""),"Region III")</f>
        <v>Region III</v>
      </c>
      <c r="B1456" s="164" t="str">
        <f ca="1">IFERROR(__xludf.DUMMYFUNCTION("""COMPUTED_VALUE"""),"Zambales")</f>
        <v>Zambales</v>
      </c>
      <c r="C1456" s="164" t="str">
        <f ca="1">IFERROR(__xludf.DUMMYFUNCTION("""COMPUTED_VALUE"""),"Desktop Computer – (Lenovo M70T)")</f>
        <v>Desktop Computer – (Lenovo M70T)</v>
      </c>
      <c r="D1456" s="164" t="str">
        <f ca="1">IFERROR(__xludf.DUMMYFUNCTION("""COMPUTED_VALUE"""),"₱ 75,468.00")</f>
        <v>₱ 75,468.00</v>
      </c>
      <c r="E1456" s="164" t="str">
        <f ca="1">IFERROR(__xludf.DUMMYFUNCTION("""COMPUTED_VALUE"""),"₱-")</f>
        <v>₱-</v>
      </c>
      <c r="F1456" s="164" t="str">
        <f ca="1">IFERROR(__xludf.DUMMYFUNCTION("""COMPUTED_VALUE"""),"2023-05-03-10201SP801-01")</f>
        <v>2023-05-03-10201SP801-01</v>
      </c>
      <c r="G1456" s="164" t="str">
        <f ca="1">IFERROR(__xludf.DUMMYFUNCTION("""COMPUTED_VALUE"""),"1S11T5S16200GM041B79")</f>
        <v>1S11T5S16200GM041B79</v>
      </c>
      <c r="H1456" s="164" t="str">
        <f ca="1">IFERROR(__xludf.DUMMYFUNCTION("""COMPUTED_VALUE"""),"Francisca P. Del Campo")</f>
        <v>Francisca P. Del Campo</v>
      </c>
      <c r="I1456" s="164" t="str">
        <f ca="1">IFERROR(__xludf.DUMMYFUNCTION("""COMPUTED_VALUE"""),"SARPT")</f>
        <v>SARPT</v>
      </c>
      <c r="J1456" s="164" t="str">
        <f ca="1">IFERROR(__xludf.DUMMYFUNCTION("""COMPUTED_VALUE"""),"DBP-DESKCOMP-2023-014")</f>
        <v>DBP-DESKCOMP-2023-014</v>
      </c>
      <c r="K1456" s="164" t="str">
        <f ca="1">IFERROR(__xludf.DUMMYFUNCTION("""COMPUTED_VALUE"""),"Francisca P. Del Campo")</f>
        <v>Francisca P. Del Campo</v>
      </c>
      <c r="L1456" s="164" t="str">
        <f ca="1">IFERROR(__xludf.DUMMYFUNCTION("""COMPUTED_VALUE"""),"LTSP")</f>
        <v>LTSP</v>
      </c>
      <c r="M1456" s="164" t="str">
        <f ca="1">IFERROR(__xludf.DUMMYFUNCTION("""COMPUTED_VALUE"""),"SERVICEABLE")</f>
        <v>SERVICEABLE</v>
      </c>
      <c r="N1456" s="164"/>
    </row>
    <row r="1457" spans="1:14" ht="13.2" hidden="1">
      <c r="A1457" s="164" t="str">
        <f ca="1">IFERROR(__xludf.DUMMYFUNCTION("""COMPUTED_VALUE"""),"Region III")</f>
        <v>Region III</v>
      </c>
      <c r="B1457" s="164" t="str">
        <f ca="1">IFERROR(__xludf.DUMMYFUNCTION("""COMPUTED_VALUE"""),"Zambales")</f>
        <v>Zambales</v>
      </c>
      <c r="C1457" s="164" t="str">
        <f ca="1">IFERROR(__xludf.DUMMYFUNCTION("""COMPUTED_VALUE"""),"Laptop – (ACER EXTENSA EX215-55G i7)")</f>
        <v>Laptop – (ACER EXTENSA EX215-55G i7)</v>
      </c>
      <c r="D1457" s="164" t="str">
        <f ca="1">IFERROR(__xludf.DUMMYFUNCTION("""COMPUTED_VALUE"""),"₱ 59,500.00")</f>
        <v>₱ 59,500.00</v>
      </c>
      <c r="E1457" s="164" t="str">
        <f ca="1">IFERROR(__xludf.DUMMYFUNCTION("""COMPUTED_VALUE"""),"₱-")</f>
        <v>₱-</v>
      </c>
      <c r="F1457" s="164" t="str">
        <f ca="1">IFERROR(__xludf.DUMMYFUNCTION("""COMPUTED_VALUE"""),"2023-05-03-10202SP154-01")</f>
        <v>2023-05-03-10202SP154-01</v>
      </c>
      <c r="G1457" s="164"/>
      <c r="H1457" s="164" t="str">
        <f ca="1">IFERROR(__xludf.DUMMYFUNCTION("""COMPUTED_VALUE"""),"Evangeline S. Ebalo")</f>
        <v>Evangeline S. Ebalo</v>
      </c>
      <c r="I1457" s="164" t="str">
        <f ca="1">IFERROR(__xludf.DUMMYFUNCTION("""COMPUTED_VALUE"""),"SARPT")</f>
        <v>SARPT</v>
      </c>
      <c r="J1457" s="164" t="str">
        <f ca="1">IFERROR(__xludf.DUMMYFUNCTION("""COMPUTED_VALUE"""),"DZP-LAPTOP-2023-001")</f>
        <v>DZP-LAPTOP-2023-001</v>
      </c>
      <c r="K1457" s="164" t="str">
        <f ca="1">IFERROR(__xludf.DUMMYFUNCTION("""COMPUTED_VALUE"""),"Evangeline S. Ebalo")</f>
        <v>Evangeline S. Ebalo</v>
      </c>
      <c r="L1457" s="164" t="str">
        <f ca="1">IFERROR(__xludf.DUMMYFUNCTION("""COMPUTED_VALUE"""),"LTSP")</f>
        <v>LTSP</v>
      </c>
      <c r="M1457" s="164" t="str">
        <f ca="1">IFERROR(__xludf.DUMMYFUNCTION("""COMPUTED_VALUE"""),"SERVICEABLE")</f>
        <v>SERVICEABLE</v>
      </c>
      <c r="N1457" s="164"/>
    </row>
    <row r="1458" spans="1:14" ht="13.2" hidden="1">
      <c r="A1458" s="164" t="str">
        <f ca="1">IFERROR(__xludf.DUMMYFUNCTION("""COMPUTED_VALUE"""),"Region III")</f>
        <v>Region III</v>
      </c>
      <c r="B1458" s="164" t="str">
        <f ca="1">IFERROR(__xludf.DUMMYFUNCTION("""COMPUTED_VALUE"""),"Zambales")</f>
        <v>Zambales</v>
      </c>
      <c r="C1458" s="164" t="str">
        <f ca="1">IFERROR(__xludf.DUMMYFUNCTION("""COMPUTED_VALUE"""),"Photocopier Machine – Kyocera")</f>
        <v>Photocopier Machine – Kyocera</v>
      </c>
      <c r="D1458" s="164" t="str">
        <f ca="1">IFERROR(__xludf.DUMMYFUNCTION("""COMPUTED_VALUE"""),"₱ 84,500.00")</f>
        <v>₱ 84,500.00</v>
      </c>
      <c r="E1458" s="164" t="str">
        <f ca="1">IFERROR(__xludf.DUMMYFUNCTION("""COMPUTED_VALUE"""),"₱-")</f>
        <v>₱-</v>
      </c>
      <c r="F1458" s="164" t="str">
        <f ca="1">IFERROR(__xludf.DUMMYFUNCTION("""COMPUTED_VALUE"""),"2022-05-02-10202SP-20-01")</f>
        <v>2022-05-02-10202SP-20-01</v>
      </c>
      <c r="G1458" s="164"/>
      <c r="H1458" s="164" t="str">
        <f ca="1">IFERROR(__xludf.DUMMYFUNCTION("""COMPUTED_VALUE"""),"Francisca P. Del Campo")</f>
        <v>Francisca P. Del Campo</v>
      </c>
      <c r="I1458" s="164" t="str">
        <f ca="1">IFERROR(__xludf.DUMMYFUNCTION("""COMPUTED_VALUE"""),"SARPT")</f>
        <v>SARPT</v>
      </c>
      <c r="J1458" s="164" t="str">
        <f ca="1">IFERROR(__xludf.DUMMYFUNCTION("""COMPUTED_VALUE"""),"DZP-OE-MFC-2022-001")</f>
        <v>DZP-OE-MFC-2022-001</v>
      </c>
      <c r="K1458" s="164" t="str">
        <f ca="1">IFERROR(__xludf.DUMMYFUNCTION("""COMPUTED_VALUE"""),"Francisca P. Del Campo")</f>
        <v>Francisca P. Del Campo</v>
      </c>
      <c r="L1458" s="164" t="str">
        <f ca="1">IFERROR(__xludf.DUMMYFUNCTION("""COMPUTED_VALUE"""),"LTSP")</f>
        <v>LTSP</v>
      </c>
      <c r="M1458" s="164" t="str">
        <f ca="1">IFERROR(__xludf.DUMMYFUNCTION("""COMPUTED_VALUE"""),"SERVICEABLE")</f>
        <v>SERVICEABLE</v>
      </c>
      <c r="N1458" s="164"/>
    </row>
    <row r="1459" spans="1:14" ht="13.2" hidden="1">
      <c r="A1459" s="164" t="str">
        <f ca="1">IFERROR(__xludf.DUMMYFUNCTION("""COMPUTED_VALUE"""),"Region III")</f>
        <v>Region III</v>
      </c>
      <c r="B1459" s="164" t="str">
        <f ca="1">IFERROR(__xludf.DUMMYFUNCTION("""COMPUTED_VALUE"""),"Bulacan")</f>
        <v>Bulacan</v>
      </c>
      <c r="C1459" s="164" t="str">
        <f ca="1">IFERROR(__xludf.DUMMYFUNCTION("""COMPUTED_VALUE"""),"Desktop Computer – (Lenovo M70T)")</f>
        <v>Desktop Computer – (Lenovo M70T)</v>
      </c>
      <c r="D1459" s="164" t="str">
        <f ca="1">IFERROR(__xludf.DUMMYFUNCTION("""COMPUTED_VALUE"""),"₱ 75,468.00")</f>
        <v>₱ 75,468.00</v>
      </c>
      <c r="E1459" s="164" t="str">
        <f ca="1">IFERROR(__xludf.DUMMYFUNCTION("""COMPUTED_VALUE"""),"₱-")</f>
        <v>₱-</v>
      </c>
      <c r="F1459" s="164" t="str">
        <f ca="1">IFERROR(__xludf.DUMMYFUNCTION("""COMPUTED_VALUE"""),"2023-05-03-1021SP802-01 (SPLIT)")</f>
        <v>2023-05-03-1021SP802-01 (SPLIT)</v>
      </c>
      <c r="G1459" s="164" t="str">
        <f ca="1">IFERROR(__xludf.DUMMYFUNCTION("""COMPUTED_VALUE"""),"1S11T5S16200GM041ANP")</f>
        <v>1S11T5S16200GM041ANP</v>
      </c>
      <c r="H1459" s="164" t="str">
        <f ca="1">IFERROR(__xludf.DUMMYFUNCTION("""COMPUTED_VALUE"""),"VAL T. ESTRELLA")</f>
        <v>VAL T. ESTRELLA</v>
      </c>
      <c r="I1459" s="164" t="str">
        <f ca="1">IFERROR(__xludf.DUMMYFUNCTION("""COMPUTED_VALUE"""),"ARPT")</f>
        <v>ARPT</v>
      </c>
      <c r="J1459" s="164" t="str">
        <f ca="1">IFERROR(__xludf.DUMMYFUNCTION("""COMPUTED_VALUE"""),"2023-06-001")</f>
        <v>2023-06-001</v>
      </c>
      <c r="K1459" s="164" t="str">
        <f ca="1">IFERROR(__xludf.DUMMYFUNCTION("""COMPUTED_VALUE"""),"VAL T. ESTRELLA")</f>
        <v>VAL T. ESTRELLA</v>
      </c>
      <c r="L1459" s="164" t="str">
        <f ca="1">IFERROR(__xludf.DUMMYFUNCTION("""COMPUTED_VALUE"""),"LTID")</f>
        <v>LTID</v>
      </c>
      <c r="M1459" s="164" t="str">
        <f ca="1">IFERROR(__xludf.DUMMYFUNCTION("""COMPUTED_VALUE"""),"SERVICEABLE")</f>
        <v>SERVICEABLE</v>
      </c>
      <c r="N1459" s="164"/>
    </row>
    <row r="1460" spans="1:14" ht="13.2" hidden="1">
      <c r="A1460" s="164" t="str">
        <f ca="1">IFERROR(__xludf.DUMMYFUNCTION("""COMPUTED_VALUE"""),"Region III")</f>
        <v>Region III</v>
      </c>
      <c r="B1460" s="164" t="str">
        <f ca="1">IFERROR(__xludf.DUMMYFUNCTION("""COMPUTED_VALUE"""),"Bulacan")</f>
        <v>Bulacan</v>
      </c>
      <c r="C1460" s="164" t="str">
        <f ca="1">IFERROR(__xludf.DUMMYFUNCTION("""COMPUTED_VALUE"""),"Desktop Computer – (Lenovo M70T)")</f>
        <v>Desktop Computer – (Lenovo M70T)</v>
      </c>
      <c r="D1460" s="164" t="str">
        <f ca="1">IFERROR(__xludf.DUMMYFUNCTION("""COMPUTED_VALUE"""),"₱ 75,468.00")</f>
        <v>₱ 75,468.00</v>
      </c>
      <c r="E1460" s="164" t="str">
        <f ca="1">IFERROR(__xludf.DUMMYFUNCTION("""COMPUTED_VALUE"""),"₱-")</f>
        <v>₱-</v>
      </c>
      <c r="F1460" s="164" t="str">
        <f ca="1">IFERROR(__xludf.DUMMYFUNCTION("""COMPUTED_VALUE"""),"2023-05-03-1021SP803-01 (SPLIT)")</f>
        <v>2023-05-03-1021SP803-01 (SPLIT)</v>
      </c>
      <c r="G1460" s="164" t="str">
        <f ca="1">IFERROR(__xludf.DUMMYFUNCTION("""COMPUTED_VALUE"""),"1S11T5S16200GM041B6X")</f>
        <v>1S11T5S16200GM041B6X</v>
      </c>
      <c r="H1460" s="164" t="str">
        <f ca="1">IFERROR(__xludf.DUMMYFUNCTION("""COMPUTED_VALUE"""),"JOHN MARK DE GUZMAN")</f>
        <v>JOHN MARK DE GUZMAN</v>
      </c>
      <c r="I1460" s="164" t="str">
        <f ca="1">IFERROR(__xludf.DUMMYFUNCTION("""COMPUTED_VALUE"""),"ARPO I")</f>
        <v>ARPO I</v>
      </c>
      <c r="J1460" s="164" t="str">
        <f ca="1">IFERROR(__xludf.DUMMYFUNCTION("""COMPUTED_VALUE"""),"2023-06-002")</f>
        <v>2023-06-002</v>
      </c>
      <c r="K1460" s="164" t="str">
        <f ca="1">IFERROR(__xludf.DUMMYFUNCTION("""COMPUTED_VALUE"""),"JOHN MARK DE GUZMAN")</f>
        <v>JOHN MARK DE GUZMAN</v>
      </c>
      <c r="L1460" s="164" t="str">
        <f ca="1">IFERROR(__xludf.DUMMYFUNCTION("""COMPUTED_VALUE"""),"PBDD")</f>
        <v>PBDD</v>
      </c>
      <c r="M1460" s="164" t="str">
        <f ca="1">IFERROR(__xludf.DUMMYFUNCTION("""COMPUTED_VALUE"""),"SERVICEABLE")</f>
        <v>SERVICEABLE</v>
      </c>
      <c r="N1460" s="164"/>
    </row>
    <row r="1461" spans="1:14" ht="13.2" hidden="1">
      <c r="A1461" s="164" t="str">
        <f ca="1">IFERROR(__xludf.DUMMYFUNCTION("""COMPUTED_VALUE"""),"Region III")</f>
        <v>Region III</v>
      </c>
      <c r="B1461" s="164" t="str">
        <f ca="1">IFERROR(__xludf.DUMMYFUNCTION("""COMPUTED_VALUE"""),"Bulacan")</f>
        <v>Bulacan</v>
      </c>
      <c r="C1461" s="164" t="str">
        <f ca="1">IFERROR(__xludf.DUMMYFUNCTION("""COMPUTED_VALUE"""),"Desktop Computer – (Lenovo M70T)")</f>
        <v>Desktop Computer – (Lenovo M70T)</v>
      </c>
      <c r="D1461" s="164" t="str">
        <f ca="1">IFERROR(__xludf.DUMMYFUNCTION("""COMPUTED_VALUE"""),"₱ 75,468.00")</f>
        <v>₱ 75,468.00</v>
      </c>
      <c r="E1461" s="164" t="str">
        <f ca="1">IFERROR(__xludf.DUMMYFUNCTION("""COMPUTED_VALUE"""),"₱-")</f>
        <v>₱-</v>
      </c>
      <c r="F1461" s="164" t="str">
        <f ca="1">IFERROR(__xludf.DUMMYFUNCTION("""COMPUTED_VALUE"""),"2023-05-03-1021SP804-01 (SPLIT)")</f>
        <v>2023-05-03-1021SP804-01 (SPLIT)</v>
      </c>
      <c r="G1461" s="164" t="str">
        <f ca="1">IFERROR(__xludf.DUMMYFUNCTION("""COMPUTED_VALUE"""),"1S11T5S16200GM041B7H")</f>
        <v>1S11T5S16200GM041B7H</v>
      </c>
      <c r="H1461" s="164" t="str">
        <f ca="1">IFERROR(__xludf.DUMMYFUNCTION("""COMPUTED_VALUE"""),"ENGR. ARTEMIO S. TOMACRUZ JR.")</f>
        <v>ENGR. ARTEMIO S. TOMACRUZ JR.</v>
      </c>
      <c r="I1461" s="164" t="str">
        <f ca="1">IFERROR(__xludf.DUMMYFUNCTION("""COMPUTED_VALUE"""),"CARPO")</f>
        <v>CARPO</v>
      </c>
      <c r="J1461" s="164" t="str">
        <f ca="1">IFERROR(__xludf.DUMMYFUNCTION("""COMPUTED_VALUE"""),"2023-06-003")</f>
        <v>2023-06-003</v>
      </c>
      <c r="K1461" s="164" t="str">
        <f ca="1">IFERROR(__xludf.DUMMYFUNCTION("""COMPUTED_VALUE"""),"ENGR. ARTEMIO S. TOMACRUZ JR.")</f>
        <v>ENGR. ARTEMIO S. TOMACRUZ JR.</v>
      </c>
      <c r="L1461" s="164" t="str">
        <f ca="1">IFERROR(__xludf.DUMMYFUNCTION("""COMPUTED_VALUE"""),"PBDD")</f>
        <v>PBDD</v>
      </c>
      <c r="M1461" s="164" t="str">
        <f ca="1">IFERROR(__xludf.DUMMYFUNCTION("""COMPUTED_VALUE"""),"SERVICEABLE")</f>
        <v>SERVICEABLE</v>
      </c>
      <c r="N1461" s="164"/>
    </row>
    <row r="1462" spans="1:14" ht="13.2" hidden="1">
      <c r="A1462" s="164" t="str">
        <f ca="1">IFERROR(__xludf.DUMMYFUNCTION("""COMPUTED_VALUE"""),"Region III")</f>
        <v>Region III</v>
      </c>
      <c r="B1462" s="164" t="str">
        <f ca="1">IFERROR(__xludf.DUMMYFUNCTION("""COMPUTED_VALUE"""),"Bulacan")</f>
        <v>Bulacan</v>
      </c>
      <c r="C1462" s="164" t="str">
        <f ca="1">IFERROR(__xludf.DUMMYFUNCTION("""COMPUTED_VALUE"""),"Desktop Computer – (Lenovo M70T)")</f>
        <v>Desktop Computer – (Lenovo M70T)</v>
      </c>
      <c r="D1462" s="164" t="str">
        <f ca="1">IFERROR(__xludf.DUMMYFUNCTION("""COMPUTED_VALUE"""),"₱ 75,468.00")</f>
        <v>₱ 75,468.00</v>
      </c>
      <c r="E1462" s="164" t="str">
        <f ca="1">IFERROR(__xludf.DUMMYFUNCTION("""COMPUTED_VALUE"""),"₱-")</f>
        <v>₱-</v>
      </c>
      <c r="F1462" s="164" t="str">
        <f ca="1">IFERROR(__xludf.DUMMYFUNCTION("""COMPUTED_VALUE"""),"2023-05-03-1021SP805-01 (SPLIT)")</f>
        <v>2023-05-03-1021SP805-01 (SPLIT)</v>
      </c>
      <c r="G1462" s="164" t="str">
        <f ca="1">IFERROR(__xludf.DUMMYFUNCTION("""COMPUTED_VALUE"""),"1S11T5S16200GM041ASX")</f>
        <v>1S11T5S16200GM041ASX</v>
      </c>
      <c r="H1462" s="164" t="str">
        <f ca="1">IFERROR(__xludf.DUMMYFUNCTION("""COMPUTED_VALUE"""),"VICTOR ROMMEL N. MAGNO")</f>
        <v>VICTOR ROMMEL N. MAGNO</v>
      </c>
      <c r="I1462" s="164" t="str">
        <f ca="1">IFERROR(__xludf.DUMMYFUNCTION("""COMPUTED_VALUE"""),"AO IV")</f>
        <v>AO IV</v>
      </c>
      <c r="J1462" s="164" t="str">
        <f ca="1">IFERROR(__xludf.DUMMYFUNCTION("""COMPUTED_VALUE"""),"2023-06-004")</f>
        <v>2023-06-004</v>
      </c>
      <c r="K1462" s="164" t="str">
        <f ca="1">IFERROR(__xludf.DUMMYFUNCTION("""COMPUTED_VALUE"""),"FVT")</f>
        <v>FVT</v>
      </c>
      <c r="L1462" s="164" t="str">
        <f ca="1">IFERROR(__xludf.DUMMYFUNCTION("""COMPUTED_VALUE"""),"STOD")</f>
        <v>STOD</v>
      </c>
      <c r="M1462" s="164" t="str">
        <f ca="1">IFERROR(__xludf.DUMMYFUNCTION("""COMPUTED_VALUE"""),"SERVICEABLE")</f>
        <v>SERVICEABLE</v>
      </c>
      <c r="N1462" s="164"/>
    </row>
    <row r="1463" spans="1:14" ht="13.2" hidden="1">
      <c r="A1463" s="164" t="str">
        <f ca="1">IFERROR(__xludf.DUMMYFUNCTION("""COMPUTED_VALUE"""),"Region III")</f>
        <v>Region III</v>
      </c>
      <c r="B1463" s="164" t="str">
        <f ca="1">IFERROR(__xludf.DUMMYFUNCTION("""COMPUTED_VALUE"""),"Bulacan")</f>
        <v>Bulacan</v>
      </c>
      <c r="C1463" s="164" t="str">
        <f ca="1">IFERROR(__xludf.DUMMYFUNCTION("""COMPUTED_VALUE"""),"Desktop Computer – (Lenovo M70T)")</f>
        <v>Desktop Computer – (Lenovo M70T)</v>
      </c>
      <c r="D1463" s="164" t="str">
        <f ca="1">IFERROR(__xludf.DUMMYFUNCTION("""COMPUTED_VALUE"""),"₱ 75,468.00")</f>
        <v>₱ 75,468.00</v>
      </c>
      <c r="E1463" s="164" t="str">
        <f ca="1">IFERROR(__xludf.DUMMYFUNCTION("""COMPUTED_VALUE"""),"₱-")</f>
        <v>₱-</v>
      </c>
      <c r="F1463" s="164" t="str">
        <f ca="1">IFERROR(__xludf.DUMMYFUNCTION("""COMPUTED_VALUE"""),"2023-05-03-1021SP806-01 (SPLIT)")</f>
        <v>2023-05-03-1021SP806-01 (SPLIT)</v>
      </c>
      <c r="G1463" s="164" t="str">
        <f ca="1">IFERROR(__xludf.DUMMYFUNCTION("""COMPUTED_VALUE"""),"1S11T5S16200GM041B1S")</f>
        <v>1S11T5S16200GM041B1S</v>
      </c>
      <c r="H1463" s="164" t="str">
        <f ca="1">IFERROR(__xludf.DUMMYFUNCTION("""COMPUTED_VALUE"""),"MA. THERESA R. RODDRIGUEZ")</f>
        <v>MA. THERESA R. RODDRIGUEZ</v>
      </c>
      <c r="I1463" s="164" t="str">
        <f ca="1">IFERROR(__xludf.DUMMYFUNCTION("""COMPUTED_VALUE"""),"PCAO")</f>
        <v>PCAO</v>
      </c>
      <c r="J1463" s="164" t="str">
        <f ca="1">IFERROR(__xludf.DUMMYFUNCTION("""COMPUTED_VALUE"""),"2023-06-005")</f>
        <v>2023-06-005</v>
      </c>
      <c r="K1463" s="164" t="str">
        <f ca="1">IFERROR(__xludf.DUMMYFUNCTION("""COMPUTED_VALUE"""),"MA. THERESA R. RODDRIGUEZ")</f>
        <v>MA. THERESA R. RODDRIGUEZ</v>
      </c>
      <c r="L1463" s="164" t="str">
        <f ca="1">IFERROR(__xludf.DUMMYFUNCTION("""COMPUTED_VALUE"""),"STOD")</f>
        <v>STOD</v>
      </c>
      <c r="M1463" s="164" t="str">
        <f ca="1">IFERROR(__xludf.DUMMYFUNCTION("""COMPUTED_VALUE"""),"SERVICEABLE")</f>
        <v>SERVICEABLE</v>
      </c>
      <c r="N1463" s="164"/>
    </row>
    <row r="1464" spans="1:14" ht="13.2" hidden="1">
      <c r="A1464" s="164" t="str">
        <f ca="1">IFERROR(__xludf.DUMMYFUNCTION("""COMPUTED_VALUE"""),"Region III")</f>
        <v>Region III</v>
      </c>
      <c r="B1464" s="164" t="str">
        <f ca="1">IFERROR(__xludf.DUMMYFUNCTION("""COMPUTED_VALUE"""),"Bulacan")</f>
        <v>Bulacan</v>
      </c>
      <c r="C1464" s="164" t="str">
        <f ca="1">IFERROR(__xludf.DUMMYFUNCTION("""COMPUTED_VALUE"""),"Desktop Computer – (Lenovo M70T)")</f>
        <v>Desktop Computer – (Lenovo M70T)</v>
      </c>
      <c r="D1464" s="164" t="str">
        <f ca="1">IFERROR(__xludf.DUMMYFUNCTION("""COMPUTED_VALUE"""),"₱ 75,468.00")</f>
        <v>₱ 75,468.00</v>
      </c>
      <c r="E1464" s="164" t="str">
        <f ca="1">IFERROR(__xludf.DUMMYFUNCTION("""COMPUTED_VALUE"""),"₱-")</f>
        <v>₱-</v>
      </c>
      <c r="F1464" s="164" t="str">
        <f ca="1">IFERROR(__xludf.DUMMYFUNCTION("""COMPUTED_VALUE"""),"2023-05-03-1021SP807-01 (SPLIT)")</f>
        <v>2023-05-03-1021SP807-01 (SPLIT)</v>
      </c>
      <c r="G1464" s="164" t="str">
        <f ca="1">IFERROR(__xludf.DUMMYFUNCTION("""COMPUTED_VALUE"""),"1S11T5S16200GM041AXL")</f>
        <v>1S11T5S16200GM041AXL</v>
      </c>
      <c r="H1464" s="164" t="str">
        <f ca="1">IFERROR(__xludf.DUMMYFUNCTION("""COMPUTED_VALUE"""),"JELOMEH YALONG-LICLIC")</f>
        <v>JELOMEH YALONG-LICLIC</v>
      </c>
      <c r="I1464" s="164" t="str">
        <f ca="1">IFERROR(__xludf.DUMMYFUNCTION("""COMPUTED_VALUE"""),"ACCOUNTANT II")</f>
        <v>ACCOUNTANT II</v>
      </c>
      <c r="J1464" s="164" t="str">
        <f ca="1">IFERROR(__xludf.DUMMYFUNCTION("""COMPUTED_VALUE"""),"2023-06-006")</f>
        <v>2023-06-006</v>
      </c>
      <c r="K1464" s="164" t="str">
        <f ca="1">IFERROR(__xludf.DUMMYFUNCTION("""COMPUTED_VALUE"""),"FINANCE SUPPORT STAFF")</f>
        <v>FINANCE SUPPORT STAFF</v>
      </c>
      <c r="L1464" s="164" t="str">
        <f ca="1">IFERROR(__xludf.DUMMYFUNCTION("""COMPUTED_VALUE"""),"STOD")</f>
        <v>STOD</v>
      </c>
      <c r="M1464" s="164" t="str">
        <f ca="1">IFERROR(__xludf.DUMMYFUNCTION("""COMPUTED_VALUE"""),"SERVICEABLE")</f>
        <v>SERVICEABLE</v>
      </c>
      <c r="N1464" s="164"/>
    </row>
    <row r="1465" spans="1:14" ht="13.2" hidden="1">
      <c r="A1465" s="164" t="str">
        <f ca="1">IFERROR(__xludf.DUMMYFUNCTION("""COMPUTED_VALUE"""),"Region III")</f>
        <v>Region III</v>
      </c>
      <c r="B1465" s="164" t="str">
        <f ca="1">IFERROR(__xludf.DUMMYFUNCTION("""COMPUTED_VALUE"""),"Bulacan")</f>
        <v>Bulacan</v>
      </c>
      <c r="C1465" s="164" t="str">
        <f ca="1">IFERROR(__xludf.DUMMYFUNCTION("""COMPUTED_VALUE"""),"Desktop Computer – (Lenovo M70T)")</f>
        <v>Desktop Computer – (Lenovo M70T)</v>
      </c>
      <c r="D1465" s="164" t="str">
        <f ca="1">IFERROR(__xludf.DUMMYFUNCTION("""COMPUTED_VALUE"""),"₱ 75,468.00")</f>
        <v>₱ 75,468.00</v>
      </c>
      <c r="E1465" s="164" t="str">
        <f ca="1">IFERROR(__xludf.DUMMYFUNCTION("""COMPUTED_VALUE"""),"₱-")</f>
        <v>₱-</v>
      </c>
      <c r="F1465" s="164" t="str">
        <f ca="1">IFERROR(__xludf.DUMMYFUNCTION("""COMPUTED_VALUE"""),"2023-05-03-1021SP808-01 (SPLIT)")</f>
        <v>2023-05-03-1021SP808-01 (SPLIT)</v>
      </c>
      <c r="G1465" s="164" t="str">
        <f ca="1">IFERROR(__xludf.DUMMYFUNCTION("""COMPUTED_VALUE"""),"1S11T5S16200GM041B7D")</f>
        <v>1S11T5S16200GM041B7D</v>
      </c>
      <c r="H1465" s="164" t="str">
        <f ca="1">IFERROR(__xludf.DUMMYFUNCTION("""COMPUTED_VALUE"""),"MARITES C. BAUTISTA")</f>
        <v>MARITES C. BAUTISTA</v>
      </c>
      <c r="I1465" s="164" t="str">
        <f ca="1">IFERROR(__xludf.DUMMYFUNCTION("""COMPUTED_VALUE"""),"CASHIER")</f>
        <v>CASHIER</v>
      </c>
      <c r="J1465" s="164" t="str">
        <f ca="1">IFERROR(__xludf.DUMMYFUNCTION("""COMPUTED_VALUE"""),"2023-06-007")</f>
        <v>2023-06-007</v>
      </c>
      <c r="K1465" s="164" t="str">
        <f ca="1">IFERROR(__xludf.DUMMYFUNCTION("""COMPUTED_VALUE"""),"ADMIN SUPPORT STAFF")</f>
        <v>ADMIN SUPPORT STAFF</v>
      </c>
      <c r="L1465" s="164" t="str">
        <f ca="1">IFERROR(__xludf.DUMMYFUNCTION("""COMPUTED_VALUE"""),"STOD")</f>
        <v>STOD</v>
      </c>
      <c r="M1465" s="164" t="str">
        <f ca="1">IFERROR(__xludf.DUMMYFUNCTION("""COMPUTED_VALUE"""),"SERVICEABLE")</f>
        <v>SERVICEABLE</v>
      </c>
      <c r="N1465" s="164"/>
    </row>
    <row r="1466" spans="1:14" ht="13.2" hidden="1">
      <c r="A1466" s="164" t="str">
        <f ca="1">IFERROR(__xludf.DUMMYFUNCTION("""COMPUTED_VALUE"""),"Region III")</f>
        <v>Region III</v>
      </c>
      <c r="B1466" s="164" t="str">
        <f ca="1">IFERROR(__xludf.DUMMYFUNCTION("""COMPUTED_VALUE"""),"Bulacan")</f>
        <v>Bulacan</v>
      </c>
      <c r="C1466" s="164" t="str">
        <f ca="1">IFERROR(__xludf.DUMMYFUNCTION("""COMPUTED_VALUE"""),"Desktop Computer – (Lenovo M70T)")</f>
        <v>Desktop Computer – (Lenovo M70T)</v>
      </c>
      <c r="D1466" s="164" t="str">
        <f ca="1">IFERROR(__xludf.DUMMYFUNCTION("""COMPUTED_VALUE"""),"₱ 75,468.00")</f>
        <v>₱ 75,468.00</v>
      </c>
      <c r="E1466" s="164" t="str">
        <f ca="1">IFERROR(__xludf.DUMMYFUNCTION("""COMPUTED_VALUE"""),"₱-")</f>
        <v>₱-</v>
      </c>
      <c r="F1466" s="164" t="str">
        <f ca="1">IFERROR(__xludf.DUMMYFUNCTION("""COMPUTED_VALUE"""),"2023-05-03-1021SP809-01 (SPLIT)")</f>
        <v>2023-05-03-1021SP809-01 (SPLIT)</v>
      </c>
      <c r="G1466" s="164" t="str">
        <f ca="1">IFERROR(__xludf.DUMMYFUNCTION("""COMPUTED_VALUE"""),"1S11T5S16200GM041AXK")</f>
        <v>1S11T5S16200GM041AXK</v>
      </c>
      <c r="H1466" s="164" t="str">
        <f ca="1">IFERROR(__xludf.DUMMYFUNCTION("""COMPUTED_VALUE"""),"ISABEL S. AZURIN")</f>
        <v>ISABEL S. AZURIN</v>
      </c>
      <c r="I1466" s="164" t="str">
        <f ca="1">IFERROR(__xludf.DUMMYFUNCTION("""COMPUTED_VALUE"""),"CARPO")</f>
        <v>CARPO</v>
      </c>
      <c r="J1466" s="164" t="str">
        <f ca="1">IFERROR(__xludf.DUMMYFUNCTION("""COMPUTED_VALUE"""),"2023-06-008")</f>
        <v>2023-06-008</v>
      </c>
      <c r="K1466" s="164" t="str">
        <f ca="1">IFERROR(__xludf.DUMMYFUNCTION("""COMPUTED_VALUE"""),"PROCESSOR SUPPORT STAFF")</f>
        <v>PROCESSOR SUPPORT STAFF</v>
      </c>
      <c r="L1466" s="164" t="str">
        <f ca="1">IFERROR(__xludf.DUMMYFUNCTION("""COMPUTED_VALUE"""),"LTID")</f>
        <v>LTID</v>
      </c>
      <c r="M1466" s="164" t="str">
        <f ca="1">IFERROR(__xludf.DUMMYFUNCTION("""COMPUTED_VALUE"""),"SERVICEABLE")</f>
        <v>SERVICEABLE</v>
      </c>
      <c r="N1466" s="164"/>
    </row>
    <row r="1467" spans="1:14" ht="13.2" hidden="1">
      <c r="A1467" s="164" t="str">
        <f ca="1">IFERROR(__xludf.DUMMYFUNCTION("""COMPUTED_VALUE"""),"Region III")</f>
        <v>Region III</v>
      </c>
      <c r="B1467" s="164" t="str">
        <f ca="1">IFERROR(__xludf.DUMMYFUNCTION("""COMPUTED_VALUE"""),"Bulacan")</f>
        <v>Bulacan</v>
      </c>
      <c r="C1467" s="164" t="str">
        <f ca="1">IFERROR(__xludf.DUMMYFUNCTION("""COMPUTED_VALUE"""),"Desktop Computer – (Lenovo M70T)")</f>
        <v>Desktop Computer – (Lenovo M70T)</v>
      </c>
      <c r="D1467" s="164" t="str">
        <f ca="1">IFERROR(__xludf.DUMMYFUNCTION("""COMPUTED_VALUE"""),"₱ 75,468.00")</f>
        <v>₱ 75,468.00</v>
      </c>
      <c r="E1467" s="164" t="str">
        <f ca="1">IFERROR(__xludf.DUMMYFUNCTION("""COMPUTED_VALUE"""),"₱-")</f>
        <v>₱-</v>
      </c>
      <c r="F1467" s="164" t="str">
        <f ca="1">IFERROR(__xludf.DUMMYFUNCTION("""COMPUTED_VALUE"""),"2023-05-03-1021SP810-01 (SPLIT)")</f>
        <v>2023-05-03-1021SP810-01 (SPLIT)</v>
      </c>
      <c r="G1467" s="164" t="str">
        <f ca="1">IFERROR(__xludf.DUMMYFUNCTION("""COMPUTED_VALUE"""),"1S11T5S16200GM041AQ1")</f>
        <v>1S11T5S16200GM041AQ1</v>
      </c>
      <c r="H1467" s="164" t="str">
        <f ca="1">IFERROR(__xludf.DUMMYFUNCTION("""COMPUTED_VALUE"""),"ISABEL S. AZURIN")</f>
        <v>ISABEL S. AZURIN</v>
      </c>
      <c r="I1467" s="164" t="str">
        <f ca="1">IFERROR(__xludf.DUMMYFUNCTION("""COMPUTED_VALUE"""),"CARPO")</f>
        <v>CARPO</v>
      </c>
      <c r="J1467" s="164" t="str">
        <f ca="1">IFERROR(__xludf.DUMMYFUNCTION("""COMPUTED_VALUE"""),"2023-06-009")</f>
        <v>2023-06-009</v>
      </c>
      <c r="K1467" s="164" t="str">
        <f ca="1">IFERROR(__xludf.DUMMYFUNCTION("""COMPUTED_VALUE"""),"PROCESSOR SUPPORT STAFF")</f>
        <v>PROCESSOR SUPPORT STAFF</v>
      </c>
      <c r="L1467" s="164" t="str">
        <f ca="1">IFERROR(__xludf.DUMMYFUNCTION("""COMPUTED_VALUE"""),"LTID")</f>
        <v>LTID</v>
      </c>
      <c r="M1467" s="164" t="str">
        <f ca="1">IFERROR(__xludf.DUMMYFUNCTION("""COMPUTED_VALUE"""),"SERVICEABLE")</f>
        <v>SERVICEABLE</v>
      </c>
      <c r="N1467" s="164"/>
    </row>
    <row r="1468" spans="1:14" ht="13.2" hidden="1">
      <c r="A1468" s="164" t="str">
        <f ca="1">IFERROR(__xludf.DUMMYFUNCTION("""COMPUTED_VALUE"""),"Region III")</f>
        <v>Region III</v>
      </c>
      <c r="B1468" s="164" t="str">
        <f ca="1">IFERROR(__xludf.DUMMYFUNCTION("""COMPUTED_VALUE"""),"Bulacan")</f>
        <v>Bulacan</v>
      </c>
      <c r="C1468" s="164" t="str">
        <f ca="1">IFERROR(__xludf.DUMMYFUNCTION("""COMPUTED_VALUE"""),"Desktop Computer – (Lenovo M70T)")</f>
        <v>Desktop Computer – (Lenovo M70T)</v>
      </c>
      <c r="D1468" s="164" t="str">
        <f ca="1">IFERROR(__xludf.DUMMYFUNCTION("""COMPUTED_VALUE"""),"₱ 75,468.00")</f>
        <v>₱ 75,468.00</v>
      </c>
      <c r="E1468" s="164" t="str">
        <f ca="1">IFERROR(__xludf.DUMMYFUNCTION("""COMPUTED_VALUE"""),"₱-")</f>
        <v>₱-</v>
      </c>
      <c r="F1468" s="164" t="str">
        <f ca="1">IFERROR(__xludf.DUMMYFUNCTION("""COMPUTED_VALUE"""),"2023-05-03-1021SP811-01 (SPLIT)")</f>
        <v>2023-05-03-1021SP811-01 (SPLIT)</v>
      </c>
      <c r="G1468" s="164" t="str">
        <f ca="1">IFERROR(__xludf.DUMMYFUNCTION("""COMPUTED_VALUE"""),"1S11T5S16200GM04161E")</f>
        <v>1S11T5S16200GM04161E</v>
      </c>
      <c r="H1468" s="164" t="str">
        <f ca="1">IFERROR(__xludf.DUMMYFUNCTION("""COMPUTED_VALUE"""),"ISABEL S. AZURIN")</f>
        <v>ISABEL S. AZURIN</v>
      </c>
      <c r="I1468" s="164" t="str">
        <f ca="1">IFERROR(__xludf.DUMMYFUNCTION("""COMPUTED_VALUE"""),"CARPO")</f>
        <v>CARPO</v>
      </c>
      <c r="J1468" s="164" t="str">
        <f ca="1">IFERROR(__xludf.DUMMYFUNCTION("""COMPUTED_VALUE"""),"2023-06-010")</f>
        <v>2023-06-010</v>
      </c>
      <c r="K1468" s="164" t="str">
        <f ca="1">IFERROR(__xludf.DUMMYFUNCTION("""COMPUTED_VALUE"""),"MIS")</f>
        <v>MIS</v>
      </c>
      <c r="L1468" s="164" t="str">
        <f ca="1">IFERROR(__xludf.DUMMYFUNCTION("""COMPUTED_VALUE"""),"LTID")</f>
        <v>LTID</v>
      </c>
      <c r="M1468" s="164" t="str">
        <f ca="1">IFERROR(__xludf.DUMMYFUNCTION("""COMPUTED_VALUE"""),"SERVICEABLE")</f>
        <v>SERVICEABLE</v>
      </c>
      <c r="N1468" s="164"/>
    </row>
    <row r="1469" spans="1:14" ht="13.2" hidden="1">
      <c r="A1469" s="164" t="str">
        <f ca="1">IFERROR(__xludf.DUMMYFUNCTION("""COMPUTED_VALUE"""),"Region III")</f>
        <v>Region III</v>
      </c>
      <c r="B1469" s="164" t="str">
        <f ca="1">IFERROR(__xludf.DUMMYFUNCTION("""COMPUTED_VALUE"""),"Bulacan")</f>
        <v>Bulacan</v>
      </c>
      <c r="C1469" s="164" t="str">
        <f ca="1">IFERROR(__xludf.DUMMYFUNCTION("""COMPUTED_VALUE"""),"Desktop Computer – (Lenovo M70T)")</f>
        <v>Desktop Computer – (Lenovo M70T)</v>
      </c>
      <c r="D1469" s="164" t="str">
        <f ca="1">IFERROR(__xludf.DUMMYFUNCTION("""COMPUTED_VALUE"""),"₱ 75,468.00")</f>
        <v>₱ 75,468.00</v>
      </c>
      <c r="E1469" s="164" t="str">
        <f ca="1">IFERROR(__xludf.DUMMYFUNCTION("""COMPUTED_VALUE"""),"₱-")</f>
        <v>₱-</v>
      </c>
      <c r="F1469" s="164" t="str">
        <f ca="1">IFERROR(__xludf.DUMMYFUNCTION("""COMPUTED_VALUE"""),"2023-05-03-1021SP812-01 (SPLIT)")</f>
        <v>2023-05-03-1021SP812-01 (SPLIT)</v>
      </c>
      <c r="G1469" s="164" t="str">
        <f ca="1">IFERROR(__xludf.DUMMYFUNCTION("""COMPUTED_VALUE"""),"1S11T5S16200GM041B1C")</f>
        <v>1S11T5S16200GM041B1C</v>
      </c>
      <c r="H1469" s="164" t="str">
        <f ca="1">IFERROR(__xludf.DUMMYFUNCTION("""COMPUTED_VALUE"""),"NORA BUENCAMINO")</f>
        <v>NORA BUENCAMINO</v>
      </c>
      <c r="I1469" s="164" t="str">
        <f ca="1">IFERROR(__xludf.DUMMYFUNCTION("""COMPUTED_VALUE"""),"BUDGET")</f>
        <v>BUDGET</v>
      </c>
      <c r="J1469" s="164" t="str">
        <f ca="1">IFERROR(__xludf.DUMMYFUNCTION("""COMPUTED_VALUE"""),"2023-06-011")</f>
        <v>2023-06-011</v>
      </c>
      <c r="K1469" s="164" t="str">
        <f ca="1">IFERROR(__xludf.DUMMYFUNCTION("""COMPUTED_VALUE"""),"BUDGET OFFICER")</f>
        <v>BUDGET OFFICER</v>
      </c>
      <c r="L1469" s="164" t="str">
        <f ca="1">IFERROR(__xludf.DUMMYFUNCTION("""COMPUTED_VALUE"""),"STOD")</f>
        <v>STOD</v>
      </c>
      <c r="M1469" s="164" t="str">
        <f ca="1">IFERROR(__xludf.DUMMYFUNCTION("""COMPUTED_VALUE"""),"SERVICEABLE")</f>
        <v>SERVICEABLE</v>
      </c>
      <c r="N1469" s="164"/>
    </row>
    <row r="1470" spans="1:14" ht="13.2" hidden="1">
      <c r="A1470" s="164" t="str">
        <f ca="1">IFERROR(__xludf.DUMMYFUNCTION("""COMPUTED_VALUE"""),"Region III")</f>
        <v>Region III</v>
      </c>
      <c r="B1470" s="164" t="str">
        <f ca="1">IFERROR(__xludf.DUMMYFUNCTION("""COMPUTED_VALUE"""),"Bulacan")</f>
        <v>Bulacan</v>
      </c>
      <c r="C1470" s="164" t="str">
        <f ca="1">IFERROR(__xludf.DUMMYFUNCTION("""COMPUTED_VALUE"""),"Desktop Computer – (Lenovo M70T)")</f>
        <v>Desktop Computer – (Lenovo M70T)</v>
      </c>
      <c r="D1470" s="164" t="str">
        <f ca="1">IFERROR(__xludf.DUMMYFUNCTION("""COMPUTED_VALUE"""),"₱ 75,468.00")</f>
        <v>₱ 75,468.00</v>
      </c>
      <c r="E1470" s="164" t="str">
        <f ca="1">IFERROR(__xludf.DUMMYFUNCTION("""COMPUTED_VALUE"""),"₱-")</f>
        <v>₱-</v>
      </c>
      <c r="F1470" s="164" t="str">
        <f ca="1">IFERROR(__xludf.DUMMYFUNCTION("""COMPUTED_VALUE"""),"2023-05-03-1021SP813-01 (SPLIT)")</f>
        <v>2023-05-03-1021SP813-01 (SPLIT)</v>
      </c>
      <c r="G1470" s="164" t="str">
        <f ca="1">IFERROR(__xludf.DUMMYFUNCTION("""COMPUTED_VALUE"""),"1S11T5S16200GM041ANH")</f>
        <v>1S11T5S16200GM041ANH</v>
      </c>
      <c r="H1470" s="164" t="str">
        <f ca="1">IFERROR(__xludf.DUMMYFUNCTION("""COMPUTED_VALUE"""),"JOSIE P. CORONEL")</f>
        <v>JOSIE P. CORONEL</v>
      </c>
      <c r="I1470" s="164" t="str">
        <f ca="1">IFERROR(__xludf.DUMMYFUNCTION("""COMPUTED_VALUE"""),"SARPO")</f>
        <v>SARPO</v>
      </c>
      <c r="J1470" s="164" t="str">
        <f ca="1">IFERROR(__xludf.DUMMYFUNCTION("""COMPUTED_VALUE"""),"2023-06-012")</f>
        <v>2023-06-012</v>
      </c>
      <c r="K1470" s="164" t="str">
        <f ca="1">IFERROR(__xludf.DUMMYFUNCTION("""COMPUTED_VALUE"""),"JOSIE P. CORONEL")</f>
        <v>JOSIE P. CORONEL</v>
      </c>
      <c r="L1470" s="164" t="str">
        <f ca="1">IFERROR(__xludf.DUMMYFUNCTION("""COMPUTED_VALUE"""),"LTID")</f>
        <v>LTID</v>
      </c>
      <c r="M1470" s="164" t="str">
        <f ca="1">IFERROR(__xludf.DUMMYFUNCTION("""COMPUTED_VALUE"""),"SERVICEABLE")</f>
        <v>SERVICEABLE</v>
      </c>
      <c r="N1470" s="164"/>
    </row>
    <row r="1471" spans="1:14" ht="13.2" hidden="1">
      <c r="A1471" s="164" t="str">
        <f ca="1">IFERROR(__xludf.DUMMYFUNCTION("""COMPUTED_VALUE"""),"Region III")</f>
        <v>Region III</v>
      </c>
      <c r="B1471" s="164" t="str">
        <f ca="1">IFERROR(__xludf.DUMMYFUNCTION("""COMPUTED_VALUE"""),"Bulacan")</f>
        <v>Bulacan</v>
      </c>
      <c r="C1471" s="164" t="str">
        <f ca="1">IFERROR(__xludf.DUMMYFUNCTION("""COMPUTED_VALUE"""),"Desktop Computer – (Lenovo M70T)")</f>
        <v>Desktop Computer – (Lenovo M70T)</v>
      </c>
      <c r="D1471" s="164" t="str">
        <f ca="1">IFERROR(__xludf.DUMMYFUNCTION("""COMPUTED_VALUE"""),"₱ 75,468.00")</f>
        <v>₱ 75,468.00</v>
      </c>
      <c r="E1471" s="164" t="str">
        <f ca="1">IFERROR(__xludf.DUMMYFUNCTION("""COMPUTED_VALUE"""),"₱-")</f>
        <v>₱-</v>
      </c>
      <c r="F1471" s="164" t="str">
        <f ca="1">IFERROR(__xludf.DUMMYFUNCTION("""COMPUTED_VALUE"""),"2023-05-03-1021SP814-01 (SPLIT)")</f>
        <v>2023-05-03-1021SP814-01 (SPLIT)</v>
      </c>
      <c r="G1471" s="164" t="str">
        <f ca="1">IFERROR(__xludf.DUMMYFUNCTION("""COMPUTED_VALUE"""),"1S11T5S16200GM041B6Z")</f>
        <v>1S11T5S16200GM041B6Z</v>
      </c>
      <c r="H1471" s="164" t="str">
        <f ca="1">IFERROR(__xludf.DUMMYFUNCTION("""COMPUTED_VALUE"""),"LUCILA P. VILLARAIZ")</f>
        <v>LUCILA P. VILLARAIZ</v>
      </c>
      <c r="I1471" s="164" t="str">
        <f ca="1">IFERROR(__xludf.DUMMYFUNCTION("""COMPUTED_VALUE"""),"ARPO II")</f>
        <v>ARPO II</v>
      </c>
      <c r="J1471" s="164" t="str">
        <f ca="1">IFERROR(__xludf.DUMMYFUNCTION("""COMPUTED_VALUE"""),"2023-06-013")</f>
        <v>2023-06-013</v>
      </c>
      <c r="K1471" s="164" t="str">
        <f ca="1">IFERROR(__xludf.DUMMYFUNCTION("""COMPUTED_VALUE"""),"LUCILA P. VILLARAIZ")</f>
        <v>LUCILA P. VILLARAIZ</v>
      </c>
      <c r="L1471" s="164" t="str">
        <f ca="1">IFERROR(__xludf.DUMMYFUNCTION("""COMPUTED_VALUE"""),"LTID")</f>
        <v>LTID</v>
      </c>
      <c r="M1471" s="164" t="str">
        <f ca="1">IFERROR(__xludf.DUMMYFUNCTION("""COMPUTED_VALUE"""),"SERVICEABLE")</f>
        <v>SERVICEABLE</v>
      </c>
      <c r="N1471" s="164"/>
    </row>
    <row r="1472" spans="1:14" ht="13.2" hidden="1">
      <c r="A1472" s="164" t="str">
        <f ca="1">IFERROR(__xludf.DUMMYFUNCTION("""COMPUTED_VALUE"""),"Region III")</f>
        <v>Region III</v>
      </c>
      <c r="B1472" s="164" t="str">
        <f ca="1">IFERROR(__xludf.DUMMYFUNCTION("""COMPUTED_VALUE"""),"Bulacan")</f>
        <v>Bulacan</v>
      </c>
      <c r="C1472" s="164" t="str">
        <f ca="1">IFERROR(__xludf.DUMMYFUNCTION("""COMPUTED_VALUE"""),"Desktop Computer – (Lenovo M70T)")</f>
        <v>Desktop Computer – (Lenovo M70T)</v>
      </c>
      <c r="D1472" s="164" t="str">
        <f ca="1">IFERROR(__xludf.DUMMYFUNCTION("""COMPUTED_VALUE"""),"₱ 75,468.00")</f>
        <v>₱ 75,468.00</v>
      </c>
      <c r="E1472" s="164" t="str">
        <f ca="1">IFERROR(__xludf.DUMMYFUNCTION("""COMPUTED_VALUE"""),"₱-")</f>
        <v>₱-</v>
      </c>
      <c r="F1472" s="164" t="str">
        <f ca="1">IFERROR(__xludf.DUMMYFUNCTION("""COMPUTED_VALUE"""),"2023-05-03-1021SP815-01 (SPLIT)")</f>
        <v>2023-05-03-1021SP815-01 (SPLIT)</v>
      </c>
      <c r="G1472" s="164" t="str">
        <f ca="1">IFERROR(__xludf.DUMMYFUNCTION("""COMPUTED_VALUE"""),"1S11T5S16200GM041ANQ")</f>
        <v>1S11T5S16200GM041ANQ</v>
      </c>
      <c r="H1472" s="164" t="str">
        <f ca="1">IFERROR(__xludf.DUMMYFUNCTION("""COMPUTED_VALUE"""),"VICTOR ROMMEL N. MAGNO")</f>
        <v>VICTOR ROMMEL N. MAGNO</v>
      </c>
      <c r="I1472" s="164" t="str">
        <f ca="1">IFERROR(__xludf.DUMMYFUNCTION("""COMPUTED_VALUE"""),"AO IV")</f>
        <v>AO IV</v>
      </c>
      <c r="J1472" s="164" t="str">
        <f ca="1">IFERROR(__xludf.DUMMYFUNCTION("""COMPUTED_VALUE"""),"2023-06-014")</f>
        <v>2023-06-014</v>
      </c>
      <c r="K1472" s="164" t="str">
        <f ca="1">IFERROR(__xludf.DUMMYFUNCTION("""COMPUTED_VALUE"""),"PROCUREMENT SUPPORT STAFF")</f>
        <v>PROCUREMENT SUPPORT STAFF</v>
      </c>
      <c r="L1472" s="164" t="str">
        <f ca="1">IFERROR(__xludf.DUMMYFUNCTION("""COMPUTED_VALUE"""),"STOD")</f>
        <v>STOD</v>
      </c>
      <c r="M1472" s="164" t="str">
        <f ca="1">IFERROR(__xludf.DUMMYFUNCTION("""COMPUTED_VALUE"""),"SERVICEABLE")</f>
        <v>SERVICEABLE</v>
      </c>
      <c r="N1472" s="164"/>
    </row>
    <row r="1473" spans="1:14" ht="13.2" hidden="1">
      <c r="A1473" s="164" t="str">
        <f ca="1">IFERROR(__xludf.DUMMYFUNCTION("""COMPUTED_VALUE"""),"Region III")</f>
        <v>Region III</v>
      </c>
      <c r="B1473" s="164" t="str">
        <f ca="1">IFERROR(__xludf.DUMMYFUNCTION("""COMPUTED_VALUE"""),"Bulacan")</f>
        <v>Bulacan</v>
      </c>
      <c r="C1473" s="164" t="str">
        <f ca="1">IFERROR(__xludf.DUMMYFUNCTION("""COMPUTED_VALUE"""),"Desktop Computer – (HP Pro SFF 280G9)")</f>
        <v>Desktop Computer – (HP Pro SFF 280G9)</v>
      </c>
      <c r="D1473" s="164" t="str">
        <f ca="1">IFERROR(__xludf.DUMMYFUNCTION("""COMPUTED_VALUE"""),"₱ 78,898.00")</f>
        <v>₱ 78,898.00</v>
      </c>
      <c r="E1473" s="164" t="str">
        <f ca="1">IFERROR(__xludf.DUMMYFUNCTION("""COMPUTED_VALUE"""),"₱-")</f>
        <v>₱-</v>
      </c>
      <c r="F1473" s="164" t="str">
        <f ca="1">IFERROR(__xludf.DUMMYFUNCTION("""COMPUTED_VALUE"""),"2023-05-03-10201SP319-01")</f>
        <v>2023-05-03-10201SP319-01</v>
      </c>
      <c r="G1473" s="164" t="str">
        <f ca="1">IFERROR(__xludf.DUMMYFUNCTION("""COMPUTED_VALUE"""),"4CE301DSNX")</f>
        <v>4CE301DSNX</v>
      </c>
      <c r="H1473" s="164" t="str">
        <f ca="1">IFERROR(__xludf.DUMMYFUNCTION("""COMPUTED_VALUE"""),"VICTOR ROMMEL N. MAGNO")</f>
        <v>VICTOR ROMMEL N. MAGNO</v>
      </c>
      <c r="I1473" s="164" t="str">
        <f ca="1">IFERROR(__xludf.DUMMYFUNCTION("""COMPUTED_VALUE"""),"AO IV")</f>
        <v>AO IV</v>
      </c>
      <c r="J1473" s="164" t="str">
        <f ca="1">IFERROR(__xludf.DUMMYFUNCTION("""COMPUTED_VALUE"""),"2023-09-001")</f>
        <v>2023-09-001</v>
      </c>
      <c r="K1473" s="164" t="str">
        <f ca="1">IFERROR(__xludf.DUMMYFUNCTION("""COMPUTED_VALUE"""),"MIS-LCMS")</f>
        <v>MIS-LCMS</v>
      </c>
      <c r="L1473" s="164" t="str">
        <f ca="1">IFERROR(__xludf.DUMMYFUNCTION("""COMPUTED_VALUE"""),"STOD")</f>
        <v>STOD</v>
      </c>
      <c r="M1473" s="164" t="str">
        <f ca="1">IFERROR(__xludf.DUMMYFUNCTION("""COMPUTED_VALUE"""),"SERVICEABLE")</f>
        <v>SERVICEABLE</v>
      </c>
      <c r="N1473" s="164"/>
    </row>
    <row r="1474" spans="1:14" ht="13.2" hidden="1">
      <c r="A1474" s="164" t="str">
        <f ca="1">IFERROR(__xludf.DUMMYFUNCTION("""COMPUTED_VALUE"""),"Region III")</f>
        <v>Region III</v>
      </c>
      <c r="B1474" s="164" t="str">
        <f ca="1">IFERROR(__xludf.DUMMYFUNCTION("""COMPUTED_VALUE"""),"Bulacan")</f>
        <v>Bulacan</v>
      </c>
      <c r="C1474" s="164" t="str">
        <f ca="1">IFERROR(__xludf.DUMMYFUNCTION("""COMPUTED_VALUE"""),"Desktop Computer – (HP Pro SFF 280G9)")</f>
        <v>Desktop Computer – (HP Pro SFF 280G9)</v>
      </c>
      <c r="D1474" s="164" t="str">
        <f ca="1">IFERROR(__xludf.DUMMYFUNCTION("""COMPUTED_VALUE"""),"₱ 78,898.00")</f>
        <v>₱ 78,898.00</v>
      </c>
      <c r="E1474" s="164" t="str">
        <f ca="1">IFERROR(__xludf.DUMMYFUNCTION("""COMPUTED_VALUE"""),"₱-")</f>
        <v>₱-</v>
      </c>
      <c r="F1474" s="164" t="str">
        <f ca="1">IFERROR(__xludf.DUMMYFUNCTION("""COMPUTED_VALUE"""),"2023-05-03-10201SP320-01")</f>
        <v>2023-05-03-10201SP320-01</v>
      </c>
      <c r="G1474" s="164" t="str">
        <f ca="1">IFERROR(__xludf.DUMMYFUNCTION("""COMPUTED_VALUE"""),"4CE301DH32")</f>
        <v>4CE301DH32</v>
      </c>
      <c r="H1474" s="164" t="str">
        <f ca="1">IFERROR(__xludf.DUMMYFUNCTION("""COMPUTED_VALUE"""),"ISABEL S. AZURIN")</f>
        <v>ISABEL S. AZURIN</v>
      </c>
      <c r="I1474" s="164" t="str">
        <f ca="1">IFERROR(__xludf.DUMMYFUNCTION("""COMPUTED_VALUE"""),"CARPO")</f>
        <v>CARPO</v>
      </c>
      <c r="J1474" s="164" t="str">
        <f ca="1">IFERROR(__xludf.DUMMYFUNCTION("""COMPUTED_VALUE"""),"2023-09-002")</f>
        <v>2023-09-002</v>
      </c>
      <c r="K1474" s="164" t="str">
        <f ca="1">IFERROR(__xludf.DUMMYFUNCTION("""COMPUTED_VALUE"""),"FVT")</f>
        <v>FVT</v>
      </c>
      <c r="L1474" s="164" t="str">
        <f ca="1">IFERROR(__xludf.DUMMYFUNCTION("""COMPUTED_VALUE"""),"LTID")</f>
        <v>LTID</v>
      </c>
      <c r="M1474" s="164" t="str">
        <f ca="1">IFERROR(__xludf.DUMMYFUNCTION("""COMPUTED_VALUE"""),"SERVICEABLE")</f>
        <v>SERVICEABLE</v>
      </c>
      <c r="N1474" s="164"/>
    </row>
    <row r="1475" spans="1:14" ht="13.2" hidden="1">
      <c r="A1475" s="164" t="str">
        <f ca="1">IFERROR(__xludf.DUMMYFUNCTION("""COMPUTED_VALUE"""),"Region III")</f>
        <v>Region III</v>
      </c>
      <c r="B1475" s="164" t="str">
        <f ca="1">IFERROR(__xludf.DUMMYFUNCTION("""COMPUTED_VALUE"""),"Bulacan")</f>
        <v>Bulacan</v>
      </c>
      <c r="C1475" s="164" t="str">
        <f ca="1">IFERROR(__xludf.DUMMYFUNCTION("""COMPUTED_VALUE"""),"Laptop – (ACER EXTENSA EX215-55G i7)")</f>
        <v>Laptop – (ACER EXTENSA EX215-55G i7)</v>
      </c>
      <c r="D1475" s="164" t="str">
        <f ca="1">IFERROR(__xludf.DUMMYFUNCTION("""COMPUTED_VALUE"""),"₱ 59,500.00")</f>
        <v>₱ 59,500.00</v>
      </c>
      <c r="E1475" s="164" t="str">
        <f ca="1">IFERROR(__xludf.DUMMYFUNCTION("""COMPUTED_VALUE"""),"₱-")</f>
        <v>₱-</v>
      </c>
      <c r="F1475" s="164" t="str">
        <f ca="1">IFERROR(__xludf.DUMMYFUNCTION("""COMPUTED_VALUE"""),"2023-05-03-10201SP146-01 (SPLIT)")</f>
        <v>2023-05-03-10201SP146-01 (SPLIT)</v>
      </c>
      <c r="G1475" s="164"/>
      <c r="H1475" s="164" t="str">
        <f ca="1">IFERROR(__xludf.DUMMYFUNCTION("""COMPUTED_VALUE"""),"ISABEL S. AZURIN")</f>
        <v>ISABEL S. AZURIN</v>
      </c>
      <c r="I1475" s="164" t="str">
        <f ca="1">IFERROR(__xludf.DUMMYFUNCTION("""COMPUTED_VALUE"""),"CARPO")</f>
        <v>CARPO</v>
      </c>
      <c r="J1475" s="164" t="str">
        <f ca="1">IFERROR(__xludf.DUMMYFUNCTION("""COMPUTED_VALUE"""),"2023-09-003")</f>
        <v>2023-09-003</v>
      </c>
      <c r="K1475" s="164" t="str">
        <f ca="1">IFERROR(__xludf.DUMMYFUNCTION("""COMPUTED_VALUE"""),"ISABEL S. AZURIN")</f>
        <v>ISABEL S. AZURIN</v>
      </c>
      <c r="L1475" s="164" t="str">
        <f ca="1">IFERROR(__xludf.DUMMYFUNCTION("""COMPUTED_VALUE"""),"LTID")</f>
        <v>LTID</v>
      </c>
      <c r="M1475" s="164" t="str">
        <f ca="1">IFERROR(__xludf.DUMMYFUNCTION("""COMPUTED_VALUE"""),"SERVICEABLE")</f>
        <v>SERVICEABLE</v>
      </c>
      <c r="N1475" s="164"/>
    </row>
    <row r="1476" spans="1:14" ht="13.2" hidden="1">
      <c r="A1476" s="164" t="str">
        <f ca="1">IFERROR(__xludf.DUMMYFUNCTION("""COMPUTED_VALUE"""),"Region III")</f>
        <v>Region III</v>
      </c>
      <c r="B1476" s="164" t="str">
        <f ca="1">IFERROR(__xludf.DUMMYFUNCTION("""COMPUTED_VALUE"""),"Bulacan")</f>
        <v>Bulacan</v>
      </c>
      <c r="C1476" s="164" t="str">
        <f ca="1">IFERROR(__xludf.DUMMYFUNCTION("""COMPUTED_VALUE"""),"Laptop – (ACER EXTENSA EX215-55G i7)")</f>
        <v>Laptop – (ACER EXTENSA EX215-55G i7)</v>
      </c>
      <c r="D1476" s="164" t="str">
        <f ca="1">IFERROR(__xludf.DUMMYFUNCTION("""COMPUTED_VALUE"""),"₱ 59,500.00")</f>
        <v>₱ 59,500.00</v>
      </c>
      <c r="E1476" s="164" t="str">
        <f ca="1">IFERROR(__xludf.DUMMYFUNCTION("""COMPUTED_VALUE"""),"₱-")</f>
        <v>₱-</v>
      </c>
      <c r="F1476" s="164" t="str">
        <f ca="1">IFERROR(__xludf.DUMMYFUNCTION("""COMPUTED_VALUE"""),"2023-05-03-10201SP147-01 (SPLIT)")</f>
        <v>2023-05-03-10201SP147-01 (SPLIT)</v>
      </c>
      <c r="G1476" s="164"/>
      <c r="H1476" s="164" t="str">
        <f ca="1">IFERROR(__xludf.DUMMYFUNCTION("""COMPUTED_VALUE"""),"LUCILA P. VILLARAIZ")</f>
        <v>LUCILA P. VILLARAIZ</v>
      </c>
      <c r="I1476" s="164" t="str">
        <f ca="1">IFERROR(__xludf.DUMMYFUNCTION("""COMPUTED_VALUE"""),"ARPO II")</f>
        <v>ARPO II</v>
      </c>
      <c r="J1476" s="164" t="str">
        <f ca="1">IFERROR(__xludf.DUMMYFUNCTION("""COMPUTED_VALUE"""),"2023-09-004")</f>
        <v>2023-09-004</v>
      </c>
      <c r="K1476" s="164" t="str">
        <f ca="1">IFERROR(__xludf.DUMMYFUNCTION("""COMPUTED_VALUE"""),"LUCILA P. VILLARAIZ")</f>
        <v>LUCILA P. VILLARAIZ</v>
      </c>
      <c r="L1476" s="164" t="str">
        <f ca="1">IFERROR(__xludf.DUMMYFUNCTION("""COMPUTED_VALUE"""),"LTID")</f>
        <v>LTID</v>
      </c>
      <c r="M1476" s="164" t="str">
        <f ca="1">IFERROR(__xludf.DUMMYFUNCTION("""COMPUTED_VALUE"""),"SERVICEABLE")</f>
        <v>SERVICEABLE</v>
      </c>
      <c r="N1476" s="164"/>
    </row>
    <row r="1477" spans="1:14" ht="13.2" hidden="1">
      <c r="A1477" s="164" t="str">
        <f ca="1">IFERROR(__xludf.DUMMYFUNCTION("""COMPUTED_VALUE"""),"Region III")</f>
        <v>Region III</v>
      </c>
      <c r="B1477" s="164" t="str">
        <f ca="1">IFERROR(__xludf.DUMMYFUNCTION("""COMPUTED_VALUE"""),"Bulacan")</f>
        <v>Bulacan</v>
      </c>
      <c r="C1477" s="164" t="str">
        <f ca="1">IFERROR(__xludf.DUMMYFUNCTION("""COMPUTED_VALUE"""),"Laptop – (ACER EXTENSA EX215-55G i7)")</f>
        <v>Laptop – (ACER EXTENSA EX215-55G i7)</v>
      </c>
      <c r="D1477" s="164" t="str">
        <f ca="1">IFERROR(__xludf.DUMMYFUNCTION("""COMPUTED_VALUE"""),"₱ 59,500.00")</f>
        <v>₱ 59,500.00</v>
      </c>
      <c r="E1477" s="164" t="str">
        <f ca="1">IFERROR(__xludf.DUMMYFUNCTION("""COMPUTED_VALUE"""),"₱-")</f>
        <v>₱-</v>
      </c>
      <c r="F1477" s="164" t="str">
        <f ca="1">IFERROR(__xludf.DUMMYFUNCTION("""COMPUTED_VALUE"""),"2023-05-03-10202SP47-01 (SPLIT)")</f>
        <v>2023-05-03-10202SP47-01 (SPLIT)</v>
      </c>
      <c r="G1477" s="164"/>
      <c r="H1477" s="164" t="str">
        <f ca="1">IFERROR(__xludf.DUMMYFUNCTION("""COMPUTED_VALUE"""),"CHIDETTE AIRA C. NATINGA")</f>
        <v>CHIDETTE AIRA C. NATINGA</v>
      </c>
      <c r="I1477" s="164" t="str">
        <f ca="1">IFERROR(__xludf.DUMMYFUNCTION("""COMPUTED_VALUE"""),"ARPO I")</f>
        <v>ARPO I</v>
      </c>
      <c r="J1477" s="164" t="str">
        <f ca="1">IFERROR(__xludf.DUMMYFUNCTION("""COMPUTED_VALUE"""),"2023-11-001")</f>
        <v>2023-11-001</v>
      </c>
      <c r="K1477" s="164" t="str">
        <f ca="1">IFERROR(__xludf.DUMMYFUNCTION("""COMPUTED_VALUE"""),"CHIDETTE AIRA C. NATINGA")</f>
        <v>CHIDETTE AIRA C. NATINGA</v>
      </c>
      <c r="L1477" s="164" t="str">
        <f ca="1">IFERROR(__xludf.DUMMYFUNCTION("""COMPUTED_VALUE"""),"PBDD")</f>
        <v>PBDD</v>
      </c>
      <c r="M1477" s="164" t="str">
        <f ca="1">IFERROR(__xludf.DUMMYFUNCTION("""COMPUTED_VALUE"""),"SERVICEABLE")</f>
        <v>SERVICEABLE</v>
      </c>
      <c r="N1477" s="164"/>
    </row>
    <row r="1478" spans="1:14" ht="13.2" hidden="1">
      <c r="A1478" s="164" t="str">
        <f ca="1">IFERROR(__xludf.DUMMYFUNCTION("""COMPUTED_VALUE"""),"Region III")</f>
        <v>Region III</v>
      </c>
      <c r="B1478" s="164" t="str">
        <f ca="1">IFERROR(__xludf.DUMMYFUNCTION("""COMPUTED_VALUE"""),"Bulacan")</f>
        <v>Bulacan</v>
      </c>
      <c r="C1478" s="164" t="str">
        <f ca="1">IFERROR(__xludf.DUMMYFUNCTION("""COMPUTED_VALUE"""),"Photocopier Machine – Kyocera")</f>
        <v>Photocopier Machine – Kyocera</v>
      </c>
      <c r="D1478" s="164" t="str">
        <f ca="1">IFERROR(__xludf.DUMMYFUNCTION("""COMPUTED_VALUE"""),"₱ 84,500.00")</f>
        <v>₱ 84,500.00</v>
      </c>
      <c r="E1478" s="164" t="str">
        <f ca="1">IFERROR(__xludf.DUMMYFUNCTION("""COMPUTED_VALUE"""),"₱-")</f>
        <v>₱-</v>
      </c>
      <c r="F1478" s="164" t="str">
        <f ca="1">IFERROR(__xludf.DUMMYFUNCTION("""COMPUTED_VALUE"""),"2022-05-02-10202SP-24-01")</f>
        <v>2022-05-02-10202SP-24-01</v>
      </c>
      <c r="G1478" s="164"/>
      <c r="H1478" s="164" t="str">
        <f ca="1">IFERROR(__xludf.DUMMYFUNCTION("""COMPUTED_VALUE"""),"ISABEL S. AZURIN")</f>
        <v>ISABEL S. AZURIN</v>
      </c>
      <c r="I1478" s="164" t="str">
        <f ca="1">IFERROR(__xludf.DUMMYFUNCTION("""COMPUTED_VALUE"""),"CARPO")</f>
        <v>CARPO</v>
      </c>
      <c r="J1478" s="164" t="str">
        <f ca="1">IFERROR(__xludf.DUMMYFUNCTION("""COMPUTED_VALUE"""),"2022-05-001")</f>
        <v>2022-05-001</v>
      </c>
      <c r="K1478" s="164" t="str">
        <f ca="1">IFERROR(__xludf.DUMMYFUNCTION("""COMPUTED_VALUE"""),"ISABEL S. AZURIN")</f>
        <v>ISABEL S. AZURIN</v>
      </c>
      <c r="L1478" s="164" t="str">
        <f ca="1">IFERROR(__xludf.DUMMYFUNCTION("""COMPUTED_VALUE"""),"LTID")</f>
        <v>LTID</v>
      </c>
      <c r="M1478" s="164" t="str">
        <f ca="1">IFERROR(__xludf.DUMMYFUNCTION("""COMPUTED_VALUE"""),"SERVICEABLE")</f>
        <v>SERVICEABLE</v>
      </c>
      <c r="N1478" s="164"/>
    </row>
    <row r="1479" spans="1:14" ht="13.2" hidden="1">
      <c r="A1479" s="164" t="str">
        <f ca="1">IFERROR(__xludf.DUMMYFUNCTION("""COMPUTED_VALUE"""),"Region III")</f>
        <v>Region III</v>
      </c>
      <c r="B1479" s="164" t="str">
        <f ca="1">IFERROR(__xludf.DUMMYFUNCTION("""COMPUTED_VALUE"""),"Bulacan")</f>
        <v>Bulacan</v>
      </c>
      <c r="C1479" s="164" t="str">
        <f ca="1">IFERROR(__xludf.DUMMYFUNCTION("""COMPUTED_VALUE"""),"A3 PRINTER (BROTHER)")</f>
        <v>A3 PRINTER (BROTHER)</v>
      </c>
      <c r="D1479" s="164" t="str">
        <f ca="1">IFERROR(__xludf.DUMMYFUNCTION("""COMPUTED_VALUE"""),"₱ 33,508.00")</f>
        <v>₱ 33,508.00</v>
      </c>
      <c r="E1479" s="164" t="str">
        <f ca="1">IFERROR(__xludf.DUMMYFUNCTION("""COMPUTED_VALUE"""),"₱-")</f>
        <v>₱-</v>
      </c>
      <c r="F1479" s="164" t="str">
        <f ca="1">IFERROR(__xludf.DUMMYFUNCTION("""COMPUTED_VALUE"""),"HV-SPLIT-102-24-05-26")</f>
        <v>HV-SPLIT-102-24-05-26</v>
      </c>
      <c r="G1479" s="164" t="str">
        <f ca="1">IFERROR(__xludf.DUMMYFUNCTION("""COMPUTED_VALUE"""),"E78947L3H871167")</f>
        <v>E78947L3H871167</v>
      </c>
      <c r="H1479" s="164" t="str">
        <f ca="1">IFERROR(__xludf.DUMMYFUNCTION("""COMPUTED_VALUE"""),"Antonio B. Sanchez")</f>
        <v>Antonio B. Sanchez</v>
      </c>
      <c r="I1479" s="164" t="str">
        <f ca="1">IFERROR(__xludf.DUMMYFUNCTION("""COMPUTED_VALUE"""),"PARPO II")</f>
        <v>PARPO II</v>
      </c>
      <c r="J1479" s="164" t="str">
        <f ca="1">IFERROR(__xludf.DUMMYFUNCTION("""COMPUTED_VALUE"""),"2024-03-004")</f>
        <v>2024-03-004</v>
      </c>
      <c r="K1479" s="164" t="str">
        <f ca="1">IFERROR(__xludf.DUMMYFUNCTION("""COMPUTED_VALUE"""),"Antonio B. Sanchez")</f>
        <v>Antonio B. Sanchez</v>
      </c>
      <c r="L1479" s="164" t="str">
        <f ca="1">IFERROR(__xludf.DUMMYFUNCTION("""COMPUTED_VALUE"""),"PARPO Office")</f>
        <v>PARPO Office</v>
      </c>
      <c r="M1479" s="164" t="str">
        <f ca="1">IFERROR(__xludf.DUMMYFUNCTION("""COMPUTED_VALUE"""),"SERVICEABLE")</f>
        <v>SERVICEABLE</v>
      </c>
      <c r="N1479" s="164"/>
    </row>
    <row r="1480" spans="1:14" ht="13.2">
      <c r="A1480" s="164" t="str">
        <f ca="1">IFERROR(__xludf.DUMMYFUNCTION("""COMPUTED_VALUE"""),"Region III")</f>
        <v>Region III</v>
      </c>
      <c r="B1480" s="164" t="str">
        <f ca="1">IFERROR(__xludf.DUMMYFUNCTION("""COMPUTED_VALUE"""),"Nueva Ecija")</f>
        <v>Nueva Ecija</v>
      </c>
      <c r="C1480" s="164" t="str">
        <f ca="1">IFERROR(__xludf.DUMMYFUNCTION("""COMPUTED_VALUE"""),"Desktop Computer – (Lenovo M70T)")</f>
        <v>Desktop Computer – (Lenovo M70T)</v>
      </c>
      <c r="D1480" s="164" t="str">
        <f ca="1">IFERROR(__xludf.DUMMYFUNCTION("""COMPUTED_VALUE"""),"₱ 75,468.00")</f>
        <v>₱ 75,468.00</v>
      </c>
      <c r="E1480" s="164" t="str">
        <f ca="1">IFERROR(__xludf.DUMMYFUNCTION("""COMPUTED_VALUE"""),"₱-")</f>
        <v>₱-</v>
      </c>
      <c r="F1480" s="164" t="str">
        <f ca="1">IFERROR(__xludf.DUMMYFUNCTION("""COMPUTED_VALUE"""),"2023-05-03-10201SP816-01")</f>
        <v>2023-05-03-10201SP816-01</v>
      </c>
      <c r="G1480" s="164" t="str">
        <f ca="1">IFERROR(__xludf.DUMMYFUNCTION("""COMPUTED_VALUE"""),"1S11T5S16200GM041B7J")</f>
        <v>1S11T5S16200GM041B7J</v>
      </c>
      <c r="H1480" s="164" t="str">
        <f ca="1">IFERROR(__xludf.DUMMYFUNCTION("""COMPUTED_VALUE"""),"Genoveva U. Taplacido")</f>
        <v>Genoveva U. Taplacido</v>
      </c>
      <c r="I1480" s="164" t="str">
        <f ca="1">IFERROR(__xludf.DUMMYFUNCTION("""COMPUTED_VALUE"""),"CARPO-LTS Division and conc. Parcelization Component and FVT Coordinator")</f>
        <v>CARPO-LTS Division and conc. Parcelization Component and FVT Coordinator</v>
      </c>
      <c r="J1480" s="164" t="str">
        <f ca="1">IFERROR(__xludf.DUMMYFUNCTION("""COMPUTED_VALUE"""),"2023-05-009")</f>
        <v>2023-05-009</v>
      </c>
      <c r="K1480" s="164" t="str">
        <f ca="1">IFERROR(__xludf.DUMMYFUNCTION("""COMPUTED_VALUE"""),"Lorna Calderon")</f>
        <v>Lorna Calderon</v>
      </c>
      <c r="L1480" s="164" t="str">
        <f ca="1">IFERROR(__xludf.DUMMYFUNCTION("""COMPUTED_VALUE"""),"LTID")</f>
        <v>LTID</v>
      </c>
      <c r="M1480" s="164" t="str">
        <f ca="1">IFERROR(__xludf.DUMMYFUNCTION("""COMPUTED_VALUE"""),"SERVICEABLE")</f>
        <v>SERVICEABLE</v>
      </c>
      <c r="N1480" s="164" t="str">
        <f ca="1">IFERROR(__xludf.DUMMYFUNCTION("""COMPUTED_VALUE"""),"Printer User
 Roel Dagdag")</f>
        <v>Printer User
 Roel Dagdag</v>
      </c>
    </row>
    <row r="1481" spans="1:14" ht="13.2">
      <c r="A1481" s="164" t="str">
        <f ca="1">IFERROR(__xludf.DUMMYFUNCTION("""COMPUTED_VALUE"""),"Region III")</f>
        <v>Region III</v>
      </c>
      <c r="B1481" s="164" t="str">
        <f ca="1">IFERROR(__xludf.DUMMYFUNCTION("""COMPUTED_VALUE"""),"Nueva Ecija")</f>
        <v>Nueva Ecija</v>
      </c>
      <c r="C1481" s="164" t="str">
        <f ca="1">IFERROR(__xludf.DUMMYFUNCTION("""COMPUTED_VALUE"""),"Desktop Computer – (Lenovo M70T)")</f>
        <v>Desktop Computer – (Lenovo M70T)</v>
      </c>
      <c r="D1481" s="164" t="str">
        <f ca="1">IFERROR(__xludf.DUMMYFUNCTION("""COMPUTED_VALUE"""),"₱ 75,468.00")</f>
        <v>₱ 75,468.00</v>
      </c>
      <c r="E1481" s="164" t="str">
        <f ca="1">IFERROR(__xludf.DUMMYFUNCTION("""COMPUTED_VALUE"""),"₱-")</f>
        <v>₱-</v>
      </c>
      <c r="F1481" s="164" t="str">
        <f ca="1">IFERROR(__xludf.DUMMYFUNCTION("""COMPUTED_VALUE"""),"2023-05-03-10201SP817-01")</f>
        <v>2023-05-03-10201SP817-01</v>
      </c>
      <c r="G1481" s="164" t="str">
        <f ca="1">IFERROR(__xludf.DUMMYFUNCTION("""COMPUTED_VALUE"""),"1S11T5S16200GM041B71")</f>
        <v>1S11T5S16200GM041B71</v>
      </c>
      <c r="H1481" s="164" t="str">
        <f ca="1">IFERROR(__xludf.DUMMYFUNCTION("""COMPUTED_VALUE"""),"Genoveva U. Taplacido")</f>
        <v>Genoveva U. Taplacido</v>
      </c>
      <c r="I1481" s="164" t="str">
        <f ca="1">IFERROR(__xludf.DUMMYFUNCTION("""COMPUTED_VALUE"""),"CARPO-LTS Division and conc. Parcelization Component and FVT Coordinator")</f>
        <v>CARPO-LTS Division and conc. Parcelization Component and FVT Coordinator</v>
      </c>
      <c r="J1481" s="164" t="str">
        <f ca="1">IFERROR(__xludf.DUMMYFUNCTION("""COMPUTED_VALUE"""),"2023-05-010")</f>
        <v>2023-05-010</v>
      </c>
      <c r="K1481" s="164" t="str">
        <f ca="1">IFERROR(__xludf.DUMMYFUNCTION("""COMPUTED_VALUE"""),"Engr. Froilan T. Laugo")</f>
        <v>Engr. Froilan T. Laugo</v>
      </c>
      <c r="L1481" s="164" t="str">
        <f ca="1">IFERROR(__xludf.DUMMYFUNCTION("""COMPUTED_VALUE"""),"LTID")</f>
        <v>LTID</v>
      </c>
      <c r="M1481" s="164" t="str">
        <f ca="1">IFERROR(__xludf.DUMMYFUNCTION("""COMPUTED_VALUE"""),"SERVICEABLE")</f>
        <v>SERVICEABLE</v>
      </c>
      <c r="N1481" s="164"/>
    </row>
    <row r="1482" spans="1:14" ht="13.2">
      <c r="A1482" s="164" t="str">
        <f ca="1">IFERROR(__xludf.DUMMYFUNCTION("""COMPUTED_VALUE"""),"Region III")</f>
        <v>Region III</v>
      </c>
      <c r="B1482" s="164" t="str">
        <f ca="1">IFERROR(__xludf.DUMMYFUNCTION("""COMPUTED_VALUE"""),"Nueva Ecija")</f>
        <v>Nueva Ecija</v>
      </c>
      <c r="C1482" s="164" t="str">
        <f ca="1">IFERROR(__xludf.DUMMYFUNCTION("""COMPUTED_VALUE"""),"Desktop Computer – (Lenovo M70T)")</f>
        <v>Desktop Computer – (Lenovo M70T)</v>
      </c>
      <c r="D1482" s="164" t="str">
        <f ca="1">IFERROR(__xludf.DUMMYFUNCTION("""COMPUTED_VALUE"""),"₱ 75,468.00")</f>
        <v>₱ 75,468.00</v>
      </c>
      <c r="E1482" s="164" t="str">
        <f ca="1">IFERROR(__xludf.DUMMYFUNCTION("""COMPUTED_VALUE"""),"₱-")</f>
        <v>₱-</v>
      </c>
      <c r="F1482" s="164" t="str">
        <f ca="1">IFERROR(__xludf.DUMMYFUNCTION("""COMPUTED_VALUE"""),"2023-05-03-10201SP818-01")</f>
        <v>2023-05-03-10201SP818-01</v>
      </c>
      <c r="G1482" s="164" t="str">
        <f ca="1">IFERROR(__xludf.DUMMYFUNCTION("""COMPUTED_VALUE"""),"1S11T5S16200GM02ZT9B")</f>
        <v>1S11T5S16200GM02ZT9B</v>
      </c>
      <c r="H1482" s="164" t="str">
        <f ca="1">IFERROR(__xludf.DUMMYFUNCTION("""COMPUTED_VALUE"""),"Marivie C. Sebastian")</f>
        <v>Marivie C. Sebastian</v>
      </c>
      <c r="I1482" s="164" t="str">
        <f ca="1">IFERROR(__xludf.DUMMYFUNCTION("""COMPUTED_VALUE"""),"Chief, Planning Section/Project SPLIT M&amp;E Coordinator")</f>
        <v>Chief, Planning Section/Project SPLIT M&amp;E Coordinator</v>
      </c>
      <c r="J1482" s="164" t="str">
        <f ca="1">IFERROR(__xludf.DUMMYFUNCTION("""COMPUTED_VALUE"""),"2023-05-011")</f>
        <v>2023-05-011</v>
      </c>
      <c r="K1482" s="164" t="str">
        <f ca="1">IFERROR(__xludf.DUMMYFUNCTION("""COMPUTED_VALUE"""),"Marivie C. Sebastian")</f>
        <v>Marivie C. Sebastian</v>
      </c>
      <c r="L1482" s="164" t="str">
        <f ca="1">IFERROR(__xludf.DUMMYFUNCTION("""COMPUTED_VALUE"""),"STOD")</f>
        <v>STOD</v>
      </c>
      <c r="M1482" s="164" t="str">
        <f ca="1">IFERROR(__xludf.DUMMYFUNCTION("""COMPUTED_VALUE"""),"SERVICEABLE")</f>
        <v>SERVICEABLE</v>
      </c>
      <c r="N1482" s="164"/>
    </row>
    <row r="1483" spans="1:14" ht="13.2">
      <c r="A1483" s="164" t="str">
        <f ca="1">IFERROR(__xludf.DUMMYFUNCTION("""COMPUTED_VALUE"""),"Region III")</f>
        <v>Region III</v>
      </c>
      <c r="B1483" s="164" t="str">
        <f ca="1">IFERROR(__xludf.DUMMYFUNCTION("""COMPUTED_VALUE"""),"Nueva Ecija")</f>
        <v>Nueva Ecija</v>
      </c>
      <c r="C1483" s="164" t="str">
        <f ca="1">IFERROR(__xludf.DUMMYFUNCTION("""COMPUTED_VALUE"""),"Desktop Computer – (Lenovo M70T)")</f>
        <v>Desktop Computer – (Lenovo M70T)</v>
      </c>
      <c r="D1483" s="164" t="str">
        <f ca="1">IFERROR(__xludf.DUMMYFUNCTION("""COMPUTED_VALUE"""),"₱ 75,468.00")</f>
        <v>₱ 75,468.00</v>
      </c>
      <c r="E1483" s="164" t="str">
        <f ca="1">IFERROR(__xludf.DUMMYFUNCTION("""COMPUTED_VALUE"""),"₱-")</f>
        <v>₱-</v>
      </c>
      <c r="F1483" s="164" t="str">
        <f ca="1">IFERROR(__xludf.DUMMYFUNCTION("""COMPUTED_VALUE"""),"2023-05-03-10201SP819-01")</f>
        <v>2023-05-03-10201SP819-01</v>
      </c>
      <c r="G1483" s="164" t="str">
        <f ca="1">IFERROR(__xludf.DUMMYFUNCTION("""COMPUTED_VALUE"""),"1S11T5S16200GM041AW1")</f>
        <v>1S11T5S16200GM041AW1</v>
      </c>
      <c r="H1483" s="164" t="str">
        <f ca="1">IFERROR(__xludf.DUMMYFUNCTION("""COMPUTED_VALUE"""),"Rio S. Cortez")</f>
        <v>Rio S. Cortez</v>
      </c>
      <c r="I1483" s="164" t="str">
        <f ca="1">IFERROR(__xludf.DUMMYFUNCTION("""COMPUTED_VALUE"""),"SARPT and conc. Project SPLIT MIS Coordinator")</f>
        <v>SARPT and conc. Project SPLIT MIS Coordinator</v>
      </c>
      <c r="J1483" s="164" t="str">
        <f ca="1">IFERROR(__xludf.DUMMYFUNCTION("""COMPUTED_VALUE"""),"2023-05-012")</f>
        <v>2023-05-012</v>
      </c>
      <c r="K1483" s="164" t="str">
        <f ca="1">IFERROR(__xludf.DUMMYFUNCTION("""COMPUTED_VALUE"""),"Jethro Burayag")</f>
        <v>Jethro Burayag</v>
      </c>
      <c r="L1483" s="164" t="str">
        <f ca="1">IFERROR(__xludf.DUMMYFUNCTION("""COMPUTED_VALUE"""),"LTID")</f>
        <v>LTID</v>
      </c>
      <c r="M1483" s="164" t="str">
        <f ca="1">IFERROR(__xludf.DUMMYFUNCTION("""COMPUTED_VALUE"""),"SERVICEABLE")</f>
        <v>SERVICEABLE</v>
      </c>
      <c r="N1483" s="164" t="str">
        <f ca="1">IFERROR(__xludf.DUMMYFUNCTION("""COMPUTED_VALUE"""),"Printer user
 Ferdinand Nolasco")</f>
        <v>Printer user
 Ferdinand Nolasco</v>
      </c>
    </row>
    <row r="1484" spans="1:14" ht="13.2">
      <c r="A1484" s="164" t="str">
        <f ca="1">IFERROR(__xludf.DUMMYFUNCTION("""COMPUTED_VALUE"""),"Region III")</f>
        <v>Region III</v>
      </c>
      <c r="B1484" s="164" t="str">
        <f ca="1">IFERROR(__xludf.DUMMYFUNCTION("""COMPUTED_VALUE"""),"Nueva Ecija")</f>
        <v>Nueva Ecija</v>
      </c>
      <c r="C1484" s="164" t="str">
        <f ca="1">IFERROR(__xludf.DUMMYFUNCTION("""COMPUTED_VALUE"""),"Desktop Computer – (Lenovo M70T)")</f>
        <v>Desktop Computer – (Lenovo M70T)</v>
      </c>
      <c r="D1484" s="164" t="str">
        <f ca="1">IFERROR(__xludf.DUMMYFUNCTION("""COMPUTED_VALUE"""),"₱ 75,468.00")</f>
        <v>₱ 75,468.00</v>
      </c>
      <c r="E1484" s="164" t="str">
        <f ca="1">IFERROR(__xludf.DUMMYFUNCTION("""COMPUTED_VALUE"""),"₱-")</f>
        <v>₱-</v>
      </c>
      <c r="F1484" s="164" t="str">
        <f ca="1">IFERROR(__xludf.DUMMYFUNCTION("""COMPUTED_VALUE"""),"2023-05-03-10201SP820-01")</f>
        <v>2023-05-03-10201SP820-01</v>
      </c>
      <c r="G1484" s="164" t="str">
        <f ca="1">IFERROR(__xludf.DUMMYFUNCTION("""COMPUTED_VALUE"""),"1S11T5S16200GM041AXC")</f>
        <v>1S11T5S16200GM041AXC</v>
      </c>
      <c r="H1484" s="164" t="str">
        <f ca="1">IFERROR(__xludf.DUMMYFUNCTION("""COMPUTED_VALUE"""),"Engr. Alvin L. Licuanan")</f>
        <v>Engr. Alvin L. Licuanan</v>
      </c>
      <c r="I1484" s="164" t="str">
        <f ca="1">IFERROR(__xludf.DUMMYFUNCTION("""COMPUTED_VALUE"""),"Chief, Survey Section/LRA/LMS/ROD Coordinator")</f>
        <v>Chief, Survey Section/LRA/LMS/ROD Coordinator</v>
      </c>
      <c r="J1484" s="164" t="str">
        <f ca="1">IFERROR(__xludf.DUMMYFUNCTION("""COMPUTED_VALUE"""),"2023-05-013")</f>
        <v>2023-05-013</v>
      </c>
      <c r="K1484" s="164" t="str">
        <f ca="1">IFERROR(__xludf.DUMMYFUNCTION("""COMPUTED_VALUE"""),"Engr. Alvin L. Licuanan")</f>
        <v>Engr. Alvin L. Licuanan</v>
      </c>
      <c r="L1484" s="164" t="str">
        <f ca="1">IFERROR(__xludf.DUMMYFUNCTION("""COMPUTED_VALUE"""),"LTID")</f>
        <v>LTID</v>
      </c>
      <c r="M1484" s="164" t="str">
        <f ca="1">IFERROR(__xludf.DUMMYFUNCTION("""COMPUTED_VALUE"""),"SERVICEABLE")</f>
        <v>SERVICEABLE</v>
      </c>
      <c r="N1484" s="164"/>
    </row>
    <row r="1485" spans="1:14" ht="13.2">
      <c r="A1485" s="164" t="str">
        <f ca="1">IFERROR(__xludf.DUMMYFUNCTION("""COMPUTED_VALUE"""),"Region III")</f>
        <v>Region III</v>
      </c>
      <c r="B1485" s="164" t="str">
        <f ca="1">IFERROR(__xludf.DUMMYFUNCTION("""COMPUTED_VALUE"""),"Nueva Ecija")</f>
        <v>Nueva Ecija</v>
      </c>
      <c r="C1485" s="164" t="str">
        <f ca="1">IFERROR(__xludf.DUMMYFUNCTION("""COMPUTED_VALUE"""),"Desktop Computer – (Lenovo M70T)")</f>
        <v>Desktop Computer – (Lenovo M70T)</v>
      </c>
      <c r="D1485" s="164" t="str">
        <f ca="1">IFERROR(__xludf.DUMMYFUNCTION("""COMPUTED_VALUE"""),"₱ 75,468.00")</f>
        <v>₱ 75,468.00</v>
      </c>
      <c r="E1485" s="164" t="str">
        <f ca="1">IFERROR(__xludf.DUMMYFUNCTION("""COMPUTED_VALUE"""),"₱-")</f>
        <v>₱-</v>
      </c>
      <c r="F1485" s="164" t="str">
        <f ca="1">IFERROR(__xludf.DUMMYFUNCTION("""COMPUTED_VALUE"""),"2023-05-03-10201SP821-01")</f>
        <v>2023-05-03-10201SP821-01</v>
      </c>
      <c r="G1485" s="164" t="str">
        <f ca="1">IFERROR(__xludf.DUMMYFUNCTION("""COMPUTED_VALUE"""),"1S11T5S16200GM041AST")</f>
        <v>1S11T5S16200GM041AST</v>
      </c>
      <c r="H1485" s="164" t="str">
        <f ca="1">IFERROR(__xludf.DUMMYFUNCTION("""COMPUTED_VALUE"""),"Genoveva U. Taplacido")</f>
        <v>Genoveva U. Taplacido</v>
      </c>
      <c r="I1485" s="164" t="str">
        <f ca="1">IFERROR(__xludf.DUMMYFUNCTION("""COMPUTED_VALUE"""),"CARPO for PBD/Project SPLIT ESS Coordinator")</f>
        <v>CARPO for PBD/Project SPLIT ESS Coordinator</v>
      </c>
      <c r="J1485" s="164" t="str">
        <f ca="1">IFERROR(__xludf.DUMMYFUNCTION("""COMPUTED_VALUE"""),"2023-05-014")</f>
        <v>2023-05-014</v>
      </c>
      <c r="K1485" s="164" t="str">
        <f ca="1">IFERROR(__xludf.DUMMYFUNCTION("""COMPUTED_VALUE"""),"Roel Dagdag")</f>
        <v>Roel Dagdag</v>
      </c>
      <c r="L1485" s="164" t="str">
        <f ca="1">IFERROR(__xludf.DUMMYFUNCTION("""COMPUTED_VALUE"""),"PBDD")</f>
        <v>PBDD</v>
      </c>
      <c r="M1485" s="164" t="str">
        <f ca="1">IFERROR(__xludf.DUMMYFUNCTION("""COMPUTED_VALUE"""),"SERVICEABLE")</f>
        <v>SERVICEABLE</v>
      </c>
      <c r="N1485" s="164" t="str">
        <f ca="1">IFERROR(__xludf.DUMMYFUNCTION("""COMPUTED_VALUE"""),"Printer User 
 Jewel Chan")</f>
        <v>Printer User 
 Jewel Chan</v>
      </c>
    </row>
    <row r="1486" spans="1:14" ht="13.2">
      <c r="A1486" s="164" t="str">
        <f ca="1">IFERROR(__xludf.DUMMYFUNCTION("""COMPUTED_VALUE"""),"Region III")</f>
        <v>Region III</v>
      </c>
      <c r="B1486" s="164" t="str">
        <f ca="1">IFERROR(__xludf.DUMMYFUNCTION("""COMPUTED_VALUE"""),"Nueva Ecija")</f>
        <v>Nueva Ecija</v>
      </c>
      <c r="C1486" s="164" t="str">
        <f ca="1">IFERROR(__xludf.DUMMYFUNCTION("""COMPUTED_VALUE"""),"Desktop Computer – (Lenovo M70T)")</f>
        <v>Desktop Computer – (Lenovo M70T)</v>
      </c>
      <c r="D1486" s="164" t="str">
        <f ca="1">IFERROR(__xludf.DUMMYFUNCTION("""COMPUTED_VALUE"""),"₱ 75,468.00")</f>
        <v>₱ 75,468.00</v>
      </c>
      <c r="E1486" s="164" t="str">
        <f ca="1">IFERROR(__xludf.DUMMYFUNCTION("""COMPUTED_VALUE"""),"₱-")</f>
        <v>₱-</v>
      </c>
      <c r="F1486" s="164" t="str">
        <f ca="1">IFERROR(__xludf.DUMMYFUNCTION("""COMPUTED_VALUE"""),"2023-05-03-10201SP822-01")</f>
        <v>2023-05-03-10201SP822-01</v>
      </c>
      <c r="G1486" s="164" t="str">
        <f ca="1">IFERROR(__xludf.DUMMYFUNCTION("""COMPUTED_VALUE"""),"1S11T5S16200GM02ZT9P")</f>
        <v>1S11T5S16200GM02ZT9P</v>
      </c>
      <c r="H1486" s="164" t="str">
        <f ca="1">IFERROR(__xludf.DUMMYFUNCTION("""COMPUTED_VALUE"""),"Genoveva U. Taplacido")</f>
        <v>Genoveva U. Taplacido</v>
      </c>
      <c r="I1486" s="164" t="str">
        <f ca="1">IFERROR(__xludf.DUMMYFUNCTION("""COMPUTED_VALUE"""),"CARPO for PBD/Project SPLIT ESS Coordinator")</f>
        <v>CARPO for PBD/Project SPLIT ESS Coordinator</v>
      </c>
      <c r="J1486" s="164" t="str">
        <f ca="1">IFERROR(__xludf.DUMMYFUNCTION("""COMPUTED_VALUE"""),"2023-05-015")</f>
        <v>2023-05-015</v>
      </c>
      <c r="K1486" s="164" t="str">
        <f ca="1">IFERROR(__xludf.DUMMYFUNCTION("""COMPUTED_VALUE"""),"Julito Asuncion")</f>
        <v>Julito Asuncion</v>
      </c>
      <c r="L1486" s="164" t="str">
        <f ca="1">IFERROR(__xludf.DUMMYFUNCTION("""COMPUTED_VALUE"""),"PBDD")</f>
        <v>PBDD</v>
      </c>
      <c r="M1486" s="164" t="str">
        <f ca="1">IFERROR(__xludf.DUMMYFUNCTION("""COMPUTED_VALUE"""),"SERVICEABLE")</f>
        <v>SERVICEABLE</v>
      </c>
      <c r="N1486" s="164" t="str">
        <f ca="1">IFERROR(__xludf.DUMMYFUNCTION("""COMPUTED_VALUE"""),"Printer User
 Rhenz A. Amoroso")</f>
        <v>Printer User
 Rhenz A. Amoroso</v>
      </c>
    </row>
    <row r="1487" spans="1:14" ht="13.2">
      <c r="A1487" s="164" t="str">
        <f ca="1">IFERROR(__xludf.DUMMYFUNCTION("""COMPUTED_VALUE"""),"Region III")</f>
        <v>Region III</v>
      </c>
      <c r="B1487" s="164" t="str">
        <f ca="1">IFERROR(__xludf.DUMMYFUNCTION("""COMPUTED_VALUE"""),"Nueva Ecija")</f>
        <v>Nueva Ecija</v>
      </c>
      <c r="C1487" s="164" t="str">
        <f ca="1">IFERROR(__xludf.DUMMYFUNCTION("""COMPUTED_VALUE"""),"Desktop Computer – (Lenovo M70T)")</f>
        <v>Desktop Computer – (Lenovo M70T)</v>
      </c>
      <c r="D1487" s="164" t="str">
        <f ca="1">IFERROR(__xludf.DUMMYFUNCTION("""COMPUTED_VALUE"""),"₱ 75,468.00")</f>
        <v>₱ 75,468.00</v>
      </c>
      <c r="E1487" s="164" t="str">
        <f ca="1">IFERROR(__xludf.DUMMYFUNCTION("""COMPUTED_VALUE"""),"₱-")</f>
        <v>₱-</v>
      </c>
      <c r="F1487" s="164" t="str">
        <f ca="1">IFERROR(__xludf.DUMMYFUNCTION("""COMPUTED_VALUE"""),"2023-05-03-10201SP823-01")</f>
        <v>2023-05-03-10201SP823-01</v>
      </c>
      <c r="G1487" s="164" t="str">
        <f ca="1">IFERROR(__xludf.DUMMYFUNCTION("""COMPUTED_VALUE"""),"1S11T5S16200GM041AXF")</f>
        <v>1S11T5S16200GM041AXF</v>
      </c>
      <c r="H1487" s="164" t="str">
        <f ca="1">IFERROR(__xludf.DUMMYFUNCTION("""COMPUTED_VALUE"""),"Engr. Dina DG. Gonzalez")</f>
        <v>Engr. Dina DG. Gonzalez</v>
      </c>
      <c r="I1487" s="164" t="str">
        <f ca="1">IFERROR(__xludf.DUMMYFUNCTION("""COMPUTED_VALUE"""),"CAO /Project SPLIT Admin. and Finance Coordinator")</f>
        <v>CAO /Project SPLIT Admin. and Finance Coordinator</v>
      </c>
      <c r="J1487" s="164" t="str">
        <f ca="1">IFERROR(__xludf.DUMMYFUNCTION("""COMPUTED_VALUE"""),"2023-05-016")</f>
        <v>2023-05-016</v>
      </c>
      <c r="K1487" s="164" t="str">
        <f ca="1">IFERROR(__xludf.DUMMYFUNCTION("""COMPUTED_VALUE"""),"Recelyn E. De Celis")</f>
        <v>Recelyn E. De Celis</v>
      </c>
      <c r="L1487" s="164" t="str">
        <f ca="1">IFERROR(__xludf.DUMMYFUNCTION("""COMPUTED_VALUE"""),"STOD")</f>
        <v>STOD</v>
      </c>
      <c r="M1487" s="164" t="str">
        <f ca="1">IFERROR(__xludf.DUMMYFUNCTION("""COMPUTED_VALUE"""),"SERVICEABLE")</f>
        <v>SERVICEABLE</v>
      </c>
      <c r="N1487" s="164" t="str">
        <f ca="1">IFERROR(__xludf.DUMMYFUNCTION("""COMPUTED_VALUE"""),"Printer User
 Lorna Calderon")</f>
        <v>Printer User
 Lorna Calderon</v>
      </c>
    </row>
    <row r="1488" spans="1:14" ht="13.2">
      <c r="A1488" s="164" t="str">
        <f ca="1">IFERROR(__xludf.DUMMYFUNCTION("""COMPUTED_VALUE"""),"Region III")</f>
        <v>Region III</v>
      </c>
      <c r="B1488" s="164" t="str">
        <f ca="1">IFERROR(__xludf.DUMMYFUNCTION("""COMPUTED_VALUE"""),"Nueva Ecija")</f>
        <v>Nueva Ecija</v>
      </c>
      <c r="C1488" s="164" t="str">
        <f ca="1">IFERROR(__xludf.DUMMYFUNCTION("""COMPUTED_VALUE"""),"Desktop Computer – (Lenovo M70T)")</f>
        <v>Desktop Computer – (Lenovo M70T)</v>
      </c>
      <c r="D1488" s="164" t="str">
        <f ca="1">IFERROR(__xludf.DUMMYFUNCTION("""COMPUTED_VALUE"""),"₱ 75,468.00")</f>
        <v>₱ 75,468.00</v>
      </c>
      <c r="E1488" s="164" t="str">
        <f ca="1">IFERROR(__xludf.DUMMYFUNCTION("""COMPUTED_VALUE"""),"₱-")</f>
        <v>₱-</v>
      </c>
      <c r="F1488" s="164" t="str">
        <f ca="1">IFERROR(__xludf.DUMMYFUNCTION("""COMPUTED_VALUE"""),"2023-05-03-10201SP824-01")</f>
        <v>2023-05-03-10201SP824-01</v>
      </c>
      <c r="G1488" s="164" t="str">
        <f ca="1">IFERROR(__xludf.DUMMYFUNCTION("""COMPUTED_VALUE"""),"1S11T5S16200GM02ZT83")</f>
        <v>1S11T5S16200GM02ZT83</v>
      </c>
      <c r="H1488" s="164" t="str">
        <f ca="1">IFERROR(__xludf.DUMMYFUNCTION("""COMPUTED_VALUE"""),"Recelyn E. De Celis")</f>
        <v>Recelyn E. De Celis</v>
      </c>
      <c r="I1488" s="164" t="str">
        <f ca="1">IFERROR(__xludf.DUMMYFUNCTION("""COMPUTED_VALUE"""),"Project SPLIT Budget Officer")</f>
        <v>Project SPLIT Budget Officer</v>
      </c>
      <c r="J1488" s="164" t="str">
        <f ca="1">IFERROR(__xludf.DUMMYFUNCTION("""COMPUTED_VALUE"""),"2023-05-017")</f>
        <v>2023-05-017</v>
      </c>
      <c r="K1488" s="164" t="str">
        <f ca="1">IFERROR(__xludf.DUMMYFUNCTION("""COMPUTED_VALUE"""),"Rhitz Chioco")</f>
        <v>Rhitz Chioco</v>
      </c>
      <c r="L1488" s="164" t="str">
        <f ca="1">IFERROR(__xludf.DUMMYFUNCTION("""COMPUTED_VALUE"""),"STOD")</f>
        <v>STOD</v>
      </c>
      <c r="M1488" s="164" t="str">
        <f ca="1">IFERROR(__xludf.DUMMYFUNCTION("""COMPUTED_VALUE"""),"SERVICEABLE")</f>
        <v>SERVICEABLE</v>
      </c>
      <c r="N1488" s="164"/>
    </row>
    <row r="1489" spans="1:14" ht="13.2">
      <c r="A1489" s="164" t="str">
        <f ca="1">IFERROR(__xludf.DUMMYFUNCTION("""COMPUTED_VALUE"""),"Region III")</f>
        <v>Region III</v>
      </c>
      <c r="B1489" s="164" t="str">
        <f ca="1">IFERROR(__xludf.DUMMYFUNCTION("""COMPUTED_VALUE"""),"Nueva Ecija")</f>
        <v>Nueva Ecija</v>
      </c>
      <c r="C1489" s="164" t="str">
        <f ca="1">IFERROR(__xludf.DUMMYFUNCTION("""COMPUTED_VALUE"""),"Desktop Computer – (Lenovo M70T)")</f>
        <v>Desktop Computer – (Lenovo M70T)</v>
      </c>
      <c r="D1489" s="164" t="str">
        <f ca="1">IFERROR(__xludf.DUMMYFUNCTION("""COMPUTED_VALUE"""),"₱ 75,468.00")</f>
        <v>₱ 75,468.00</v>
      </c>
      <c r="E1489" s="164" t="str">
        <f ca="1">IFERROR(__xludf.DUMMYFUNCTION("""COMPUTED_VALUE"""),"₱-")</f>
        <v>₱-</v>
      </c>
      <c r="F1489" s="164" t="str">
        <f ca="1">IFERROR(__xludf.DUMMYFUNCTION("""COMPUTED_VALUE"""),"2023-05-03-10201SP825-01")</f>
        <v>2023-05-03-10201SP825-01</v>
      </c>
      <c r="G1489" s="164" t="str">
        <f ca="1">IFERROR(__xludf.DUMMYFUNCTION("""COMPUTED_VALUE"""),"1S11T5S16200GM02ZT70")</f>
        <v>1S11T5S16200GM02ZT70</v>
      </c>
      <c r="H1489" s="164" t="str">
        <f ca="1">IFERROR(__xludf.DUMMYFUNCTION("""COMPUTED_VALUE"""),"Rio S. Cortez")</f>
        <v>Rio S. Cortez</v>
      </c>
      <c r="I1489" s="164" t="str">
        <f ca="1">IFERROR(__xludf.DUMMYFUNCTION("""COMPUTED_VALUE"""),"SARPT and conc. Project SPLIT MIS Coordinator")</f>
        <v>SARPT and conc. Project SPLIT MIS Coordinator</v>
      </c>
      <c r="J1489" s="164" t="str">
        <f ca="1">IFERROR(__xludf.DUMMYFUNCTION("""COMPUTED_VALUE"""),"2023-05-018")</f>
        <v>2023-05-018</v>
      </c>
      <c r="K1489" s="164" t="str">
        <f ca="1">IFERROR(__xludf.DUMMYFUNCTION("""COMPUTED_VALUE"""),"Ricardo Dela Cruz")</f>
        <v>Ricardo Dela Cruz</v>
      </c>
      <c r="L1489" s="164" t="str">
        <f ca="1">IFERROR(__xludf.DUMMYFUNCTION("""COMPUTED_VALUE"""),"LTID")</f>
        <v>LTID</v>
      </c>
      <c r="M1489" s="164" t="str">
        <f ca="1">IFERROR(__xludf.DUMMYFUNCTION("""COMPUTED_VALUE"""),"SERVICEABLE")</f>
        <v>SERVICEABLE</v>
      </c>
      <c r="N1489" s="164" t="str">
        <f ca="1">IFERROR(__xludf.DUMMYFUNCTION("""COMPUTED_VALUE"""),"Printer User
 Jennifer Aquino")</f>
        <v>Printer User
 Jennifer Aquino</v>
      </c>
    </row>
    <row r="1490" spans="1:14" ht="13.2">
      <c r="A1490" s="164" t="str">
        <f ca="1">IFERROR(__xludf.DUMMYFUNCTION("""COMPUTED_VALUE"""),"Region III")</f>
        <v>Region III</v>
      </c>
      <c r="B1490" s="164" t="str">
        <f ca="1">IFERROR(__xludf.DUMMYFUNCTION("""COMPUTED_VALUE"""),"Nueva Ecija")</f>
        <v>Nueva Ecija</v>
      </c>
      <c r="C1490" s="164" t="str">
        <f ca="1">IFERROR(__xludf.DUMMYFUNCTION("""COMPUTED_VALUE"""),"Desktop Computer – (Lenovo M70T)")</f>
        <v>Desktop Computer – (Lenovo M70T)</v>
      </c>
      <c r="D1490" s="164" t="str">
        <f ca="1">IFERROR(__xludf.DUMMYFUNCTION("""COMPUTED_VALUE"""),"₱ 75,468.00")</f>
        <v>₱ 75,468.00</v>
      </c>
      <c r="E1490" s="164" t="str">
        <f ca="1">IFERROR(__xludf.DUMMYFUNCTION("""COMPUTED_VALUE"""),"₱-")</f>
        <v>₱-</v>
      </c>
      <c r="F1490" s="164" t="str">
        <f ca="1">IFERROR(__xludf.DUMMYFUNCTION("""COMPUTED_VALUE"""),"2023-05-03-10201SP826-01")</f>
        <v>2023-05-03-10201SP826-01</v>
      </c>
      <c r="G1490" s="164" t="str">
        <f ca="1">IFERROR(__xludf.DUMMYFUNCTION("""COMPUTED_VALUE"""),"1S11T5S16200GM041AXR")</f>
        <v>1S11T5S16200GM041AXR</v>
      </c>
      <c r="H1490" s="164" t="str">
        <f ca="1">IFERROR(__xludf.DUMMYFUNCTION("""COMPUTED_VALUE"""),"Engr. Ryan S. Bulanhagui")</f>
        <v>Engr. Ryan S. Bulanhagui</v>
      </c>
      <c r="I1490" s="164" t="str">
        <f ca="1">IFERROR(__xludf.DUMMYFUNCTION("""COMPUTED_VALUE"""),"CARPO for PBD/Project SPLIT ESS Coordinator")</f>
        <v>CARPO for PBD/Project SPLIT ESS Coordinator</v>
      </c>
      <c r="J1490" s="164" t="str">
        <f ca="1">IFERROR(__xludf.DUMMYFUNCTION("""COMPUTED_VALUE"""),"2023-05-019")</f>
        <v>2023-05-019</v>
      </c>
      <c r="K1490" s="164" t="str">
        <f ca="1">IFERROR(__xludf.DUMMYFUNCTION("""COMPUTED_VALUE"""),"Patricia Llana P. Licuanan")</f>
        <v>Patricia Llana P. Licuanan</v>
      </c>
      <c r="L1490" s="164" t="str">
        <f ca="1">IFERROR(__xludf.DUMMYFUNCTION("""COMPUTED_VALUE"""),"PBDD")</f>
        <v>PBDD</v>
      </c>
      <c r="M1490" s="164" t="str">
        <f ca="1">IFERROR(__xludf.DUMMYFUNCTION("""COMPUTED_VALUE"""),"SERVICEABLE")</f>
        <v>SERVICEABLE</v>
      </c>
      <c r="N1490" s="164"/>
    </row>
    <row r="1491" spans="1:14" ht="13.2">
      <c r="A1491" s="164" t="str">
        <f ca="1">IFERROR(__xludf.DUMMYFUNCTION("""COMPUTED_VALUE"""),"Region III")</f>
        <v>Region III</v>
      </c>
      <c r="B1491" s="164" t="str">
        <f ca="1">IFERROR(__xludf.DUMMYFUNCTION("""COMPUTED_VALUE"""),"Nueva Ecija")</f>
        <v>Nueva Ecija</v>
      </c>
      <c r="C1491" s="164" t="str">
        <f ca="1">IFERROR(__xludf.DUMMYFUNCTION("""COMPUTED_VALUE"""),"Desktop Computer – (Lenovo M70T)")</f>
        <v>Desktop Computer – (Lenovo M70T)</v>
      </c>
      <c r="D1491" s="164" t="str">
        <f ca="1">IFERROR(__xludf.DUMMYFUNCTION("""COMPUTED_VALUE"""),"₱ 75,468.00")</f>
        <v>₱ 75,468.00</v>
      </c>
      <c r="E1491" s="164" t="str">
        <f ca="1">IFERROR(__xludf.DUMMYFUNCTION("""COMPUTED_VALUE"""),"₱-")</f>
        <v>₱-</v>
      </c>
      <c r="F1491" s="164" t="str">
        <f ca="1">IFERROR(__xludf.DUMMYFUNCTION("""COMPUTED_VALUE"""),"2023-05-03-10201SP827-01")</f>
        <v>2023-05-03-10201SP827-01</v>
      </c>
      <c r="G1491" s="164" t="str">
        <f ca="1">IFERROR(__xludf.DUMMYFUNCTION("""COMPUTED_VALUE"""),"1S11T5S16200GM041AXS")</f>
        <v>1S11T5S16200GM041AXS</v>
      </c>
      <c r="H1491" s="164" t="str">
        <f ca="1">IFERROR(__xludf.DUMMYFUNCTION("""COMPUTED_VALUE"""),"Engr. Imelda G. Sioson")</f>
        <v>Engr. Imelda G. Sioson</v>
      </c>
      <c r="I1491" s="164" t="str">
        <f ca="1">IFERROR(__xludf.DUMMYFUNCTION("""COMPUTED_VALUE"""),"Chief, Gen. Services/Project SPLIT Procurement Coordinator")</f>
        <v>Chief, Gen. Services/Project SPLIT Procurement Coordinator</v>
      </c>
      <c r="J1491" s="164" t="str">
        <f ca="1">IFERROR(__xludf.DUMMYFUNCTION("""COMPUTED_VALUE"""),"2023-05-020")</f>
        <v>2023-05-020</v>
      </c>
      <c r="K1491" s="164" t="str">
        <f ca="1">IFERROR(__xludf.DUMMYFUNCTION("""COMPUTED_VALUE"""),"Engr. Imelda G. Sioson")</f>
        <v>Engr. Imelda G. Sioson</v>
      </c>
      <c r="L1491" s="164" t="str">
        <f ca="1">IFERROR(__xludf.DUMMYFUNCTION("""COMPUTED_VALUE"""),"STOD")</f>
        <v>STOD</v>
      </c>
      <c r="M1491" s="164" t="str">
        <f ca="1">IFERROR(__xludf.DUMMYFUNCTION("""COMPUTED_VALUE"""),"SERVICEABLE")</f>
        <v>SERVICEABLE</v>
      </c>
      <c r="N1491" s="164" t="str">
        <f ca="1">IFERROR(__xludf.DUMMYFUNCTION("""COMPUTED_VALUE"""),"Printer User
 Alfredo A. Bondoc")</f>
        <v>Printer User
 Alfredo A. Bondoc</v>
      </c>
    </row>
    <row r="1492" spans="1:14" ht="13.2">
      <c r="A1492" s="164" t="str">
        <f ca="1">IFERROR(__xludf.DUMMYFUNCTION("""COMPUTED_VALUE"""),"Region III")</f>
        <v>Region III</v>
      </c>
      <c r="B1492" s="164" t="str">
        <f ca="1">IFERROR(__xludf.DUMMYFUNCTION("""COMPUTED_VALUE"""),"Nueva Ecija")</f>
        <v>Nueva Ecija</v>
      </c>
      <c r="C1492" s="164" t="str">
        <f ca="1">IFERROR(__xludf.DUMMYFUNCTION("""COMPUTED_VALUE"""),"Desktop Computer – (Lenovo M70T)")</f>
        <v>Desktop Computer – (Lenovo M70T)</v>
      </c>
      <c r="D1492" s="164" t="str">
        <f ca="1">IFERROR(__xludf.DUMMYFUNCTION("""COMPUTED_VALUE"""),"₱ 75,468.00")</f>
        <v>₱ 75,468.00</v>
      </c>
      <c r="E1492" s="164" t="str">
        <f ca="1">IFERROR(__xludf.DUMMYFUNCTION("""COMPUTED_VALUE"""),"₱-")</f>
        <v>₱-</v>
      </c>
      <c r="F1492" s="164" t="str">
        <f ca="1">IFERROR(__xludf.DUMMYFUNCTION("""COMPUTED_VALUE"""),"2023-05-03-10201SP828-01")</f>
        <v>2023-05-03-10201SP828-01</v>
      </c>
      <c r="G1492" s="164" t="str">
        <f ca="1">IFERROR(__xludf.DUMMYFUNCTION("""COMPUTED_VALUE"""),"1S11T5S16200GM02ZT6Z")</f>
        <v>1S11T5S16200GM02ZT6Z</v>
      </c>
      <c r="H1492" s="164" t="str">
        <f ca="1">IFERROR(__xludf.DUMMYFUNCTION("""COMPUTED_VALUE"""),"Atty. Alvin B. Soriano")</f>
        <v>Atty. Alvin B. Soriano</v>
      </c>
      <c r="I1492" s="164" t="str">
        <f ca="1">IFERROR(__xludf.DUMMYFUNCTION("""COMPUTED_VALUE"""),"Chief, Legal Division/Project SPLIT Legal Coordinator")</f>
        <v>Chief, Legal Division/Project SPLIT Legal Coordinator</v>
      </c>
      <c r="J1492" s="164" t="str">
        <f ca="1">IFERROR(__xludf.DUMMYFUNCTION("""COMPUTED_VALUE"""),"2023-05-021")</f>
        <v>2023-05-021</v>
      </c>
      <c r="K1492" s="164" t="str">
        <f ca="1">IFERROR(__xludf.DUMMYFUNCTION("""COMPUTED_VALUE"""),"Allan San edro")</f>
        <v>Allan San edro</v>
      </c>
      <c r="L1492" s="164" t="str">
        <f ca="1">IFERROR(__xludf.DUMMYFUNCTION("""COMPUTED_VALUE"""),"LEGAL DIVISION")</f>
        <v>LEGAL DIVISION</v>
      </c>
      <c r="M1492" s="164" t="str">
        <f ca="1">IFERROR(__xludf.DUMMYFUNCTION("""COMPUTED_VALUE"""),"SERVICEABLE")</f>
        <v>SERVICEABLE</v>
      </c>
      <c r="N1492" s="164"/>
    </row>
    <row r="1493" spans="1:14" ht="13.2">
      <c r="A1493" s="164" t="str">
        <f ca="1">IFERROR(__xludf.DUMMYFUNCTION("""COMPUTED_VALUE"""),"Region III")</f>
        <v>Region III</v>
      </c>
      <c r="B1493" s="164" t="str">
        <f ca="1">IFERROR(__xludf.DUMMYFUNCTION("""COMPUTED_VALUE"""),"Nueva Ecija")</f>
        <v>Nueva Ecija</v>
      </c>
      <c r="C1493" s="164" t="str">
        <f ca="1">IFERROR(__xludf.DUMMYFUNCTION("""COMPUTED_VALUE"""),"Desktop Computer – (Lenovo M70T)")</f>
        <v>Desktop Computer – (Lenovo M70T)</v>
      </c>
      <c r="D1493" s="164" t="str">
        <f ca="1">IFERROR(__xludf.DUMMYFUNCTION("""COMPUTED_VALUE"""),"₱ 75,468.00")</f>
        <v>₱ 75,468.00</v>
      </c>
      <c r="E1493" s="164" t="str">
        <f ca="1">IFERROR(__xludf.DUMMYFUNCTION("""COMPUTED_VALUE"""),"₱-")</f>
        <v>₱-</v>
      </c>
      <c r="F1493" s="164" t="str">
        <f ca="1">IFERROR(__xludf.DUMMYFUNCTION("""COMPUTED_VALUE"""),"2023-05-03-10201SP829-01")</f>
        <v>2023-05-03-10201SP829-01</v>
      </c>
      <c r="G1493" s="164" t="str">
        <f ca="1">IFERROR(__xludf.DUMMYFUNCTION("""COMPUTED_VALUE"""),"1S11T5S16200GM04182X")</f>
        <v>1S11T5S16200GM04182X</v>
      </c>
      <c r="H1493" s="164" t="str">
        <f ca="1">IFERROR(__xludf.DUMMYFUNCTION("""COMPUTED_VALUE"""),"Simeona C. Tejada")</f>
        <v>Simeona C. Tejada</v>
      </c>
      <c r="I1493" s="164" t="str">
        <f ca="1">IFERROR(__xludf.DUMMYFUNCTION("""COMPUTED_VALUE"""),"Administrative Officer IV/ESS Staff")</f>
        <v>Administrative Officer IV/ESS Staff</v>
      </c>
      <c r="J1493" s="164" t="str">
        <f ca="1">IFERROR(__xludf.DUMMYFUNCTION("""COMPUTED_VALUE"""),"2023-05-022")</f>
        <v>2023-05-022</v>
      </c>
      <c r="K1493" s="164" t="str">
        <f ca="1">IFERROR(__xludf.DUMMYFUNCTION("""COMPUTED_VALUE"""),"Simeona C. Tejada")</f>
        <v>Simeona C. Tejada</v>
      </c>
      <c r="L1493" s="164" t="str">
        <f ca="1">IFERROR(__xludf.DUMMYFUNCTION("""COMPUTED_VALUE"""),"LTID")</f>
        <v>LTID</v>
      </c>
      <c r="M1493" s="164" t="str">
        <f ca="1">IFERROR(__xludf.DUMMYFUNCTION("""COMPUTED_VALUE"""),"SERVICEABLE")</f>
        <v>SERVICEABLE</v>
      </c>
      <c r="N1493" s="164" t="str">
        <f ca="1">IFERROR(__xludf.DUMMYFUNCTION("""COMPUTED_VALUE"""),"Printer User 
 Joel D. Reyes")</f>
        <v>Printer User 
 Joel D. Reyes</v>
      </c>
    </row>
    <row r="1494" spans="1:14" ht="13.2">
      <c r="A1494" s="164" t="str">
        <f ca="1">IFERROR(__xludf.DUMMYFUNCTION("""COMPUTED_VALUE"""),"Region III")</f>
        <v>Region III</v>
      </c>
      <c r="B1494" s="164" t="str">
        <f ca="1">IFERROR(__xludf.DUMMYFUNCTION("""COMPUTED_VALUE"""),"Nueva Ecija")</f>
        <v>Nueva Ecija</v>
      </c>
      <c r="C1494" s="164" t="str">
        <f ca="1">IFERROR(__xludf.DUMMYFUNCTION("""COMPUTED_VALUE"""),"Desktop Computer – (HP Pro SFF 280G9)")</f>
        <v>Desktop Computer – (HP Pro SFF 280G9)</v>
      </c>
      <c r="D1494" s="164" t="str">
        <f ca="1">IFERROR(__xludf.DUMMYFUNCTION("""COMPUTED_VALUE"""),"₱ 78,898.00")</f>
        <v>₱ 78,898.00</v>
      </c>
      <c r="E1494" s="164" t="str">
        <f ca="1">IFERROR(__xludf.DUMMYFUNCTION("""COMPUTED_VALUE"""),"₱-")</f>
        <v>₱-</v>
      </c>
      <c r="F1494" s="164" t="str">
        <f ca="1">IFERROR(__xludf.DUMMYFUNCTION("""COMPUTED_VALUE"""),"2023-05-03-10201SP321-01")</f>
        <v>2023-05-03-10201SP321-01</v>
      </c>
      <c r="G1494" s="164" t="str">
        <f ca="1">IFERROR(__xludf.DUMMYFUNCTION("""COMPUTED_VALUE"""),"4CE301DH6M")</f>
        <v>4CE301DH6M</v>
      </c>
      <c r="H1494" s="164" t="str">
        <f ca="1">IFERROR(__xludf.DUMMYFUNCTION("""COMPUTED_VALUE"""),"Atty. Alvin B. Soriano")</f>
        <v>Atty. Alvin B. Soriano</v>
      </c>
      <c r="I1494" s="164" t="str">
        <f ca="1">IFERROR(__xludf.DUMMYFUNCTION("""COMPUTED_VALUE"""),"Legal Coordinator")</f>
        <v>Legal Coordinator</v>
      </c>
      <c r="J1494" s="164" t="str">
        <f ca="1">IFERROR(__xludf.DUMMYFUNCTION("""COMPUTED_VALUE"""),"2023-09-031")</f>
        <v>2023-09-031</v>
      </c>
      <c r="K1494" s="164" t="str">
        <f ca="1">IFERROR(__xludf.DUMMYFUNCTION("""COMPUTED_VALUE"""),"Patrick Diaz")</f>
        <v>Patrick Diaz</v>
      </c>
      <c r="L1494" s="164" t="str">
        <f ca="1">IFERROR(__xludf.DUMMYFUNCTION("""COMPUTED_VALUE"""),"STOD")</f>
        <v>STOD</v>
      </c>
      <c r="M1494" s="164" t="str">
        <f ca="1">IFERROR(__xludf.DUMMYFUNCTION("""COMPUTED_VALUE"""),"SERVICEABLE")</f>
        <v>SERVICEABLE</v>
      </c>
      <c r="N1494" s="164" t="str">
        <f ca="1">IFERROR(__xludf.DUMMYFUNCTION("""COMPUTED_VALUE"""),"Printer User
 Jo-Ann Reyes")</f>
        <v>Printer User
 Jo-Ann Reyes</v>
      </c>
    </row>
    <row r="1495" spans="1:14" ht="13.2">
      <c r="A1495" s="164" t="str">
        <f ca="1">IFERROR(__xludf.DUMMYFUNCTION("""COMPUTED_VALUE"""),"Region III")</f>
        <v>Region III</v>
      </c>
      <c r="B1495" s="164" t="str">
        <f ca="1">IFERROR(__xludf.DUMMYFUNCTION("""COMPUTED_VALUE"""),"Nueva Ecija")</f>
        <v>Nueva Ecija</v>
      </c>
      <c r="C1495" s="164" t="str">
        <f ca="1">IFERROR(__xludf.DUMMYFUNCTION("""COMPUTED_VALUE"""),"Desktop Computer – (HP Pro SFF 280G9)")</f>
        <v>Desktop Computer – (HP Pro SFF 280G9)</v>
      </c>
      <c r="D1495" s="164" t="str">
        <f ca="1">IFERROR(__xludf.DUMMYFUNCTION("""COMPUTED_VALUE"""),"₱ 78,898.00")</f>
        <v>₱ 78,898.00</v>
      </c>
      <c r="E1495" s="164" t="str">
        <f ca="1">IFERROR(__xludf.DUMMYFUNCTION("""COMPUTED_VALUE"""),"₱-")</f>
        <v>₱-</v>
      </c>
      <c r="F1495" s="164" t="str">
        <f ca="1">IFERROR(__xludf.DUMMYFUNCTION("""COMPUTED_VALUE"""),"2023-05-03-10201SP322-01")</f>
        <v>2023-05-03-10201SP322-01</v>
      </c>
      <c r="G1495" s="164" t="str">
        <f ca="1">IFERROR(__xludf.DUMMYFUNCTION("""COMPUTED_VALUE"""),"4CE301DH5D")</f>
        <v>4CE301DH5D</v>
      </c>
      <c r="H1495" s="164" t="str">
        <f ca="1">IFERROR(__xludf.DUMMYFUNCTION("""COMPUTED_VALUE"""),"Rio S. Cortez")</f>
        <v>Rio S. Cortez</v>
      </c>
      <c r="I1495" s="164" t="str">
        <f ca="1">IFERROR(__xludf.DUMMYFUNCTION("""COMPUTED_VALUE"""),"SARPT and conc. Project SPLIT MIS Coordinator")</f>
        <v>SARPT and conc. Project SPLIT MIS Coordinator</v>
      </c>
      <c r="J1495" s="164" t="str">
        <f ca="1">IFERROR(__xludf.DUMMYFUNCTION("""COMPUTED_VALUE"""),"2023-09-032")</f>
        <v>2023-09-032</v>
      </c>
      <c r="K1495" s="164" t="str">
        <f ca="1">IFERROR(__xludf.DUMMYFUNCTION("""COMPUTED_VALUE"""),"Jennifer Aquino")</f>
        <v>Jennifer Aquino</v>
      </c>
      <c r="L1495" s="164" t="str">
        <f ca="1">IFERROR(__xludf.DUMMYFUNCTION("""COMPUTED_VALUE"""),"LTID")</f>
        <v>LTID</v>
      </c>
      <c r="M1495" s="164" t="str">
        <f ca="1">IFERROR(__xludf.DUMMYFUNCTION("""COMPUTED_VALUE"""),"SERVICEABLE")</f>
        <v>SERVICEABLE</v>
      </c>
      <c r="N1495" s="164" t="str">
        <f ca="1">IFERROR(__xludf.DUMMYFUNCTION("""COMPUTED_VALUE"""),"Printer User
 Rona Tracy Ann D. Mumar")</f>
        <v>Printer User
 Rona Tracy Ann D. Mumar</v>
      </c>
    </row>
    <row r="1496" spans="1:14" ht="13.2">
      <c r="A1496" s="164" t="str">
        <f ca="1">IFERROR(__xludf.DUMMYFUNCTION("""COMPUTED_VALUE"""),"Region III")</f>
        <v>Region III</v>
      </c>
      <c r="B1496" s="164" t="str">
        <f ca="1">IFERROR(__xludf.DUMMYFUNCTION("""COMPUTED_VALUE"""),"Nueva Ecija")</f>
        <v>Nueva Ecija</v>
      </c>
      <c r="C1496" s="164" t="str">
        <f ca="1">IFERROR(__xludf.DUMMYFUNCTION("""COMPUTED_VALUE"""),"Desktop Computer – (HP Pro SFF 280G9)")</f>
        <v>Desktop Computer – (HP Pro SFF 280G9)</v>
      </c>
      <c r="D1496" s="164" t="str">
        <f ca="1">IFERROR(__xludf.DUMMYFUNCTION("""COMPUTED_VALUE"""),"₱ 78,898.00")</f>
        <v>₱ 78,898.00</v>
      </c>
      <c r="E1496" s="164" t="str">
        <f ca="1">IFERROR(__xludf.DUMMYFUNCTION("""COMPUTED_VALUE"""),"₱-")</f>
        <v>₱-</v>
      </c>
      <c r="F1496" s="164" t="str">
        <f ca="1">IFERROR(__xludf.DUMMYFUNCTION("""COMPUTED_VALUE"""),"2023-05-03-10201SP323-01")</f>
        <v>2023-05-03-10201SP323-01</v>
      </c>
      <c r="G1496" s="164" t="str">
        <f ca="1">IFERROR(__xludf.DUMMYFUNCTION("""COMPUTED_VALUE"""),"4CE301DH47")</f>
        <v>4CE301DH47</v>
      </c>
      <c r="H1496" s="164" t="str">
        <f ca="1">IFERROR(__xludf.DUMMYFUNCTION("""COMPUTED_VALUE"""),"Engr. Ryan S. Bulanhagui")</f>
        <v>Engr. Ryan S. Bulanhagui</v>
      </c>
      <c r="I1496" s="164" t="str">
        <f ca="1">IFERROR(__xludf.DUMMYFUNCTION("""COMPUTED_VALUE"""),"CARPO-LTS Division and conc. Parcelization Component and FVT Coordinator")</f>
        <v>CARPO-LTS Division and conc. Parcelization Component and FVT Coordinator</v>
      </c>
      <c r="J1496" s="164" t="str">
        <f ca="1">IFERROR(__xludf.DUMMYFUNCTION("""COMPUTED_VALUE"""),"2023-09-033")</f>
        <v>2023-09-033</v>
      </c>
      <c r="K1496" s="164" t="str">
        <f ca="1">IFERROR(__xludf.DUMMYFUNCTION("""COMPUTED_VALUE"""),"Rhona Tracy Ann D. Mumar")</f>
        <v>Rhona Tracy Ann D. Mumar</v>
      </c>
      <c r="L1496" s="164" t="str">
        <f ca="1">IFERROR(__xludf.DUMMYFUNCTION("""COMPUTED_VALUE"""),"LTID")</f>
        <v>LTID</v>
      </c>
      <c r="M1496" s="164" t="str">
        <f ca="1">IFERROR(__xludf.DUMMYFUNCTION("""COMPUTED_VALUE"""),"SERVICEABLE")</f>
        <v>SERVICEABLE</v>
      </c>
      <c r="N1496" s="164" t="str">
        <f ca="1">IFERROR(__xludf.DUMMYFUNCTION("""COMPUTED_VALUE"""),"Printer User
 Jasmine Caragay")</f>
        <v>Printer User
 Jasmine Caragay</v>
      </c>
    </row>
    <row r="1497" spans="1:14" ht="13.2">
      <c r="A1497" s="164" t="str">
        <f ca="1">IFERROR(__xludf.DUMMYFUNCTION("""COMPUTED_VALUE"""),"Region III")</f>
        <v>Region III</v>
      </c>
      <c r="B1497" s="164" t="str">
        <f ca="1">IFERROR(__xludf.DUMMYFUNCTION("""COMPUTED_VALUE"""),"Nueva Ecija")</f>
        <v>Nueva Ecija</v>
      </c>
      <c r="C1497" s="164" t="str">
        <f ca="1">IFERROR(__xludf.DUMMYFUNCTION("""COMPUTED_VALUE"""),"Desktop Computer – (HP Pro SFF 280G9)")</f>
        <v>Desktop Computer – (HP Pro SFF 280G9)</v>
      </c>
      <c r="D1497" s="164" t="str">
        <f ca="1">IFERROR(__xludf.DUMMYFUNCTION("""COMPUTED_VALUE"""),"₱ 78,898.00")</f>
        <v>₱ 78,898.00</v>
      </c>
      <c r="E1497" s="164" t="str">
        <f ca="1">IFERROR(__xludf.DUMMYFUNCTION("""COMPUTED_VALUE"""),"₱-")</f>
        <v>₱-</v>
      </c>
      <c r="F1497" s="164" t="str">
        <f ca="1">IFERROR(__xludf.DUMMYFUNCTION("""COMPUTED_VALUE"""),"2023-05-03-10201SP324-01")</f>
        <v>2023-05-03-10201SP324-01</v>
      </c>
      <c r="G1497" s="164" t="str">
        <f ca="1">IFERROR(__xludf.DUMMYFUNCTION("""COMPUTED_VALUE"""),"4CE301DH4J")</f>
        <v>4CE301DH4J</v>
      </c>
      <c r="H1497" s="164" t="str">
        <f ca="1">IFERROR(__xludf.DUMMYFUNCTION("""COMPUTED_VALUE"""),"Genoveva U. Taplacido")</f>
        <v>Genoveva U. Taplacido</v>
      </c>
      <c r="I1497" s="164" t="str">
        <f ca="1">IFERROR(__xludf.DUMMYFUNCTION("""COMPUTED_VALUE"""),"CARPO LTS/Parcelization Component and FVT Coordinator")</f>
        <v>CARPO LTS/Parcelization Component and FVT Coordinator</v>
      </c>
      <c r="J1497" s="164" t="str">
        <f ca="1">IFERROR(__xludf.DUMMYFUNCTION("""COMPUTED_VALUE"""),"2023-09-034")</f>
        <v>2023-09-034</v>
      </c>
      <c r="K1497" s="164" t="str">
        <f ca="1">IFERROR(__xludf.DUMMYFUNCTION("""COMPUTED_VALUE"""),"Engr. John Vincent Veneracion")</f>
        <v>Engr. John Vincent Veneracion</v>
      </c>
      <c r="L1497" s="164" t="str">
        <f ca="1">IFERROR(__xludf.DUMMYFUNCTION("""COMPUTED_VALUE"""),"PBDD")</f>
        <v>PBDD</v>
      </c>
      <c r="M1497" s="164" t="str">
        <f ca="1">IFERROR(__xludf.DUMMYFUNCTION("""COMPUTED_VALUE"""),"SERVICEABLE")</f>
        <v>SERVICEABLE</v>
      </c>
      <c r="N1497" s="164"/>
    </row>
    <row r="1498" spans="1:14" ht="13.2">
      <c r="A1498" s="164" t="str">
        <f ca="1">IFERROR(__xludf.DUMMYFUNCTION("""COMPUTED_VALUE"""),"Region III")</f>
        <v>Region III</v>
      </c>
      <c r="B1498" s="164" t="str">
        <f ca="1">IFERROR(__xludf.DUMMYFUNCTION("""COMPUTED_VALUE"""),"Nueva Ecija")</f>
        <v>Nueva Ecija</v>
      </c>
      <c r="C1498" s="164" t="str">
        <f ca="1">IFERROR(__xludf.DUMMYFUNCTION("""COMPUTED_VALUE"""),"Desktop Computer – (HP Pro SFF 280G9)")</f>
        <v>Desktop Computer – (HP Pro SFF 280G9)</v>
      </c>
      <c r="D1498" s="164" t="str">
        <f ca="1">IFERROR(__xludf.DUMMYFUNCTION("""COMPUTED_VALUE"""),"₱ 78,898.00")</f>
        <v>₱ 78,898.00</v>
      </c>
      <c r="E1498" s="164" t="str">
        <f ca="1">IFERROR(__xludf.DUMMYFUNCTION("""COMPUTED_VALUE"""),"₱-")</f>
        <v>₱-</v>
      </c>
      <c r="F1498" s="164" t="str">
        <f ca="1">IFERROR(__xludf.DUMMYFUNCTION("""COMPUTED_VALUE"""),"2023-05-03-10201SP325-01")</f>
        <v>2023-05-03-10201SP325-01</v>
      </c>
      <c r="G1498" s="164" t="str">
        <f ca="1">IFERROR(__xludf.DUMMYFUNCTION("""COMPUTED_VALUE"""),"4CE301DH7K")</f>
        <v>4CE301DH7K</v>
      </c>
      <c r="H1498" s="164" t="str">
        <f ca="1">IFERROR(__xludf.DUMMYFUNCTION("""COMPUTED_VALUE"""),"Genoveva U. Taplacido")</f>
        <v>Genoveva U. Taplacido</v>
      </c>
      <c r="I1498" s="164" t="str">
        <f ca="1">IFERROR(__xludf.DUMMYFUNCTION("""COMPUTED_VALUE"""),"CARPO LTS/Parcelization Component and FVT Coordinator")</f>
        <v>CARPO LTS/Parcelization Component and FVT Coordinator</v>
      </c>
      <c r="J1498" s="164" t="str">
        <f ca="1">IFERROR(__xludf.DUMMYFUNCTION("""COMPUTED_VALUE"""),"2023-09-035")</f>
        <v>2023-09-035</v>
      </c>
      <c r="K1498" s="164" t="str">
        <f ca="1">IFERROR(__xludf.DUMMYFUNCTION("""COMPUTED_VALUE"""),"Michelle Ann E. Beley")</f>
        <v>Michelle Ann E. Beley</v>
      </c>
      <c r="L1498" s="164" t="str">
        <f ca="1">IFERROR(__xludf.DUMMYFUNCTION("""COMPUTED_VALUE"""),"LTID")</f>
        <v>LTID</v>
      </c>
      <c r="M1498" s="164" t="str">
        <f ca="1">IFERROR(__xludf.DUMMYFUNCTION("""COMPUTED_VALUE"""),"SERVICEABLE")</f>
        <v>SERVICEABLE</v>
      </c>
      <c r="N1498" s="164"/>
    </row>
    <row r="1499" spans="1:14" ht="13.2">
      <c r="A1499" s="164" t="str">
        <f ca="1">IFERROR(__xludf.DUMMYFUNCTION("""COMPUTED_VALUE"""),"Region III")</f>
        <v>Region III</v>
      </c>
      <c r="B1499" s="164" t="str">
        <f ca="1">IFERROR(__xludf.DUMMYFUNCTION("""COMPUTED_VALUE"""),"Nueva Ecija")</f>
        <v>Nueva Ecija</v>
      </c>
      <c r="C1499" s="164" t="str">
        <f ca="1">IFERROR(__xludf.DUMMYFUNCTION("""COMPUTED_VALUE"""),"Laptop – (ACER EXTENSA EX215-55G i7)")</f>
        <v>Laptop – (ACER EXTENSA EX215-55G i7)</v>
      </c>
      <c r="D1499" s="164" t="str">
        <f ca="1">IFERROR(__xludf.DUMMYFUNCTION("""COMPUTED_VALUE"""),"₱ 59,500.00")</f>
        <v>₱ 59,500.00</v>
      </c>
      <c r="E1499" s="164" t="str">
        <f ca="1">IFERROR(__xludf.DUMMYFUNCTION("""COMPUTED_VALUE"""),"₱-")</f>
        <v>₱-</v>
      </c>
      <c r="F1499" s="164" t="str">
        <f ca="1">IFERROR(__xludf.DUMMYFUNCTION("""COMPUTED_VALUE"""),"2023-05-03-10202SP147-01")</f>
        <v>2023-05-03-10202SP147-01</v>
      </c>
      <c r="G1499" s="164"/>
      <c r="H1499" s="164" t="str">
        <f ca="1">IFERROR(__xludf.DUMMYFUNCTION("""COMPUTED_VALUE"""),"Rio S. Cortez")</f>
        <v>Rio S. Cortez</v>
      </c>
      <c r="I1499" s="164" t="str">
        <f ca="1">IFERROR(__xludf.DUMMYFUNCTION("""COMPUTED_VALUE"""),"SARPT and conc. Project SPLIT MIS Coordinator")</f>
        <v>SARPT and conc. Project SPLIT MIS Coordinator</v>
      </c>
      <c r="J1499" s="164" t="str">
        <f ca="1">IFERROR(__xludf.DUMMYFUNCTION("""COMPUTED_VALUE"""),"2023-09-028")</f>
        <v>2023-09-028</v>
      </c>
      <c r="K1499" s="164" t="str">
        <f ca="1">IFERROR(__xludf.DUMMYFUNCTION("""COMPUTED_VALUE"""),"Rio S. Cortez")</f>
        <v>Rio S. Cortez</v>
      </c>
      <c r="L1499" s="164" t="str">
        <f ca="1">IFERROR(__xludf.DUMMYFUNCTION("""COMPUTED_VALUE"""),"LTID")</f>
        <v>LTID</v>
      </c>
      <c r="M1499" s="164" t="str">
        <f ca="1">IFERROR(__xludf.DUMMYFUNCTION("""COMPUTED_VALUE"""),"SERVICEABLE")</f>
        <v>SERVICEABLE</v>
      </c>
      <c r="N1499" s="164"/>
    </row>
    <row r="1500" spans="1:14" ht="13.2">
      <c r="A1500" s="164" t="str">
        <f ca="1">IFERROR(__xludf.DUMMYFUNCTION("""COMPUTED_VALUE"""),"Region III")</f>
        <v>Region III</v>
      </c>
      <c r="B1500" s="164" t="str">
        <f ca="1">IFERROR(__xludf.DUMMYFUNCTION("""COMPUTED_VALUE"""),"Nueva Ecija")</f>
        <v>Nueva Ecija</v>
      </c>
      <c r="C1500" s="164" t="str">
        <f ca="1">IFERROR(__xludf.DUMMYFUNCTION("""COMPUTED_VALUE"""),"Laptop – (ACER EXTENSA EX215-55G i7)")</f>
        <v>Laptop – (ACER EXTENSA EX215-55G i7)</v>
      </c>
      <c r="D1500" s="164" t="str">
        <f ca="1">IFERROR(__xludf.DUMMYFUNCTION("""COMPUTED_VALUE"""),"₱ 59,500.00")</f>
        <v>₱ 59,500.00</v>
      </c>
      <c r="E1500" s="164" t="str">
        <f ca="1">IFERROR(__xludf.DUMMYFUNCTION("""COMPUTED_VALUE"""),"₱-")</f>
        <v>₱-</v>
      </c>
      <c r="F1500" s="164" t="str">
        <f ca="1">IFERROR(__xludf.DUMMYFUNCTION("""COMPUTED_VALUE"""),"2023-05-03-10202SP149-01")</f>
        <v>2023-05-03-10202SP149-01</v>
      </c>
      <c r="G1500" s="164"/>
      <c r="H1500" s="164" t="str">
        <f ca="1">IFERROR(__xludf.DUMMYFUNCTION("""COMPUTED_VALUE"""),"Marivie C. Sebastian")</f>
        <v>Marivie C. Sebastian</v>
      </c>
      <c r="I1500" s="164" t="str">
        <f ca="1">IFERROR(__xludf.DUMMYFUNCTION("""COMPUTED_VALUE"""),"Chief, Planning Section/Project SPLIT M&amp;E Coordinator")</f>
        <v>Chief, Planning Section/Project SPLIT M&amp;E Coordinator</v>
      </c>
      <c r="J1500" s="164" t="str">
        <f ca="1">IFERROR(__xludf.DUMMYFUNCTION("""COMPUTED_VALUE"""),"2023-09-029")</f>
        <v>2023-09-029</v>
      </c>
      <c r="K1500" s="164" t="str">
        <f ca="1">IFERROR(__xludf.DUMMYFUNCTION("""COMPUTED_VALUE"""),"Marivie C. Sebastian")</f>
        <v>Marivie C. Sebastian</v>
      </c>
      <c r="L1500" s="164" t="str">
        <f ca="1">IFERROR(__xludf.DUMMYFUNCTION("""COMPUTED_VALUE"""),"STOD")</f>
        <v>STOD</v>
      </c>
      <c r="M1500" s="164" t="str">
        <f ca="1">IFERROR(__xludf.DUMMYFUNCTION("""COMPUTED_VALUE"""),"SERVICEABLE")</f>
        <v>SERVICEABLE</v>
      </c>
      <c r="N1500" s="164"/>
    </row>
    <row r="1501" spans="1:14" ht="13.2">
      <c r="A1501" s="164" t="str">
        <f ca="1">IFERROR(__xludf.DUMMYFUNCTION("""COMPUTED_VALUE"""),"Region III")</f>
        <v>Region III</v>
      </c>
      <c r="B1501" s="164" t="str">
        <f ca="1">IFERROR(__xludf.DUMMYFUNCTION("""COMPUTED_VALUE"""),"Nueva Ecija")</f>
        <v>Nueva Ecija</v>
      </c>
      <c r="C1501" s="164" t="str">
        <f ca="1">IFERROR(__xludf.DUMMYFUNCTION("""COMPUTED_VALUE"""),"Laptop – (ACER EXTENSA EX215-55G i7)")</f>
        <v>Laptop – (ACER EXTENSA EX215-55G i7)</v>
      </c>
      <c r="D1501" s="164" t="str">
        <f ca="1">IFERROR(__xludf.DUMMYFUNCTION("""COMPUTED_VALUE"""),"₱ 59,500.00")</f>
        <v>₱ 59,500.00</v>
      </c>
      <c r="E1501" s="164" t="str">
        <f ca="1">IFERROR(__xludf.DUMMYFUNCTION("""COMPUTED_VALUE"""),"₱-")</f>
        <v>₱-</v>
      </c>
      <c r="F1501" s="164" t="str">
        <f ca="1">IFERROR(__xludf.DUMMYFUNCTION("""COMPUTED_VALUE"""),"2023-05-03-10202SP150-01")</f>
        <v>2023-05-03-10202SP150-01</v>
      </c>
      <c r="G1501" s="164"/>
      <c r="H1501" s="164" t="str">
        <f ca="1">IFERROR(__xludf.DUMMYFUNCTION("""COMPUTED_VALUE"""),"Engr. Dina DG. Gonzalez")</f>
        <v>Engr. Dina DG. Gonzalez</v>
      </c>
      <c r="I1501" s="164" t="str">
        <f ca="1">IFERROR(__xludf.DUMMYFUNCTION("""COMPUTED_VALUE"""),"CAO /Project SPLIT Admin. and Finance Coordinator")</f>
        <v>CAO /Project SPLIT Admin. and Finance Coordinator</v>
      </c>
      <c r="J1501" s="164" t="str">
        <f ca="1">IFERROR(__xludf.DUMMYFUNCTION("""COMPUTED_VALUE"""),"2023-09-030")</f>
        <v>2023-09-030</v>
      </c>
      <c r="K1501" s="164" t="str">
        <f ca="1">IFERROR(__xludf.DUMMYFUNCTION("""COMPUTED_VALUE"""),"CBTA Support Staff")</f>
        <v>CBTA Support Staff</v>
      </c>
      <c r="L1501" s="164" t="str">
        <f ca="1">IFERROR(__xludf.DUMMYFUNCTION("""COMPUTED_VALUE"""),"STOD")</f>
        <v>STOD</v>
      </c>
      <c r="M1501" s="164" t="str">
        <f ca="1">IFERROR(__xludf.DUMMYFUNCTION("""COMPUTED_VALUE"""),"SERVICEABLE")</f>
        <v>SERVICEABLE</v>
      </c>
      <c r="N1501" s="164"/>
    </row>
    <row r="1502" spans="1:14" ht="13.2">
      <c r="A1502" s="164" t="str">
        <f ca="1">IFERROR(__xludf.DUMMYFUNCTION("""COMPUTED_VALUE"""),"Region III")</f>
        <v>Region III</v>
      </c>
      <c r="B1502" s="164" t="str">
        <f ca="1">IFERROR(__xludf.DUMMYFUNCTION("""COMPUTED_VALUE"""),"Nueva Ecija")</f>
        <v>Nueva Ecija</v>
      </c>
      <c r="C1502" s="164" t="str">
        <f ca="1">IFERROR(__xludf.DUMMYFUNCTION("""COMPUTED_VALUE"""),"Laptop – (ACER EXTENSA EX215-55G i7)")</f>
        <v>Laptop – (ACER EXTENSA EX215-55G i7)</v>
      </c>
      <c r="D1502" s="164" t="str">
        <f ca="1">IFERROR(__xludf.DUMMYFUNCTION("""COMPUTED_VALUE"""),"₱ 59,500.00")</f>
        <v>₱ 59,500.00</v>
      </c>
      <c r="E1502" s="164" t="str">
        <f ca="1">IFERROR(__xludf.DUMMYFUNCTION("""COMPUTED_VALUE"""),"₱-")</f>
        <v>₱-</v>
      </c>
      <c r="F1502" s="164" t="str">
        <f ca="1">IFERROR(__xludf.DUMMYFUNCTION("""COMPUTED_VALUE"""),"2023-05-03-10202SP25-01")</f>
        <v>2023-05-03-10202SP25-01</v>
      </c>
      <c r="G1502" s="164"/>
      <c r="H1502" s="164" t="str">
        <f ca="1">IFERROR(__xludf.DUMMYFUNCTION("""COMPUTED_VALUE"""),"Engr.Annamarie R. Guillermo")</f>
        <v>Engr.Annamarie R. Guillermo</v>
      </c>
      <c r="I1502" s="164" t="str">
        <f ca="1">IFERROR(__xludf.DUMMYFUNCTION("""COMPUTED_VALUE"""),"OIC-PARPO I")</f>
        <v>OIC-PARPO I</v>
      </c>
      <c r="J1502" s="164" t="str">
        <f ca="1">IFERROR(__xludf.DUMMYFUNCTION("""COMPUTED_VALUE"""),"2023-11-038")</f>
        <v>2023-11-038</v>
      </c>
      <c r="K1502" s="164" t="str">
        <f ca="1">IFERROR(__xludf.DUMMYFUNCTION("""COMPUTED_VALUE"""),"Christian Victor C. Cuaresma")</f>
        <v>Christian Victor C. Cuaresma</v>
      </c>
      <c r="L1502" s="164" t="str">
        <f ca="1">IFERROR(__xludf.DUMMYFUNCTION("""COMPUTED_VALUE"""),"DARAB")</f>
        <v>DARAB</v>
      </c>
      <c r="M1502" s="164" t="str">
        <f ca="1">IFERROR(__xludf.DUMMYFUNCTION("""COMPUTED_VALUE"""),"SERVICEABLE")</f>
        <v>SERVICEABLE</v>
      </c>
      <c r="N1502" s="164"/>
    </row>
    <row r="1503" spans="1:14" ht="13.2">
      <c r="A1503" s="164" t="str">
        <f ca="1">IFERROR(__xludf.DUMMYFUNCTION("""COMPUTED_VALUE"""),"Region III")</f>
        <v>Region III</v>
      </c>
      <c r="B1503" s="164" t="str">
        <f ca="1">IFERROR(__xludf.DUMMYFUNCTION("""COMPUTED_VALUE"""),"Nueva Ecija")</f>
        <v>Nueva Ecija</v>
      </c>
      <c r="C1503" s="164" t="str">
        <f ca="1">IFERROR(__xludf.DUMMYFUNCTION("""COMPUTED_VALUE"""),"REAL-TIME KINEMATIC – GEOMAX ZENITH60")</f>
        <v>REAL-TIME KINEMATIC – GEOMAX ZENITH60</v>
      </c>
      <c r="D1503" s="164" t="str">
        <f ca="1">IFERROR(__xludf.DUMMYFUNCTION("""COMPUTED_VALUE"""),"₱ 1,849,000.00")</f>
        <v>₱ 1,849,000.00</v>
      </c>
      <c r="E1503" s="164" t="str">
        <f ca="1">IFERROR(__xludf.DUMMYFUNCTION("""COMPUTED_VALUE"""),"₱-")</f>
        <v>₱-</v>
      </c>
      <c r="F1503" s="164" t="str">
        <f ca="1">IFERROR(__xludf.DUMMYFUNCTION("""COMPUTED_VALUE"""),"2023-05-14-10201SP25-01")</f>
        <v>2023-05-14-10201SP25-01</v>
      </c>
      <c r="G1503" s="164"/>
      <c r="H1503" s="164" t="str">
        <f ca="1">IFERROR(__xludf.DUMMYFUNCTION("""COMPUTED_VALUE"""),"ENGR ALVIN LICUANAN")</f>
        <v>ENGR ALVIN LICUANAN</v>
      </c>
      <c r="I1503" s="164" t="str">
        <f ca="1">IFERROR(__xludf.DUMMYFUNCTION("""COMPUTED_VALUE"""),"DENR/LRA SURVEY COORDINATOR")</f>
        <v>DENR/LRA SURVEY COORDINATOR</v>
      </c>
      <c r="J1503" s="164" t="str">
        <f ca="1">IFERROR(__xludf.DUMMYFUNCTION("""COMPUTED_VALUE"""),"2023-03-002")</f>
        <v>2023-03-002</v>
      </c>
      <c r="K1503" s="164" t="str">
        <f ca="1">IFERROR(__xludf.DUMMYFUNCTION("""COMPUTED_VALUE"""),"ENGR ALVIN LICUANAN")</f>
        <v>ENGR ALVIN LICUANAN</v>
      </c>
      <c r="L1503" s="164" t="str">
        <f ca="1">IFERROR(__xludf.DUMMYFUNCTION("""COMPUTED_VALUE"""),"LTID")</f>
        <v>LTID</v>
      </c>
      <c r="M1503" s="164" t="str">
        <f ca="1">IFERROR(__xludf.DUMMYFUNCTION("""COMPUTED_VALUE"""),"SERVICEABLE")</f>
        <v>SERVICEABLE</v>
      </c>
      <c r="N1503" s="164"/>
    </row>
    <row r="1504" spans="1:14" ht="13.2">
      <c r="A1504" s="164" t="str">
        <f ca="1">IFERROR(__xludf.DUMMYFUNCTION("""COMPUTED_VALUE"""),"Region III")</f>
        <v>Region III</v>
      </c>
      <c r="B1504" s="164" t="str">
        <f ca="1">IFERROR(__xludf.DUMMYFUNCTION("""COMPUTED_VALUE"""),"Nueva Ecija")</f>
        <v>Nueva Ecija</v>
      </c>
      <c r="C1504" s="164" t="str">
        <f ca="1">IFERROR(__xludf.DUMMYFUNCTION("""COMPUTED_VALUE"""),"TOTAL STATION – GEOMAX TOTAL STATION ZOOM 50")</f>
        <v>TOTAL STATION – GEOMAX TOTAL STATION ZOOM 50</v>
      </c>
      <c r="D1504" s="164" t="str">
        <f ca="1">IFERROR(__xludf.DUMMYFUNCTION("""COMPUTED_VALUE"""),"₱ 648,000.00")</f>
        <v>₱ 648,000.00</v>
      </c>
      <c r="E1504" s="164" t="str">
        <f ca="1">IFERROR(__xludf.DUMMYFUNCTION("""COMPUTED_VALUE"""),"₱-")</f>
        <v>₱-</v>
      </c>
      <c r="F1504" s="164" t="str">
        <f ca="1">IFERROR(__xludf.DUMMYFUNCTION("""COMPUTED_VALUE"""),"2023-05-14-10201SP25-01")</f>
        <v>2023-05-14-10201SP25-01</v>
      </c>
      <c r="G1504" s="164"/>
      <c r="H1504" s="164" t="str">
        <f ca="1">IFERROR(__xludf.DUMMYFUNCTION("""COMPUTED_VALUE"""),"ENGR ALVIN LICUANAN")</f>
        <v>ENGR ALVIN LICUANAN</v>
      </c>
      <c r="I1504" s="164" t="str">
        <f ca="1">IFERROR(__xludf.DUMMYFUNCTION("""COMPUTED_VALUE"""),"DENR/LRA SURVEY COORDINATOR")</f>
        <v>DENR/LRA SURVEY COORDINATOR</v>
      </c>
      <c r="J1504" s="164" t="str">
        <f ca="1">IFERROR(__xludf.DUMMYFUNCTION("""COMPUTED_VALUE"""),"2023-03-003")</f>
        <v>2023-03-003</v>
      </c>
      <c r="K1504" s="164" t="str">
        <f ca="1">IFERROR(__xludf.DUMMYFUNCTION("""COMPUTED_VALUE"""),"ENGR ALVIN LICUANAN")</f>
        <v>ENGR ALVIN LICUANAN</v>
      </c>
      <c r="L1504" s="164" t="str">
        <f ca="1">IFERROR(__xludf.DUMMYFUNCTION("""COMPUTED_VALUE"""),"LTID")</f>
        <v>LTID</v>
      </c>
      <c r="M1504" s="164" t="str">
        <f ca="1">IFERROR(__xludf.DUMMYFUNCTION("""COMPUTED_VALUE"""),"SERVICEABLE")</f>
        <v>SERVICEABLE</v>
      </c>
      <c r="N1504" s="164"/>
    </row>
    <row r="1505" spans="1:14" ht="13.2">
      <c r="A1505" s="164" t="str">
        <f ca="1">IFERROR(__xludf.DUMMYFUNCTION("""COMPUTED_VALUE"""),"Region III")</f>
        <v>Region III</v>
      </c>
      <c r="B1505" s="164" t="str">
        <f ca="1">IFERROR(__xludf.DUMMYFUNCTION("""COMPUTED_VALUE"""),"Nueva Ecija")</f>
        <v>Nueva Ecija</v>
      </c>
      <c r="C1505" s="164" t="str">
        <f ca="1">IFERROR(__xludf.DUMMYFUNCTION("""COMPUTED_VALUE"""),"HANDHELD GPS – MODEL P6")</f>
        <v>HANDHELD GPS – MODEL P6</v>
      </c>
      <c r="D1505" s="164" t="str">
        <f ca="1">IFERROR(__xludf.DUMMYFUNCTION("""COMPUTED_VALUE"""),"₱ 79,000.00")</f>
        <v>₱ 79,000.00</v>
      </c>
      <c r="E1505" s="164" t="str">
        <f ca="1">IFERROR(__xludf.DUMMYFUNCTION("""COMPUTED_VALUE"""),"₱-")</f>
        <v>₱-</v>
      </c>
      <c r="F1505" s="164" t="str">
        <f ca="1">IFERROR(__xludf.DUMMYFUNCTION("""COMPUTED_VALUE"""),"2023-06-01-10202SP42-01")</f>
        <v>2023-06-01-10202SP42-01</v>
      </c>
      <c r="G1505" s="164"/>
      <c r="H1505" s="164" t="str">
        <f ca="1">IFERROR(__xludf.DUMMYFUNCTION("""COMPUTED_VALUE"""),"ENGR ALVIN LICUANAN")</f>
        <v>ENGR ALVIN LICUANAN</v>
      </c>
      <c r="I1505" s="164" t="str">
        <f ca="1">IFERROR(__xludf.DUMMYFUNCTION("""COMPUTED_VALUE"""),"DENR/LRA SURVEY COORDINATOR")</f>
        <v>DENR/LRA SURVEY COORDINATOR</v>
      </c>
      <c r="J1505" s="164" t="str">
        <f ca="1">IFERROR(__xludf.DUMMYFUNCTION("""COMPUTED_VALUE"""),"2023-03-027")</f>
        <v>2023-03-027</v>
      </c>
      <c r="K1505" s="164" t="str">
        <f ca="1">IFERROR(__xludf.DUMMYFUNCTION("""COMPUTED_VALUE"""),"ENGR ALVIN LICUANAN")</f>
        <v>ENGR ALVIN LICUANAN</v>
      </c>
      <c r="L1505" s="164" t="str">
        <f ca="1">IFERROR(__xludf.DUMMYFUNCTION("""COMPUTED_VALUE"""),"LTID")</f>
        <v>LTID</v>
      </c>
      <c r="M1505" s="164" t="str">
        <f ca="1">IFERROR(__xludf.DUMMYFUNCTION("""COMPUTED_VALUE"""),"SERVICEABLE")</f>
        <v>SERVICEABLE</v>
      </c>
      <c r="N1505" s="164"/>
    </row>
    <row r="1506" spans="1:14" ht="13.2">
      <c r="A1506" s="164" t="str">
        <f ca="1">IFERROR(__xludf.DUMMYFUNCTION("""COMPUTED_VALUE"""),"Region III")</f>
        <v>Region III</v>
      </c>
      <c r="B1506" s="164" t="str">
        <f ca="1">IFERROR(__xludf.DUMMYFUNCTION("""COMPUTED_VALUE"""),"Nueva Ecija")</f>
        <v>Nueva Ecija</v>
      </c>
      <c r="C1506" s="164" t="str">
        <f ca="1">IFERROR(__xludf.DUMMYFUNCTION("""COMPUTED_VALUE"""),"HANDHELD GPS – MODEL P6")</f>
        <v>HANDHELD GPS – MODEL P6</v>
      </c>
      <c r="D1506" s="164" t="str">
        <f ca="1">IFERROR(__xludf.DUMMYFUNCTION("""COMPUTED_VALUE"""),"₱ 79,000.00")</f>
        <v>₱ 79,000.00</v>
      </c>
      <c r="E1506" s="164" t="str">
        <f ca="1">IFERROR(__xludf.DUMMYFUNCTION("""COMPUTED_VALUE"""),"₱-")</f>
        <v>₱-</v>
      </c>
      <c r="F1506" s="164" t="str">
        <f ca="1">IFERROR(__xludf.DUMMYFUNCTION("""COMPUTED_VALUE"""),"2023-06-01-10202SP81-01")</f>
        <v>2023-06-01-10202SP81-01</v>
      </c>
      <c r="G1506" s="164" t="str">
        <f ca="1">IFERROR(__xludf.DUMMYFUNCTION("""COMPUTED_VALUE"""),"SAP10730051")</f>
        <v>SAP10730051</v>
      </c>
      <c r="H1506" s="164" t="str">
        <f ca="1">IFERROR(__xludf.DUMMYFUNCTION("""COMPUTED_VALUE"""),"ENGR ALVIN LICUANAN")</f>
        <v>ENGR ALVIN LICUANAN</v>
      </c>
      <c r="I1506" s="164" t="str">
        <f ca="1">IFERROR(__xludf.DUMMYFUNCTION("""COMPUTED_VALUE"""),"DENR/LRA SURVEY COORDINATOR")</f>
        <v>DENR/LRA SURVEY COORDINATOR</v>
      </c>
      <c r="J1506" s="164" t="str">
        <f ca="1">IFERROR(__xludf.DUMMYFUNCTION("""COMPUTED_VALUE"""),"2023-03-027")</f>
        <v>2023-03-027</v>
      </c>
      <c r="K1506" s="164" t="str">
        <f ca="1">IFERROR(__xludf.DUMMYFUNCTION("""COMPUTED_VALUE"""),"ENGR ALVIN LICUANAN")</f>
        <v>ENGR ALVIN LICUANAN</v>
      </c>
      <c r="L1506" s="164" t="str">
        <f ca="1">IFERROR(__xludf.DUMMYFUNCTION("""COMPUTED_VALUE"""),"LTID")</f>
        <v>LTID</v>
      </c>
      <c r="M1506" s="164" t="str">
        <f ca="1">IFERROR(__xludf.DUMMYFUNCTION("""COMPUTED_VALUE"""),"SERVICEABLE")</f>
        <v>SERVICEABLE</v>
      </c>
      <c r="N1506" s="164"/>
    </row>
    <row r="1507" spans="1:14" ht="13.2">
      <c r="A1507" s="164" t="str">
        <f ca="1">IFERROR(__xludf.DUMMYFUNCTION("""COMPUTED_VALUE"""),"Region III")</f>
        <v>Region III</v>
      </c>
      <c r="B1507" s="164" t="str">
        <f ca="1">IFERROR(__xludf.DUMMYFUNCTION("""COMPUTED_VALUE"""),"Nueva Ecija")</f>
        <v>Nueva Ecija</v>
      </c>
      <c r="C1507" s="164" t="str">
        <f ca="1">IFERROR(__xludf.DUMMYFUNCTION("""COMPUTED_VALUE"""),"HANDHELD GPS – MODEL P6")</f>
        <v>HANDHELD GPS – MODEL P6</v>
      </c>
      <c r="D1507" s="164" t="str">
        <f ca="1">IFERROR(__xludf.DUMMYFUNCTION("""COMPUTED_VALUE"""),"₱ 79,000.00")</f>
        <v>₱ 79,000.00</v>
      </c>
      <c r="E1507" s="164" t="str">
        <f ca="1">IFERROR(__xludf.DUMMYFUNCTION("""COMPUTED_VALUE"""),"₱-")</f>
        <v>₱-</v>
      </c>
      <c r="F1507" s="164" t="str">
        <f ca="1">IFERROR(__xludf.DUMMYFUNCTION("""COMPUTED_VALUE"""),"2023-06-01-10202SP82-01")</f>
        <v>2023-06-01-10202SP82-01</v>
      </c>
      <c r="G1507" s="164" t="str">
        <f ca="1">IFERROR(__xludf.DUMMYFUNCTION("""COMPUTED_VALUE"""),"SAP10730055")</f>
        <v>SAP10730055</v>
      </c>
      <c r="H1507" s="164" t="str">
        <f ca="1">IFERROR(__xludf.DUMMYFUNCTION("""COMPUTED_VALUE"""),"ENGR ALVIN LICUANAN")</f>
        <v>ENGR ALVIN LICUANAN</v>
      </c>
      <c r="I1507" s="164" t="str">
        <f ca="1">IFERROR(__xludf.DUMMYFUNCTION("""COMPUTED_VALUE"""),"DENR/LRA SURVEY COORDINATOR")</f>
        <v>DENR/LRA SURVEY COORDINATOR</v>
      </c>
      <c r="J1507" s="164" t="str">
        <f ca="1">IFERROR(__xludf.DUMMYFUNCTION("""COMPUTED_VALUE"""),"2023-03-027")</f>
        <v>2023-03-027</v>
      </c>
      <c r="K1507" s="164" t="str">
        <f ca="1">IFERROR(__xludf.DUMMYFUNCTION("""COMPUTED_VALUE"""),"ENGR ALVIN LICUANAN")</f>
        <v>ENGR ALVIN LICUANAN</v>
      </c>
      <c r="L1507" s="164" t="str">
        <f ca="1">IFERROR(__xludf.DUMMYFUNCTION("""COMPUTED_VALUE"""),"LTID")</f>
        <v>LTID</v>
      </c>
      <c r="M1507" s="164" t="str">
        <f ca="1">IFERROR(__xludf.DUMMYFUNCTION("""COMPUTED_VALUE"""),"SERVICEABLE")</f>
        <v>SERVICEABLE</v>
      </c>
      <c r="N1507" s="164"/>
    </row>
    <row r="1508" spans="1:14" ht="13.2">
      <c r="A1508" s="164" t="str">
        <f ca="1">IFERROR(__xludf.DUMMYFUNCTION("""COMPUTED_VALUE"""),"Region III")</f>
        <v>Region III</v>
      </c>
      <c r="B1508" s="164" t="str">
        <f ca="1">IFERROR(__xludf.DUMMYFUNCTION("""COMPUTED_VALUE"""),"Nueva Ecija")</f>
        <v>Nueva Ecija</v>
      </c>
      <c r="C1508" s="164" t="str">
        <f ca="1">IFERROR(__xludf.DUMMYFUNCTION("""COMPUTED_VALUE"""),"HANDHELD GPS – MODEL P6")</f>
        <v>HANDHELD GPS – MODEL P6</v>
      </c>
      <c r="D1508" s="164" t="str">
        <f ca="1">IFERROR(__xludf.DUMMYFUNCTION("""COMPUTED_VALUE"""),"₱ 79,000.00")</f>
        <v>₱ 79,000.00</v>
      </c>
      <c r="E1508" s="164" t="str">
        <f ca="1">IFERROR(__xludf.DUMMYFUNCTION("""COMPUTED_VALUE"""),"₱-")</f>
        <v>₱-</v>
      </c>
      <c r="F1508" s="164" t="str">
        <f ca="1">IFERROR(__xludf.DUMMYFUNCTION("""COMPUTED_VALUE"""),"2023-06-01-10202SP83-01")</f>
        <v>2023-06-01-10202SP83-01</v>
      </c>
      <c r="G1508" s="164" t="str">
        <f ca="1">IFERROR(__xludf.DUMMYFUNCTION("""COMPUTED_VALUE"""),"SAP10730082")</f>
        <v>SAP10730082</v>
      </c>
      <c r="H1508" s="164" t="str">
        <f ca="1">IFERROR(__xludf.DUMMYFUNCTION("""COMPUTED_VALUE"""),"ENGR ALVIN LICUANAN")</f>
        <v>ENGR ALVIN LICUANAN</v>
      </c>
      <c r="I1508" s="164" t="str">
        <f ca="1">IFERROR(__xludf.DUMMYFUNCTION("""COMPUTED_VALUE"""),"DENR/LRA SURVEY COORDINATOR")</f>
        <v>DENR/LRA SURVEY COORDINATOR</v>
      </c>
      <c r="J1508" s="164" t="str">
        <f ca="1">IFERROR(__xludf.DUMMYFUNCTION("""COMPUTED_VALUE"""),"2023-03-027")</f>
        <v>2023-03-027</v>
      </c>
      <c r="K1508" s="164" t="str">
        <f ca="1">IFERROR(__xludf.DUMMYFUNCTION("""COMPUTED_VALUE"""),"ENGR ALVIN LICUANAN")</f>
        <v>ENGR ALVIN LICUANAN</v>
      </c>
      <c r="L1508" s="164" t="str">
        <f ca="1">IFERROR(__xludf.DUMMYFUNCTION("""COMPUTED_VALUE"""),"LTID")</f>
        <v>LTID</v>
      </c>
      <c r="M1508" s="164" t="str">
        <f ca="1">IFERROR(__xludf.DUMMYFUNCTION("""COMPUTED_VALUE"""),"SERVICEABLE")</f>
        <v>SERVICEABLE</v>
      </c>
      <c r="N1508" s="164"/>
    </row>
    <row r="1509" spans="1:14" ht="13.2">
      <c r="A1509" s="164" t="str">
        <f ca="1">IFERROR(__xludf.DUMMYFUNCTION("""COMPUTED_VALUE"""),"Region III")</f>
        <v>Region III</v>
      </c>
      <c r="B1509" s="164" t="str">
        <f ca="1">IFERROR(__xludf.DUMMYFUNCTION("""COMPUTED_VALUE"""),"Nueva Ecija")</f>
        <v>Nueva Ecija</v>
      </c>
      <c r="C1509" s="164" t="str">
        <f ca="1">IFERROR(__xludf.DUMMYFUNCTION("""COMPUTED_VALUE"""),"HANDHELD GPS – MODEL P6")</f>
        <v>HANDHELD GPS – MODEL P6</v>
      </c>
      <c r="D1509" s="164" t="str">
        <f ca="1">IFERROR(__xludf.DUMMYFUNCTION("""COMPUTED_VALUE"""),"₱ 79,000.00")</f>
        <v>₱ 79,000.00</v>
      </c>
      <c r="E1509" s="164" t="str">
        <f ca="1">IFERROR(__xludf.DUMMYFUNCTION("""COMPUTED_VALUE"""),"₱-")</f>
        <v>₱-</v>
      </c>
      <c r="F1509" s="164" t="str">
        <f ca="1">IFERROR(__xludf.DUMMYFUNCTION("""COMPUTED_VALUE"""),"2023-06-01-10202SP84-01")</f>
        <v>2023-06-01-10202SP84-01</v>
      </c>
      <c r="G1509" s="164" t="str">
        <f ca="1">IFERROR(__xludf.DUMMYFUNCTION("""COMPUTED_VALUE"""),"SAP10730064")</f>
        <v>SAP10730064</v>
      </c>
      <c r="H1509" s="164" t="str">
        <f ca="1">IFERROR(__xludf.DUMMYFUNCTION("""COMPUTED_VALUE"""),"ENGR ALVIN LICUANAN")</f>
        <v>ENGR ALVIN LICUANAN</v>
      </c>
      <c r="I1509" s="164" t="str">
        <f ca="1">IFERROR(__xludf.DUMMYFUNCTION("""COMPUTED_VALUE"""),"DENR/LRA SURVEY COORDINATOR")</f>
        <v>DENR/LRA SURVEY COORDINATOR</v>
      </c>
      <c r="J1509" s="164" t="str">
        <f ca="1">IFERROR(__xludf.DUMMYFUNCTION("""COMPUTED_VALUE"""),"2023-03-027")</f>
        <v>2023-03-027</v>
      </c>
      <c r="K1509" s="164" t="str">
        <f ca="1">IFERROR(__xludf.DUMMYFUNCTION("""COMPUTED_VALUE"""),"ENGR ALVIN LICUANAN")</f>
        <v>ENGR ALVIN LICUANAN</v>
      </c>
      <c r="L1509" s="164" t="str">
        <f ca="1">IFERROR(__xludf.DUMMYFUNCTION("""COMPUTED_VALUE"""),"LTID")</f>
        <v>LTID</v>
      </c>
      <c r="M1509" s="164" t="str">
        <f ca="1">IFERROR(__xludf.DUMMYFUNCTION("""COMPUTED_VALUE"""),"SERVICEABLE")</f>
        <v>SERVICEABLE</v>
      </c>
      <c r="N1509" s="164"/>
    </row>
    <row r="1510" spans="1:14" ht="13.2">
      <c r="A1510" s="164" t="str">
        <f ca="1">IFERROR(__xludf.DUMMYFUNCTION("""COMPUTED_VALUE"""),"Region III")</f>
        <v>Region III</v>
      </c>
      <c r="B1510" s="164" t="str">
        <f ca="1">IFERROR(__xludf.DUMMYFUNCTION("""COMPUTED_VALUE"""),"Nueva Ecija")</f>
        <v>Nueva Ecija</v>
      </c>
      <c r="C1510" s="164" t="str">
        <f ca="1">IFERROR(__xludf.DUMMYFUNCTION("""COMPUTED_VALUE"""),"HANDHELD GPS – MODEL P6")</f>
        <v>HANDHELD GPS – MODEL P6</v>
      </c>
      <c r="D1510" s="164" t="str">
        <f ca="1">IFERROR(__xludf.DUMMYFUNCTION("""COMPUTED_VALUE"""),"₱ 79,000.00")</f>
        <v>₱ 79,000.00</v>
      </c>
      <c r="E1510" s="164" t="str">
        <f ca="1">IFERROR(__xludf.DUMMYFUNCTION("""COMPUTED_VALUE"""),"₱-")</f>
        <v>₱-</v>
      </c>
      <c r="F1510" s="164" t="str">
        <f ca="1">IFERROR(__xludf.DUMMYFUNCTION("""COMPUTED_VALUE"""),"2023-06-01-10202SP85-01")</f>
        <v>2023-06-01-10202SP85-01</v>
      </c>
      <c r="G1510" s="164" t="str">
        <f ca="1">IFERROR(__xludf.DUMMYFUNCTION("""COMPUTED_VALUE"""),"SAP10730020")</f>
        <v>SAP10730020</v>
      </c>
      <c r="H1510" s="164" t="str">
        <f ca="1">IFERROR(__xludf.DUMMYFUNCTION("""COMPUTED_VALUE"""),"ENGR ALVIN LICUANAN")</f>
        <v>ENGR ALVIN LICUANAN</v>
      </c>
      <c r="I1510" s="164" t="str">
        <f ca="1">IFERROR(__xludf.DUMMYFUNCTION("""COMPUTED_VALUE"""),"DENR/LRA SURVEY COORDINATOR")</f>
        <v>DENR/LRA SURVEY COORDINATOR</v>
      </c>
      <c r="J1510" s="164" t="str">
        <f ca="1">IFERROR(__xludf.DUMMYFUNCTION("""COMPUTED_VALUE"""),"2023-03-027")</f>
        <v>2023-03-027</v>
      </c>
      <c r="K1510" s="164" t="str">
        <f ca="1">IFERROR(__xludf.DUMMYFUNCTION("""COMPUTED_VALUE"""),"ENGR ALVIN LICUANAN")</f>
        <v>ENGR ALVIN LICUANAN</v>
      </c>
      <c r="L1510" s="164" t="str">
        <f ca="1">IFERROR(__xludf.DUMMYFUNCTION("""COMPUTED_VALUE"""),"LTID")</f>
        <v>LTID</v>
      </c>
      <c r="M1510" s="164" t="str">
        <f ca="1">IFERROR(__xludf.DUMMYFUNCTION("""COMPUTED_VALUE"""),"SERVICEABLE")</f>
        <v>SERVICEABLE</v>
      </c>
      <c r="N1510" s="164"/>
    </row>
    <row r="1511" spans="1:14" ht="13.2">
      <c r="A1511" s="164" t="str">
        <f ca="1">IFERROR(__xludf.DUMMYFUNCTION("""COMPUTED_VALUE"""),"Region III")</f>
        <v>Region III</v>
      </c>
      <c r="B1511" s="164" t="str">
        <f ca="1">IFERROR(__xludf.DUMMYFUNCTION("""COMPUTED_VALUE"""),"Nueva Ecija")</f>
        <v>Nueva Ecija</v>
      </c>
      <c r="C1511" s="164" t="str">
        <f ca="1">IFERROR(__xludf.DUMMYFUNCTION("""COMPUTED_VALUE"""),"HANDHELD GPS – MODEL P6")</f>
        <v>HANDHELD GPS – MODEL P6</v>
      </c>
      <c r="D1511" s="164" t="str">
        <f ca="1">IFERROR(__xludf.DUMMYFUNCTION("""COMPUTED_VALUE"""),"₱ 79,000.00")</f>
        <v>₱ 79,000.00</v>
      </c>
      <c r="E1511" s="164" t="str">
        <f ca="1">IFERROR(__xludf.DUMMYFUNCTION("""COMPUTED_VALUE"""),"₱-")</f>
        <v>₱-</v>
      </c>
      <c r="F1511" s="164" t="str">
        <f ca="1">IFERROR(__xludf.DUMMYFUNCTION("""COMPUTED_VALUE"""),"2023-06-01-10202SP86-01")</f>
        <v>2023-06-01-10202SP86-01</v>
      </c>
      <c r="G1511" s="164" t="str">
        <f ca="1">IFERROR(__xludf.DUMMYFUNCTION("""COMPUTED_VALUE"""),"SAP10730039")</f>
        <v>SAP10730039</v>
      </c>
      <c r="H1511" s="164" t="str">
        <f ca="1">IFERROR(__xludf.DUMMYFUNCTION("""COMPUTED_VALUE"""),"ENGR ALVIN LICUANAN")</f>
        <v>ENGR ALVIN LICUANAN</v>
      </c>
      <c r="I1511" s="164" t="str">
        <f ca="1">IFERROR(__xludf.DUMMYFUNCTION("""COMPUTED_VALUE"""),"DENR/LRA SURVEY COORDINATOR")</f>
        <v>DENR/LRA SURVEY COORDINATOR</v>
      </c>
      <c r="J1511" s="164" t="str">
        <f ca="1">IFERROR(__xludf.DUMMYFUNCTION("""COMPUTED_VALUE"""),"2023-03-027")</f>
        <v>2023-03-027</v>
      </c>
      <c r="K1511" s="164" t="str">
        <f ca="1">IFERROR(__xludf.DUMMYFUNCTION("""COMPUTED_VALUE"""),"ENGR ALVIN LICUANAN")</f>
        <v>ENGR ALVIN LICUANAN</v>
      </c>
      <c r="L1511" s="164" t="str">
        <f ca="1">IFERROR(__xludf.DUMMYFUNCTION("""COMPUTED_VALUE"""),"LTID")</f>
        <v>LTID</v>
      </c>
      <c r="M1511" s="164" t="str">
        <f ca="1">IFERROR(__xludf.DUMMYFUNCTION("""COMPUTED_VALUE"""),"SERVICEABLE")</f>
        <v>SERVICEABLE</v>
      </c>
      <c r="N1511" s="164"/>
    </row>
    <row r="1512" spans="1:14" ht="13.2">
      <c r="A1512" s="164" t="str">
        <f ca="1">IFERROR(__xludf.DUMMYFUNCTION("""COMPUTED_VALUE"""),"Region III")</f>
        <v>Region III</v>
      </c>
      <c r="B1512" s="164" t="str">
        <f ca="1">IFERROR(__xludf.DUMMYFUNCTION("""COMPUTED_VALUE"""),"Nueva Ecija")</f>
        <v>Nueva Ecija</v>
      </c>
      <c r="C1512" s="164" t="str">
        <f ca="1">IFERROR(__xludf.DUMMYFUNCTION("""COMPUTED_VALUE"""),"HANDHELD GPS – MODEL P6")</f>
        <v>HANDHELD GPS – MODEL P6</v>
      </c>
      <c r="D1512" s="164" t="str">
        <f ca="1">IFERROR(__xludf.DUMMYFUNCTION("""COMPUTED_VALUE"""),"₱ 79,000.00")</f>
        <v>₱ 79,000.00</v>
      </c>
      <c r="E1512" s="164" t="str">
        <f ca="1">IFERROR(__xludf.DUMMYFUNCTION("""COMPUTED_VALUE"""),"₱-")</f>
        <v>₱-</v>
      </c>
      <c r="F1512" s="164" t="str">
        <f ca="1">IFERROR(__xludf.DUMMYFUNCTION("""COMPUTED_VALUE"""),"2023-06-01-10202SP87-01")</f>
        <v>2023-06-01-10202SP87-01</v>
      </c>
      <c r="G1512" s="164" t="str">
        <f ca="1">IFERROR(__xludf.DUMMYFUNCTION("""COMPUTED_VALUE"""),"SAP10730010")</f>
        <v>SAP10730010</v>
      </c>
      <c r="H1512" s="164" t="str">
        <f ca="1">IFERROR(__xludf.DUMMYFUNCTION("""COMPUTED_VALUE"""),"ENGR ALVIN LICUANAN")</f>
        <v>ENGR ALVIN LICUANAN</v>
      </c>
      <c r="I1512" s="164" t="str">
        <f ca="1">IFERROR(__xludf.DUMMYFUNCTION("""COMPUTED_VALUE"""),"DENR/LRA SURVEY COORDINATOR")</f>
        <v>DENR/LRA SURVEY COORDINATOR</v>
      </c>
      <c r="J1512" s="164" t="str">
        <f ca="1">IFERROR(__xludf.DUMMYFUNCTION("""COMPUTED_VALUE"""),"2023-03-027")</f>
        <v>2023-03-027</v>
      </c>
      <c r="K1512" s="164" t="str">
        <f ca="1">IFERROR(__xludf.DUMMYFUNCTION("""COMPUTED_VALUE"""),"ENGR ALVIN LICUANAN")</f>
        <v>ENGR ALVIN LICUANAN</v>
      </c>
      <c r="L1512" s="164" t="str">
        <f ca="1">IFERROR(__xludf.DUMMYFUNCTION("""COMPUTED_VALUE"""),"LTID")</f>
        <v>LTID</v>
      </c>
      <c r="M1512" s="164" t="str">
        <f ca="1">IFERROR(__xludf.DUMMYFUNCTION("""COMPUTED_VALUE"""),"SERVICEABLE")</f>
        <v>SERVICEABLE</v>
      </c>
      <c r="N1512" s="164"/>
    </row>
    <row r="1513" spans="1:14" ht="13.2">
      <c r="A1513" s="164" t="str">
        <f ca="1">IFERROR(__xludf.DUMMYFUNCTION("""COMPUTED_VALUE"""),"Region III")</f>
        <v>Region III</v>
      </c>
      <c r="B1513" s="164" t="str">
        <f ca="1">IFERROR(__xludf.DUMMYFUNCTION("""COMPUTED_VALUE"""),"Nueva Ecija")</f>
        <v>Nueva Ecija</v>
      </c>
      <c r="C1513" s="164" t="str">
        <f ca="1">IFERROR(__xludf.DUMMYFUNCTION("""COMPUTED_VALUE"""),"Photocopier Machine – Kyocera")</f>
        <v>Photocopier Machine – Kyocera</v>
      </c>
      <c r="D1513" s="164" t="str">
        <f ca="1">IFERROR(__xludf.DUMMYFUNCTION("""COMPUTED_VALUE"""),"₱ 84,500.00")</f>
        <v>₱ 84,500.00</v>
      </c>
      <c r="E1513" s="164" t="str">
        <f ca="1">IFERROR(__xludf.DUMMYFUNCTION("""COMPUTED_VALUE"""),"₱-")</f>
        <v>₱-</v>
      </c>
      <c r="F1513" s="164" t="str">
        <f ca="1">IFERROR(__xludf.DUMMYFUNCTION("""COMPUTED_VALUE"""),"2022-05-02-10202SP-23-01")</f>
        <v>2022-05-02-10202SP-23-01</v>
      </c>
      <c r="G1513" s="164" t="str">
        <f ca="1">IFERROR(__xludf.DUMMYFUNCTION("""COMPUTED_VALUE"""),"RNK2700197")</f>
        <v>RNK2700197</v>
      </c>
      <c r="H1513" s="164" t="str">
        <f ca="1">IFERROR(__xludf.DUMMYFUNCTION("""COMPUTED_VALUE"""),"ENGR IMELDA G SIOSON")</f>
        <v>ENGR IMELDA G SIOSON</v>
      </c>
      <c r="I1513" s="164" t="str">
        <f ca="1">IFERROR(__xludf.DUMMYFUNCTION("""COMPUTED_VALUE"""),"CHIEF GS")</f>
        <v>CHIEF GS</v>
      </c>
      <c r="J1513" s="164" t="str">
        <f ca="1">IFERROR(__xludf.DUMMYFUNCTION("""COMPUTED_VALUE"""),"2022-12-001")</f>
        <v>2022-12-001</v>
      </c>
      <c r="K1513" s="164" t="str">
        <f ca="1">IFERROR(__xludf.DUMMYFUNCTION("""COMPUTED_VALUE"""),"ENGR IMELDA G SIOSON")</f>
        <v>ENGR IMELDA G SIOSON</v>
      </c>
      <c r="L1513" s="164" t="str">
        <f ca="1">IFERROR(__xludf.DUMMYFUNCTION("""COMPUTED_VALUE"""),"DARPO NUEVA ECIJA")</f>
        <v>DARPO NUEVA ECIJA</v>
      </c>
      <c r="M1513" s="164" t="str">
        <f ca="1">IFERROR(__xludf.DUMMYFUNCTION("""COMPUTED_VALUE"""),"SERVICEABLE")</f>
        <v>SERVICEABLE</v>
      </c>
      <c r="N1513" s="164"/>
    </row>
    <row r="1514" spans="1:14" ht="13.2">
      <c r="A1514" s="164" t="str">
        <f ca="1">IFERROR(__xludf.DUMMYFUNCTION("""COMPUTED_VALUE"""),"Region III")</f>
        <v>Region III</v>
      </c>
      <c r="B1514" s="164" t="str">
        <f ca="1">IFERROR(__xludf.DUMMYFUNCTION("""COMPUTED_VALUE"""),"Nueva Ecija")</f>
        <v>Nueva Ecija</v>
      </c>
      <c r="C1514" s="164" t="str">
        <f ca="1">IFERROR(__xludf.DUMMYFUNCTION("""COMPUTED_VALUE"""),"A3 PRINTER (BROTHER)")</f>
        <v>A3 PRINTER (BROTHER)</v>
      </c>
      <c r="D1514" s="164" t="str">
        <f ca="1">IFERROR(__xludf.DUMMYFUNCTION("""COMPUTED_VALUE"""),"₱ 33,508.00")</f>
        <v>₱ 33,508.00</v>
      </c>
      <c r="E1514" s="164" t="str">
        <f ca="1">IFERROR(__xludf.DUMMYFUNCTION("""COMPUTED_VALUE"""),"₱-")</f>
        <v>₱-</v>
      </c>
      <c r="F1514" s="164" t="str">
        <f ca="1">IFERROR(__xludf.DUMMYFUNCTION("""COMPUTED_VALUE"""),"HV-SPLIT-102-24-05-04-27")</f>
        <v>HV-SPLIT-102-24-05-04-27</v>
      </c>
      <c r="G1514" s="164" t="str">
        <f ca="1">IFERROR(__xludf.DUMMYFUNCTION("""COMPUTED_VALUE"""),"E78947L3H871148")</f>
        <v>E78947L3H871148</v>
      </c>
      <c r="H1514" s="164" t="str">
        <f ca="1">IFERROR(__xludf.DUMMYFUNCTION("""COMPUTED_VALUE"""),"Engr. Alvin L. Licuanan")</f>
        <v>Engr. Alvin L. Licuanan</v>
      </c>
      <c r="I1514" s="164" t="str">
        <f ca="1">IFERROR(__xludf.DUMMYFUNCTION("""COMPUTED_VALUE"""),"DENR/LRA-ROD Survey Coordinator")</f>
        <v>DENR/LRA-ROD Survey Coordinator</v>
      </c>
      <c r="J1514" s="164" t="str">
        <f ca="1">IFERROR(__xludf.DUMMYFUNCTION("""COMPUTED_VALUE"""),"2024-03-004")</f>
        <v>2024-03-004</v>
      </c>
      <c r="K1514" s="164" t="str">
        <f ca="1">IFERROR(__xludf.DUMMYFUNCTION("""COMPUTED_VALUE"""),"Engr. Alvin L. Licuanan")</f>
        <v>Engr. Alvin L. Licuanan</v>
      </c>
      <c r="L1514" s="164" t="str">
        <f ca="1">IFERROR(__xludf.DUMMYFUNCTION("""COMPUTED_VALUE"""),"LTS - Survey Section")</f>
        <v>LTS - Survey Section</v>
      </c>
      <c r="M1514" s="164" t="str">
        <f ca="1">IFERROR(__xludf.DUMMYFUNCTION("""COMPUTED_VALUE"""),"SERVICEABLE")</f>
        <v>SERVICEABLE</v>
      </c>
      <c r="N1514" s="164"/>
    </row>
    <row r="1515" spans="1:14" ht="13.2" hidden="1">
      <c r="A1515" s="164" t="str">
        <f ca="1">IFERROR(__xludf.DUMMYFUNCTION("""COMPUTED_VALUE"""),"Region III")</f>
        <v>Region III</v>
      </c>
      <c r="B1515" s="164" t="str">
        <f ca="1">IFERROR(__xludf.DUMMYFUNCTION("""COMPUTED_VALUE"""),"Pampanga")</f>
        <v>Pampanga</v>
      </c>
      <c r="C1515" s="164" t="str">
        <f ca="1">IFERROR(__xludf.DUMMYFUNCTION("""COMPUTED_VALUE"""),"Desktop Computer – (Lenovo M70T)")</f>
        <v>Desktop Computer – (Lenovo M70T)</v>
      </c>
      <c r="D1515" s="164" t="str">
        <f ca="1">IFERROR(__xludf.DUMMYFUNCTION("""COMPUTED_VALUE"""),"₱ 75,468.00")</f>
        <v>₱ 75,468.00</v>
      </c>
      <c r="E1515" s="164" t="str">
        <f ca="1">IFERROR(__xludf.DUMMYFUNCTION("""COMPUTED_VALUE"""),"₱-")</f>
        <v>₱-</v>
      </c>
      <c r="F1515" s="164" t="str">
        <f ca="1">IFERROR(__xludf.DUMMYFUNCTION("""COMPUTED_VALUE"""),"2023-05-03-10201SP830-01")</f>
        <v>2023-05-03-10201SP830-01</v>
      </c>
      <c r="G1515" s="164" t="str">
        <f ca="1">IFERROR(__xludf.DUMMYFUNCTION("""COMPUTED_VALUE"""),"1S11T5S16200GM041ANR")</f>
        <v>1S11T5S16200GM041ANR</v>
      </c>
      <c r="H1515" s="164" t="str">
        <f ca="1">IFERROR(__xludf.DUMMYFUNCTION("""COMPUTED_VALUE"""),"ROSALIE C. MALLARI")</f>
        <v>ROSALIE C. MALLARI</v>
      </c>
      <c r="I1515" s="164" t="str">
        <f ca="1">IFERROR(__xludf.DUMMYFUNCTION("""COMPUTED_VALUE"""),"CAO")</f>
        <v>CAO</v>
      </c>
      <c r="J1515" s="164" t="str">
        <f ca="1">IFERROR(__xludf.DUMMYFUNCTION("""COMPUTED_VALUE"""),"102-2023-05-003")</f>
        <v>102-2023-05-003</v>
      </c>
      <c r="K1515" s="164" t="str">
        <f ca="1">IFERROR(__xludf.DUMMYFUNCTION("""COMPUTED_VALUE"""),"ROSALIE C. MALLARI")</f>
        <v>ROSALIE C. MALLARI</v>
      </c>
      <c r="L1515" s="164" t="str">
        <f ca="1">IFERROR(__xludf.DUMMYFUNCTION("""COMPUTED_VALUE"""),"STOD")</f>
        <v>STOD</v>
      </c>
      <c r="M1515" s="164" t="str">
        <f ca="1">IFERROR(__xludf.DUMMYFUNCTION("""COMPUTED_VALUE"""),"SERVICEABLE")</f>
        <v>SERVICEABLE</v>
      </c>
      <c r="N1515" s="164"/>
    </row>
    <row r="1516" spans="1:14" ht="13.2" hidden="1">
      <c r="A1516" s="164" t="str">
        <f ca="1">IFERROR(__xludf.DUMMYFUNCTION("""COMPUTED_VALUE"""),"Region III")</f>
        <v>Region III</v>
      </c>
      <c r="B1516" s="164" t="str">
        <f ca="1">IFERROR(__xludf.DUMMYFUNCTION("""COMPUTED_VALUE"""),"Pampanga")</f>
        <v>Pampanga</v>
      </c>
      <c r="C1516" s="164" t="str">
        <f ca="1">IFERROR(__xludf.DUMMYFUNCTION("""COMPUTED_VALUE"""),"Desktop Computer – (Lenovo M70T)")</f>
        <v>Desktop Computer – (Lenovo M70T)</v>
      </c>
      <c r="D1516" s="164" t="str">
        <f ca="1">IFERROR(__xludf.DUMMYFUNCTION("""COMPUTED_VALUE"""),"₱ 75,468.00")</f>
        <v>₱ 75,468.00</v>
      </c>
      <c r="E1516" s="164" t="str">
        <f ca="1">IFERROR(__xludf.DUMMYFUNCTION("""COMPUTED_VALUE"""),"₱-")</f>
        <v>₱-</v>
      </c>
      <c r="F1516" s="164" t="str">
        <f ca="1">IFERROR(__xludf.DUMMYFUNCTION("""COMPUTED_VALUE"""),"2023-05-03-10201SP831-01")</f>
        <v>2023-05-03-10201SP831-01</v>
      </c>
      <c r="G1516" s="164" t="str">
        <f ca="1">IFERROR(__xludf.DUMMYFUNCTION("""COMPUTED_VALUE"""),"1S11T5S16200GM041AP4")</f>
        <v>1S11T5S16200GM041AP4</v>
      </c>
      <c r="H1516" s="164" t="str">
        <f ca="1">IFERROR(__xludf.DUMMYFUNCTION("""COMPUTED_VALUE"""),"TERENCE PINEDA")</f>
        <v>TERENCE PINEDA</v>
      </c>
      <c r="I1516" s="164" t="str">
        <f ca="1">IFERROR(__xludf.DUMMYFUNCTION("""COMPUTED_VALUE"""),"PLANNING OFFICER II")</f>
        <v>PLANNING OFFICER II</v>
      </c>
      <c r="J1516" s="164" t="str">
        <f ca="1">IFERROR(__xludf.DUMMYFUNCTION("""COMPUTED_VALUE"""),"102-2023-05-004")</f>
        <v>102-2023-05-004</v>
      </c>
      <c r="K1516" s="164" t="str">
        <f ca="1">IFERROR(__xludf.DUMMYFUNCTION("""COMPUTED_VALUE"""),"TERENCE PINEDA")</f>
        <v>TERENCE PINEDA</v>
      </c>
      <c r="L1516" s="164" t="str">
        <f ca="1">IFERROR(__xludf.DUMMYFUNCTION("""COMPUTED_VALUE"""),"STOD")</f>
        <v>STOD</v>
      </c>
      <c r="M1516" s="164" t="str">
        <f ca="1">IFERROR(__xludf.DUMMYFUNCTION("""COMPUTED_VALUE"""),"SERVICEABLE")</f>
        <v>SERVICEABLE</v>
      </c>
      <c r="N1516" s="164"/>
    </row>
    <row r="1517" spans="1:14" ht="13.2" hidden="1">
      <c r="A1517" s="164" t="str">
        <f ca="1">IFERROR(__xludf.DUMMYFUNCTION("""COMPUTED_VALUE"""),"Region III")</f>
        <v>Region III</v>
      </c>
      <c r="B1517" s="164" t="str">
        <f ca="1">IFERROR(__xludf.DUMMYFUNCTION("""COMPUTED_VALUE"""),"Pampanga")</f>
        <v>Pampanga</v>
      </c>
      <c r="C1517" s="164" t="str">
        <f ca="1">IFERROR(__xludf.DUMMYFUNCTION("""COMPUTED_VALUE"""),"Desktop Computer – (Lenovo M70T)")</f>
        <v>Desktop Computer – (Lenovo M70T)</v>
      </c>
      <c r="D1517" s="164" t="str">
        <f ca="1">IFERROR(__xludf.DUMMYFUNCTION("""COMPUTED_VALUE"""),"₱ 75,468.00")</f>
        <v>₱ 75,468.00</v>
      </c>
      <c r="E1517" s="164" t="str">
        <f ca="1">IFERROR(__xludf.DUMMYFUNCTION("""COMPUTED_VALUE"""),"₱-")</f>
        <v>₱-</v>
      </c>
      <c r="F1517" s="164" t="str">
        <f ca="1">IFERROR(__xludf.DUMMYFUNCTION("""COMPUTED_VALUE"""),"2023-05-03-10201SP832-01")</f>
        <v>2023-05-03-10201SP832-01</v>
      </c>
      <c r="G1517" s="164" t="str">
        <f ca="1">IFERROR(__xludf.DUMMYFUNCTION("""COMPUTED_VALUE"""),"1S11T5S16200GM041B72")</f>
        <v>1S11T5S16200GM041B72</v>
      </c>
      <c r="H1517" s="164" t="str">
        <f ca="1">IFERROR(__xludf.DUMMYFUNCTION("""COMPUTED_VALUE"""),"ENCARNITA L. PELAYO")</f>
        <v>ENCARNITA L. PELAYO</v>
      </c>
      <c r="I1517" s="164" t="str">
        <f ca="1">IFERROR(__xludf.DUMMYFUNCTION("""COMPUTED_VALUE"""),"AST. STAT.")</f>
        <v>AST. STAT.</v>
      </c>
      <c r="J1517" s="164" t="str">
        <f ca="1">IFERROR(__xludf.DUMMYFUNCTION("""COMPUTED_VALUE"""),"102-2023-05-005")</f>
        <v>102-2023-05-005</v>
      </c>
      <c r="K1517" s="164" t="str">
        <f ca="1">IFERROR(__xludf.DUMMYFUNCTION("""COMPUTED_VALUE"""),"ENCARNITA L. PELAYO")</f>
        <v>ENCARNITA L. PELAYO</v>
      </c>
      <c r="L1517" s="164" t="str">
        <f ca="1">IFERROR(__xludf.DUMMYFUNCTION("""COMPUTED_VALUE"""),"STOD")</f>
        <v>STOD</v>
      </c>
      <c r="M1517" s="164" t="str">
        <f ca="1">IFERROR(__xludf.DUMMYFUNCTION("""COMPUTED_VALUE"""),"SERVICEABLE")</f>
        <v>SERVICEABLE</v>
      </c>
      <c r="N1517" s="164"/>
    </row>
    <row r="1518" spans="1:14" ht="13.2" hidden="1">
      <c r="A1518" s="164" t="str">
        <f ca="1">IFERROR(__xludf.DUMMYFUNCTION("""COMPUTED_VALUE"""),"Region III")</f>
        <v>Region III</v>
      </c>
      <c r="B1518" s="164" t="str">
        <f ca="1">IFERROR(__xludf.DUMMYFUNCTION("""COMPUTED_VALUE"""),"Pampanga")</f>
        <v>Pampanga</v>
      </c>
      <c r="C1518" s="164" t="str">
        <f ca="1">IFERROR(__xludf.DUMMYFUNCTION("""COMPUTED_VALUE"""),"Desktop Computer – (Lenovo M70T)")</f>
        <v>Desktop Computer – (Lenovo M70T)</v>
      </c>
      <c r="D1518" s="164" t="str">
        <f ca="1">IFERROR(__xludf.DUMMYFUNCTION("""COMPUTED_VALUE"""),"₱ 75,468.00")</f>
        <v>₱ 75,468.00</v>
      </c>
      <c r="E1518" s="164" t="str">
        <f ca="1">IFERROR(__xludf.DUMMYFUNCTION("""COMPUTED_VALUE"""),"₱-")</f>
        <v>₱-</v>
      </c>
      <c r="F1518" s="164" t="str">
        <f ca="1">IFERROR(__xludf.DUMMYFUNCTION("""COMPUTED_VALUE"""),"2023-05-03-10201SP833-01")</f>
        <v>2023-05-03-10201SP833-01</v>
      </c>
      <c r="G1518" s="164" t="str">
        <f ca="1">IFERROR(__xludf.DUMMYFUNCTION("""COMPUTED_VALUE"""),"1S11T5S16200GM041B70")</f>
        <v>1S11T5S16200GM041B70</v>
      </c>
      <c r="H1518" s="164" t="str">
        <f ca="1">IFERROR(__xludf.DUMMYFUNCTION("""COMPUTED_VALUE"""),"FRANCIS NEIL T. PEDRALVEZ")</f>
        <v>FRANCIS NEIL T. PEDRALVEZ</v>
      </c>
      <c r="I1518" s="164" t="str">
        <f ca="1">IFERROR(__xludf.DUMMYFUNCTION("""COMPUTED_VALUE"""),"PARPO")</f>
        <v>PARPO</v>
      </c>
      <c r="J1518" s="164" t="str">
        <f ca="1">IFERROR(__xludf.DUMMYFUNCTION("""COMPUTED_VALUE"""),"102-2023-06-006")</f>
        <v>102-2023-06-006</v>
      </c>
      <c r="K1518" s="164" t="str">
        <f ca="1">IFERROR(__xludf.DUMMYFUNCTION("""COMPUTED_VALUE"""),"FRANCIS NEIL T. PEDRALVEZ")</f>
        <v>FRANCIS NEIL T. PEDRALVEZ</v>
      </c>
      <c r="L1518" s="164" t="str">
        <f ca="1">IFERROR(__xludf.DUMMYFUNCTION("""COMPUTED_VALUE"""),"PARPO")</f>
        <v>PARPO</v>
      </c>
      <c r="M1518" s="164" t="str">
        <f ca="1">IFERROR(__xludf.DUMMYFUNCTION("""COMPUTED_VALUE"""),"SERVICEABLE")</f>
        <v>SERVICEABLE</v>
      </c>
      <c r="N1518" s="164"/>
    </row>
    <row r="1519" spans="1:14" ht="13.2" hidden="1">
      <c r="A1519" s="164" t="str">
        <f ca="1">IFERROR(__xludf.DUMMYFUNCTION("""COMPUTED_VALUE"""),"Region III")</f>
        <v>Region III</v>
      </c>
      <c r="B1519" s="164" t="str">
        <f ca="1">IFERROR(__xludf.DUMMYFUNCTION("""COMPUTED_VALUE"""),"Pampanga")</f>
        <v>Pampanga</v>
      </c>
      <c r="C1519" s="164" t="str">
        <f ca="1">IFERROR(__xludf.DUMMYFUNCTION("""COMPUTED_VALUE"""),"Desktop Computer – (Lenovo M70T)")</f>
        <v>Desktop Computer – (Lenovo M70T)</v>
      </c>
      <c r="D1519" s="164" t="str">
        <f ca="1">IFERROR(__xludf.DUMMYFUNCTION("""COMPUTED_VALUE"""),"₱ 75,468.00")</f>
        <v>₱ 75,468.00</v>
      </c>
      <c r="E1519" s="164" t="str">
        <f ca="1">IFERROR(__xludf.DUMMYFUNCTION("""COMPUTED_VALUE"""),"₱-")</f>
        <v>₱-</v>
      </c>
      <c r="F1519" s="164" t="str">
        <f ca="1">IFERROR(__xludf.DUMMYFUNCTION("""COMPUTED_VALUE"""),"2023-05-03-10201SP834-01")</f>
        <v>2023-05-03-10201SP834-01</v>
      </c>
      <c r="G1519" s="164" t="str">
        <f ca="1">IFERROR(__xludf.DUMMYFUNCTION("""COMPUTED_VALUE"""),"1S11T5S16200GM04161D")</f>
        <v>1S11T5S16200GM04161D</v>
      </c>
      <c r="H1519" s="164" t="str">
        <f ca="1">IFERROR(__xludf.DUMMYFUNCTION("""COMPUTED_VALUE"""),"LUIGI B. REYES")</f>
        <v>LUIGI B. REYES</v>
      </c>
      <c r="I1519" s="164" t="str">
        <f ca="1">IFERROR(__xludf.DUMMYFUNCTION("""COMPUTED_VALUE"""),"ARPO I")</f>
        <v>ARPO I</v>
      </c>
      <c r="J1519" s="164" t="str">
        <f ca="1">IFERROR(__xludf.DUMMYFUNCTION("""COMPUTED_VALUE"""),"102-2023-06-007")</f>
        <v>102-2023-06-007</v>
      </c>
      <c r="K1519" s="164" t="str">
        <f ca="1">IFERROR(__xludf.DUMMYFUNCTION("""COMPUTED_VALUE"""),"LUIGI B. REYES")</f>
        <v>LUIGI B. REYES</v>
      </c>
      <c r="L1519" s="164" t="str">
        <f ca="1">IFERROR(__xludf.DUMMYFUNCTION("""COMPUTED_VALUE"""),"LTS")</f>
        <v>LTS</v>
      </c>
      <c r="M1519" s="164" t="str">
        <f ca="1">IFERROR(__xludf.DUMMYFUNCTION("""COMPUTED_VALUE"""),"SERVICEABLE")</f>
        <v>SERVICEABLE</v>
      </c>
      <c r="N1519" s="164"/>
    </row>
    <row r="1520" spans="1:14" ht="13.2" hidden="1">
      <c r="A1520" s="164" t="str">
        <f ca="1">IFERROR(__xludf.DUMMYFUNCTION("""COMPUTED_VALUE"""),"Region III")</f>
        <v>Region III</v>
      </c>
      <c r="B1520" s="164" t="str">
        <f ca="1">IFERROR(__xludf.DUMMYFUNCTION("""COMPUTED_VALUE"""),"Pampanga")</f>
        <v>Pampanga</v>
      </c>
      <c r="C1520" s="164" t="str">
        <f ca="1">IFERROR(__xludf.DUMMYFUNCTION("""COMPUTED_VALUE"""),"Desktop Computer – (Lenovo M70T)")</f>
        <v>Desktop Computer – (Lenovo M70T)</v>
      </c>
      <c r="D1520" s="164" t="str">
        <f ca="1">IFERROR(__xludf.DUMMYFUNCTION("""COMPUTED_VALUE"""),"₱ 75,468.00")</f>
        <v>₱ 75,468.00</v>
      </c>
      <c r="E1520" s="164" t="str">
        <f ca="1">IFERROR(__xludf.DUMMYFUNCTION("""COMPUTED_VALUE"""),"₱-")</f>
        <v>₱-</v>
      </c>
      <c r="F1520" s="164" t="str">
        <f ca="1">IFERROR(__xludf.DUMMYFUNCTION("""COMPUTED_VALUE"""),"2023-05-03-10201SP835-01")</f>
        <v>2023-05-03-10201SP835-01</v>
      </c>
      <c r="G1520" s="164" t="str">
        <f ca="1">IFERROR(__xludf.DUMMYFUNCTION("""COMPUTED_VALUE"""),"1S11T5S16200GM041B7C")</f>
        <v>1S11T5S16200GM041B7C</v>
      </c>
      <c r="H1520" s="164" t="str">
        <f ca="1">IFERROR(__xludf.DUMMYFUNCTION("""COMPUTED_VALUE"""),"ATTY. Neil Marius Argel")</f>
        <v>ATTY. Neil Marius Argel</v>
      </c>
      <c r="I1520" s="164" t="str">
        <f ca="1">IFERROR(__xludf.DUMMYFUNCTION("""COMPUTED_VALUE"""),"CHIEF LEGAL")</f>
        <v>CHIEF LEGAL</v>
      </c>
      <c r="J1520" s="164" t="str">
        <f ca="1">IFERROR(__xludf.DUMMYFUNCTION("""COMPUTED_VALUE"""),"102-2023-06-008")</f>
        <v>102-2023-06-008</v>
      </c>
      <c r="K1520" s="164" t="str">
        <f ca="1">IFERROR(__xludf.DUMMYFUNCTION("""COMPUTED_VALUE"""),"ATTY. Neil Marius Argel")</f>
        <v>ATTY. Neil Marius Argel</v>
      </c>
      <c r="L1520" s="164" t="str">
        <f ca="1">IFERROR(__xludf.DUMMYFUNCTION("""COMPUTED_VALUE"""),"LEGAL")</f>
        <v>LEGAL</v>
      </c>
      <c r="M1520" s="164" t="str">
        <f ca="1">IFERROR(__xludf.DUMMYFUNCTION("""COMPUTED_VALUE"""),"SERVICEABLE")</f>
        <v>SERVICEABLE</v>
      </c>
      <c r="N1520" s="164" t="str">
        <f ca="1">IFERROR(__xludf.DUMMYFUNCTION("""COMPUTED_VALUE"""),"Printer")</f>
        <v>Printer</v>
      </c>
    </row>
    <row r="1521" spans="1:14" ht="13.2" hidden="1">
      <c r="A1521" s="164" t="str">
        <f ca="1">IFERROR(__xludf.DUMMYFUNCTION("""COMPUTED_VALUE"""),"Region III")</f>
        <v>Region III</v>
      </c>
      <c r="B1521" s="164" t="str">
        <f ca="1">IFERROR(__xludf.DUMMYFUNCTION("""COMPUTED_VALUE"""),"Pampanga")</f>
        <v>Pampanga</v>
      </c>
      <c r="C1521" s="164" t="str">
        <f ca="1">IFERROR(__xludf.DUMMYFUNCTION("""COMPUTED_VALUE"""),"Desktop Computer – (Lenovo M70T)")</f>
        <v>Desktop Computer – (Lenovo M70T)</v>
      </c>
      <c r="D1521" s="164" t="str">
        <f ca="1">IFERROR(__xludf.DUMMYFUNCTION("""COMPUTED_VALUE"""),"₱ 75,468.00")</f>
        <v>₱ 75,468.00</v>
      </c>
      <c r="E1521" s="164" t="str">
        <f ca="1">IFERROR(__xludf.DUMMYFUNCTION("""COMPUTED_VALUE"""),"₱-")</f>
        <v>₱-</v>
      </c>
      <c r="F1521" s="164" t="str">
        <f ca="1">IFERROR(__xludf.DUMMYFUNCTION("""COMPUTED_VALUE"""),"2023-05-03-10201SP836-01")</f>
        <v>2023-05-03-10201SP836-01</v>
      </c>
      <c r="G1521" s="164" t="str">
        <f ca="1">IFERROR(__xludf.DUMMYFUNCTION("""COMPUTED_VALUE"""),"1S11T5S16200GM02ZT8Z")</f>
        <v>1S11T5S16200GM02ZT8Z</v>
      </c>
      <c r="H1521" s="164" t="str">
        <f ca="1">IFERROR(__xludf.DUMMYFUNCTION("""COMPUTED_VALUE"""),"DONNA A. VITUG")</f>
        <v>DONNA A. VITUG</v>
      </c>
      <c r="I1521" s="164" t="str">
        <f ca="1">IFERROR(__xludf.DUMMYFUNCTION("""COMPUTED_VALUE"""),"CARPO")</f>
        <v>CARPO</v>
      </c>
      <c r="J1521" s="164" t="str">
        <f ca="1">IFERROR(__xludf.DUMMYFUNCTION("""COMPUTED_VALUE"""),"102-2023-08-009")</f>
        <v>102-2023-08-009</v>
      </c>
      <c r="K1521" s="164" t="str">
        <f ca="1">IFERROR(__xludf.DUMMYFUNCTION("""COMPUTED_VALUE"""),"DONNA A. VITUG")</f>
        <v>DONNA A. VITUG</v>
      </c>
      <c r="L1521" s="164" t="str">
        <f ca="1">IFERROR(__xludf.DUMMYFUNCTION("""COMPUTED_VALUE"""),"ARBDSP")</f>
        <v>ARBDSP</v>
      </c>
      <c r="M1521" s="164" t="str">
        <f ca="1">IFERROR(__xludf.DUMMYFUNCTION("""COMPUTED_VALUE"""),"SERVICEABLE")</f>
        <v>SERVICEABLE</v>
      </c>
      <c r="N1521" s="164"/>
    </row>
    <row r="1522" spans="1:14" ht="13.2" hidden="1">
      <c r="A1522" s="164" t="str">
        <f ca="1">IFERROR(__xludf.DUMMYFUNCTION("""COMPUTED_VALUE"""),"Region III")</f>
        <v>Region III</v>
      </c>
      <c r="B1522" s="164" t="str">
        <f ca="1">IFERROR(__xludf.DUMMYFUNCTION("""COMPUTED_VALUE"""),"Pampanga")</f>
        <v>Pampanga</v>
      </c>
      <c r="C1522" s="164" t="str">
        <f ca="1">IFERROR(__xludf.DUMMYFUNCTION("""COMPUTED_VALUE"""),"Desktop Computer – (Lenovo M70T)")</f>
        <v>Desktop Computer – (Lenovo M70T)</v>
      </c>
      <c r="D1522" s="164" t="str">
        <f ca="1">IFERROR(__xludf.DUMMYFUNCTION("""COMPUTED_VALUE"""),"₱ 75,468.00")</f>
        <v>₱ 75,468.00</v>
      </c>
      <c r="E1522" s="164" t="str">
        <f ca="1">IFERROR(__xludf.DUMMYFUNCTION("""COMPUTED_VALUE"""),"₱-")</f>
        <v>₱-</v>
      </c>
      <c r="F1522" s="164" t="str">
        <f ca="1">IFERROR(__xludf.DUMMYFUNCTION("""COMPUTED_VALUE"""),"2023-05-03-10201SP837-01")</f>
        <v>2023-05-03-10201SP837-01</v>
      </c>
      <c r="G1522" s="164" t="str">
        <f ca="1">IFERROR(__xludf.DUMMYFUNCTION("""COMPUTED_VALUE"""),"1S11T5S16200GM02ZT8B")</f>
        <v>1S11T5S16200GM02ZT8B</v>
      </c>
      <c r="H1522" s="164" t="str">
        <f ca="1">IFERROR(__xludf.DUMMYFUNCTION("""COMPUTED_VALUE"""),"REY JULIUS DOMINIQUE F. LAXA")</f>
        <v>REY JULIUS DOMINIQUE F. LAXA</v>
      </c>
      <c r="I1522" s="164" t="str">
        <f ca="1">IFERROR(__xludf.DUMMYFUNCTION("""COMPUTED_VALUE"""),"PLANNING OFFICER II")</f>
        <v>PLANNING OFFICER II</v>
      </c>
      <c r="J1522" s="164" t="str">
        <f ca="1">IFERROR(__xludf.DUMMYFUNCTION("""COMPUTED_VALUE"""),"102-2023-08-010")</f>
        <v>102-2023-08-010</v>
      </c>
      <c r="K1522" s="164" t="str">
        <f ca="1">IFERROR(__xludf.DUMMYFUNCTION("""COMPUTED_VALUE"""),"COS")</f>
        <v>COS</v>
      </c>
      <c r="L1522" s="164" t="str">
        <f ca="1">IFERROR(__xludf.DUMMYFUNCTION("""COMPUTED_VALUE"""),"STOD")</f>
        <v>STOD</v>
      </c>
      <c r="M1522" s="164" t="str">
        <f ca="1">IFERROR(__xludf.DUMMYFUNCTION("""COMPUTED_VALUE"""),"SERVICEABLE")</f>
        <v>SERVICEABLE</v>
      </c>
      <c r="N1522" s="164"/>
    </row>
    <row r="1523" spans="1:14" ht="13.2" hidden="1">
      <c r="A1523" s="164" t="str">
        <f ca="1">IFERROR(__xludf.DUMMYFUNCTION("""COMPUTED_VALUE"""),"Region III")</f>
        <v>Region III</v>
      </c>
      <c r="B1523" s="164" t="str">
        <f ca="1">IFERROR(__xludf.DUMMYFUNCTION("""COMPUTED_VALUE"""),"Pampanga")</f>
        <v>Pampanga</v>
      </c>
      <c r="C1523" s="164" t="str">
        <f ca="1">IFERROR(__xludf.DUMMYFUNCTION("""COMPUTED_VALUE"""),"Desktop Computer – (Lenovo M70T)")</f>
        <v>Desktop Computer – (Lenovo M70T)</v>
      </c>
      <c r="D1523" s="164" t="str">
        <f ca="1">IFERROR(__xludf.DUMMYFUNCTION("""COMPUTED_VALUE"""),"₱ 75,468.00")</f>
        <v>₱ 75,468.00</v>
      </c>
      <c r="E1523" s="164" t="str">
        <f ca="1">IFERROR(__xludf.DUMMYFUNCTION("""COMPUTED_VALUE"""),"₱-")</f>
        <v>₱-</v>
      </c>
      <c r="F1523" s="164" t="str">
        <f ca="1">IFERROR(__xludf.DUMMYFUNCTION("""COMPUTED_VALUE"""),"2023-05-03-10201SP838-01")</f>
        <v>2023-05-03-10201SP838-01</v>
      </c>
      <c r="G1523" s="164" t="str">
        <f ca="1">IFERROR(__xludf.DUMMYFUNCTION("""COMPUTED_VALUE"""),"1S11T5S16200GM041ASS")</f>
        <v>1S11T5S16200GM041ASS</v>
      </c>
      <c r="H1523" s="164" t="str">
        <f ca="1">IFERROR(__xludf.DUMMYFUNCTION("""COMPUTED_VALUE"""),"REY JULIUS DOMINIQUE F. LAXA")</f>
        <v>REY JULIUS DOMINIQUE F. LAXA</v>
      </c>
      <c r="I1523" s="164" t="str">
        <f ca="1">IFERROR(__xludf.DUMMYFUNCTION("""COMPUTED_VALUE"""),"SARPT")</f>
        <v>SARPT</v>
      </c>
      <c r="J1523" s="164" t="str">
        <f ca="1">IFERROR(__xludf.DUMMYFUNCTION("""COMPUTED_VALUE"""),"102-2023-08-011")</f>
        <v>102-2023-08-011</v>
      </c>
      <c r="K1523" s="164" t="str">
        <f ca="1">IFERROR(__xludf.DUMMYFUNCTION("""COMPUTED_VALUE"""),"REY JULIUS DOMINIQUE F. LAXA")</f>
        <v>REY JULIUS DOMINIQUE F. LAXA</v>
      </c>
      <c r="L1523" s="164" t="str">
        <f ca="1">IFERROR(__xludf.DUMMYFUNCTION("""COMPUTED_VALUE"""),"LTS")</f>
        <v>LTS</v>
      </c>
      <c r="M1523" s="164" t="str">
        <f ca="1">IFERROR(__xludf.DUMMYFUNCTION("""COMPUTED_VALUE"""),"SERVICEABLE")</f>
        <v>SERVICEABLE</v>
      </c>
      <c r="N1523" s="164"/>
    </row>
    <row r="1524" spans="1:14" ht="13.2" hidden="1">
      <c r="A1524" s="164" t="str">
        <f ca="1">IFERROR(__xludf.DUMMYFUNCTION("""COMPUTED_VALUE"""),"Region III")</f>
        <v>Region III</v>
      </c>
      <c r="B1524" s="164" t="str">
        <f ca="1">IFERROR(__xludf.DUMMYFUNCTION("""COMPUTED_VALUE"""),"Pampanga")</f>
        <v>Pampanga</v>
      </c>
      <c r="C1524" s="164" t="str">
        <f ca="1">IFERROR(__xludf.DUMMYFUNCTION("""COMPUTED_VALUE"""),"Desktop Computer – (Lenovo M70T)")</f>
        <v>Desktop Computer – (Lenovo M70T)</v>
      </c>
      <c r="D1524" s="164" t="str">
        <f ca="1">IFERROR(__xludf.DUMMYFUNCTION("""COMPUTED_VALUE"""),"₱ 75,468.00")</f>
        <v>₱ 75,468.00</v>
      </c>
      <c r="E1524" s="164" t="str">
        <f ca="1">IFERROR(__xludf.DUMMYFUNCTION("""COMPUTED_VALUE"""),"₱-")</f>
        <v>₱-</v>
      </c>
      <c r="F1524" s="164" t="str">
        <f ca="1">IFERROR(__xludf.DUMMYFUNCTION("""COMPUTED_VALUE"""),"2023-05-03-10201SP839-01")</f>
        <v>2023-05-03-10201SP839-01</v>
      </c>
      <c r="G1524" s="164" t="str">
        <f ca="1">IFERROR(__xludf.DUMMYFUNCTION("""COMPUTED_VALUE"""),"1S11T5S16200GM02ZT7S")</f>
        <v>1S11T5S16200GM02ZT7S</v>
      </c>
      <c r="H1524" s="164" t="str">
        <f ca="1">IFERROR(__xludf.DUMMYFUNCTION("""COMPUTED_VALUE"""),"SHIELA FE B. ALOG")</f>
        <v>SHIELA FE B. ALOG</v>
      </c>
      <c r="I1524" s="164" t="str">
        <f ca="1">IFERROR(__xludf.DUMMYFUNCTION("""COMPUTED_VALUE"""),"SARPT")</f>
        <v>SARPT</v>
      </c>
      <c r="J1524" s="164" t="str">
        <f ca="1">IFERROR(__xludf.DUMMYFUNCTION("""COMPUTED_VALUE"""),"102-2023-08-012")</f>
        <v>102-2023-08-012</v>
      </c>
      <c r="K1524" s="164" t="str">
        <f ca="1">IFERROR(__xludf.DUMMYFUNCTION("""COMPUTED_VALUE"""),"COS")</f>
        <v>COS</v>
      </c>
      <c r="L1524" s="164" t="str">
        <f ca="1">IFERROR(__xludf.DUMMYFUNCTION("""COMPUTED_VALUE"""),"LTS")</f>
        <v>LTS</v>
      </c>
      <c r="M1524" s="164" t="str">
        <f ca="1">IFERROR(__xludf.DUMMYFUNCTION("""COMPUTED_VALUE"""),"SERVICEABLE")</f>
        <v>SERVICEABLE</v>
      </c>
      <c r="N1524" s="164"/>
    </row>
    <row r="1525" spans="1:14" ht="13.2" hidden="1">
      <c r="A1525" s="164" t="str">
        <f ca="1">IFERROR(__xludf.DUMMYFUNCTION("""COMPUTED_VALUE"""),"Region III")</f>
        <v>Region III</v>
      </c>
      <c r="B1525" s="164" t="str">
        <f ca="1">IFERROR(__xludf.DUMMYFUNCTION("""COMPUTED_VALUE"""),"Pampanga")</f>
        <v>Pampanga</v>
      </c>
      <c r="C1525" s="164" t="str">
        <f ca="1">IFERROR(__xludf.DUMMYFUNCTION("""COMPUTED_VALUE"""),"Desktop Computer – (Lenovo M70T)")</f>
        <v>Desktop Computer – (Lenovo M70T)</v>
      </c>
      <c r="D1525" s="164" t="str">
        <f ca="1">IFERROR(__xludf.DUMMYFUNCTION("""COMPUTED_VALUE"""),"₱ 75,468.00")</f>
        <v>₱ 75,468.00</v>
      </c>
      <c r="E1525" s="164" t="str">
        <f ca="1">IFERROR(__xludf.DUMMYFUNCTION("""COMPUTED_VALUE"""),"₱-")</f>
        <v>₱-</v>
      </c>
      <c r="F1525" s="164" t="str">
        <f ca="1">IFERROR(__xludf.DUMMYFUNCTION("""COMPUTED_VALUE"""),"2023-05-03-10201SP840-01")</f>
        <v>2023-05-03-10201SP840-01</v>
      </c>
      <c r="G1525" s="164" t="str">
        <f ca="1">IFERROR(__xludf.DUMMYFUNCTION("""COMPUTED_VALUE"""),"1S11T5S16200GM02ZT8L")</f>
        <v>1S11T5S16200GM02ZT8L</v>
      </c>
      <c r="H1525" s="164" t="str">
        <f ca="1">IFERROR(__xludf.DUMMYFUNCTION("""COMPUTED_VALUE"""),"LESTER OWEN L. HERRERA")</f>
        <v>LESTER OWEN L. HERRERA</v>
      </c>
      <c r="I1525" s="164" t="str">
        <f ca="1">IFERROR(__xludf.DUMMYFUNCTION("""COMPUTED_VALUE"""),"A.A VI")</f>
        <v>A.A VI</v>
      </c>
      <c r="J1525" s="164" t="str">
        <f ca="1">IFERROR(__xludf.DUMMYFUNCTION("""COMPUTED_VALUE"""),"102-2023-08-013")</f>
        <v>102-2023-08-013</v>
      </c>
      <c r="K1525" s="164" t="str">
        <f ca="1">IFERROR(__xludf.DUMMYFUNCTION("""COMPUTED_VALUE"""),"LESTER OWEN L. HERRERA")</f>
        <v>LESTER OWEN L. HERRERA</v>
      </c>
      <c r="L1525" s="164" t="str">
        <f ca="1">IFERROR(__xludf.DUMMYFUNCTION("""COMPUTED_VALUE"""),"LTS")</f>
        <v>LTS</v>
      </c>
      <c r="M1525" s="164" t="str">
        <f ca="1">IFERROR(__xludf.DUMMYFUNCTION("""COMPUTED_VALUE"""),"SERVICEABLE")</f>
        <v>SERVICEABLE</v>
      </c>
      <c r="N1525" s="164"/>
    </row>
    <row r="1526" spans="1:14" ht="13.2" hidden="1">
      <c r="A1526" s="164" t="str">
        <f ca="1">IFERROR(__xludf.DUMMYFUNCTION("""COMPUTED_VALUE"""),"Region III")</f>
        <v>Region III</v>
      </c>
      <c r="B1526" s="164" t="str">
        <f ca="1">IFERROR(__xludf.DUMMYFUNCTION("""COMPUTED_VALUE"""),"Pampanga")</f>
        <v>Pampanga</v>
      </c>
      <c r="C1526" s="164" t="str">
        <f ca="1">IFERROR(__xludf.DUMMYFUNCTION("""COMPUTED_VALUE"""),"Desktop Computer – (Lenovo M70T)")</f>
        <v>Desktop Computer – (Lenovo M70T)</v>
      </c>
      <c r="D1526" s="164" t="str">
        <f ca="1">IFERROR(__xludf.DUMMYFUNCTION("""COMPUTED_VALUE"""),"₱ 75,468.00")</f>
        <v>₱ 75,468.00</v>
      </c>
      <c r="E1526" s="164" t="str">
        <f ca="1">IFERROR(__xludf.DUMMYFUNCTION("""COMPUTED_VALUE"""),"₱-")</f>
        <v>₱-</v>
      </c>
      <c r="F1526" s="164" t="str">
        <f ca="1">IFERROR(__xludf.DUMMYFUNCTION("""COMPUTED_VALUE"""),"2023-05-03-10201SP841-01")</f>
        <v>2023-05-03-10201SP841-01</v>
      </c>
      <c r="G1526" s="164" t="str">
        <f ca="1">IFERROR(__xludf.DUMMYFUNCTION("""COMPUTED_VALUE"""),"1S11T5S16200GM02ZT8Y")</f>
        <v>1S11T5S16200GM02ZT8Y</v>
      </c>
      <c r="H1526" s="164" t="str">
        <f ca="1">IFERROR(__xludf.DUMMYFUNCTION("""COMPUTED_VALUE"""),"MARISSA R. NAGUN")</f>
        <v>MARISSA R. NAGUN</v>
      </c>
      <c r="I1526" s="164" t="str">
        <f ca="1">IFERROR(__xludf.DUMMYFUNCTION("""COMPUTED_VALUE"""),"SARPO")</f>
        <v>SARPO</v>
      </c>
      <c r="J1526" s="164" t="str">
        <f ca="1">IFERROR(__xludf.DUMMYFUNCTION("""COMPUTED_VALUE"""),"102-2023-08-014")</f>
        <v>102-2023-08-014</v>
      </c>
      <c r="K1526" s="164" t="str">
        <f ca="1">IFERROR(__xludf.DUMMYFUNCTION("""COMPUTED_VALUE"""),"COS")</f>
        <v>COS</v>
      </c>
      <c r="L1526" s="164" t="str">
        <f ca="1">IFERROR(__xludf.DUMMYFUNCTION("""COMPUTED_VALUE"""),"LTS")</f>
        <v>LTS</v>
      </c>
      <c r="M1526" s="164" t="str">
        <f ca="1">IFERROR(__xludf.DUMMYFUNCTION("""COMPUTED_VALUE"""),"SERVICEABLE")</f>
        <v>SERVICEABLE</v>
      </c>
      <c r="N1526" s="164"/>
    </row>
    <row r="1527" spans="1:14" ht="13.2" hidden="1">
      <c r="A1527" s="164" t="str">
        <f ca="1">IFERROR(__xludf.DUMMYFUNCTION("""COMPUTED_VALUE"""),"Region III")</f>
        <v>Region III</v>
      </c>
      <c r="B1527" s="164" t="str">
        <f ca="1">IFERROR(__xludf.DUMMYFUNCTION("""COMPUTED_VALUE"""),"Pampanga")</f>
        <v>Pampanga</v>
      </c>
      <c r="C1527" s="164" t="str">
        <f ca="1">IFERROR(__xludf.DUMMYFUNCTION("""COMPUTED_VALUE"""),"Desktop Computer – (Lenovo M70T)")</f>
        <v>Desktop Computer – (Lenovo M70T)</v>
      </c>
      <c r="D1527" s="164" t="str">
        <f ca="1">IFERROR(__xludf.DUMMYFUNCTION("""COMPUTED_VALUE"""),"₱ 75,468.00")</f>
        <v>₱ 75,468.00</v>
      </c>
      <c r="E1527" s="164" t="str">
        <f ca="1">IFERROR(__xludf.DUMMYFUNCTION("""COMPUTED_VALUE"""),"₱-")</f>
        <v>₱-</v>
      </c>
      <c r="F1527" s="164" t="str">
        <f ca="1">IFERROR(__xludf.DUMMYFUNCTION("""COMPUTED_VALUE"""),"2023-05-03-10201SP842-01")</f>
        <v>2023-05-03-10201SP842-01</v>
      </c>
      <c r="G1527" s="164" t="str">
        <f ca="1">IFERROR(__xludf.DUMMYFUNCTION("""COMPUTED_VALUE"""),"1S11T5S16200GM02ZT73")</f>
        <v>1S11T5S16200GM02ZT73</v>
      </c>
      <c r="H1527" s="164" t="str">
        <f ca="1">IFERROR(__xludf.DUMMYFUNCTION("""COMPUTED_VALUE"""),"LUIGI B. REYES")</f>
        <v>LUIGI B. REYES</v>
      </c>
      <c r="I1527" s="164" t="str">
        <f ca="1">IFERROR(__xludf.DUMMYFUNCTION("""COMPUTED_VALUE"""),"ARPO I")</f>
        <v>ARPO I</v>
      </c>
      <c r="J1527" s="164" t="str">
        <f ca="1">IFERROR(__xludf.DUMMYFUNCTION("""COMPUTED_VALUE"""),"102-2023-08-015")</f>
        <v>102-2023-08-015</v>
      </c>
      <c r="K1527" s="164" t="str">
        <f ca="1">IFERROR(__xludf.DUMMYFUNCTION("""COMPUTED_VALUE"""),"COS")</f>
        <v>COS</v>
      </c>
      <c r="L1527" s="164" t="str">
        <f ca="1">IFERROR(__xludf.DUMMYFUNCTION("""COMPUTED_VALUE"""),"LTS")</f>
        <v>LTS</v>
      </c>
      <c r="M1527" s="164" t="str">
        <f ca="1">IFERROR(__xludf.DUMMYFUNCTION("""COMPUTED_VALUE"""),"SERVICEABLE")</f>
        <v>SERVICEABLE</v>
      </c>
      <c r="N1527" s="164"/>
    </row>
    <row r="1528" spans="1:14" ht="13.2" hidden="1">
      <c r="A1528" s="164" t="str">
        <f ca="1">IFERROR(__xludf.DUMMYFUNCTION("""COMPUTED_VALUE"""),"Region III")</f>
        <v>Region III</v>
      </c>
      <c r="B1528" s="164" t="str">
        <f ca="1">IFERROR(__xludf.DUMMYFUNCTION("""COMPUTED_VALUE"""),"Pampanga")</f>
        <v>Pampanga</v>
      </c>
      <c r="C1528" s="164" t="str">
        <f ca="1">IFERROR(__xludf.DUMMYFUNCTION("""COMPUTED_VALUE"""),"Desktop Computer – (Lenovo M70T)")</f>
        <v>Desktop Computer – (Lenovo M70T)</v>
      </c>
      <c r="D1528" s="164" t="str">
        <f ca="1">IFERROR(__xludf.DUMMYFUNCTION("""COMPUTED_VALUE"""),"₱ 75,468.00")</f>
        <v>₱ 75,468.00</v>
      </c>
      <c r="E1528" s="164" t="str">
        <f ca="1">IFERROR(__xludf.DUMMYFUNCTION("""COMPUTED_VALUE"""),"₱-")</f>
        <v>₱-</v>
      </c>
      <c r="F1528" s="164" t="str">
        <f ca="1">IFERROR(__xludf.DUMMYFUNCTION("""COMPUTED_VALUE"""),"2023-05-03-10201SP843-01")</f>
        <v>2023-05-03-10201SP843-01</v>
      </c>
      <c r="G1528" s="164" t="str">
        <f ca="1">IFERROR(__xludf.DUMMYFUNCTION("""COMPUTED_VALUE"""),"1S11T5S16200GM0415YV")</f>
        <v>1S11T5S16200GM0415YV</v>
      </c>
      <c r="H1528" s="164" t="str">
        <f ca="1">IFERROR(__xludf.DUMMYFUNCTION("""COMPUTED_VALUE"""),"MARISSA R. NAGUN")</f>
        <v>MARISSA R. NAGUN</v>
      </c>
      <c r="I1528" s="164" t="str">
        <f ca="1">IFERROR(__xludf.DUMMYFUNCTION("""COMPUTED_VALUE"""),"SARPO")</f>
        <v>SARPO</v>
      </c>
      <c r="J1528" s="164" t="str">
        <f ca="1">IFERROR(__xludf.DUMMYFUNCTION("""COMPUTED_VALUE"""),"102-2023-08-016")</f>
        <v>102-2023-08-016</v>
      </c>
      <c r="K1528" s="164" t="str">
        <f ca="1">IFERROR(__xludf.DUMMYFUNCTION("""COMPUTED_VALUE"""),"MARISSA R. NAGUN")</f>
        <v>MARISSA R. NAGUN</v>
      </c>
      <c r="L1528" s="164" t="str">
        <f ca="1">IFERROR(__xludf.DUMMYFUNCTION("""COMPUTED_VALUE"""),"LTS")</f>
        <v>LTS</v>
      </c>
      <c r="M1528" s="164" t="str">
        <f ca="1">IFERROR(__xludf.DUMMYFUNCTION("""COMPUTED_VALUE"""),"SERVICEABLE")</f>
        <v>SERVICEABLE</v>
      </c>
      <c r="N1528" s="164"/>
    </row>
    <row r="1529" spans="1:14" ht="13.2" hidden="1">
      <c r="A1529" s="164" t="str">
        <f ca="1">IFERROR(__xludf.DUMMYFUNCTION("""COMPUTED_VALUE"""),"Region III")</f>
        <v>Region III</v>
      </c>
      <c r="B1529" s="164" t="str">
        <f ca="1">IFERROR(__xludf.DUMMYFUNCTION("""COMPUTED_VALUE"""),"Pampanga")</f>
        <v>Pampanga</v>
      </c>
      <c r="C1529" s="164" t="str">
        <f ca="1">IFERROR(__xludf.DUMMYFUNCTION("""COMPUTED_VALUE"""),"Desktop Computer – (HP Pro SFF 280G9)")</f>
        <v>Desktop Computer – (HP Pro SFF 280G9)</v>
      </c>
      <c r="D1529" s="164" t="str">
        <f ca="1">IFERROR(__xludf.DUMMYFUNCTION("""COMPUTED_VALUE"""),"₱ 78,898.00")</f>
        <v>₱ 78,898.00</v>
      </c>
      <c r="E1529" s="164" t="str">
        <f ca="1">IFERROR(__xludf.DUMMYFUNCTION("""COMPUTED_VALUE"""),"₱-")</f>
        <v>₱-</v>
      </c>
      <c r="F1529" s="164" t="str">
        <f ca="1">IFERROR(__xludf.DUMMYFUNCTION("""COMPUTED_VALUE"""),"2023-05-03-10201SP326-01")</f>
        <v>2023-05-03-10201SP326-01</v>
      </c>
      <c r="G1529" s="164" t="str">
        <f ca="1">IFERROR(__xludf.DUMMYFUNCTION("""COMPUTED_VALUE"""),"4CE301DH67")</f>
        <v>4CE301DH67</v>
      </c>
      <c r="H1529" s="164" t="str">
        <f ca="1">IFERROR(__xludf.DUMMYFUNCTION("""COMPUTED_VALUE"""),"Ma.ANTONIETA G. APOSTOL")</f>
        <v>Ma.ANTONIETA G. APOSTOL</v>
      </c>
      <c r="I1529" s="164" t="str">
        <f ca="1">IFERROR(__xludf.DUMMYFUNCTION("""COMPUTED_VALUE"""),"AO III")</f>
        <v>AO III</v>
      </c>
      <c r="J1529" s="164" t="str">
        <f ca="1">IFERROR(__xludf.DUMMYFUNCTION("""COMPUTED_VALUE"""),"102-2023-09-018")</f>
        <v>102-2023-09-018</v>
      </c>
      <c r="K1529" s="164" t="str">
        <f ca="1">IFERROR(__xludf.DUMMYFUNCTION("""COMPUTED_VALUE"""),"Ma.ANTONIETA G. APOSTOL")</f>
        <v>Ma.ANTONIETA G. APOSTOL</v>
      </c>
      <c r="L1529" s="164" t="str">
        <f ca="1">IFERROR(__xludf.DUMMYFUNCTION("""COMPUTED_VALUE"""),"STOD")</f>
        <v>STOD</v>
      </c>
      <c r="M1529" s="164" t="str">
        <f ca="1">IFERROR(__xludf.DUMMYFUNCTION("""COMPUTED_VALUE"""),"SERVICEABLE")</f>
        <v>SERVICEABLE</v>
      </c>
      <c r="N1529" s="164"/>
    </row>
    <row r="1530" spans="1:14" ht="13.2" hidden="1">
      <c r="A1530" s="164" t="str">
        <f ca="1">IFERROR(__xludf.DUMMYFUNCTION("""COMPUTED_VALUE"""),"Region III")</f>
        <v>Region III</v>
      </c>
      <c r="B1530" s="164" t="str">
        <f ca="1">IFERROR(__xludf.DUMMYFUNCTION("""COMPUTED_VALUE"""),"Pampanga")</f>
        <v>Pampanga</v>
      </c>
      <c r="C1530" s="164" t="str">
        <f ca="1">IFERROR(__xludf.DUMMYFUNCTION("""COMPUTED_VALUE"""),"Desktop Computer – (HP Pro SFF 280G9)")</f>
        <v>Desktop Computer – (HP Pro SFF 280G9)</v>
      </c>
      <c r="D1530" s="164" t="str">
        <f ca="1">IFERROR(__xludf.DUMMYFUNCTION("""COMPUTED_VALUE"""),"₱ 78,898.00")</f>
        <v>₱ 78,898.00</v>
      </c>
      <c r="E1530" s="164" t="str">
        <f ca="1">IFERROR(__xludf.DUMMYFUNCTION("""COMPUTED_VALUE"""),"₱-")</f>
        <v>₱-</v>
      </c>
      <c r="F1530" s="164" t="str">
        <f ca="1">IFERROR(__xludf.DUMMYFUNCTION("""COMPUTED_VALUE"""),"2023-05-03-10201SP327-01")</f>
        <v>2023-05-03-10201SP327-01</v>
      </c>
      <c r="G1530" s="164" t="str">
        <f ca="1">IFERROR(__xludf.DUMMYFUNCTION("""COMPUTED_VALUE"""),"4CE301DSR7")</f>
        <v>4CE301DSR7</v>
      </c>
      <c r="H1530" s="164" t="str">
        <f ca="1">IFERROR(__xludf.DUMMYFUNCTION("""COMPUTED_VALUE"""),"LUIGI B. REYES")</f>
        <v>LUIGI B. REYES</v>
      </c>
      <c r="I1530" s="164" t="str">
        <f ca="1">IFERROR(__xludf.DUMMYFUNCTION("""COMPUTED_VALUE"""),"ARPO I")</f>
        <v>ARPO I</v>
      </c>
      <c r="J1530" s="164" t="str">
        <f ca="1">IFERROR(__xludf.DUMMYFUNCTION("""COMPUTED_VALUE"""),"102-2023-09-019")</f>
        <v>102-2023-09-019</v>
      </c>
      <c r="K1530" s="164" t="str">
        <f ca="1">IFERROR(__xludf.DUMMYFUNCTION("""COMPUTED_VALUE"""),"Aaron Lobo")</f>
        <v>Aaron Lobo</v>
      </c>
      <c r="L1530" s="164" t="str">
        <f ca="1">IFERROR(__xludf.DUMMYFUNCTION("""COMPUTED_VALUE"""),"LTS")</f>
        <v>LTS</v>
      </c>
      <c r="M1530" s="164" t="str">
        <f ca="1">IFERROR(__xludf.DUMMYFUNCTION("""COMPUTED_VALUE"""),"SERVICEABLE")</f>
        <v>SERVICEABLE</v>
      </c>
      <c r="N1530" s="164"/>
    </row>
    <row r="1531" spans="1:14" ht="13.2" hidden="1">
      <c r="A1531" s="164" t="str">
        <f ca="1">IFERROR(__xludf.DUMMYFUNCTION("""COMPUTED_VALUE"""),"Region III")</f>
        <v>Region III</v>
      </c>
      <c r="B1531" s="164" t="str">
        <f ca="1">IFERROR(__xludf.DUMMYFUNCTION("""COMPUTED_VALUE"""),"Pampanga")</f>
        <v>Pampanga</v>
      </c>
      <c r="C1531" s="164" t="str">
        <f ca="1">IFERROR(__xludf.DUMMYFUNCTION("""COMPUTED_VALUE"""),"Laptop – (ACER Extensa EX215-55G i7)")</f>
        <v>Laptop – (ACER Extensa EX215-55G i7)</v>
      </c>
      <c r="D1531" s="164" t="str">
        <f ca="1">IFERROR(__xludf.DUMMYFUNCTION("""COMPUTED_VALUE"""),"₱ 59,500.00")</f>
        <v>₱ 59,500.00</v>
      </c>
      <c r="E1531" s="164" t="str">
        <f ca="1">IFERROR(__xludf.DUMMYFUNCTION("""COMPUTED_VALUE"""),"₱-")</f>
        <v>₱-</v>
      </c>
      <c r="F1531" s="164" t="str">
        <f ca="1">IFERROR(__xludf.DUMMYFUNCTION("""COMPUTED_VALUE"""),"2023-05-03-10202SP151-01")</f>
        <v>2023-05-03-10202SP151-01</v>
      </c>
      <c r="G1531" s="164"/>
      <c r="H1531" s="164" t="str">
        <f ca="1">IFERROR(__xludf.DUMMYFUNCTION("""COMPUTED_VALUE"""),"LUIGI B. REYES")</f>
        <v>LUIGI B. REYES</v>
      </c>
      <c r="I1531" s="164" t="str">
        <f ca="1">IFERROR(__xludf.DUMMYFUNCTION("""COMPUTED_VALUE"""),"SARPO")</f>
        <v>SARPO</v>
      </c>
      <c r="J1531" s="164" t="str">
        <f ca="1">IFERROR(__xludf.DUMMYFUNCTION("""COMPUTED_VALUE"""),"102-2023-09-017")</f>
        <v>102-2023-09-017</v>
      </c>
      <c r="K1531" s="164" t="str">
        <f ca="1">IFERROR(__xludf.DUMMYFUNCTION("""COMPUTED_VALUE"""),"LUIGI REYES")</f>
        <v>LUIGI REYES</v>
      </c>
      <c r="L1531" s="164" t="str">
        <f ca="1">IFERROR(__xludf.DUMMYFUNCTION("""COMPUTED_VALUE"""),"LTS")</f>
        <v>LTS</v>
      </c>
      <c r="M1531" s="164" t="str">
        <f ca="1">IFERROR(__xludf.DUMMYFUNCTION("""COMPUTED_VALUE"""),"SERVICEABLE")</f>
        <v>SERVICEABLE</v>
      </c>
      <c r="N1531" s="164"/>
    </row>
    <row r="1532" spans="1:14" ht="13.2" hidden="1">
      <c r="A1532" s="164" t="str">
        <f ca="1">IFERROR(__xludf.DUMMYFUNCTION("""COMPUTED_VALUE"""),"Region III")</f>
        <v>Region III</v>
      </c>
      <c r="B1532" s="164" t="str">
        <f ca="1">IFERROR(__xludf.DUMMYFUNCTION("""COMPUTED_VALUE"""),"Pampanga")</f>
        <v>Pampanga</v>
      </c>
      <c r="C1532" s="164" t="str">
        <f ca="1">IFERROR(__xludf.DUMMYFUNCTION("""COMPUTED_VALUE"""),"Laptop – (ACER Extensa EX215-55G i7)")</f>
        <v>Laptop – (ACER Extensa EX215-55G i7)</v>
      </c>
      <c r="D1532" s="164" t="str">
        <f ca="1">IFERROR(__xludf.DUMMYFUNCTION("""COMPUTED_VALUE"""),"₱ 59,500.00")</f>
        <v>₱ 59,500.00</v>
      </c>
      <c r="E1532" s="164" t="str">
        <f ca="1">IFERROR(__xludf.DUMMYFUNCTION("""COMPUTED_VALUE"""),"₱-")</f>
        <v>₱-</v>
      </c>
      <c r="F1532" s="164" t="str">
        <f ca="1">IFERROR(__xludf.DUMMYFUNCTION("""COMPUTED_VALUE"""),"2023-05-03-10202SP24-01")</f>
        <v>2023-05-03-10202SP24-01</v>
      </c>
      <c r="G1532" s="164"/>
      <c r="H1532" s="164" t="str">
        <f ca="1">IFERROR(__xludf.DUMMYFUNCTION("""COMPUTED_VALUE"""),"JEAN MARC SEDANO")</f>
        <v>JEAN MARC SEDANO</v>
      </c>
      <c r="I1532" s="164" t="str">
        <f ca="1">IFERROR(__xludf.DUMMYFUNCTION("""COMPUTED_VALUE"""),"PIO")</f>
        <v>PIO</v>
      </c>
      <c r="J1532" s="164" t="str">
        <f ca="1">IFERROR(__xludf.DUMMYFUNCTION("""COMPUTED_VALUE"""),"102-2024-01-001")</f>
        <v>102-2024-01-001</v>
      </c>
      <c r="K1532" s="164" t="str">
        <f ca="1">IFERROR(__xludf.DUMMYFUNCTION("""COMPUTED_VALUE"""),"JEAN MARC SEDANO")</f>
        <v>JEAN MARC SEDANO</v>
      </c>
      <c r="L1532" s="164" t="str">
        <f ca="1">IFERROR(__xludf.DUMMYFUNCTION("""COMPUTED_VALUE"""),"STOD")</f>
        <v>STOD</v>
      </c>
      <c r="M1532" s="164" t="str">
        <f ca="1">IFERROR(__xludf.DUMMYFUNCTION("""COMPUTED_VALUE"""),"SERVICEABLE")</f>
        <v>SERVICEABLE</v>
      </c>
      <c r="N1532" s="164"/>
    </row>
    <row r="1533" spans="1:14" ht="13.2" hidden="1">
      <c r="A1533" s="164" t="str">
        <f ca="1">IFERROR(__xludf.DUMMYFUNCTION("""COMPUTED_VALUE"""),"Region III")</f>
        <v>Region III</v>
      </c>
      <c r="B1533" s="164" t="str">
        <f ca="1">IFERROR(__xludf.DUMMYFUNCTION("""COMPUTED_VALUE"""),"Pampanga")</f>
        <v>Pampanga</v>
      </c>
      <c r="C1533" s="164" t="str">
        <f ca="1">IFERROR(__xludf.DUMMYFUNCTION("""COMPUTED_VALUE"""),"Photocopier Machine – Kyocera")</f>
        <v>Photocopier Machine – Kyocera</v>
      </c>
      <c r="D1533" s="164" t="str">
        <f ca="1">IFERROR(__xludf.DUMMYFUNCTION("""COMPUTED_VALUE"""),"₱ 84,500.00")</f>
        <v>₱ 84,500.00</v>
      </c>
      <c r="E1533" s="164" t="str">
        <f ca="1">IFERROR(__xludf.DUMMYFUNCTION("""COMPUTED_VALUE"""),"₱-")</f>
        <v>₱-</v>
      </c>
      <c r="F1533" s="164" t="str">
        <f ca="1">IFERROR(__xludf.DUMMYFUNCTION("""COMPUTED_VALUE"""),"2022-05-02-10202SP-25-01")</f>
        <v>2022-05-02-10202SP-25-01</v>
      </c>
      <c r="G1533" s="164"/>
      <c r="H1533" s="164" t="str">
        <f ca="1">IFERROR(__xludf.DUMMYFUNCTION("""COMPUTED_VALUE"""),"CHRISTIAN G. DELA CRUZ")</f>
        <v>CHRISTIAN G. DELA CRUZ</v>
      </c>
      <c r="I1533" s="164" t="str">
        <f ca="1">IFERROR(__xludf.DUMMYFUNCTION("""COMPUTED_VALUE"""),"SARPT")</f>
        <v>SARPT</v>
      </c>
      <c r="J1533" s="164" t="str">
        <f ca="1">IFERROR(__xludf.DUMMYFUNCTION("""COMPUTED_VALUE"""),"102-2023-08-001")</f>
        <v>102-2023-08-001</v>
      </c>
      <c r="K1533" s="164" t="str">
        <f ca="1">IFERROR(__xludf.DUMMYFUNCTION("""COMPUTED_VALUE"""),"CHRISTIAN G. DELA CRUZ")</f>
        <v>CHRISTIAN G. DELA CRUZ</v>
      </c>
      <c r="L1533" s="164" t="str">
        <f ca="1">IFERROR(__xludf.DUMMYFUNCTION("""COMPUTED_VALUE"""),"GSS")</f>
        <v>GSS</v>
      </c>
      <c r="M1533" s="164" t="str">
        <f ca="1">IFERROR(__xludf.DUMMYFUNCTION("""COMPUTED_VALUE"""),"SERVICEABLE")</f>
        <v>SERVICEABLE</v>
      </c>
      <c r="N1533" s="164"/>
    </row>
    <row r="1534" spans="1:14" ht="13.2" hidden="1">
      <c r="A1534" s="164" t="str">
        <f ca="1">IFERROR(__xludf.DUMMYFUNCTION("""COMPUTED_VALUE"""),"Region III")</f>
        <v>Region III</v>
      </c>
      <c r="B1534" s="164" t="str">
        <f ca="1">IFERROR(__xludf.DUMMYFUNCTION("""COMPUTED_VALUE"""),"Pampanga")</f>
        <v>Pampanga</v>
      </c>
      <c r="C1534" s="164" t="str">
        <f ca="1">IFERROR(__xludf.DUMMYFUNCTION("""COMPUTED_VALUE"""),"A3 PRINTER (BROTHER)")</f>
        <v>A3 PRINTER (BROTHER)</v>
      </c>
      <c r="D1534" s="164" t="str">
        <f ca="1">IFERROR(__xludf.DUMMYFUNCTION("""COMPUTED_VALUE"""),"₱ 33,508.00")</f>
        <v>₱ 33,508.00</v>
      </c>
      <c r="E1534" s="164" t="str">
        <f ca="1">IFERROR(__xludf.DUMMYFUNCTION("""COMPUTED_VALUE"""),"₱-")</f>
        <v>₱-</v>
      </c>
      <c r="F1534" s="164" t="str">
        <f ca="1">IFERROR(__xludf.DUMMYFUNCTION("""COMPUTED_VALUE"""),"HV-SPLIT-102-24-05-28")</f>
        <v>HV-SPLIT-102-24-05-28</v>
      </c>
      <c r="G1534" s="164" t="str">
        <f ca="1">IFERROR(__xludf.DUMMYFUNCTION("""COMPUTED_VALUE"""),"E78947K3H658205")</f>
        <v>E78947K3H658205</v>
      </c>
      <c r="H1534" s="164" t="str">
        <f ca="1">IFERROR(__xludf.DUMMYFUNCTION("""COMPUTED_VALUE"""),"Marissa R. Nagun")</f>
        <v>Marissa R. Nagun</v>
      </c>
      <c r="I1534" s="164" t="str">
        <f ca="1">IFERROR(__xludf.DUMMYFUNCTION("""COMPUTED_VALUE"""),"SARPO")</f>
        <v>SARPO</v>
      </c>
      <c r="J1534" s="164" t="str">
        <f ca="1">IFERROR(__xludf.DUMMYFUNCTION("""COMPUTED_VALUE"""),"2024-03-004")</f>
        <v>2024-03-004</v>
      </c>
      <c r="K1534" s="164" t="str">
        <f ca="1">IFERROR(__xludf.DUMMYFUNCTION("""COMPUTED_VALUE"""),"Marissa R. Nagun")</f>
        <v>Marissa R. Nagun</v>
      </c>
      <c r="L1534" s="164" t="str">
        <f ca="1">IFERROR(__xludf.DUMMYFUNCTION("""COMPUTED_VALUE"""),"LTS")</f>
        <v>LTS</v>
      </c>
      <c r="M1534" s="164" t="str">
        <f ca="1">IFERROR(__xludf.DUMMYFUNCTION("""COMPUTED_VALUE"""),"SERVICEABLE")</f>
        <v>SERVICEABLE</v>
      </c>
      <c r="N1534" s="164"/>
    </row>
    <row r="1535" spans="1:14" ht="13.2" hidden="1">
      <c r="A1535" s="164" t="str">
        <f ca="1">IFERROR(__xludf.DUMMYFUNCTION("""COMPUTED_VALUE"""),"Region III")</f>
        <v>Region III</v>
      </c>
      <c r="B1535" s="164" t="str">
        <f ca="1">IFERROR(__xludf.DUMMYFUNCTION("""COMPUTED_VALUE"""),"Tarlac")</f>
        <v>Tarlac</v>
      </c>
      <c r="C1535" s="164" t="str">
        <f ca="1">IFERROR(__xludf.DUMMYFUNCTION("""COMPUTED_VALUE"""),"Desktop Computer – (Lenovo M70T)")</f>
        <v>Desktop Computer – (Lenovo M70T)</v>
      </c>
      <c r="D1535" s="164" t="str">
        <f ca="1">IFERROR(__xludf.DUMMYFUNCTION("""COMPUTED_VALUE"""),"₱ 75,468.00")</f>
        <v>₱ 75,468.00</v>
      </c>
      <c r="E1535" s="164" t="str">
        <f ca="1">IFERROR(__xludf.DUMMYFUNCTION("""COMPUTED_VALUE"""),"₱-")</f>
        <v>₱-</v>
      </c>
      <c r="F1535" s="164" t="str">
        <f ca="1">IFERROR(__xludf.DUMMYFUNCTION("""COMPUTED_VALUE"""),"2023-05-03-10201SP844-01")</f>
        <v>2023-05-03-10201SP844-01</v>
      </c>
      <c r="G1535" s="164" t="str">
        <f ca="1">IFERROR(__xludf.DUMMYFUNCTION("""COMPUTED_VALUE"""),"1S11T5S16200GM02ZT9N")</f>
        <v>1S11T5S16200GM02ZT9N</v>
      </c>
      <c r="H1535" s="164" t="str">
        <f ca="1">IFERROR(__xludf.DUMMYFUNCTION("""COMPUTED_VALUE"""),"IMELDA D. VILLANUEVA")</f>
        <v>IMELDA D. VILLANUEVA</v>
      </c>
      <c r="I1535" s="164" t="str">
        <f ca="1">IFERROR(__xludf.DUMMYFUNCTION("""COMPUTED_VALUE"""),"PROJECT BUDGET OFFICER")</f>
        <v>PROJECT BUDGET OFFICER</v>
      </c>
      <c r="J1535" s="164" t="str">
        <f ca="1">IFERROR(__xludf.DUMMYFUNCTION("""COMPUTED_VALUE"""),"2023-0001")</f>
        <v>2023-0001</v>
      </c>
      <c r="K1535" s="164" t="str">
        <f ca="1">IFERROR(__xludf.DUMMYFUNCTION("""COMPUTED_VALUE"""),"COS")</f>
        <v>COS</v>
      </c>
      <c r="L1535" s="164" t="str">
        <f ca="1">IFERROR(__xludf.DUMMYFUNCTION("""COMPUTED_VALUE"""),"DARPO - TARLAC STOD")</f>
        <v>DARPO - TARLAC STOD</v>
      </c>
      <c r="M1535" s="164" t="str">
        <f ca="1">IFERROR(__xludf.DUMMYFUNCTION("""COMPUTED_VALUE"""),"SERVICEABLE")</f>
        <v>SERVICEABLE</v>
      </c>
      <c r="N1535" s="164" t="str">
        <f ca="1">IFERROR(__xludf.DUMMYFUNCTION("""COMPUTED_VALUE"""),"Printer")</f>
        <v>Printer</v>
      </c>
    </row>
    <row r="1536" spans="1:14" ht="13.2" hidden="1">
      <c r="A1536" s="164" t="str">
        <f ca="1">IFERROR(__xludf.DUMMYFUNCTION("""COMPUTED_VALUE"""),"Region III")</f>
        <v>Region III</v>
      </c>
      <c r="B1536" s="164" t="str">
        <f ca="1">IFERROR(__xludf.DUMMYFUNCTION("""COMPUTED_VALUE"""),"Tarlac")</f>
        <v>Tarlac</v>
      </c>
      <c r="C1536" s="164" t="str">
        <f ca="1">IFERROR(__xludf.DUMMYFUNCTION("""COMPUTED_VALUE"""),"Desktop Computer – (Lenovo M70T)")</f>
        <v>Desktop Computer – (Lenovo M70T)</v>
      </c>
      <c r="D1536" s="164" t="str">
        <f ca="1">IFERROR(__xludf.DUMMYFUNCTION("""COMPUTED_VALUE"""),"₱ 75,468.00")</f>
        <v>₱ 75,468.00</v>
      </c>
      <c r="E1536" s="164" t="str">
        <f ca="1">IFERROR(__xludf.DUMMYFUNCTION("""COMPUTED_VALUE"""),"₱-")</f>
        <v>₱-</v>
      </c>
      <c r="F1536" s="164" t="str">
        <f ca="1">IFERROR(__xludf.DUMMYFUNCTION("""COMPUTED_VALUE"""),"2023-05-03-10201SP845-01")</f>
        <v>2023-05-03-10201SP845-01</v>
      </c>
      <c r="G1536" s="164" t="str">
        <f ca="1">IFERROR(__xludf.DUMMYFUNCTION("""COMPUTED_VALUE"""),"1S11T5S16200GM0418CC")</f>
        <v>1S11T5S16200GM0418CC</v>
      </c>
      <c r="H1536" s="164" t="str">
        <f ca="1">IFERROR(__xludf.DUMMYFUNCTION("""COMPUTED_VALUE"""),"Julita Dizon")</f>
        <v>Julita Dizon</v>
      </c>
      <c r="I1536" s="164" t="str">
        <f ca="1">IFERROR(__xludf.DUMMYFUNCTION("""COMPUTED_VALUE"""),"Personnel")</f>
        <v>Personnel</v>
      </c>
      <c r="J1536" s="164" t="str">
        <f ca="1">IFERROR(__xludf.DUMMYFUNCTION("""COMPUTED_VALUE"""),"2023-0002")</f>
        <v>2023-0002</v>
      </c>
      <c r="K1536" s="164" t="str">
        <f ca="1">IFERROR(__xludf.DUMMYFUNCTION("""COMPUTED_VALUE"""),"Julita Dizon")</f>
        <v>Julita Dizon</v>
      </c>
      <c r="L1536" s="164" t="str">
        <f ca="1">IFERROR(__xludf.DUMMYFUNCTION("""COMPUTED_VALUE"""),"DARPO - TARLAC STOD")</f>
        <v>DARPO - TARLAC STOD</v>
      </c>
      <c r="M1536" s="164" t="str">
        <f ca="1">IFERROR(__xludf.DUMMYFUNCTION("""COMPUTED_VALUE"""),"SERVICEABLE")</f>
        <v>SERVICEABLE</v>
      </c>
      <c r="N1536" s="164" t="str">
        <f ca="1">IFERROR(__xludf.DUMMYFUNCTION("""COMPUTED_VALUE"""),"Printer and UPS")</f>
        <v>Printer and UPS</v>
      </c>
    </row>
    <row r="1537" spans="1:14" ht="13.2" hidden="1">
      <c r="A1537" s="164" t="str">
        <f ca="1">IFERROR(__xludf.DUMMYFUNCTION("""COMPUTED_VALUE"""),"Region III")</f>
        <v>Region III</v>
      </c>
      <c r="B1537" s="164" t="str">
        <f ca="1">IFERROR(__xludf.DUMMYFUNCTION("""COMPUTED_VALUE"""),"Tarlac")</f>
        <v>Tarlac</v>
      </c>
      <c r="C1537" s="164" t="str">
        <f ca="1">IFERROR(__xludf.DUMMYFUNCTION("""COMPUTED_VALUE"""),"Desktop Computer – (Lenovo M70T)")</f>
        <v>Desktop Computer – (Lenovo M70T)</v>
      </c>
      <c r="D1537" s="164" t="str">
        <f ca="1">IFERROR(__xludf.DUMMYFUNCTION("""COMPUTED_VALUE"""),"₱ 75,468.00")</f>
        <v>₱ 75,468.00</v>
      </c>
      <c r="E1537" s="164" t="str">
        <f ca="1">IFERROR(__xludf.DUMMYFUNCTION("""COMPUTED_VALUE"""),"₱-")</f>
        <v>₱-</v>
      </c>
      <c r="F1537" s="164" t="str">
        <f ca="1">IFERROR(__xludf.DUMMYFUNCTION("""COMPUTED_VALUE"""),"2023-05-03-10201SP846-01")</f>
        <v>2023-05-03-10201SP846-01</v>
      </c>
      <c r="G1537" s="164" t="str">
        <f ca="1">IFERROR(__xludf.DUMMYFUNCTION("""COMPUTED_VALUE"""),"1S11T5S16200GM0415Z0")</f>
        <v>1S11T5S16200GM0415Z0</v>
      </c>
      <c r="H1537" s="164" t="str">
        <f ca="1">IFERROR(__xludf.DUMMYFUNCTION("""COMPUTED_VALUE"""),"Alejandro Lim")</f>
        <v>Alejandro Lim</v>
      </c>
      <c r="I1537" s="164" t="str">
        <f ca="1">IFERROR(__xludf.DUMMYFUNCTION("""COMPUTED_VALUE"""),"ARPO II")</f>
        <v>ARPO II</v>
      </c>
      <c r="J1537" s="164" t="str">
        <f ca="1">IFERROR(__xludf.DUMMYFUNCTION("""COMPUTED_VALUE"""),"2023-0003")</f>
        <v>2023-0003</v>
      </c>
      <c r="K1537" s="164" t="str">
        <f ca="1">IFERROR(__xludf.DUMMYFUNCTION("""COMPUTED_VALUE"""),"Alehandro Lim")</f>
        <v>Alehandro Lim</v>
      </c>
      <c r="L1537" s="164" t="str">
        <f ca="1">IFERROR(__xludf.DUMMYFUNCTION("""COMPUTED_VALUE"""),"DARPO - TARLAC DARAB")</f>
        <v>DARPO - TARLAC DARAB</v>
      </c>
      <c r="M1537" s="164" t="str">
        <f ca="1">IFERROR(__xludf.DUMMYFUNCTION("""COMPUTED_VALUE"""),"SERVICEABLE")</f>
        <v>SERVICEABLE</v>
      </c>
      <c r="N1537" s="164"/>
    </row>
    <row r="1538" spans="1:14" ht="13.2" hidden="1">
      <c r="A1538" s="164" t="str">
        <f ca="1">IFERROR(__xludf.DUMMYFUNCTION("""COMPUTED_VALUE"""),"Region III")</f>
        <v>Region III</v>
      </c>
      <c r="B1538" s="164" t="str">
        <f ca="1">IFERROR(__xludf.DUMMYFUNCTION("""COMPUTED_VALUE"""),"Tarlac")</f>
        <v>Tarlac</v>
      </c>
      <c r="C1538" s="164" t="str">
        <f ca="1">IFERROR(__xludf.DUMMYFUNCTION("""COMPUTED_VALUE"""),"Desktop Computer – (Lenovo M70T)")</f>
        <v>Desktop Computer – (Lenovo M70T)</v>
      </c>
      <c r="D1538" s="164" t="str">
        <f ca="1">IFERROR(__xludf.DUMMYFUNCTION("""COMPUTED_VALUE"""),"₱ 75,468.00")</f>
        <v>₱ 75,468.00</v>
      </c>
      <c r="E1538" s="164" t="str">
        <f ca="1">IFERROR(__xludf.DUMMYFUNCTION("""COMPUTED_VALUE"""),"₱-")</f>
        <v>₱-</v>
      </c>
      <c r="F1538" s="164" t="str">
        <f ca="1">IFERROR(__xludf.DUMMYFUNCTION("""COMPUTED_VALUE"""),"2023-05-03-10201SP847-01")</f>
        <v>2023-05-03-10201SP847-01</v>
      </c>
      <c r="G1538" s="164" t="str">
        <f ca="1">IFERROR(__xludf.DUMMYFUNCTION("""COMPUTED_VALUE"""),"1S11T5S16200GM041AQJ")</f>
        <v>1S11T5S16200GM041AQJ</v>
      </c>
      <c r="H1538" s="164" t="str">
        <f ca="1">IFERROR(__xludf.DUMMYFUNCTION("""COMPUTED_VALUE"""),"JANET S. ALCANTARA")</f>
        <v>JANET S. ALCANTARA</v>
      </c>
      <c r="I1538" s="164" t="str">
        <f ca="1">IFERROR(__xludf.DUMMYFUNCTION("""COMPUTED_VALUE"""),"PROJECT ACCOUNTANT")</f>
        <v>PROJECT ACCOUNTANT</v>
      </c>
      <c r="J1538" s="164" t="str">
        <f ca="1">IFERROR(__xludf.DUMMYFUNCTION("""COMPUTED_VALUE"""),"2023-0004")</f>
        <v>2023-0004</v>
      </c>
      <c r="K1538" s="164" t="str">
        <f ca="1">IFERROR(__xludf.DUMMYFUNCTION("""COMPUTED_VALUE"""),"COS")</f>
        <v>COS</v>
      </c>
      <c r="L1538" s="164" t="str">
        <f ca="1">IFERROR(__xludf.DUMMYFUNCTION("""COMPUTED_VALUE"""),"DARPO - TARLAC STOD")</f>
        <v>DARPO - TARLAC STOD</v>
      </c>
      <c r="M1538" s="164" t="str">
        <f ca="1">IFERROR(__xludf.DUMMYFUNCTION("""COMPUTED_VALUE"""),"SERVICEABLE")</f>
        <v>SERVICEABLE</v>
      </c>
      <c r="N1538" s="164" t="str">
        <f ca="1">IFERROR(__xludf.DUMMYFUNCTION("""COMPUTED_VALUE"""),"Printer")</f>
        <v>Printer</v>
      </c>
    </row>
    <row r="1539" spans="1:14" ht="13.2" hidden="1">
      <c r="A1539" s="164" t="str">
        <f ca="1">IFERROR(__xludf.DUMMYFUNCTION("""COMPUTED_VALUE"""),"Region III")</f>
        <v>Region III</v>
      </c>
      <c r="B1539" s="164" t="str">
        <f ca="1">IFERROR(__xludf.DUMMYFUNCTION("""COMPUTED_VALUE"""),"Tarlac")</f>
        <v>Tarlac</v>
      </c>
      <c r="C1539" s="164" t="str">
        <f ca="1">IFERROR(__xludf.DUMMYFUNCTION("""COMPUTED_VALUE"""),"Desktop Computer – (Lenovo M70T)")</f>
        <v>Desktop Computer – (Lenovo M70T)</v>
      </c>
      <c r="D1539" s="164" t="str">
        <f ca="1">IFERROR(__xludf.DUMMYFUNCTION("""COMPUTED_VALUE"""),"₱ 75,468.00")</f>
        <v>₱ 75,468.00</v>
      </c>
      <c r="E1539" s="164" t="str">
        <f ca="1">IFERROR(__xludf.DUMMYFUNCTION("""COMPUTED_VALUE"""),"₱-")</f>
        <v>₱-</v>
      </c>
      <c r="F1539" s="164" t="str">
        <f ca="1">IFERROR(__xludf.DUMMYFUNCTION("""COMPUTED_VALUE"""),"2023-05-03-10201SP848-01")</f>
        <v>2023-05-03-10201SP848-01</v>
      </c>
      <c r="G1539" s="164" t="str">
        <f ca="1">IFERROR(__xludf.DUMMYFUNCTION("""COMPUTED_VALUE"""),"1S11T5S16200GM041AXM")</f>
        <v>1S11T5S16200GM041AXM</v>
      </c>
      <c r="H1539" s="164" t="str">
        <f ca="1">IFERROR(__xludf.DUMMYFUNCTION("""COMPUTED_VALUE"""),"Homer Malonzo")</f>
        <v>Homer Malonzo</v>
      </c>
      <c r="I1539" s="164" t="str">
        <f ca="1">IFERROR(__xludf.DUMMYFUNCTION("""COMPUTED_VALUE"""),"PCAO")</f>
        <v>PCAO</v>
      </c>
      <c r="J1539" s="164" t="str">
        <f ca="1">IFERROR(__xludf.DUMMYFUNCTION("""COMPUTED_VALUE"""),"2023-0005")</f>
        <v>2023-0005</v>
      </c>
      <c r="K1539" s="164" t="str">
        <f ca="1">IFERROR(__xludf.DUMMYFUNCTION("""COMPUTED_VALUE"""),"COS-COA")</f>
        <v>COS-COA</v>
      </c>
      <c r="L1539" s="164" t="str">
        <f ca="1">IFERROR(__xludf.DUMMYFUNCTION("""COMPUTED_VALUE"""),"COA")</f>
        <v>COA</v>
      </c>
      <c r="M1539" s="164" t="str">
        <f ca="1">IFERROR(__xludf.DUMMYFUNCTION("""COMPUTED_VALUE"""),"SERVICEABLE")</f>
        <v>SERVICEABLE</v>
      </c>
      <c r="N1539" s="164" t="str">
        <f ca="1">IFERROR(__xludf.DUMMYFUNCTION("""COMPUTED_VALUE"""),"CPU, UPS, Printer")</f>
        <v>CPU, UPS, Printer</v>
      </c>
    </row>
    <row r="1540" spans="1:14" ht="13.2" hidden="1">
      <c r="A1540" s="164" t="str">
        <f ca="1">IFERROR(__xludf.DUMMYFUNCTION("""COMPUTED_VALUE"""),"Region III")</f>
        <v>Region III</v>
      </c>
      <c r="B1540" s="164" t="str">
        <f ca="1">IFERROR(__xludf.DUMMYFUNCTION("""COMPUTED_VALUE"""),"Tarlac")</f>
        <v>Tarlac</v>
      </c>
      <c r="C1540" s="164" t="str">
        <f ca="1">IFERROR(__xludf.DUMMYFUNCTION("""COMPUTED_VALUE"""),"Desktop Computer – (Lenovo M70T)")</f>
        <v>Desktop Computer – (Lenovo M70T)</v>
      </c>
      <c r="D1540" s="164" t="str">
        <f ca="1">IFERROR(__xludf.DUMMYFUNCTION("""COMPUTED_VALUE"""),"₱ 75,468.00")</f>
        <v>₱ 75,468.00</v>
      </c>
      <c r="E1540" s="164" t="str">
        <f ca="1">IFERROR(__xludf.DUMMYFUNCTION("""COMPUTED_VALUE"""),"₱-")</f>
        <v>₱-</v>
      </c>
      <c r="F1540" s="164" t="str">
        <f ca="1">IFERROR(__xludf.DUMMYFUNCTION("""COMPUTED_VALUE"""),"2023-05-03-10201SP849-01")</f>
        <v>2023-05-03-10201SP849-01</v>
      </c>
      <c r="G1540" s="164" t="str">
        <f ca="1">IFERROR(__xludf.DUMMYFUNCTION("""COMPUTED_VALUE"""),"1S11T5S16200GM041AXT")</f>
        <v>1S11T5S16200GM041AXT</v>
      </c>
      <c r="H1540" s="164" t="str">
        <f ca="1">IFERROR(__xludf.DUMMYFUNCTION("""COMPUTED_VALUE"""),"JOHN DARYL EUSTAQUIO")</f>
        <v>JOHN DARYL EUSTAQUIO</v>
      </c>
      <c r="I1540" s="164" t="str">
        <f ca="1">IFERROR(__xludf.DUMMYFUNCTION("""COMPUTED_VALUE"""),"MIS Coordinator")</f>
        <v>MIS Coordinator</v>
      </c>
      <c r="J1540" s="164" t="str">
        <f ca="1">IFERROR(__xludf.DUMMYFUNCTION("""COMPUTED_VALUE"""),"2023-0006")</f>
        <v>2023-0006</v>
      </c>
      <c r="K1540" s="164" t="str">
        <f ca="1">IFERROR(__xludf.DUMMYFUNCTION("""COMPUTED_VALUE"""),"JOHN DARYL EUSTAQUIO")</f>
        <v>JOHN DARYL EUSTAQUIO</v>
      </c>
      <c r="L1540" s="164" t="str">
        <f ca="1">IFERROR(__xludf.DUMMYFUNCTION("""COMPUTED_VALUE"""),"DARPO - TARLAC STOD")</f>
        <v>DARPO - TARLAC STOD</v>
      </c>
      <c r="M1540" s="164" t="str">
        <f ca="1">IFERROR(__xludf.DUMMYFUNCTION("""COMPUTED_VALUE"""),"SERVICEABLE")</f>
        <v>SERVICEABLE</v>
      </c>
      <c r="N1540" s="164" t="str">
        <f ca="1">IFERROR(__xludf.DUMMYFUNCTION("""COMPUTED_VALUE"""),"UPS")</f>
        <v>UPS</v>
      </c>
    </row>
    <row r="1541" spans="1:14" ht="13.2" hidden="1">
      <c r="A1541" s="164" t="str">
        <f ca="1">IFERROR(__xludf.DUMMYFUNCTION("""COMPUTED_VALUE"""),"Region III")</f>
        <v>Region III</v>
      </c>
      <c r="B1541" s="164" t="str">
        <f ca="1">IFERROR(__xludf.DUMMYFUNCTION("""COMPUTED_VALUE"""),"Tarlac")</f>
        <v>Tarlac</v>
      </c>
      <c r="C1541" s="164" t="str">
        <f ca="1">IFERROR(__xludf.DUMMYFUNCTION("""COMPUTED_VALUE"""),"Desktop Computer – (Lenovo M70T)")</f>
        <v>Desktop Computer – (Lenovo M70T)</v>
      </c>
      <c r="D1541" s="164" t="str">
        <f ca="1">IFERROR(__xludf.DUMMYFUNCTION("""COMPUTED_VALUE"""),"₱ 75,468.00")</f>
        <v>₱ 75,468.00</v>
      </c>
      <c r="E1541" s="164" t="str">
        <f ca="1">IFERROR(__xludf.DUMMYFUNCTION("""COMPUTED_VALUE"""),"₱-")</f>
        <v>₱-</v>
      </c>
      <c r="F1541" s="164" t="str">
        <f ca="1">IFERROR(__xludf.DUMMYFUNCTION("""COMPUTED_VALUE"""),"2023-05-03-10201SP850-01")</f>
        <v>2023-05-03-10201SP850-01</v>
      </c>
      <c r="G1541" s="164" t="str">
        <f ca="1">IFERROR(__xludf.DUMMYFUNCTION("""COMPUTED_VALUE"""),"1S11T5S16200GM041B7B")</f>
        <v>1S11T5S16200GM041B7B</v>
      </c>
      <c r="H1541" s="164" t="str">
        <f ca="1">IFERROR(__xludf.DUMMYFUNCTION("""COMPUTED_VALUE"""),"ATTY. FERDINAND T. SALLY")</f>
        <v>ATTY. FERDINAND T. SALLY</v>
      </c>
      <c r="I1541" s="164" t="str">
        <f ca="1">IFERROR(__xludf.DUMMYFUNCTION("""COMPUTED_VALUE"""),"LEGAL COORDINATOR")</f>
        <v>LEGAL COORDINATOR</v>
      </c>
      <c r="J1541" s="164" t="str">
        <f ca="1">IFERROR(__xludf.DUMMYFUNCTION("""COMPUTED_VALUE"""),"2023-0007")</f>
        <v>2023-0007</v>
      </c>
      <c r="K1541" s="164" t="str">
        <f ca="1">IFERROR(__xludf.DUMMYFUNCTION("""COMPUTED_VALUE"""),"COS")</f>
        <v>COS</v>
      </c>
      <c r="L1541" s="164" t="str">
        <f ca="1">IFERROR(__xludf.DUMMYFUNCTION("""COMPUTED_VALUE"""),"DARPO - TARLAC LEGAL")</f>
        <v>DARPO - TARLAC LEGAL</v>
      </c>
      <c r="M1541" s="164" t="str">
        <f ca="1">IFERROR(__xludf.DUMMYFUNCTION("""COMPUTED_VALUE"""),"SERVICEABLE")</f>
        <v>SERVICEABLE</v>
      </c>
      <c r="N1541" s="164" t="str">
        <f ca="1">IFERROR(__xludf.DUMMYFUNCTION("""COMPUTED_VALUE"""),"UPS")</f>
        <v>UPS</v>
      </c>
    </row>
    <row r="1542" spans="1:14" ht="13.2" hidden="1">
      <c r="A1542" s="164" t="str">
        <f ca="1">IFERROR(__xludf.DUMMYFUNCTION("""COMPUTED_VALUE"""),"Region III")</f>
        <v>Region III</v>
      </c>
      <c r="B1542" s="164" t="str">
        <f ca="1">IFERROR(__xludf.DUMMYFUNCTION("""COMPUTED_VALUE"""),"Tarlac")</f>
        <v>Tarlac</v>
      </c>
      <c r="C1542" s="164" t="str">
        <f ca="1">IFERROR(__xludf.DUMMYFUNCTION("""COMPUTED_VALUE"""),"Desktop Computer – (Lenovo M70T)")</f>
        <v>Desktop Computer – (Lenovo M70T)</v>
      </c>
      <c r="D1542" s="164" t="str">
        <f ca="1">IFERROR(__xludf.DUMMYFUNCTION("""COMPUTED_VALUE"""),"₱ 75,468.00")</f>
        <v>₱ 75,468.00</v>
      </c>
      <c r="E1542" s="164" t="str">
        <f ca="1">IFERROR(__xludf.DUMMYFUNCTION("""COMPUTED_VALUE"""),"₱-")</f>
        <v>₱-</v>
      </c>
      <c r="F1542" s="164" t="str">
        <f ca="1">IFERROR(__xludf.DUMMYFUNCTION("""COMPUTED_VALUE"""),"2023-05-03-10201SP851-01")</f>
        <v>2023-05-03-10201SP851-01</v>
      </c>
      <c r="G1542" s="164" t="str">
        <f ca="1">IFERROR(__xludf.DUMMYFUNCTION("""COMPUTED_VALUE"""),"1S11T5S16200GM041AXP")</f>
        <v>1S11T5S16200GM041AXP</v>
      </c>
      <c r="H1542" s="164" t="str">
        <f ca="1">IFERROR(__xludf.DUMMYFUNCTION("""COMPUTED_VALUE"""),"MELODY ACOSTA")</f>
        <v>MELODY ACOSTA</v>
      </c>
      <c r="I1542" s="164" t="str">
        <f ca="1">IFERROR(__xludf.DUMMYFUNCTION("""COMPUTED_VALUE"""),"ARPO I - ESS STAFF")</f>
        <v>ARPO I - ESS STAFF</v>
      </c>
      <c r="J1542" s="164" t="str">
        <f ca="1">IFERROR(__xludf.DUMMYFUNCTION("""COMPUTED_VALUE"""),"2023-0008")</f>
        <v>2023-0008</v>
      </c>
      <c r="K1542" s="164" t="str">
        <f ca="1">IFERROR(__xludf.DUMMYFUNCTION("""COMPUTED_VALUE"""),"COS")</f>
        <v>COS</v>
      </c>
      <c r="L1542" s="164" t="str">
        <f ca="1">IFERROR(__xludf.DUMMYFUNCTION("""COMPUTED_VALUE"""),"DARPO - TARLAC PBD")</f>
        <v>DARPO - TARLAC PBD</v>
      </c>
      <c r="M1542" s="164" t="str">
        <f ca="1">IFERROR(__xludf.DUMMYFUNCTION("""COMPUTED_VALUE"""),"SERVICEABLE")</f>
        <v>SERVICEABLE</v>
      </c>
      <c r="N1542" s="164"/>
    </row>
    <row r="1543" spans="1:14" ht="13.2" hidden="1">
      <c r="A1543" s="164" t="str">
        <f ca="1">IFERROR(__xludf.DUMMYFUNCTION("""COMPUTED_VALUE"""),"Region III")</f>
        <v>Region III</v>
      </c>
      <c r="B1543" s="164" t="str">
        <f ca="1">IFERROR(__xludf.DUMMYFUNCTION("""COMPUTED_VALUE"""),"Tarlac")</f>
        <v>Tarlac</v>
      </c>
      <c r="C1543" s="164" t="str">
        <f ca="1">IFERROR(__xludf.DUMMYFUNCTION("""COMPUTED_VALUE"""),"Desktop Computer – (Lenovo M70T)")</f>
        <v>Desktop Computer – (Lenovo M70T)</v>
      </c>
      <c r="D1543" s="164" t="str">
        <f ca="1">IFERROR(__xludf.DUMMYFUNCTION("""COMPUTED_VALUE"""),"₱ 75,468.00")</f>
        <v>₱ 75,468.00</v>
      </c>
      <c r="E1543" s="164" t="str">
        <f ca="1">IFERROR(__xludf.DUMMYFUNCTION("""COMPUTED_VALUE"""),"₱-")</f>
        <v>₱-</v>
      </c>
      <c r="F1543" s="164" t="str">
        <f ca="1">IFERROR(__xludf.DUMMYFUNCTION("""COMPUTED_VALUE"""),"2023-05-03-10201SP852-01")</f>
        <v>2023-05-03-10201SP852-01</v>
      </c>
      <c r="G1543" s="164" t="str">
        <f ca="1">IFERROR(__xludf.DUMMYFUNCTION("""COMPUTED_VALUE"""),"1S11T5S16200GM041AYQ")</f>
        <v>1S11T5S16200GM041AYQ</v>
      </c>
      <c r="H1543" s="164" t="str">
        <f ca="1">IFERROR(__xludf.DUMMYFUNCTION("""COMPUTED_VALUE"""),"Rolando Justo")</f>
        <v>Rolando Justo</v>
      </c>
      <c r="I1543" s="164" t="str">
        <f ca="1">IFERROR(__xludf.DUMMYFUNCTION("""COMPUTED_VALUE"""),"ARPO II")</f>
        <v>ARPO II</v>
      </c>
      <c r="J1543" s="164" t="str">
        <f ca="1">IFERROR(__xludf.DUMMYFUNCTION("""COMPUTED_VALUE"""),"2023-0009")</f>
        <v>2023-0009</v>
      </c>
      <c r="K1543" s="164" t="str">
        <f ca="1">IFERROR(__xludf.DUMMYFUNCTION("""COMPUTED_VALUE"""),"Rolando Justo")</f>
        <v>Rolando Justo</v>
      </c>
      <c r="L1543" s="164" t="str">
        <f ca="1">IFERROR(__xludf.DUMMYFUNCTION("""COMPUTED_VALUE"""),"DARPO - TARLAC PBD")</f>
        <v>DARPO - TARLAC PBD</v>
      </c>
      <c r="M1543" s="164" t="str">
        <f ca="1">IFERROR(__xludf.DUMMYFUNCTION("""COMPUTED_VALUE"""),"SERVICEABLE")</f>
        <v>SERVICEABLE</v>
      </c>
      <c r="N1543" s="164"/>
    </row>
    <row r="1544" spans="1:14" ht="13.2" hidden="1">
      <c r="A1544" s="164" t="str">
        <f ca="1">IFERROR(__xludf.DUMMYFUNCTION("""COMPUTED_VALUE"""),"Region III")</f>
        <v>Region III</v>
      </c>
      <c r="B1544" s="164" t="str">
        <f ca="1">IFERROR(__xludf.DUMMYFUNCTION("""COMPUTED_VALUE"""),"Tarlac")</f>
        <v>Tarlac</v>
      </c>
      <c r="C1544" s="164" t="str">
        <f ca="1">IFERROR(__xludf.DUMMYFUNCTION("""COMPUTED_VALUE"""),"Desktop Computer – (Lenovo M70T)")</f>
        <v>Desktop Computer – (Lenovo M70T)</v>
      </c>
      <c r="D1544" s="164" t="str">
        <f ca="1">IFERROR(__xludf.DUMMYFUNCTION("""COMPUTED_VALUE"""),"₱ 75,468.00")</f>
        <v>₱ 75,468.00</v>
      </c>
      <c r="E1544" s="164" t="str">
        <f ca="1">IFERROR(__xludf.DUMMYFUNCTION("""COMPUTED_VALUE"""),"₱-")</f>
        <v>₱-</v>
      </c>
      <c r="F1544" s="164" t="str">
        <f ca="1">IFERROR(__xludf.DUMMYFUNCTION("""COMPUTED_VALUE"""),"2023-05-03-10201SP853-01")</f>
        <v>2023-05-03-10201SP853-01</v>
      </c>
      <c r="G1544" s="164" t="str">
        <f ca="1">IFERROR(__xludf.DUMMYFUNCTION("""COMPUTED_VALUE"""),"1S11T5S16200GM02ZT7L")</f>
        <v>1S11T5S16200GM02ZT7L</v>
      </c>
      <c r="H1544" s="164" t="str">
        <f ca="1">IFERROR(__xludf.DUMMYFUNCTION("""COMPUTED_VALUE"""),"ZORAIDA MANGROBANG")</f>
        <v>ZORAIDA MANGROBANG</v>
      </c>
      <c r="I1544" s="164" t="str">
        <f ca="1">IFERROR(__xludf.DUMMYFUNCTION("""COMPUTED_VALUE"""),"PROJECT CASHIER")</f>
        <v>PROJECT CASHIER</v>
      </c>
      <c r="J1544" s="164" t="str">
        <f ca="1">IFERROR(__xludf.DUMMYFUNCTION("""COMPUTED_VALUE"""),"2023-0010")</f>
        <v>2023-0010</v>
      </c>
      <c r="K1544" s="164" t="str">
        <f ca="1">IFERROR(__xludf.DUMMYFUNCTION("""COMPUTED_VALUE"""),"ZORAIDA MANGROBANG")</f>
        <v>ZORAIDA MANGROBANG</v>
      </c>
      <c r="L1544" s="164" t="str">
        <f ca="1">IFERROR(__xludf.DUMMYFUNCTION("""COMPUTED_VALUE"""),"DARPO - TARLAC STOD")</f>
        <v>DARPO - TARLAC STOD</v>
      </c>
      <c r="M1544" s="164" t="str">
        <f ca="1">IFERROR(__xludf.DUMMYFUNCTION("""COMPUTED_VALUE"""),"SERVICEABLE")</f>
        <v>SERVICEABLE</v>
      </c>
      <c r="N1544" s="164"/>
    </row>
    <row r="1545" spans="1:14" ht="13.2" hidden="1">
      <c r="A1545" s="164" t="str">
        <f ca="1">IFERROR(__xludf.DUMMYFUNCTION("""COMPUTED_VALUE"""),"Region III")</f>
        <v>Region III</v>
      </c>
      <c r="B1545" s="164" t="str">
        <f ca="1">IFERROR(__xludf.DUMMYFUNCTION("""COMPUTED_VALUE"""),"Tarlac")</f>
        <v>Tarlac</v>
      </c>
      <c r="C1545" s="164" t="str">
        <f ca="1">IFERROR(__xludf.DUMMYFUNCTION("""COMPUTED_VALUE"""),"Desktop Computer – (Lenovo M70T)")</f>
        <v>Desktop Computer – (Lenovo M70T)</v>
      </c>
      <c r="D1545" s="164" t="str">
        <f ca="1">IFERROR(__xludf.DUMMYFUNCTION("""COMPUTED_VALUE"""),"₱ 75,468.00")</f>
        <v>₱ 75,468.00</v>
      </c>
      <c r="E1545" s="164" t="str">
        <f ca="1">IFERROR(__xludf.DUMMYFUNCTION("""COMPUTED_VALUE"""),"₱-")</f>
        <v>₱-</v>
      </c>
      <c r="F1545" s="164" t="str">
        <f ca="1">IFERROR(__xludf.DUMMYFUNCTION("""COMPUTED_VALUE"""),"2023-05-03-10201SP854-01")</f>
        <v>2023-05-03-10201SP854-01</v>
      </c>
      <c r="G1545" s="164" t="str">
        <f ca="1">IFERROR(__xludf.DUMMYFUNCTION("""COMPUTED_VALUE"""),"1S11T5S16200GM02ZT7C")</f>
        <v>1S11T5S16200GM02ZT7C</v>
      </c>
      <c r="H1545" s="164" t="str">
        <f ca="1">IFERROR(__xludf.DUMMYFUNCTION("""COMPUTED_VALUE"""),"ELLEN S. PALARA")</f>
        <v>ELLEN S. PALARA</v>
      </c>
      <c r="I1545" s="164" t="str">
        <f ca="1">IFERROR(__xludf.DUMMYFUNCTION("""COMPUTED_VALUE"""),"ARPO I")</f>
        <v>ARPO I</v>
      </c>
      <c r="J1545" s="164" t="str">
        <f ca="1">IFERROR(__xludf.DUMMYFUNCTION("""COMPUTED_VALUE"""),"2023-0011")</f>
        <v>2023-0011</v>
      </c>
      <c r="K1545" s="164" t="str">
        <f ca="1">IFERROR(__xludf.DUMMYFUNCTION("""COMPUTED_VALUE"""),"Ligaya Gragasin")</f>
        <v>Ligaya Gragasin</v>
      </c>
      <c r="L1545" s="164" t="str">
        <f ca="1">IFERROR(__xludf.DUMMYFUNCTION("""COMPUTED_VALUE"""),"DARPO - TARLAC")</f>
        <v>DARPO - TARLAC</v>
      </c>
      <c r="M1545" s="164" t="str">
        <f ca="1">IFERROR(__xludf.DUMMYFUNCTION("""COMPUTED_VALUE"""),"SERVICEABLE")</f>
        <v>SERVICEABLE</v>
      </c>
      <c r="N1545" s="164" t="str">
        <f ca="1">IFERROR(__xludf.DUMMYFUNCTION("""COMPUTED_VALUE"""),"UPS")</f>
        <v>UPS</v>
      </c>
    </row>
    <row r="1546" spans="1:14" ht="13.2" hidden="1">
      <c r="A1546" s="164" t="str">
        <f ca="1">IFERROR(__xludf.DUMMYFUNCTION("""COMPUTED_VALUE"""),"Region III")</f>
        <v>Region III</v>
      </c>
      <c r="B1546" s="164" t="str">
        <f ca="1">IFERROR(__xludf.DUMMYFUNCTION("""COMPUTED_VALUE"""),"Tarlac")</f>
        <v>Tarlac</v>
      </c>
      <c r="C1546" s="164" t="str">
        <f ca="1">IFERROR(__xludf.DUMMYFUNCTION("""COMPUTED_VALUE"""),"Desktop Computer – (Lenovo M70T)")</f>
        <v>Desktop Computer – (Lenovo M70T)</v>
      </c>
      <c r="D1546" s="164" t="str">
        <f ca="1">IFERROR(__xludf.DUMMYFUNCTION("""COMPUTED_VALUE"""),"₱ 75,468.00")</f>
        <v>₱ 75,468.00</v>
      </c>
      <c r="E1546" s="164" t="str">
        <f ca="1">IFERROR(__xludf.DUMMYFUNCTION("""COMPUTED_VALUE"""),"₱-")</f>
        <v>₱-</v>
      </c>
      <c r="F1546" s="164" t="str">
        <f ca="1">IFERROR(__xludf.DUMMYFUNCTION("""COMPUTED_VALUE"""),"2023-05-03-10201SP855-01")</f>
        <v>2023-05-03-10201SP855-01</v>
      </c>
      <c r="G1546" s="164" t="str">
        <f ca="1">IFERROR(__xludf.DUMMYFUNCTION("""COMPUTED_VALUE"""),"1S11T5S16200GM02ZT71")</f>
        <v>1S11T5S16200GM02ZT71</v>
      </c>
      <c r="H1546" s="164" t="str">
        <f ca="1">IFERROR(__xludf.DUMMYFUNCTION("""COMPUTED_VALUE"""),"Gemalyn Rabel")</f>
        <v>Gemalyn Rabel</v>
      </c>
      <c r="I1546" s="164" t="str">
        <f ca="1">IFERROR(__xludf.DUMMYFUNCTION("""COMPUTED_VALUE"""),"SARPT")</f>
        <v>SARPT</v>
      </c>
      <c r="J1546" s="164" t="str">
        <f ca="1">IFERROR(__xludf.DUMMYFUNCTION("""COMPUTED_VALUE"""),"2023-0012")</f>
        <v>2023-0012</v>
      </c>
      <c r="K1546" s="164" t="str">
        <f ca="1">IFERROR(__xludf.DUMMYFUNCTION("""COMPUTED_VALUE"""),"Gemalyn Rabel")</f>
        <v>Gemalyn Rabel</v>
      </c>
      <c r="L1546" s="164" t="str">
        <f ca="1">IFERROR(__xludf.DUMMYFUNCTION("""COMPUTED_VALUE"""),"DARPO - TARLAC LTID")</f>
        <v>DARPO - TARLAC LTID</v>
      </c>
      <c r="M1546" s="164" t="str">
        <f ca="1">IFERROR(__xludf.DUMMYFUNCTION("""COMPUTED_VALUE"""),"SERVICEABLE")</f>
        <v>SERVICEABLE</v>
      </c>
      <c r="N1546" s="164" t="str">
        <f ca="1">IFERROR(__xludf.DUMMYFUNCTION("""COMPUTED_VALUE"""),"UPS")</f>
        <v>UPS</v>
      </c>
    </row>
    <row r="1547" spans="1:14" ht="13.2" hidden="1">
      <c r="A1547" s="164" t="str">
        <f ca="1">IFERROR(__xludf.DUMMYFUNCTION("""COMPUTED_VALUE"""),"Region III")</f>
        <v>Region III</v>
      </c>
      <c r="B1547" s="164" t="str">
        <f ca="1">IFERROR(__xludf.DUMMYFUNCTION("""COMPUTED_VALUE"""),"Tarlac")</f>
        <v>Tarlac</v>
      </c>
      <c r="C1547" s="164" t="str">
        <f ca="1">IFERROR(__xludf.DUMMYFUNCTION("""COMPUTED_VALUE"""),"Desktop Computer – (Lenovo M70T)")</f>
        <v>Desktop Computer – (Lenovo M70T)</v>
      </c>
      <c r="D1547" s="164" t="str">
        <f ca="1">IFERROR(__xludf.DUMMYFUNCTION("""COMPUTED_VALUE"""),"₱ 75,468.00")</f>
        <v>₱ 75,468.00</v>
      </c>
      <c r="E1547" s="164" t="str">
        <f ca="1">IFERROR(__xludf.DUMMYFUNCTION("""COMPUTED_VALUE"""),"₱-")</f>
        <v>₱-</v>
      </c>
      <c r="F1547" s="164" t="str">
        <f ca="1">IFERROR(__xludf.DUMMYFUNCTION("""COMPUTED_VALUE"""),"2023-05-03-10201SP856-01")</f>
        <v>2023-05-03-10201SP856-01</v>
      </c>
      <c r="G1547" s="164" t="str">
        <f ca="1">IFERROR(__xludf.DUMMYFUNCTION("""COMPUTED_VALUE"""),"1S11T5S16200GM041APS")</f>
        <v>1S11T5S16200GM041APS</v>
      </c>
      <c r="H1547" s="164" t="str">
        <f ca="1">IFERROR(__xludf.DUMMYFUNCTION("""COMPUTED_VALUE"""),"LEA MARIE P. GULLOY")</f>
        <v>LEA MARIE P. GULLOY</v>
      </c>
      <c r="I1547" s="164" t="str">
        <f ca="1">IFERROR(__xludf.DUMMYFUNCTION("""COMPUTED_VALUE"""),"PO II")</f>
        <v>PO II</v>
      </c>
      <c r="J1547" s="164" t="str">
        <f ca="1">IFERROR(__xludf.DUMMYFUNCTION("""COMPUTED_VALUE"""),"2023-0013")</f>
        <v>2023-0013</v>
      </c>
      <c r="K1547" s="164" t="str">
        <f ca="1">IFERROR(__xludf.DUMMYFUNCTION("""COMPUTED_VALUE"""),"COS")</f>
        <v>COS</v>
      </c>
      <c r="L1547" s="164" t="str">
        <f ca="1">IFERROR(__xludf.DUMMYFUNCTION("""COMPUTED_VALUE"""),"DARPO - TARLAC STOD")</f>
        <v>DARPO - TARLAC STOD</v>
      </c>
      <c r="M1547" s="164" t="str">
        <f ca="1">IFERROR(__xludf.DUMMYFUNCTION("""COMPUTED_VALUE"""),"SERVICEABLE")</f>
        <v>SERVICEABLE</v>
      </c>
      <c r="N1547" s="164"/>
    </row>
    <row r="1548" spans="1:14" ht="13.2" hidden="1">
      <c r="A1548" s="164" t="str">
        <f ca="1">IFERROR(__xludf.DUMMYFUNCTION("""COMPUTED_VALUE"""),"Region III")</f>
        <v>Region III</v>
      </c>
      <c r="B1548" s="164" t="str">
        <f ca="1">IFERROR(__xludf.DUMMYFUNCTION("""COMPUTED_VALUE"""),"Tarlac")</f>
        <v>Tarlac</v>
      </c>
      <c r="C1548" s="164" t="str">
        <f ca="1">IFERROR(__xludf.DUMMYFUNCTION("""COMPUTED_VALUE"""),"Desktop Computer – (Lenovo M70T)")</f>
        <v>Desktop Computer – (Lenovo M70T)</v>
      </c>
      <c r="D1548" s="164" t="str">
        <f ca="1">IFERROR(__xludf.DUMMYFUNCTION("""COMPUTED_VALUE"""),"₱ 75,468.00")</f>
        <v>₱ 75,468.00</v>
      </c>
      <c r="E1548" s="164" t="str">
        <f ca="1">IFERROR(__xludf.DUMMYFUNCTION("""COMPUTED_VALUE"""),"₱-")</f>
        <v>₱-</v>
      </c>
      <c r="F1548" s="164" t="str">
        <f ca="1">IFERROR(__xludf.DUMMYFUNCTION("""COMPUTED_VALUE"""),"2023-05-03-10201SP857-01")</f>
        <v>2023-05-03-10201SP857-01</v>
      </c>
      <c r="G1548" s="164" t="str">
        <f ca="1">IFERROR(__xludf.DUMMYFUNCTION("""COMPUTED_VALUE"""),"1S11T5S16200GM02ZT9R")</f>
        <v>1S11T5S16200GM02ZT9R</v>
      </c>
      <c r="H1548" s="164" t="str">
        <f ca="1">IFERROR(__xludf.DUMMYFUNCTION("""COMPUTED_VALUE"""),"MIGUEL S. ACOSTA")</f>
        <v>MIGUEL S. ACOSTA</v>
      </c>
      <c r="I1548" s="164" t="str">
        <f ca="1">IFERROR(__xludf.DUMMYFUNCTION("""COMPUTED_VALUE"""),"CARPO - LTID")</f>
        <v>CARPO - LTID</v>
      </c>
      <c r="J1548" s="164" t="str">
        <f ca="1">IFERROR(__xludf.DUMMYFUNCTION("""COMPUTED_VALUE"""),"2023-0014")</f>
        <v>2023-0014</v>
      </c>
      <c r="K1548" s="164" t="str">
        <f ca="1">IFERROR(__xludf.DUMMYFUNCTION("""COMPUTED_VALUE"""),"COS")</f>
        <v>COS</v>
      </c>
      <c r="L1548" s="164" t="str">
        <f ca="1">IFERROR(__xludf.DUMMYFUNCTION("""COMPUTED_VALUE"""),"DARPO - TARLAC LTID")</f>
        <v>DARPO - TARLAC LTID</v>
      </c>
      <c r="M1548" s="164" t="str">
        <f ca="1">IFERROR(__xludf.DUMMYFUNCTION("""COMPUTED_VALUE"""),"SERVICEABLE")</f>
        <v>SERVICEABLE</v>
      </c>
      <c r="N1548" s="164" t="str">
        <f ca="1">IFERROR(__xludf.DUMMYFUNCTION("""COMPUTED_VALUE"""),"Monitor")</f>
        <v>Monitor</v>
      </c>
    </row>
    <row r="1549" spans="1:14" ht="13.2" hidden="1">
      <c r="A1549" s="164" t="str">
        <f ca="1">IFERROR(__xludf.DUMMYFUNCTION("""COMPUTED_VALUE"""),"Region III")</f>
        <v>Region III</v>
      </c>
      <c r="B1549" s="164" t="str">
        <f ca="1">IFERROR(__xludf.DUMMYFUNCTION("""COMPUTED_VALUE"""),"Tarlac")</f>
        <v>Tarlac</v>
      </c>
      <c r="C1549" s="164" t="str">
        <f ca="1">IFERROR(__xludf.DUMMYFUNCTION("""COMPUTED_VALUE"""),"Desktop Computer – (HP Pro SFF 280G9)")</f>
        <v>Desktop Computer – (HP Pro SFF 280G9)</v>
      </c>
      <c r="D1549" s="164" t="str">
        <f ca="1">IFERROR(__xludf.DUMMYFUNCTION("""COMPUTED_VALUE"""),"₱ 78,898.00")</f>
        <v>₱ 78,898.00</v>
      </c>
      <c r="E1549" s="164" t="str">
        <f ca="1">IFERROR(__xludf.DUMMYFUNCTION("""COMPUTED_VALUE"""),"₱-")</f>
        <v>₱-</v>
      </c>
      <c r="F1549" s="164" t="str">
        <f ca="1">IFERROR(__xludf.DUMMYFUNCTION("""COMPUTED_VALUE"""),"2023-05-03-10201SP330-01")</f>
        <v>2023-05-03-10201SP330-01</v>
      </c>
      <c r="G1549" s="164" t="str">
        <f ca="1">IFERROR(__xludf.DUMMYFUNCTION("""COMPUTED_VALUE"""),"4CE301DH2Y")</f>
        <v>4CE301DH2Y</v>
      </c>
      <c r="H1549" s="164" t="str">
        <f ca="1">IFERROR(__xludf.DUMMYFUNCTION("""COMPUTED_VALUE"""),"Homer Malonzo")</f>
        <v>Homer Malonzo</v>
      </c>
      <c r="I1549" s="164" t="str">
        <f ca="1">IFERROR(__xludf.DUMMYFUNCTION("""COMPUTED_VALUE"""),"PCAO")</f>
        <v>PCAO</v>
      </c>
      <c r="J1549" s="164" t="str">
        <f ca="1">IFERROR(__xludf.DUMMYFUNCTION("""COMPUTED_VALUE"""),"2023-0001")</f>
        <v>2023-0001</v>
      </c>
      <c r="K1549" s="164" t="str">
        <f ca="1">IFERROR(__xludf.DUMMYFUNCTION("""COMPUTED_VALUE"""),"Homer Malonzo")</f>
        <v>Homer Malonzo</v>
      </c>
      <c r="L1549" s="164" t="str">
        <f ca="1">IFERROR(__xludf.DUMMYFUNCTION("""COMPUTED_VALUE"""),"DARPO - TARLAC STOD")</f>
        <v>DARPO - TARLAC STOD</v>
      </c>
      <c r="M1549" s="164" t="str">
        <f ca="1">IFERROR(__xludf.DUMMYFUNCTION("""COMPUTED_VALUE"""),"SERVICEABLE")</f>
        <v>SERVICEABLE</v>
      </c>
      <c r="N1549" s="164" t="str">
        <f ca="1">IFERROR(__xludf.DUMMYFUNCTION("""COMPUTED_VALUE"""),"Printer")</f>
        <v>Printer</v>
      </c>
    </row>
    <row r="1550" spans="1:14" ht="13.2" hidden="1">
      <c r="A1550" s="164" t="str">
        <f ca="1">IFERROR(__xludf.DUMMYFUNCTION("""COMPUTED_VALUE"""),"Region III")</f>
        <v>Region III</v>
      </c>
      <c r="B1550" s="164" t="str">
        <f ca="1">IFERROR(__xludf.DUMMYFUNCTION("""COMPUTED_VALUE"""),"Tarlac")</f>
        <v>Tarlac</v>
      </c>
      <c r="C1550" s="164" t="str">
        <f ca="1">IFERROR(__xludf.DUMMYFUNCTION("""COMPUTED_VALUE"""),"Desktop Computer – (HP Pro SFF 280G9)")</f>
        <v>Desktop Computer – (HP Pro SFF 280G9)</v>
      </c>
      <c r="D1550" s="164" t="str">
        <f ca="1">IFERROR(__xludf.DUMMYFUNCTION("""COMPUTED_VALUE"""),"₱ 78,898.00")</f>
        <v>₱ 78,898.00</v>
      </c>
      <c r="E1550" s="164" t="str">
        <f ca="1">IFERROR(__xludf.DUMMYFUNCTION("""COMPUTED_VALUE"""),"₱-")</f>
        <v>₱-</v>
      </c>
      <c r="F1550" s="164" t="str">
        <f ca="1">IFERROR(__xludf.DUMMYFUNCTION("""COMPUTED_VALUE"""),"2023-05-03-10201SP329-01")</f>
        <v>2023-05-03-10201SP329-01</v>
      </c>
      <c r="G1550" s="164" t="str">
        <f ca="1">IFERROR(__xludf.DUMMYFUNCTION("""COMPUTED_VALUE"""),"4CE301DH9C")</f>
        <v>4CE301DH9C</v>
      </c>
      <c r="H1550" s="164" t="str">
        <f ca="1">IFERROR(__xludf.DUMMYFUNCTION("""COMPUTED_VALUE"""),"ATTY. FERDINAND T. SALLY")</f>
        <v>ATTY. FERDINAND T. SALLY</v>
      </c>
      <c r="I1550" s="164" t="str">
        <f ca="1">IFERROR(__xludf.DUMMYFUNCTION("""COMPUTED_VALUE"""),"LEGAL COORDINATOR")</f>
        <v>LEGAL COORDINATOR</v>
      </c>
      <c r="J1550" s="164" t="str">
        <f ca="1">IFERROR(__xludf.DUMMYFUNCTION("""COMPUTED_VALUE"""),"2023-0002")</f>
        <v>2023-0002</v>
      </c>
      <c r="K1550" s="164" t="str">
        <f ca="1">IFERROR(__xludf.DUMMYFUNCTION("""COMPUTED_VALUE"""),"COS")</f>
        <v>COS</v>
      </c>
      <c r="L1550" s="164" t="str">
        <f ca="1">IFERROR(__xludf.DUMMYFUNCTION("""COMPUTED_VALUE"""),"DARPO - TARLAC LEGAL")</f>
        <v>DARPO - TARLAC LEGAL</v>
      </c>
      <c r="M1550" s="164" t="str">
        <f ca="1">IFERROR(__xludf.DUMMYFUNCTION("""COMPUTED_VALUE"""),"SERVICEABLE")</f>
        <v>SERVICEABLE</v>
      </c>
      <c r="N1550" s="164" t="str">
        <f ca="1">IFERROR(__xludf.DUMMYFUNCTION("""COMPUTED_VALUE"""),"Printer")</f>
        <v>Printer</v>
      </c>
    </row>
    <row r="1551" spans="1:14" ht="13.2" hidden="1">
      <c r="A1551" s="164" t="str">
        <f ca="1">IFERROR(__xludf.DUMMYFUNCTION("""COMPUTED_VALUE"""),"Region III")</f>
        <v>Region III</v>
      </c>
      <c r="B1551" s="164" t="str">
        <f ca="1">IFERROR(__xludf.DUMMYFUNCTION("""COMPUTED_VALUE"""),"Tarlac")</f>
        <v>Tarlac</v>
      </c>
      <c r="C1551" s="164" t="str">
        <f ca="1">IFERROR(__xludf.DUMMYFUNCTION("""COMPUTED_VALUE"""),"Desktop Computer – (HP Pro SFF 280G9)")</f>
        <v>Desktop Computer – (HP Pro SFF 280G9)</v>
      </c>
      <c r="D1551" s="164" t="str">
        <f ca="1">IFERROR(__xludf.DUMMYFUNCTION("""COMPUTED_VALUE"""),"₱ 78,898.00")</f>
        <v>₱ 78,898.00</v>
      </c>
      <c r="E1551" s="164" t="str">
        <f ca="1">IFERROR(__xludf.DUMMYFUNCTION("""COMPUTED_VALUE"""),"₱-")</f>
        <v>₱-</v>
      </c>
      <c r="F1551" s="164" t="str">
        <f ca="1">IFERROR(__xludf.DUMMYFUNCTION("""COMPUTED_VALUE"""),"2023-05-03-10201SP3298-01")</f>
        <v>2023-05-03-10201SP3298-01</v>
      </c>
      <c r="G1551" s="164" t="str">
        <f ca="1">IFERROR(__xludf.DUMMYFUNCTION("""COMPUTED_VALUE"""),"4CE301DH4S")</f>
        <v>4CE301DH4S</v>
      </c>
      <c r="H1551" s="164" t="str">
        <f ca="1">IFERROR(__xludf.DUMMYFUNCTION("""COMPUTED_VALUE"""),"ELLEN S. PALARA")</f>
        <v>ELLEN S. PALARA</v>
      </c>
      <c r="I1551" s="164" t="str">
        <f ca="1">IFERROR(__xludf.DUMMYFUNCTION("""COMPUTED_VALUE"""),"ARPO I")</f>
        <v>ARPO I</v>
      </c>
      <c r="J1551" s="164" t="str">
        <f ca="1">IFERROR(__xludf.DUMMYFUNCTION("""COMPUTED_VALUE"""),"2023-0003")</f>
        <v>2023-0003</v>
      </c>
      <c r="K1551" s="164" t="str">
        <f ca="1">IFERROR(__xludf.DUMMYFUNCTION("""COMPUTED_VALUE"""),"ELLEN S. PALARA")</f>
        <v>ELLEN S. PALARA</v>
      </c>
      <c r="L1551" s="164" t="str">
        <f ca="1">IFERROR(__xludf.DUMMYFUNCTION("""COMPUTED_VALUE"""),"DARPO - TARLAC PBD")</f>
        <v>DARPO - TARLAC PBD</v>
      </c>
      <c r="M1551" s="164" t="str">
        <f ca="1">IFERROR(__xludf.DUMMYFUNCTION("""COMPUTED_VALUE"""),"SERVICEABLE")</f>
        <v>SERVICEABLE</v>
      </c>
      <c r="N1551" s="164" t="str">
        <f ca="1">IFERROR(__xludf.DUMMYFUNCTION("""COMPUTED_VALUE"""),"Printer")</f>
        <v>Printer</v>
      </c>
    </row>
    <row r="1552" spans="1:14" ht="13.2" hidden="1">
      <c r="A1552" s="164" t="str">
        <f ca="1">IFERROR(__xludf.DUMMYFUNCTION("""COMPUTED_VALUE"""),"Region III")</f>
        <v>Region III</v>
      </c>
      <c r="B1552" s="164" t="str">
        <f ca="1">IFERROR(__xludf.DUMMYFUNCTION("""COMPUTED_VALUE"""),"Tarlac")</f>
        <v>Tarlac</v>
      </c>
      <c r="C1552" s="164" t="str">
        <f ca="1">IFERROR(__xludf.DUMMYFUNCTION("""COMPUTED_VALUE"""),"Laptop – (ACER EXTENSA EX215-55G i7)")</f>
        <v>Laptop – (ACER EXTENSA EX215-55G i7)</v>
      </c>
      <c r="D1552" s="164" t="str">
        <f ca="1">IFERROR(__xludf.DUMMYFUNCTION("""COMPUTED_VALUE"""),"₱ 59,500.00")</f>
        <v>₱ 59,500.00</v>
      </c>
      <c r="E1552" s="164" t="str">
        <f ca="1">IFERROR(__xludf.DUMMYFUNCTION("""COMPUTED_VALUE"""),"₱-")</f>
        <v>₱-</v>
      </c>
      <c r="F1552" s="164" t="str">
        <f ca="1">IFERROR(__xludf.DUMMYFUNCTION("""COMPUTED_VALUE"""),"2023-05-03-10201SP152-01")</f>
        <v>2023-05-03-10201SP152-01</v>
      </c>
      <c r="G1552" s="164"/>
      <c r="H1552" s="164" t="str">
        <f ca="1">IFERROR(__xludf.DUMMYFUNCTION("""COMPUTED_VALUE"""),"M&amp;E COORDINATOR")</f>
        <v>M&amp;E COORDINATOR</v>
      </c>
      <c r="I1552" s="164" t="str">
        <f ca="1">IFERROR(__xludf.DUMMYFUNCTION("""COMPUTED_VALUE"""),"M&amp;E COORDINATOR")</f>
        <v>M&amp;E COORDINATOR</v>
      </c>
      <c r="J1552" s="164" t="str">
        <f ca="1">IFERROR(__xludf.DUMMYFUNCTION("""COMPUTED_VALUE"""),"2023-0001")</f>
        <v>2023-0001</v>
      </c>
      <c r="K1552" s="164" t="str">
        <f ca="1">IFERROR(__xludf.DUMMYFUNCTION("""COMPUTED_VALUE"""),"LEA MARIE P. GULLOY")</f>
        <v>LEA MARIE P. GULLOY</v>
      </c>
      <c r="L1552" s="164" t="str">
        <f ca="1">IFERROR(__xludf.DUMMYFUNCTION("""COMPUTED_VALUE"""),"DARPO - TARLAC STOD")</f>
        <v>DARPO - TARLAC STOD</v>
      </c>
      <c r="M1552" s="164" t="str">
        <f ca="1">IFERROR(__xludf.DUMMYFUNCTION("""COMPUTED_VALUE"""),"SERVICEABLE")</f>
        <v>SERVICEABLE</v>
      </c>
      <c r="N1552" s="164"/>
    </row>
    <row r="1553" spans="1:14" ht="13.2" hidden="1">
      <c r="A1553" s="164" t="str">
        <f ca="1">IFERROR(__xludf.DUMMYFUNCTION("""COMPUTED_VALUE"""),"Region III")</f>
        <v>Region III</v>
      </c>
      <c r="B1553" s="164" t="str">
        <f ca="1">IFERROR(__xludf.DUMMYFUNCTION("""COMPUTED_VALUE"""),"Tarlac")</f>
        <v>Tarlac</v>
      </c>
      <c r="C1553" s="164" t="str">
        <f ca="1">IFERROR(__xludf.DUMMYFUNCTION("""COMPUTED_VALUE"""),"Laptop – (ACER EXTENSA EX215-55G i7)")</f>
        <v>Laptop – (ACER EXTENSA EX215-55G i7)</v>
      </c>
      <c r="D1553" s="164" t="str">
        <f ca="1">IFERROR(__xludf.DUMMYFUNCTION("""COMPUTED_VALUE"""),"₱ 59,500.00")</f>
        <v>₱ 59,500.00</v>
      </c>
      <c r="E1553" s="164" t="str">
        <f ca="1">IFERROR(__xludf.DUMMYFUNCTION("""COMPUTED_VALUE"""),"₱-")</f>
        <v>₱-</v>
      </c>
      <c r="F1553" s="164" t="str">
        <f ca="1">IFERROR(__xludf.DUMMYFUNCTION("""COMPUTED_VALUE"""),"2023-05-03-10201SP153-01")</f>
        <v>2023-05-03-10201SP153-01</v>
      </c>
      <c r="G1553" s="164"/>
      <c r="H1553" s="164" t="str">
        <f ca="1">IFERROR(__xludf.DUMMYFUNCTION("""COMPUTED_VALUE"""),"MARPO")</f>
        <v>MARPO</v>
      </c>
      <c r="I1553" s="164" t="str">
        <f ca="1">IFERROR(__xludf.DUMMYFUNCTION("""COMPUTED_VALUE"""),"OIC-MARPO")</f>
        <v>OIC-MARPO</v>
      </c>
      <c r="J1553" s="164" t="str">
        <f ca="1">IFERROR(__xludf.DUMMYFUNCTION("""COMPUTED_VALUE"""),"2023-0002")</f>
        <v>2023-0002</v>
      </c>
      <c r="K1553" s="164" t="str">
        <f ca="1">IFERROR(__xludf.DUMMYFUNCTION("""COMPUTED_VALUE"""),"FRANCES ANN CANLAPAN")</f>
        <v>FRANCES ANN CANLAPAN</v>
      </c>
      <c r="L1553" s="164" t="str">
        <f ca="1">IFERROR(__xludf.DUMMYFUNCTION("""COMPUTED_VALUE"""),"DARPO- TARLAC CLUSTER 1B")</f>
        <v>DARPO- TARLAC CLUSTER 1B</v>
      </c>
      <c r="M1553" s="164" t="str">
        <f ca="1">IFERROR(__xludf.DUMMYFUNCTION("""COMPUTED_VALUE"""),"SERVICEABLE")</f>
        <v>SERVICEABLE</v>
      </c>
      <c r="N1553" s="164"/>
    </row>
    <row r="1554" spans="1:14" ht="13.2" hidden="1">
      <c r="A1554" s="164" t="str">
        <f ca="1">IFERROR(__xludf.DUMMYFUNCTION("""COMPUTED_VALUE"""),"Region III")</f>
        <v>Region III</v>
      </c>
      <c r="B1554" s="164" t="str">
        <f ca="1">IFERROR(__xludf.DUMMYFUNCTION("""COMPUTED_VALUE"""),"Tarlac")</f>
        <v>Tarlac</v>
      </c>
      <c r="C1554" s="164" t="str">
        <f ca="1">IFERROR(__xludf.DUMMYFUNCTION("""COMPUTED_VALUE"""),"Laptop – (ACER EXTENSA EX215-55G i7)")</f>
        <v>Laptop – (ACER EXTENSA EX215-55G i7)</v>
      </c>
      <c r="D1554" s="164" t="str">
        <f ca="1">IFERROR(__xludf.DUMMYFUNCTION("""COMPUTED_VALUE"""),"₱ 59,500.00")</f>
        <v>₱ 59,500.00</v>
      </c>
      <c r="E1554" s="164" t="str">
        <f ca="1">IFERROR(__xludf.DUMMYFUNCTION("""COMPUTED_VALUE"""),"₱-")</f>
        <v>₱-</v>
      </c>
      <c r="F1554" s="164" t="str">
        <f ca="1">IFERROR(__xludf.DUMMYFUNCTION("""COMPUTED_VALUE"""),"2023-05-03-10201SP26-01")</f>
        <v>2023-05-03-10201SP26-01</v>
      </c>
      <c r="G1554" s="164"/>
      <c r="H1554" s="164" t="str">
        <f ca="1">IFERROR(__xludf.DUMMYFUNCTION("""COMPUTED_VALUE"""),"ARPO II/OIC-SARPO/PIO")</f>
        <v>ARPO II/OIC-SARPO/PIO</v>
      </c>
      <c r="I1554" s="164" t="str">
        <f ca="1">IFERROR(__xludf.DUMMYFUNCTION("""COMPUTED_VALUE"""),"ARPO II/OIC-SARPO/PIO")</f>
        <v>ARPO II/OIC-SARPO/PIO</v>
      </c>
      <c r="J1554" s="164" t="str">
        <f ca="1">IFERROR(__xludf.DUMMYFUNCTION("""COMPUTED_VALUE"""),"2023-0003")</f>
        <v>2023-0003</v>
      </c>
      <c r="K1554" s="164" t="str">
        <f ca="1">IFERROR(__xludf.DUMMYFUNCTION("""COMPUTED_VALUE"""),"GERALD FONTANOZA")</f>
        <v>GERALD FONTANOZA</v>
      </c>
      <c r="L1554" s="164" t="str">
        <f ca="1">IFERROR(__xludf.DUMMYFUNCTION("""COMPUTED_VALUE"""),"PBDD")</f>
        <v>PBDD</v>
      </c>
      <c r="M1554" s="164" t="str">
        <f ca="1">IFERROR(__xludf.DUMMYFUNCTION("""COMPUTED_VALUE"""),"SERVICEABLE")</f>
        <v>SERVICEABLE</v>
      </c>
      <c r="N1554" s="164"/>
    </row>
    <row r="1555" spans="1:14" ht="13.2" hidden="1">
      <c r="A1555" s="164" t="str">
        <f ca="1">IFERROR(__xludf.DUMMYFUNCTION("""COMPUTED_VALUE"""),"Region III")</f>
        <v>Region III</v>
      </c>
      <c r="B1555" s="164" t="str">
        <f ca="1">IFERROR(__xludf.DUMMYFUNCTION("""COMPUTED_VALUE"""),"Tarlac")</f>
        <v>Tarlac</v>
      </c>
      <c r="C1555" s="164" t="str">
        <f ca="1">IFERROR(__xludf.DUMMYFUNCTION("""COMPUTED_VALUE"""),"Photocopier Machine – Kyocera")</f>
        <v>Photocopier Machine – Kyocera</v>
      </c>
      <c r="D1555" s="164" t="str">
        <f ca="1">IFERROR(__xludf.DUMMYFUNCTION("""COMPUTED_VALUE"""),"₱ 84,500.00")</f>
        <v>₱ 84,500.00</v>
      </c>
      <c r="E1555" s="164" t="str">
        <f ca="1">IFERROR(__xludf.DUMMYFUNCTION("""COMPUTED_VALUE"""),"₱-")</f>
        <v>₱-</v>
      </c>
      <c r="F1555" s="164" t="str">
        <f ca="1">IFERROR(__xludf.DUMMYFUNCTION("""COMPUTED_VALUE"""),"2022-05-02-10202SP-26-01")</f>
        <v>2022-05-02-10202SP-26-01</v>
      </c>
      <c r="G1555" s="164"/>
      <c r="H1555" s="164" t="str">
        <f ca="1">IFERROR(__xludf.DUMMYFUNCTION("""COMPUTED_VALUE"""),"ELLEN S. PALARA")</f>
        <v>ELLEN S. PALARA</v>
      </c>
      <c r="I1555" s="164" t="str">
        <f ca="1">IFERROR(__xludf.DUMMYFUNCTION("""COMPUTED_VALUE"""),"ARPO I")</f>
        <v>ARPO I</v>
      </c>
      <c r="J1555" s="164" t="str">
        <f ca="1">IFERROR(__xludf.DUMMYFUNCTION("""COMPUTED_VALUE"""),"2022-10-12S")</f>
        <v>2022-10-12S</v>
      </c>
      <c r="K1555" s="164" t="str">
        <f ca="1">IFERROR(__xludf.DUMMYFUNCTION("""COMPUTED_VALUE"""),"ELLEN S. PALARA")</f>
        <v>ELLEN S. PALARA</v>
      </c>
      <c r="L1555" s="164" t="str">
        <f ca="1">IFERROR(__xludf.DUMMYFUNCTION("""COMPUTED_VALUE"""),"DARPO TARLAC")</f>
        <v>DARPO TARLAC</v>
      </c>
      <c r="M1555" s="164" t="str">
        <f ca="1">IFERROR(__xludf.DUMMYFUNCTION("""COMPUTED_VALUE"""),"SERVICEABLE")</f>
        <v>SERVICEABLE</v>
      </c>
      <c r="N1555" s="164"/>
    </row>
    <row r="1556" spans="1:14" ht="13.2" hidden="1">
      <c r="A1556" s="164" t="str">
        <f ca="1">IFERROR(__xludf.DUMMYFUNCTION("""COMPUTED_VALUE"""),"Region III")</f>
        <v>Region III</v>
      </c>
      <c r="B1556" s="164" t="str">
        <f ca="1">IFERROR(__xludf.DUMMYFUNCTION("""COMPUTED_VALUE"""),"Tarlac")</f>
        <v>Tarlac</v>
      </c>
      <c r="C1556" s="164" t="str">
        <f ca="1">IFERROR(__xludf.DUMMYFUNCTION("""COMPUTED_VALUE"""),"A3 PRINTER (BROTHER)")</f>
        <v>A3 PRINTER (BROTHER)</v>
      </c>
      <c r="D1556" s="164" t="str">
        <f ca="1">IFERROR(__xludf.DUMMYFUNCTION("""COMPUTED_VALUE"""),"₱ 33,508.00")</f>
        <v>₱ 33,508.00</v>
      </c>
      <c r="E1556" s="164" t="str">
        <f ca="1">IFERROR(__xludf.DUMMYFUNCTION("""COMPUTED_VALUE"""),"₱-")</f>
        <v>₱-</v>
      </c>
      <c r="F1556" s="164" t="str">
        <f ca="1">IFERROR(__xludf.DUMMYFUNCTION("""COMPUTED_VALUE"""),"HV-SPLIT-102-24-05-29")</f>
        <v>HV-SPLIT-102-24-05-29</v>
      </c>
      <c r="G1556" s="164" t="str">
        <f ca="1">IFERROR(__xludf.DUMMYFUNCTION("""COMPUTED_VALUE"""),"E78947L3H871225")</f>
        <v>E78947L3H871225</v>
      </c>
      <c r="H1556" s="164" t="str">
        <f ca="1">IFERROR(__xludf.DUMMYFUNCTION("""COMPUTED_VALUE"""),"MIGUEL S. ACOSTA")</f>
        <v>MIGUEL S. ACOSTA</v>
      </c>
      <c r="I1556" s="164" t="str">
        <f ca="1">IFERROR(__xludf.DUMMYFUNCTION("""COMPUTED_VALUE"""),"PCAO/Admin and Finance Officer")</f>
        <v>PCAO/Admin and Finance Officer</v>
      </c>
      <c r="J1556" s="164" t="str">
        <f ca="1">IFERROR(__xludf.DUMMYFUNCTION("""COMPUTED_VALUE"""),"2024-03-004")</f>
        <v>2024-03-004</v>
      </c>
      <c r="K1556" s="164" t="str">
        <f ca="1">IFERROR(__xludf.DUMMYFUNCTION("""COMPUTED_VALUE"""),"DARPO SPLIT Personnel")</f>
        <v>DARPO SPLIT Personnel</v>
      </c>
      <c r="L1556" s="164" t="str">
        <f ca="1">IFERROR(__xludf.DUMMYFUNCTION("""COMPUTED_VALUE"""),"STOD")</f>
        <v>STOD</v>
      </c>
      <c r="M1556" s="164" t="str">
        <f ca="1">IFERROR(__xludf.DUMMYFUNCTION("""COMPUTED_VALUE"""),"SERVICEABLE")</f>
        <v>SERVICEABLE</v>
      </c>
      <c r="N1556" s="164"/>
    </row>
    <row r="1557" spans="1:14" ht="13.2">
      <c r="A1557" s="164" t="str">
        <f ca="1">IFERROR(__xludf.DUMMYFUNCTION("""COMPUTED_VALUE"""),"Region III")</f>
        <v>Region III</v>
      </c>
      <c r="B1557" s="164" t="str">
        <f ca="1">IFERROR(__xludf.DUMMYFUNCTION("""COMPUTED_VALUE"""),"Nueva Ecija")</f>
        <v>Nueva Ecija</v>
      </c>
      <c r="C1557" s="164" t="str">
        <f ca="1">IFERROR(__xludf.DUMMYFUNCTION("""COMPUTED_VALUE"""),"PLOTTER (3IN1)")</f>
        <v>PLOTTER (3IN1)</v>
      </c>
      <c r="D1557" s="164" t="str">
        <f ca="1">IFERROR(__xludf.DUMMYFUNCTION("""COMPUTED_VALUE"""),"₱ 648,000.00")</f>
        <v>₱ 648,000.00</v>
      </c>
      <c r="E1557" s="164" t="str">
        <f ca="1">IFERROR(__xludf.DUMMYFUNCTION("""COMPUTED_VALUE"""),"₱-")</f>
        <v>₱-</v>
      </c>
      <c r="F1557" s="164" t="str">
        <f ca="1">IFERROR(__xludf.DUMMYFUNCTION("""COMPUTED_VALUE"""),"2024-05--14-10201SP07-01")</f>
        <v>2024-05--14-10201SP07-01</v>
      </c>
      <c r="G1557" s="164" t="str">
        <f ca="1">IFERROR(__xludf.DUMMYFUNCTION("""COMPUTED_VALUE"""),"BBAK00040")</f>
        <v>BBAK00040</v>
      </c>
      <c r="H1557" s="164" t="str">
        <f ca="1">IFERROR(__xludf.DUMMYFUNCTION("""COMPUTED_VALUE"""),"ENGR ALVIN LICUANAN")</f>
        <v>ENGR ALVIN LICUANAN</v>
      </c>
      <c r="I1557" s="164" t="str">
        <f ca="1">IFERROR(__xludf.DUMMYFUNCTION("""COMPUTED_VALUE"""),"DENR/LRA SURVEY COORDINATOR")</f>
        <v>DENR/LRA SURVEY COORDINATOR</v>
      </c>
      <c r="J1557" s="164" t="str">
        <f ca="1">IFERROR(__xludf.DUMMYFUNCTION("""COMPUTED_VALUE"""),"2024-05-001")</f>
        <v>2024-05-001</v>
      </c>
      <c r="K1557" s="164" t="str">
        <f ca="1">IFERROR(__xludf.DUMMYFUNCTION("""COMPUTED_VALUE"""),"ENGR ALVIN LICUANAN")</f>
        <v>ENGR ALVIN LICUANAN</v>
      </c>
      <c r="L1557" s="164" t="str">
        <f ca="1">IFERROR(__xludf.DUMMYFUNCTION("""COMPUTED_VALUE"""),"LTID")</f>
        <v>LTID</v>
      </c>
      <c r="M1557" s="164" t="str">
        <f ca="1">IFERROR(__xludf.DUMMYFUNCTION("""COMPUTED_VALUE"""),"SERVICEABLE")</f>
        <v>SERVICEABLE</v>
      </c>
      <c r="N1557" s="164"/>
    </row>
    <row r="1558" spans="1:14" ht="13.2">
      <c r="A1558" s="164" t="str">
        <f ca="1">IFERROR(__xludf.DUMMYFUNCTION("""COMPUTED_VALUE"""),"Region III")</f>
        <v>Region III</v>
      </c>
      <c r="B1558" s="164" t="str">
        <f ca="1">IFERROR(__xludf.DUMMYFUNCTION("""COMPUTED_VALUE"""),"Nueva Ecija")</f>
        <v>Nueva Ecija</v>
      </c>
      <c r="C1558" s="164" t="str">
        <f ca="1">IFERROR(__xludf.DUMMYFUNCTION("""COMPUTED_VALUE"""),"Desktop Computer – (MSI PRO DP180)")</f>
        <v>Desktop Computer – (MSI PRO DP180)</v>
      </c>
      <c r="D1558" s="164" t="str">
        <f ca="1">IFERROR(__xludf.DUMMYFUNCTION("""COMPUTED_VALUE"""),"₱ 49,300.00")</f>
        <v>₱ 49,300.00</v>
      </c>
      <c r="E1558" s="164" t="str">
        <f ca="1">IFERROR(__xludf.DUMMYFUNCTION("""COMPUTED_VALUE"""),"₱-")</f>
        <v>₱-</v>
      </c>
      <c r="F1558" s="164" t="str">
        <f ca="1">IFERROR(__xludf.DUMMYFUNCTION("""COMPUTED_VALUE"""),"HV-SPLIT-102-24-05-01-044")</f>
        <v>HV-SPLIT-102-24-05-01-044</v>
      </c>
      <c r="G1558" s="164" t="str">
        <f ca="1">IFERROR(__xludf.DUMMYFUNCTION("""COMPUTED_VALUE"""),"MSB0A704S0103758")</f>
        <v>MSB0A704S0103758</v>
      </c>
      <c r="H1558" s="164" t="str">
        <f ca="1">IFERROR(__xludf.DUMMYFUNCTION("""COMPUTED_VALUE"""),"ENGR. RYAN S. BULANHAGUI")</f>
        <v>ENGR. RYAN S. BULANHAGUI</v>
      </c>
      <c r="I1558" s="164" t="str">
        <f ca="1">IFERROR(__xludf.DUMMYFUNCTION("""COMPUTED_VALUE"""),"ESS COORDINATOR")</f>
        <v>ESS COORDINATOR</v>
      </c>
      <c r="J1558" s="164" t="str">
        <f ca="1">IFERROR(__xludf.DUMMYFUNCTION("""COMPUTED_VALUE"""),"2409101")</f>
        <v>2409101</v>
      </c>
      <c r="K1558" s="164" t="str">
        <f ca="1">IFERROR(__xludf.DUMMYFUNCTION("""COMPUTED_VALUE"""),"ENGR. RYAN S. BULANHAGUI")</f>
        <v>ENGR. RYAN S. BULANHAGUI</v>
      </c>
      <c r="L1558" s="164"/>
      <c r="M1558" s="164" t="str">
        <f ca="1">IFERROR(__xludf.DUMMYFUNCTION("""COMPUTED_VALUE"""),"SERVICEABLE")</f>
        <v>SERVICEABLE</v>
      </c>
      <c r="N1558" s="164"/>
    </row>
    <row r="1559" spans="1:14" ht="13.2">
      <c r="A1559" s="164" t="str">
        <f ca="1">IFERROR(__xludf.DUMMYFUNCTION("""COMPUTED_VALUE"""),"Region III")</f>
        <v>Region III</v>
      </c>
      <c r="B1559" s="164" t="str">
        <f ca="1">IFERROR(__xludf.DUMMYFUNCTION("""COMPUTED_VALUE"""),"Nueva Ecija")</f>
        <v>Nueva Ecija</v>
      </c>
      <c r="C1559" s="164" t="str">
        <f ca="1">IFERROR(__xludf.DUMMYFUNCTION("""COMPUTED_VALUE"""),"Desktop Computer – (MSI PRO DP180)")</f>
        <v>Desktop Computer – (MSI PRO DP180)</v>
      </c>
      <c r="D1559" s="164" t="str">
        <f ca="1">IFERROR(__xludf.DUMMYFUNCTION("""COMPUTED_VALUE"""),"₱ 49,300.00")</f>
        <v>₱ 49,300.00</v>
      </c>
      <c r="E1559" s="164" t="str">
        <f ca="1">IFERROR(__xludf.DUMMYFUNCTION("""COMPUTED_VALUE"""),"₱-")</f>
        <v>₱-</v>
      </c>
      <c r="F1559" s="164" t="str">
        <f ca="1">IFERROR(__xludf.DUMMYFUNCTION("""COMPUTED_VALUE"""),"HV-SPLIT-102-24-05-01-045")</f>
        <v>HV-SPLIT-102-24-05-01-045</v>
      </c>
      <c r="G1559" s="164" t="str">
        <f ca="1">IFERROR(__xludf.DUMMYFUNCTION("""COMPUTED_VALUE"""),"MSB0A704S0103802")</f>
        <v>MSB0A704S0103802</v>
      </c>
      <c r="H1559" s="164" t="str">
        <f ca="1">IFERROR(__xludf.DUMMYFUNCTION("""COMPUTED_VALUE"""),"AL RYAN T. RAYO")</f>
        <v>AL RYAN T. RAYO</v>
      </c>
      <c r="I1559" s="164" t="str">
        <f ca="1">IFERROR(__xludf.DUMMYFUNCTION("""COMPUTED_VALUE"""),"PLANNING OFFICER II")</f>
        <v>PLANNING OFFICER II</v>
      </c>
      <c r="J1559" s="164" t="str">
        <f ca="1">IFERROR(__xludf.DUMMYFUNCTION("""COMPUTED_VALUE"""),"2409101")</f>
        <v>2409101</v>
      </c>
      <c r="K1559" s="164" t="str">
        <f ca="1">IFERROR(__xludf.DUMMYFUNCTION("""COMPUTED_VALUE"""),"AL RYAN T. RAYO")</f>
        <v>AL RYAN T. RAYO</v>
      </c>
      <c r="L1559" s="164"/>
      <c r="M1559" s="164" t="str">
        <f ca="1">IFERROR(__xludf.DUMMYFUNCTION("""COMPUTED_VALUE"""),"SERVICEABLE")</f>
        <v>SERVICEABLE</v>
      </c>
      <c r="N1559" s="164"/>
    </row>
    <row r="1560" spans="1:14" ht="13.2">
      <c r="A1560" s="164" t="str">
        <f ca="1">IFERROR(__xludf.DUMMYFUNCTION("""COMPUTED_VALUE"""),"Region III")</f>
        <v>Region III</v>
      </c>
      <c r="B1560" s="164" t="str">
        <f ca="1">IFERROR(__xludf.DUMMYFUNCTION("""COMPUTED_VALUE"""),"Nueva Ecija")</f>
        <v>Nueva Ecija</v>
      </c>
      <c r="C1560" s="164" t="str">
        <f ca="1">IFERROR(__xludf.DUMMYFUNCTION("""COMPUTED_VALUE"""),"Desktop Computer – (MSI PRO DP180)")</f>
        <v>Desktop Computer – (MSI PRO DP180)</v>
      </c>
      <c r="D1560" s="164" t="str">
        <f ca="1">IFERROR(__xludf.DUMMYFUNCTION("""COMPUTED_VALUE"""),"₱ 49,300.00")</f>
        <v>₱ 49,300.00</v>
      </c>
      <c r="E1560" s="164" t="str">
        <f ca="1">IFERROR(__xludf.DUMMYFUNCTION("""COMPUTED_VALUE"""),"₱-")</f>
        <v>₱-</v>
      </c>
      <c r="F1560" s="164" t="str">
        <f ca="1">IFERROR(__xludf.DUMMYFUNCTION("""COMPUTED_VALUE"""),"HV-SPLIT-102-24-05-01-046")</f>
        <v>HV-SPLIT-102-24-05-01-046</v>
      </c>
      <c r="G1560" s="164" t="str">
        <f ca="1">IFERROR(__xludf.DUMMYFUNCTION("""COMPUTED_VALUE"""),"MSB0A704S0103819")</f>
        <v>MSB0A704S0103819</v>
      </c>
      <c r="H1560" s="164" t="str">
        <f ca="1">IFERROR(__xludf.DUMMYFUNCTION("""COMPUTED_VALUE"""),"CHRISTIAN P. VILLANUEVA")</f>
        <v>CHRISTIAN P. VILLANUEVA</v>
      </c>
      <c r="I1560" s="164" t="str">
        <f ca="1">IFERROR(__xludf.DUMMYFUNCTION("""COMPUTED_VALUE"""),"CAO - GSD")</f>
        <v>CAO - GSD</v>
      </c>
      <c r="J1560" s="164" t="str">
        <f ca="1">IFERROR(__xludf.DUMMYFUNCTION("""COMPUTED_VALUE"""),"2409101")</f>
        <v>2409101</v>
      </c>
      <c r="K1560" s="164" t="str">
        <f ca="1">IFERROR(__xludf.DUMMYFUNCTION("""COMPUTED_VALUE"""),"CHRISTIAN P. VILLANUEVA")</f>
        <v>CHRISTIAN P. VILLANUEVA</v>
      </c>
      <c r="L1560" s="164"/>
      <c r="M1560" s="164" t="str">
        <f ca="1">IFERROR(__xludf.DUMMYFUNCTION("""COMPUTED_VALUE"""),"SERVICEABLE")</f>
        <v>SERVICEABLE</v>
      </c>
      <c r="N1560" s="164"/>
    </row>
    <row r="1561" spans="1:14" ht="13.2">
      <c r="A1561" s="164" t="str">
        <f ca="1">IFERROR(__xludf.DUMMYFUNCTION("""COMPUTED_VALUE"""),"Region III")</f>
        <v>Region III</v>
      </c>
      <c r="B1561" s="164" t="str">
        <f ca="1">IFERROR(__xludf.DUMMYFUNCTION("""COMPUTED_VALUE"""),"Nueva Ecija")</f>
        <v>Nueva Ecija</v>
      </c>
      <c r="C1561" s="164" t="str">
        <f ca="1">IFERROR(__xludf.DUMMYFUNCTION("""COMPUTED_VALUE"""),"Desktop Computer – (MSI PRO DP180)")</f>
        <v>Desktop Computer – (MSI PRO DP180)</v>
      </c>
      <c r="D1561" s="164" t="str">
        <f ca="1">IFERROR(__xludf.DUMMYFUNCTION("""COMPUTED_VALUE"""),"₱ 49,300.00")</f>
        <v>₱ 49,300.00</v>
      </c>
      <c r="E1561" s="164" t="str">
        <f ca="1">IFERROR(__xludf.DUMMYFUNCTION("""COMPUTED_VALUE"""),"₱-")</f>
        <v>₱-</v>
      </c>
      <c r="F1561" s="164" t="str">
        <f ca="1">IFERROR(__xludf.DUMMYFUNCTION("""COMPUTED_VALUE"""),"HV-SPLIT-102-24-05-01-047")</f>
        <v>HV-SPLIT-102-24-05-01-047</v>
      </c>
      <c r="G1561" s="164" t="str">
        <f ca="1">IFERROR(__xludf.DUMMYFUNCTION("""COMPUTED_VALUE"""),"MSB0A704S0103814")</f>
        <v>MSB0A704S0103814</v>
      </c>
      <c r="H1561" s="164" t="str">
        <f ca="1">IFERROR(__xludf.DUMMYFUNCTION("""COMPUTED_VALUE"""),"MARK CHRISTIAN F. AGUIRRE")</f>
        <v>MARK CHRISTIAN F. AGUIRRE</v>
      </c>
      <c r="I1561" s="164" t="str">
        <f ca="1">IFERROR(__xludf.DUMMYFUNCTION("""COMPUTED_VALUE"""),"CAO - GSD")</f>
        <v>CAO - GSD</v>
      </c>
      <c r="J1561" s="164" t="str">
        <f ca="1">IFERROR(__xludf.DUMMYFUNCTION("""COMPUTED_VALUE"""),"2409101")</f>
        <v>2409101</v>
      </c>
      <c r="K1561" s="164" t="str">
        <f ca="1">IFERROR(__xludf.DUMMYFUNCTION("""COMPUTED_VALUE"""),"MARK CHRISTIAN F. AGUIRRE")</f>
        <v>MARK CHRISTIAN F. AGUIRRE</v>
      </c>
      <c r="L1561" s="164"/>
      <c r="M1561" s="164" t="str">
        <f ca="1">IFERROR(__xludf.DUMMYFUNCTION("""COMPUTED_VALUE"""),"SERVICEABLE")</f>
        <v>SERVICEABLE</v>
      </c>
      <c r="N1561" s="164"/>
    </row>
    <row r="1562" spans="1:14" ht="13.2">
      <c r="A1562" s="164" t="str">
        <f ca="1">IFERROR(__xludf.DUMMYFUNCTION("""COMPUTED_VALUE"""),"Region III")</f>
        <v>Region III</v>
      </c>
      <c r="B1562" s="164" t="str">
        <f ca="1">IFERROR(__xludf.DUMMYFUNCTION("""COMPUTED_VALUE"""),"Nueva Ecija")</f>
        <v>Nueva Ecija</v>
      </c>
      <c r="C1562" s="164" t="str">
        <f ca="1">IFERROR(__xludf.DUMMYFUNCTION("""COMPUTED_VALUE"""),"Desktop Computer – (MSI PRO DP180)")</f>
        <v>Desktop Computer – (MSI PRO DP180)</v>
      </c>
      <c r="D1562" s="164" t="str">
        <f ca="1">IFERROR(__xludf.DUMMYFUNCTION("""COMPUTED_VALUE"""),"₱ 49,300.00")</f>
        <v>₱ 49,300.00</v>
      </c>
      <c r="E1562" s="164" t="str">
        <f ca="1">IFERROR(__xludf.DUMMYFUNCTION("""COMPUTED_VALUE"""),"₱-")</f>
        <v>₱-</v>
      </c>
      <c r="F1562" s="164" t="str">
        <f ca="1">IFERROR(__xludf.DUMMYFUNCTION("""COMPUTED_VALUE"""),"HV-SPLIT-102-24-05-01-264")</f>
        <v>HV-SPLIT-102-24-05-01-264</v>
      </c>
      <c r="G1562" s="164" t="str">
        <f ca="1">IFERROR(__xludf.DUMMYFUNCTION("""COMPUTED_VALUE"""),"MSB0A704S0103757")</f>
        <v>MSB0A704S0103757</v>
      </c>
      <c r="H1562" s="164" t="str">
        <f ca="1">IFERROR(__xludf.DUMMYFUNCTION("""COMPUTED_VALUE"""),"GENOVEVA U. TALPLACIDO")</f>
        <v>GENOVEVA U. TALPLACIDO</v>
      </c>
      <c r="I1562" s="164" t="str">
        <f ca="1">IFERROR(__xludf.DUMMYFUNCTION("""COMPUTED_VALUE"""),"CAO - GSD")</f>
        <v>CAO - GSD</v>
      </c>
      <c r="J1562" s="164" t="str">
        <f ca="1">IFERROR(__xludf.DUMMYFUNCTION("""COMPUTED_VALUE"""),"2409101")</f>
        <v>2409101</v>
      </c>
      <c r="K1562" s="164" t="str">
        <f ca="1">IFERROR(__xludf.DUMMYFUNCTION("""COMPUTED_VALUE"""),"GENOVEVA U. TALPLACIDO")</f>
        <v>GENOVEVA U. TALPLACIDO</v>
      </c>
      <c r="L1562" s="164"/>
      <c r="M1562" s="164" t="str">
        <f ca="1">IFERROR(__xludf.DUMMYFUNCTION("""COMPUTED_VALUE"""),"SERVICEABLE")</f>
        <v>SERVICEABLE</v>
      </c>
      <c r="N1562" s="164"/>
    </row>
    <row r="1563" spans="1:14" ht="13.2">
      <c r="A1563" s="164" t="str">
        <f ca="1">IFERROR(__xludf.DUMMYFUNCTION("""COMPUTED_VALUE"""),"Region III")</f>
        <v>Region III</v>
      </c>
      <c r="B1563" s="164" t="str">
        <f ca="1">IFERROR(__xludf.DUMMYFUNCTION("""COMPUTED_VALUE"""),"Nueva Ecija")</f>
        <v>Nueva Ecija</v>
      </c>
      <c r="C1563" s="164" t="str">
        <f ca="1">IFERROR(__xludf.DUMMYFUNCTION("""COMPUTED_VALUE"""),"Desktop Computer – (MSI PRO DP180)")</f>
        <v>Desktop Computer – (MSI PRO DP180)</v>
      </c>
      <c r="D1563" s="164" t="str">
        <f ca="1">IFERROR(__xludf.DUMMYFUNCTION("""COMPUTED_VALUE"""),"₱ 49,300.00")</f>
        <v>₱ 49,300.00</v>
      </c>
      <c r="E1563" s="164" t="str">
        <f ca="1">IFERROR(__xludf.DUMMYFUNCTION("""COMPUTED_VALUE"""),"₱-")</f>
        <v>₱-</v>
      </c>
      <c r="F1563" s="164" t="str">
        <f ca="1">IFERROR(__xludf.DUMMYFUNCTION("""COMPUTED_VALUE"""),"HV-SPLIT-102-24-05-01-265")</f>
        <v>HV-SPLIT-102-24-05-01-265</v>
      </c>
      <c r="G1563" s="164" t="str">
        <f ca="1">IFERROR(__xludf.DUMMYFUNCTION("""COMPUTED_VALUE"""),"MSB0A704S0103674")</f>
        <v>MSB0A704S0103674</v>
      </c>
      <c r="H1563" s="164" t="str">
        <f ca="1">IFERROR(__xludf.DUMMYFUNCTION("""COMPUTED_VALUE"""),"JAYRALD D. ESPERANZA")</f>
        <v>JAYRALD D. ESPERANZA</v>
      </c>
      <c r="I1563" s="164" t="str">
        <f ca="1">IFERROR(__xludf.DUMMYFUNCTION("""COMPUTED_VALUE"""),"ARPT")</f>
        <v>ARPT</v>
      </c>
      <c r="J1563" s="164" t="str">
        <f ca="1">IFERROR(__xludf.DUMMYFUNCTION("""COMPUTED_VALUE"""),"2409101")</f>
        <v>2409101</v>
      </c>
      <c r="K1563" s="164" t="str">
        <f ca="1">IFERROR(__xludf.DUMMYFUNCTION("""COMPUTED_VALUE"""),"JAYRALD D. ESPERANZA")</f>
        <v>JAYRALD D. ESPERANZA</v>
      </c>
      <c r="L1563" s="164"/>
      <c r="M1563" s="164" t="str">
        <f ca="1">IFERROR(__xludf.DUMMYFUNCTION("""COMPUTED_VALUE"""),"SERVICEABLE")</f>
        <v>SERVICEABLE</v>
      </c>
      <c r="N1563" s="164"/>
    </row>
    <row r="1564" spans="1:14" ht="13.2">
      <c r="A1564" s="164" t="str">
        <f ca="1">IFERROR(__xludf.DUMMYFUNCTION("""COMPUTED_VALUE"""),"Region III")</f>
        <v>Region III</v>
      </c>
      <c r="B1564" s="164" t="str">
        <f ca="1">IFERROR(__xludf.DUMMYFUNCTION("""COMPUTED_VALUE"""),"Nueva Ecija")</f>
        <v>Nueva Ecija</v>
      </c>
      <c r="C1564" s="164" t="str">
        <f ca="1">IFERROR(__xludf.DUMMYFUNCTION("""COMPUTED_VALUE"""),"Desktop Computer – (MSI PRO DP180)")</f>
        <v>Desktop Computer – (MSI PRO DP180)</v>
      </c>
      <c r="D1564" s="164" t="str">
        <f ca="1">IFERROR(__xludf.DUMMYFUNCTION("""COMPUTED_VALUE"""),"₱ 49,300.00")</f>
        <v>₱ 49,300.00</v>
      </c>
      <c r="E1564" s="164" t="str">
        <f ca="1">IFERROR(__xludf.DUMMYFUNCTION("""COMPUTED_VALUE"""),"₱-")</f>
        <v>₱-</v>
      </c>
      <c r="F1564" s="164" t="str">
        <f ca="1">IFERROR(__xludf.DUMMYFUNCTION("""COMPUTED_VALUE"""),"HV-SPLIT-102-24-05-01-266")</f>
        <v>HV-SPLIT-102-24-05-01-266</v>
      </c>
      <c r="G1564" s="164" t="str">
        <f ca="1">IFERROR(__xludf.DUMMYFUNCTION("""COMPUTED_VALUE"""),"MSB0A704S0103884")</f>
        <v>MSB0A704S0103884</v>
      </c>
      <c r="H1564" s="164" t="str">
        <f ca="1">IFERROR(__xludf.DUMMYFUNCTION("""COMPUTED_VALUE"""),"RUEL DC. LAYA")</f>
        <v>RUEL DC. LAYA</v>
      </c>
      <c r="I1564" s="164" t="str">
        <f ca="1">IFERROR(__xludf.DUMMYFUNCTION("""COMPUTED_VALUE"""),"OIC-MARPO-CLUSTER")</f>
        <v>OIC-MARPO-CLUSTER</v>
      </c>
      <c r="J1564" s="164" t="str">
        <f ca="1">IFERROR(__xludf.DUMMYFUNCTION("""COMPUTED_VALUE"""),"2409101")</f>
        <v>2409101</v>
      </c>
      <c r="K1564" s="164" t="str">
        <f ca="1">IFERROR(__xludf.DUMMYFUNCTION("""COMPUTED_VALUE"""),"RUEL DC. LAYA")</f>
        <v>RUEL DC. LAYA</v>
      </c>
      <c r="L1564" s="164"/>
      <c r="M1564" s="164" t="str">
        <f ca="1">IFERROR(__xludf.DUMMYFUNCTION("""COMPUTED_VALUE"""),"SERVICEABLE")</f>
        <v>SERVICEABLE</v>
      </c>
      <c r="N1564" s="164"/>
    </row>
    <row r="1565" spans="1:14" ht="13.2">
      <c r="A1565" s="164" t="str">
        <f ca="1">IFERROR(__xludf.DUMMYFUNCTION("""COMPUTED_VALUE"""),"Region III")</f>
        <v>Region III</v>
      </c>
      <c r="B1565" s="164" t="str">
        <f ca="1">IFERROR(__xludf.DUMMYFUNCTION("""COMPUTED_VALUE"""),"Nueva Ecija")</f>
        <v>Nueva Ecija</v>
      </c>
      <c r="C1565" s="164" t="str">
        <f ca="1">IFERROR(__xludf.DUMMYFUNCTION("""COMPUTED_VALUE"""),"Desktop Computer – (MSI PRO DP180)")</f>
        <v>Desktop Computer – (MSI PRO DP180)</v>
      </c>
      <c r="D1565" s="164" t="str">
        <f ca="1">IFERROR(__xludf.DUMMYFUNCTION("""COMPUTED_VALUE"""),"₱ 49,300.00")</f>
        <v>₱ 49,300.00</v>
      </c>
      <c r="E1565" s="164" t="str">
        <f ca="1">IFERROR(__xludf.DUMMYFUNCTION("""COMPUTED_VALUE"""),"₱-")</f>
        <v>₱-</v>
      </c>
      <c r="F1565" s="164" t="str">
        <f ca="1">IFERROR(__xludf.DUMMYFUNCTION("""COMPUTED_VALUE"""),"HV-SPLIT-102-24-05-01-267")</f>
        <v>HV-SPLIT-102-24-05-01-267</v>
      </c>
      <c r="G1565" s="164" t="str">
        <f ca="1">IFERROR(__xludf.DUMMYFUNCTION("""COMPUTED_VALUE"""),"MSB0A704S0103581")</f>
        <v>MSB0A704S0103581</v>
      </c>
      <c r="H1565" s="164" t="str">
        <f ca="1">IFERROR(__xludf.DUMMYFUNCTION("""COMPUTED_VALUE"""),"CORNELIO S. DOMINGO")</f>
        <v>CORNELIO S. DOMINGO</v>
      </c>
      <c r="I1565" s="164" t="str">
        <f ca="1">IFERROR(__xludf.DUMMYFUNCTION("""COMPUTED_VALUE"""),"MARPO-CLUSTER III")</f>
        <v>MARPO-CLUSTER III</v>
      </c>
      <c r="J1565" s="164" t="str">
        <f ca="1">IFERROR(__xludf.DUMMYFUNCTION("""COMPUTED_VALUE"""),"2409101")</f>
        <v>2409101</v>
      </c>
      <c r="K1565" s="164" t="str">
        <f ca="1">IFERROR(__xludf.DUMMYFUNCTION("""COMPUTED_VALUE"""),"CORNELIO S. DOMINGO")</f>
        <v>CORNELIO S. DOMINGO</v>
      </c>
      <c r="L1565" s="164"/>
      <c r="M1565" s="164" t="str">
        <f ca="1">IFERROR(__xludf.DUMMYFUNCTION("""COMPUTED_VALUE"""),"SERVICEABLE")</f>
        <v>SERVICEABLE</v>
      </c>
      <c r="N1565" s="164"/>
    </row>
    <row r="1566" spans="1:14" ht="13.2">
      <c r="A1566" s="164" t="str">
        <f ca="1">IFERROR(__xludf.DUMMYFUNCTION("""COMPUTED_VALUE"""),"Region III")</f>
        <v>Region III</v>
      </c>
      <c r="B1566" s="164" t="str">
        <f ca="1">IFERROR(__xludf.DUMMYFUNCTION("""COMPUTED_VALUE"""),"Nueva Ecija")</f>
        <v>Nueva Ecija</v>
      </c>
      <c r="C1566" s="164" t="str">
        <f ca="1">IFERROR(__xludf.DUMMYFUNCTION("""COMPUTED_VALUE"""),"Desktop Computer – (MSI PRO DP180)")</f>
        <v>Desktop Computer – (MSI PRO DP180)</v>
      </c>
      <c r="D1566" s="164" t="str">
        <f ca="1">IFERROR(__xludf.DUMMYFUNCTION("""COMPUTED_VALUE"""),"₱ 49,300.00")</f>
        <v>₱ 49,300.00</v>
      </c>
      <c r="E1566" s="164" t="str">
        <f ca="1">IFERROR(__xludf.DUMMYFUNCTION("""COMPUTED_VALUE"""),"₱-")</f>
        <v>₱-</v>
      </c>
      <c r="F1566" s="164" t="str">
        <f ca="1">IFERROR(__xludf.DUMMYFUNCTION("""COMPUTED_VALUE"""),"HV-SPLIT-102-24-05-01-268")</f>
        <v>HV-SPLIT-102-24-05-01-268</v>
      </c>
      <c r="G1566" s="164" t="str">
        <f ca="1">IFERROR(__xludf.DUMMYFUNCTION("""COMPUTED_VALUE"""),"MSB0A704S0103842")</f>
        <v>MSB0A704S0103842</v>
      </c>
      <c r="H1566" s="164" t="str">
        <f ca="1">IFERROR(__xludf.DUMMYFUNCTION("""COMPUTED_VALUE"""),"RUEL DC. LAYA")</f>
        <v>RUEL DC. LAYA</v>
      </c>
      <c r="I1566" s="164" t="str">
        <f ca="1">IFERROR(__xludf.DUMMYFUNCTION("""COMPUTED_VALUE"""),"OIC-MARPO-CLUSTER")</f>
        <v>OIC-MARPO-CLUSTER</v>
      </c>
      <c r="J1566" s="164" t="str">
        <f ca="1">IFERROR(__xludf.DUMMYFUNCTION("""COMPUTED_VALUE"""),"2409101")</f>
        <v>2409101</v>
      </c>
      <c r="K1566" s="164" t="str">
        <f ca="1">IFERROR(__xludf.DUMMYFUNCTION("""COMPUTED_VALUE"""),"RUEL DC. LAYA")</f>
        <v>RUEL DC. LAYA</v>
      </c>
      <c r="L1566" s="164"/>
      <c r="M1566" s="164" t="str">
        <f ca="1">IFERROR(__xludf.DUMMYFUNCTION("""COMPUTED_VALUE"""),"SERVICEABLE")</f>
        <v>SERVICEABLE</v>
      </c>
      <c r="N1566" s="164"/>
    </row>
    <row r="1567" spans="1:14" ht="13.2">
      <c r="A1567" s="164" t="str">
        <f ca="1">IFERROR(__xludf.DUMMYFUNCTION("""COMPUTED_VALUE"""),"Region III")</f>
        <v>Region III</v>
      </c>
      <c r="B1567" s="164" t="str">
        <f ca="1">IFERROR(__xludf.DUMMYFUNCTION("""COMPUTED_VALUE"""),"Nueva Ecija")</f>
        <v>Nueva Ecija</v>
      </c>
      <c r="C1567" s="164" t="str">
        <f ca="1">IFERROR(__xludf.DUMMYFUNCTION("""COMPUTED_VALUE"""),"Desktop Computer – (MSI PRO DP180)")</f>
        <v>Desktop Computer – (MSI PRO DP180)</v>
      </c>
      <c r="D1567" s="164" t="str">
        <f ca="1">IFERROR(__xludf.DUMMYFUNCTION("""COMPUTED_VALUE"""),"₱ 49,300.00")</f>
        <v>₱ 49,300.00</v>
      </c>
      <c r="E1567" s="164" t="str">
        <f ca="1">IFERROR(__xludf.DUMMYFUNCTION("""COMPUTED_VALUE"""),"₱-")</f>
        <v>₱-</v>
      </c>
      <c r="F1567" s="164" t="str">
        <f ca="1">IFERROR(__xludf.DUMMYFUNCTION("""COMPUTED_VALUE"""),"HV-SPLIT-102-24-05-01-269")</f>
        <v>HV-SPLIT-102-24-05-01-269</v>
      </c>
      <c r="G1567" s="164" t="str">
        <f ca="1">IFERROR(__xludf.DUMMYFUNCTION("""COMPUTED_VALUE"""),"MSB0A704S0103953")</f>
        <v>MSB0A704S0103953</v>
      </c>
      <c r="H1567" s="164" t="str">
        <f ca="1">IFERROR(__xludf.DUMMYFUNCTION("""COMPUTED_VALUE"""),"EVELYN M. ANTONIO")</f>
        <v>EVELYN M. ANTONIO</v>
      </c>
      <c r="I1567" s="164" t="str">
        <f ca="1">IFERROR(__xludf.DUMMYFUNCTION("""COMPUTED_VALUE"""),"OIC-MARPO-CLUSTER V")</f>
        <v>OIC-MARPO-CLUSTER V</v>
      </c>
      <c r="J1567" s="164" t="str">
        <f ca="1">IFERROR(__xludf.DUMMYFUNCTION("""COMPUTED_VALUE"""),"2409101")</f>
        <v>2409101</v>
      </c>
      <c r="K1567" s="164" t="str">
        <f ca="1">IFERROR(__xludf.DUMMYFUNCTION("""COMPUTED_VALUE"""),"RUEL DC. LAYA")</f>
        <v>RUEL DC. LAYA</v>
      </c>
      <c r="L1567" s="164"/>
      <c r="M1567" s="164" t="str">
        <f ca="1">IFERROR(__xludf.DUMMYFUNCTION("""COMPUTED_VALUE"""),"SERVICEABLE")</f>
        <v>SERVICEABLE</v>
      </c>
      <c r="N1567" s="164"/>
    </row>
    <row r="1568" spans="1:14" ht="13.2" hidden="1">
      <c r="A1568" s="164" t="str">
        <f ca="1">IFERROR(__xludf.DUMMYFUNCTION("""COMPUTED_VALUE"""),"Region III")</f>
        <v>Region III</v>
      </c>
      <c r="B1568" s="164" t="str">
        <f ca="1">IFERROR(__xludf.DUMMYFUNCTION("""COMPUTED_VALUE"""),"Tarlac")</f>
        <v>Tarlac</v>
      </c>
      <c r="C1568" s="164" t="str">
        <f ca="1">IFERROR(__xludf.DUMMYFUNCTION("""COMPUTED_VALUE"""),"Desktop Computer – (MSI PRO DP180)")</f>
        <v>Desktop Computer – (MSI PRO DP180)</v>
      </c>
      <c r="D1568" s="164" t="str">
        <f ca="1">IFERROR(__xludf.DUMMYFUNCTION("""COMPUTED_VALUE"""),"₱ 49,300.00")</f>
        <v>₱ 49,300.00</v>
      </c>
      <c r="E1568" s="164" t="str">
        <f ca="1">IFERROR(__xludf.DUMMYFUNCTION("""COMPUTED_VALUE"""),"₱-")</f>
        <v>₱-</v>
      </c>
      <c r="F1568" s="164" t="str">
        <f ca="1">IFERROR(__xludf.DUMMYFUNCTION("""COMPUTED_VALUE"""),"HVSPLIT-102-24-05-01-272")</f>
        <v>HVSPLIT-102-24-05-01-272</v>
      </c>
      <c r="G1568" s="164"/>
      <c r="H1568" s="164" t="str">
        <f ca="1">IFERROR(__xludf.DUMMYFUNCTION("""COMPUTED_VALUE"""),"LADIE LEE S. DELA CRUZ")</f>
        <v>LADIE LEE S. DELA CRUZ</v>
      </c>
      <c r="I1568" s="164" t="str">
        <f ca="1">IFERROR(__xludf.DUMMYFUNCTION("""COMPUTED_VALUE"""),"ARPO I")</f>
        <v>ARPO I</v>
      </c>
      <c r="J1568" s="164"/>
      <c r="K1568" s="164" t="str">
        <f ca="1">IFERROR(__xludf.DUMMYFUNCTION("""COMPUTED_VALUE"""),"LADIE LEE S. DELA CRUZ")</f>
        <v>LADIE LEE S. DELA CRUZ</v>
      </c>
      <c r="L1568" s="164" t="str">
        <f ca="1">IFERROR(__xludf.DUMMYFUNCTION("""COMPUTED_VALUE"""),"STOD")</f>
        <v>STOD</v>
      </c>
      <c r="M1568" s="164" t="str">
        <f ca="1">IFERROR(__xludf.DUMMYFUNCTION("""COMPUTED_VALUE"""),"SERVICEABLE")</f>
        <v>SERVICEABLE</v>
      </c>
      <c r="N1568" s="164"/>
    </row>
    <row r="1569" spans="1:14" ht="13.2" hidden="1">
      <c r="A1569" s="164" t="str">
        <f ca="1">IFERROR(__xludf.DUMMYFUNCTION("""COMPUTED_VALUE"""),"Region III")</f>
        <v>Region III</v>
      </c>
      <c r="B1569" s="164" t="str">
        <f ca="1">IFERROR(__xludf.DUMMYFUNCTION("""COMPUTED_VALUE"""),"Tarlac")</f>
        <v>Tarlac</v>
      </c>
      <c r="C1569" s="164" t="str">
        <f ca="1">IFERROR(__xludf.DUMMYFUNCTION("""COMPUTED_VALUE"""),"Desktop Computer – (MSI PRO DP180)")</f>
        <v>Desktop Computer – (MSI PRO DP180)</v>
      </c>
      <c r="D1569" s="164" t="str">
        <f ca="1">IFERROR(__xludf.DUMMYFUNCTION("""COMPUTED_VALUE"""),"₱ 49,300.00")</f>
        <v>₱ 49,300.00</v>
      </c>
      <c r="E1569" s="164" t="str">
        <f ca="1">IFERROR(__xludf.DUMMYFUNCTION("""COMPUTED_VALUE"""),"₱-")</f>
        <v>₱-</v>
      </c>
      <c r="F1569" s="164" t="str">
        <f ca="1">IFERROR(__xludf.DUMMYFUNCTION("""COMPUTED_VALUE"""),"HVSPLIT-102-24-05-01-273")</f>
        <v>HVSPLIT-102-24-05-01-273</v>
      </c>
      <c r="G1569" s="164"/>
      <c r="H1569" s="164" t="str">
        <f ca="1">IFERROR(__xludf.DUMMYFUNCTION("""COMPUTED_VALUE"""),"JANET S. ALCANTARA")</f>
        <v>JANET S. ALCANTARA</v>
      </c>
      <c r="I1569" s="164" t="str">
        <f ca="1">IFERROR(__xludf.DUMMYFUNCTION("""COMPUTED_VALUE"""),"Accountant II")</f>
        <v>Accountant II</v>
      </c>
      <c r="J1569" s="164"/>
      <c r="K1569" s="164" t="str">
        <f ca="1">IFERROR(__xludf.DUMMYFUNCTION("""COMPUTED_VALUE"""),"JANET S. ALCANTARA")</f>
        <v>JANET S. ALCANTARA</v>
      </c>
      <c r="L1569" s="164" t="str">
        <f ca="1">IFERROR(__xludf.DUMMYFUNCTION("""COMPUTED_VALUE"""),"PARPO' s Office")</f>
        <v>PARPO' s Office</v>
      </c>
      <c r="M1569" s="164" t="str">
        <f ca="1">IFERROR(__xludf.DUMMYFUNCTION("""COMPUTED_VALUE"""),"SERVICEABLE")</f>
        <v>SERVICEABLE</v>
      </c>
      <c r="N1569" s="164"/>
    </row>
    <row r="1570" spans="1:14" ht="13.2" hidden="1">
      <c r="A1570" s="164" t="str">
        <f ca="1">IFERROR(__xludf.DUMMYFUNCTION("""COMPUTED_VALUE"""),"Region III")</f>
        <v>Region III</v>
      </c>
      <c r="B1570" s="164" t="str">
        <f ca="1">IFERROR(__xludf.DUMMYFUNCTION("""COMPUTED_VALUE"""),"Tarlac")</f>
        <v>Tarlac</v>
      </c>
      <c r="C1570" s="164" t="str">
        <f ca="1">IFERROR(__xludf.DUMMYFUNCTION("""COMPUTED_VALUE"""),"Desktop Computer – (MSI PRO DP180)")</f>
        <v>Desktop Computer – (MSI PRO DP180)</v>
      </c>
      <c r="D1570" s="164" t="str">
        <f ca="1">IFERROR(__xludf.DUMMYFUNCTION("""COMPUTED_VALUE"""),"₱ 49,300.00")</f>
        <v>₱ 49,300.00</v>
      </c>
      <c r="E1570" s="164" t="str">
        <f ca="1">IFERROR(__xludf.DUMMYFUNCTION("""COMPUTED_VALUE"""),"₱-")</f>
        <v>₱-</v>
      </c>
      <c r="F1570" s="164" t="str">
        <f ca="1">IFERROR(__xludf.DUMMYFUNCTION("""COMPUTED_VALUE"""),"HVSPLIT-102-24-05-01-274")</f>
        <v>HVSPLIT-102-24-05-01-274</v>
      </c>
      <c r="G1570" s="164"/>
      <c r="H1570" s="164" t="str">
        <f ca="1">IFERROR(__xludf.DUMMYFUNCTION("""COMPUTED_VALUE"""),"GARLAND LEILA A. CUARTEROS")</f>
        <v>GARLAND LEILA A. CUARTEROS</v>
      </c>
      <c r="I1570" s="164" t="str">
        <f ca="1">IFERROR(__xludf.DUMMYFUNCTION("""COMPUTED_VALUE"""),"PARPO II")</f>
        <v>PARPO II</v>
      </c>
      <c r="J1570" s="164"/>
      <c r="K1570" s="164" t="str">
        <f ca="1">IFERROR(__xludf.DUMMYFUNCTION("""COMPUTED_VALUE"""),"GARLAND LEILA A. CUARTEROS")</f>
        <v>GARLAND LEILA A. CUARTEROS</v>
      </c>
      <c r="L1570" s="164" t="str">
        <f ca="1">IFERROR(__xludf.DUMMYFUNCTION("""COMPUTED_VALUE"""),"LTID")</f>
        <v>LTID</v>
      </c>
      <c r="M1570" s="164" t="str">
        <f ca="1">IFERROR(__xludf.DUMMYFUNCTION("""COMPUTED_VALUE"""),"SERVICEABLE")</f>
        <v>SERVICEABLE</v>
      </c>
      <c r="N1570" s="164"/>
    </row>
    <row r="1571" spans="1:14" ht="13.2" hidden="1">
      <c r="A1571" s="164" t="str">
        <f ca="1">IFERROR(__xludf.DUMMYFUNCTION("""COMPUTED_VALUE"""),"Region III")</f>
        <v>Region III</v>
      </c>
      <c r="B1571" s="164" t="str">
        <f ca="1">IFERROR(__xludf.DUMMYFUNCTION("""COMPUTED_VALUE"""),"Regional Office")</f>
        <v>Regional Office</v>
      </c>
      <c r="C1571" s="164" t="str">
        <f ca="1">IFERROR(__xludf.DUMMYFUNCTION("""COMPUTED_VALUE"""),"Desktop Computer – (MSI PRO DP180)")</f>
        <v>Desktop Computer – (MSI PRO DP180)</v>
      </c>
      <c r="D1571" s="164" t="str">
        <f ca="1">IFERROR(__xludf.DUMMYFUNCTION("""COMPUTED_VALUE"""),"₱ 49,300.00")</f>
        <v>₱ 49,300.00</v>
      </c>
      <c r="E1571" s="164" t="str">
        <f ca="1">IFERROR(__xludf.DUMMYFUNCTION("""COMPUTED_VALUE"""),"₱-")</f>
        <v>₱-</v>
      </c>
      <c r="F1571" s="164" t="str">
        <f ca="1">IFERROR(__xludf.DUMMYFUNCTION("""COMPUTED_VALUE"""),"HVSPLIT-102-24-05-01-253")</f>
        <v>HVSPLIT-102-24-05-01-253</v>
      </c>
      <c r="G1571" s="164"/>
      <c r="H1571" s="164" t="str">
        <f ca="1">IFERROR(__xludf.DUMMYFUNCTION("""COMPUTED_VALUE"""),"Atty. Odgie C. Cayabyab")</f>
        <v>Atty. Odgie C. Cayabyab</v>
      </c>
      <c r="I1571" s="164" t="str">
        <f ca="1">IFERROR(__xludf.DUMMYFUNCTION("""COMPUTED_VALUE"""),"Asst. Regional Director")</f>
        <v>Asst. Regional Director</v>
      </c>
      <c r="J1571" s="164"/>
      <c r="K1571" s="164" t="str">
        <f ca="1">IFERROR(__xludf.DUMMYFUNCTION("""COMPUTED_VALUE"""),"Atty. Odgie C. Cayabyab")</f>
        <v>Atty. Odgie C. Cayabyab</v>
      </c>
      <c r="L1571" s="164" t="str">
        <f ca="1">IFERROR(__xludf.DUMMYFUNCTION("""COMPUTED_VALUE"""),"ARDs Office")</f>
        <v>ARDs Office</v>
      </c>
      <c r="M1571" s="164" t="str">
        <f ca="1">IFERROR(__xludf.DUMMYFUNCTION("""COMPUTED_VALUE"""),"SERVICEABLE")</f>
        <v>SERVICEABLE</v>
      </c>
      <c r="N1571" s="164"/>
    </row>
    <row r="1572" spans="1:14" ht="13.2" hidden="1">
      <c r="A1572" s="164" t="str">
        <f ca="1">IFERROR(__xludf.DUMMYFUNCTION("""COMPUTED_VALUE"""),"Region III")</f>
        <v>Region III</v>
      </c>
      <c r="B1572" s="164" t="str">
        <f ca="1">IFERROR(__xludf.DUMMYFUNCTION("""COMPUTED_VALUE"""),"Regional Office")</f>
        <v>Regional Office</v>
      </c>
      <c r="C1572" s="164" t="str">
        <f ca="1">IFERROR(__xludf.DUMMYFUNCTION("""COMPUTED_VALUE"""),"Desktop Computer – (MSI PRO DP180)")</f>
        <v>Desktop Computer – (MSI PRO DP180)</v>
      </c>
      <c r="D1572" s="164" t="str">
        <f ca="1">IFERROR(__xludf.DUMMYFUNCTION("""COMPUTED_VALUE"""),"₱ 49,300.00")</f>
        <v>₱ 49,300.00</v>
      </c>
      <c r="E1572" s="164" t="str">
        <f ca="1">IFERROR(__xludf.DUMMYFUNCTION("""COMPUTED_VALUE"""),"₱-")</f>
        <v>₱-</v>
      </c>
      <c r="F1572" s="164" t="str">
        <f ca="1">IFERROR(__xludf.DUMMYFUNCTION("""COMPUTED_VALUE"""),"HVSPLIT-102-24-05-01-254")</f>
        <v>HVSPLIT-102-24-05-01-254</v>
      </c>
      <c r="G1572" s="164"/>
      <c r="H1572" s="164" t="str">
        <f ca="1">IFERROR(__xludf.DUMMYFUNCTION("""COMPUTED_VALUE"""),"Aaron Josef Nucum")</f>
        <v>Aaron Josef Nucum</v>
      </c>
      <c r="I1572" s="164" t="str">
        <f ca="1">IFERROR(__xludf.DUMMYFUNCTION("""COMPUTED_VALUE"""),"CBTA Assistant Lead Coordinator")</f>
        <v>CBTA Assistant Lead Coordinator</v>
      </c>
      <c r="J1572" s="164"/>
      <c r="K1572" s="164" t="str">
        <f ca="1">IFERROR(__xludf.DUMMYFUNCTION("""COMPUTED_VALUE"""),"Aaron Josef Nucum")</f>
        <v>Aaron Josef Nucum</v>
      </c>
      <c r="L1572" s="164" t="str">
        <f ca="1">IFERROR(__xludf.DUMMYFUNCTION("""COMPUTED_VALUE"""),"Training")</f>
        <v>Training</v>
      </c>
      <c r="M1572" s="164" t="str">
        <f ca="1">IFERROR(__xludf.DUMMYFUNCTION("""COMPUTED_VALUE"""),"SERVICEABLE")</f>
        <v>SERVICEABLE</v>
      </c>
      <c r="N1572" s="164"/>
    </row>
    <row r="1573" spans="1:14" ht="13.2" hidden="1">
      <c r="A1573" s="164" t="str">
        <f ca="1">IFERROR(__xludf.DUMMYFUNCTION("""COMPUTED_VALUE"""),"Region III")</f>
        <v>Region III</v>
      </c>
      <c r="B1573" s="164" t="str">
        <f ca="1">IFERROR(__xludf.DUMMYFUNCTION("""COMPUTED_VALUE"""),"Regional Office")</f>
        <v>Regional Office</v>
      </c>
      <c r="C1573" s="164" t="str">
        <f ca="1">IFERROR(__xludf.DUMMYFUNCTION("""COMPUTED_VALUE"""),"Desktop Computer – (MSI PRO DP180)")</f>
        <v>Desktop Computer – (MSI PRO DP180)</v>
      </c>
      <c r="D1573" s="164" t="str">
        <f ca="1">IFERROR(__xludf.DUMMYFUNCTION("""COMPUTED_VALUE"""),"₱ 49,300.00")</f>
        <v>₱ 49,300.00</v>
      </c>
      <c r="E1573" s="164" t="str">
        <f ca="1">IFERROR(__xludf.DUMMYFUNCTION("""COMPUTED_VALUE"""),"₱-")</f>
        <v>₱-</v>
      </c>
      <c r="F1573" s="164" t="str">
        <f ca="1">IFERROR(__xludf.DUMMYFUNCTION("""COMPUTED_VALUE"""),"HVSPLIT-102-24-05-01-255")</f>
        <v>HVSPLIT-102-24-05-01-255</v>
      </c>
      <c r="G1573" s="164"/>
      <c r="H1573" s="164" t="str">
        <f ca="1">IFERROR(__xludf.DUMMYFUNCTION("""COMPUTED_VALUE"""),"Atty. Cristina Miguel")</f>
        <v>Atty. Cristina Miguel</v>
      </c>
      <c r="I1573" s="164" t="str">
        <f ca="1">IFERROR(__xludf.DUMMYFUNCTION("""COMPUTED_VALUE"""),"Chief, Legal Division/Legal Coordinator")</f>
        <v>Chief, Legal Division/Legal Coordinator</v>
      </c>
      <c r="J1573" s="164"/>
      <c r="K1573" s="164" t="str">
        <f ca="1">IFERROR(__xludf.DUMMYFUNCTION("""COMPUTED_VALUE"""),"COS")</f>
        <v>COS</v>
      </c>
      <c r="L1573" s="164" t="str">
        <f ca="1">IFERROR(__xludf.DUMMYFUNCTION("""COMPUTED_VALUE"""),"Legal Division")</f>
        <v>Legal Division</v>
      </c>
      <c r="M1573" s="164" t="str">
        <f ca="1">IFERROR(__xludf.DUMMYFUNCTION("""COMPUTED_VALUE"""),"SERVICEABLE")</f>
        <v>SERVICEABLE</v>
      </c>
      <c r="N1573" s="164"/>
    </row>
    <row r="1574" spans="1:14" ht="13.2" hidden="1">
      <c r="A1574" s="164" t="str">
        <f ca="1">IFERROR(__xludf.DUMMYFUNCTION("""COMPUTED_VALUE"""),"Region III")</f>
        <v>Region III</v>
      </c>
      <c r="B1574" s="164" t="str">
        <f ca="1">IFERROR(__xludf.DUMMYFUNCTION("""COMPUTED_VALUE"""),"Regional Office")</f>
        <v>Regional Office</v>
      </c>
      <c r="C1574" s="164" t="str">
        <f ca="1">IFERROR(__xludf.DUMMYFUNCTION("""COMPUTED_VALUE"""),"Desktop Computer – (MSI PRO DP180)")</f>
        <v>Desktop Computer – (MSI PRO DP180)</v>
      </c>
      <c r="D1574" s="164" t="str">
        <f ca="1">IFERROR(__xludf.DUMMYFUNCTION("""COMPUTED_VALUE"""),"₱ 49,300.00")</f>
        <v>₱ 49,300.00</v>
      </c>
      <c r="E1574" s="164" t="str">
        <f ca="1">IFERROR(__xludf.DUMMYFUNCTION("""COMPUTED_VALUE"""),"₱-")</f>
        <v>₱-</v>
      </c>
      <c r="F1574" s="164" t="str">
        <f ca="1">IFERROR(__xludf.DUMMYFUNCTION("""COMPUTED_VALUE"""),"HVSPLIT-102-24-05-01-256")</f>
        <v>HVSPLIT-102-24-05-01-256</v>
      </c>
      <c r="G1574" s="164"/>
      <c r="H1574" s="164" t="str">
        <f ca="1">IFERROR(__xludf.DUMMYFUNCTION("""COMPUTED_VALUE"""),"Albert Sapnu")</f>
        <v>Albert Sapnu</v>
      </c>
      <c r="I1574" s="164" t="str">
        <f ca="1">IFERROR(__xludf.DUMMYFUNCTION("""COMPUTED_VALUE"""),"Regional Information Officer")</f>
        <v>Regional Information Officer</v>
      </c>
      <c r="J1574" s="164"/>
      <c r="K1574" s="164" t="str">
        <f ca="1">IFERROR(__xludf.DUMMYFUNCTION("""COMPUTED_VALUE"""),"COS")</f>
        <v>COS</v>
      </c>
      <c r="L1574" s="164" t="str">
        <f ca="1">IFERROR(__xludf.DUMMYFUNCTION("""COMPUTED_VALUE"""),"Information")</f>
        <v>Information</v>
      </c>
      <c r="M1574" s="164" t="str">
        <f ca="1">IFERROR(__xludf.DUMMYFUNCTION("""COMPUTED_VALUE"""),"SERVICEABLE")</f>
        <v>SERVICEABLE</v>
      </c>
      <c r="N1574" s="164"/>
    </row>
    <row r="1575" spans="1:14" ht="13.2" hidden="1">
      <c r="A1575" s="164" t="str">
        <f ca="1">IFERROR(__xludf.DUMMYFUNCTION("""COMPUTED_VALUE"""),"Region III")</f>
        <v>Region III</v>
      </c>
      <c r="B1575" s="164" t="str">
        <f ca="1">IFERROR(__xludf.DUMMYFUNCTION("""COMPUTED_VALUE"""),"Regional Office")</f>
        <v>Regional Office</v>
      </c>
      <c r="C1575" s="164" t="str">
        <f ca="1">IFERROR(__xludf.DUMMYFUNCTION("""COMPUTED_VALUE"""),"Desktop Computer – (MSI PRO DP180)")</f>
        <v>Desktop Computer – (MSI PRO DP180)</v>
      </c>
      <c r="D1575" s="164" t="str">
        <f ca="1">IFERROR(__xludf.DUMMYFUNCTION("""COMPUTED_VALUE"""),"₱ 49,300.00")</f>
        <v>₱ 49,300.00</v>
      </c>
      <c r="E1575" s="164" t="str">
        <f ca="1">IFERROR(__xludf.DUMMYFUNCTION("""COMPUTED_VALUE"""),"₱-")</f>
        <v>₱-</v>
      </c>
      <c r="F1575" s="164" t="str">
        <f ca="1">IFERROR(__xludf.DUMMYFUNCTION("""COMPUTED_VALUE"""),"HVSPLIT-102-24-05-01-257")</f>
        <v>HVSPLIT-102-24-05-01-257</v>
      </c>
      <c r="G1575" s="164"/>
      <c r="H1575" s="164" t="str">
        <f ca="1">IFERROR(__xludf.DUMMYFUNCTION("""COMPUTED_VALUE"""),"Engr. Luke Alexis Tanhueco")</f>
        <v>Engr. Luke Alexis Tanhueco</v>
      </c>
      <c r="I1575" s="164" t="str">
        <f ca="1">IFERROR(__xludf.DUMMYFUNCTION("""COMPUTED_VALUE"""),"Regional ESS Support Staff")</f>
        <v>Regional ESS Support Staff</v>
      </c>
      <c r="J1575" s="164"/>
      <c r="K1575" s="164" t="str">
        <f ca="1">IFERROR(__xludf.DUMMYFUNCTION("""COMPUTED_VALUE"""),"Engr. Luke Alexis Tanhueco")</f>
        <v>Engr. Luke Alexis Tanhueco</v>
      </c>
      <c r="L1575" s="164" t="str">
        <f ca="1">IFERROR(__xludf.DUMMYFUNCTION("""COMPUTED_VALUE"""),"FOD")</f>
        <v>FOD</v>
      </c>
      <c r="M1575" s="164" t="str">
        <f ca="1">IFERROR(__xludf.DUMMYFUNCTION("""COMPUTED_VALUE"""),"SERVICEABLE")</f>
        <v>SERVICEABLE</v>
      </c>
      <c r="N1575" s="164"/>
    </row>
    <row r="1576" spans="1:14" ht="13.2" hidden="1">
      <c r="A1576" s="164" t="str">
        <f ca="1">IFERROR(__xludf.DUMMYFUNCTION("""COMPUTED_VALUE"""),"Region III")</f>
        <v>Region III</v>
      </c>
      <c r="B1576" s="164" t="str">
        <f ca="1">IFERROR(__xludf.DUMMYFUNCTION("""COMPUTED_VALUE"""),"Regional Office")</f>
        <v>Regional Office</v>
      </c>
      <c r="C1576" s="164" t="str">
        <f ca="1">IFERROR(__xludf.DUMMYFUNCTION("""COMPUTED_VALUE"""),"Desktop Computer – (MSI PRO DP180)")</f>
        <v>Desktop Computer – (MSI PRO DP180)</v>
      </c>
      <c r="D1576" s="164" t="str">
        <f ca="1">IFERROR(__xludf.DUMMYFUNCTION("""COMPUTED_VALUE"""),"₱ 49,300.00")</f>
        <v>₱ 49,300.00</v>
      </c>
      <c r="E1576" s="164" t="str">
        <f ca="1">IFERROR(__xludf.DUMMYFUNCTION("""COMPUTED_VALUE"""),"₱-")</f>
        <v>₱-</v>
      </c>
      <c r="F1576" s="164" t="str">
        <f ca="1">IFERROR(__xludf.DUMMYFUNCTION("""COMPUTED_VALUE"""),"HVSPLIT-102-24-05-01-170")</f>
        <v>HVSPLIT-102-24-05-01-170</v>
      </c>
      <c r="G1576" s="164"/>
      <c r="H1576" s="164" t="str">
        <f ca="1">IFERROR(__xludf.DUMMYFUNCTION("""COMPUTED_VALUE"""),"Albert Sapnu")</f>
        <v>Albert Sapnu</v>
      </c>
      <c r="I1576" s="164" t="str">
        <f ca="1">IFERROR(__xludf.DUMMYFUNCTION("""COMPUTED_VALUE"""),"Regional Information Officer")</f>
        <v>Regional Information Officer</v>
      </c>
      <c r="J1576" s="164"/>
      <c r="K1576" s="164" t="str">
        <f ca="1">IFERROR(__xludf.DUMMYFUNCTION("""COMPUTED_VALUE"""),"COS")</f>
        <v>COS</v>
      </c>
      <c r="L1576" s="164" t="str">
        <f ca="1">IFERROR(__xludf.DUMMYFUNCTION("""COMPUTED_VALUE"""),"Information")</f>
        <v>Information</v>
      </c>
      <c r="M1576" s="164" t="str">
        <f ca="1">IFERROR(__xludf.DUMMYFUNCTION("""COMPUTED_VALUE"""),"SERVICEABLE")</f>
        <v>SERVICEABLE</v>
      </c>
      <c r="N1576" s="164"/>
    </row>
    <row r="1577" spans="1:14" ht="13.2" hidden="1">
      <c r="A1577" s="164" t="str">
        <f ca="1">IFERROR(__xludf.DUMMYFUNCTION("""COMPUTED_VALUE"""),"Region III")</f>
        <v>Region III</v>
      </c>
      <c r="B1577" s="164" t="str">
        <f ca="1">IFERROR(__xludf.DUMMYFUNCTION("""COMPUTED_VALUE"""),"Pampanga")</f>
        <v>Pampanga</v>
      </c>
      <c r="C1577" s="164" t="str">
        <f ca="1">IFERROR(__xludf.DUMMYFUNCTION("""COMPUTED_VALUE"""),"Desktop Computer – (MSI PRO DP180)")</f>
        <v>Desktop Computer – (MSI PRO DP180)</v>
      </c>
      <c r="D1577" s="164" t="str">
        <f ca="1">IFERROR(__xludf.DUMMYFUNCTION("""COMPUTED_VALUE"""),"₱ 49,300.00")</f>
        <v>₱ 49,300.00</v>
      </c>
      <c r="E1577" s="164" t="str">
        <f ca="1">IFERROR(__xludf.DUMMYFUNCTION("""COMPUTED_VALUE"""),"₱-")</f>
        <v>₱-</v>
      </c>
      <c r="F1577" s="164" t="str">
        <f ca="1">IFERROR(__xludf.DUMMYFUNCTION("""COMPUTED_VALUE"""),"HV-SPLIT-102-24-05-01-271")</f>
        <v>HV-SPLIT-102-24-05-01-271</v>
      </c>
      <c r="G1577" s="164"/>
      <c r="H1577" s="164" t="str">
        <f ca="1">IFERROR(__xludf.DUMMYFUNCTION("""COMPUTED_VALUE"""),"CHRISTIAN G. DELA CRUZ")</f>
        <v>CHRISTIAN G. DELA CRUZ</v>
      </c>
      <c r="I1577" s="164" t="str">
        <f ca="1">IFERROR(__xludf.DUMMYFUNCTION("""COMPUTED_VALUE"""),"ARPO I")</f>
        <v>ARPO I</v>
      </c>
      <c r="J1577" s="164"/>
      <c r="K1577" s="164" t="str">
        <f ca="1">IFERROR(__xludf.DUMMYFUNCTION("""COMPUTED_VALUE"""),"CHRISTIAN G. DELA CRUZ")</f>
        <v>CHRISTIAN G. DELA CRUZ</v>
      </c>
      <c r="L1577" s="164" t="str">
        <f ca="1">IFERROR(__xludf.DUMMYFUNCTION("""COMPUTED_VALUE"""),"LTID - DARPO")</f>
        <v>LTID - DARPO</v>
      </c>
      <c r="M1577" s="164" t="str">
        <f ca="1">IFERROR(__xludf.DUMMYFUNCTION("""COMPUTED_VALUE"""),"SERVICEABLE")</f>
        <v>SERVICEABLE</v>
      </c>
      <c r="N1577" s="164"/>
    </row>
    <row r="1578" spans="1:14" ht="13.2" hidden="1">
      <c r="A1578" s="164" t="str">
        <f ca="1">IFERROR(__xludf.DUMMYFUNCTION("""COMPUTED_VALUE"""),"Region III")</f>
        <v>Region III</v>
      </c>
      <c r="B1578" s="164" t="str">
        <f ca="1">IFERROR(__xludf.DUMMYFUNCTION("""COMPUTED_VALUE"""),"Pampanga")</f>
        <v>Pampanga</v>
      </c>
      <c r="C1578" s="164" t="str">
        <f ca="1">IFERROR(__xludf.DUMMYFUNCTION("""COMPUTED_VALUE"""),"Desktop Computer – (MSI PRO DP180)")</f>
        <v>Desktop Computer – (MSI PRO DP180)</v>
      </c>
      <c r="D1578" s="164" t="str">
        <f ca="1">IFERROR(__xludf.DUMMYFUNCTION("""COMPUTED_VALUE"""),"₱ 49,300.00")</f>
        <v>₱ 49,300.00</v>
      </c>
      <c r="E1578" s="164" t="str">
        <f ca="1">IFERROR(__xludf.DUMMYFUNCTION("""COMPUTED_VALUE"""),"₱-")</f>
        <v>₱-</v>
      </c>
      <c r="F1578" s="164" t="str">
        <f ca="1">IFERROR(__xludf.DUMMYFUNCTION("""COMPUTED_VALUE"""),"HV-SPLIT-102-24-05-01-270")</f>
        <v>HV-SPLIT-102-24-05-01-270</v>
      </c>
      <c r="G1578" s="164"/>
      <c r="H1578" s="164" t="str">
        <f ca="1">IFERROR(__xludf.DUMMYFUNCTION("""COMPUTED_VALUE"""),"REY JULIUS DOMINIQUE F. LAXA")</f>
        <v>REY JULIUS DOMINIQUE F. LAXA</v>
      </c>
      <c r="I1578" s="164" t="str">
        <f ca="1">IFERROR(__xludf.DUMMYFUNCTION("""COMPUTED_VALUE"""),"ARPO I")</f>
        <v>ARPO I</v>
      </c>
      <c r="J1578" s="164"/>
      <c r="K1578" s="164" t="str">
        <f ca="1">IFERROR(__xludf.DUMMYFUNCTION("""COMPUTED_VALUE"""),"COS")</f>
        <v>COS</v>
      </c>
      <c r="L1578" s="164" t="str">
        <f ca="1">IFERROR(__xludf.DUMMYFUNCTION("""COMPUTED_VALUE"""),"STOD - DARPO")</f>
        <v>STOD - DARPO</v>
      </c>
      <c r="M1578" s="164" t="str">
        <f ca="1">IFERROR(__xludf.DUMMYFUNCTION("""COMPUTED_VALUE"""),"SERVICEABLE")</f>
        <v>SERVICEABLE</v>
      </c>
      <c r="N1578" s="164"/>
    </row>
    <row r="1579" spans="1:14" ht="13.2" hidden="1">
      <c r="A1579" s="164" t="str">
        <f ca="1">IFERROR(__xludf.DUMMYFUNCTION("""COMPUTED_VALUE"""),"Region III")</f>
        <v>Region III</v>
      </c>
      <c r="B1579" s="164" t="str">
        <f ca="1">IFERROR(__xludf.DUMMYFUNCTION("""COMPUTED_VALUE"""),"Aurora")</f>
        <v>Aurora</v>
      </c>
      <c r="C1579" s="164" t="str">
        <f ca="1">IFERROR(__xludf.DUMMYFUNCTION("""COMPUTED_VALUE"""),"Desktop Computer – (MSI PRO DP180)")</f>
        <v>Desktop Computer – (MSI PRO DP180)</v>
      </c>
      <c r="D1579" s="164" t="str">
        <f ca="1">IFERROR(__xludf.DUMMYFUNCTION("""COMPUTED_VALUE"""),"₱ 49,300.00")</f>
        <v>₱ 49,300.00</v>
      </c>
      <c r="E1579" s="164" t="str">
        <f ca="1">IFERROR(__xludf.DUMMYFUNCTION("""COMPUTED_VALUE"""),"₱-")</f>
        <v>₱-</v>
      </c>
      <c r="F1579" s="164" t="str">
        <f ca="1">IFERROR(__xludf.DUMMYFUNCTION("""COMPUTED_VALUE"""),"HVSPLIT 102-24-05-01-258")</f>
        <v>HVSPLIT 102-24-05-01-258</v>
      </c>
      <c r="G1579" s="164" t="str">
        <f ca="1">IFERROR(__xludf.DUMMYFUNCTION("""COMPUTED_VALUE"""),"MSBOA704S0103958")</f>
        <v>MSBOA704S0103958</v>
      </c>
      <c r="H1579" s="164" t="str">
        <f ca="1">IFERROR(__xludf.DUMMYFUNCTION("""COMPUTED_VALUE"""),"EDUARDO C. AMPONGET")</f>
        <v>EDUARDO C. AMPONGET</v>
      </c>
      <c r="I1579" s="164" t="str">
        <f ca="1">IFERROR(__xludf.DUMMYFUNCTION("""COMPUTED_VALUE"""),"ARPO I")</f>
        <v>ARPO I</v>
      </c>
      <c r="J1579" s="164"/>
      <c r="K1579" s="164"/>
      <c r="L1579" s="164" t="str">
        <f ca="1">IFERROR(__xludf.DUMMYFUNCTION("""COMPUTED_VALUE"""),"PBDD")</f>
        <v>PBDD</v>
      </c>
      <c r="M1579" s="164" t="str">
        <f ca="1">IFERROR(__xludf.DUMMYFUNCTION("""COMPUTED_VALUE"""),"SERVICEABLE")</f>
        <v>SERVICEABLE</v>
      </c>
      <c r="N1579" s="164"/>
    </row>
    <row r="1580" spans="1:14" ht="13.2" hidden="1">
      <c r="A1580" s="164" t="str">
        <f ca="1">IFERROR(__xludf.DUMMYFUNCTION("""COMPUTED_VALUE"""),"Region III")</f>
        <v>Region III</v>
      </c>
      <c r="B1580" s="164" t="str">
        <f ca="1">IFERROR(__xludf.DUMMYFUNCTION("""COMPUTED_VALUE"""),"Aurora")</f>
        <v>Aurora</v>
      </c>
      <c r="C1580" s="164" t="str">
        <f ca="1">IFERROR(__xludf.DUMMYFUNCTION("""COMPUTED_VALUE"""),"Desktop Computer – (MSI PRO DP180)")</f>
        <v>Desktop Computer – (MSI PRO DP180)</v>
      </c>
      <c r="D1580" s="164" t="str">
        <f ca="1">IFERROR(__xludf.DUMMYFUNCTION("""COMPUTED_VALUE"""),"₱ 49,300.00")</f>
        <v>₱ 49,300.00</v>
      </c>
      <c r="E1580" s="164" t="str">
        <f ca="1">IFERROR(__xludf.DUMMYFUNCTION("""COMPUTED_VALUE"""),"₱-")</f>
        <v>₱-</v>
      </c>
      <c r="F1580" s="164" t="str">
        <f ca="1">IFERROR(__xludf.DUMMYFUNCTION("""COMPUTED_VALUE"""),"HVSPLIT 102-24-05-01-259")</f>
        <v>HVSPLIT 102-24-05-01-259</v>
      </c>
      <c r="G1580" s="164" t="str">
        <f ca="1">IFERROR(__xludf.DUMMYFUNCTION("""COMPUTED_VALUE"""),"MSBOA704S90371690")</f>
        <v>MSBOA704S90371690</v>
      </c>
      <c r="H1580" s="164" t="str">
        <f ca="1">IFERROR(__xludf.DUMMYFUNCTION("""COMPUTED_VALUE"""),"IAN VINCENT O. NATIVIDAD")</f>
        <v>IAN VINCENT O. NATIVIDAD</v>
      </c>
      <c r="I1580" s="164" t="str">
        <f ca="1">IFERROR(__xludf.DUMMYFUNCTION("""COMPUTED_VALUE"""),"SARPO")</f>
        <v>SARPO</v>
      </c>
      <c r="J1580" s="164"/>
      <c r="K1580" s="164"/>
      <c r="L1580" s="164" t="str">
        <f ca="1">IFERROR(__xludf.DUMMYFUNCTION("""COMPUTED_VALUE"""),"LEGAL")</f>
        <v>LEGAL</v>
      </c>
      <c r="M1580" s="164" t="str">
        <f ca="1">IFERROR(__xludf.DUMMYFUNCTION("""COMPUTED_VALUE"""),"SERVICEABLE")</f>
        <v>SERVICEABLE</v>
      </c>
      <c r="N1580" s="164"/>
    </row>
    <row r="1581" spans="1:14" ht="13.2" hidden="1">
      <c r="A1581" s="164" t="str">
        <f ca="1">IFERROR(__xludf.DUMMYFUNCTION("""COMPUTED_VALUE"""),"Region III")</f>
        <v>Region III</v>
      </c>
      <c r="B1581" s="164" t="str">
        <f ca="1">IFERROR(__xludf.DUMMYFUNCTION("""COMPUTED_VALUE"""),"Bataan")</f>
        <v>Bataan</v>
      </c>
      <c r="C1581" s="164" t="str">
        <f ca="1">IFERROR(__xludf.DUMMYFUNCTION("""COMPUTED_VALUE"""),"Desktop Computer – (MSI PRO DP180)")</f>
        <v>Desktop Computer – (MSI PRO DP180)</v>
      </c>
      <c r="D1581" s="164" t="str">
        <f ca="1">IFERROR(__xludf.DUMMYFUNCTION("""COMPUTED_VALUE"""),"₱ 49,300.00")</f>
        <v>₱ 49,300.00</v>
      </c>
      <c r="E1581" s="164" t="str">
        <f ca="1">IFERROR(__xludf.DUMMYFUNCTION("""COMPUTED_VALUE"""),"₱-")</f>
        <v>₱-</v>
      </c>
      <c r="F1581" s="164" t="str">
        <f ca="1">IFERROR(__xludf.DUMMYFUNCTION("""COMPUTED_VALUE"""),"HVSPLIT-102-24-05-01-260")</f>
        <v>HVSPLIT-102-24-05-01-260</v>
      </c>
      <c r="G1581" s="164"/>
      <c r="H1581" s="164" t="str">
        <f ca="1">IFERROR(__xludf.DUMMYFUNCTION("""COMPUTED_VALUE"""),"Karl John B Santos")</f>
        <v>Karl John B Santos</v>
      </c>
      <c r="I1581" s="164" t="str">
        <f ca="1">IFERROR(__xludf.DUMMYFUNCTION("""COMPUTED_VALUE"""),"ARPT")</f>
        <v>ARPT</v>
      </c>
      <c r="J1581" s="164"/>
      <c r="K1581" s="164" t="str">
        <f ca="1">IFERROR(__xludf.DUMMYFUNCTION("""COMPUTED_VALUE"""),"Karl John B Santos")</f>
        <v>Karl John B Santos</v>
      </c>
      <c r="L1581" s="164" t="str">
        <f ca="1">IFERROR(__xludf.DUMMYFUNCTION("""COMPUTED_VALUE"""),"STOD GS")</f>
        <v>STOD GS</v>
      </c>
      <c r="M1581" s="164" t="str">
        <f ca="1">IFERROR(__xludf.DUMMYFUNCTION("""COMPUTED_VALUE"""),"SERVICEABLE")</f>
        <v>SERVICEABLE</v>
      </c>
      <c r="N1581" s="164"/>
    </row>
    <row r="1582" spans="1:14" ht="13.2" hidden="1">
      <c r="A1582" s="164" t="str">
        <f ca="1">IFERROR(__xludf.DUMMYFUNCTION("""COMPUTED_VALUE"""),"Region III")</f>
        <v>Region III</v>
      </c>
      <c r="B1582" s="164" t="str">
        <f ca="1">IFERROR(__xludf.DUMMYFUNCTION("""COMPUTED_VALUE"""),"Bataan")</f>
        <v>Bataan</v>
      </c>
      <c r="C1582" s="164" t="str">
        <f ca="1">IFERROR(__xludf.DUMMYFUNCTION("""COMPUTED_VALUE"""),"Desktop Computer – (MSI PRO DP180)")</f>
        <v>Desktop Computer – (MSI PRO DP180)</v>
      </c>
      <c r="D1582" s="164" t="str">
        <f ca="1">IFERROR(__xludf.DUMMYFUNCTION("""COMPUTED_VALUE"""),"₱ 49,300.00")</f>
        <v>₱ 49,300.00</v>
      </c>
      <c r="E1582" s="164" t="str">
        <f ca="1">IFERROR(__xludf.DUMMYFUNCTION("""COMPUTED_VALUE"""),"₱-")</f>
        <v>₱-</v>
      </c>
      <c r="F1582" s="164" t="str">
        <f ca="1">IFERROR(__xludf.DUMMYFUNCTION("""COMPUTED_VALUE"""),"HVSPLIT-102-24-05-01-261")</f>
        <v>HVSPLIT-102-24-05-01-261</v>
      </c>
      <c r="G1582" s="164"/>
      <c r="H1582" s="164" t="str">
        <f ca="1">IFERROR(__xludf.DUMMYFUNCTION("""COMPUTED_VALUE"""),"Winnie Panganoron")</f>
        <v>Winnie Panganoron</v>
      </c>
      <c r="I1582" s="164" t="str">
        <f ca="1">IFERROR(__xludf.DUMMYFUNCTION("""COMPUTED_VALUE"""),"ARPT")</f>
        <v>ARPT</v>
      </c>
      <c r="J1582" s="164"/>
      <c r="K1582" s="164" t="str">
        <f ca="1">IFERROR(__xludf.DUMMYFUNCTION("""COMPUTED_VALUE"""),"Winnie Panganoron")</f>
        <v>Winnie Panganoron</v>
      </c>
      <c r="L1582" s="164" t="str">
        <f ca="1">IFERROR(__xludf.DUMMYFUNCTION("""COMPUTED_VALUE"""),"LTS")</f>
        <v>LTS</v>
      </c>
      <c r="M1582" s="164" t="str">
        <f ca="1">IFERROR(__xludf.DUMMYFUNCTION("""COMPUTED_VALUE"""),"SERVICEABLE")</f>
        <v>SERVICEABLE</v>
      </c>
      <c r="N1582" s="164"/>
    </row>
    <row r="1583" spans="1:14" ht="13.2" hidden="1">
      <c r="A1583" s="164" t="str">
        <f ca="1">IFERROR(__xludf.DUMMYFUNCTION("""COMPUTED_VALUE"""),"Region III")</f>
        <v>Region III</v>
      </c>
      <c r="B1583" s="164" t="str">
        <f ca="1">IFERROR(__xludf.DUMMYFUNCTION("""COMPUTED_VALUE"""),"Bulacan")</f>
        <v>Bulacan</v>
      </c>
      <c r="C1583" s="164" t="str">
        <f ca="1">IFERROR(__xludf.DUMMYFUNCTION("""COMPUTED_VALUE"""),"Desktop Computer – (MSI PRO DP180)")</f>
        <v>Desktop Computer – (MSI PRO DP180)</v>
      </c>
      <c r="D1583" s="164" t="str">
        <f ca="1">IFERROR(__xludf.DUMMYFUNCTION("""COMPUTED_VALUE"""),"₱ 49,300.00")</f>
        <v>₱ 49,300.00</v>
      </c>
      <c r="E1583" s="164" t="str">
        <f ca="1">IFERROR(__xludf.DUMMYFUNCTION("""COMPUTED_VALUE"""),"₱-")</f>
        <v>₱-</v>
      </c>
      <c r="F1583" s="164" t="str">
        <f ca="1">IFERROR(__xludf.DUMMYFUNCTION("""COMPUTED_VALUE"""),"HVSPLIT-102-24-05-01-262")</f>
        <v>HVSPLIT-102-24-05-01-262</v>
      </c>
      <c r="G1583" s="164"/>
      <c r="H1583" s="164" t="str">
        <f ca="1">IFERROR(__xludf.DUMMYFUNCTION("""COMPUTED_VALUE"""),"ATTY. SALVADOR P. RAMOS")</f>
        <v>ATTY. SALVADOR P. RAMOS</v>
      </c>
      <c r="I1583" s="164" t="str">
        <f ca="1">IFERROR(__xludf.DUMMYFUNCTION("""COMPUTED_VALUE"""),"CHIEF LEGAL")</f>
        <v>CHIEF LEGAL</v>
      </c>
      <c r="J1583" s="164"/>
      <c r="K1583" s="164"/>
      <c r="L1583" s="164" t="str">
        <f ca="1">IFERROR(__xludf.DUMMYFUNCTION("""COMPUTED_VALUE"""),"LEGAL")</f>
        <v>LEGAL</v>
      </c>
      <c r="M1583" s="164" t="str">
        <f ca="1">IFERROR(__xludf.DUMMYFUNCTION("""COMPUTED_VALUE"""),"SERVICEABLE")</f>
        <v>SERVICEABLE</v>
      </c>
      <c r="N1583" s="164"/>
    </row>
    <row r="1584" spans="1:14" ht="13.2" hidden="1">
      <c r="A1584" s="164" t="str">
        <f ca="1">IFERROR(__xludf.DUMMYFUNCTION("""COMPUTED_VALUE"""),"Region III")</f>
        <v>Region III</v>
      </c>
      <c r="B1584" s="164" t="str">
        <f ca="1">IFERROR(__xludf.DUMMYFUNCTION("""COMPUTED_VALUE"""),"Bulacan")</f>
        <v>Bulacan</v>
      </c>
      <c r="C1584" s="164" t="str">
        <f ca="1">IFERROR(__xludf.DUMMYFUNCTION("""COMPUTED_VALUE"""),"Desktop Computer – (MSI PRO DP180)")</f>
        <v>Desktop Computer – (MSI PRO DP180)</v>
      </c>
      <c r="D1584" s="164" t="str">
        <f ca="1">IFERROR(__xludf.DUMMYFUNCTION("""COMPUTED_VALUE"""),"₱ 49,300.00")</f>
        <v>₱ 49,300.00</v>
      </c>
      <c r="E1584" s="164" t="str">
        <f ca="1">IFERROR(__xludf.DUMMYFUNCTION("""COMPUTED_VALUE"""),"₱-")</f>
        <v>₱-</v>
      </c>
      <c r="F1584" s="164" t="str">
        <f ca="1">IFERROR(__xludf.DUMMYFUNCTION("""COMPUTED_VALUE"""),"HVSPLIT-102-24-05-01-263")</f>
        <v>HVSPLIT-102-24-05-01-263</v>
      </c>
      <c r="G1584" s="164"/>
      <c r="H1584" s="164" t="str">
        <f ca="1">IFERROR(__xludf.DUMMYFUNCTION("""COMPUTED_VALUE"""),"JOHN BRYAN G. BUENAVENTURA")</f>
        <v>JOHN BRYAN G. BUENAVENTURA</v>
      </c>
      <c r="I1584" s="164" t="str">
        <f ca="1">IFERROR(__xludf.DUMMYFUNCTION("""COMPUTED_VALUE"""),"ARPO I")</f>
        <v>ARPO I</v>
      </c>
      <c r="J1584" s="164"/>
      <c r="K1584" s="164"/>
      <c r="L1584" s="164" t="str">
        <f ca="1">IFERROR(__xludf.DUMMYFUNCTION("""COMPUTED_VALUE"""),"MARPO CLUSTER OFFICE")</f>
        <v>MARPO CLUSTER OFFICE</v>
      </c>
      <c r="M1584" s="164" t="str">
        <f ca="1">IFERROR(__xludf.DUMMYFUNCTION("""COMPUTED_VALUE"""),"SERVICEABLE")</f>
        <v>SERVICEABLE</v>
      </c>
      <c r="N1584" s="164"/>
    </row>
    <row r="1585" spans="1:14" ht="13.2" hidden="1">
      <c r="A1585" s="164" t="str">
        <f ca="1">IFERROR(__xludf.DUMMYFUNCTION("""COMPUTED_VALUE"""),"Region III")</f>
        <v>Region III</v>
      </c>
      <c r="B1585" s="164" t="str">
        <f ca="1">IFERROR(__xludf.DUMMYFUNCTION("""COMPUTED_VALUE"""),"Regional Office")</f>
        <v>Regional Office</v>
      </c>
      <c r="C1585" s="164" t="str">
        <f ca="1">IFERROR(__xludf.DUMMYFUNCTION("""COMPUTED_VALUE"""),"Double Cabin Pick-up Vehicles – Mitsubishi Strada")</f>
        <v>Double Cabin Pick-up Vehicles – Mitsubishi Strada</v>
      </c>
      <c r="D1585" s="164" t="str">
        <f ca="1">IFERROR(__xludf.DUMMYFUNCTION("""COMPUTED_VALUE"""),"₱ 1,752,400.00")</f>
        <v>₱ 1,752,400.00</v>
      </c>
      <c r="E1585" s="164" t="str">
        <f ca="1">IFERROR(__xludf.DUMMYFUNCTION("""COMPUTED_VALUE"""),"₱-")</f>
        <v>₱-</v>
      </c>
      <c r="F1585" s="164" t="str">
        <f ca="1">IFERROR(__xludf.DUMMYFUNCTION("""COMPUTED_VALUE"""),"2023-06-01-10201SP37-01")</f>
        <v>2023-06-01-10201SP37-01</v>
      </c>
      <c r="G1585" s="164" t="str">
        <f ca="1">IFERROR(__xludf.DUMMYFUNCTION("""COMPUTED_VALUE"""),"SNC 1103")</f>
        <v>SNC 1103</v>
      </c>
      <c r="H1585" s="164" t="str">
        <f ca="1">IFERROR(__xludf.DUMMYFUNCTION("""COMPUTED_VALUE"""),"Atty. Odgie C. Cayabyab")</f>
        <v>Atty. Odgie C. Cayabyab</v>
      </c>
      <c r="I1585" s="164" t="str">
        <f ca="1">IFERROR(__xludf.DUMMYFUNCTION("""COMPUTED_VALUE"""),"Asst. Regional Director")</f>
        <v>Asst. Regional Director</v>
      </c>
      <c r="J1585" s="164" t="str">
        <f ca="1">IFERROR(__xludf.DUMMYFUNCTION("""COMPUTED_VALUE"""),"2023-10-027")</f>
        <v>2023-10-027</v>
      </c>
      <c r="K1585" s="164" t="str">
        <f ca="1">IFERROR(__xludf.DUMMYFUNCTION("""COMPUTED_VALUE"""),"Atty. Odgie C. Cayabyab")</f>
        <v>Atty. Odgie C. Cayabyab</v>
      </c>
      <c r="L1585" s="164" t="str">
        <f ca="1">IFERROR(__xludf.DUMMYFUNCTION("""COMPUTED_VALUE"""),"ARDs Office")</f>
        <v>ARDs Office</v>
      </c>
      <c r="M1585" s="164" t="str">
        <f ca="1">IFERROR(__xludf.DUMMYFUNCTION("""COMPUTED_VALUE"""),"SERVICEABLE")</f>
        <v>SERVICEABLE</v>
      </c>
      <c r="N1585" s="164"/>
    </row>
    <row r="1586" spans="1:14" ht="13.2" hidden="1">
      <c r="A1586" s="164" t="str">
        <f ca="1">IFERROR(__xludf.DUMMYFUNCTION("""COMPUTED_VALUE"""),"Region III")</f>
        <v>Region III</v>
      </c>
      <c r="B1586" s="164" t="str">
        <f ca="1">IFERROR(__xludf.DUMMYFUNCTION("""COMPUTED_VALUE"""),"Regional Office")</f>
        <v>Regional Office</v>
      </c>
      <c r="C1586" s="164" t="str">
        <f ca="1">IFERROR(__xludf.DUMMYFUNCTION("""COMPUTED_VALUE"""),"Double Cabin Pick-up Vehicles – Mitsubishi Strada")</f>
        <v>Double Cabin Pick-up Vehicles – Mitsubishi Strada</v>
      </c>
      <c r="D1586" s="164" t="str">
        <f ca="1">IFERROR(__xludf.DUMMYFUNCTION("""COMPUTED_VALUE"""),"₱ 1,752,400.00")</f>
        <v>₱ 1,752,400.00</v>
      </c>
      <c r="E1586" s="164" t="str">
        <f ca="1">IFERROR(__xludf.DUMMYFUNCTION("""COMPUTED_VALUE"""),"₱-")</f>
        <v>₱-</v>
      </c>
      <c r="F1586" s="164" t="str">
        <f ca="1">IFERROR(__xludf.DUMMYFUNCTION("""COMPUTED_VALUE"""),"2023-06-01-10201SP157-01")</f>
        <v>2023-06-01-10201SP157-01</v>
      </c>
      <c r="G1586" s="164" t="str">
        <f ca="1">IFERROR(__xludf.DUMMYFUNCTION("""COMPUTED_VALUE"""),"SNC 1212")</f>
        <v>SNC 1212</v>
      </c>
      <c r="H1586" s="164" t="str">
        <f ca="1">IFERROR(__xludf.DUMMYFUNCTION("""COMPUTED_VALUE"""),"Atty. Judita Tungol")</f>
        <v>Atty. Judita Tungol</v>
      </c>
      <c r="I1586" s="164" t="str">
        <f ca="1">IFERROR(__xludf.DUMMYFUNCTION("""COMPUTED_VALUE"""),"RARAD/GRM Coordinator")</f>
        <v>RARAD/GRM Coordinator</v>
      </c>
      <c r="J1586" s="164" t="str">
        <f ca="1">IFERROR(__xludf.DUMMYFUNCTION("""COMPUTED_VALUE"""),"2023-10-031")</f>
        <v>2023-10-031</v>
      </c>
      <c r="K1586" s="164" t="str">
        <f ca="1">IFERROR(__xludf.DUMMYFUNCTION("""COMPUTED_VALUE"""),"Atty. Judita Tungol")</f>
        <v>Atty. Judita Tungol</v>
      </c>
      <c r="L1586" s="164" t="str">
        <f ca="1">IFERROR(__xludf.DUMMYFUNCTION("""COMPUTED_VALUE"""),"DARAB")</f>
        <v>DARAB</v>
      </c>
      <c r="M1586" s="164" t="str">
        <f ca="1">IFERROR(__xludf.DUMMYFUNCTION("""COMPUTED_VALUE"""),"SERVICEABLE")</f>
        <v>SERVICEABLE</v>
      </c>
      <c r="N1586" s="164"/>
    </row>
    <row r="1587" spans="1:14" ht="13.2" hidden="1">
      <c r="A1587" s="164" t="str">
        <f ca="1">IFERROR(__xludf.DUMMYFUNCTION("""COMPUTED_VALUE"""),"Region III")</f>
        <v>Region III</v>
      </c>
      <c r="B1587" s="164" t="str">
        <f ca="1">IFERROR(__xludf.DUMMYFUNCTION("""COMPUTED_VALUE"""),"Regional Office")</f>
        <v>Regional Office</v>
      </c>
      <c r="C1587" s="164" t="str">
        <f ca="1">IFERROR(__xludf.DUMMYFUNCTION("""COMPUTED_VALUE"""),"Double Cabin Pick-up Vehicles – Mitsubishi Strada")</f>
        <v>Double Cabin Pick-up Vehicles – Mitsubishi Strada</v>
      </c>
      <c r="D1587" s="164" t="str">
        <f ca="1">IFERROR(__xludf.DUMMYFUNCTION("""COMPUTED_VALUE"""),"₱ 1,752,400.00")</f>
        <v>₱ 1,752,400.00</v>
      </c>
      <c r="E1587" s="164" t="str">
        <f ca="1">IFERROR(__xludf.DUMMYFUNCTION("""COMPUTED_VALUE"""),"₱-")</f>
        <v>₱-</v>
      </c>
      <c r="F1587" s="164" t="str">
        <f ca="1">IFERROR(__xludf.DUMMYFUNCTION("""COMPUTED_VALUE"""),"2023-06-01-10201SP142-01")</f>
        <v>2023-06-01-10201SP142-01</v>
      </c>
      <c r="G1587" s="164" t="str">
        <f ca="1">IFERROR(__xludf.DUMMYFUNCTION("""COMPUTED_VALUE"""),"SNC 1191")</f>
        <v>SNC 1191</v>
      </c>
      <c r="H1587" s="164" t="str">
        <f ca="1">IFERROR(__xludf.DUMMYFUNCTION("""COMPUTED_VALUE"""),"Iluminado Ocampo")</f>
        <v>Iluminado Ocampo</v>
      </c>
      <c r="I1587" s="164" t="str">
        <f ca="1">IFERROR(__xludf.DUMMYFUNCTION("""COMPUTED_VALUE"""),"OIC CARPO-FOD/Parcelization Component Coordinator")</f>
        <v>OIC CARPO-FOD/Parcelization Component Coordinator</v>
      </c>
      <c r="J1587" s="164" t="str">
        <f ca="1">IFERROR(__xludf.DUMMYFUNCTION("""COMPUTED_VALUE"""),"2023-10-028")</f>
        <v>2023-10-028</v>
      </c>
      <c r="K1587" s="164" t="str">
        <f ca="1">IFERROR(__xludf.DUMMYFUNCTION("""COMPUTED_VALUE"""),"Iluminado Ocampo")</f>
        <v>Iluminado Ocampo</v>
      </c>
      <c r="L1587" s="164" t="str">
        <f ca="1">IFERROR(__xludf.DUMMYFUNCTION("""COMPUTED_VALUE"""),"FOD")</f>
        <v>FOD</v>
      </c>
      <c r="M1587" s="164" t="str">
        <f ca="1">IFERROR(__xludf.DUMMYFUNCTION("""COMPUTED_VALUE"""),"SERVICEABLE")</f>
        <v>SERVICEABLE</v>
      </c>
      <c r="N1587" s="164"/>
    </row>
    <row r="1588" spans="1:14" ht="13.2" hidden="1">
      <c r="A1588" s="164" t="str">
        <f ca="1">IFERROR(__xludf.DUMMYFUNCTION("""COMPUTED_VALUE"""),"Region III")</f>
        <v>Region III</v>
      </c>
      <c r="B1588" s="164" t="str">
        <f ca="1">IFERROR(__xludf.DUMMYFUNCTION("""COMPUTED_VALUE"""),"Regional Office")</f>
        <v>Regional Office</v>
      </c>
      <c r="C1588" s="164" t="str">
        <f ca="1">IFERROR(__xludf.DUMMYFUNCTION("""COMPUTED_VALUE"""),"Double Cabin Pick-up Vehicles – Mitsubishi Strada")</f>
        <v>Double Cabin Pick-up Vehicles – Mitsubishi Strada</v>
      </c>
      <c r="D1588" s="164" t="str">
        <f ca="1">IFERROR(__xludf.DUMMYFUNCTION("""COMPUTED_VALUE"""),"₱ 1,752,400.00")</f>
        <v>₱ 1,752,400.00</v>
      </c>
      <c r="E1588" s="164" t="str">
        <f ca="1">IFERROR(__xludf.DUMMYFUNCTION("""COMPUTED_VALUE"""),"₱-")</f>
        <v>₱-</v>
      </c>
      <c r="F1588" s="164" t="str">
        <f ca="1">IFERROR(__xludf.DUMMYFUNCTION("""COMPUTED_VALUE"""),"2023-06-01-10201SP152-01")</f>
        <v>2023-06-01-10201SP152-01</v>
      </c>
      <c r="G1588" s="164" t="str">
        <f ca="1">IFERROR(__xludf.DUMMYFUNCTION("""COMPUTED_VALUE"""),"SNC 1146")</f>
        <v>SNC 1146</v>
      </c>
      <c r="H1588" s="164" t="str">
        <f ca="1">IFERROR(__xludf.DUMMYFUNCTION("""COMPUTED_VALUE"""),"Atty. Eric Luna")</f>
        <v>Atty. Eric Luna</v>
      </c>
      <c r="I1588" s="164" t="str">
        <f ca="1">IFERROR(__xludf.DUMMYFUNCTION("""COMPUTED_VALUE"""),"Regional Director")</f>
        <v>Regional Director</v>
      </c>
      <c r="J1588" s="164" t="str">
        <f ca="1">IFERROR(__xludf.DUMMYFUNCTION("""COMPUTED_VALUE"""),"2023-10-030")</f>
        <v>2023-10-030</v>
      </c>
      <c r="K1588" s="164" t="str">
        <f ca="1">IFERROR(__xludf.DUMMYFUNCTION("""COMPUTED_VALUE"""),"Atty. Eric Luna")</f>
        <v>Atty. Eric Luna</v>
      </c>
      <c r="L1588" s="164" t="str">
        <f ca="1">IFERROR(__xludf.DUMMYFUNCTION("""COMPUTED_VALUE"""),"RDs Office")</f>
        <v>RDs Office</v>
      </c>
      <c r="M1588" s="164" t="str">
        <f ca="1">IFERROR(__xludf.DUMMYFUNCTION("""COMPUTED_VALUE"""),"SERVICEABLE")</f>
        <v>SERVICEABLE</v>
      </c>
      <c r="N1588" s="164"/>
    </row>
    <row r="1589" spans="1:14" ht="13.2" hidden="1">
      <c r="A1589" s="164" t="str">
        <f ca="1">IFERROR(__xludf.DUMMYFUNCTION("""COMPUTED_VALUE"""),"Region III")</f>
        <v>Region III</v>
      </c>
      <c r="B1589" s="164" t="str">
        <f ca="1">IFERROR(__xludf.DUMMYFUNCTION("""COMPUTED_VALUE"""),"Regional Office")</f>
        <v>Regional Office</v>
      </c>
      <c r="C1589" s="164" t="str">
        <f ca="1">IFERROR(__xludf.DUMMYFUNCTION("""COMPUTED_VALUE"""),"Motorcycle – (Honda XRL 150)")</f>
        <v>Motorcycle – (Honda XRL 150)</v>
      </c>
      <c r="D1589" s="164" t="str">
        <f ca="1">IFERROR(__xludf.DUMMYFUNCTION("""COMPUTED_VALUE"""),"₱ 124,900.00")</f>
        <v>₱ 124,900.00</v>
      </c>
      <c r="E1589" s="164" t="str">
        <f ca="1">IFERROR(__xludf.DUMMYFUNCTION("""COMPUTED_VALUE"""),"₱-")</f>
        <v>₱-</v>
      </c>
      <c r="F1589" s="164" t="str">
        <f ca="1">IFERROR(__xludf.DUMMYFUNCTION("""COMPUTED_VALUE"""),"2023-06-01-10202SP123-01")</f>
        <v>2023-06-01-10202SP123-01</v>
      </c>
      <c r="G1589" s="164" t="str">
        <f ca="1">IFERROR(__xludf.DUMMYFUNCTION("""COMPUTED_VALUE"""),"no plate available")</f>
        <v>no plate available</v>
      </c>
      <c r="H1589" s="164" t="str">
        <f ca="1">IFERROR(__xludf.DUMMYFUNCTION("""COMPUTED_VALUE"""),"Josell Fernan Guintu")</f>
        <v>Josell Fernan Guintu</v>
      </c>
      <c r="I1589" s="164" t="str">
        <f ca="1">IFERROR(__xludf.DUMMYFUNCTION("""COMPUTED_VALUE"""),"CHIEF SUPPLY")</f>
        <v>CHIEF SUPPLY</v>
      </c>
      <c r="J1589" s="164" t="str">
        <f ca="1">IFERROR(__xludf.DUMMYFUNCTION("""COMPUTED_VALUE"""),"2024-01-002")</f>
        <v>2024-01-002</v>
      </c>
      <c r="K1589" s="164" t="str">
        <f ca="1">IFERROR(__xludf.DUMMYFUNCTION("""COMPUTED_VALUE"""),"Josell Fernan Guintu")</f>
        <v>Josell Fernan Guintu</v>
      </c>
      <c r="L1589" s="164" t="str">
        <f ca="1">IFERROR(__xludf.DUMMYFUNCTION("""COMPUTED_VALUE"""),"DARRO 3")</f>
        <v>DARRO 3</v>
      </c>
      <c r="M1589" s="164" t="str">
        <f ca="1">IFERROR(__xludf.DUMMYFUNCTION("""COMPUTED_VALUE"""),"SERVICEABLE")</f>
        <v>SERVICEABLE</v>
      </c>
      <c r="N1589" s="164"/>
    </row>
    <row r="1590" spans="1:14" ht="13.2" hidden="1">
      <c r="A1590" s="164" t="str">
        <f ca="1">IFERROR(__xludf.DUMMYFUNCTION("""COMPUTED_VALUE"""),"Region III")</f>
        <v>Region III</v>
      </c>
      <c r="B1590" s="164" t="str">
        <f ca="1">IFERROR(__xludf.DUMMYFUNCTION("""COMPUTED_VALUE"""),"Aurora")</f>
        <v>Aurora</v>
      </c>
      <c r="C1590" s="164" t="str">
        <f ca="1">IFERROR(__xludf.DUMMYFUNCTION("""COMPUTED_VALUE"""),"Double Cabin Pick-up Vehicles – Mitsubishi Strada")</f>
        <v>Double Cabin Pick-up Vehicles – Mitsubishi Strada</v>
      </c>
      <c r="D1590" s="164" t="str">
        <f ca="1">IFERROR(__xludf.DUMMYFUNCTION("""COMPUTED_VALUE"""),"₱ 1,752,400.00")</f>
        <v>₱ 1,752,400.00</v>
      </c>
      <c r="E1590" s="164" t="str">
        <f ca="1">IFERROR(__xludf.DUMMYFUNCTION("""COMPUTED_VALUE"""),"₱-")</f>
        <v>₱-</v>
      </c>
      <c r="F1590" s="164" t="str">
        <f ca="1">IFERROR(__xludf.DUMMYFUNCTION("""COMPUTED_VALUE"""),"2023-06-01-10201SP33-01")</f>
        <v>2023-06-01-10201SP33-01</v>
      </c>
      <c r="G1590" s="164" t="str">
        <f ca="1">IFERROR(__xludf.DUMMYFUNCTION("""COMPUTED_VALUE"""),"SNC 1310")</f>
        <v>SNC 1310</v>
      </c>
      <c r="H1590" s="164" t="str">
        <f ca="1">IFERROR(__xludf.DUMMYFUNCTION("""COMPUTED_VALUE"""),"Garland Leila A. Cuarteros")</f>
        <v>Garland Leila A. Cuarteros</v>
      </c>
      <c r="I1590" s="164" t="str">
        <f ca="1">IFERROR(__xludf.DUMMYFUNCTION("""COMPUTED_VALUE"""),"PARPO II/Project Manager")</f>
        <v>PARPO II/Project Manager</v>
      </c>
      <c r="J1590" s="164" t="str">
        <f ca="1">IFERROR(__xludf.DUMMYFUNCTION("""COMPUTED_VALUE"""),"2023-10-026")</f>
        <v>2023-10-026</v>
      </c>
      <c r="K1590" s="164" t="str">
        <f ca="1">IFERROR(__xludf.DUMMYFUNCTION("""COMPUTED_VALUE"""),"Garland Leila A. Cuarteros")</f>
        <v>Garland Leila A. Cuarteros</v>
      </c>
      <c r="L1590" s="164" t="str">
        <f ca="1">IFERROR(__xludf.DUMMYFUNCTION("""COMPUTED_VALUE"""),"PARPO")</f>
        <v>PARPO</v>
      </c>
      <c r="M1590" s="164" t="str">
        <f ca="1">IFERROR(__xludf.DUMMYFUNCTION("""COMPUTED_VALUE"""),"SERVICEABLE")</f>
        <v>SERVICEABLE</v>
      </c>
      <c r="N1590" s="164"/>
    </row>
    <row r="1591" spans="1:14" ht="13.2" hidden="1">
      <c r="A1591" s="164" t="str">
        <f ca="1">IFERROR(__xludf.DUMMYFUNCTION("""COMPUTED_VALUE"""),"Region III")</f>
        <v>Region III</v>
      </c>
      <c r="B1591" s="164" t="str">
        <f ca="1">IFERROR(__xludf.DUMMYFUNCTION("""COMPUTED_VALUE"""),"Aurora")</f>
        <v>Aurora</v>
      </c>
      <c r="C1591" s="164" t="str">
        <f ca="1">IFERROR(__xludf.DUMMYFUNCTION("""COMPUTED_VALUE"""),"Motorcycle – (Honda XRL 150)")</f>
        <v>Motorcycle – (Honda XRL 150)</v>
      </c>
      <c r="D1591" s="164" t="str">
        <f ca="1">IFERROR(__xludf.DUMMYFUNCTION("""COMPUTED_VALUE"""),"₱ 124,900.00")</f>
        <v>₱ 124,900.00</v>
      </c>
      <c r="E1591" s="164" t="str">
        <f ca="1">IFERROR(__xludf.DUMMYFUNCTION("""COMPUTED_VALUE"""),"₱-")</f>
        <v>₱-</v>
      </c>
      <c r="F1591" s="164" t="str">
        <f ca="1">IFERROR(__xludf.DUMMYFUNCTION("""COMPUTED_VALUE"""),"2023-06-01-10202SP007-01")</f>
        <v>2023-06-01-10202SP007-01</v>
      </c>
      <c r="G1591" s="164" t="str">
        <f ca="1">IFERROR(__xludf.DUMMYFUNCTION("""COMPUTED_VALUE"""),"MV FILE NO. 130300001434933")</f>
        <v>MV FILE NO. 130300001434933</v>
      </c>
      <c r="H1591" s="164" t="str">
        <f ca="1">IFERROR(__xludf.DUMMYFUNCTION("""COMPUTED_VALUE"""),"JOHN C.VELASCO")</f>
        <v>JOHN C.VELASCO</v>
      </c>
      <c r="I1591" s="164" t="str">
        <f ca="1">IFERROR(__xludf.DUMMYFUNCTION("""COMPUTED_VALUE"""),"CAO")</f>
        <v>CAO</v>
      </c>
      <c r="J1591" s="164" t="str">
        <f ca="1">IFERROR(__xludf.DUMMYFUNCTION("""COMPUTED_VALUE"""),"2024-07-017")</f>
        <v>2024-07-017</v>
      </c>
      <c r="K1591" s="164" t="str">
        <f ca="1">IFERROR(__xludf.DUMMYFUNCTION("""COMPUTED_VALUE"""),"JOHN C.VELASCO")</f>
        <v>JOHN C.VELASCO</v>
      </c>
      <c r="L1591" s="164" t="str">
        <f ca="1">IFERROR(__xludf.DUMMYFUNCTION("""COMPUTED_VALUE"""),"DARPO Aurora")</f>
        <v>DARPO Aurora</v>
      </c>
      <c r="M1591" s="164" t="str">
        <f ca="1">IFERROR(__xludf.DUMMYFUNCTION("""COMPUTED_VALUE"""),"SERVICEABLE")</f>
        <v>SERVICEABLE</v>
      </c>
      <c r="N1591" s="164"/>
    </row>
    <row r="1592" spans="1:14" ht="13.2" hidden="1">
      <c r="A1592" s="164" t="str">
        <f ca="1">IFERROR(__xludf.DUMMYFUNCTION("""COMPUTED_VALUE"""),"Region III")</f>
        <v>Region III</v>
      </c>
      <c r="B1592" s="164" t="str">
        <f ca="1">IFERROR(__xludf.DUMMYFUNCTION("""COMPUTED_VALUE"""),"Bataan")</f>
        <v>Bataan</v>
      </c>
      <c r="C1592" s="164" t="str">
        <f ca="1">IFERROR(__xludf.DUMMYFUNCTION("""COMPUTED_VALUE"""),"Double Cabin Pick-up Vehicles – Mitsubishi Strada")</f>
        <v>Double Cabin Pick-up Vehicles – Mitsubishi Strada</v>
      </c>
      <c r="D1592" s="164" t="str">
        <f ca="1">IFERROR(__xludf.DUMMYFUNCTION("""COMPUTED_VALUE"""),"₱ 1,752,400.00")</f>
        <v>₱ 1,752,400.00</v>
      </c>
      <c r="E1592" s="164" t="str">
        <f ca="1">IFERROR(__xludf.DUMMYFUNCTION("""COMPUTED_VALUE"""),"₱-")</f>
        <v>₱-</v>
      </c>
      <c r="F1592" s="164" t="str">
        <f ca="1">IFERROR(__xludf.DUMMYFUNCTION("""COMPUTED_VALUE"""),"2023-06-01-10201SP30-01")</f>
        <v>2023-06-01-10201SP30-01</v>
      </c>
      <c r="G1592" s="164" t="str">
        <f ca="1">IFERROR(__xludf.DUMMYFUNCTION("""COMPUTED_VALUE"""),"SNC 1176")</f>
        <v>SNC 1176</v>
      </c>
      <c r="H1592" s="164" t="str">
        <f ca="1">IFERROR(__xludf.DUMMYFUNCTION("""COMPUTED_VALUE"""),"Engr. Emmanuel G. Aguinaldo")</f>
        <v>Engr. Emmanuel G. Aguinaldo</v>
      </c>
      <c r="I1592" s="164" t="str">
        <f ca="1">IFERROR(__xludf.DUMMYFUNCTION("""COMPUTED_VALUE"""),"PARPO II")</f>
        <v>PARPO II</v>
      </c>
      <c r="J1592" s="164" t="str">
        <f ca="1">IFERROR(__xludf.DUMMYFUNCTION("""COMPUTED_VALUE"""),"SPLIT-REF-056-SPD22-01A")</f>
        <v>SPLIT-REF-056-SPD22-01A</v>
      </c>
      <c r="K1592" s="164" t="str">
        <f ca="1">IFERROR(__xludf.DUMMYFUNCTION("""COMPUTED_VALUE"""),"Engr. Emmanuel G. Aguinaldo")</f>
        <v>Engr. Emmanuel G. Aguinaldo</v>
      </c>
      <c r="L1592" s="164" t="str">
        <f ca="1">IFERROR(__xludf.DUMMYFUNCTION("""COMPUTED_VALUE"""),"PARPO")</f>
        <v>PARPO</v>
      </c>
      <c r="M1592" s="164" t="str">
        <f ca="1">IFERROR(__xludf.DUMMYFUNCTION("""COMPUTED_VALUE"""),"SERVICEABLE")</f>
        <v>SERVICEABLE</v>
      </c>
      <c r="N1592" s="164"/>
    </row>
    <row r="1593" spans="1:14" ht="13.2" hidden="1">
      <c r="A1593" s="164" t="str">
        <f ca="1">IFERROR(__xludf.DUMMYFUNCTION("""COMPUTED_VALUE"""),"Region III")</f>
        <v>Region III</v>
      </c>
      <c r="B1593" s="164" t="str">
        <f ca="1">IFERROR(__xludf.DUMMYFUNCTION("""COMPUTED_VALUE"""),"Bataan")</f>
        <v>Bataan</v>
      </c>
      <c r="C1593" s="164" t="str">
        <f ca="1">IFERROR(__xludf.DUMMYFUNCTION("""COMPUTED_VALUE"""),"Motorcycle – (Honda XRL 150)")</f>
        <v>Motorcycle – (Honda XRL 150)</v>
      </c>
      <c r="D1593" s="164" t="str">
        <f ca="1">IFERROR(__xludf.DUMMYFUNCTION("""COMPUTED_VALUE"""),"₱ 124,900.00")</f>
        <v>₱ 124,900.00</v>
      </c>
      <c r="E1593" s="164" t="str">
        <f ca="1">IFERROR(__xludf.DUMMYFUNCTION("""COMPUTED_VALUE"""),"₱-")</f>
        <v>₱-</v>
      </c>
      <c r="F1593" s="164" t="str">
        <f ca="1">IFERROR(__xludf.DUMMYFUNCTION("""COMPUTED_VALUE"""),"2023-06-01-10202SP108-01")</f>
        <v>2023-06-01-10202SP108-01</v>
      </c>
      <c r="G1593" s="164" t="str">
        <f ca="1">IFERROR(__xludf.DUMMYFUNCTION("""COMPUTED_VALUE"""),"no plate available")</f>
        <v>no plate available</v>
      </c>
      <c r="H1593" s="164" t="str">
        <f ca="1">IFERROR(__xludf.DUMMYFUNCTION("""COMPUTED_VALUE"""),"Karl John B Santos")</f>
        <v>Karl John B Santos</v>
      </c>
      <c r="I1593" s="164" t="str">
        <f ca="1">IFERROR(__xludf.DUMMYFUNCTION("""COMPUTED_VALUE"""),"STOD")</f>
        <v>STOD</v>
      </c>
      <c r="J1593" s="164" t="str">
        <f ca="1">IFERROR(__xludf.DUMMYFUNCTION("""COMPUTED_VALUE"""),"2024-01-002")</f>
        <v>2024-01-002</v>
      </c>
      <c r="K1593" s="164" t="str">
        <f ca="1">IFERROR(__xludf.DUMMYFUNCTION("""COMPUTED_VALUE"""),"Karl John B Santos")</f>
        <v>Karl John B Santos</v>
      </c>
      <c r="L1593" s="164" t="str">
        <f ca="1">IFERROR(__xludf.DUMMYFUNCTION("""COMPUTED_VALUE"""),"DARPO Bataan")</f>
        <v>DARPO Bataan</v>
      </c>
      <c r="M1593" s="164" t="str">
        <f ca="1">IFERROR(__xludf.DUMMYFUNCTION("""COMPUTED_VALUE"""),"SERVICEABLE")</f>
        <v>SERVICEABLE</v>
      </c>
      <c r="N1593" s="164"/>
    </row>
    <row r="1594" spans="1:14" ht="13.2" hidden="1">
      <c r="A1594" s="164" t="str">
        <f ca="1">IFERROR(__xludf.DUMMYFUNCTION("""COMPUTED_VALUE"""),"Region III")</f>
        <v>Region III</v>
      </c>
      <c r="B1594" s="164" t="str">
        <f ca="1">IFERROR(__xludf.DUMMYFUNCTION("""COMPUTED_VALUE"""),"Bataan")</f>
        <v>Bataan</v>
      </c>
      <c r="C1594" s="164" t="str">
        <f ca="1">IFERROR(__xludf.DUMMYFUNCTION("""COMPUTED_VALUE"""),"Motorcycle – (Honda XRL 150)")</f>
        <v>Motorcycle – (Honda XRL 150)</v>
      </c>
      <c r="D1594" s="164" t="str">
        <f ca="1">IFERROR(__xludf.DUMMYFUNCTION("""COMPUTED_VALUE"""),"₱ 124,900.00")</f>
        <v>₱ 124,900.00</v>
      </c>
      <c r="E1594" s="164" t="str">
        <f ca="1">IFERROR(__xludf.DUMMYFUNCTION("""COMPUTED_VALUE"""),"₱-")</f>
        <v>₱-</v>
      </c>
      <c r="F1594" s="164" t="str">
        <f ca="1">IFERROR(__xludf.DUMMYFUNCTION("""COMPUTED_VALUE"""),"2023-06-01-10202SP109-01")</f>
        <v>2023-06-01-10202SP109-01</v>
      </c>
      <c r="G1594" s="164" t="str">
        <f ca="1">IFERROR(__xludf.DUMMYFUNCTION("""COMPUTED_VALUE"""),"no plate available")</f>
        <v>no plate available</v>
      </c>
      <c r="H1594" s="164" t="str">
        <f ca="1">IFERROR(__xludf.DUMMYFUNCTION("""COMPUTED_VALUE"""),"Erickson Reyes")</f>
        <v>Erickson Reyes</v>
      </c>
      <c r="I1594" s="164" t="str">
        <f ca="1">IFERROR(__xludf.DUMMYFUNCTION("""COMPUTED_VALUE"""),"SARPT")</f>
        <v>SARPT</v>
      </c>
      <c r="J1594" s="164" t="str">
        <f ca="1">IFERROR(__xludf.DUMMYFUNCTION("""COMPUTED_VALUE"""),"2024-01-003")</f>
        <v>2024-01-003</v>
      </c>
      <c r="K1594" s="164" t="str">
        <f ca="1">IFERROR(__xludf.DUMMYFUNCTION("""COMPUTED_VALUE"""),"Benedick C De Mesa")</f>
        <v>Benedick C De Mesa</v>
      </c>
      <c r="L1594" s="164" t="str">
        <f ca="1">IFERROR(__xludf.DUMMYFUNCTION("""COMPUTED_VALUE"""),"DARPO Bataan")</f>
        <v>DARPO Bataan</v>
      </c>
      <c r="M1594" s="164" t="str">
        <f ca="1">IFERROR(__xludf.DUMMYFUNCTION("""COMPUTED_VALUE"""),"SERVICEABLE")</f>
        <v>SERVICEABLE</v>
      </c>
      <c r="N1594" s="164"/>
    </row>
    <row r="1595" spans="1:14" ht="13.2" hidden="1">
      <c r="A1595" s="164" t="str">
        <f ca="1">IFERROR(__xludf.DUMMYFUNCTION("""COMPUTED_VALUE"""),"Region III")</f>
        <v>Region III</v>
      </c>
      <c r="B1595" s="164" t="str">
        <f ca="1">IFERROR(__xludf.DUMMYFUNCTION("""COMPUTED_VALUE"""),"Zambales")</f>
        <v>Zambales</v>
      </c>
      <c r="C1595" s="164" t="str">
        <f ca="1">IFERROR(__xludf.DUMMYFUNCTION("""COMPUTED_VALUE"""),"Double Cabin Pick-up Vehicles – Mitsubishi Strada")</f>
        <v>Double Cabin Pick-up Vehicles – Mitsubishi Strada</v>
      </c>
      <c r="D1595" s="164" t="str">
        <f ca="1">IFERROR(__xludf.DUMMYFUNCTION("""COMPUTED_VALUE"""),"₱ 1,752,400.00")</f>
        <v>₱ 1,752,400.00</v>
      </c>
      <c r="E1595" s="164" t="str">
        <f ca="1">IFERROR(__xludf.DUMMYFUNCTION("""COMPUTED_VALUE"""),"₱-")</f>
        <v>₱-</v>
      </c>
      <c r="F1595" s="164" t="str">
        <f ca="1">IFERROR(__xludf.DUMMYFUNCTION("""COMPUTED_VALUE"""),"2023-06-01-10201SP32-01")</f>
        <v>2023-06-01-10201SP32-01</v>
      </c>
      <c r="G1595" s="164" t="str">
        <f ca="1">IFERROR(__xludf.DUMMYFUNCTION("""COMPUTED_VALUE"""),"SNC 1192")</f>
        <v>SNC 1192</v>
      </c>
      <c r="H1595" s="164" t="str">
        <f ca="1">IFERROR(__xludf.DUMMYFUNCTION("""COMPUTED_VALUE"""),"Engr. Emmanuel G. Aguinaldo")</f>
        <v>Engr. Emmanuel G. Aguinaldo</v>
      </c>
      <c r="I1595" s="164" t="str">
        <f ca="1">IFERROR(__xludf.DUMMYFUNCTION("""COMPUTED_VALUE"""),"PARPO II")</f>
        <v>PARPO II</v>
      </c>
      <c r="J1595" s="164" t="str">
        <f ca="1">IFERROR(__xludf.DUMMYFUNCTION("""COMPUTED_VALUE"""),"DZP-VEHICLE (STRADA)-2023-001")</f>
        <v>DZP-VEHICLE (STRADA)-2023-001</v>
      </c>
      <c r="K1595" s="164" t="str">
        <f ca="1">IFERROR(__xludf.DUMMYFUNCTION("""COMPUTED_VALUE"""),"Engr. Emmanuel G. Aguinaldo")</f>
        <v>Engr. Emmanuel G. Aguinaldo</v>
      </c>
      <c r="L1595" s="164" t="str">
        <f ca="1">IFERROR(__xludf.DUMMYFUNCTION("""COMPUTED_VALUE"""),"PARPO")</f>
        <v>PARPO</v>
      </c>
      <c r="M1595" s="164" t="str">
        <f ca="1">IFERROR(__xludf.DUMMYFUNCTION("""COMPUTED_VALUE"""),"SERVICEABLE")</f>
        <v>SERVICEABLE</v>
      </c>
      <c r="N1595" s="164"/>
    </row>
    <row r="1596" spans="1:14" ht="13.2" hidden="1">
      <c r="A1596" s="164" t="str">
        <f ca="1">IFERROR(__xludf.DUMMYFUNCTION("""COMPUTED_VALUE"""),"Region III")</f>
        <v>Region III</v>
      </c>
      <c r="B1596" s="164" t="str">
        <f ca="1">IFERROR(__xludf.DUMMYFUNCTION("""COMPUTED_VALUE"""),"Zambales")</f>
        <v>Zambales</v>
      </c>
      <c r="C1596" s="164" t="str">
        <f ca="1">IFERROR(__xludf.DUMMYFUNCTION("""COMPUTED_VALUE"""),"Motorcycle – (Honda XRL 150)")</f>
        <v>Motorcycle – (Honda XRL 150)</v>
      </c>
      <c r="D1596" s="164" t="str">
        <f ca="1">IFERROR(__xludf.DUMMYFUNCTION("""COMPUTED_VALUE"""),"₱ 124,900.00")</f>
        <v>₱ 124,900.00</v>
      </c>
      <c r="E1596" s="164" t="str">
        <f ca="1">IFERROR(__xludf.DUMMYFUNCTION("""COMPUTED_VALUE"""),"₱-")</f>
        <v>₱-</v>
      </c>
      <c r="F1596" s="164" t="str">
        <f ca="1">IFERROR(__xludf.DUMMYFUNCTION("""COMPUTED_VALUE"""),"2023-06-01-10202SP122-01")</f>
        <v>2023-06-01-10202SP122-01</v>
      </c>
      <c r="G1596" s="164" t="str">
        <f ca="1">IFERROR(__xludf.DUMMYFUNCTION("""COMPUTED_VALUE"""),"no plate available")</f>
        <v>no plate available</v>
      </c>
      <c r="H1596" s="164" t="str">
        <f ca="1">IFERROR(__xludf.DUMMYFUNCTION("""COMPUTED_VALUE"""),"Janette R. Famularcano")</f>
        <v>Janette R. Famularcano</v>
      </c>
      <c r="I1596" s="164" t="str">
        <f ca="1">IFERROR(__xludf.DUMMYFUNCTION("""COMPUTED_VALUE"""),"SARPT")</f>
        <v>SARPT</v>
      </c>
      <c r="J1596" s="164" t="str">
        <f ca="1">IFERROR(__xludf.DUMMYFUNCTION("""COMPUTED_VALUE"""),"DZP-MC-2023-001")</f>
        <v>DZP-MC-2023-001</v>
      </c>
      <c r="K1596" s="164" t="str">
        <f ca="1">IFERROR(__xludf.DUMMYFUNCTION("""COMPUTED_VALUE"""),"Janette R. Famularcano")</f>
        <v>Janette R. Famularcano</v>
      </c>
      <c r="L1596" s="164" t="str">
        <f ca="1">IFERROR(__xludf.DUMMYFUNCTION("""COMPUTED_VALUE"""),"LTSP")</f>
        <v>LTSP</v>
      </c>
      <c r="M1596" s="164" t="str">
        <f ca="1">IFERROR(__xludf.DUMMYFUNCTION("""COMPUTED_VALUE"""),"SERVICEABLE")</f>
        <v>SERVICEABLE</v>
      </c>
      <c r="N1596" s="164"/>
    </row>
    <row r="1597" spans="1:14" ht="13.2" hidden="1">
      <c r="A1597" s="164" t="str">
        <f ca="1">IFERROR(__xludf.DUMMYFUNCTION("""COMPUTED_VALUE"""),"Region III")</f>
        <v>Region III</v>
      </c>
      <c r="B1597" s="164" t="str">
        <f ca="1">IFERROR(__xludf.DUMMYFUNCTION("""COMPUTED_VALUE"""),"Zambales")</f>
        <v>Zambales</v>
      </c>
      <c r="C1597" s="164" t="str">
        <f ca="1">IFERROR(__xludf.DUMMYFUNCTION("""COMPUTED_VALUE"""),"Motorcycle – (Honda XRL 150)")</f>
        <v>Motorcycle – (Honda XRL 150)</v>
      </c>
      <c r="D1597" s="164" t="str">
        <f ca="1">IFERROR(__xludf.DUMMYFUNCTION("""COMPUTED_VALUE"""),"₱ 124,900.00")</f>
        <v>₱ 124,900.00</v>
      </c>
      <c r="E1597" s="164" t="str">
        <f ca="1">IFERROR(__xludf.DUMMYFUNCTION("""COMPUTED_VALUE"""),"₱-")</f>
        <v>₱-</v>
      </c>
      <c r="F1597" s="164" t="str">
        <f ca="1">IFERROR(__xludf.DUMMYFUNCTION("""COMPUTED_VALUE"""),"2023-06-01-10202SP124-01")</f>
        <v>2023-06-01-10202SP124-01</v>
      </c>
      <c r="G1597" s="164" t="str">
        <f ca="1">IFERROR(__xludf.DUMMYFUNCTION("""COMPUTED_VALUE"""),"no plate available")</f>
        <v>no plate available</v>
      </c>
      <c r="H1597" s="164" t="str">
        <f ca="1">IFERROR(__xludf.DUMMYFUNCTION("""COMPUTED_VALUE"""),"Richard O. Rivera")</f>
        <v>Richard O. Rivera</v>
      </c>
      <c r="I1597" s="164" t="str">
        <f ca="1">IFERROR(__xludf.DUMMYFUNCTION("""COMPUTED_VALUE"""),"ARPT")</f>
        <v>ARPT</v>
      </c>
      <c r="J1597" s="164" t="str">
        <f ca="1">IFERROR(__xludf.DUMMYFUNCTION("""COMPUTED_VALUE"""),"DZP-MC-2023-003")</f>
        <v>DZP-MC-2023-003</v>
      </c>
      <c r="K1597" s="164" t="str">
        <f ca="1">IFERROR(__xludf.DUMMYFUNCTION("""COMPUTED_VALUE"""),"Richard O. Rivera")</f>
        <v>Richard O. Rivera</v>
      </c>
      <c r="L1597" s="164" t="str">
        <f ca="1">IFERROR(__xludf.DUMMYFUNCTION("""COMPUTED_VALUE"""),"Planning")</f>
        <v>Planning</v>
      </c>
      <c r="M1597" s="164" t="str">
        <f ca="1">IFERROR(__xludf.DUMMYFUNCTION("""COMPUTED_VALUE"""),"SERVICEABLE")</f>
        <v>SERVICEABLE</v>
      </c>
      <c r="N1597" s="164"/>
    </row>
    <row r="1598" spans="1:14" ht="13.2" hidden="1">
      <c r="A1598" s="164" t="str">
        <f ca="1">IFERROR(__xludf.DUMMYFUNCTION("""COMPUTED_VALUE"""),"Region III")</f>
        <v>Region III</v>
      </c>
      <c r="B1598" s="164" t="str">
        <f ca="1">IFERROR(__xludf.DUMMYFUNCTION("""COMPUTED_VALUE"""),"Zambales")</f>
        <v>Zambales</v>
      </c>
      <c r="C1598" s="164" t="str">
        <f ca="1">IFERROR(__xludf.DUMMYFUNCTION("""COMPUTED_VALUE"""),"Motorcycle – (Honda XRL 150)")</f>
        <v>Motorcycle – (Honda XRL 150)</v>
      </c>
      <c r="D1598" s="164" t="str">
        <f ca="1">IFERROR(__xludf.DUMMYFUNCTION("""COMPUTED_VALUE"""),"₱ 124,900.00")</f>
        <v>₱ 124,900.00</v>
      </c>
      <c r="E1598" s="164" t="str">
        <f ca="1">IFERROR(__xludf.DUMMYFUNCTION("""COMPUTED_VALUE"""),"₱-")</f>
        <v>₱-</v>
      </c>
      <c r="F1598" s="164" t="str">
        <f ca="1">IFERROR(__xludf.DUMMYFUNCTION("""COMPUTED_VALUE"""),"2023-06-01-10202SP125-01")</f>
        <v>2023-06-01-10202SP125-01</v>
      </c>
      <c r="G1598" s="164" t="str">
        <f ca="1">IFERROR(__xludf.DUMMYFUNCTION("""COMPUTED_VALUE"""),"no plate available")</f>
        <v>no plate available</v>
      </c>
      <c r="H1598" s="164" t="str">
        <f ca="1">IFERROR(__xludf.DUMMYFUNCTION("""COMPUTED_VALUE"""),"John O. Castrence")</f>
        <v>John O. Castrence</v>
      </c>
      <c r="I1598" s="164" t="str">
        <f ca="1">IFERROR(__xludf.DUMMYFUNCTION("""COMPUTED_VALUE"""),"ADMIN AIDE VI")</f>
        <v>ADMIN AIDE VI</v>
      </c>
      <c r="J1598" s="164" t="str">
        <f ca="1">IFERROR(__xludf.DUMMYFUNCTION("""COMPUTED_VALUE"""),"DZP-MC-2023-004")</f>
        <v>DZP-MC-2023-004</v>
      </c>
      <c r="K1598" s="164" t="str">
        <f ca="1">IFERROR(__xludf.DUMMYFUNCTION("""COMPUTED_VALUE"""),"John O. Castrence")</f>
        <v>John O. Castrence</v>
      </c>
      <c r="L1598" s="164" t="str">
        <f ca="1">IFERROR(__xludf.DUMMYFUNCTION("""COMPUTED_VALUE"""),"LTSP")</f>
        <v>LTSP</v>
      </c>
      <c r="M1598" s="164" t="str">
        <f ca="1">IFERROR(__xludf.DUMMYFUNCTION("""COMPUTED_VALUE"""),"SERVICEABLE")</f>
        <v>SERVICEABLE</v>
      </c>
      <c r="N1598" s="164"/>
    </row>
    <row r="1599" spans="1:14" ht="13.2" hidden="1">
      <c r="A1599" s="164" t="str">
        <f ca="1">IFERROR(__xludf.DUMMYFUNCTION("""COMPUTED_VALUE"""),"Region III")</f>
        <v>Region III</v>
      </c>
      <c r="B1599" s="164" t="str">
        <f ca="1">IFERROR(__xludf.DUMMYFUNCTION("""COMPUTED_VALUE"""),"Zambales")</f>
        <v>Zambales</v>
      </c>
      <c r="C1599" s="164" t="str">
        <f ca="1">IFERROR(__xludf.DUMMYFUNCTION("""COMPUTED_VALUE"""),"Motorcycle – (Honda XRL 150)")</f>
        <v>Motorcycle – (Honda XRL 150)</v>
      </c>
      <c r="D1599" s="164" t="str">
        <f ca="1">IFERROR(__xludf.DUMMYFUNCTION("""COMPUTED_VALUE"""),"₱ 124,900.00")</f>
        <v>₱ 124,900.00</v>
      </c>
      <c r="E1599" s="164" t="str">
        <f ca="1">IFERROR(__xludf.DUMMYFUNCTION("""COMPUTED_VALUE"""),"₱-")</f>
        <v>₱-</v>
      </c>
      <c r="F1599" s="164" t="str">
        <f ca="1">IFERROR(__xludf.DUMMYFUNCTION("""COMPUTED_VALUE"""),"2023-06-01-10202SP126-01")</f>
        <v>2023-06-01-10202SP126-01</v>
      </c>
      <c r="G1599" s="164" t="str">
        <f ca="1">IFERROR(__xludf.DUMMYFUNCTION("""COMPUTED_VALUE"""),"no plate available")</f>
        <v>no plate available</v>
      </c>
      <c r="H1599" s="164" t="str">
        <f ca="1">IFERROR(__xludf.DUMMYFUNCTION("""COMPUTED_VALUE"""),"Edcel F. Gonzales")</f>
        <v>Edcel F. Gonzales</v>
      </c>
      <c r="I1599" s="164" t="str">
        <f ca="1">IFERROR(__xludf.DUMMYFUNCTION("""COMPUTED_VALUE"""),"SARPT")</f>
        <v>SARPT</v>
      </c>
      <c r="J1599" s="164" t="str">
        <f ca="1">IFERROR(__xludf.DUMMYFUNCTION("""COMPUTED_VALUE"""),"DZP-MC-2023-005")</f>
        <v>DZP-MC-2023-005</v>
      </c>
      <c r="K1599" s="164" t="str">
        <f ca="1">IFERROR(__xludf.DUMMYFUNCTION("""COMPUTED_VALUE"""),"Edcel F. Gonzales")</f>
        <v>Edcel F. Gonzales</v>
      </c>
      <c r="L1599" s="164" t="str">
        <f ca="1">IFERROR(__xludf.DUMMYFUNCTION("""COMPUTED_VALUE"""),"STOD")</f>
        <v>STOD</v>
      </c>
      <c r="M1599" s="164" t="str">
        <f ca="1">IFERROR(__xludf.DUMMYFUNCTION("""COMPUTED_VALUE"""),"SERVICEABLE")</f>
        <v>SERVICEABLE</v>
      </c>
      <c r="N1599" s="164"/>
    </row>
    <row r="1600" spans="1:14" ht="13.2" hidden="1">
      <c r="A1600" s="164" t="str">
        <f ca="1">IFERROR(__xludf.DUMMYFUNCTION("""COMPUTED_VALUE"""),"Region III")</f>
        <v>Region III</v>
      </c>
      <c r="B1600" s="164" t="str">
        <f ca="1">IFERROR(__xludf.DUMMYFUNCTION("""COMPUTED_VALUE"""),"Bulacan")</f>
        <v>Bulacan</v>
      </c>
      <c r="C1600" s="164" t="str">
        <f ca="1">IFERROR(__xludf.DUMMYFUNCTION("""COMPUTED_VALUE"""),"Double Cabin Pick-up Vehicles – Mitsubishi Strada")</f>
        <v>Double Cabin Pick-up Vehicles – Mitsubishi Strada</v>
      </c>
      <c r="D1600" s="164" t="str">
        <f ca="1">IFERROR(__xludf.DUMMYFUNCTION("""COMPUTED_VALUE"""),"₱ 1,752,400.00")</f>
        <v>₱ 1,752,400.00</v>
      </c>
      <c r="E1600" s="164" t="str">
        <f ca="1">IFERROR(__xludf.DUMMYFUNCTION("""COMPUTED_VALUE"""),"₱-")</f>
        <v>₱-</v>
      </c>
      <c r="F1600" s="164" t="str">
        <f ca="1">IFERROR(__xludf.DUMMYFUNCTION("""COMPUTED_VALUE"""),"2023-06-01-10201SP35-01")</f>
        <v>2023-06-01-10201SP35-01</v>
      </c>
      <c r="G1600" s="164" t="str">
        <f ca="1">IFERROR(__xludf.DUMMYFUNCTION("""COMPUTED_VALUE"""),"SNC 1121")</f>
        <v>SNC 1121</v>
      </c>
      <c r="H1600" s="164" t="str">
        <f ca="1">IFERROR(__xludf.DUMMYFUNCTION("""COMPUTED_VALUE"""),"ANTONIO B. SANCHEZ")</f>
        <v>ANTONIO B. SANCHEZ</v>
      </c>
      <c r="I1600" s="164" t="str">
        <f ca="1">IFERROR(__xludf.DUMMYFUNCTION("""COMPUTED_VALUE"""),"PARPO II")</f>
        <v>PARPO II</v>
      </c>
      <c r="J1600" s="164" t="str">
        <f ca="1">IFERROR(__xludf.DUMMYFUNCTION("""COMPUTED_VALUE"""),"2023-09-005")</f>
        <v>2023-09-005</v>
      </c>
      <c r="K1600" s="164" t="str">
        <f ca="1">IFERROR(__xludf.DUMMYFUNCTION("""COMPUTED_VALUE"""),"PPMO")</f>
        <v>PPMO</v>
      </c>
      <c r="L1600" s="164" t="str">
        <f ca="1">IFERROR(__xludf.DUMMYFUNCTION("""COMPUTED_VALUE"""),"PARO OFFICE")</f>
        <v>PARO OFFICE</v>
      </c>
      <c r="M1600" s="164" t="str">
        <f ca="1">IFERROR(__xludf.DUMMYFUNCTION("""COMPUTED_VALUE"""),"SERVICEABLE")</f>
        <v>SERVICEABLE</v>
      </c>
      <c r="N1600" s="164"/>
    </row>
    <row r="1601" spans="1:14" ht="13.2" hidden="1">
      <c r="A1601" s="164" t="str">
        <f ca="1">IFERROR(__xludf.DUMMYFUNCTION("""COMPUTED_VALUE"""),"Region III")</f>
        <v>Region III</v>
      </c>
      <c r="B1601" s="164" t="str">
        <f ca="1">IFERROR(__xludf.DUMMYFUNCTION("""COMPUTED_VALUE"""),"Bulacan")</f>
        <v>Bulacan</v>
      </c>
      <c r="C1601" s="164" t="str">
        <f ca="1">IFERROR(__xludf.DUMMYFUNCTION("""COMPUTED_VALUE"""),"Motorcycle – (Honda XRL 150)")</f>
        <v>Motorcycle – (Honda XRL 150)</v>
      </c>
      <c r="D1601" s="164" t="str">
        <f ca="1">IFERROR(__xludf.DUMMYFUNCTION("""COMPUTED_VALUE"""),"₱ 124,900.00")</f>
        <v>₱ 124,900.00</v>
      </c>
      <c r="E1601" s="164" t="str">
        <f ca="1">IFERROR(__xludf.DUMMYFUNCTION("""COMPUTED_VALUE"""),"₱-")</f>
        <v>₱-</v>
      </c>
      <c r="F1601" s="164" t="str">
        <f ca="1">IFERROR(__xludf.DUMMYFUNCTION("""COMPUTED_VALUE"""),"2023-06-01-10202SP126-01
 2023-02-01-102-025P110-01")</f>
        <v>2023-06-01-10202SP126-01
 2023-02-01-102-025P110-01</v>
      </c>
      <c r="G1601" s="164" t="str">
        <f ca="1">IFERROR(__xludf.DUMMYFUNCTION("""COMPUTED_VALUE"""),"no plate available")</f>
        <v>no plate available</v>
      </c>
      <c r="H1601" s="164" t="str">
        <f ca="1">IFERROR(__xludf.DUMMYFUNCTION("""COMPUTED_VALUE"""),"ISABEL S. AZURIN")</f>
        <v>ISABEL S. AZURIN</v>
      </c>
      <c r="I1601" s="164" t="str">
        <f ca="1">IFERROR(__xludf.DUMMYFUNCTION("""COMPUTED_VALUE"""),"CARPO")</f>
        <v>CARPO</v>
      </c>
      <c r="J1601" s="164" t="str">
        <f ca="1">IFERROR(__xludf.DUMMYFUNCTION("""COMPUTED_VALUE"""),"2023-01-001
 2023-02-001")</f>
        <v>2023-01-001
 2023-02-001</v>
      </c>
      <c r="K1601" s="164" t="str">
        <f ca="1">IFERROR(__xludf.DUMMYFUNCTION("""COMPUTED_VALUE"""),"FVT")</f>
        <v>FVT</v>
      </c>
      <c r="L1601" s="164" t="str">
        <f ca="1">IFERROR(__xludf.DUMMYFUNCTION("""COMPUTED_VALUE"""),"LTID")</f>
        <v>LTID</v>
      </c>
      <c r="M1601" s="164" t="str">
        <f ca="1">IFERROR(__xludf.DUMMYFUNCTION("""COMPUTED_VALUE"""),"SERVICEABLE")</f>
        <v>SERVICEABLE</v>
      </c>
      <c r="N1601" s="164"/>
    </row>
    <row r="1602" spans="1:14" ht="13.2" hidden="1">
      <c r="A1602" s="164" t="str">
        <f ca="1">IFERROR(__xludf.DUMMYFUNCTION("""COMPUTED_VALUE"""),"Region III")</f>
        <v>Region III</v>
      </c>
      <c r="B1602" s="164" t="str">
        <f ca="1">IFERROR(__xludf.DUMMYFUNCTION("""COMPUTED_VALUE"""),"Bulacan")</f>
        <v>Bulacan</v>
      </c>
      <c r="C1602" s="164" t="str">
        <f ca="1">IFERROR(__xludf.DUMMYFUNCTION("""COMPUTED_VALUE"""),"Motorcycle – (Honda XRL 150)")</f>
        <v>Motorcycle – (Honda XRL 150)</v>
      </c>
      <c r="D1602" s="164" t="str">
        <f ca="1">IFERROR(__xludf.DUMMYFUNCTION("""COMPUTED_VALUE"""),"₱ 124,900.00")</f>
        <v>₱ 124,900.00</v>
      </c>
      <c r="E1602" s="164" t="str">
        <f ca="1">IFERROR(__xludf.DUMMYFUNCTION("""COMPUTED_VALUE"""),"₱-")</f>
        <v>₱-</v>
      </c>
      <c r="F1602" s="164" t="str">
        <f ca="1">IFERROR(__xludf.DUMMYFUNCTION("""COMPUTED_VALUE"""),"2023-06-01-10202SP126-01
 2023-02-01-102-025P111-01")</f>
        <v>2023-06-01-10202SP126-01
 2023-02-01-102-025P111-01</v>
      </c>
      <c r="G1602" s="164" t="str">
        <f ca="1">IFERROR(__xludf.DUMMYFUNCTION("""COMPUTED_VALUE"""),"no plate available")</f>
        <v>no plate available</v>
      </c>
      <c r="H1602" s="164" t="str">
        <f ca="1">IFERROR(__xludf.DUMMYFUNCTION("""COMPUTED_VALUE"""),"VICTOR ROMMEL N. MAGNO")</f>
        <v>VICTOR ROMMEL N. MAGNO</v>
      </c>
      <c r="I1602" s="164" t="str">
        <f ca="1">IFERROR(__xludf.DUMMYFUNCTION("""COMPUTED_VALUE"""),"AO IV")</f>
        <v>AO IV</v>
      </c>
      <c r="J1602" s="164" t="str">
        <f ca="1">IFERROR(__xludf.DUMMYFUNCTION("""COMPUTED_VALUE"""),"2023-01-002")</f>
        <v>2023-01-002</v>
      </c>
      <c r="K1602" s="164" t="str">
        <f ca="1">IFERROR(__xludf.DUMMYFUNCTION("""COMPUTED_VALUE"""),"VICTOR ROMMEL N. MAGNO
 RODEL V. EGUIA")</f>
        <v>VICTOR ROMMEL N. MAGNO
 RODEL V. EGUIA</v>
      </c>
      <c r="L1602" s="164" t="str">
        <f ca="1">IFERROR(__xludf.DUMMYFUNCTION("""COMPUTED_VALUE"""),"DARMO")</f>
        <v>DARMO</v>
      </c>
      <c r="M1602" s="164" t="str">
        <f ca="1">IFERROR(__xludf.DUMMYFUNCTION("""COMPUTED_VALUE"""),"SERVICEABLE")</f>
        <v>SERVICEABLE</v>
      </c>
      <c r="N1602" s="164"/>
    </row>
    <row r="1603" spans="1:14" ht="13.2">
      <c r="A1603" s="164" t="str">
        <f ca="1">IFERROR(__xludf.DUMMYFUNCTION("""COMPUTED_VALUE"""),"Region III")</f>
        <v>Region III</v>
      </c>
      <c r="B1603" s="164" t="str">
        <f ca="1">IFERROR(__xludf.DUMMYFUNCTION("""COMPUTED_VALUE"""),"Nueva Ecija")</f>
        <v>Nueva Ecija</v>
      </c>
      <c r="C1603" s="164" t="str">
        <f ca="1">IFERROR(__xludf.DUMMYFUNCTION("""COMPUTED_VALUE"""),"Motorcycle – (Honda XRL 150)")</f>
        <v>Motorcycle – (Honda XRL 150)</v>
      </c>
      <c r="D1603" s="164" t="str">
        <f ca="1">IFERROR(__xludf.DUMMYFUNCTION("""COMPUTED_VALUE"""),"₱ 124,900.00")</f>
        <v>₱ 124,900.00</v>
      </c>
      <c r="E1603" s="164" t="str">
        <f ca="1">IFERROR(__xludf.DUMMYFUNCTION("""COMPUTED_VALUE"""),"₱-")</f>
        <v>₱-</v>
      </c>
      <c r="F1603" s="164" t="str">
        <f ca="1">IFERROR(__xludf.DUMMYFUNCTION("""COMPUTED_VALUE"""),"2023-06-01-10202SP112-01")</f>
        <v>2023-06-01-10202SP112-01</v>
      </c>
      <c r="G1603" s="164" t="str">
        <f ca="1">IFERROR(__xludf.DUMMYFUNCTION("""COMPUTED_VALUE"""),"MV FILE NO. 
 1303-00001434938")</f>
        <v>MV FILE NO. 
 1303-00001434938</v>
      </c>
      <c r="H1603" s="164" t="str">
        <f ca="1">IFERROR(__xludf.DUMMYFUNCTION("""COMPUTED_VALUE"""),"JEROME P MENDOZA")</f>
        <v>JEROME P MENDOZA</v>
      </c>
      <c r="I1603" s="164" t="str">
        <f ca="1">IFERROR(__xludf.DUMMYFUNCTION("""COMPUTED_VALUE"""),"PARCELIZATION SUPPORT STAFF")</f>
        <v>PARCELIZATION SUPPORT STAFF</v>
      </c>
      <c r="J1603" s="164" t="str">
        <f ca="1">IFERROR(__xludf.DUMMYFUNCTION("""COMPUTED_VALUE"""),"2023-05-007")</f>
        <v>2023-05-007</v>
      </c>
      <c r="K1603" s="164" t="str">
        <f ca="1">IFERROR(__xludf.DUMMYFUNCTION("""COMPUTED_VALUE"""),"JEROME P MENDOZA")</f>
        <v>JEROME P MENDOZA</v>
      </c>
      <c r="L1603" s="164" t="str">
        <f ca="1">IFERROR(__xludf.DUMMYFUNCTION("""COMPUTED_VALUE"""),"LTID")</f>
        <v>LTID</v>
      </c>
      <c r="M1603" s="164" t="str">
        <f ca="1">IFERROR(__xludf.DUMMYFUNCTION("""COMPUTED_VALUE"""),"SERVICEABLE")</f>
        <v>SERVICEABLE</v>
      </c>
      <c r="N1603" s="164" t="str">
        <f ca="1">IFERROR(__xludf.DUMMYFUNCTION("""COMPUTED_VALUE"""),"This cancelled PAR 
 2023-05007 issuwd to Rio M. Cortez")</f>
        <v>This cancelled PAR 
 2023-05007 issuwd to Rio M. Cortez</v>
      </c>
    </row>
    <row r="1604" spans="1:14" ht="13.2">
      <c r="A1604" s="164" t="str">
        <f ca="1">IFERROR(__xludf.DUMMYFUNCTION("""COMPUTED_VALUE"""),"Region III")</f>
        <v>Region III</v>
      </c>
      <c r="B1604" s="164" t="str">
        <f ca="1">IFERROR(__xludf.DUMMYFUNCTION("""COMPUTED_VALUE"""),"Nueva Ecija")</f>
        <v>Nueva Ecija</v>
      </c>
      <c r="C1604" s="164" t="str">
        <f ca="1">IFERROR(__xludf.DUMMYFUNCTION("""COMPUTED_VALUE"""),"Motorcycle – (Honda XRL 150)")</f>
        <v>Motorcycle – (Honda XRL 150)</v>
      </c>
      <c r="D1604" s="164" t="str">
        <f ca="1">IFERROR(__xludf.DUMMYFUNCTION("""COMPUTED_VALUE"""),"₱ 124,900.00")</f>
        <v>₱ 124,900.00</v>
      </c>
      <c r="E1604" s="164" t="str">
        <f ca="1">IFERROR(__xludf.DUMMYFUNCTION("""COMPUTED_VALUE"""),"₱-")</f>
        <v>₱-</v>
      </c>
      <c r="F1604" s="164" t="str">
        <f ca="1">IFERROR(__xludf.DUMMYFUNCTION("""COMPUTED_VALUE"""),"2023-06-01-10202SP113-01")</f>
        <v>2023-06-01-10202SP113-01</v>
      </c>
      <c r="G1604" s="164" t="str">
        <f ca="1">IFERROR(__xludf.DUMMYFUNCTION("""COMPUTED_VALUE"""),"MV FILE NO.
  1303-00001434939")</f>
        <v>MV FILE NO.
  1303-00001434939</v>
      </c>
      <c r="H1604" s="164" t="str">
        <f ca="1">IFERROR(__xludf.DUMMYFUNCTION("""COMPUTED_VALUE"""),"DELVIE DR. GROSPE")</f>
        <v>DELVIE DR. GROSPE</v>
      </c>
      <c r="I1604" s="164" t="str">
        <f ca="1">IFERROR(__xludf.DUMMYFUNCTION("""COMPUTED_VALUE"""),"CHIEF GS")</f>
        <v>CHIEF GS</v>
      </c>
      <c r="J1604" s="164" t="str">
        <f ca="1">IFERROR(__xludf.DUMMYFUNCTION("""COMPUTED_VALUE"""),"2023-06-025")</f>
        <v>2023-06-025</v>
      </c>
      <c r="K1604" s="164" t="str">
        <f ca="1">IFERROR(__xludf.DUMMYFUNCTION("""COMPUTED_VALUE"""),"ENGR IMELDA G SIOSON")</f>
        <v>ENGR IMELDA G SIOSON</v>
      </c>
      <c r="L1604" s="164" t="str">
        <f ca="1">IFERROR(__xludf.DUMMYFUNCTION("""COMPUTED_VALUE"""),"DARPO NUEVA ECIJA")</f>
        <v>DARPO NUEVA ECIJA</v>
      </c>
      <c r="M1604" s="164" t="str">
        <f ca="1">IFERROR(__xludf.DUMMYFUNCTION("""COMPUTED_VALUE"""),"SERVICEABLE")</f>
        <v>SERVICEABLE</v>
      </c>
      <c r="N1604" s="164" t="str">
        <f ca="1">IFERROR(__xludf.DUMMYFUNCTION("""COMPUTED_VALUE"""),"Cancelled PAR issued to Richard DR. Grospe")</f>
        <v>Cancelled PAR issued to Richard DR. Grospe</v>
      </c>
    </row>
    <row r="1605" spans="1:14" ht="13.2">
      <c r="A1605" s="164" t="str">
        <f ca="1">IFERROR(__xludf.DUMMYFUNCTION("""COMPUTED_VALUE"""),"Region III")</f>
        <v>Region III</v>
      </c>
      <c r="B1605" s="164" t="str">
        <f ca="1">IFERROR(__xludf.DUMMYFUNCTION("""COMPUTED_VALUE"""),"Nueva Ecija")</f>
        <v>Nueva Ecija</v>
      </c>
      <c r="C1605" s="164" t="str">
        <f ca="1">IFERROR(__xludf.DUMMYFUNCTION("""COMPUTED_VALUE"""),"Motorcycle – (Honda XRL 150)")</f>
        <v>Motorcycle – (Honda XRL 150)</v>
      </c>
      <c r="D1605" s="164" t="str">
        <f ca="1">IFERROR(__xludf.DUMMYFUNCTION("""COMPUTED_VALUE"""),"₱ 124,900.00")</f>
        <v>₱ 124,900.00</v>
      </c>
      <c r="E1605" s="164" t="str">
        <f ca="1">IFERROR(__xludf.DUMMYFUNCTION("""COMPUTED_VALUE"""),"₱-")</f>
        <v>₱-</v>
      </c>
      <c r="F1605" s="164" t="str">
        <f ca="1">IFERROR(__xludf.DUMMYFUNCTION("""COMPUTED_VALUE"""),"2023-06-01-10202SP114-01")</f>
        <v>2023-06-01-10202SP114-01</v>
      </c>
      <c r="G1605" s="164" t="str">
        <f ca="1">IFERROR(__xludf.DUMMYFUNCTION("""COMPUTED_VALUE"""),"MV FILE NO.
 1303-00001434940")</f>
        <v>MV FILE NO.
 1303-00001434940</v>
      </c>
      <c r="H1605" s="164" t="str">
        <f ca="1">IFERROR(__xludf.DUMMYFUNCTION("""COMPUTED_VALUE"""),"JAYRALD D ESPERANZA")</f>
        <v>JAYRALD D ESPERANZA</v>
      </c>
      <c r="I1605" s="164" t="str">
        <f ca="1">IFERROR(__xludf.DUMMYFUNCTION("""COMPUTED_VALUE"""),"TECHNICAL SUPPORT STAFF")</f>
        <v>TECHNICAL SUPPORT STAFF</v>
      </c>
      <c r="J1605" s="164" t="str">
        <f ca="1">IFERROR(__xludf.DUMMYFUNCTION("""COMPUTED_VALUE"""),"2023-06-023")</f>
        <v>2023-06-023</v>
      </c>
      <c r="K1605" s="164" t="str">
        <f ca="1">IFERROR(__xludf.DUMMYFUNCTION("""COMPUTED_VALUE"""),"JAYRALD D ESPERANZA")</f>
        <v>JAYRALD D ESPERANZA</v>
      </c>
      <c r="L1605" s="164" t="str">
        <f ca="1">IFERROR(__xludf.DUMMYFUNCTION("""COMPUTED_VALUE"""),"LTID")</f>
        <v>LTID</v>
      </c>
      <c r="M1605" s="164" t="str">
        <f ca="1">IFERROR(__xludf.DUMMYFUNCTION("""COMPUTED_VALUE"""),"SERVICEABLE")</f>
        <v>SERVICEABLE</v>
      </c>
      <c r="N1605" s="164" t="str">
        <f ca="1">IFERROR(__xludf.DUMMYFUNCTION("""COMPUTED_VALUE"""),"This cancelled PAR No. 2023-06-023 issued to Hormelo A. Patoc")</f>
        <v>This cancelled PAR No. 2023-06-023 issued to Hormelo A. Patoc</v>
      </c>
    </row>
    <row r="1606" spans="1:14" ht="13.2">
      <c r="A1606" s="164" t="str">
        <f ca="1">IFERROR(__xludf.DUMMYFUNCTION("""COMPUTED_VALUE"""),"Region III")</f>
        <v>Region III</v>
      </c>
      <c r="B1606" s="164" t="str">
        <f ca="1">IFERROR(__xludf.DUMMYFUNCTION("""COMPUTED_VALUE"""),"Nueva Ecija")</f>
        <v>Nueva Ecija</v>
      </c>
      <c r="C1606" s="164" t="str">
        <f ca="1">IFERROR(__xludf.DUMMYFUNCTION("""COMPUTED_VALUE"""),"Motorcycle – (Honda XRL 150)")</f>
        <v>Motorcycle – (Honda XRL 150)</v>
      </c>
      <c r="D1606" s="164" t="str">
        <f ca="1">IFERROR(__xludf.DUMMYFUNCTION("""COMPUTED_VALUE"""),"₱ 124,900.00")</f>
        <v>₱ 124,900.00</v>
      </c>
      <c r="E1606" s="164" t="str">
        <f ca="1">IFERROR(__xludf.DUMMYFUNCTION("""COMPUTED_VALUE"""),"₱-")</f>
        <v>₱-</v>
      </c>
      <c r="F1606" s="164" t="str">
        <f ca="1">IFERROR(__xludf.DUMMYFUNCTION("""COMPUTED_VALUE"""),"2023-06-01-10202SP115-01")</f>
        <v>2023-06-01-10202SP115-01</v>
      </c>
      <c r="G1606" s="164" t="str">
        <f ca="1">IFERROR(__xludf.DUMMYFUNCTION("""COMPUTED_VALUE"""),"MV FILE NO. 
 1303-00001434941")</f>
        <v>MV FILE NO. 
 1303-00001434941</v>
      </c>
      <c r="H1606" s="164" t="str">
        <f ca="1">IFERROR(__xludf.DUMMYFUNCTION("""COMPUTED_VALUE"""),"DENNIS P. DUMLAO")</f>
        <v>DENNIS P. DUMLAO</v>
      </c>
      <c r="I1606" s="164" t="str">
        <f ca="1">IFERROR(__xludf.DUMMYFUNCTION("""COMPUTED_VALUE"""),"CHIEF GS")</f>
        <v>CHIEF GS</v>
      </c>
      <c r="J1606" s="164" t="str">
        <f ca="1">IFERROR(__xludf.DUMMYFUNCTION("""COMPUTED_VALUE"""),"2023-05-008")</f>
        <v>2023-05-008</v>
      </c>
      <c r="K1606" s="164" t="str">
        <f ca="1">IFERROR(__xludf.DUMMYFUNCTION("""COMPUTED_VALUE"""),"ENGR IMELDA G SIOSON")</f>
        <v>ENGR IMELDA G SIOSON</v>
      </c>
      <c r="L1606" s="164" t="str">
        <f ca="1">IFERROR(__xludf.DUMMYFUNCTION("""COMPUTED_VALUE"""),"DARPO NUEVA ECIJA")</f>
        <v>DARPO NUEVA ECIJA</v>
      </c>
      <c r="M1606" s="164" t="str">
        <f ca="1">IFERROR(__xludf.DUMMYFUNCTION("""COMPUTED_VALUE"""),"SERVICEABLE")</f>
        <v>SERVICEABLE</v>
      </c>
      <c r="N1606" s="164" t="str">
        <f ca="1">IFERROR(__xludf.DUMMYFUNCTION("""COMPUTED_VALUE"""),"This cancelled PAR No. 2023-05-08 issued to Engr. Alvin L. Licuanan")</f>
        <v>This cancelled PAR No. 2023-05-08 issued to Engr. Alvin L. Licuanan</v>
      </c>
    </row>
    <row r="1607" spans="1:14" ht="13.2">
      <c r="A1607" s="164" t="str">
        <f ca="1">IFERROR(__xludf.DUMMYFUNCTION("""COMPUTED_VALUE"""),"Region III")</f>
        <v>Region III</v>
      </c>
      <c r="B1607" s="164" t="str">
        <f ca="1">IFERROR(__xludf.DUMMYFUNCTION("""COMPUTED_VALUE"""),"Nueva Ecija")</f>
        <v>Nueva Ecija</v>
      </c>
      <c r="C1607" s="164" t="str">
        <f ca="1">IFERROR(__xludf.DUMMYFUNCTION("""COMPUTED_VALUE"""),"Motorcycle – (Honda XRL 150)")</f>
        <v>Motorcycle – (Honda XRL 150)</v>
      </c>
      <c r="D1607" s="164" t="str">
        <f ca="1">IFERROR(__xludf.DUMMYFUNCTION("""COMPUTED_VALUE"""),"₱ 124,900.00")</f>
        <v>₱ 124,900.00</v>
      </c>
      <c r="E1607" s="164" t="str">
        <f ca="1">IFERROR(__xludf.DUMMYFUNCTION("""COMPUTED_VALUE"""),"₱-")</f>
        <v>₱-</v>
      </c>
      <c r="F1607" s="164" t="str">
        <f ca="1">IFERROR(__xludf.DUMMYFUNCTION("""COMPUTED_VALUE"""),"2023-06-01-10202SP116-01")</f>
        <v>2023-06-01-10202SP116-01</v>
      </c>
      <c r="G1607" s="164" t="str">
        <f ca="1">IFERROR(__xludf.DUMMYFUNCTION("""COMPUTED_VALUE"""),"MV FILE NO. 
 1303-00001434942")</f>
        <v>MV FILE NO. 
 1303-00001434942</v>
      </c>
      <c r="H1607" s="164" t="str">
        <f ca="1">IFERROR(__xludf.DUMMYFUNCTION("""COMPUTED_VALUE"""),"MARK CLINTON C. BAYLON")</f>
        <v>MARK CLINTON C. BAYLON</v>
      </c>
      <c r="I1607" s="164" t="str">
        <f ca="1">IFERROR(__xludf.DUMMYFUNCTION("""COMPUTED_VALUE"""),"CHIEF GS")</f>
        <v>CHIEF GS</v>
      </c>
      <c r="J1607" s="164" t="str">
        <f ca="1">IFERROR(__xludf.DUMMYFUNCTION("""COMPUTED_VALUE"""),"2023-06-026")</f>
        <v>2023-06-026</v>
      </c>
      <c r="K1607" s="164" t="str">
        <f ca="1">IFERROR(__xludf.DUMMYFUNCTION("""COMPUTED_VALUE"""),"ENGR IMELDA G SIOSON")</f>
        <v>ENGR IMELDA G SIOSON</v>
      </c>
      <c r="L1607" s="164" t="str">
        <f ca="1">IFERROR(__xludf.DUMMYFUNCTION("""COMPUTED_VALUE"""),"DARPO NUEVA ECIJA")</f>
        <v>DARPO NUEVA ECIJA</v>
      </c>
      <c r="M1607" s="164" t="str">
        <f ca="1">IFERROR(__xludf.DUMMYFUNCTION("""COMPUTED_VALUE"""),"SERVICEABLE")</f>
        <v>SERVICEABLE</v>
      </c>
      <c r="N1607" s="164"/>
    </row>
    <row r="1608" spans="1:14" ht="13.2">
      <c r="A1608" s="164" t="str">
        <f ca="1">IFERROR(__xludf.DUMMYFUNCTION("""COMPUTED_VALUE"""),"Region III")</f>
        <v>Region III</v>
      </c>
      <c r="B1608" s="164" t="str">
        <f ca="1">IFERROR(__xludf.DUMMYFUNCTION("""COMPUTED_VALUE"""),"Nueva Ecija")</f>
        <v>Nueva Ecija</v>
      </c>
      <c r="C1608" s="164" t="str">
        <f ca="1">IFERROR(__xludf.DUMMYFUNCTION("""COMPUTED_VALUE"""),"Motorcycle – (Honda XRL 150)")</f>
        <v>Motorcycle – (Honda XRL 150)</v>
      </c>
      <c r="D1608" s="164" t="str">
        <f ca="1">IFERROR(__xludf.DUMMYFUNCTION("""COMPUTED_VALUE"""),"₱ 124,900.00")</f>
        <v>₱ 124,900.00</v>
      </c>
      <c r="E1608" s="164" t="str">
        <f ca="1">IFERROR(__xludf.DUMMYFUNCTION("""COMPUTED_VALUE"""),"₱-")</f>
        <v>₱-</v>
      </c>
      <c r="F1608" s="164" t="str">
        <f ca="1">IFERROR(__xludf.DUMMYFUNCTION("""COMPUTED_VALUE"""),"2023-06-01-10202SP117-01")</f>
        <v>2023-06-01-10202SP117-01</v>
      </c>
      <c r="G1608" s="164" t="str">
        <f ca="1">IFERROR(__xludf.DUMMYFUNCTION("""COMPUTED_VALUE"""),"MV FILE NO. 
 1303-00001434943")</f>
        <v>MV FILE NO. 
 1303-00001434943</v>
      </c>
      <c r="H1608" s="164" t="str">
        <f ca="1">IFERROR(__xludf.DUMMYFUNCTION("""COMPUTED_VALUE"""),"ALJON W. MAMARIL")</f>
        <v>ALJON W. MAMARIL</v>
      </c>
      <c r="I1608" s="164" t="str">
        <f ca="1">IFERROR(__xludf.DUMMYFUNCTION("""COMPUTED_VALUE"""),"TECHNICAL SUPPORT STAFF")</f>
        <v>TECHNICAL SUPPORT STAFF</v>
      </c>
      <c r="J1608" s="164" t="str">
        <f ca="1">IFERROR(__xludf.DUMMYFUNCTION("""COMPUTED_VALUE"""),"2023-06-024")</f>
        <v>2023-06-024</v>
      </c>
      <c r="K1608" s="164" t="str">
        <f ca="1">IFERROR(__xludf.DUMMYFUNCTION("""COMPUTED_VALUE"""),"ENGR RUEL DC LAYA")</f>
        <v>ENGR RUEL DC LAYA</v>
      </c>
      <c r="L1608" s="164" t="str">
        <f ca="1">IFERROR(__xludf.DUMMYFUNCTION("""COMPUTED_VALUE"""),"LTID")</f>
        <v>LTID</v>
      </c>
      <c r="M1608" s="164" t="str">
        <f ca="1">IFERROR(__xludf.DUMMYFUNCTION("""COMPUTED_VALUE"""),"SERVICEABLE")</f>
        <v>SERVICEABLE</v>
      </c>
      <c r="N1608" s="164"/>
    </row>
    <row r="1609" spans="1:14" ht="13.2" hidden="1">
      <c r="A1609" s="164" t="str">
        <f ca="1">IFERROR(__xludf.DUMMYFUNCTION("""COMPUTED_VALUE"""),"Region III")</f>
        <v>Region III</v>
      </c>
      <c r="B1609" s="164" t="str">
        <f ca="1">IFERROR(__xludf.DUMMYFUNCTION("""COMPUTED_VALUE"""),"Pampanga")</f>
        <v>Pampanga</v>
      </c>
      <c r="C1609" s="164" t="str">
        <f ca="1">IFERROR(__xludf.DUMMYFUNCTION("""COMPUTED_VALUE"""),"Double Cabin Pick-up Vehicles – Mitsubishi Strada")</f>
        <v>Double Cabin Pick-up Vehicles – Mitsubishi Strada</v>
      </c>
      <c r="D1609" s="164" t="str">
        <f ca="1">IFERROR(__xludf.DUMMYFUNCTION("""COMPUTED_VALUE"""),"₱ 1,752,400.00")</f>
        <v>₱ 1,752,400.00</v>
      </c>
      <c r="E1609" s="164" t="str">
        <f ca="1">IFERROR(__xludf.DUMMYFUNCTION("""COMPUTED_VALUE"""),"₱-")</f>
        <v>₱-</v>
      </c>
      <c r="F1609" s="164" t="str">
        <f ca="1">IFERROR(__xludf.DUMMYFUNCTION("""COMPUTED_VALUE"""),"2023-06-01-10201SP31-01")</f>
        <v>2023-06-01-10201SP31-01</v>
      </c>
      <c r="G1609" s="164" t="str">
        <f ca="1">IFERROR(__xludf.DUMMYFUNCTION("""COMPUTED_VALUE"""),"SNC 1134")</f>
        <v>SNC 1134</v>
      </c>
      <c r="H1609" s="164" t="str">
        <f ca="1">IFERROR(__xludf.DUMMYFUNCTION("""COMPUTED_VALUE"""),"FRANCIS NEIL T. PEDRALVEZ")</f>
        <v>FRANCIS NEIL T. PEDRALVEZ</v>
      </c>
      <c r="I1609" s="164" t="str">
        <f ca="1">IFERROR(__xludf.DUMMYFUNCTION("""COMPUTED_VALUE"""),"PARPO")</f>
        <v>PARPO</v>
      </c>
      <c r="J1609" s="164" t="str">
        <f ca="1">IFERROR(__xludf.DUMMYFUNCTION("""COMPUTED_VALUE"""),"102-2023-10-020")</f>
        <v>102-2023-10-020</v>
      </c>
      <c r="K1609" s="164" t="str">
        <f ca="1">IFERROR(__xludf.DUMMYFUNCTION("""COMPUTED_VALUE"""),"FRANCIS NEIL T. PEDRALVEZ")</f>
        <v>FRANCIS NEIL T. PEDRALVEZ</v>
      </c>
      <c r="L1609" s="164" t="str">
        <f ca="1">IFERROR(__xludf.DUMMYFUNCTION("""COMPUTED_VALUE"""),"PARPO")</f>
        <v>PARPO</v>
      </c>
      <c r="M1609" s="164" t="str">
        <f ca="1">IFERROR(__xludf.DUMMYFUNCTION("""COMPUTED_VALUE"""),"SERVICEABLE")</f>
        <v>SERVICEABLE</v>
      </c>
      <c r="N1609" s="164"/>
    </row>
    <row r="1610" spans="1:14" ht="13.2" hidden="1">
      <c r="A1610" s="164" t="str">
        <f ca="1">IFERROR(__xludf.DUMMYFUNCTION("""COMPUTED_VALUE"""),"Region III")</f>
        <v>Region III</v>
      </c>
      <c r="B1610" s="164" t="str">
        <f ca="1">IFERROR(__xludf.DUMMYFUNCTION("""COMPUTED_VALUE"""),"Pampanga")</f>
        <v>Pampanga</v>
      </c>
      <c r="C1610" s="164" t="str">
        <f ca="1">IFERROR(__xludf.DUMMYFUNCTION("""COMPUTED_VALUE"""),"Motorcycle – (Honda XRL 150)")</f>
        <v>Motorcycle – (Honda XRL 150)</v>
      </c>
      <c r="D1610" s="164" t="str">
        <f ca="1">IFERROR(__xludf.DUMMYFUNCTION("""COMPUTED_VALUE"""),"₱ 124,900.00")</f>
        <v>₱ 124,900.00</v>
      </c>
      <c r="E1610" s="164" t="str">
        <f ca="1">IFERROR(__xludf.DUMMYFUNCTION("""COMPUTED_VALUE"""),"₱-")</f>
        <v>₱-</v>
      </c>
      <c r="F1610" s="164" t="str">
        <f ca="1">IFERROR(__xludf.DUMMYFUNCTION("""COMPUTED_VALUE"""),"2023-06-01-10202SP118-01")</f>
        <v>2023-06-01-10202SP118-01</v>
      </c>
      <c r="G1610" s="164" t="str">
        <f ca="1">IFERROR(__xludf.DUMMYFUNCTION("""COMPUTED_VALUE"""),"MV File No. - 1303-00001434911")</f>
        <v>MV File No. - 1303-00001434911</v>
      </c>
      <c r="H1610" s="164" t="str">
        <f ca="1">IFERROR(__xludf.DUMMYFUNCTION("""COMPUTED_VALUE"""),"LUIGI B. REYES")</f>
        <v>LUIGI B. REYES</v>
      </c>
      <c r="I1610" s="164" t="str">
        <f ca="1">IFERROR(__xludf.DUMMYFUNCTION("""COMPUTED_VALUE"""),"ARPO I")</f>
        <v>ARPO I</v>
      </c>
      <c r="J1610" s="164" t="str">
        <f ca="1">IFERROR(__xludf.DUMMYFUNCTION("""COMPUTED_VALUE"""),"102-2023-01-002")</f>
        <v>102-2023-01-002</v>
      </c>
      <c r="K1610" s="164" t="str">
        <f ca="1">IFERROR(__xludf.DUMMYFUNCTION("""COMPUTED_VALUE"""),"LUIGI B. REYES")</f>
        <v>LUIGI B. REYES</v>
      </c>
      <c r="L1610" s="164" t="str">
        <f ca="1">IFERROR(__xludf.DUMMYFUNCTION("""COMPUTED_VALUE"""),"LTID")</f>
        <v>LTID</v>
      </c>
      <c r="M1610" s="164" t="str">
        <f ca="1">IFERROR(__xludf.DUMMYFUNCTION("""COMPUTED_VALUE"""),"SERVICEABLE")</f>
        <v>SERVICEABLE</v>
      </c>
      <c r="N1610" s="164"/>
    </row>
    <row r="1611" spans="1:14" ht="13.2" hidden="1">
      <c r="A1611" s="164" t="str">
        <f ca="1">IFERROR(__xludf.DUMMYFUNCTION("""COMPUTED_VALUE"""),"Region III")</f>
        <v>Region III</v>
      </c>
      <c r="B1611" s="164" t="str">
        <f ca="1">IFERROR(__xludf.DUMMYFUNCTION("""COMPUTED_VALUE"""),"Tarlac")</f>
        <v>Tarlac</v>
      </c>
      <c r="C1611" s="164" t="str">
        <f ca="1">IFERROR(__xludf.DUMMYFUNCTION("""COMPUTED_VALUE"""),"Double Cabin Pick-up Vehicles – Mitsubishi Strada")</f>
        <v>Double Cabin Pick-up Vehicles – Mitsubishi Strada</v>
      </c>
      <c r="D1611" s="164" t="str">
        <f ca="1">IFERROR(__xludf.DUMMYFUNCTION("""COMPUTED_VALUE"""),"₱ 1,752,400.00")</f>
        <v>₱ 1,752,400.00</v>
      </c>
      <c r="E1611" s="164" t="str">
        <f ca="1">IFERROR(__xludf.DUMMYFUNCTION("""COMPUTED_VALUE"""),"₱-")</f>
        <v>₱-</v>
      </c>
      <c r="F1611" s="164" t="str">
        <f ca="1">IFERROR(__xludf.DUMMYFUNCTION("""COMPUTED_VALUE"""),"2023-06-01-10201SP34-01")</f>
        <v>2023-06-01-10201SP34-01</v>
      </c>
      <c r="G1611" s="164" t="str">
        <f ca="1">IFERROR(__xludf.DUMMYFUNCTION("""COMPUTED_VALUE"""),"SNC 1128")</f>
        <v>SNC 1128</v>
      </c>
      <c r="H1611" s="164" t="str">
        <f ca="1">IFERROR(__xludf.DUMMYFUNCTION("""COMPUTED_VALUE"""),"GARLAND LEILA A. CUARTEROS")</f>
        <v>GARLAND LEILA A. CUARTEROS</v>
      </c>
      <c r="I1611" s="164" t="str">
        <f ca="1">IFERROR(__xludf.DUMMYFUNCTION("""COMPUTED_VALUE"""),"PARPO II")</f>
        <v>PARPO II</v>
      </c>
      <c r="J1611" s="164" t="str">
        <f ca="1">IFERROR(__xludf.DUMMYFUNCTION("""COMPUTED_VALUE"""),"2023-0001")</f>
        <v>2023-0001</v>
      </c>
      <c r="K1611" s="164" t="str">
        <f ca="1">IFERROR(__xludf.DUMMYFUNCTION("""COMPUTED_VALUE"""),"Garland Leila A. Cuarteros")</f>
        <v>Garland Leila A. Cuarteros</v>
      </c>
      <c r="L1611" s="164" t="str">
        <f ca="1">IFERROR(__xludf.DUMMYFUNCTION("""COMPUTED_VALUE"""),"PARO")</f>
        <v>PARO</v>
      </c>
      <c r="M1611" s="164" t="str">
        <f ca="1">IFERROR(__xludf.DUMMYFUNCTION("""COMPUTED_VALUE"""),"SERVICEABLE")</f>
        <v>SERVICEABLE</v>
      </c>
      <c r="N1611" s="164"/>
    </row>
    <row r="1612" spans="1:14" ht="13.2" hidden="1">
      <c r="A1612" s="164" t="str">
        <f ca="1">IFERROR(__xludf.DUMMYFUNCTION("""COMPUTED_VALUE"""),"Region III")</f>
        <v>Region III</v>
      </c>
      <c r="B1612" s="164" t="str">
        <f ca="1">IFERROR(__xludf.DUMMYFUNCTION("""COMPUTED_VALUE"""),"Tarlac")</f>
        <v>Tarlac</v>
      </c>
      <c r="C1612" s="164" t="str">
        <f ca="1">IFERROR(__xludf.DUMMYFUNCTION("""COMPUTED_VALUE"""),"Motorcycle – (Honda XRL 150)")</f>
        <v>Motorcycle – (Honda XRL 150)</v>
      </c>
      <c r="D1612" s="164" t="str">
        <f ca="1">IFERROR(__xludf.DUMMYFUNCTION("""COMPUTED_VALUE"""),"₱ 124,900.00")</f>
        <v>₱ 124,900.00</v>
      </c>
      <c r="E1612" s="164" t="str">
        <f ca="1">IFERROR(__xludf.DUMMYFUNCTION("""COMPUTED_VALUE"""),"₱-")</f>
        <v>₱-</v>
      </c>
      <c r="F1612" s="164" t="str">
        <f ca="1">IFERROR(__xludf.DUMMYFUNCTION("""COMPUTED_VALUE"""),"2023-06-01-10202SP121-01")</f>
        <v>2023-06-01-10202SP121-01</v>
      </c>
      <c r="G1612" s="164" t="str">
        <f ca="1">IFERROR(__xludf.DUMMYFUNCTION("""COMPUTED_VALUE"""),"no plate available")</f>
        <v>no plate available</v>
      </c>
      <c r="H1612" s="164" t="str">
        <f ca="1">IFERROR(__xludf.DUMMYFUNCTION("""COMPUTED_VALUE"""),"ATTY. FERDINAND T. SALLY")</f>
        <v>ATTY. FERDINAND T. SALLY</v>
      </c>
      <c r="I1612" s="164" t="str">
        <f ca="1">IFERROR(__xludf.DUMMYFUNCTION("""COMPUTED_VALUE"""),"LEGAL COORDINATOR")</f>
        <v>LEGAL COORDINATOR</v>
      </c>
      <c r="J1612" s="164" t="str">
        <f ca="1">IFERROR(__xludf.DUMMYFUNCTION("""COMPUTED_VALUE"""),"2023-0001")</f>
        <v>2023-0001</v>
      </c>
      <c r="K1612" s="164" t="str">
        <f ca="1">IFERROR(__xludf.DUMMYFUNCTION("""COMPUTED_VALUE"""),"COS")</f>
        <v>COS</v>
      </c>
      <c r="L1612" s="164" t="str">
        <f ca="1">IFERROR(__xludf.DUMMYFUNCTION("""COMPUTED_VALUE"""),"DARPO TARLAC")</f>
        <v>DARPO TARLAC</v>
      </c>
      <c r="M1612" s="164" t="str">
        <f ca="1">IFERROR(__xludf.DUMMYFUNCTION("""COMPUTED_VALUE"""),"SERVICEABLE")</f>
        <v>SERVICEABLE</v>
      </c>
      <c r="N1612" s="164"/>
    </row>
    <row r="1613" spans="1:14" ht="13.2" hidden="1">
      <c r="A1613" s="164" t="str">
        <f ca="1">IFERROR(__xludf.DUMMYFUNCTION("""COMPUTED_VALUE"""),"Region III")</f>
        <v>Region III</v>
      </c>
      <c r="B1613" s="164" t="str">
        <f ca="1">IFERROR(__xludf.DUMMYFUNCTION("""COMPUTED_VALUE"""),"Tarlac")</f>
        <v>Tarlac</v>
      </c>
      <c r="C1613" s="164" t="str">
        <f ca="1">IFERROR(__xludf.DUMMYFUNCTION("""COMPUTED_VALUE"""),"Motorcycle – (Honda XRL 150)")</f>
        <v>Motorcycle – (Honda XRL 150)</v>
      </c>
      <c r="D1613" s="164" t="str">
        <f ca="1">IFERROR(__xludf.DUMMYFUNCTION("""COMPUTED_VALUE"""),"₱ 124,900.00")</f>
        <v>₱ 124,900.00</v>
      </c>
      <c r="E1613" s="164" t="str">
        <f ca="1">IFERROR(__xludf.DUMMYFUNCTION("""COMPUTED_VALUE"""),"₱-")</f>
        <v>₱-</v>
      </c>
      <c r="F1613" s="164" t="str">
        <f ca="1">IFERROR(__xludf.DUMMYFUNCTION("""COMPUTED_VALUE"""),"2023-06-01-10202SP120-01")</f>
        <v>2023-06-01-10202SP120-01</v>
      </c>
      <c r="G1613" s="164" t="str">
        <f ca="1">IFERROR(__xludf.DUMMYFUNCTION("""COMPUTED_VALUE"""),"no plate available")</f>
        <v>no plate available</v>
      </c>
      <c r="H1613" s="164" t="str">
        <f ca="1">IFERROR(__xludf.DUMMYFUNCTION("""COMPUTED_VALUE"""),"Rolando Justo")</f>
        <v>Rolando Justo</v>
      </c>
      <c r="I1613" s="164" t="str">
        <f ca="1">IFERROR(__xludf.DUMMYFUNCTION("""COMPUTED_VALUE"""),"ARPO II")</f>
        <v>ARPO II</v>
      </c>
      <c r="J1613" s="164" t="str">
        <f ca="1">IFERROR(__xludf.DUMMYFUNCTION("""COMPUTED_VALUE"""),"2023-0002")</f>
        <v>2023-0002</v>
      </c>
      <c r="K1613" s="164" t="str">
        <f ca="1">IFERROR(__xludf.DUMMYFUNCTION("""COMPUTED_VALUE"""),"COS")</f>
        <v>COS</v>
      </c>
      <c r="L1613" s="164" t="str">
        <f ca="1">IFERROR(__xludf.DUMMYFUNCTION("""COMPUTED_VALUE"""),"DARPO TARLAC")</f>
        <v>DARPO TARLAC</v>
      </c>
      <c r="M1613" s="164" t="str">
        <f ca="1">IFERROR(__xludf.DUMMYFUNCTION("""COMPUTED_VALUE"""),"SERVICEABLE")</f>
        <v>SERVICEABLE</v>
      </c>
      <c r="N1613" s="164"/>
    </row>
    <row r="1614" spans="1:14" ht="13.2" hidden="1">
      <c r="A1614" s="164" t="str">
        <f ca="1">IFERROR(__xludf.DUMMYFUNCTION("""COMPUTED_VALUE"""),"Region III")</f>
        <v>Region III</v>
      </c>
      <c r="B1614" s="164" t="str">
        <f ca="1">IFERROR(__xludf.DUMMYFUNCTION("""COMPUTED_VALUE"""),"Tarlac")</f>
        <v>Tarlac</v>
      </c>
      <c r="C1614" s="164" t="str">
        <f ca="1">IFERROR(__xludf.DUMMYFUNCTION("""COMPUTED_VALUE"""),"Motorcycle – (Honda XRL 150)")</f>
        <v>Motorcycle – (Honda XRL 150)</v>
      </c>
      <c r="D1614" s="164" t="str">
        <f ca="1">IFERROR(__xludf.DUMMYFUNCTION("""COMPUTED_VALUE"""),"₱ 124,900.00")</f>
        <v>₱ 124,900.00</v>
      </c>
      <c r="E1614" s="164" t="str">
        <f ca="1">IFERROR(__xludf.DUMMYFUNCTION("""COMPUTED_VALUE"""),"₱-")</f>
        <v>₱-</v>
      </c>
      <c r="F1614" s="164" t="str">
        <f ca="1">IFERROR(__xludf.DUMMYFUNCTION("""COMPUTED_VALUE"""),"2023-06-01-10202SP119-01")</f>
        <v>2023-06-01-10202SP119-01</v>
      </c>
      <c r="G1614" s="164" t="str">
        <f ca="1">IFERROR(__xludf.DUMMYFUNCTION("""COMPUTED_VALUE"""),"no plate available")</f>
        <v>no plate available</v>
      </c>
      <c r="H1614" s="164" t="str">
        <f ca="1">IFERROR(__xludf.DUMMYFUNCTION("""COMPUTED_VALUE"""),"ELLEN S. PALARA")</f>
        <v>ELLEN S. PALARA</v>
      </c>
      <c r="I1614" s="164" t="str">
        <f ca="1">IFERROR(__xludf.DUMMYFUNCTION("""COMPUTED_VALUE"""),"ARPO I")</f>
        <v>ARPO I</v>
      </c>
      <c r="J1614" s="164" t="str">
        <f ca="1">IFERROR(__xludf.DUMMYFUNCTION("""COMPUTED_VALUE"""),"2023-0003")</f>
        <v>2023-0003</v>
      </c>
      <c r="K1614" s="164" t="str">
        <f ca="1">IFERROR(__xludf.DUMMYFUNCTION("""COMPUTED_VALUE"""),"COS")</f>
        <v>COS</v>
      </c>
      <c r="L1614" s="164" t="str">
        <f ca="1">IFERROR(__xludf.DUMMYFUNCTION("""COMPUTED_VALUE"""),"DARPO TARLAC")</f>
        <v>DARPO TARLAC</v>
      </c>
      <c r="M1614" s="164" t="str">
        <f ca="1">IFERROR(__xludf.DUMMYFUNCTION("""COMPUTED_VALUE"""),"SERVICEABLE")</f>
        <v>SERVICEABLE</v>
      </c>
      <c r="N1614" s="164"/>
    </row>
    <row r="1615" spans="1:14" ht="13.2" hidden="1">
      <c r="A1615" s="164" t="str">
        <f ca="1">IFERROR(__xludf.DUMMYFUNCTION("""COMPUTED_VALUE"""),"Region IV-A")</f>
        <v>Region IV-A</v>
      </c>
      <c r="B1615" s="164" t="str">
        <f ca="1">IFERROR(__xludf.DUMMYFUNCTION("""COMPUTED_VALUE"""),"BATANGAS")</f>
        <v>BATANGAS</v>
      </c>
      <c r="C1615" s="164" t="str">
        <f ca="1">IFERROR(__xludf.DUMMYFUNCTION("""COMPUTED_VALUE"""),"REAL-TIME KINEMATIC – GEOMAX ZENITH60")</f>
        <v>REAL-TIME KINEMATIC – GEOMAX ZENITH60</v>
      </c>
      <c r="D1615" s="164" t="str">
        <f ca="1">IFERROR(__xludf.DUMMYFUNCTION("""COMPUTED_VALUE"""),"₱ 1,849,000.00")</f>
        <v>₱ 1,849,000.00</v>
      </c>
      <c r="E1615" s="164" t="str">
        <f ca="1">IFERROR(__xludf.DUMMYFUNCTION("""COMPUTED_VALUE"""),"₱ -")</f>
        <v>₱ -</v>
      </c>
      <c r="F1615" s="164" t="str">
        <f ca="1">IFERROR(__xludf.DUMMYFUNCTION("""COMPUTED_VALUE"""),"2023-05-14-10201SP21-01")</f>
        <v>2023-05-14-10201SP21-01</v>
      </c>
      <c r="G1615" s="164" t="str">
        <f ca="1">IFERROR(__xludf.DUMMYFUNCTION("""COMPUTED_VALUE"""),"BASE SN:Z60SN272200110")</f>
        <v>BASE SN:Z60SN272200110</v>
      </c>
      <c r="H1615" s="164" t="str">
        <f ca="1">IFERROR(__xludf.DUMMYFUNCTION("""COMPUTED_VALUE"""),"ENGR. WINSTON DOCTOR")</f>
        <v>ENGR. WINSTON DOCTOR</v>
      </c>
      <c r="I1615" s="164" t="str">
        <f ca="1">IFERROR(__xludf.DUMMYFUNCTION("""COMPUTED_VALUE"""),"MARPO/GE")</f>
        <v>MARPO/GE</v>
      </c>
      <c r="J1615" s="164" t="str">
        <f ca="1">IFERROR(__xludf.DUMMYFUNCTION("""COMPUTED_VALUE"""),"SP-2023-03-04")</f>
        <v>SP-2023-03-04</v>
      </c>
      <c r="K1615" s="164" t="str">
        <f ca="1">IFERROR(__xludf.DUMMYFUNCTION("""COMPUTED_VALUE"""),"ENGR. WINSTON DOCTOR")</f>
        <v>ENGR. WINSTON DOCTOR</v>
      </c>
      <c r="L1615" s="164" t="str">
        <f ca="1">IFERROR(__xludf.DUMMYFUNCTION("""COMPUTED_VALUE"""),"LTID")</f>
        <v>LTID</v>
      </c>
      <c r="M1615" s="164" t="str">
        <f ca="1">IFERROR(__xludf.DUMMYFUNCTION("""COMPUTED_VALUE"""),"SERVICEABLE")</f>
        <v>SERVICEABLE</v>
      </c>
      <c r="N1615" s="164"/>
    </row>
    <row r="1616" spans="1:14" ht="13.2" hidden="1">
      <c r="A1616" s="164" t="str">
        <f ca="1">IFERROR(__xludf.DUMMYFUNCTION("""COMPUTED_VALUE"""),"Region IV-A")</f>
        <v>Region IV-A</v>
      </c>
      <c r="B1616" s="164" t="str">
        <f ca="1">IFERROR(__xludf.DUMMYFUNCTION("""COMPUTED_VALUE"""),"QUEZON I")</f>
        <v>QUEZON I</v>
      </c>
      <c r="C1616" s="164" t="str">
        <f ca="1">IFERROR(__xludf.DUMMYFUNCTION("""COMPUTED_VALUE"""),"REAL-TIME KINEMATIC – GEOMAX ZENITH60")</f>
        <v>REAL-TIME KINEMATIC – GEOMAX ZENITH60</v>
      </c>
      <c r="D1616" s="164" t="str">
        <f ca="1">IFERROR(__xludf.DUMMYFUNCTION("""COMPUTED_VALUE"""),"₱ 1,849,000.00")</f>
        <v>₱ 1,849,000.00</v>
      </c>
      <c r="E1616" s="164" t="str">
        <f ca="1">IFERROR(__xludf.DUMMYFUNCTION("""COMPUTED_VALUE"""),"₱-")</f>
        <v>₱-</v>
      </c>
      <c r="F1616" s="164" t="str">
        <f ca="1">IFERROR(__xludf.DUMMYFUNCTION("""COMPUTED_VALUE"""),"2023-05-14-10201SP22-01")</f>
        <v>2023-05-14-10201SP22-01</v>
      </c>
      <c r="G1616" s="164" t="str">
        <f ca="1">IFERROR(__xludf.DUMMYFUNCTION("""COMPUTED_VALUE"""),"BASE SN:Z60SN272200115")</f>
        <v>BASE SN:Z60SN272200115</v>
      </c>
      <c r="H1616" s="164" t="str">
        <f ca="1">IFERROR(__xludf.DUMMYFUNCTION("""COMPUTED_VALUE"""),"ENGR. AMANDO A. CARIASO")</f>
        <v>ENGR. AMANDO A. CARIASO</v>
      </c>
      <c r="I1616" s="164" t="str">
        <f ca="1">IFERROR(__xludf.DUMMYFUNCTION("""COMPUTED_VALUE"""),"Engineer II/ DENR/ LRA/ROD/Survey Coordinator")</f>
        <v>Engineer II/ DENR/ LRA/ROD/Survey Coordinator</v>
      </c>
      <c r="J1616" s="164" t="str">
        <f ca="1">IFERROR(__xludf.DUMMYFUNCTION("""COMPUTED_VALUE"""),"003-03-2023")</f>
        <v>003-03-2023</v>
      </c>
      <c r="K1616" s="164" t="str">
        <f ca="1">IFERROR(__xludf.DUMMYFUNCTION("""COMPUTED_VALUE"""),"ENGR. AMANDO A. CARIASO")</f>
        <v>ENGR. AMANDO A. CARIASO</v>
      </c>
      <c r="L1616" s="164" t="str">
        <f ca="1">IFERROR(__xludf.DUMMYFUNCTION("""COMPUTED_VALUE"""),"DARPO QUEZON I")</f>
        <v>DARPO QUEZON I</v>
      </c>
      <c r="M1616" s="164" t="str">
        <f ca="1">IFERROR(__xludf.DUMMYFUNCTION("""COMPUTED_VALUE"""),"SERVICEABLE")</f>
        <v>SERVICEABLE</v>
      </c>
      <c r="N1616" s="164"/>
    </row>
    <row r="1617" spans="1:14" ht="13.2" hidden="1">
      <c r="A1617" s="164" t="str">
        <f ca="1">IFERROR(__xludf.DUMMYFUNCTION("""COMPUTED_VALUE"""),"Region IV-A")</f>
        <v>Region IV-A</v>
      </c>
      <c r="B1617" s="164" t="str">
        <f ca="1">IFERROR(__xludf.DUMMYFUNCTION("""COMPUTED_VALUE"""),"QUEZON II")</f>
        <v>QUEZON II</v>
      </c>
      <c r="C1617" s="164" t="str">
        <f ca="1">IFERROR(__xludf.DUMMYFUNCTION("""COMPUTED_VALUE"""),"REAL-TIME KINEMATIC – GEOMAX ZENITH60")</f>
        <v>REAL-TIME KINEMATIC – GEOMAX ZENITH60</v>
      </c>
      <c r="D1617" s="164" t="str">
        <f ca="1">IFERROR(__xludf.DUMMYFUNCTION("""COMPUTED_VALUE"""),"₱ 1,849,000.00")</f>
        <v>₱ 1,849,000.00</v>
      </c>
      <c r="E1617" s="164" t="str">
        <f ca="1">IFERROR(__xludf.DUMMYFUNCTION("""COMPUTED_VALUE"""),"₱-")</f>
        <v>₱-</v>
      </c>
      <c r="F1617" s="164" t="str">
        <f ca="1">IFERROR(__xludf.DUMMYFUNCTION("""COMPUTED_VALUE"""),"2023-05-14-10201SP23-01")</f>
        <v>2023-05-14-10201SP23-01</v>
      </c>
      <c r="G1617" s="164" t="str">
        <f ca="1">IFERROR(__xludf.DUMMYFUNCTION("""COMPUTED_VALUE"""),"BASE SN:Z60SN272200105")</f>
        <v>BASE SN:Z60SN272200105</v>
      </c>
      <c r="H1617" s="164" t="str">
        <f ca="1">IFERROR(__xludf.DUMMYFUNCTION("""COMPUTED_VALUE"""),"VERONICA M. OTCHARAN")</f>
        <v>VERONICA M. OTCHARAN</v>
      </c>
      <c r="I1617" s="164" t="str">
        <f ca="1">IFERROR(__xludf.DUMMYFUNCTION("""COMPUTED_VALUE"""),"FVT COORDINATOR")</f>
        <v>FVT COORDINATOR</v>
      </c>
      <c r="J1617" s="164" t="str">
        <f ca="1">IFERROR(__xludf.DUMMYFUNCTION("""COMPUTED_VALUE"""),"2023-03-003")</f>
        <v>2023-03-003</v>
      </c>
      <c r="K1617" s="164" t="str">
        <f ca="1">IFERROR(__xludf.DUMMYFUNCTION("""COMPUTED_VALUE"""),"VERONICA M. OTCHARAN")</f>
        <v>VERONICA M. OTCHARAN</v>
      </c>
      <c r="L1617" s="164" t="str">
        <f ca="1">IFERROR(__xludf.DUMMYFUNCTION("""COMPUTED_VALUE"""),"LTID")</f>
        <v>LTID</v>
      </c>
      <c r="M1617" s="164" t="str">
        <f ca="1">IFERROR(__xludf.DUMMYFUNCTION("""COMPUTED_VALUE"""),"SERVICEABLE")</f>
        <v>SERVICEABLE</v>
      </c>
      <c r="N1617" s="164"/>
    </row>
    <row r="1618" spans="1:14" ht="13.2" hidden="1">
      <c r="A1618" s="164" t="str">
        <f ca="1">IFERROR(__xludf.DUMMYFUNCTION("""COMPUTED_VALUE"""),"Region IV-A")</f>
        <v>Region IV-A</v>
      </c>
      <c r="B1618" s="164" t="str">
        <f ca="1">IFERROR(__xludf.DUMMYFUNCTION("""COMPUTED_VALUE"""),"RIZAL")</f>
        <v>RIZAL</v>
      </c>
      <c r="C1618" s="164" t="str">
        <f ca="1">IFERROR(__xludf.DUMMYFUNCTION("""COMPUTED_VALUE"""),"REAL-TIME KINEMATIC – GEOMAX ZENITH60")</f>
        <v>REAL-TIME KINEMATIC – GEOMAX ZENITH60</v>
      </c>
      <c r="D1618" s="164" t="str">
        <f ca="1">IFERROR(__xludf.DUMMYFUNCTION("""COMPUTED_VALUE"""),"₱ 1,849,000.00")</f>
        <v>₱ 1,849,000.00</v>
      </c>
      <c r="E1618" s="164" t="str">
        <f ca="1">IFERROR(__xludf.DUMMYFUNCTION("""COMPUTED_VALUE"""),"₱-")</f>
        <v>₱-</v>
      </c>
      <c r="F1618" s="164" t="str">
        <f ca="1">IFERROR(__xludf.DUMMYFUNCTION("""COMPUTED_VALUE"""),"2023-05-14-10201SP24-01")</f>
        <v>2023-05-14-10201SP24-01</v>
      </c>
      <c r="G1618" s="164" t="str">
        <f ca="1">IFERROR(__xludf.DUMMYFUNCTION("""COMPUTED_VALUE"""),"BASE SN:Z60SN272200122")</f>
        <v>BASE SN:Z60SN272200122</v>
      </c>
      <c r="H1618" s="164" t="str">
        <f ca="1">IFERROR(__xludf.DUMMYFUNCTION("""COMPUTED_VALUE"""),"ROY B. TORIRIT")</f>
        <v>ROY B. TORIRIT</v>
      </c>
      <c r="I1618" s="164" t="str">
        <f ca="1">IFERROR(__xludf.DUMMYFUNCTION("""COMPUTED_VALUE"""),"ENGR. II")</f>
        <v>ENGR. II</v>
      </c>
      <c r="J1618" s="164" t="str">
        <f ca="1">IFERROR(__xludf.DUMMYFUNCTION("""COMPUTED_VALUE"""),"2023-SPLIT-03-001")</f>
        <v>2023-SPLIT-03-001</v>
      </c>
      <c r="K1618" s="164" t="str">
        <f ca="1">IFERROR(__xludf.DUMMYFUNCTION("""COMPUTED_VALUE"""),"ROY B. TORIRIT")</f>
        <v>ROY B. TORIRIT</v>
      </c>
      <c r="L1618" s="164" t="str">
        <f ca="1">IFERROR(__xludf.DUMMYFUNCTION("""COMPUTED_VALUE"""),"LTS/SURVEY UNIT")</f>
        <v>LTS/SURVEY UNIT</v>
      </c>
      <c r="M1618" s="164" t="str">
        <f ca="1">IFERROR(__xludf.DUMMYFUNCTION("""COMPUTED_VALUE"""),"SERVICEABLE")</f>
        <v>SERVICEABLE</v>
      </c>
      <c r="N1618" s="164"/>
    </row>
    <row r="1619" spans="1:14" ht="13.2" hidden="1">
      <c r="A1619" s="164" t="str">
        <f ca="1">IFERROR(__xludf.DUMMYFUNCTION("""COMPUTED_VALUE"""),"Region IV-A")</f>
        <v>Region IV-A</v>
      </c>
      <c r="B1619" s="164" t="str">
        <f ca="1">IFERROR(__xludf.DUMMYFUNCTION("""COMPUTED_VALUE"""),"BATANGAS")</f>
        <v>BATANGAS</v>
      </c>
      <c r="C1619" s="164" t="str">
        <f ca="1">IFERROR(__xludf.DUMMYFUNCTION("""COMPUTED_VALUE"""),"TOTAL STATION – GEOMAX TOTAL STATION ZOOM 50")</f>
        <v>TOTAL STATION – GEOMAX TOTAL STATION ZOOM 50</v>
      </c>
      <c r="D1619" s="164" t="str">
        <f ca="1">IFERROR(__xludf.DUMMYFUNCTION("""COMPUTED_VALUE"""),"₱ 648,000.00")</f>
        <v>₱ 648,000.00</v>
      </c>
      <c r="E1619" s="164" t="str">
        <f ca="1">IFERROR(__xludf.DUMMYFUNCTION("""COMPUTED_VALUE"""),"₱-")</f>
        <v>₱-</v>
      </c>
      <c r="F1619" s="164" t="str">
        <f ca="1">IFERROR(__xludf.DUMMYFUNCTION("""COMPUTED_VALUE"""),"2023-05-14-10201SP21-01")</f>
        <v>2023-05-14-10201SP21-01</v>
      </c>
      <c r="G1619" s="164" t="str">
        <f ca="1">IFERROR(__xludf.DUMMYFUNCTION("""COMPUTED_VALUE"""),"2839859")</f>
        <v>2839859</v>
      </c>
      <c r="H1619" s="164" t="str">
        <f ca="1">IFERROR(__xludf.DUMMYFUNCTION("""COMPUTED_VALUE"""),"ENGR. WINSTON DOCTOR")</f>
        <v>ENGR. WINSTON DOCTOR</v>
      </c>
      <c r="I1619" s="164" t="str">
        <f ca="1">IFERROR(__xludf.DUMMYFUNCTION("""COMPUTED_VALUE"""),"MARPO/GE")</f>
        <v>MARPO/GE</v>
      </c>
      <c r="J1619" s="164" t="str">
        <f ca="1">IFERROR(__xludf.DUMMYFUNCTION("""COMPUTED_VALUE"""),"SP2023-03-06")</f>
        <v>SP2023-03-06</v>
      </c>
      <c r="K1619" s="164" t="str">
        <f ca="1">IFERROR(__xludf.DUMMYFUNCTION("""COMPUTED_VALUE"""),"ENGR. WINSTON DOCTOR")</f>
        <v>ENGR. WINSTON DOCTOR</v>
      </c>
      <c r="L1619" s="164" t="str">
        <f ca="1">IFERROR(__xludf.DUMMYFUNCTION("""COMPUTED_VALUE"""),"LTID")</f>
        <v>LTID</v>
      </c>
      <c r="M1619" s="164" t="str">
        <f ca="1">IFERROR(__xludf.DUMMYFUNCTION("""COMPUTED_VALUE"""),"SERVICEABLE")</f>
        <v>SERVICEABLE</v>
      </c>
      <c r="N1619" s="164"/>
    </row>
    <row r="1620" spans="1:14" ht="13.2" hidden="1">
      <c r="A1620" s="164" t="str">
        <f ca="1">IFERROR(__xludf.DUMMYFUNCTION("""COMPUTED_VALUE"""),"Region IV-A")</f>
        <v>Region IV-A</v>
      </c>
      <c r="B1620" s="164" t="str">
        <f ca="1">IFERROR(__xludf.DUMMYFUNCTION("""COMPUTED_VALUE"""),"QUEZON I")</f>
        <v>QUEZON I</v>
      </c>
      <c r="C1620" s="164" t="str">
        <f ca="1">IFERROR(__xludf.DUMMYFUNCTION("""COMPUTED_VALUE"""),"TOTAL STATION – GEOMAX TOTAL STATION ZOOM 50")</f>
        <v>TOTAL STATION – GEOMAX TOTAL STATION ZOOM 50</v>
      </c>
      <c r="D1620" s="164" t="str">
        <f ca="1">IFERROR(__xludf.DUMMYFUNCTION("""COMPUTED_VALUE"""),"₱ 648,000.00")</f>
        <v>₱ 648,000.00</v>
      </c>
      <c r="E1620" s="164" t="str">
        <f ca="1">IFERROR(__xludf.DUMMYFUNCTION("""COMPUTED_VALUE"""),"₱-")</f>
        <v>₱-</v>
      </c>
      <c r="F1620" s="164" t="str">
        <f ca="1">IFERROR(__xludf.DUMMYFUNCTION("""COMPUTED_VALUE"""),"2023-05-14-10201SP22-01")</f>
        <v>2023-05-14-10201SP22-01</v>
      </c>
      <c r="G1620" s="164" t="str">
        <f ca="1">IFERROR(__xludf.DUMMYFUNCTION("""COMPUTED_VALUE"""),"2839813")</f>
        <v>2839813</v>
      </c>
      <c r="H1620" s="164" t="str">
        <f ca="1">IFERROR(__xludf.DUMMYFUNCTION("""COMPUTED_VALUE"""),"ENGR. AMANDO A. CARIASO")</f>
        <v>ENGR. AMANDO A. CARIASO</v>
      </c>
      <c r="I1620" s="164" t="str">
        <f ca="1">IFERROR(__xludf.DUMMYFUNCTION("""COMPUTED_VALUE"""),"Engineer II/ DENR/ LRA/ROD/Survey Coordinator")</f>
        <v>Engineer II/ DENR/ LRA/ROD/Survey Coordinator</v>
      </c>
      <c r="J1620" s="164" t="str">
        <f ca="1">IFERROR(__xludf.DUMMYFUNCTION("""COMPUTED_VALUE"""),"005-03-2023")</f>
        <v>005-03-2023</v>
      </c>
      <c r="K1620" s="164" t="str">
        <f ca="1">IFERROR(__xludf.DUMMYFUNCTION("""COMPUTED_VALUE"""),"ENGR. AMANDO A. CARIASO")</f>
        <v>ENGR. AMANDO A. CARIASO</v>
      </c>
      <c r="L1620" s="164" t="str">
        <f ca="1">IFERROR(__xludf.DUMMYFUNCTION("""COMPUTED_VALUE"""),"DARPO QUEZON I")</f>
        <v>DARPO QUEZON I</v>
      </c>
      <c r="M1620" s="164" t="str">
        <f ca="1">IFERROR(__xludf.DUMMYFUNCTION("""COMPUTED_VALUE"""),"SERVICEABLE")</f>
        <v>SERVICEABLE</v>
      </c>
      <c r="N1620" s="164"/>
    </row>
    <row r="1621" spans="1:14" ht="13.2" hidden="1">
      <c r="A1621" s="164" t="str">
        <f ca="1">IFERROR(__xludf.DUMMYFUNCTION("""COMPUTED_VALUE"""),"Region IV-A")</f>
        <v>Region IV-A</v>
      </c>
      <c r="B1621" s="164" t="str">
        <f ca="1">IFERROR(__xludf.DUMMYFUNCTION("""COMPUTED_VALUE"""),"QUEZON II")</f>
        <v>QUEZON II</v>
      </c>
      <c r="C1621" s="164" t="str">
        <f ca="1">IFERROR(__xludf.DUMMYFUNCTION("""COMPUTED_VALUE"""),"TOTAL STATION – GEOMAX TOTAL STATION ZOOM 50")</f>
        <v>TOTAL STATION – GEOMAX TOTAL STATION ZOOM 50</v>
      </c>
      <c r="D1621" s="164" t="str">
        <f ca="1">IFERROR(__xludf.DUMMYFUNCTION("""COMPUTED_VALUE"""),"₱ 648,000.00")</f>
        <v>₱ 648,000.00</v>
      </c>
      <c r="E1621" s="164" t="str">
        <f ca="1">IFERROR(__xludf.DUMMYFUNCTION("""COMPUTED_VALUE"""),"₱-")</f>
        <v>₱-</v>
      </c>
      <c r="F1621" s="164" t="str">
        <f ca="1">IFERROR(__xludf.DUMMYFUNCTION("""COMPUTED_VALUE"""),"2023-05-14-10201SP23-01")</f>
        <v>2023-05-14-10201SP23-01</v>
      </c>
      <c r="G1621" s="164" t="str">
        <f ca="1">IFERROR(__xludf.DUMMYFUNCTION("""COMPUTED_VALUE"""),"2839988")</f>
        <v>2839988</v>
      </c>
      <c r="H1621" s="164" t="str">
        <f ca="1">IFERROR(__xludf.DUMMYFUNCTION("""COMPUTED_VALUE"""),"VERONICA M. OTCHARAN")</f>
        <v>VERONICA M. OTCHARAN</v>
      </c>
      <c r="I1621" s="164" t="str">
        <f ca="1">IFERROR(__xludf.DUMMYFUNCTION("""COMPUTED_VALUE"""),"FVT COORDINATOR")</f>
        <v>FVT COORDINATOR</v>
      </c>
      <c r="J1621" s="164" t="str">
        <f ca="1">IFERROR(__xludf.DUMMYFUNCTION("""COMPUTED_VALUE"""),"2023-03-001")</f>
        <v>2023-03-001</v>
      </c>
      <c r="K1621" s="164" t="str">
        <f ca="1">IFERROR(__xludf.DUMMYFUNCTION("""COMPUTED_VALUE"""),"VERONICA M. OTCHARAN")</f>
        <v>VERONICA M. OTCHARAN</v>
      </c>
      <c r="L1621" s="164" t="str">
        <f ca="1">IFERROR(__xludf.DUMMYFUNCTION("""COMPUTED_VALUE"""),"LTID")</f>
        <v>LTID</v>
      </c>
      <c r="M1621" s="164" t="str">
        <f ca="1">IFERROR(__xludf.DUMMYFUNCTION("""COMPUTED_VALUE"""),"SERVICEABLE")</f>
        <v>SERVICEABLE</v>
      </c>
      <c r="N1621" s="164"/>
    </row>
    <row r="1622" spans="1:14" ht="13.2" hidden="1">
      <c r="A1622" s="164" t="str">
        <f ca="1">IFERROR(__xludf.DUMMYFUNCTION("""COMPUTED_VALUE"""),"Region IV-A")</f>
        <v>Region IV-A</v>
      </c>
      <c r="B1622" s="164" t="str">
        <f ca="1">IFERROR(__xludf.DUMMYFUNCTION("""COMPUTED_VALUE"""),"RIZAL")</f>
        <v>RIZAL</v>
      </c>
      <c r="C1622" s="164" t="str">
        <f ca="1">IFERROR(__xludf.DUMMYFUNCTION("""COMPUTED_VALUE"""),"TOTAL STATION – GEOMAX TOTAL STATION ZOOM 50")</f>
        <v>TOTAL STATION – GEOMAX TOTAL STATION ZOOM 50</v>
      </c>
      <c r="D1622" s="164" t="str">
        <f ca="1">IFERROR(__xludf.DUMMYFUNCTION("""COMPUTED_VALUE"""),"₱ 648,000.00")</f>
        <v>₱ 648,000.00</v>
      </c>
      <c r="E1622" s="164" t="str">
        <f ca="1">IFERROR(__xludf.DUMMYFUNCTION("""COMPUTED_VALUE"""),"₱-")</f>
        <v>₱-</v>
      </c>
      <c r="F1622" s="164" t="str">
        <f ca="1">IFERROR(__xludf.DUMMYFUNCTION("""COMPUTED_VALUE"""),"2023-05-14-10201SP24-01")</f>
        <v>2023-05-14-10201SP24-01</v>
      </c>
      <c r="G1622" s="164" t="str">
        <f ca="1">IFERROR(__xludf.DUMMYFUNCTION("""COMPUTED_VALUE"""),"2839815")</f>
        <v>2839815</v>
      </c>
      <c r="H1622" s="164" t="str">
        <f ca="1">IFERROR(__xludf.DUMMYFUNCTION("""COMPUTED_VALUE"""),"ROY B. TORIRIT")</f>
        <v>ROY B. TORIRIT</v>
      </c>
      <c r="I1622" s="164" t="str">
        <f ca="1">IFERROR(__xludf.DUMMYFUNCTION("""COMPUTED_VALUE"""),"ENGR. II")</f>
        <v>ENGR. II</v>
      </c>
      <c r="J1622" s="164" t="str">
        <f ca="1">IFERROR(__xludf.DUMMYFUNCTION("""COMPUTED_VALUE"""),"2023-SPLIT-03-002")</f>
        <v>2023-SPLIT-03-002</v>
      </c>
      <c r="K1622" s="164" t="str">
        <f ca="1">IFERROR(__xludf.DUMMYFUNCTION("""COMPUTED_VALUE"""),"ROY B. TORIRIT")</f>
        <v>ROY B. TORIRIT</v>
      </c>
      <c r="L1622" s="164" t="str">
        <f ca="1">IFERROR(__xludf.DUMMYFUNCTION("""COMPUTED_VALUE"""),"LTS/SURVEY UNIT")</f>
        <v>LTS/SURVEY UNIT</v>
      </c>
      <c r="M1622" s="164" t="str">
        <f ca="1">IFERROR(__xludf.DUMMYFUNCTION("""COMPUTED_VALUE"""),"SERVICEABLE")</f>
        <v>SERVICEABLE</v>
      </c>
      <c r="N1622" s="164"/>
    </row>
    <row r="1623" spans="1:14" ht="13.2" hidden="1">
      <c r="A1623" s="164" t="str">
        <f ca="1">IFERROR(__xludf.DUMMYFUNCTION("""COMPUTED_VALUE"""),"Region IV-A")</f>
        <v>Region IV-A</v>
      </c>
      <c r="B1623" s="164" t="str">
        <f ca="1">IFERROR(__xludf.DUMMYFUNCTION("""COMPUTED_VALUE"""),"BATANGAS")</f>
        <v>BATANGAS</v>
      </c>
      <c r="C1623" s="164" t="str">
        <f ca="1">IFERROR(__xludf.DUMMYFUNCTION("""COMPUTED_VALUE"""),"HANDHELD GPS – MODEL P6")</f>
        <v>HANDHELD GPS – MODEL P6</v>
      </c>
      <c r="D1623" s="164" t="str">
        <f ca="1">IFERROR(__xludf.DUMMYFUNCTION("""COMPUTED_VALUE"""),"₱ 79,000.00")</f>
        <v>₱ 79,000.00</v>
      </c>
      <c r="E1623" s="164" t="str">
        <f ca="1">IFERROR(__xludf.DUMMYFUNCTION("""COMPUTED_VALUE"""),"₱-")</f>
        <v>₱-</v>
      </c>
      <c r="F1623" s="164" t="str">
        <f ca="1">IFERROR(__xludf.DUMMYFUNCTION("""COMPUTED_VALUE"""),"2023-05-14-10202SP38-01")</f>
        <v>2023-05-14-10202SP38-01</v>
      </c>
      <c r="G1623" s="164" t="str">
        <f ca="1">IFERROR(__xludf.DUMMYFUNCTION("""COMPUTED_VALUE"""),"SP10730099")</f>
        <v>SP10730099</v>
      </c>
      <c r="H1623" s="164" t="str">
        <f ca="1">IFERROR(__xludf.DUMMYFUNCTION("""COMPUTED_VALUE"""),"ENGR. WINSTON DOCTOR")</f>
        <v>ENGR. WINSTON DOCTOR</v>
      </c>
      <c r="I1623" s="164" t="str">
        <f ca="1">IFERROR(__xludf.DUMMYFUNCTION("""COMPUTED_VALUE"""),"MARPO/GE")</f>
        <v>MARPO/GE</v>
      </c>
      <c r="J1623" s="164" t="str">
        <f ca="1">IFERROR(__xludf.DUMMYFUNCTION("""COMPUTED_VALUE"""),"SP2023-03-05")</f>
        <v>SP2023-03-05</v>
      </c>
      <c r="K1623" s="164" t="str">
        <f ca="1">IFERROR(__xludf.DUMMYFUNCTION("""COMPUTED_VALUE"""),"ENGR. WINSTON DOCTOR")</f>
        <v>ENGR. WINSTON DOCTOR</v>
      </c>
      <c r="L1623" s="164" t="str">
        <f ca="1">IFERROR(__xludf.DUMMYFUNCTION("""COMPUTED_VALUE"""),"LTID")</f>
        <v>LTID</v>
      </c>
      <c r="M1623" s="164" t="str">
        <f ca="1">IFERROR(__xludf.DUMMYFUNCTION("""COMPUTED_VALUE"""),"SERVICEABLE")</f>
        <v>SERVICEABLE</v>
      </c>
      <c r="N1623" s="164"/>
    </row>
    <row r="1624" spans="1:14" ht="13.2" hidden="1">
      <c r="A1624" s="164" t="str">
        <f ca="1">IFERROR(__xludf.DUMMYFUNCTION("""COMPUTED_VALUE"""),"Region IV-A")</f>
        <v>Region IV-A</v>
      </c>
      <c r="B1624" s="164" t="str">
        <f ca="1">IFERROR(__xludf.DUMMYFUNCTION("""COMPUTED_VALUE"""),"QUEZON I")</f>
        <v>QUEZON I</v>
      </c>
      <c r="C1624" s="164" t="str">
        <f ca="1">IFERROR(__xludf.DUMMYFUNCTION("""COMPUTED_VALUE"""),"HANDHELD GPS – MODEL P6")</f>
        <v>HANDHELD GPS – MODEL P6</v>
      </c>
      <c r="D1624" s="164" t="str">
        <f ca="1">IFERROR(__xludf.DUMMYFUNCTION("""COMPUTED_VALUE"""),"₱ 79,000.00")</f>
        <v>₱ 79,000.00</v>
      </c>
      <c r="E1624" s="164" t="str">
        <f ca="1">IFERROR(__xludf.DUMMYFUNCTION("""COMPUTED_VALUE"""),"₱-")</f>
        <v>₱-</v>
      </c>
      <c r="F1624" s="164" t="str">
        <f ca="1">IFERROR(__xludf.DUMMYFUNCTION("""COMPUTED_VALUE"""),"2023-05-14-10202SP39-01")</f>
        <v>2023-05-14-10202SP39-01</v>
      </c>
      <c r="G1624" s="164" t="str">
        <f ca="1">IFERROR(__xludf.DUMMYFUNCTION("""COMPUTED_VALUE"""),"SP10730071")</f>
        <v>SP10730071</v>
      </c>
      <c r="H1624" s="164" t="str">
        <f ca="1">IFERROR(__xludf.DUMMYFUNCTION("""COMPUTED_VALUE"""),"ENGR. AMANDO A. CARIASO")</f>
        <v>ENGR. AMANDO A. CARIASO</v>
      </c>
      <c r="I1624" s="164" t="str">
        <f ca="1">IFERROR(__xludf.DUMMYFUNCTION("""COMPUTED_VALUE"""),"Engineer II/ DENR/ LRA/ROD/Survey Coordinator")</f>
        <v>Engineer II/ DENR/ LRA/ROD/Survey Coordinator</v>
      </c>
      <c r="J1624" s="164" t="str">
        <f ca="1">IFERROR(__xludf.DUMMYFUNCTION("""COMPUTED_VALUE"""),"004-03-2023")</f>
        <v>004-03-2023</v>
      </c>
      <c r="K1624" s="164" t="str">
        <f ca="1">IFERROR(__xludf.DUMMYFUNCTION("""COMPUTED_VALUE"""),"ENGR. AMANDO A. CARIASO")</f>
        <v>ENGR. AMANDO A. CARIASO</v>
      </c>
      <c r="L1624" s="164" t="str">
        <f ca="1">IFERROR(__xludf.DUMMYFUNCTION("""COMPUTED_VALUE"""),"DARPO QUEZON I")</f>
        <v>DARPO QUEZON I</v>
      </c>
      <c r="M1624" s="164" t="str">
        <f ca="1">IFERROR(__xludf.DUMMYFUNCTION("""COMPUTED_VALUE"""),"SERVICEABLE")</f>
        <v>SERVICEABLE</v>
      </c>
      <c r="N1624" s="164"/>
    </row>
    <row r="1625" spans="1:14" ht="13.2" hidden="1">
      <c r="A1625" s="164" t="str">
        <f ca="1">IFERROR(__xludf.DUMMYFUNCTION("""COMPUTED_VALUE"""),"Region IV-A")</f>
        <v>Region IV-A</v>
      </c>
      <c r="B1625" s="164" t="str">
        <f ca="1">IFERROR(__xludf.DUMMYFUNCTION("""COMPUTED_VALUE"""),"QUEZON II")</f>
        <v>QUEZON II</v>
      </c>
      <c r="C1625" s="164" t="str">
        <f ca="1">IFERROR(__xludf.DUMMYFUNCTION("""COMPUTED_VALUE"""),"HANDHELD GPS – MODEL P6")</f>
        <v>HANDHELD GPS – MODEL P6</v>
      </c>
      <c r="D1625" s="164" t="str">
        <f ca="1">IFERROR(__xludf.DUMMYFUNCTION("""COMPUTED_VALUE"""),"₱ 79,000.00")</f>
        <v>₱ 79,000.00</v>
      </c>
      <c r="E1625" s="164" t="str">
        <f ca="1">IFERROR(__xludf.DUMMYFUNCTION("""COMPUTED_VALUE"""),"₱-")</f>
        <v>₱-</v>
      </c>
      <c r="F1625" s="164" t="str">
        <f ca="1">IFERROR(__xludf.DUMMYFUNCTION("""COMPUTED_VALUE"""),"2023-05-14-10202SP40-01")</f>
        <v>2023-05-14-10202SP40-01</v>
      </c>
      <c r="G1625" s="164" t="str">
        <f ca="1">IFERROR(__xludf.DUMMYFUNCTION("""COMPUTED_VALUE"""),"SP10730060")</f>
        <v>SP10730060</v>
      </c>
      <c r="H1625" s="164" t="str">
        <f ca="1">IFERROR(__xludf.DUMMYFUNCTION("""COMPUTED_VALUE"""),"VERONICA M. OTCHARAN")</f>
        <v>VERONICA M. OTCHARAN</v>
      </c>
      <c r="I1625" s="164" t="str">
        <f ca="1">IFERROR(__xludf.DUMMYFUNCTION("""COMPUTED_VALUE"""),"FVT COORDINATOR")</f>
        <v>FVT COORDINATOR</v>
      </c>
      <c r="J1625" s="164" t="str">
        <f ca="1">IFERROR(__xludf.DUMMYFUNCTION("""COMPUTED_VALUE"""),"2023-03-002")</f>
        <v>2023-03-002</v>
      </c>
      <c r="K1625" s="164" t="str">
        <f ca="1">IFERROR(__xludf.DUMMYFUNCTION("""COMPUTED_VALUE"""),"VERONICA M. OTCHARAN")</f>
        <v>VERONICA M. OTCHARAN</v>
      </c>
      <c r="L1625" s="164" t="str">
        <f ca="1">IFERROR(__xludf.DUMMYFUNCTION("""COMPUTED_VALUE"""),"LTID")</f>
        <v>LTID</v>
      </c>
      <c r="M1625" s="164" t="str">
        <f ca="1">IFERROR(__xludf.DUMMYFUNCTION("""COMPUTED_VALUE"""),"SERVICEABLE")</f>
        <v>SERVICEABLE</v>
      </c>
      <c r="N1625" s="164"/>
    </row>
    <row r="1626" spans="1:14" ht="13.2" hidden="1">
      <c r="A1626" s="164" t="str">
        <f ca="1">IFERROR(__xludf.DUMMYFUNCTION("""COMPUTED_VALUE"""),"Region IV-A")</f>
        <v>Region IV-A</v>
      </c>
      <c r="B1626" s="164" t="str">
        <f ca="1">IFERROR(__xludf.DUMMYFUNCTION("""COMPUTED_VALUE"""),"RIZAL")</f>
        <v>RIZAL</v>
      </c>
      <c r="C1626" s="164" t="str">
        <f ca="1">IFERROR(__xludf.DUMMYFUNCTION("""COMPUTED_VALUE"""),"HANDHELD GPS – MODEL P6")</f>
        <v>HANDHELD GPS – MODEL P6</v>
      </c>
      <c r="D1626" s="164" t="str">
        <f ca="1">IFERROR(__xludf.DUMMYFUNCTION("""COMPUTED_VALUE"""),"₱ 79,000.00")</f>
        <v>₱ 79,000.00</v>
      </c>
      <c r="E1626" s="164" t="str">
        <f ca="1">IFERROR(__xludf.DUMMYFUNCTION("""COMPUTED_VALUE"""),"₱-")</f>
        <v>₱-</v>
      </c>
      <c r="F1626" s="164" t="str">
        <f ca="1">IFERROR(__xludf.DUMMYFUNCTION("""COMPUTED_VALUE"""),"2023-05-14-10202SP41-01")</f>
        <v>2023-05-14-10202SP41-01</v>
      </c>
      <c r="G1626" s="164" t="str">
        <f ca="1">IFERROR(__xludf.DUMMYFUNCTION("""COMPUTED_VALUE"""),"SP10730048")</f>
        <v>SP10730048</v>
      </c>
      <c r="H1626" s="164" t="str">
        <f ca="1">IFERROR(__xludf.DUMMYFUNCTION("""COMPUTED_VALUE"""),"ROY B. TORIRIT")</f>
        <v>ROY B. TORIRIT</v>
      </c>
      <c r="I1626" s="164" t="str">
        <f ca="1">IFERROR(__xludf.DUMMYFUNCTION("""COMPUTED_VALUE"""),"ENGR. II")</f>
        <v>ENGR. II</v>
      </c>
      <c r="J1626" s="164" t="str">
        <f ca="1">IFERROR(__xludf.DUMMYFUNCTION("""COMPUTED_VALUE"""),"2023-SPLIT-03-003")</f>
        <v>2023-SPLIT-03-003</v>
      </c>
      <c r="K1626" s="164" t="str">
        <f ca="1">IFERROR(__xludf.DUMMYFUNCTION("""COMPUTED_VALUE"""),"ROY B. TORIRIT")</f>
        <v>ROY B. TORIRIT</v>
      </c>
      <c r="L1626" s="164" t="str">
        <f ca="1">IFERROR(__xludf.DUMMYFUNCTION("""COMPUTED_VALUE"""),"LTS/SURVEY UNIT")</f>
        <v>LTS/SURVEY UNIT</v>
      </c>
      <c r="M1626" s="164" t="str">
        <f ca="1">IFERROR(__xludf.DUMMYFUNCTION("""COMPUTED_VALUE"""),"SERVICEABLE")</f>
        <v>SERVICEABLE</v>
      </c>
      <c r="N1626" s="164"/>
    </row>
    <row r="1627" spans="1:14" ht="13.2" hidden="1">
      <c r="A1627" s="164" t="str">
        <f ca="1">IFERROR(__xludf.DUMMYFUNCTION("""COMPUTED_VALUE"""),"Region IV-A")</f>
        <v>Region IV-A</v>
      </c>
      <c r="B1627" s="164" t="str">
        <f ca="1">IFERROR(__xludf.DUMMYFUNCTION("""COMPUTED_VALUE"""),"REGIONAL OFFICE")</f>
        <v>REGIONAL OFFICE</v>
      </c>
      <c r="C1627" s="164" t="str">
        <f ca="1">IFERROR(__xludf.DUMMYFUNCTION("""COMPUTED_VALUE"""),"DESKTOP COMPUTER – (LENOVO M70T)")</f>
        <v>DESKTOP COMPUTER – (LENOVO M70T)</v>
      </c>
      <c r="D1627" s="164" t="str">
        <f ca="1">IFERROR(__xludf.DUMMYFUNCTION("""COMPUTED_VALUE"""),"₱ 75,468.00")</f>
        <v>₱ 75,468.00</v>
      </c>
      <c r="E1627" s="164" t="str">
        <f ca="1">IFERROR(__xludf.DUMMYFUNCTION("""COMPUTED_VALUE"""),"₱-")</f>
        <v>₱-</v>
      </c>
      <c r="F1627" s="164" t="str">
        <f ca="1">IFERROR(__xludf.DUMMYFUNCTION("""COMPUTED_VALUE"""),"2023-05-03-1020ISP862-01")</f>
        <v>2023-05-03-1020ISP862-01</v>
      </c>
      <c r="G1627" s="164" t="str">
        <f ca="1">IFERROR(__xludf.DUMMYFUNCTION("""COMPUTED_VALUE"""),"1S11T5S16200GM0418H5")</f>
        <v>1S11T5S16200GM0418H5</v>
      </c>
      <c r="H1627" s="164" t="str">
        <f ca="1">IFERROR(__xludf.DUMMYFUNCTION("""COMPUTED_VALUE"""),"HELEN G. PAULE")</f>
        <v>HELEN G. PAULE</v>
      </c>
      <c r="I1627" s="164" t="str">
        <f ca="1">IFERROR(__xludf.DUMMYFUNCTION("""COMPUTED_VALUE"""),"M&amp;E COORDINATOR")</f>
        <v>M&amp;E COORDINATOR</v>
      </c>
      <c r="J1627" s="164" t="str">
        <f ca="1">IFERROR(__xludf.DUMMYFUNCTION("""COMPUTED_VALUE"""),"23-05-011")</f>
        <v>23-05-011</v>
      </c>
      <c r="K1627" s="164" t="str">
        <f ca="1">IFERROR(__xludf.DUMMYFUNCTION("""COMPUTED_VALUE"""),"RUEL MAYANO")</f>
        <v>RUEL MAYANO</v>
      </c>
      <c r="L1627" s="164" t="str">
        <f ca="1">IFERROR(__xludf.DUMMYFUNCTION("""COMPUTED_VALUE"""),"PLANNING")</f>
        <v>PLANNING</v>
      </c>
      <c r="M1627" s="164" t="str">
        <f ca="1">IFERROR(__xludf.DUMMYFUNCTION("""COMPUTED_VALUE"""),"SERVICEABLE")</f>
        <v>SERVICEABLE</v>
      </c>
      <c r="N1627" s="164"/>
    </row>
    <row r="1628" spans="1:14" ht="13.2" hidden="1">
      <c r="A1628" s="164" t="str">
        <f ca="1">IFERROR(__xludf.DUMMYFUNCTION("""COMPUTED_VALUE"""),"Region IV-A")</f>
        <v>Region IV-A</v>
      </c>
      <c r="B1628" s="164" t="str">
        <f ca="1">IFERROR(__xludf.DUMMYFUNCTION("""COMPUTED_VALUE"""),"REGIONAL OFFICE")</f>
        <v>REGIONAL OFFICE</v>
      </c>
      <c r="C1628" s="164" t="str">
        <f ca="1">IFERROR(__xludf.DUMMYFUNCTION("""COMPUTED_VALUE"""),"DESKTOP COMPUTER – (LENOVO M70T)")</f>
        <v>DESKTOP COMPUTER – (LENOVO M70T)</v>
      </c>
      <c r="D1628" s="164" t="str">
        <f ca="1">IFERROR(__xludf.DUMMYFUNCTION("""COMPUTED_VALUE"""),"₱ 75,468.00")</f>
        <v>₱ 75,468.00</v>
      </c>
      <c r="E1628" s="164" t="str">
        <f ca="1">IFERROR(__xludf.DUMMYFUNCTION("""COMPUTED_VALUE"""),"₱-")</f>
        <v>₱-</v>
      </c>
      <c r="F1628" s="164" t="str">
        <f ca="1">IFERROR(__xludf.DUMMYFUNCTION("""COMPUTED_VALUE"""),"2023-05-03-1020ISP863-01")</f>
        <v>2023-05-03-1020ISP863-01</v>
      </c>
      <c r="G1628" s="164" t="str">
        <f ca="1">IFERROR(__xludf.DUMMYFUNCTION("""COMPUTED_VALUE"""),"1S11T5S16200GM0418K2")</f>
        <v>1S11T5S16200GM0418K2</v>
      </c>
      <c r="H1628" s="164" t="str">
        <f ca="1">IFERROR(__xludf.DUMMYFUNCTION("""COMPUTED_VALUE"""),"NORA H. TACNENG")</f>
        <v>NORA H. TACNENG</v>
      </c>
      <c r="I1628" s="164" t="str">
        <f ca="1">IFERROR(__xludf.DUMMYFUNCTION("""COMPUTED_VALUE"""),"PROJECT CASHIER")</f>
        <v>PROJECT CASHIER</v>
      </c>
      <c r="J1628" s="164" t="str">
        <f ca="1">IFERROR(__xludf.DUMMYFUNCTION("""COMPUTED_VALUE"""),"23-05-012")</f>
        <v>23-05-012</v>
      </c>
      <c r="K1628" s="164" t="str">
        <f ca="1">IFERROR(__xludf.DUMMYFUNCTION("""COMPUTED_VALUE"""),"NORA H. TACNENG")</f>
        <v>NORA H. TACNENG</v>
      </c>
      <c r="L1628" s="164" t="str">
        <f ca="1">IFERROR(__xludf.DUMMYFUNCTION("""COMPUTED_VALUE"""),"CASHIER")</f>
        <v>CASHIER</v>
      </c>
      <c r="M1628" s="164" t="str">
        <f ca="1">IFERROR(__xludf.DUMMYFUNCTION("""COMPUTED_VALUE"""),"SERVICEABLE")</f>
        <v>SERVICEABLE</v>
      </c>
      <c r="N1628" s="164"/>
    </row>
    <row r="1629" spans="1:14" ht="13.2" hidden="1">
      <c r="A1629" s="164" t="str">
        <f ca="1">IFERROR(__xludf.DUMMYFUNCTION("""COMPUTED_VALUE"""),"Region IV-A")</f>
        <v>Region IV-A</v>
      </c>
      <c r="B1629" s="164" t="str">
        <f ca="1">IFERROR(__xludf.DUMMYFUNCTION("""COMPUTED_VALUE"""),"REGIONAL OFFICE")</f>
        <v>REGIONAL OFFICE</v>
      </c>
      <c r="C1629" s="164" t="str">
        <f ca="1">IFERROR(__xludf.DUMMYFUNCTION("""COMPUTED_VALUE"""),"DESKTOP COMPUTER – (LENOVO M70T)")</f>
        <v>DESKTOP COMPUTER – (LENOVO M70T)</v>
      </c>
      <c r="D1629" s="164" t="str">
        <f ca="1">IFERROR(__xludf.DUMMYFUNCTION("""COMPUTED_VALUE"""),"₱ 75,468.00")</f>
        <v>₱ 75,468.00</v>
      </c>
      <c r="E1629" s="164" t="str">
        <f ca="1">IFERROR(__xludf.DUMMYFUNCTION("""COMPUTED_VALUE"""),"₱-")</f>
        <v>₱-</v>
      </c>
      <c r="F1629" s="164" t="str">
        <f ca="1">IFERROR(__xludf.DUMMYFUNCTION("""COMPUTED_VALUE"""),"2023-05-03-1020ISP864-01")</f>
        <v>2023-05-03-1020ISP864-01</v>
      </c>
      <c r="G1629" s="164" t="str">
        <f ca="1">IFERROR(__xludf.DUMMYFUNCTION("""COMPUTED_VALUE"""),"1S11T5S16200GM0415YA")</f>
        <v>1S11T5S16200GM0415YA</v>
      </c>
      <c r="H1629" s="164" t="str">
        <f ca="1">IFERROR(__xludf.DUMMYFUNCTION("""COMPUTED_VALUE"""),"RAMON S. DAYRIT")</f>
        <v>RAMON S. DAYRIT</v>
      </c>
      <c r="I1629" s="164" t="str">
        <f ca="1">IFERROR(__xludf.DUMMYFUNCTION("""COMPUTED_VALUE"""),"ESS COORDINATOR")</f>
        <v>ESS COORDINATOR</v>
      </c>
      <c r="J1629" s="164" t="str">
        <f ca="1">IFERROR(__xludf.DUMMYFUNCTION("""COMPUTED_VALUE"""),"23-05-013")</f>
        <v>23-05-013</v>
      </c>
      <c r="K1629" s="164" t="str">
        <f ca="1">IFERROR(__xludf.DUMMYFUNCTION("""COMPUTED_VALUE"""),"RAMON S. DAYRIT")</f>
        <v>RAMON S. DAYRIT</v>
      </c>
      <c r="L1629" s="164" t="str">
        <f ca="1">IFERROR(__xludf.DUMMYFUNCTION("""COMPUTED_VALUE"""),"FOD")</f>
        <v>FOD</v>
      </c>
      <c r="M1629" s="164" t="str">
        <f ca="1">IFERROR(__xludf.DUMMYFUNCTION("""COMPUTED_VALUE"""),"SERVICEABLE")</f>
        <v>SERVICEABLE</v>
      </c>
      <c r="N1629" s="164"/>
    </row>
    <row r="1630" spans="1:14" ht="13.2" hidden="1">
      <c r="A1630" s="164" t="str">
        <f ca="1">IFERROR(__xludf.DUMMYFUNCTION("""COMPUTED_VALUE"""),"Region IV-A")</f>
        <v>Region IV-A</v>
      </c>
      <c r="B1630" s="164" t="str">
        <f ca="1">IFERROR(__xludf.DUMMYFUNCTION("""COMPUTED_VALUE"""),"REGIONAL OFFICE")</f>
        <v>REGIONAL OFFICE</v>
      </c>
      <c r="C1630" s="164" t="str">
        <f ca="1">IFERROR(__xludf.DUMMYFUNCTION("""COMPUTED_VALUE"""),"DESKTOP COMPUTER – (LENOVO M70T)")</f>
        <v>DESKTOP COMPUTER – (LENOVO M70T)</v>
      </c>
      <c r="D1630" s="164" t="str">
        <f ca="1">IFERROR(__xludf.DUMMYFUNCTION("""COMPUTED_VALUE"""),"₱ 75,468.00")</f>
        <v>₱ 75,468.00</v>
      </c>
      <c r="E1630" s="164" t="str">
        <f ca="1">IFERROR(__xludf.DUMMYFUNCTION("""COMPUTED_VALUE"""),"₱-")</f>
        <v>₱-</v>
      </c>
      <c r="F1630" s="164" t="str">
        <f ca="1">IFERROR(__xludf.DUMMYFUNCTION("""COMPUTED_VALUE"""),"2023-05-03-1020ISP865-01")</f>
        <v>2023-05-03-1020ISP865-01</v>
      </c>
      <c r="G1630" s="164" t="str">
        <f ca="1">IFERROR(__xludf.DUMMYFUNCTION("""COMPUTED_VALUE"""),"1S11T5S16200GM041601")</f>
        <v>1S11T5S16200GM041601</v>
      </c>
      <c r="H1630" s="164" t="str">
        <f ca="1">IFERROR(__xludf.DUMMYFUNCTION("""COMPUTED_VALUE"""),"EMERITA T. NICOLAS")</f>
        <v>EMERITA T. NICOLAS</v>
      </c>
      <c r="I1630" s="164" t="str">
        <f ca="1">IFERROR(__xludf.DUMMYFUNCTION("""COMPUTED_VALUE"""),"ESS SUPPORT STAFF")</f>
        <v>ESS SUPPORT STAFF</v>
      </c>
      <c r="J1630" s="164" t="str">
        <f ca="1">IFERROR(__xludf.DUMMYFUNCTION("""COMPUTED_VALUE"""),"23-05-014")</f>
        <v>23-05-014</v>
      </c>
      <c r="K1630" s="164" t="str">
        <f ca="1">IFERROR(__xludf.DUMMYFUNCTION("""COMPUTED_VALUE"""),"EMERITA T. NICOLAS")</f>
        <v>EMERITA T. NICOLAS</v>
      </c>
      <c r="L1630" s="164" t="str">
        <f ca="1">IFERROR(__xludf.DUMMYFUNCTION("""COMPUTED_VALUE"""),"FOD")</f>
        <v>FOD</v>
      </c>
      <c r="M1630" s="164" t="str">
        <f ca="1">IFERROR(__xludf.DUMMYFUNCTION("""COMPUTED_VALUE"""),"SERVICEABLE")</f>
        <v>SERVICEABLE</v>
      </c>
      <c r="N1630" s="164"/>
    </row>
    <row r="1631" spans="1:14" ht="13.2" hidden="1">
      <c r="A1631" s="164" t="str">
        <f ca="1">IFERROR(__xludf.DUMMYFUNCTION("""COMPUTED_VALUE"""),"Region IV-A")</f>
        <v>Region IV-A</v>
      </c>
      <c r="B1631" s="164" t="str">
        <f ca="1">IFERROR(__xludf.DUMMYFUNCTION("""COMPUTED_VALUE"""),"REGIONAL OFFICE")</f>
        <v>REGIONAL OFFICE</v>
      </c>
      <c r="C1631" s="164" t="str">
        <f ca="1">IFERROR(__xludf.DUMMYFUNCTION("""COMPUTED_VALUE"""),"DESKTOP COMPUTER – (LENOVO M70T)")</f>
        <v>DESKTOP COMPUTER – (LENOVO M70T)</v>
      </c>
      <c r="D1631" s="164" t="str">
        <f ca="1">IFERROR(__xludf.DUMMYFUNCTION("""COMPUTED_VALUE"""),"₱ 75,468.00")</f>
        <v>₱ 75,468.00</v>
      </c>
      <c r="E1631" s="164" t="str">
        <f ca="1">IFERROR(__xludf.DUMMYFUNCTION("""COMPUTED_VALUE"""),"₱-")</f>
        <v>₱-</v>
      </c>
      <c r="F1631" s="164" t="str">
        <f ca="1">IFERROR(__xludf.DUMMYFUNCTION("""COMPUTED_VALUE"""),"2023-05-03-1020ISP866-01")</f>
        <v>2023-05-03-1020ISP866-01</v>
      </c>
      <c r="G1631" s="164" t="str">
        <f ca="1">IFERROR(__xludf.DUMMYFUNCTION("""COMPUTED_VALUE"""),"1S11T5S16200GM041B4G")</f>
        <v>1S11T5S16200GM041B4G</v>
      </c>
      <c r="H1631" s="164" t="str">
        <f ca="1">IFERROR(__xludf.DUMMYFUNCTION("""COMPUTED_VALUE"""),"ALICIA P. PEÑA")</f>
        <v>ALICIA P. PEÑA</v>
      </c>
      <c r="I1631" s="164" t="str">
        <f ca="1">IFERROR(__xludf.DUMMYFUNCTION("""COMPUTED_VALUE"""),"PROJECT BUDGET OFFICER")</f>
        <v>PROJECT BUDGET OFFICER</v>
      </c>
      <c r="J1631" s="164" t="str">
        <f ca="1">IFERROR(__xludf.DUMMYFUNCTION("""COMPUTED_VALUE"""),"23-05-015")</f>
        <v>23-05-015</v>
      </c>
      <c r="K1631" s="164" t="str">
        <f ca="1">IFERROR(__xludf.DUMMYFUNCTION("""COMPUTED_VALUE"""),"LINDSEY B. DESUYO")</f>
        <v>LINDSEY B. DESUYO</v>
      </c>
      <c r="L1631" s="164" t="str">
        <f ca="1">IFERROR(__xludf.DUMMYFUNCTION("""COMPUTED_VALUE"""),"BUDGET")</f>
        <v>BUDGET</v>
      </c>
      <c r="M1631" s="164" t="str">
        <f ca="1">IFERROR(__xludf.DUMMYFUNCTION("""COMPUTED_VALUE"""),"SERVICEABLE")</f>
        <v>SERVICEABLE</v>
      </c>
      <c r="N1631" s="164"/>
    </row>
    <row r="1632" spans="1:14" ht="13.2" hidden="1">
      <c r="A1632" s="164" t="str">
        <f ca="1">IFERROR(__xludf.DUMMYFUNCTION("""COMPUTED_VALUE"""),"Region IV-A")</f>
        <v>Region IV-A</v>
      </c>
      <c r="B1632" s="164" t="str">
        <f ca="1">IFERROR(__xludf.DUMMYFUNCTION("""COMPUTED_VALUE"""),"REGIONAL OFFICE")</f>
        <v>REGIONAL OFFICE</v>
      </c>
      <c r="C1632" s="164" t="str">
        <f ca="1">IFERROR(__xludf.DUMMYFUNCTION("""COMPUTED_VALUE"""),"DESKTOP COMPUTER – (LENOVO M70T)")</f>
        <v>DESKTOP COMPUTER – (LENOVO M70T)</v>
      </c>
      <c r="D1632" s="164" t="str">
        <f ca="1">IFERROR(__xludf.DUMMYFUNCTION("""COMPUTED_VALUE"""),"₱ 75,468.00")</f>
        <v>₱ 75,468.00</v>
      </c>
      <c r="E1632" s="164" t="str">
        <f ca="1">IFERROR(__xludf.DUMMYFUNCTION("""COMPUTED_VALUE"""),"₱-")</f>
        <v>₱-</v>
      </c>
      <c r="F1632" s="164" t="str">
        <f ca="1">IFERROR(__xludf.DUMMYFUNCTION("""COMPUTED_VALUE"""),"2023-05-03-1020ISP867-01")</f>
        <v>2023-05-03-1020ISP867-01</v>
      </c>
      <c r="G1632" s="164" t="str">
        <f ca="1">IFERROR(__xludf.DUMMYFUNCTION("""COMPUTED_VALUE"""),"1S11T5S16200GM041605")</f>
        <v>1S11T5S16200GM041605</v>
      </c>
      <c r="H1632" s="164" t="str">
        <f ca="1">IFERROR(__xludf.DUMMYFUNCTION("""COMPUTED_VALUE"""),"ERGENE I. REVECHE")</f>
        <v>ERGENE I. REVECHE</v>
      </c>
      <c r="I1632" s="164" t="str">
        <f ca="1">IFERROR(__xludf.DUMMYFUNCTION("""COMPUTED_VALUE"""),"PROJECT ACCOUNTANT")</f>
        <v>PROJECT ACCOUNTANT</v>
      </c>
      <c r="J1632" s="164" t="str">
        <f ca="1">IFERROR(__xludf.DUMMYFUNCTION("""COMPUTED_VALUE"""),"23-05-016")</f>
        <v>23-05-016</v>
      </c>
      <c r="K1632" s="164" t="str">
        <f ca="1">IFERROR(__xludf.DUMMYFUNCTION("""COMPUTED_VALUE"""),"ERGENE I. REVECHE")</f>
        <v>ERGENE I. REVECHE</v>
      </c>
      <c r="L1632" s="164" t="str">
        <f ca="1">IFERROR(__xludf.DUMMYFUNCTION("""COMPUTED_VALUE"""),"ACCOUNTING")</f>
        <v>ACCOUNTING</v>
      </c>
      <c r="M1632" s="164" t="str">
        <f ca="1">IFERROR(__xludf.DUMMYFUNCTION("""COMPUTED_VALUE"""),"SERVICEABLE")</f>
        <v>SERVICEABLE</v>
      </c>
      <c r="N1632" s="164"/>
    </row>
    <row r="1633" spans="1:14" ht="13.2" hidden="1">
      <c r="A1633" s="164" t="str">
        <f ca="1">IFERROR(__xludf.DUMMYFUNCTION("""COMPUTED_VALUE"""),"Region IV-A")</f>
        <v>Region IV-A</v>
      </c>
      <c r="B1633" s="164" t="str">
        <f ca="1">IFERROR(__xludf.DUMMYFUNCTION("""COMPUTED_VALUE"""),"REGIONAL OFFICE")</f>
        <v>REGIONAL OFFICE</v>
      </c>
      <c r="C1633" s="164" t="str">
        <f ca="1">IFERROR(__xludf.DUMMYFUNCTION("""COMPUTED_VALUE"""),"DESKTOP COMPUTER – (LENOVO M70T)")</f>
        <v>DESKTOP COMPUTER – (LENOVO M70T)</v>
      </c>
      <c r="D1633" s="164" t="str">
        <f ca="1">IFERROR(__xludf.DUMMYFUNCTION("""COMPUTED_VALUE"""),"₱ 75,468.00")</f>
        <v>₱ 75,468.00</v>
      </c>
      <c r="E1633" s="164" t="str">
        <f ca="1">IFERROR(__xludf.DUMMYFUNCTION("""COMPUTED_VALUE"""),"₱-")</f>
        <v>₱-</v>
      </c>
      <c r="F1633" s="164" t="str">
        <f ca="1">IFERROR(__xludf.DUMMYFUNCTION("""COMPUTED_VALUE"""),"2023-05-03-1020ISP868-01")</f>
        <v>2023-05-03-1020ISP868-01</v>
      </c>
      <c r="G1633" s="164" t="str">
        <f ca="1">IFERROR(__xludf.DUMMYFUNCTION("""COMPUTED_VALUE"""),"1S11T5S16200GM0415T9")</f>
        <v>1S11T5S16200GM0415T9</v>
      </c>
      <c r="H1633" s="164" t="str">
        <f ca="1">IFERROR(__xludf.DUMMYFUNCTION("""COMPUTED_VALUE"""),"GLORIA A. NATAD")</f>
        <v>GLORIA A. NATAD</v>
      </c>
      <c r="I1633" s="164" t="str">
        <f ca="1">IFERROR(__xludf.DUMMYFUNCTION("""COMPUTED_VALUE"""),"DENR/LRA-ROD SURVEY COORDINATOR")</f>
        <v>DENR/LRA-ROD SURVEY COORDINATOR</v>
      </c>
      <c r="J1633" s="164" t="str">
        <f ca="1">IFERROR(__xludf.DUMMYFUNCTION("""COMPUTED_VALUE"""),"23-05-017")</f>
        <v>23-05-017</v>
      </c>
      <c r="K1633" s="164" t="str">
        <f ca="1">IFERROR(__xludf.DUMMYFUNCTION("""COMPUTED_VALUE"""),"GLORIA A. NATAD")</f>
        <v>GLORIA A. NATAD</v>
      </c>
      <c r="L1633" s="164" t="str">
        <f ca="1">IFERROR(__xludf.DUMMYFUNCTION("""COMPUTED_VALUE"""),"FOD")</f>
        <v>FOD</v>
      </c>
      <c r="M1633" s="164" t="str">
        <f ca="1">IFERROR(__xludf.DUMMYFUNCTION("""COMPUTED_VALUE"""),"SERVICEABLE")</f>
        <v>SERVICEABLE</v>
      </c>
      <c r="N1633" s="164"/>
    </row>
    <row r="1634" spans="1:14" ht="13.2" hidden="1">
      <c r="A1634" s="164" t="str">
        <f ca="1">IFERROR(__xludf.DUMMYFUNCTION("""COMPUTED_VALUE"""),"Region IV-A")</f>
        <v>Region IV-A</v>
      </c>
      <c r="B1634" s="164" t="str">
        <f ca="1">IFERROR(__xludf.DUMMYFUNCTION("""COMPUTED_VALUE"""),"REGIONAL OFFICE")</f>
        <v>REGIONAL OFFICE</v>
      </c>
      <c r="C1634" s="164" t="str">
        <f ca="1">IFERROR(__xludf.DUMMYFUNCTION("""COMPUTED_VALUE"""),"DESKTOP COMPUTER – (LENOVO M70T)")</f>
        <v>DESKTOP COMPUTER – (LENOVO M70T)</v>
      </c>
      <c r="D1634" s="164" t="str">
        <f ca="1">IFERROR(__xludf.DUMMYFUNCTION("""COMPUTED_VALUE"""),"₱ 75,468.00")</f>
        <v>₱ 75,468.00</v>
      </c>
      <c r="E1634" s="164" t="str">
        <f ca="1">IFERROR(__xludf.DUMMYFUNCTION("""COMPUTED_VALUE"""),"₱-")</f>
        <v>₱-</v>
      </c>
      <c r="F1634" s="164" t="str">
        <f ca="1">IFERROR(__xludf.DUMMYFUNCTION("""COMPUTED_VALUE"""),"2023-05-03-1020ISP869-01")</f>
        <v>2023-05-03-1020ISP869-01</v>
      </c>
      <c r="G1634" s="164" t="str">
        <f ca="1">IFERROR(__xludf.DUMMYFUNCTION("""COMPUTED_VALUE"""),"1S11T5S16200GM041B4Q")</f>
        <v>1S11T5S16200GM041B4Q</v>
      </c>
      <c r="H1634" s="164" t="str">
        <f ca="1">IFERROR(__xludf.DUMMYFUNCTION("""COMPUTED_VALUE"""),"ENGR. MARVIN C. LABAO")</f>
        <v>ENGR. MARVIN C. LABAO</v>
      </c>
      <c r="I1634" s="164" t="str">
        <f ca="1">IFERROR(__xludf.DUMMYFUNCTION("""COMPUTED_VALUE"""),"RCAO/CBTA")</f>
        <v>RCAO/CBTA</v>
      </c>
      <c r="J1634" s="164" t="str">
        <f ca="1">IFERROR(__xludf.DUMMYFUNCTION("""COMPUTED_VALUE"""),"23-05-020")</f>
        <v>23-05-020</v>
      </c>
      <c r="K1634" s="164" t="str">
        <f ca="1">IFERROR(__xludf.DUMMYFUNCTION("""COMPUTED_VALUE"""),"PATRICK IAN O. GACULA")</f>
        <v>PATRICK IAN O. GACULA</v>
      </c>
      <c r="L1634" s="164" t="str">
        <f ca="1">IFERROR(__xludf.DUMMYFUNCTION("""COMPUTED_VALUE"""),"RCAO'S OFFICE")</f>
        <v>RCAO'S OFFICE</v>
      </c>
      <c r="M1634" s="164" t="str">
        <f ca="1">IFERROR(__xludf.DUMMYFUNCTION("""COMPUTED_VALUE"""),"SERVICEABLE")</f>
        <v>SERVICEABLE</v>
      </c>
      <c r="N1634" s="164" t="str">
        <f ca="1">IFERROR(__xludf.DUMMYFUNCTION("""COMPUTED_VALUE"""),"CANON PRINTER ISSUED TO ATTY. MA. LILIA O. DELA REA, DARAB")</f>
        <v>CANON PRINTER ISSUED TO ATTY. MA. LILIA O. DELA REA, DARAB</v>
      </c>
    </row>
    <row r="1635" spans="1:14" ht="13.2" hidden="1">
      <c r="A1635" s="164" t="str">
        <f ca="1">IFERROR(__xludf.DUMMYFUNCTION("""COMPUTED_VALUE"""),"Region IV-A")</f>
        <v>Region IV-A</v>
      </c>
      <c r="B1635" s="164" t="str">
        <f ca="1">IFERROR(__xludf.DUMMYFUNCTION("""COMPUTED_VALUE"""),"REGIONAL OFFICE")</f>
        <v>REGIONAL OFFICE</v>
      </c>
      <c r="C1635" s="164" t="str">
        <f ca="1">IFERROR(__xludf.DUMMYFUNCTION("""COMPUTED_VALUE"""),"DESKTOP COMPUTER – (LENOVO M70T)")</f>
        <v>DESKTOP COMPUTER – (LENOVO M70T)</v>
      </c>
      <c r="D1635" s="164" t="str">
        <f ca="1">IFERROR(__xludf.DUMMYFUNCTION("""COMPUTED_VALUE"""),"₱ 75,468.00")</f>
        <v>₱ 75,468.00</v>
      </c>
      <c r="E1635" s="164" t="str">
        <f ca="1">IFERROR(__xludf.DUMMYFUNCTION("""COMPUTED_VALUE"""),"₱-")</f>
        <v>₱-</v>
      </c>
      <c r="F1635" s="164" t="str">
        <f ca="1">IFERROR(__xludf.DUMMYFUNCTION("""COMPUTED_VALUE"""),"2023-05-03-1020ISP870-01")</f>
        <v>2023-05-03-1020ISP870-01</v>
      </c>
      <c r="G1635" s="164" t="str">
        <f ca="1">IFERROR(__xludf.DUMMYFUNCTION("""COMPUTED_VALUE"""),"1S11T5S16200GM0415YB")</f>
        <v>1S11T5S16200GM0415YB</v>
      </c>
      <c r="H1635" s="164" t="str">
        <f ca="1">IFERROR(__xludf.DUMMYFUNCTION("""COMPUTED_VALUE"""),"JEDRICK P. PERINO")</f>
        <v>JEDRICK P. PERINO</v>
      </c>
      <c r="I1635" s="164" t="str">
        <f ca="1">IFERROR(__xludf.DUMMYFUNCTION("""COMPUTED_VALUE"""),"ARPO I / MIS COORDINATOR")</f>
        <v>ARPO I / MIS COORDINATOR</v>
      </c>
      <c r="J1635" s="164" t="str">
        <f ca="1">IFERROR(__xludf.DUMMYFUNCTION("""COMPUTED_VALUE"""),"24-05-003S")</f>
        <v>24-05-003S</v>
      </c>
      <c r="K1635" s="164" t="str">
        <f ca="1">IFERROR(__xludf.DUMMYFUNCTION("""COMPUTED_VALUE"""),"JEDRICK P. PERINO")</f>
        <v>JEDRICK P. PERINO</v>
      </c>
      <c r="L1635" s="164" t="str">
        <f ca="1">IFERROR(__xludf.DUMMYFUNCTION("""COMPUTED_VALUE"""),"ORD")</f>
        <v>ORD</v>
      </c>
      <c r="M1635" s="164" t="str">
        <f ca="1">IFERROR(__xludf.DUMMYFUNCTION("""COMPUTED_VALUE"""),"SERVICEABLE")</f>
        <v>SERVICEABLE</v>
      </c>
      <c r="N1635" s="164"/>
    </row>
    <row r="1636" spans="1:14" ht="13.2" hidden="1">
      <c r="A1636" s="164" t="str">
        <f ca="1">IFERROR(__xludf.DUMMYFUNCTION("""COMPUTED_VALUE"""),"Region IV-A")</f>
        <v>Region IV-A</v>
      </c>
      <c r="B1636" s="164" t="str">
        <f ca="1">IFERROR(__xludf.DUMMYFUNCTION("""COMPUTED_VALUE"""),"REGIONAL OFFICE")</f>
        <v>REGIONAL OFFICE</v>
      </c>
      <c r="C1636" s="164" t="str">
        <f ca="1">IFERROR(__xludf.DUMMYFUNCTION("""COMPUTED_VALUE"""),"DESKTOP COMPUTER – (LENOVO M70T)")</f>
        <v>DESKTOP COMPUTER – (LENOVO M70T)</v>
      </c>
      <c r="D1636" s="164" t="str">
        <f ca="1">IFERROR(__xludf.DUMMYFUNCTION("""COMPUTED_VALUE"""),"₱ 75,468.00")</f>
        <v>₱ 75,468.00</v>
      </c>
      <c r="E1636" s="164" t="str">
        <f ca="1">IFERROR(__xludf.DUMMYFUNCTION("""COMPUTED_VALUE"""),"₱-")</f>
        <v>₱-</v>
      </c>
      <c r="F1636" s="164" t="str">
        <f ca="1">IFERROR(__xludf.DUMMYFUNCTION("""COMPUTED_VALUE"""),"2023-05-03-1020ISP871-01")</f>
        <v>2023-05-03-1020ISP871-01</v>
      </c>
      <c r="G1636" s="164" t="str">
        <f ca="1">IFERROR(__xludf.DUMMYFUNCTION("""COMPUTED_VALUE"""),"1S11T5S16200GM0415ZW")</f>
        <v>1S11T5S16200GM0415ZW</v>
      </c>
      <c r="H1636" s="164" t="str">
        <f ca="1">IFERROR(__xludf.DUMMYFUNCTION("""COMPUTED_VALUE"""),"ATTY. REXIE M. MARISTELA")</f>
        <v>ATTY. REXIE M. MARISTELA</v>
      </c>
      <c r="I1636" s="164" t="str">
        <f ca="1">IFERROR(__xludf.DUMMYFUNCTION("""COMPUTED_VALUE"""),"ASST.PROJECT MANAGER/LEGAL COORDINATOR")</f>
        <v>ASST.PROJECT MANAGER/LEGAL COORDINATOR</v>
      </c>
      <c r="J1636" s="164" t="str">
        <f ca="1">IFERROR(__xludf.DUMMYFUNCTION("""COMPUTED_VALUE"""),"23-05-019")</f>
        <v>23-05-019</v>
      </c>
      <c r="K1636" s="164" t="str">
        <f ca="1">IFERROR(__xludf.DUMMYFUNCTION("""COMPUTED_VALUE"""),"ATTY. PATRICK MARVIN B. BERNAL")</f>
        <v>ATTY. PATRICK MARVIN B. BERNAL</v>
      </c>
      <c r="L1636" s="164" t="str">
        <f ca="1">IFERROR(__xludf.DUMMYFUNCTION("""COMPUTED_VALUE"""),"LEGAL")</f>
        <v>LEGAL</v>
      </c>
      <c r="M1636" s="164" t="str">
        <f ca="1">IFERROR(__xludf.DUMMYFUNCTION("""COMPUTED_VALUE"""),"SERVICEABLE")</f>
        <v>SERVICEABLE</v>
      </c>
      <c r="N1636" s="164"/>
    </row>
    <row r="1637" spans="1:14" ht="13.2" hidden="1">
      <c r="A1637" s="164" t="str">
        <f ca="1">IFERROR(__xludf.DUMMYFUNCTION("""COMPUTED_VALUE"""),"Region IV-A")</f>
        <v>Region IV-A</v>
      </c>
      <c r="B1637" s="164" t="str">
        <f ca="1">IFERROR(__xludf.DUMMYFUNCTION("""COMPUTED_VALUE"""),"REGIONAL OFFICE")</f>
        <v>REGIONAL OFFICE</v>
      </c>
      <c r="C1637" s="164" t="str">
        <f ca="1">IFERROR(__xludf.DUMMYFUNCTION("""COMPUTED_VALUE"""),"ACER TRAVELMATE")</f>
        <v>ACER TRAVELMATE</v>
      </c>
      <c r="D1637" s="164" t="str">
        <f ca="1">IFERROR(__xludf.DUMMYFUNCTION("""COMPUTED_VALUE"""),"₱ 46,580.00")</f>
        <v>₱ 46,580.00</v>
      </c>
      <c r="E1637" s="164" t="str">
        <f ca="1">IFERROR(__xludf.DUMMYFUNCTION("""COMPUTED_VALUE"""),"₱-")</f>
        <v>₱-</v>
      </c>
      <c r="F1637" s="164" t="str">
        <f ca="1">IFERROR(__xludf.DUMMYFUNCTION("""COMPUTED_VALUE"""),"2024-05-03-10202SP-309-01")</f>
        <v>2024-05-03-10202SP-309-01</v>
      </c>
      <c r="G1637" s="164"/>
      <c r="H1637" s="164" t="str">
        <f ca="1">IFERROR(__xludf.DUMMYFUNCTION("""COMPUTED_VALUE"""),"MARIO P LOPEZ")</f>
        <v>MARIO P LOPEZ</v>
      </c>
      <c r="I1637" s="164" t="str">
        <f ca="1">IFERROR(__xludf.DUMMYFUNCTION("""COMPUTED_VALUE"""),"INFO OFFICER III")</f>
        <v>INFO OFFICER III</v>
      </c>
      <c r="J1637" s="164"/>
      <c r="K1637" s="164" t="str">
        <f ca="1">IFERROR(__xludf.DUMMYFUNCTION("""COMPUTED_VALUE"""),"MARIO P LOPEZ")</f>
        <v>MARIO P LOPEZ</v>
      </c>
      <c r="L1637" s="164" t="str">
        <f ca="1">IFERROR(__xludf.DUMMYFUNCTION("""COMPUTED_VALUE"""),"DARRO IVA")</f>
        <v>DARRO IVA</v>
      </c>
      <c r="M1637" s="164" t="str">
        <f ca="1">IFERROR(__xludf.DUMMYFUNCTION("""COMPUTED_VALUE"""),"SERVICEABLE")</f>
        <v>SERVICEABLE</v>
      </c>
      <c r="N1637" s="164"/>
    </row>
    <row r="1638" spans="1:14" ht="13.2" hidden="1">
      <c r="A1638" s="164" t="str">
        <f ca="1">IFERROR(__xludf.DUMMYFUNCTION("""COMPUTED_VALUE"""),"Region IV-A")</f>
        <v>Region IV-A</v>
      </c>
      <c r="B1638" s="164" t="str">
        <f ca="1">IFERROR(__xludf.DUMMYFUNCTION("""COMPUTED_VALUE"""),"BATANGAS")</f>
        <v>BATANGAS</v>
      </c>
      <c r="C1638" s="164" t="str">
        <f ca="1">IFERROR(__xludf.DUMMYFUNCTION("""COMPUTED_VALUE"""),"DESKTOP COMPUTER – (LENOVO M70T)")</f>
        <v>DESKTOP COMPUTER – (LENOVO M70T)</v>
      </c>
      <c r="D1638" s="164" t="str">
        <f ca="1">IFERROR(__xludf.DUMMYFUNCTION("""COMPUTED_VALUE"""),"₱ 75,468.00")</f>
        <v>₱ 75,468.00</v>
      </c>
      <c r="E1638" s="164" t="str">
        <f ca="1">IFERROR(__xludf.DUMMYFUNCTION("""COMPUTED_VALUE"""),"₱-")</f>
        <v>₱-</v>
      </c>
      <c r="F1638" s="164" t="str">
        <f ca="1">IFERROR(__xludf.DUMMYFUNCTION("""COMPUTED_VALUE"""),"2023-05-03-10201SP896-01")</f>
        <v>2023-05-03-10201SP896-01</v>
      </c>
      <c r="G1638" s="164" t="str">
        <f ca="1">IFERROR(__xludf.DUMMYFUNCTION("""COMPUTED_VALUE"""),"1S11T5S16200GM041AVZ")</f>
        <v>1S11T5S16200GM041AVZ</v>
      </c>
      <c r="H1638" s="164" t="str">
        <f ca="1">IFERROR(__xludf.DUMMYFUNCTION("""COMPUTED_VALUE"""),"JOSEPHINE CASALLA")</f>
        <v>JOSEPHINE CASALLA</v>
      </c>
      <c r="I1638" s="164" t="str">
        <f ca="1">IFERROR(__xludf.DUMMYFUNCTION("""COMPUTED_VALUE"""),"CARPO LTID/PARCELIZATION COMPONENT AND FVT COORDINATOR")</f>
        <v>CARPO LTID/PARCELIZATION COMPONENT AND FVT COORDINATOR</v>
      </c>
      <c r="J1638" s="164" t="str">
        <f ca="1">IFERROR(__xludf.DUMMYFUNCTION("""COMPUTED_VALUE"""),"SP-2023-05-07")</f>
        <v>SP-2023-05-07</v>
      </c>
      <c r="K1638" s="164" t="str">
        <f ca="1">IFERROR(__xludf.DUMMYFUNCTION("""COMPUTED_VALUE"""),"JOSEPHINE CASALLA")</f>
        <v>JOSEPHINE CASALLA</v>
      </c>
      <c r="L1638" s="164" t="str">
        <f ca="1">IFERROR(__xludf.DUMMYFUNCTION("""COMPUTED_VALUE"""),"LTID")</f>
        <v>LTID</v>
      </c>
      <c r="M1638" s="164" t="str">
        <f ca="1">IFERROR(__xludf.DUMMYFUNCTION("""COMPUTED_VALUE"""),"SERVICEABLE")</f>
        <v>SERVICEABLE</v>
      </c>
      <c r="N1638" s="164"/>
    </row>
    <row r="1639" spans="1:14" ht="13.2" hidden="1">
      <c r="A1639" s="164" t="str">
        <f ca="1">IFERROR(__xludf.DUMMYFUNCTION("""COMPUTED_VALUE"""),"Region IV-A")</f>
        <v>Region IV-A</v>
      </c>
      <c r="B1639" s="164" t="str">
        <f ca="1">IFERROR(__xludf.DUMMYFUNCTION("""COMPUTED_VALUE"""),"BATANGAS")</f>
        <v>BATANGAS</v>
      </c>
      <c r="C1639" s="164" t="str">
        <f ca="1">IFERROR(__xludf.DUMMYFUNCTION("""COMPUTED_VALUE"""),"DESKTOP COMPUTER – (LENOVO M70T)")</f>
        <v>DESKTOP COMPUTER – (LENOVO M70T)</v>
      </c>
      <c r="D1639" s="164" t="str">
        <f ca="1">IFERROR(__xludf.DUMMYFUNCTION("""COMPUTED_VALUE"""),"₱ 75,468.00")</f>
        <v>₱ 75,468.00</v>
      </c>
      <c r="E1639" s="164" t="str">
        <f ca="1">IFERROR(__xludf.DUMMYFUNCTION("""COMPUTED_VALUE"""),"₱-")</f>
        <v>₱-</v>
      </c>
      <c r="F1639" s="164" t="str">
        <f ca="1">IFERROR(__xludf.DUMMYFUNCTION("""COMPUTED_VALUE"""),"2023-05-03-10201SP897-01")</f>
        <v>2023-05-03-10201SP897-01</v>
      </c>
      <c r="G1639" s="164" t="str">
        <f ca="1">IFERROR(__xludf.DUMMYFUNCTION("""COMPUTED_VALUE"""),"1S11T5S16200GM0418BW")</f>
        <v>1S11T5S16200GM0418BW</v>
      </c>
      <c r="H1639" s="164" t="str">
        <f ca="1">IFERROR(__xludf.DUMMYFUNCTION("""COMPUTED_VALUE"""),"VIRGINIA CASANOVA")</f>
        <v>VIRGINIA CASANOVA</v>
      </c>
      <c r="I1639" s="164" t="str">
        <f ca="1">IFERROR(__xludf.DUMMYFUNCTION("""COMPUTED_VALUE"""),"SARPT/LTID")</f>
        <v>SARPT/LTID</v>
      </c>
      <c r="J1639" s="164" t="str">
        <f ca="1">IFERROR(__xludf.DUMMYFUNCTION("""COMPUTED_VALUE"""),"SP-2023-05-08")</f>
        <v>SP-2023-05-08</v>
      </c>
      <c r="K1639" s="164" t="str">
        <f ca="1">IFERROR(__xludf.DUMMYFUNCTION("""COMPUTED_VALUE"""),"VIRGINIA CASANOVA")</f>
        <v>VIRGINIA CASANOVA</v>
      </c>
      <c r="L1639" s="164" t="str">
        <f ca="1">IFERROR(__xludf.DUMMYFUNCTION("""COMPUTED_VALUE"""),"DARPO-ENGINEERING")</f>
        <v>DARPO-ENGINEERING</v>
      </c>
      <c r="M1639" s="164" t="str">
        <f ca="1">IFERROR(__xludf.DUMMYFUNCTION("""COMPUTED_VALUE"""),"SERVICEABLE")</f>
        <v>SERVICEABLE</v>
      </c>
      <c r="N1639" s="164"/>
    </row>
    <row r="1640" spans="1:14" ht="13.2" hidden="1">
      <c r="A1640" s="164" t="str">
        <f ca="1">IFERROR(__xludf.DUMMYFUNCTION("""COMPUTED_VALUE"""),"Region IV-A")</f>
        <v>Region IV-A</v>
      </c>
      <c r="B1640" s="164" t="str">
        <f ca="1">IFERROR(__xludf.DUMMYFUNCTION("""COMPUTED_VALUE"""),"BATANGAS")</f>
        <v>BATANGAS</v>
      </c>
      <c r="C1640" s="164" t="str">
        <f ca="1">IFERROR(__xludf.DUMMYFUNCTION("""COMPUTED_VALUE"""),"DESKTOP COMPUTER – (LENOVO M70T)")</f>
        <v>DESKTOP COMPUTER – (LENOVO M70T)</v>
      </c>
      <c r="D1640" s="164" t="str">
        <f ca="1">IFERROR(__xludf.DUMMYFUNCTION("""COMPUTED_VALUE"""),"₱ 75,468.00")</f>
        <v>₱ 75,468.00</v>
      </c>
      <c r="E1640" s="164" t="str">
        <f ca="1">IFERROR(__xludf.DUMMYFUNCTION("""COMPUTED_VALUE"""),"₱-")</f>
        <v>₱-</v>
      </c>
      <c r="F1640" s="164" t="str">
        <f ca="1">IFERROR(__xludf.DUMMYFUNCTION("""COMPUTED_VALUE"""),"2023-05-03-10201SP898-01")</f>
        <v>2023-05-03-10201SP898-01</v>
      </c>
      <c r="G1640" s="164" t="str">
        <f ca="1">IFERROR(__xludf.DUMMYFUNCTION("""COMPUTED_VALUE"""),"1S11T5S16200GM0415TC")</f>
        <v>1S11T5S16200GM0415TC</v>
      </c>
      <c r="H1640" s="164" t="str">
        <f ca="1">IFERROR(__xludf.DUMMYFUNCTION("""COMPUTED_VALUE"""),"PARPO II")</f>
        <v>PARPO II</v>
      </c>
      <c r="I1640" s="164" t="str">
        <f ca="1">IFERROR(__xludf.DUMMYFUNCTION("""COMPUTED_VALUE"""),"PARPO II")</f>
        <v>PARPO II</v>
      </c>
      <c r="J1640" s="164" t="str">
        <f ca="1">IFERROR(__xludf.DUMMYFUNCTION("""COMPUTED_VALUE"""),"SP-2023-05-09")</f>
        <v>SP-2023-05-09</v>
      </c>
      <c r="K1640" s="164" t="str">
        <f ca="1">IFERROR(__xludf.DUMMYFUNCTION("""COMPUTED_VALUE"""),"PARPO II")</f>
        <v>PARPO II</v>
      </c>
      <c r="L1640" s="164" t="str">
        <f ca="1">IFERROR(__xludf.DUMMYFUNCTION("""COMPUTED_VALUE"""),"OFFICE OF THE PARPO")</f>
        <v>OFFICE OF THE PARPO</v>
      </c>
      <c r="M1640" s="164" t="str">
        <f ca="1">IFERROR(__xludf.DUMMYFUNCTION("""COMPUTED_VALUE"""),"SERVICEABLE")</f>
        <v>SERVICEABLE</v>
      </c>
      <c r="N1640" s="164"/>
    </row>
    <row r="1641" spans="1:14" ht="13.2" hidden="1">
      <c r="A1641" s="164" t="str">
        <f ca="1">IFERROR(__xludf.DUMMYFUNCTION("""COMPUTED_VALUE"""),"Region IV-A")</f>
        <v>Region IV-A</v>
      </c>
      <c r="B1641" s="164" t="str">
        <f ca="1">IFERROR(__xludf.DUMMYFUNCTION("""COMPUTED_VALUE"""),"BATANGAS")</f>
        <v>BATANGAS</v>
      </c>
      <c r="C1641" s="164" t="str">
        <f ca="1">IFERROR(__xludf.DUMMYFUNCTION("""COMPUTED_VALUE"""),"DESKTOP COMPUTER – (LENOVO M70T)")</f>
        <v>DESKTOP COMPUTER – (LENOVO M70T)</v>
      </c>
      <c r="D1641" s="164" t="str">
        <f ca="1">IFERROR(__xludf.DUMMYFUNCTION("""COMPUTED_VALUE"""),"₱ 75,468.00")</f>
        <v>₱ 75,468.00</v>
      </c>
      <c r="E1641" s="164" t="str">
        <f ca="1">IFERROR(__xludf.DUMMYFUNCTION("""COMPUTED_VALUE"""),"₱-")</f>
        <v>₱-</v>
      </c>
      <c r="F1641" s="164" t="str">
        <f ca="1">IFERROR(__xludf.DUMMYFUNCTION("""COMPUTED_VALUE"""),"2023-05-03-10201SP899-01")</f>
        <v>2023-05-03-10201SP899-01</v>
      </c>
      <c r="G1641" s="164" t="str">
        <f ca="1">IFERROR(__xludf.DUMMYFUNCTION("""COMPUTED_VALUE"""),"1S11T5S16200GM041606")</f>
        <v>1S11T5S16200GM041606</v>
      </c>
      <c r="H1641" s="164" t="str">
        <f ca="1">IFERROR(__xludf.DUMMYFUNCTION("""COMPUTED_VALUE"""),"JOHN EMMARD AQUINO")</f>
        <v>JOHN EMMARD AQUINO</v>
      </c>
      <c r="I1641" s="164" t="str">
        <f ca="1">IFERROR(__xludf.DUMMYFUNCTION("""COMPUTED_VALUE"""),"SURVEYMAN/MIS LTID")</f>
        <v>SURVEYMAN/MIS LTID</v>
      </c>
      <c r="J1641" s="164" t="str">
        <f ca="1">IFERROR(__xludf.DUMMYFUNCTION("""COMPUTED_VALUE"""),"SP-2023-05-10")</f>
        <v>SP-2023-05-10</v>
      </c>
      <c r="K1641" s="164" t="str">
        <f ca="1">IFERROR(__xludf.DUMMYFUNCTION("""COMPUTED_VALUE"""),"JOHN EMMARD AQUINO")</f>
        <v>JOHN EMMARD AQUINO</v>
      </c>
      <c r="L1641" s="164" t="str">
        <f ca="1">IFERROR(__xludf.DUMMYFUNCTION("""COMPUTED_VALUE"""),"LTID")</f>
        <v>LTID</v>
      </c>
      <c r="M1641" s="164" t="str">
        <f ca="1">IFERROR(__xludf.DUMMYFUNCTION("""COMPUTED_VALUE"""),"SERVICEABLE")</f>
        <v>SERVICEABLE</v>
      </c>
      <c r="N1641" s="164"/>
    </row>
    <row r="1642" spans="1:14" ht="13.2" hidden="1">
      <c r="A1642" s="164" t="str">
        <f ca="1">IFERROR(__xludf.DUMMYFUNCTION("""COMPUTED_VALUE"""),"Region IV-A")</f>
        <v>Region IV-A</v>
      </c>
      <c r="B1642" s="164" t="str">
        <f ca="1">IFERROR(__xludf.DUMMYFUNCTION("""COMPUTED_VALUE"""),"BATANGAS")</f>
        <v>BATANGAS</v>
      </c>
      <c r="C1642" s="164" t="str">
        <f ca="1">IFERROR(__xludf.DUMMYFUNCTION("""COMPUTED_VALUE"""),"DESKTOP COMPUTER – (LENOVO M70T)")</f>
        <v>DESKTOP COMPUTER – (LENOVO M70T)</v>
      </c>
      <c r="D1642" s="164" t="str">
        <f ca="1">IFERROR(__xludf.DUMMYFUNCTION("""COMPUTED_VALUE"""),"₱ 75,468.00")</f>
        <v>₱ 75,468.00</v>
      </c>
      <c r="E1642" s="164" t="str">
        <f ca="1">IFERROR(__xludf.DUMMYFUNCTION("""COMPUTED_VALUE"""),"₱-")</f>
        <v>₱-</v>
      </c>
      <c r="F1642" s="164" t="str">
        <f ca="1">IFERROR(__xludf.DUMMYFUNCTION("""COMPUTED_VALUE"""),"2023-05-03-10201SP900-01")</f>
        <v>2023-05-03-10201SP900-01</v>
      </c>
      <c r="G1642" s="164" t="str">
        <f ca="1">IFERROR(__xludf.DUMMYFUNCTION("""COMPUTED_VALUE"""),"1S11T5S16200GM041AWW")</f>
        <v>1S11T5S16200GM041AWW</v>
      </c>
      <c r="H1642" s="164" t="str">
        <f ca="1">IFERROR(__xludf.DUMMYFUNCTION("""COMPUTED_VALUE"""),"MYRNA PANGANIBAN")</f>
        <v>MYRNA PANGANIBAN</v>
      </c>
      <c r="I1642" s="164" t="str">
        <f ca="1">IFERROR(__xludf.DUMMYFUNCTION("""COMPUTED_VALUE"""),"SARPO LTID/ DOCUMENTATION/ESS SUPPORT STAFF")</f>
        <v>SARPO LTID/ DOCUMENTATION/ESS SUPPORT STAFF</v>
      </c>
      <c r="J1642" s="164" t="str">
        <f ca="1">IFERROR(__xludf.DUMMYFUNCTION("""COMPUTED_VALUE"""),"SP-2023-05-11")</f>
        <v>SP-2023-05-11</v>
      </c>
      <c r="K1642" s="164" t="str">
        <f ca="1">IFERROR(__xludf.DUMMYFUNCTION("""COMPUTED_VALUE"""),"MYRNA PANGANIBAN")</f>
        <v>MYRNA PANGANIBAN</v>
      </c>
      <c r="L1642" s="164" t="str">
        <f ca="1">IFERROR(__xludf.DUMMYFUNCTION("""COMPUTED_VALUE"""),"DARPO-ENGINEERING")</f>
        <v>DARPO-ENGINEERING</v>
      </c>
      <c r="M1642" s="164" t="str">
        <f ca="1">IFERROR(__xludf.DUMMYFUNCTION("""COMPUTED_VALUE"""),"SERVICEABLE")</f>
        <v>SERVICEABLE</v>
      </c>
      <c r="N1642" s="164"/>
    </row>
    <row r="1643" spans="1:14" ht="13.2" hidden="1">
      <c r="A1643" s="164" t="str">
        <f ca="1">IFERROR(__xludf.DUMMYFUNCTION("""COMPUTED_VALUE"""),"Region IV-A")</f>
        <v>Region IV-A</v>
      </c>
      <c r="B1643" s="164" t="str">
        <f ca="1">IFERROR(__xludf.DUMMYFUNCTION("""COMPUTED_VALUE"""),"BATANGAS")</f>
        <v>BATANGAS</v>
      </c>
      <c r="C1643" s="164" t="str">
        <f ca="1">IFERROR(__xludf.DUMMYFUNCTION("""COMPUTED_VALUE"""),"DESKTOP COMPUTER – (LENOVO M70T)")</f>
        <v>DESKTOP COMPUTER – (LENOVO M70T)</v>
      </c>
      <c r="D1643" s="164" t="str">
        <f ca="1">IFERROR(__xludf.DUMMYFUNCTION("""COMPUTED_VALUE"""),"₱ 75,468.00")</f>
        <v>₱ 75,468.00</v>
      </c>
      <c r="E1643" s="164" t="str">
        <f ca="1">IFERROR(__xludf.DUMMYFUNCTION("""COMPUTED_VALUE"""),"₱-")</f>
        <v>₱-</v>
      </c>
      <c r="F1643" s="164" t="str">
        <f ca="1">IFERROR(__xludf.DUMMYFUNCTION("""COMPUTED_VALUE"""),"2023-05-03-10201SP901-01")</f>
        <v>2023-05-03-10201SP901-01</v>
      </c>
      <c r="G1643" s="164" t="str">
        <f ca="1">IFERROR(__xludf.DUMMYFUNCTION("""COMPUTED_VALUE"""),"1S11T5S16200GM041AQP")</f>
        <v>1S11T5S16200GM041AQP</v>
      </c>
      <c r="H1643" s="164" t="str">
        <f ca="1">IFERROR(__xludf.DUMMYFUNCTION("""COMPUTED_VALUE"""),"ATTY. EMACULADA CONCEPCION MENDOZA")</f>
        <v>ATTY. EMACULADA CONCEPCION MENDOZA</v>
      </c>
      <c r="I1643" s="164" t="str">
        <f ca="1">IFERROR(__xludf.DUMMYFUNCTION("""COMPUTED_VALUE"""),"ATTY. V/LEGAL DIVISION")</f>
        <v>ATTY. V/LEGAL DIVISION</v>
      </c>
      <c r="J1643" s="164" t="str">
        <f ca="1">IFERROR(__xludf.DUMMYFUNCTION("""COMPUTED_VALUE"""),"SP-2023-05-12")</f>
        <v>SP-2023-05-12</v>
      </c>
      <c r="K1643" s="164" t="str">
        <f ca="1">IFERROR(__xludf.DUMMYFUNCTION("""COMPUTED_VALUE"""),"ATTY. EMACULADA CONCEPCION MENDOZA")</f>
        <v>ATTY. EMACULADA CONCEPCION MENDOZA</v>
      </c>
      <c r="L1643" s="164" t="str">
        <f ca="1">IFERROR(__xludf.DUMMYFUNCTION("""COMPUTED_VALUE"""),"DARPO - LEGAL")</f>
        <v>DARPO - LEGAL</v>
      </c>
      <c r="M1643" s="164" t="str">
        <f ca="1">IFERROR(__xludf.DUMMYFUNCTION("""COMPUTED_VALUE"""),"SERVICEABLE")</f>
        <v>SERVICEABLE</v>
      </c>
      <c r="N1643" s="164"/>
    </row>
    <row r="1644" spans="1:14" ht="13.2" hidden="1">
      <c r="A1644" s="164" t="str">
        <f ca="1">IFERROR(__xludf.DUMMYFUNCTION("""COMPUTED_VALUE"""),"Region IV-A")</f>
        <v>Region IV-A</v>
      </c>
      <c r="B1644" s="164" t="str">
        <f ca="1">IFERROR(__xludf.DUMMYFUNCTION("""COMPUTED_VALUE"""),"BATANGAS")</f>
        <v>BATANGAS</v>
      </c>
      <c r="C1644" s="164" t="str">
        <f ca="1">IFERROR(__xludf.DUMMYFUNCTION("""COMPUTED_VALUE"""),"DESKTOP COMPUTER – (LENOVO M70T)")</f>
        <v>DESKTOP COMPUTER – (LENOVO M70T)</v>
      </c>
      <c r="D1644" s="164" t="str">
        <f ca="1">IFERROR(__xludf.DUMMYFUNCTION("""COMPUTED_VALUE"""),"₱ 75,468.00")</f>
        <v>₱ 75,468.00</v>
      </c>
      <c r="E1644" s="164" t="str">
        <f ca="1">IFERROR(__xludf.DUMMYFUNCTION("""COMPUTED_VALUE"""),"₱-")</f>
        <v>₱-</v>
      </c>
      <c r="F1644" s="164" t="str">
        <f ca="1">IFERROR(__xludf.DUMMYFUNCTION("""COMPUTED_VALUE"""),"2023-05-03-10201SP902-01")</f>
        <v>2023-05-03-10201SP902-01</v>
      </c>
      <c r="G1644" s="164" t="str">
        <f ca="1">IFERROR(__xludf.DUMMYFUNCTION("""COMPUTED_VALUE"""),"1S11T5S16200GM041AW9")</f>
        <v>1S11T5S16200GM041AW9</v>
      </c>
      <c r="H1644" s="164" t="str">
        <f ca="1">IFERROR(__xludf.DUMMYFUNCTION("""COMPUTED_VALUE"""),"MA.SURALLAH RABINO")</f>
        <v>MA.SURALLAH RABINO</v>
      </c>
      <c r="I1644" s="164" t="str">
        <f ca="1">IFERROR(__xludf.DUMMYFUNCTION("""COMPUTED_VALUE"""),"CARPO/ESS COORDINATOR - PBDD")</f>
        <v>CARPO/ESS COORDINATOR - PBDD</v>
      </c>
      <c r="J1644" s="164" t="str">
        <f ca="1">IFERROR(__xludf.DUMMYFUNCTION("""COMPUTED_VALUE"""),"SP-2023-05-13")</f>
        <v>SP-2023-05-13</v>
      </c>
      <c r="K1644" s="164" t="str">
        <f ca="1">IFERROR(__xludf.DUMMYFUNCTION("""COMPUTED_VALUE"""),"MA.SURALLAH RABINO")</f>
        <v>MA.SURALLAH RABINO</v>
      </c>
      <c r="L1644" s="164" t="str">
        <f ca="1">IFERROR(__xludf.DUMMYFUNCTION("""COMPUTED_VALUE"""),"PBDD")</f>
        <v>PBDD</v>
      </c>
      <c r="M1644" s="164" t="str">
        <f ca="1">IFERROR(__xludf.DUMMYFUNCTION("""COMPUTED_VALUE"""),"SERVICEABLE")</f>
        <v>SERVICEABLE</v>
      </c>
      <c r="N1644" s="164"/>
    </row>
    <row r="1645" spans="1:14" ht="13.2" hidden="1">
      <c r="A1645" s="164" t="str">
        <f ca="1">IFERROR(__xludf.DUMMYFUNCTION("""COMPUTED_VALUE"""),"Region IV-A")</f>
        <v>Region IV-A</v>
      </c>
      <c r="B1645" s="164" t="str">
        <f ca="1">IFERROR(__xludf.DUMMYFUNCTION("""COMPUTED_VALUE"""),"BATANGAS")</f>
        <v>BATANGAS</v>
      </c>
      <c r="C1645" s="164" t="str">
        <f ca="1">IFERROR(__xludf.DUMMYFUNCTION("""COMPUTED_VALUE"""),"DESKTOP COMPUTER – (LENOVO M70T)")</f>
        <v>DESKTOP COMPUTER – (LENOVO M70T)</v>
      </c>
      <c r="D1645" s="164" t="str">
        <f ca="1">IFERROR(__xludf.DUMMYFUNCTION("""COMPUTED_VALUE"""),"₱ 75,468.00")</f>
        <v>₱ 75,468.00</v>
      </c>
      <c r="E1645" s="164" t="str">
        <f ca="1">IFERROR(__xludf.DUMMYFUNCTION("""COMPUTED_VALUE"""),"₱-")</f>
        <v>₱-</v>
      </c>
      <c r="F1645" s="164" t="str">
        <f ca="1">IFERROR(__xludf.DUMMYFUNCTION("""COMPUTED_VALUE"""),"2023-05-03-10201SP903-01")</f>
        <v>2023-05-03-10201SP903-01</v>
      </c>
      <c r="G1645" s="164" t="str">
        <f ca="1">IFERROR(__xludf.DUMMYFUNCTION("""COMPUTED_VALUE"""),"1S11T5S16200GM041AQT")</f>
        <v>1S11T5S16200GM041AQT</v>
      </c>
      <c r="H1645" s="164" t="str">
        <f ca="1">IFERROR(__xludf.DUMMYFUNCTION("""COMPUTED_VALUE"""),"MA. ROWENA GOZOS")</f>
        <v>MA. ROWENA GOZOS</v>
      </c>
      <c r="I1645" s="164" t="str">
        <f ca="1">IFERROR(__xludf.DUMMYFUNCTION("""COMPUTED_VALUE"""),"CAO/TS2-ADMINISTRATIVE AND FINANCE OFFICER/CBTA FOR IMPLEMENTERS")</f>
        <v>CAO/TS2-ADMINISTRATIVE AND FINANCE OFFICER/CBTA FOR IMPLEMENTERS</v>
      </c>
      <c r="J1645" s="164" t="str">
        <f ca="1">IFERROR(__xludf.DUMMYFUNCTION("""COMPUTED_VALUE"""),"SP-2023-05-14")</f>
        <v>SP-2023-05-14</v>
      </c>
      <c r="K1645" s="164" t="str">
        <f ca="1">IFERROR(__xludf.DUMMYFUNCTION("""COMPUTED_VALUE"""),"MA. ROWENA GOZOS")</f>
        <v>MA. ROWENA GOZOS</v>
      </c>
      <c r="L1645" s="164" t="str">
        <f ca="1">IFERROR(__xludf.DUMMYFUNCTION("""COMPUTED_VALUE"""),"STOD")</f>
        <v>STOD</v>
      </c>
      <c r="M1645" s="164" t="str">
        <f ca="1">IFERROR(__xludf.DUMMYFUNCTION("""COMPUTED_VALUE"""),"SERVICEABLE")</f>
        <v>SERVICEABLE</v>
      </c>
      <c r="N1645" s="164"/>
    </row>
    <row r="1646" spans="1:14" ht="13.2" hidden="1">
      <c r="A1646" s="164" t="str">
        <f ca="1">IFERROR(__xludf.DUMMYFUNCTION("""COMPUTED_VALUE"""),"Region IV-A")</f>
        <v>Region IV-A</v>
      </c>
      <c r="B1646" s="164" t="str">
        <f ca="1">IFERROR(__xludf.DUMMYFUNCTION("""COMPUTED_VALUE"""),"BATANGAS")</f>
        <v>BATANGAS</v>
      </c>
      <c r="C1646" s="164" t="str">
        <f ca="1">IFERROR(__xludf.DUMMYFUNCTION("""COMPUTED_VALUE"""),"DESKTOP COMPUTER – (LENOVO M70T)")</f>
        <v>DESKTOP COMPUTER – (LENOVO M70T)</v>
      </c>
      <c r="D1646" s="164" t="str">
        <f ca="1">IFERROR(__xludf.DUMMYFUNCTION("""COMPUTED_VALUE"""),"₱ 75,468.00")</f>
        <v>₱ 75,468.00</v>
      </c>
      <c r="E1646" s="164" t="str">
        <f ca="1">IFERROR(__xludf.DUMMYFUNCTION("""COMPUTED_VALUE"""),"₱-")</f>
        <v>₱-</v>
      </c>
      <c r="F1646" s="164" t="str">
        <f ca="1">IFERROR(__xludf.DUMMYFUNCTION("""COMPUTED_VALUE"""),"2023-05-03-10201SP904-01")</f>
        <v>2023-05-03-10201SP904-01</v>
      </c>
      <c r="G1646" s="164" t="str">
        <f ca="1">IFERROR(__xludf.DUMMYFUNCTION("""COMPUTED_VALUE"""),"1S11T5S16200GM041AX9")</f>
        <v>1S11T5S16200GM041AX9</v>
      </c>
      <c r="H1646" s="164" t="str">
        <f ca="1">IFERROR(__xludf.DUMMYFUNCTION("""COMPUTED_VALUE"""),"BUENAFE BERNABE")</f>
        <v>BUENAFE BERNABE</v>
      </c>
      <c r="I1646" s="164" t="str">
        <f ca="1">IFERROR(__xludf.DUMMYFUNCTION("""COMPUTED_VALUE"""),"AO IV/Technical Staff 3 /Project Procurement Officer")</f>
        <v>AO IV/Technical Staff 3 /Project Procurement Officer</v>
      </c>
      <c r="J1646" s="164" t="str">
        <f ca="1">IFERROR(__xludf.DUMMYFUNCTION("""COMPUTED_VALUE"""),"SP-2023-05-15")</f>
        <v>SP-2023-05-15</v>
      </c>
      <c r="K1646" s="164" t="str">
        <f ca="1">IFERROR(__xludf.DUMMYFUNCTION("""COMPUTED_VALUE"""),"BUENAFE BERNABE")</f>
        <v>BUENAFE BERNABE</v>
      </c>
      <c r="L1646" s="164" t="str">
        <f ca="1">IFERROR(__xludf.DUMMYFUNCTION("""COMPUTED_VALUE"""),"PROCUREMENT")</f>
        <v>PROCUREMENT</v>
      </c>
      <c r="M1646" s="164" t="str">
        <f ca="1">IFERROR(__xludf.DUMMYFUNCTION("""COMPUTED_VALUE"""),"SERVICEABLE")</f>
        <v>SERVICEABLE</v>
      </c>
      <c r="N1646" s="164"/>
    </row>
    <row r="1647" spans="1:14" ht="13.2" hidden="1">
      <c r="A1647" s="164" t="str">
        <f ca="1">IFERROR(__xludf.DUMMYFUNCTION("""COMPUTED_VALUE"""),"Region IV-A")</f>
        <v>Region IV-A</v>
      </c>
      <c r="B1647" s="164" t="str">
        <f ca="1">IFERROR(__xludf.DUMMYFUNCTION("""COMPUTED_VALUE"""),"BATANGAS")</f>
        <v>BATANGAS</v>
      </c>
      <c r="C1647" s="164" t="str">
        <f ca="1">IFERROR(__xludf.DUMMYFUNCTION("""COMPUTED_VALUE"""),"DESKTOP COMPUTER – (LENOVO M70T)")</f>
        <v>DESKTOP COMPUTER – (LENOVO M70T)</v>
      </c>
      <c r="D1647" s="164" t="str">
        <f ca="1">IFERROR(__xludf.DUMMYFUNCTION("""COMPUTED_VALUE"""),"₱ 75,468.00")</f>
        <v>₱ 75,468.00</v>
      </c>
      <c r="E1647" s="164" t="str">
        <f ca="1">IFERROR(__xludf.DUMMYFUNCTION("""COMPUTED_VALUE"""),"₱-")</f>
        <v>₱-</v>
      </c>
      <c r="F1647" s="164" t="str">
        <f ca="1">IFERROR(__xludf.DUMMYFUNCTION("""COMPUTED_VALUE"""),"2023-05-03-10201SP905-01")</f>
        <v>2023-05-03-10201SP905-01</v>
      </c>
      <c r="G1647" s="164" t="str">
        <f ca="1">IFERROR(__xludf.DUMMYFUNCTION("""COMPUTED_VALUE"""),"1S11T5S16200GM041ATA")</f>
        <v>1S11T5S16200GM041ATA</v>
      </c>
      <c r="H1647" s="164" t="str">
        <f ca="1">IFERROR(__xludf.DUMMYFUNCTION("""COMPUTED_VALUE"""),"RONNA FAJILAN")</f>
        <v>RONNA FAJILAN</v>
      </c>
      <c r="I1647" s="164" t="str">
        <f ca="1">IFERROR(__xludf.DUMMYFUNCTION("""COMPUTED_VALUE"""),"PROJECT ACCOUNTANT")</f>
        <v>PROJECT ACCOUNTANT</v>
      </c>
      <c r="J1647" s="164" t="str">
        <f ca="1">IFERROR(__xludf.DUMMYFUNCTION("""COMPUTED_VALUE"""),"SP-2023-05-16")</f>
        <v>SP-2023-05-16</v>
      </c>
      <c r="K1647" s="164" t="str">
        <f ca="1">IFERROR(__xludf.DUMMYFUNCTION("""COMPUTED_VALUE"""),"RONNA FAJILAN")</f>
        <v>RONNA FAJILAN</v>
      </c>
      <c r="L1647" s="164" t="str">
        <f ca="1">IFERROR(__xludf.DUMMYFUNCTION("""COMPUTED_VALUE"""),"ACCOUNTING")</f>
        <v>ACCOUNTING</v>
      </c>
      <c r="M1647" s="164" t="str">
        <f ca="1">IFERROR(__xludf.DUMMYFUNCTION("""COMPUTED_VALUE"""),"SERVICEABLE")</f>
        <v>SERVICEABLE</v>
      </c>
      <c r="N1647" s="164"/>
    </row>
    <row r="1648" spans="1:14" ht="13.2" hidden="1">
      <c r="A1648" s="164" t="str">
        <f ca="1">IFERROR(__xludf.DUMMYFUNCTION("""COMPUTED_VALUE"""),"Region IV-A")</f>
        <v>Region IV-A</v>
      </c>
      <c r="B1648" s="164" t="str">
        <f ca="1">IFERROR(__xludf.DUMMYFUNCTION("""COMPUTED_VALUE"""),"BATANGAS")</f>
        <v>BATANGAS</v>
      </c>
      <c r="C1648" s="164" t="str">
        <f ca="1">IFERROR(__xludf.DUMMYFUNCTION("""COMPUTED_VALUE"""),"DESKTOP COMPUTER – (LENOVO M70T)")</f>
        <v>DESKTOP COMPUTER – (LENOVO M70T)</v>
      </c>
      <c r="D1648" s="164" t="str">
        <f ca="1">IFERROR(__xludf.DUMMYFUNCTION("""COMPUTED_VALUE"""),"₱ 75,468.00")</f>
        <v>₱ 75,468.00</v>
      </c>
      <c r="E1648" s="164" t="str">
        <f ca="1">IFERROR(__xludf.DUMMYFUNCTION("""COMPUTED_VALUE"""),"₱-")</f>
        <v>₱-</v>
      </c>
      <c r="F1648" s="164" t="str">
        <f ca="1">IFERROR(__xludf.DUMMYFUNCTION("""COMPUTED_VALUE"""),"2023-05-03-10201SP906-01")</f>
        <v>2023-05-03-10201SP906-01</v>
      </c>
      <c r="G1648" s="164" t="str">
        <f ca="1">IFERROR(__xludf.DUMMYFUNCTION("""COMPUTED_VALUE"""),"1S11T5S16200GM041603")</f>
        <v>1S11T5S16200GM041603</v>
      </c>
      <c r="H1648" s="164" t="str">
        <f ca="1">IFERROR(__xludf.DUMMYFUNCTION("""COMPUTED_VALUE"""),"JOSEPHINE ARANDA")</f>
        <v>JOSEPHINE ARANDA</v>
      </c>
      <c r="I1648" s="164" t="str">
        <f ca="1">IFERROR(__xludf.DUMMYFUNCTION("""COMPUTED_VALUE"""),"PROJECT BUDGET OFFICER")</f>
        <v>PROJECT BUDGET OFFICER</v>
      </c>
      <c r="J1648" s="164" t="str">
        <f ca="1">IFERROR(__xludf.DUMMYFUNCTION("""COMPUTED_VALUE"""),"SP-2023-05-17")</f>
        <v>SP-2023-05-17</v>
      </c>
      <c r="K1648" s="164" t="str">
        <f ca="1">IFERROR(__xludf.DUMMYFUNCTION("""COMPUTED_VALUE"""),"JOSEPHINE ARANDA")</f>
        <v>JOSEPHINE ARANDA</v>
      </c>
      <c r="L1648" s="164" t="str">
        <f ca="1">IFERROR(__xludf.DUMMYFUNCTION("""COMPUTED_VALUE"""),"STOD")</f>
        <v>STOD</v>
      </c>
      <c r="M1648" s="164" t="str">
        <f ca="1">IFERROR(__xludf.DUMMYFUNCTION("""COMPUTED_VALUE"""),"SERVICEABLE")</f>
        <v>SERVICEABLE</v>
      </c>
      <c r="N1648" s="164"/>
    </row>
    <row r="1649" spans="1:14" ht="13.2" hidden="1">
      <c r="A1649" s="164" t="str">
        <f ca="1">IFERROR(__xludf.DUMMYFUNCTION("""COMPUTED_VALUE"""),"Region IV-A")</f>
        <v>Region IV-A</v>
      </c>
      <c r="B1649" s="164" t="str">
        <f ca="1">IFERROR(__xludf.DUMMYFUNCTION("""COMPUTED_VALUE"""),"BATANGAS")</f>
        <v>BATANGAS</v>
      </c>
      <c r="C1649" s="164" t="str">
        <f ca="1">IFERROR(__xludf.DUMMYFUNCTION("""COMPUTED_VALUE"""),"DESKTOP COMPUTER – (LENOVO M70T)")</f>
        <v>DESKTOP COMPUTER – (LENOVO M70T)</v>
      </c>
      <c r="D1649" s="164" t="str">
        <f ca="1">IFERROR(__xludf.DUMMYFUNCTION("""COMPUTED_VALUE"""),"₱ 75,468.00")</f>
        <v>₱ 75,468.00</v>
      </c>
      <c r="E1649" s="164" t="str">
        <f ca="1">IFERROR(__xludf.DUMMYFUNCTION("""COMPUTED_VALUE"""),"₱-")</f>
        <v>₱-</v>
      </c>
      <c r="F1649" s="164" t="str">
        <f ca="1">IFERROR(__xludf.DUMMYFUNCTION("""COMPUTED_VALUE"""),"2023-05-03-10201SP907-01")</f>
        <v>2023-05-03-10201SP907-01</v>
      </c>
      <c r="G1649" s="164" t="str">
        <f ca="1">IFERROR(__xludf.DUMMYFUNCTION("""COMPUTED_VALUE"""),"1S11T5S16200GM0415ZB")</f>
        <v>1S11T5S16200GM0415ZB</v>
      </c>
      <c r="H1649" s="164" t="str">
        <f ca="1">IFERROR(__xludf.DUMMYFUNCTION("""COMPUTED_VALUE"""),"MARYGRACE MENDOZA")</f>
        <v>MARYGRACE MENDOZA</v>
      </c>
      <c r="I1649" s="164" t="str">
        <f ca="1">IFERROR(__xludf.DUMMYFUNCTION("""COMPUTED_VALUE"""),"PROJECT CASHIER")</f>
        <v>PROJECT CASHIER</v>
      </c>
      <c r="J1649" s="164" t="str">
        <f ca="1">IFERROR(__xludf.DUMMYFUNCTION("""COMPUTED_VALUE"""),"SP-2023-05-18")</f>
        <v>SP-2023-05-18</v>
      </c>
      <c r="K1649" s="164" t="str">
        <f ca="1">IFERROR(__xludf.DUMMYFUNCTION("""COMPUTED_VALUE"""),"MARYGRACE MENDOZA")</f>
        <v>MARYGRACE MENDOZA</v>
      </c>
      <c r="L1649" s="164" t="str">
        <f ca="1">IFERROR(__xludf.DUMMYFUNCTION("""COMPUTED_VALUE"""),"CASHIER")</f>
        <v>CASHIER</v>
      </c>
      <c r="M1649" s="164" t="str">
        <f ca="1">IFERROR(__xludf.DUMMYFUNCTION("""COMPUTED_VALUE"""),"SERVICEABLE")</f>
        <v>SERVICEABLE</v>
      </c>
      <c r="N1649" s="164"/>
    </row>
    <row r="1650" spans="1:14" ht="13.2" hidden="1">
      <c r="A1650" s="164" t="str">
        <f ca="1">IFERROR(__xludf.DUMMYFUNCTION("""COMPUTED_VALUE"""),"Region IV-A")</f>
        <v>Region IV-A</v>
      </c>
      <c r="B1650" s="164" t="str">
        <f ca="1">IFERROR(__xludf.DUMMYFUNCTION("""COMPUTED_VALUE"""),"CAVITE")</f>
        <v>CAVITE</v>
      </c>
      <c r="C1650" s="164" t="str">
        <f ca="1">IFERROR(__xludf.DUMMYFUNCTION("""COMPUTED_VALUE"""),"DESKTOP COMPUTER – (LENOVO M70T)")</f>
        <v>DESKTOP COMPUTER – (LENOVO M70T)</v>
      </c>
      <c r="D1650" s="164" t="str">
        <f ca="1">IFERROR(__xludf.DUMMYFUNCTION("""COMPUTED_VALUE"""),"₱ 75,468.00")</f>
        <v>₱ 75,468.00</v>
      </c>
      <c r="E1650" s="164" t="str">
        <f ca="1">IFERROR(__xludf.DUMMYFUNCTION("""COMPUTED_VALUE"""),"₱-")</f>
        <v>₱-</v>
      </c>
      <c r="F1650" s="164" t="str">
        <f ca="1">IFERROR(__xludf.DUMMYFUNCTION("""COMPUTED_VALUE"""),"2023-05-03-10201SP884-01")</f>
        <v>2023-05-03-10201SP884-01</v>
      </c>
      <c r="G1650" s="164" t="str">
        <f ca="1">IFERROR(__xludf.DUMMYFUNCTION("""COMPUTED_VALUE"""),"1S11T5S16200GM0415YC")</f>
        <v>1S11T5S16200GM0415YC</v>
      </c>
      <c r="H1650" s="164" t="str">
        <f ca="1">IFERROR(__xludf.DUMMYFUNCTION("""COMPUTED_VALUE"""),"RINAFE DEL-RIO DY")</f>
        <v>RINAFE DEL-RIO DY</v>
      </c>
      <c r="I1650" s="164" t="str">
        <f ca="1">IFERROR(__xludf.DUMMYFUNCTION("""COMPUTED_VALUE"""),"ARPO 1/PROCUREMENT OFFICER")</f>
        <v>ARPO 1/PROCUREMENT OFFICER</v>
      </c>
      <c r="J1650" s="164" t="str">
        <f ca="1">IFERROR(__xludf.DUMMYFUNCTION("""COMPUTED_VALUE"""),"23-05-08")</f>
        <v>23-05-08</v>
      </c>
      <c r="K1650" s="164" t="str">
        <f ca="1">IFERROR(__xludf.DUMMYFUNCTION("""COMPUTED_VALUE"""),"DENNIS C. GOLLENA PROCUREMENT STAFF")</f>
        <v>DENNIS C. GOLLENA PROCUREMENT STAFF</v>
      </c>
      <c r="L1650" s="164" t="str">
        <f ca="1">IFERROR(__xludf.DUMMYFUNCTION("""COMPUTED_VALUE"""),"STOD")</f>
        <v>STOD</v>
      </c>
      <c r="M1650" s="164" t="str">
        <f ca="1">IFERROR(__xludf.DUMMYFUNCTION("""COMPUTED_VALUE"""),"SERVICEABLE")</f>
        <v>SERVICEABLE</v>
      </c>
      <c r="N1650" s="164"/>
    </row>
    <row r="1651" spans="1:14" ht="13.2" hidden="1">
      <c r="A1651" s="164" t="str">
        <f ca="1">IFERROR(__xludf.DUMMYFUNCTION("""COMPUTED_VALUE"""),"Region IV-A")</f>
        <v>Region IV-A</v>
      </c>
      <c r="B1651" s="164" t="str">
        <f ca="1">IFERROR(__xludf.DUMMYFUNCTION("""COMPUTED_VALUE"""),"CAVITE")</f>
        <v>CAVITE</v>
      </c>
      <c r="C1651" s="164" t="str">
        <f ca="1">IFERROR(__xludf.DUMMYFUNCTION("""COMPUTED_VALUE"""),"DESKTOP COMPUTER – (LENOVO M70T)")</f>
        <v>DESKTOP COMPUTER – (LENOVO M70T)</v>
      </c>
      <c r="D1651" s="164" t="str">
        <f ca="1">IFERROR(__xludf.DUMMYFUNCTION("""COMPUTED_VALUE"""),"₱ 75,468.00")</f>
        <v>₱ 75,468.00</v>
      </c>
      <c r="E1651" s="164" t="str">
        <f ca="1">IFERROR(__xludf.DUMMYFUNCTION("""COMPUTED_VALUE"""),"₱-")</f>
        <v>₱-</v>
      </c>
      <c r="F1651" s="164" t="str">
        <f ca="1">IFERROR(__xludf.DUMMYFUNCTION("""COMPUTED_VALUE"""),"2023-05-03-10201SP885-01")</f>
        <v>2023-05-03-10201SP885-01</v>
      </c>
      <c r="G1651" s="164" t="str">
        <f ca="1">IFERROR(__xludf.DUMMYFUNCTION("""COMPUTED_VALUE"""),"1S11T5S16200GM041B4E")</f>
        <v>1S11T5S16200GM041B4E</v>
      </c>
      <c r="H1651" s="164" t="str">
        <f ca="1">IFERROR(__xludf.DUMMYFUNCTION("""COMPUTED_VALUE"""),"ALLAN A. NOVERO")</f>
        <v>ALLAN A. NOVERO</v>
      </c>
      <c r="I1651" s="164" t="str">
        <f ca="1">IFERROR(__xludf.DUMMYFUNCTION("""COMPUTED_VALUE"""),"ARPO II / MIS COORDINATOR")</f>
        <v>ARPO II / MIS COORDINATOR</v>
      </c>
      <c r="J1651" s="164" t="str">
        <f ca="1">IFERROR(__xludf.DUMMYFUNCTION("""COMPUTED_VALUE"""),"23-05-02")</f>
        <v>23-05-02</v>
      </c>
      <c r="K1651" s="164" t="str">
        <f ca="1">IFERROR(__xludf.DUMMYFUNCTION("""COMPUTED_VALUE"""),"CRISJAY MEDINA MIS STAFF")</f>
        <v>CRISJAY MEDINA MIS STAFF</v>
      </c>
      <c r="L1651" s="164" t="str">
        <f ca="1">IFERROR(__xludf.DUMMYFUNCTION("""COMPUTED_VALUE"""),"LTID")</f>
        <v>LTID</v>
      </c>
      <c r="M1651" s="164" t="str">
        <f ca="1">IFERROR(__xludf.DUMMYFUNCTION("""COMPUTED_VALUE"""),"SERVICEABLE")</f>
        <v>SERVICEABLE</v>
      </c>
      <c r="N1651" s="164"/>
    </row>
    <row r="1652" spans="1:14" ht="13.2" hidden="1">
      <c r="A1652" s="164" t="str">
        <f ca="1">IFERROR(__xludf.DUMMYFUNCTION("""COMPUTED_VALUE"""),"Region IV-A")</f>
        <v>Region IV-A</v>
      </c>
      <c r="B1652" s="164" t="str">
        <f ca="1">IFERROR(__xludf.DUMMYFUNCTION("""COMPUTED_VALUE"""),"CAVITE")</f>
        <v>CAVITE</v>
      </c>
      <c r="C1652" s="164" t="str">
        <f ca="1">IFERROR(__xludf.DUMMYFUNCTION("""COMPUTED_VALUE"""),"DESKTOP COMPUTER – (LENOVO M70T)")</f>
        <v>DESKTOP COMPUTER – (LENOVO M70T)</v>
      </c>
      <c r="D1652" s="164" t="str">
        <f ca="1">IFERROR(__xludf.DUMMYFUNCTION("""COMPUTED_VALUE"""),"₱ 75,468.00")</f>
        <v>₱ 75,468.00</v>
      </c>
      <c r="E1652" s="164" t="str">
        <f ca="1">IFERROR(__xludf.DUMMYFUNCTION("""COMPUTED_VALUE"""),"₱-")</f>
        <v>₱-</v>
      </c>
      <c r="F1652" s="164" t="str">
        <f ca="1">IFERROR(__xludf.DUMMYFUNCTION("""COMPUTED_VALUE"""),"2023-05-03-10201SP886-01")</f>
        <v>2023-05-03-10201SP886-01</v>
      </c>
      <c r="G1652" s="164" t="str">
        <f ca="1">IFERROR(__xludf.DUMMYFUNCTION("""COMPUTED_VALUE"""),"1S11T5S16200GM041B4N")</f>
        <v>1S11T5S16200GM041B4N</v>
      </c>
      <c r="H1652" s="164" t="str">
        <f ca="1">IFERROR(__xludf.DUMMYFUNCTION("""COMPUTED_VALUE"""),"LESLIE ANN C PLANTO")</f>
        <v>LESLIE ANN C PLANTO</v>
      </c>
      <c r="I1652" s="164" t="str">
        <f ca="1">IFERROR(__xludf.DUMMYFUNCTION("""COMPUTED_VALUE"""),"PLANNING OFFICER/M&amp;E COORDINATOR")</f>
        <v>PLANNING OFFICER/M&amp;E COORDINATOR</v>
      </c>
      <c r="J1652" s="164" t="str">
        <f ca="1">IFERROR(__xludf.DUMMYFUNCTION("""COMPUTED_VALUE"""),"23-05-06")</f>
        <v>23-05-06</v>
      </c>
      <c r="K1652" s="164" t="str">
        <f ca="1">IFERROR(__xludf.DUMMYFUNCTION("""COMPUTED_VALUE"""),"DARYLL BRYLLE MARARAGAN M&amp;E STAFF")</f>
        <v>DARYLL BRYLLE MARARAGAN M&amp;E STAFF</v>
      </c>
      <c r="L1652" s="164" t="str">
        <f ca="1">IFERROR(__xludf.DUMMYFUNCTION("""COMPUTED_VALUE"""),"LTID")</f>
        <v>LTID</v>
      </c>
      <c r="M1652" s="164" t="str">
        <f ca="1">IFERROR(__xludf.DUMMYFUNCTION("""COMPUTED_VALUE"""),"SERVICEABLE")</f>
        <v>SERVICEABLE</v>
      </c>
      <c r="N1652" s="164"/>
    </row>
    <row r="1653" spans="1:14" ht="13.2" hidden="1">
      <c r="A1653" s="164" t="str">
        <f ca="1">IFERROR(__xludf.DUMMYFUNCTION("""COMPUTED_VALUE"""),"Region IV-A")</f>
        <v>Region IV-A</v>
      </c>
      <c r="B1653" s="164" t="str">
        <f ca="1">IFERROR(__xludf.DUMMYFUNCTION("""COMPUTED_VALUE"""),"CAVITE")</f>
        <v>CAVITE</v>
      </c>
      <c r="C1653" s="164" t="str">
        <f ca="1">IFERROR(__xludf.DUMMYFUNCTION("""COMPUTED_VALUE"""),"DESKTOP COMPUTER – (LENOVO M70T)")</f>
        <v>DESKTOP COMPUTER – (LENOVO M70T)</v>
      </c>
      <c r="D1653" s="164" t="str">
        <f ca="1">IFERROR(__xludf.DUMMYFUNCTION("""COMPUTED_VALUE"""),"₱ 75,468.00")</f>
        <v>₱ 75,468.00</v>
      </c>
      <c r="E1653" s="164" t="str">
        <f ca="1">IFERROR(__xludf.DUMMYFUNCTION("""COMPUTED_VALUE"""),"₱-")</f>
        <v>₱-</v>
      </c>
      <c r="F1653" s="164" t="str">
        <f ca="1">IFERROR(__xludf.DUMMYFUNCTION("""COMPUTED_VALUE"""),"2023-05-03-10201SP887-01")</f>
        <v>2023-05-03-10201SP887-01</v>
      </c>
      <c r="G1653" s="164" t="str">
        <f ca="1">IFERROR(__xludf.DUMMYFUNCTION("""COMPUTED_VALUE"""),"1S11T5S16200GM04182V")</f>
        <v>1S11T5S16200GM04182V</v>
      </c>
      <c r="H1653" s="164" t="str">
        <f ca="1">IFERROR(__xludf.DUMMYFUNCTION("""COMPUTED_VALUE"""),"ALEXANDER D. COSTA")</f>
        <v>ALEXANDER D. COSTA</v>
      </c>
      <c r="I1653" s="164" t="str">
        <f ca="1">IFERROR(__xludf.DUMMYFUNCTION("""COMPUTED_VALUE"""),"ARPO II /PARCELIZATION COORDINATOR")</f>
        <v>ARPO II /PARCELIZATION COORDINATOR</v>
      </c>
      <c r="J1653" s="164" t="str">
        <f ca="1">IFERROR(__xludf.DUMMYFUNCTION("""COMPUTED_VALUE"""),"23-05-04")</f>
        <v>23-05-04</v>
      </c>
      <c r="K1653" s="164" t="str">
        <f ca="1">IFERROR(__xludf.DUMMYFUNCTION("""COMPUTED_VALUE"""),"NOLIGEN P. DIOKNO AUTO CAD OPERATOR")</f>
        <v>NOLIGEN P. DIOKNO AUTO CAD OPERATOR</v>
      </c>
      <c r="L1653" s="164" t="str">
        <f ca="1">IFERROR(__xludf.DUMMYFUNCTION("""COMPUTED_VALUE"""),"LTID")</f>
        <v>LTID</v>
      </c>
      <c r="M1653" s="164" t="str">
        <f ca="1">IFERROR(__xludf.DUMMYFUNCTION("""COMPUTED_VALUE"""),"SERVICEABLE")</f>
        <v>SERVICEABLE</v>
      </c>
      <c r="N1653" s="164"/>
    </row>
    <row r="1654" spans="1:14" ht="13.2" hidden="1">
      <c r="A1654" s="164" t="str">
        <f ca="1">IFERROR(__xludf.DUMMYFUNCTION("""COMPUTED_VALUE"""),"Region IV-A")</f>
        <v>Region IV-A</v>
      </c>
      <c r="B1654" s="164" t="str">
        <f ca="1">IFERROR(__xludf.DUMMYFUNCTION("""COMPUTED_VALUE"""),"CAVITE")</f>
        <v>CAVITE</v>
      </c>
      <c r="C1654" s="164" t="str">
        <f ca="1">IFERROR(__xludf.DUMMYFUNCTION("""COMPUTED_VALUE"""),"DESKTOP COMPUTER – (LENOVO M70T)")</f>
        <v>DESKTOP COMPUTER – (LENOVO M70T)</v>
      </c>
      <c r="D1654" s="164" t="str">
        <f ca="1">IFERROR(__xludf.DUMMYFUNCTION("""COMPUTED_VALUE"""),"₱ 75,468.00")</f>
        <v>₱ 75,468.00</v>
      </c>
      <c r="E1654" s="164" t="str">
        <f ca="1">IFERROR(__xludf.DUMMYFUNCTION("""COMPUTED_VALUE"""),"₱-")</f>
        <v>₱-</v>
      </c>
      <c r="F1654" s="164" t="str">
        <f ca="1">IFERROR(__xludf.DUMMYFUNCTION("""COMPUTED_VALUE"""),"2023-05-03-10201SP888-01")</f>
        <v>2023-05-03-10201SP888-01</v>
      </c>
      <c r="G1654" s="164" t="str">
        <f ca="1">IFERROR(__xludf.DUMMYFUNCTION("""COMPUTED_VALUE"""),"1S11T5S16200GM041AQH")</f>
        <v>1S11T5S16200GM041AQH</v>
      </c>
      <c r="H1654" s="164" t="str">
        <f ca="1">IFERROR(__xludf.DUMMYFUNCTION("""COMPUTED_VALUE"""),"ALEXANDER D. COSTA")</f>
        <v>ALEXANDER D. COSTA</v>
      </c>
      <c r="I1654" s="164" t="str">
        <f ca="1">IFERROR(__xludf.DUMMYFUNCTION("""COMPUTED_VALUE"""),"ARPO II /PARCELIZATION COORDINATOR")</f>
        <v>ARPO II /PARCELIZATION COORDINATOR</v>
      </c>
      <c r="J1654" s="164" t="str">
        <f ca="1">IFERROR(__xludf.DUMMYFUNCTION("""COMPUTED_VALUE"""),"23-05-04")</f>
        <v>23-05-04</v>
      </c>
      <c r="K1654" s="164" t="str">
        <f ca="1">IFERROR(__xludf.DUMMYFUNCTION("""COMPUTED_VALUE"""),"RUEL ROGACION VALIDATOR")</f>
        <v>RUEL ROGACION VALIDATOR</v>
      </c>
      <c r="L1654" s="164" t="str">
        <f ca="1">IFERROR(__xludf.DUMMYFUNCTION("""COMPUTED_VALUE"""),"LTID")</f>
        <v>LTID</v>
      </c>
      <c r="M1654" s="164" t="str">
        <f ca="1">IFERROR(__xludf.DUMMYFUNCTION("""COMPUTED_VALUE"""),"SERVICEABLE")</f>
        <v>SERVICEABLE</v>
      </c>
      <c r="N1654" s="164"/>
    </row>
    <row r="1655" spans="1:14" ht="13.2" hidden="1">
      <c r="A1655" s="164" t="str">
        <f ca="1">IFERROR(__xludf.DUMMYFUNCTION("""COMPUTED_VALUE"""),"Region IV-A")</f>
        <v>Region IV-A</v>
      </c>
      <c r="B1655" s="164" t="str">
        <f ca="1">IFERROR(__xludf.DUMMYFUNCTION("""COMPUTED_VALUE"""),"CAVITE")</f>
        <v>CAVITE</v>
      </c>
      <c r="C1655" s="164" t="str">
        <f ca="1">IFERROR(__xludf.DUMMYFUNCTION("""COMPUTED_VALUE"""),"DESKTOP COMPUTER – (LENOVO M70T)")</f>
        <v>DESKTOP COMPUTER – (LENOVO M70T)</v>
      </c>
      <c r="D1655" s="164" t="str">
        <f ca="1">IFERROR(__xludf.DUMMYFUNCTION("""COMPUTED_VALUE"""),"₱ 75,468.00")</f>
        <v>₱ 75,468.00</v>
      </c>
      <c r="E1655" s="164" t="str">
        <f ca="1">IFERROR(__xludf.DUMMYFUNCTION("""COMPUTED_VALUE"""),"₱-")</f>
        <v>₱-</v>
      </c>
      <c r="F1655" s="164" t="str">
        <f ca="1">IFERROR(__xludf.DUMMYFUNCTION("""COMPUTED_VALUE"""),"2023-05-03-10201SP889-01")</f>
        <v>2023-05-03-10201SP889-01</v>
      </c>
      <c r="G1655" s="164" t="str">
        <f ca="1">IFERROR(__xludf.DUMMYFUNCTION("""COMPUTED_VALUE"""),"1S11T5S16200GM041APT")</f>
        <v>1S11T5S16200GM041APT</v>
      </c>
      <c r="H1655" s="164" t="str">
        <f ca="1">IFERROR(__xludf.DUMMYFUNCTION("""COMPUTED_VALUE"""),"ALEXANDER D. COSTA")</f>
        <v>ALEXANDER D. COSTA</v>
      </c>
      <c r="I1655" s="164" t="str">
        <f ca="1">IFERROR(__xludf.DUMMYFUNCTION("""COMPUTED_VALUE"""),"ARPO II /PARCELIZATION COORDINATOR")</f>
        <v>ARPO II /PARCELIZATION COORDINATOR</v>
      </c>
      <c r="J1655" s="164" t="str">
        <f ca="1">IFERROR(__xludf.DUMMYFUNCTION("""COMPUTED_VALUE"""),"23-05-04")</f>
        <v>23-05-04</v>
      </c>
      <c r="K1655" s="164" t="str">
        <f ca="1">IFERROR(__xludf.DUMMYFUNCTION("""COMPUTED_VALUE"""),"KATHLEEN NOVENO TECHNICAL /LIASON STAFF")</f>
        <v>KATHLEEN NOVENO TECHNICAL /LIASON STAFF</v>
      </c>
      <c r="L1655" s="164" t="str">
        <f ca="1">IFERROR(__xludf.DUMMYFUNCTION("""COMPUTED_VALUE"""),"LTID")</f>
        <v>LTID</v>
      </c>
      <c r="M1655" s="164" t="str">
        <f ca="1">IFERROR(__xludf.DUMMYFUNCTION("""COMPUTED_VALUE"""),"SERVICEABLE")</f>
        <v>SERVICEABLE</v>
      </c>
      <c r="N1655" s="164"/>
    </row>
    <row r="1656" spans="1:14" ht="13.2" hidden="1">
      <c r="A1656" s="164" t="str">
        <f ca="1">IFERROR(__xludf.DUMMYFUNCTION("""COMPUTED_VALUE"""),"Region IV-A")</f>
        <v>Region IV-A</v>
      </c>
      <c r="B1656" s="164" t="str">
        <f ca="1">IFERROR(__xludf.DUMMYFUNCTION("""COMPUTED_VALUE"""),"CAVITE")</f>
        <v>CAVITE</v>
      </c>
      <c r="C1656" s="164" t="str">
        <f ca="1">IFERROR(__xludf.DUMMYFUNCTION("""COMPUTED_VALUE"""),"DESKTOP COMPUTER – (LENOVO M70T)")</f>
        <v>DESKTOP COMPUTER – (LENOVO M70T)</v>
      </c>
      <c r="D1656" s="164" t="str">
        <f ca="1">IFERROR(__xludf.DUMMYFUNCTION("""COMPUTED_VALUE"""),"₱ 75,468.00")</f>
        <v>₱ 75,468.00</v>
      </c>
      <c r="E1656" s="164" t="str">
        <f ca="1">IFERROR(__xludf.DUMMYFUNCTION("""COMPUTED_VALUE"""),"₱-")</f>
        <v>₱-</v>
      </c>
      <c r="F1656" s="164" t="str">
        <f ca="1">IFERROR(__xludf.DUMMYFUNCTION("""COMPUTED_VALUE"""),"2023-05-03-10201SP890-01")</f>
        <v>2023-05-03-10201SP890-01</v>
      </c>
      <c r="G1656" s="164" t="str">
        <f ca="1">IFERROR(__xludf.DUMMYFUNCTION("""COMPUTED_VALUE"""),"1S11T5S16200GM0415RE")</f>
        <v>1S11T5S16200GM0415RE</v>
      </c>
      <c r="H1656" s="164" t="str">
        <f ca="1">IFERROR(__xludf.DUMMYFUNCTION("""COMPUTED_VALUE"""),"PACITA J. LLAMADO")</f>
        <v>PACITA J. LLAMADO</v>
      </c>
      <c r="I1656" s="164" t="str">
        <f ca="1">IFERROR(__xludf.DUMMYFUNCTION("""COMPUTED_VALUE"""),"CAO/ PROJECT FINANCE &amp; ADMIN OFFICER")</f>
        <v>CAO/ PROJECT FINANCE &amp; ADMIN OFFICER</v>
      </c>
      <c r="J1656" s="164" t="str">
        <f ca="1">IFERROR(__xludf.DUMMYFUNCTION("""COMPUTED_VALUE"""),"23-05-07")</f>
        <v>23-05-07</v>
      </c>
      <c r="K1656" s="164" t="str">
        <f ca="1">IFERROR(__xludf.DUMMYFUNCTION("""COMPUTED_VALUE"""),"CHRISTIAN NEL VICEDO FINANCE STAFF")</f>
        <v>CHRISTIAN NEL VICEDO FINANCE STAFF</v>
      </c>
      <c r="L1656" s="164" t="str">
        <f ca="1">IFERROR(__xludf.DUMMYFUNCTION("""COMPUTED_VALUE"""),"STOD")</f>
        <v>STOD</v>
      </c>
      <c r="M1656" s="164" t="str">
        <f ca="1">IFERROR(__xludf.DUMMYFUNCTION("""COMPUTED_VALUE"""),"SERVICEABLE")</f>
        <v>SERVICEABLE</v>
      </c>
      <c r="N1656" s="164"/>
    </row>
    <row r="1657" spans="1:14" ht="13.2" hidden="1">
      <c r="A1657" s="164" t="str">
        <f ca="1">IFERROR(__xludf.DUMMYFUNCTION("""COMPUTED_VALUE"""),"Region IV-A")</f>
        <v>Region IV-A</v>
      </c>
      <c r="B1657" s="164" t="str">
        <f ca="1">IFERROR(__xludf.DUMMYFUNCTION("""COMPUTED_VALUE"""),"CAVITE")</f>
        <v>CAVITE</v>
      </c>
      <c r="C1657" s="164" t="str">
        <f ca="1">IFERROR(__xludf.DUMMYFUNCTION("""COMPUTED_VALUE"""),"DESKTOP COMPUTER – (LENOVO M70T)")</f>
        <v>DESKTOP COMPUTER – (LENOVO M70T)</v>
      </c>
      <c r="D1657" s="164" t="str">
        <f ca="1">IFERROR(__xludf.DUMMYFUNCTION("""COMPUTED_VALUE"""),"₱ 75,468.00")</f>
        <v>₱ 75,468.00</v>
      </c>
      <c r="E1657" s="164" t="str">
        <f ca="1">IFERROR(__xludf.DUMMYFUNCTION("""COMPUTED_VALUE"""),"₱-")</f>
        <v>₱-</v>
      </c>
      <c r="F1657" s="164" t="str">
        <f ca="1">IFERROR(__xludf.DUMMYFUNCTION("""COMPUTED_VALUE"""),"2023-05-03-10201SP891-01")</f>
        <v>2023-05-03-10201SP891-01</v>
      </c>
      <c r="G1657" s="164" t="str">
        <f ca="1">IFERROR(__xludf.DUMMYFUNCTION("""COMPUTED_VALUE"""),"1S11T5S16200GM041AT9")</f>
        <v>1S11T5S16200GM041AT9</v>
      </c>
      <c r="H1657" s="164" t="str">
        <f ca="1">IFERROR(__xludf.DUMMYFUNCTION("""COMPUTED_VALUE"""),"LESLIE ANN C PLANTO")</f>
        <v>LESLIE ANN C PLANTO</v>
      </c>
      <c r="I1657" s="164" t="str">
        <f ca="1">IFERROR(__xludf.DUMMYFUNCTION("""COMPUTED_VALUE"""),"PLANNING OFFICER/M&amp;E COORDINATOR")</f>
        <v>PLANNING OFFICER/M&amp;E COORDINATOR</v>
      </c>
      <c r="J1657" s="164" t="str">
        <f ca="1">IFERROR(__xludf.DUMMYFUNCTION("""COMPUTED_VALUE"""),"23-05-06")</f>
        <v>23-05-06</v>
      </c>
      <c r="K1657" s="164" t="str">
        <f ca="1">IFERROR(__xludf.DUMMYFUNCTION("""COMPUTED_VALUE"""),"LESLIE ANN C PLANTO")</f>
        <v>LESLIE ANN C PLANTO</v>
      </c>
      <c r="L1657" s="164" t="str">
        <f ca="1">IFERROR(__xludf.DUMMYFUNCTION("""COMPUTED_VALUE"""),"STOD")</f>
        <v>STOD</v>
      </c>
      <c r="M1657" s="164" t="str">
        <f ca="1">IFERROR(__xludf.DUMMYFUNCTION("""COMPUTED_VALUE"""),"SERVICEABLE")</f>
        <v>SERVICEABLE</v>
      </c>
      <c r="N1657" s="164"/>
    </row>
    <row r="1658" spans="1:14" ht="13.2" hidden="1">
      <c r="A1658" s="164" t="str">
        <f ca="1">IFERROR(__xludf.DUMMYFUNCTION("""COMPUTED_VALUE"""),"Region IV-A")</f>
        <v>Region IV-A</v>
      </c>
      <c r="B1658" s="164" t="str">
        <f ca="1">IFERROR(__xludf.DUMMYFUNCTION("""COMPUTED_VALUE"""),"CAVITE")</f>
        <v>CAVITE</v>
      </c>
      <c r="C1658" s="164" t="str">
        <f ca="1">IFERROR(__xludf.DUMMYFUNCTION("""COMPUTED_VALUE"""),"DESKTOP COMPUTER – (LENOVO M70T)")</f>
        <v>DESKTOP COMPUTER – (LENOVO M70T)</v>
      </c>
      <c r="D1658" s="164" t="str">
        <f ca="1">IFERROR(__xludf.DUMMYFUNCTION("""COMPUTED_VALUE"""),"₱ 75,468.00")</f>
        <v>₱ 75,468.00</v>
      </c>
      <c r="E1658" s="164" t="str">
        <f ca="1">IFERROR(__xludf.DUMMYFUNCTION("""COMPUTED_VALUE"""),"₱-")</f>
        <v>₱-</v>
      </c>
      <c r="F1658" s="164" t="str">
        <f ca="1">IFERROR(__xludf.DUMMYFUNCTION("""COMPUTED_VALUE"""),"2023-05-03-10201SP892-01")</f>
        <v>2023-05-03-10201SP892-01</v>
      </c>
      <c r="G1658" s="164" t="str">
        <f ca="1">IFERROR(__xludf.DUMMYFUNCTION("""COMPUTED_VALUE"""),"1S11T5S16200GM041AYS")</f>
        <v>1S11T5S16200GM041AYS</v>
      </c>
      <c r="H1658" s="164" t="str">
        <f ca="1">IFERROR(__xludf.DUMMYFUNCTION("""COMPUTED_VALUE"""),"ALLAN A. NOVERO")</f>
        <v>ALLAN A. NOVERO</v>
      </c>
      <c r="I1658" s="164" t="str">
        <f ca="1">IFERROR(__xludf.DUMMYFUNCTION("""COMPUTED_VALUE"""),"ARPO II / MIS COORDINATOR")</f>
        <v>ARPO II / MIS COORDINATOR</v>
      </c>
      <c r="J1658" s="164" t="str">
        <f ca="1">IFERROR(__xludf.DUMMYFUNCTION("""COMPUTED_VALUE"""),"23-05-02")</f>
        <v>23-05-02</v>
      </c>
      <c r="K1658" s="164" t="str">
        <f ca="1">IFERROR(__xludf.DUMMYFUNCTION("""COMPUTED_VALUE"""),"ALLAN A. NOVERO")</f>
        <v>ALLAN A. NOVERO</v>
      </c>
      <c r="L1658" s="164" t="str">
        <f ca="1">IFERROR(__xludf.DUMMYFUNCTION("""COMPUTED_VALUE"""),"PBDD")</f>
        <v>PBDD</v>
      </c>
      <c r="M1658" s="164" t="str">
        <f ca="1">IFERROR(__xludf.DUMMYFUNCTION("""COMPUTED_VALUE"""),"SERVICEABLE")</f>
        <v>SERVICEABLE</v>
      </c>
      <c r="N1658" s="164"/>
    </row>
    <row r="1659" spans="1:14" ht="13.2" hidden="1">
      <c r="A1659" s="164" t="str">
        <f ca="1">IFERROR(__xludf.DUMMYFUNCTION("""COMPUTED_VALUE"""),"Region IV-A")</f>
        <v>Region IV-A</v>
      </c>
      <c r="B1659" s="164" t="str">
        <f ca="1">IFERROR(__xludf.DUMMYFUNCTION("""COMPUTED_VALUE"""),"CAVITE")</f>
        <v>CAVITE</v>
      </c>
      <c r="C1659" s="164" t="str">
        <f ca="1">IFERROR(__xludf.DUMMYFUNCTION("""COMPUTED_VALUE"""),"DESKTOP COMPUTER – (LENOVO M70T)")</f>
        <v>DESKTOP COMPUTER – (LENOVO M70T)</v>
      </c>
      <c r="D1659" s="164" t="str">
        <f ca="1">IFERROR(__xludf.DUMMYFUNCTION("""COMPUTED_VALUE"""),"₱ 75,468.00")</f>
        <v>₱ 75,468.00</v>
      </c>
      <c r="E1659" s="164" t="str">
        <f ca="1">IFERROR(__xludf.DUMMYFUNCTION("""COMPUTED_VALUE"""),"₱-")</f>
        <v>₱-</v>
      </c>
      <c r="F1659" s="164" t="str">
        <f ca="1">IFERROR(__xludf.DUMMYFUNCTION("""COMPUTED_VALUE"""),"2023-05-03-10201SP893-01")</f>
        <v>2023-05-03-10201SP893-01</v>
      </c>
      <c r="G1659" s="164" t="str">
        <f ca="1">IFERROR(__xludf.DUMMYFUNCTION("""COMPUTED_VALUE"""),"1S11T5S16200GM041ASD")</f>
        <v>1S11T5S16200GM041ASD</v>
      </c>
      <c r="H1659" s="164" t="str">
        <f ca="1">IFERROR(__xludf.DUMMYFUNCTION("""COMPUTED_VALUE"""),"ALEXANDER D. COSTA")</f>
        <v>ALEXANDER D. COSTA</v>
      </c>
      <c r="I1659" s="164" t="str">
        <f ca="1">IFERROR(__xludf.DUMMYFUNCTION("""COMPUTED_VALUE"""),"ARPO II /PARCELIZATION COORDINATOR")</f>
        <v>ARPO II /PARCELIZATION COORDINATOR</v>
      </c>
      <c r="J1659" s="164" t="str">
        <f ca="1">IFERROR(__xludf.DUMMYFUNCTION("""COMPUTED_VALUE"""),"23-05-04")</f>
        <v>23-05-04</v>
      </c>
      <c r="K1659" s="164" t="str">
        <f ca="1">IFERROR(__xludf.DUMMYFUNCTION("""COMPUTED_VALUE"""),"ALEXANDER D. COSTA")</f>
        <v>ALEXANDER D. COSTA</v>
      </c>
      <c r="L1659" s="164" t="str">
        <f ca="1">IFERROR(__xludf.DUMMYFUNCTION("""COMPUTED_VALUE"""),"LTID")</f>
        <v>LTID</v>
      </c>
      <c r="M1659" s="164" t="str">
        <f ca="1">IFERROR(__xludf.DUMMYFUNCTION("""COMPUTED_VALUE"""),"SERVICEABLE")</f>
        <v>SERVICEABLE</v>
      </c>
      <c r="N1659" s="164"/>
    </row>
    <row r="1660" spans="1:14" ht="13.2" hidden="1">
      <c r="A1660" s="164" t="str">
        <f ca="1">IFERROR(__xludf.DUMMYFUNCTION("""COMPUTED_VALUE"""),"Region IV-A")</f>
        <v>Region IV-A</v>
      </c>
      <c r="B1660" s="164" t="str">
        <f ca="1">IFERROR(__xludf.DUMMYFUNCTION("""COMPUTED_VALUE"""),"CAVITE")</f>
        <v>CAVITE</v>
      </c>
      <c r="C1660" s="164" t="str">
        <f ca="1">IFERROR(__xludf.DUMMYFUNCTION("""COMPUTED_VALUE"""),"DESKTOP COMPUTER – (LENOVO M70T)")</f>
        <v>DESKTOP COMPUTER – (LENOVO M70T)</v>
      </c>
      <c r="D1660" s="164" t="str">
        <f ca="1">IFERROR(__xludf.DUMMYFUNCTION("""COMPUTED_VALUE"""),"₱ 75,468.00")</f>
        <v>₱ 75,468.00</v>
      </c>
      <c r="E1660" s="164" t="str">
        <f ca="1">IFERROR(__xludf.DUMMYFUNCTION("""COMPUTED_VALUE"""),"₱-")</f>
        <v>₱-</v>
      </c>
      <c r="F1660" s="164" t="str">
        <f ca="1">IFERROR(__xludf.DUMMYFUNCTION("""COMPUTED_VALUE"""),"2023-05-03-10201SP894-01")</f>
        <v>2023-05-03-10201SP894-01</v>
      </c>
      <c r="G1660" s="164" t="str">
        <f ca="1">IFERROR(__xludf.DUMMYFUNCTION("""COMPUTED_VALUE"""),"1S11T5S16200GM041AQ9")</f>
        <v>1S11T5S16200GM041AQ9</v>
      </c>
      <c r="H1660" s="164" t="str">
        <f ca="1">IFERROR(__xludf.DUMMYFUNCTION("""COMPUTED_VALUE"""),"RINAFE DEL-RIO DY")</f>
        <v>RINAFE DEL-RIO DY</v>
      </c>
      <c r="I1660" s="164" t="str">
        <f ca="1">IFERROR(__xludf.DUMMYFUNCTION("""COMPUTED_VALUE"""),"ARPO 1/PROCUREMENT OFFICER")</f>
        <v>ARPO 1/PROCUREMENT OFFICER</v>
      </c>
      <c r="J1660" s="164" t="str">
        <f ca="1">IFERROR(__xludf.DUMMYFUNCTION("""COMPUTED_VALUE"""),"23-05-08")</f>
        <v>23-05-08</v>
      </c>
      <c r="K1660" s="164" t="str">
        <f ca="1">IFERROR(__xludf.DUMMYFUNCTION("""COMPUTED_VALUE"""),"RINAFE DEL-RIO DY")</f>
        <v>RINAFE DEL-RIO DY</v>
      </c>
      <c r="L1660" s="164" t="str">
        <f ca="1">IFERROR(__xludf.DUMMYFUNCTION("""COMPUTED_VALUE"""),"PBDD")</f>
        <v>PBDD</v>
      </c>
      <c r="M1660" s="164" t="str">
        <f ca="1">IFERROR(__xludf.DUMMYFUNCTION("""COMPUTED_VALUE"""),"SERVICEABLE")</f>
        <v>SERVICEABLE</v>
      </c>
      <c r="N1660" s="164"/>
    </row>
    <row r="1661" spans="1:14" ht="13.2" hidden="1">
      <c r="A1661" s="164" t="str">
        <f ca="1">IFERROR(__xludf.DUMMYFUNCTION("""COMPUTED_VALUE"""),"Region IV-A")</f>
        <v>Region IV-A</v>
      </c>
      <c r="B1661" s="164" t="str">
        <f ca="1">IFERROR(__xludf.DUMMYFUNCTION("""COMPUTED_VALUE"""),"CAVITE")</f>
        <v>CAVITE</v>
      </c>
      <c r="C1661" s="164" t="str">
        <f ca="1">IFERROR(__xludf.DUMMYFUNCTION("""COMPUTED_VALUE"""),"DESKTOP COMPUTER – (LENOVO M70T)")</f>
        <v>DESKTOP COMPUTER – (LENOVO M70T)</v>
      </c>
      <c r="D1661" s="164" t="str">
        <f ca="1">IFERROR(__xludf.DUMMYFUNCTION("""COMPUTED_VALUE"""),"₱ 75,468.00")</f>
        <v>₱ 75,468.00</v>
      </c>
      <c r="E1661" s="164" t="str">
        <f ca="1">IFERROR(__xludf.DUMMYFUNCTION("""COMPUTED_VALUE"""),"₱-")</f>
        <v>₱-</v>
      </c>
      <c r="F1661" s="164" t="str">
        <f ca="1">IFERROR(__xludf.DUMMYFUNCTION("""COMPUTED_VALUE"""),"2023-05-03-10201SP895-01")</f>
        <v>2023-05-03-10201SP895-01</v>
      </c>
      <c r="G1661" s="164" t="str">
        <f ca="1">IFERROR(__xludf.DUMMYFUNCTION("""COMPUTED_VALUE"""),"1S11T5S16200GM041AQA")</f>
        <v>1S11T5S16200GM041AQA</v>
      </c>
      <c r="H1661" s="164" t="str">
        <f ca="1">IFERROR(__xludf.DUMMYFUNCTION("""COMPUTED_VALUE"""),"PACITA J. LLAMADO")</f>
        <v>PACITA J. LLAMADO</v>
      </c>
      <c r="I1661" s="164" t="str">
        <f ca="1">IFERROR(__xludf.DUMMYFUNCTION("""COMPUTED_VALUE"""),"CAO/ PROJECT FINANCE &amp; ADMIN OFFICER")</f>
        <v>CAO/ PROJECT FINANCE &amp; ADMIN OFFICER</v>
      </c>
      <c r="J1661" s="164" t="str">
        <f ca="1">IFERROR(__xludf.DUMMYFUNCTION("""COMPUTED_VALUE"""),"23-05-07")</f>
        <v>23-05-07</v>
      </c>
      <c r="K1661" s="164" t="str">
        <f ca="1">IFERROR(__xludf.DUMMYFUNCTION("""COMPUTED_VALUE"""),"PACITA J. LLAMADO")</f>
        <v>PACITA J. LLAMADO</v>
      </c>
      <c r="L1661" s="164" t="str">
        <f ca="1">IFERROR(__xludf.DUMMYFUNCTION("""COMPUTED_VALUE"""),"STOD")</f>
        <v>STOD</v>
      </c>
      <c r="M1661" s="164" t="str">
        <f ca="1">IFERROR(__xludf.DUMMYFUNCTION("""COMPUTED_VALUE"""),"SERVICEABLE")</f>
        <v>SERVICEABLE</v>
      </c>
      <c r="N1661" s="164"/>
    </row>
    <row r="1662" spans="1:14" ht="13.2" hidden="1">
      <c r="A1662" s="164" t="str">
        <f ca="1">IFERROR(__xludf.DUMMYFUNCTION("""COMPUTED_VALUE"""),"Region IV-A")</f>
        <v>Region IV-A</v>
      </c>
      <c r="B1662" s="164" t="str">
        <f ca="1">IFERROR(__xludf.DUMMYFUNCTION("""COMPUTED_VALUE"""),"LAGUNA")</f>
        <v>LAGUNA</v>
      </c>
      <c r="C1662" s="164" t="str">
        <f ca="1">IFERROR(__xludf.DUMMYFUNCTION("""COMPUTED_VALUE"""),"DESKTOP COMPUTER – (LENOVO M70T)")</f>
        <v>DESKTOP COMPUTER – (LENOVO M70T)</v>
      </c>
      <c r="D1662" s="164" t="str">
        <f ca="1">IFERROR(__xludf.DUMMYFUNCTION("""COMPUTED_VALUE"""),"₱ 75,468.00")</f>
        <v>₱ 75,468.00</v>
      </c>
      <c r="E1662" s="164" t="str">
        <f ca="1">IFERROR(__xludf.DUMMYFUNCTION("""COMPUTED_VALUE"""),"₱-")</f>
        <v>₱-</v>
      </c>
      <c r="F1662" s="164" t="str">
        <f ca="1">IFERROR(__xludf.DUMMYFUNCTION("""COMPUTED_VALUE"""),"2023-05-03-10201SP908-01")</f>
        <v>2023-05-03-10201SP908-01</v>
      </c>
      <c r="G1662" s="164" t="str">
        <f ca="1">IFERROR(__xludf.DUMMYFUNCTION("""COMPUTED_VALUE"""),"1S11T5S16200GM0415T8")</f>
        <v>1S11T5S16200GM0415T8</v>
      </c>
      <c r="H1662" s="164" t="str">
        <f ca="1">IFERROR(__xludf.DUMMYFUNCTION("""COMPUTED_VALUE"""),"GIOVANNI ASHLEY B. SAN GASPAR")</f>
        <v>GIOVANNI ASHLEY B. SAN GASPAR</v>
      </c>
      <c r="I1662" s="164" t="str">
        <f ca="1">IFERROR(__xludf.DUMMYFUNCTION("""COMPUTED_VALUE"""),"DOCUMENTATION/ ENVIRONMENTAL AND SOCIAL SAFEGUARDS COORDINATOR")</f>
        <v>DOCUMENTATION/ ENVIRONMENTAL AND SOCIAL SAFEGUARDS COORDINATOR</v>
      </c>
      <c r="J1662" s="164" t="str">
        <f ca="1">IFERROR(__xludf.DUMMYFUNCTION("""COMPUTED_VALUE"""),"2023-06-01-S")</f>
        <v>2023-06-01-S</v>
      </c>
      <c r="K1662" s="164" t="str">
        <f ca="1">IFERROR(__xludf.DUMMYFUNCTION("""COMPUTED_VALUE"""),"GIOVANNI ASHLEY B. SAN GASPAR")</f>
        <v>GIOVANNI ASHLEY B. SAN GASPAR</v>
      </c>
      <c r="L1662" s="164" t="str">
        <f ca="1">IFERROR(__xludf.DUMMYFUNCTION("""COMPUTED_VALUE"""),"LTIU")</f>
        <v>LTIU</v>
      </c>
      <c r="M1662" s="164" t="str">
        <f ca="1">IFERROR(__xludf.DUMMYFUNCTION("""COMPUTED_VALUE"""),"SERVICEABLE")</f>
        <v>SERVICEABLE</v>
      </c>
      <c r="N1662" s="164"/>
    </row>
    <row r="1663" spans="1:14" ht="13.2" hidden="1">
      <c r="A1663" s="164" t="str">
        <f ca="1">IFERROR(__xludf.DUMMYFUNCTION("""COMPUTED_VALUE"""),"Region IV-A")</f>
        <v>Region IV-A</v>
      </c>
      <c r="B1663" s="164" t="str">
        <f ca="1">IFERROR(__xludf.DUMMYFUNCTION("""COMPUTED_VALUE"""),"LAGUNA")</f>
        <v>LAGUNA</v>
      </c>
      <c r="C1663" s="164" t="str">
        <f ca="1">IFERROR(__xludf.DUMMYFUNCTION("""COMPUTED_VALUE"""),"DESKTOP COMPUTER – (LENOVO M70T)")</f>
        <v>DESKTOP COMPUTER – (LENOVO M70T)</v>
      </c>
      <c r="D1663" s="164" t="str">
        <f ca="1">IFERROR(__xludf.DUMMYFUNCTION("""COMPUTED_VALUE"""),"₱ 75,468.00")</f>
        <v>₱ 75,468.00</v>
      </c>
      <c r="E1663" s="164" t="str">
        <f ca="1">IFERROR(__xludf.DUMMYFUNCTION("""COMPUTED_VALUE"""),"₱-")</f>
        <v>₱-</v>
      </c>
      <c r="F1663" s="164" t="str">
        <f ca="1">IFERROR(__xludf.DUMMYFUNCTION("""COMPUTED_VALUE"""),"2023-05-03-10201SP909-01")</f>
        <v>2023-05-03-10201SP909-01</v>
      </c>
      <c r="G1663" s="164" t="str">
        <f ca="1">IFERROR(__xludf.DUMMYFUNCTION("""COMPUTED_VALUE"""),"1S11T5S16200GM041AS5")</f>
        <v>1S11T5S16200GM041AS5</v>
      </c>
      <c r="H1663" s="164" t="str">
        <f ca="1">IFERROR(__xludf.DUMMYFUNCTION("""COMPUTED_VALUE"""),"JOSE LUIS EMMANUEL Y. CHAVEZ")</f>
        <v>JOSE LUIS EMMANUEL Y. CHAVEZ</v>
      </c>
      <c r="I1663" s="164" t="str">
        <f ca="1">IFERROR(__xludf.DUMMYFUNCTION("""COMPUTED_VALUE"""),"M&amp;E COORDINATOR")</f>
        <v>M&amp;E COORDINATOR</v>
      </c>
      <c r="J1663" s="164" t="str">
        <f ca="1">IFERROR(__xludf.DUMMYFUNCTION("""COMPUTED_VALUE"""),"2023-06-02-S")</f>
        <v>2023-06-02-S</v>
      </c>
      <c r="K1663" s="164" t="str">
        <f ca="1">IFERROR(__xludf.DUMMYFUNCTION("""COMPUTED_VALUE"""),"JOSE LUIS EMMANUEL Y. CHAVEZ")</f>
        <v>JOSE LUIS EMMANUEL Y. CHAVEZ</v>
      </c>
      <c r="L1663" s="164" t="str">
        <f ca="1">IFERROR(__xludf.DUMMYFUNCTION("""COMPUTED_VALUE"""),"PBD")</f>
        <v>PBD</v>
      </c>
      <c r="M1663" s="164" t="str">
        <f ca="1">IFERROR(__xludf.DUMMYFUNCTION("""COMPUTED_VALUE"""),"SERVICEABLE")</f>
        <v>SERVICEABLE</v>
      </c>
      <c r="N1663" s="164"/>
    </row>
    <row r="1664" spans="1:14" ht="13.2" hidden="1">
      <c r="A1664" s="164" t="str">
        <f ca="1">IFERROR(__xludf.DUMMYFUNCTION("""COMPUTED_VALUE"""),"Region IV-A")</f>
        <v>Region IV-A</v>
      </c>
      <c r="B1664" s="164" t="str">
        <f ca="1">IFERROR(__xludf.DUMMYFUNCTION("""COMPUTED_VALUE"""),"LAGUNA")</f>
        <v>LAGUNA</v>
      </c>
      <c r="C1664" s="164" t="str">
        <f ca="1">IFERROR(__xludf.DUMMYFUNCTION("""COMPUTED_VALUE"""),"DESKTOP COMPUTER – (LENOVO M70T)")</f>
        <v>DESKTOP COMPUTER – (LENOVO M70T)</v>
      </c>
      <c r="D1664" s="164" t="str">
        <f ca="1">IFERROR(__xludf.DUMMYFUNCTION("""COMPUTED_VALUE"""),"₱ 75,468.00")</f>
        <v>₱ 75,468.00</v>
      </c>
      <c r="E1664" s="164" t="str">
        <f ca="1">IFERROR(__xludf.DUMMYFUNCTION("""COMPUTED_VALUE"""),"₱-")</f>
        <v>₱-</v>
      </c>
      <c r="F1664" s="164" t="str">
        <f ca="1">IFERROR(__xludf.DUMMYFUNCTION("""COMPUTED_VALUE"""),"2023-05-03-10201SP910-01")</f>
        <v>2023-05-03-10201SP910-01</v>
      </c>
      <c r="G1664" s="164" t="str">
        <f ca="1">IFERROR(__xludf.DUMMYFUNCTION("""COMPUTED_VALUE"""),"1S11T5S16200GM041B7F")</f>
        <v>1S11T5S16200GM041B7F</v>
      </c>
      <c r="H1664" s="164" t="str">
        <f ca="1">IFERROR(__xludf.DUMMYFUNCTION("""COMPUTED_VALUE"""),"MILA F. MONTEJO")</f>
        <v>MILA F. MONTEJO</v>
      </c>
      <c r="I1664" s="164" t="str">
        <f ca="1">IFERROR(__xludf.DUMMYFUNCTION("""COMPUTED_VALUE"""),"PROJECT CASHIER")</f>
        <v>PROJECT CASHIER</v>
      </c>
      <c r="J1664" s="164" t="str">
        <f ca="1">IFERROR(__xludf.DUMMYFUNCTION("""COMPUTED_VALUE"""),"2023-06-03-S")</f>
        <v>2023-06-03-S</v>
      </c>
      <c r="K1664" s="164" t="str">
        <f ca="1">IFERROR(__xludf.DUMMYFUNCTION("""COMPUTED_VALUE"""),"MILA F. MONTEJO")</f>
        <v>MILA F. MONTEJO</v>
      </c>
      <c r="L1664" s="164" t="str">
        <f ca="1">IFERROR(__xludf.DUMMYFUNCTION("""COMPUTED_VALUE"""),"STOD")</f>
        <v>STOD</v>
      </c>
      <c r="M1664" s="164" t="str">
        <f ca="1">IFERROR(__xludf.DUMMYFUNCTION("""COMPUTED_VALUE"""),"SERVICEABLE")</f>
        <v>SERVICEABLE</v>
      </c>
      <c r="N1664" s="164"/>
    </row>
    <row r="1665" spans="1:14" ht="13.2" hidden="1">
      <c r="A1665" s="164" t="str">
        <f ca="1">IFERROR(__xludf.DUMMYFUNCTION("""COMPUTED_VALUE"""),"Region IV-A")</f>
        <v>Region IV-A</v>
      </c>
      <c r="B1665" s="164" t="str">
        <f ca="1">IFERROR(__xludf.DUMMYFUNCTION("""COMPUTED_VALUE"""),"LAGUNA")</f>
        <v>LAGUNA</v>
      </c>
      <c r="C1665" s="164" t="str">
        <f ca="1">IFERROR(__xludf.DUMMYFUNCTION("""COMPUTED_VALUE"""),"DESKTOP COMPUTER – (LENOVO M70T)")</f>
        <v>DESKTOP COMPUTER – (LENOVO M70T)</v>
      </c>
      <c r="D1665" s="164" t="str">
        <f ca="1">IFERROR(__xludf.DUMMYFUNCTION("""COMPUTED_VALUE"""),"₱ 75,468.00")</f>
        <v>₱ 75,468.00</v>
      </c>
      <c r="E1665" s="164" t="str">
        <f ca="1">IFERROR(__xludf.DUMMYFUNCTION("""COMPUTED_VALUE"""),"₱-")</f>
        <v>₱-</v>
      </c>
      <c r="F1665" s="164" t="str">
        <f ca="1">IFERROR(__xludf.DUMMYFUNCTION("""COMPUTED_VALUE"""),"2023-05-03-10201SP911-01")</f>
        <v>2023-05-03-10201SP911-01</v>
      </c>
      <c r="G1665" s="164" t="str">
        <f ca="1">IFERROR(__xludf.DUMMYFUNCTION("""COMPUTED_VALUE"""),"1S11T5S16200GM0415ZM")</f>
        <v>1S11T5S16200GM0415ZM</v>
      </c>
      <c r="H1665" s="164" t="str">
        <f ca="1">IFERROR(__xludf.DUMMYFUNCTION("""COMPUTED_VALUE"""),"NORBERT S. SUMAGUE")</f>
        <v>NORBERT S. SUMAGUE</v>
      </c>
      <c r="I1665" s="164" t="str">
        <f ca="1">IFERROR(__xludf.DUMMYFUNCTION("""COMPUTED_VALUE"""),"M &amp; E COORDINATOR")</f>
        <v>M &amp; E COORDINATOR</v>
      </c>
      <c r="J1665" s="164" t="str">
        <f ca="1">IFERROR(__xludf.DUMMYFUNCTION("""COMPUTED_VALUE"""),"2023-06-04-S")</f>
        <v>2023-06-04-S</v>
      </c>
      <c r="K1665" s="164" t="str">
        <f ca="1">IFERROR(__xludf.DUMMYFUNCTION("""COMPUTED_VALUE"""),"NORBERT S. SUMAGUE")</f>
        <v>NORBERT S. SUMAGUE</v>
      </c>
      <c r="L1665" s="164" t="str">
        <f ca="1">IFERROR(__xludf.DUMMYFUNCTION("""COMPUTED_VALUE"""),"STOD")</f>
        <v>STOD</v>
      </c>
      <c r="M1665" s="164" t="str">
        <f ca="1">IFERROR(__xludf.DUMMYFUNCTION("""COMPUTED_VALUE"""),"SERVICEABLE")</f>
        <v>SERVICEABLE</v>
      </c>
      <c r="N1665" s="164"/>
    </row>
    <row r="1666" spans="1:14" ht="13.2" hidden="1">
      <c r="A1666" s="164" t="str">
        <f ca="1">IFERROR(__xludf.DUMMYFUNCTION("""COMPUTED_VALUE"""),"Region IV-A")</f>
        <v>Region IV-A</v>
      </c>
      <c r="B1666" s="164" t="str">
        <f ca="1">IFERROR(__xludf.DUMMYFUNCTION("""COMPUTED_VALUE"""),"LAGUNA")</f>
        <v>LAGUNA</v>
      </c>
      <c r="C1666" s="164" t="str">
        <f ca="1">IFERROR(__xludf.DUMMYFUNCTION("""COMPUTED_VALUE"""),"DESKTOP COMPUTER – (LENOVO M70T)")</f>
        <v>DESKTOP COMPUTER – (LENOVO M70T)</v>
      </c>
      <c r="D1666" s="164" t="str">
        <f ca="1">IFERROR(__xludf.DUMMYFUNCTION("""COMPUTED_VALUE"""),"₱ 75,468.00")</f>
        <v>₱ 75,468.00</v>
      </c>
      <c r="E1666" s="164" t="str">
        <f ca="1">IFERROR(__xludf.DUMMYFUNCTION("""COMPUTED_VALUE"""),"₱-")</f>
        <v>₱-</v>
      </c>
      <c r="F1666" s="164" t="str">
        <f ca="1">IFERROR(__xludf.DUMMYFUNCTION("""COMPUTED_VALUE"""),"2023-05-03-10201SP912-01")</f>
        <v>2023-05-03-10201SP912-01</v>
      </c>
      <c r="G1666" s="164" t="str">
        <f ca="1">IFERROR(__xludf.DUMMYFUNCTION("""COMPUTED_VALUE"""),"1S11T5S16200GM041609")</f>
        <v>1S11T5S16200GM041609</v>
      </c>
      <c r="H1666" s="164" t="str">
        <f ca="1">IFERROR(__xludf.DUMMYFUNCTION("""COMPUTED_VALUE"""),"LEXANE P. SANTOS")</f>
        <v>LEXANE P. SANTOS</v>
      </c>
      <c r="I1666" s="164" t="str">
        <f ca="1">IFERROR(__xludf.DUMMYFUNCTION("""COMPUTED_VALUE"""),"PROJECT ACCOUNTANT")</f>
        <v>PROJECT ACCOUNTANT</v>
      </c>
      <c r="J1666" s="164" t="str">
        <f ca="1">IFERROR(__xludf.DUMMYFUNCTION("""COMPUTED_VALUE"""),"2023-06-05-S")</f>
        <v>2023-06-05-S</v>
      </c>
      <c r="K1666" s="164" t="str">
        <f ca="1">IFERROR(__xludf.DUMMYFUNCTION("""COMPUTED_VALUE"""),"LEXANE P. SANTOS")</f>
        <v>LEXANE P. SANTOS</v>
      </c>
      <c r="L1666" s="164" t="str">
        <f ca="1">IFERROR(__xludf.DUMMYFUNCTION("""COMPUTED_VALUE"""),"STOD")</f>
        <v>STOD</v>
      </c>
      <c r="M1666" s="164" t="str">
        <f ca="1">IFERROR(__xludf.DUMMYFUNCTION("""COMPUTED_VALUE"""),"SERVICEABLE")</f>
        <v>SERVICEABLE</v>
      </c>
      <c r="N1666" s="164"/>
    </row>
    <row r="1667" spans="1:14" ht="13.2" hidden="1">
      <c r="A1667" s="164" t="str">
        <f ca="1">IFERROR(__xludf.DUMMYFUNCTION("""COMPUTED_VALUE"""),"Region IV-A")</f>
        <v>Region IV-A</v>
      </c>
      <c r="B1667" s="164" t="str">
        <f ca="1">IFERROR(__xludf.DUMMYFUNCTION("""COMPUTED_VALUE"""),"LAGUNA")</f>
        <v>LAGUNA</v>
      </c>
      <c r="C1667" s="164" t="str">
        <f ca="1">IFERROR(__xludf.DUMMYFUNCTION("""COMPUTED_VALUE"""),"DESKTOP COMPUTER – (LENOVO M70T)")</f>
        <v>DESKTOP COMPUTER – (LENOVO M70T)</v>
      </c>
      <c r="D1667" s="164" t="str">
        <f ca="1">IFERROR(__xludf.DUMMYFUNCTION("""COMPUTED_VALUE"""),"₱ 75,468.00")</f>
        <v>₱ 75,468.00</v>
      </c>
      <c r="E1667" s="164" t="str">
        <f ca="1">IFERROR(__xludf.DUMMYFUNCTION("""COMPUTED_VALUE"""),"₱-")</f>
        <v>₱-</v>
      </c>
      <c r="F1667" s="164" t="str">
        <f ca="1">IFERROR(__xludf.DUMMYFUNCTION("""COMPUTED_VALUE"""),"2023-05-03-10201SP913-01")</f>
        <v>2023-05-03-10201SP913-01</v>
      </c>
      <c r="G1667" s="164" t="str">
        <f ca="1">IFERROR(__xludf.DUMMYFUNCTION("""COMPUTED_VALUE"""),"1S11T5S16200GM0415TH")</f>
        <v>1S11T5S16200GM0415TH</v>
      </c>
      <c r="H1667" s="164" t="str">
        <f ca="1">IFERROR(__xludf.DUMMYFUNCTION("""COMPUTED_VALUE"""),"ELIZABETH S. ESPIRITU")</f>
        <v>ELIZABETH S. ESPIRITU</v>
      </c>
      <c r="I1667" s="164" t="str">
        <f ca="1">IFERROR(__xludf.DUMMYFUNCTION("""COMPUTED_VALUE"""),"PROJECT BUDGET OFFICER")</f>
        <v>PROJECT BUDGET OFFICER</v>
      </c>
      <c r="J1667" s="164" t="str">
        <f ca="1">IFERROR(__xludf.DUMMYFUNCTION("""COMPUTED_VALUE"""),"2023-06-06-S")</f>
        <v>2023-06-06-S</v>
      </c>
      <c r="K1667" s="164" t="str">
        <f ca="1">IFERROR(__xludf.DUMMYFUNCTION("""COMPUTED_VALUE"""),"ELIZABETH S. ESPIRITU")</f>
        <v>ELIZABETH S. ESPIRITU</v>
      </c>
      <c r="L1667" s="164" t="str">
        <f ca="1">IFERROR(__xludf.DUMMYFUNCTION("""COMPUTED_VALUE"""),"STOD")</f>
        <v>STOD</v>
      </c>
      <c r="M1667" s="164" t="str">
        <f ca="1">IFERROR(__xludf.DUMMYFUNCTION("""COMPUTED_VALUE"""),"SERVICEABLE")</f>
        <v>SERVICEABLE</v>
      </c>
      <c r="N1667" s="164"/>
    </row>
    <row r="1668" spans="1:14" ht="13.2" hidden="1">
      <c r="A1668" s="164" t="str">
        <f ca="1">IFERROR(__xludf.DUMMYFUNCTION("""COMPUTED_VALUE"""),"Region IV-A")</f>
        <v>Region IV-A</v>
      </c>
      <c r="B1668" s="164" t="str">
        <f ca="1">IFERROR(__xludf.DUMMYFUNCTION("""COMPUTED_VALUE"""),"LAGUNA")</f>
        <v>LAGUNA</v>
      </c>
      <c r="C1668" s="164" t="str">
        <f ca="1">IFERROR(__xludf.DUMMYFUNCTION("""COMPUTED_VALUE"""),"DESKTOP COMPUTER – (LENOVO M70T)")</f>
        <v>DESKTOP COMPUTER – (LENOVO M70T)</v>
      </c>
      <c r="D1668" s="164" t="str">
        <f ca="1">IFERROR(__xludf.DUMMYFUNCTION("""COMPUTED_VALUE"""),"₱ 75,468.00")</f>
        <v>₱ 75,468.00</v>
      </c>
      <c r="E1668" s="164" t="str">
        <f ca="1">IFERROR(__xludf.DUMMYFUNCTION("""COMPUTED_VALUE"""),"₱-")</f>
        <v>₱-</v>
      </c>
      <c r="F1668" s="164" t="str">
        <f ca="1">IFERROR(__xludf.DUMMYFUNCTION("""COMPUTED_VALUE"""),"2023-05-03-10201SP914-01")</f>
        <v>2023-05-03-10201SP914-01</v>
      </c>
      <c r="G1668" s="164" t="str">
        <f ca="1">IFERROR(__xludf.DUMMYFUNCTION("""COMPUTED_VALUE"""),"1S11T5S16200GM0415Y3")</f>
        <v>1S11T5S16200GM0415Y3</v>
      </c>
      <c r="H1668" s="164" t="str">
        <f ca="1">IFERROR(__xludf.DUMMYFUNCTION("""COMPUTED_VALUE"""),"ATTY. PERSEUS A. ANTIGUA")</f>
        <v>ATTY. PERSEUS A. ANTIGUA</v>
      </c>
      <c r="I1668" s="164" t="str">
        <f ca="1">IFERROR(__xludf.DUMMYFUNCTION("""COMPUTED_VALUE"""),"LEGAL COORDINATOR")</f>
        <v>LEGAL COORDINATOR</v>
      </c>
      <c r="J1668" s="164" t="str">
        <f ca="1">IFERROR(__xludf.DUMMYFUNCTION("""COMPUTED_VALUE"""),"2023-06-07-S")</f>
        <v>2023-06-07-S</v>
      </c>
      <c r="K1668" s="164" t="str">
        <f ca="1">IFERROR(__xludf.DUMMYFUNCTION("""COMPUTED_VALUE"""),"ATTY. PERSEUS A. ANTIGUA")</f>
        <v>ATTY. PERSEUS A. ANTIGUA</v>
      </c>
      <c r="L1668" s="164" t="str">
        <f ca="1">IFERROR(__xludf.DUMMYFUNCTION("""COMPUTED_VALUE"""),"LEGAL")</f>
        <v>LEGAL</v>
      </c>
      <c r="M1668" s="164" t="str">
        <f ca="1">IFERROR(__xludf.DUMMYFUNCTION("""COMPUTED_VALUE"""),"SERVICEABLE")</f>
        <v>SERVICEABLE</v>
      </c>
      <c r="N1668" s="164"/>
    </row>
    <row r="1669" spans="1:14" ht="13.2" hidden="1">
      <c r="A1669" s="164" t="str">
        <f ca="1">IFERROR(__xludf.DUMMYFUNCTION("""COMPUTED_VALUE"""),"Region IV-A")</f>
        <v>Region IV-A</v>
      </c>
      <c r="B1669" s="164" t="str">
        <f ca="1">IFERROR(__xludf.DUMMYFUNCTION("""COMPUTED_VALUE"""),"LAGUNA")</f>
        <v>LAGUNA</v>
      </c>
      <c r="C1669" s="164" t="str">
        <f ca="1">IFERROR(__xludf.DUMMYFUNCTION("""COMPUTED_VALUE"""),"DESKTOP COMPUTER – (LENOVO M70T)")</f>
        <v>DESKTOP COMPUTER – (LENOVO M70T)</v>
      </c>
      <c r="D1669" s="164" t="str">
        <f ca="1">IFERROR(__xludf.DUMMYFUNCTION("""COMPUTED_VALUE"""),"₱ 75,468.00")</f>
        <v>₱ 75,468.00</v>
      </c>
      <c r="E1669" s="164" t="str">
        <f ca="1">IFERROR(__xludf.DUMMYFUNCTION("""COMPUTED_VALUE"""),"₱-")</f>
        <v>₱-</v>
      </c>
      <c r="F1669" s="164" t="str">
        <f ca="1">IFERROR(__xludf.DUMMYFUNCTION("""COMPUTED_VALUE"""),"2023-05-03-10201SP915-01")</f>
        <v>2023-05-03-10201SP915-01</v>
      </c>
      <c r="G1669" s="164" t="str">
        <f ca="1">IFERROR(__xludf.DUMMYFUNCTION("""COMPUTED_VALUE"""),"1S11T5S16200GM04160B")</f>
        <v>1S11T5S16200GM04160B</v>
      </c>
      <c r="H1669" s="164" t="str">
        <f ca="1">IFERROR(__xludf.DUMMYFUNCTION("""COMPUTED_VALUE"""),"RAMIL O. MONTEJO")</f>
        <v>RAMIL O. MONTEJO</v>
      </c>
      <c r="I1669" s="164" t="str">
        <f ca="1">IFERROR(__xludf.DUMMYFUNCTION("""COMPUTED_VALUE"""),"LRA-ROD SURVEY COORDINATOR")</f>
        <v>LRA-ROD SURVEY COORDINATOR</v>
      </c>
      <c r="J1669" s="164" t="str">
        <f ca="1">IFERROR(__xludf.DUMMYFUNCTION("""COMPUTED_VALUE"""),"2023-06-08-S")</f>
        <v>2023-06-08-S</v>
      </c>
      <c r="K1669" s="164" t="str">
        <f ca="1">IFERROR(__xludf.DUMMYFUNCTION("""COMPUTED_VALUE"""),"RAMIL O. MONTEJO")</f>
        <v>RAMIL O. MONTEJO</v>
      </c>
      <c r="L1669" s="164" t="str">
        <f ca="1">IFERROR(__xludf.DUMMYFUNCTION("""COMPUTED_VALUE"""),"LTIU")</f>
        <v>LTIU</v>
      </c>
      <c r="M1669" s="164" t="str">
        <f ca="1">IFERROR(__xludf.DUMMYFUNCTION("""COMPUTED_VALUE"""),"SERVICEABLE")</f>
        <v>SERVICEABLE</v>
      </c>
      <c r="N1669" s="164"/>
    </row>
    <row r="1670" spans="1:14" ht="13.2" hidden="1">
      <c r="A1670" s="164" t="str">
        <f ca="1">IFERROR(__xludf.DUMMYFUNCTION("""COMPUTED_VALUE"""),"Region IV-A")</f>
        <v>Region IV-A</v>
      </c>
      <c r="B1670" s="164" t="str">
        <f ca="1">IFERROR(__xludf.DUMMYFUNCTION("""COMPUTED_VALUE"""),"LAGUNA")</f>
        <v>LAGUNA</v>
      </c>
      <c r="C1670" s="164" t="str">
        <f ca="1">IFERROR(__xludf.DUMMYFUNCTION("""COMPUTED_VALUE"""),"DESKTOP COMPUTER – (LENOVO M70T)")</f>
        <v>DESKTOP COMPUTER – (LENOVO M70T)</v>
      </c>
      <c r="D1670" s="164" t="str">
        <f ca="1">IFERROR(__xludf.DUMMYFUNCTION("""COMPUTED_VALUE"""),"₱ 75,468.00")</f>
        <v>₱ 75,468.00</v>
      </c>
      <c r="E1670" s="164" t="str">
        <f ca="1">IFERROR(__xludf.DUMMYFUNCTION("""COMPUTED_VALUE"""),"₱-")</f>
        <v>₱-</v>
      </c>
      <c r="F1670" s="164" t="str">
        <f ca="1">IFERROR(__xludf.DUMMYFUNCTION("""COMPUTED_VALUE"""),"2023-05-03-10201SP916-01")</f>
        <v>2023-05-03-10201SP916-01</v>
      </c>
      <c r="G1670" s="164" t="str">
        <f ca="1">IFERROR(__xludf.DUMMYFUNCTION("""COMPUTED_VALUE"""),"1S11T5S16200GM0415ZV")</f>
        <v>1S11T5S16200GM0415ZV</v>
      </c>
      <c r="H1670" s="164" t="str">
        <f ca="1">IFERROR(__xludf.DUMMYFUNCTION("""COMPUTED_VALUE"""),"DIVINA P. TORRES")</f>
        <v>DIVINA P. TORRES</v>
      </c>
      <c r="I1670" s="164" t="str">
        <f ca="1">IFERROR(__xludf.DUMMYFUNCTION("""COMPUTED_VALUE"""),"PARCELIZATION COMPONENT AND FVT COORDINATOR")</f>
        <v>PARCELIZATION COMPONENT AND FVT COORDINATOR</v>
      </c>
      <c r="J1670" s="164" t="str">
        <f ca="1">IFERROR(__xludf.DUMMYFUNCTION("""COMPUTED_VALUE"""),"2023-06-09-S")</f>
        <v>2023-06-09-S</v>
      </c>
      <c r="K1670" s="164" t="str">
        <f ca="1">IFERROR(__xludf.DUMMYFUNCTION("""COMPUTED_VALUE"""),"DIVINA P. TORRES")</f>
        <v>DIVINA P. TORRES</v>
      </c>
      <c r="L1670" s="164" t="str">
        <f ca="1">IFERROR(__xludf.DUMMYFUNCTION("""COMPUTED_VALUE"""),"LTIU")</f>
        <v>LTIU</v>
      </c>
      <c r="M1670" s="164" t="str">
        <f ca="1">IFERROR(__xludf.DUMMYFUNCTION("""COMPUTED_VALUE"""),"SERVICEABLE")</f>
        <v>SERVICEABLE</v>
      </c>
      <c r="N1670" s="164"/>
    </row>
    <row r="1671" spans="1:14" ht="13.2" hidden="1">
      <c r="A1671" s="164" t="str">
        <f ca="1">IFERROR(__xludf.DUMMYFUNCTION("""COMPUTED_VALUE"""),"Region IV-A")</f>
        <v>Region IV-A</v>
      </c>
      <c r="B1671" s="164" t="str">
        <f ca="1">IFERROR(__xludf.DUMMYFUNCTION("""COMPUTED_VALUE"""),"LAGUNA")</f>
        <v>LAGUNA</v>
      </c>
      <c r="C1671" s="164" t="str">
        <f ca="1">IFERROR(__xludf.DUMMYFUNCTION("""COMPUTED_VALUE"""),"DESKTOP COMPUTER – (LENOVO M70T)")</f>
        <v>DESKTOP COMPUTER – (LENOVO M70T)</v>
      </c>
      <c r="D1671" s="164" t="str">
        <f ca="1">IFERROR(__xludf.DUMMYFUNCTION("""COMPUTED_VALUE"""),"₱ 75,468.00")</f>
        <v>₱ 75,468.00</v>
      </c>
      <c r="E1671" s="164" t="str">
        <f ca="1">IFERROR(__xludf.DUMMYFUNCTION("""COMPUTED_VALUE"""),"₱-")</f>
        <v>₱-</v>
      </c>
      <c r="F1671" s="164" t="str">
        <f ca="1">IFERROR(__xludf.DUMMYFUNCTION("""COMPUTED_VALUE"""),"2023-05-03-10201SP917-01")</f>
        <v>2023-05-03-10201SP917-01</v>
      </c>
      <c r="G1671" s="164" t="str">
        <f ca="1">IFERROR(__xludf.DUMMYFUNCTION("""COMPUTED_VALUE"""),"1S11T5S16200GM041AXB")</f>
        <v>1S11T5S16200GM041AXB</v>
      </c>
      <c r="H1671" s="164" t="str">
        <f ca="1">IFERROR(__xludf.DUMMYFUNCTION("""COMPUTED_VALUE"""),"GIL M. CRUZ")</f>
        <v>GIL M. CRUZ</v>
      </c>
      <c r="I1671" s="164" t="str">
        <f ca="1">IFERROR(__xludf.DUMMYFUNCTION("""COMPUTED_VALUE"""),"PROJECT PROCUREMENT OFFICER")</f>
        <v>PROJECT PROCUREMENT OFFICER</v>
      </c>
      <c r="J1671" s="164" t="str">
        <f ca="1">IFERROR(__xludf.DUMMYFUNCTION("""COMPUTED_VALUE"""),"2023-06-10-S")</f>
        <v>2023-06-10-S</v>
      </c>
      <c r="K1671" s="164" t="str">
        <f ca="1">IFERROR(__xludf.DUMMYFUNCTION("""COMPUTED_VALUE"""),"GIL M. CRUZ")</f>
        <v>GIL M. CRUZ</v>
      </c>
      <c r="L1671" s="164" t="str">
        <f ca="1">IFERROR(__xludf.DUMMYFUNCTION("""COMPUTED_VALUE"""),"STOD")</f>
        <v>STOD</v>
      </c>
      <c r="M1671" s="164" t="str">
        <f ca="1">IFERROR(__xludf.DUMMYFUNCTION("""COMPUTED_VALUE"""),"SERVICEABLE")</f>
        <v>SERVICEABLE</v>
      </c>
      <c r="N1671" s="164"/>
    </row>
    <row r="1672" spans="1:14" ht="13.2" hidden="1">
      <c r="A1672" s="164" t="str">
        <f ca="1">IFERROR(__xludf.DUMMYFUNCTION("""COMPUTED_VALUE"""),"Region IV-A")</f>
        <v>Region IV-A</v>
      </c>
      <c r="B1672" s="164" t="str">
        <f ca="1">IFERROR(__xludf.DUMMYFUNCTION("""COMPUTED_VALUE"""),"LAGUNA")</f>
        <v>LAGUNA</v>
      </c>
      <c r="C1672" s="164" t="str">
        <f ca="1">IFERROR(__xludf.DUMMYFUNCTION("""COMPUTED_VALUE"""),"DESKTOP COMPUTER – (LENOVO M70T)")</f>
        <v>DESKTOP COMPUTER – (LENOVO M70T)</v>
      </c>
      <c r="D1672" s="164" t="str">
        <f ca="1">IFERROR(__xludf.DUMMYFUNCTION("""COMPUTED_VALUE"""),"₱ 75,468.00")</f>
        <v>₱ 75,468.00</v>
      </c>
      <c r="E1672" s="164" t="str">
        <f ca="1">IFERROR(__xludf.DUMMYFUNCTION("""COMPUTED_VALUE"""),"₱-")</f>
        <v>₱-</v>
      </c>
      <c r="F1672" s="164" t="str">
        <f ca="1">IFERROR(__xludf.DUMMYFUNCTION("""COMPUTED_VALUE"""),"2023-05-03-10201SP918-01")</f>
        <v>2023-05-03-10201SP918-01</v>
      </c>
      <c r="G1672" s="164" t="str">
        <f ca="1">IFERROR(__xludf.DUMMYFUNCTION("""COMPUTED_VALUE"""),"1S11T5S16200GM0415R8")</f>
        <v>1S11T5S16200GM0415R8</v>
      </c>
      <c r="H1672" s="164" t="str">
        <f ca="1">IFERROR(__xludf.DUMMYFUNCTION("""COMPUTED_VALUE"""),"LARINA E. LOPEZ")</f>
        <v>LARINA E. LOPEZ</v>
      </c>
      <c r="I1672" s="164" t="str">
        <f ca="1">IFERROR(__xludf.DUMMYFUNCTION("""COMPUTED_VALUE"""),"TS2-ADMINISTRATIVE AND FINANCE OFFICER/CBTA FOR IMPLEMENTERS")</f>
        <v>TS2-ADMINISTRATIVE AND FINANCE OFFICER/CBTA FOR IMPLEMENTERS</v>
      </c>
      <c r="J1672" s="164" t="str">
        <f ca="1">IFERROR(__xludf.DUMMYFUNCTION("""COMPUTED_VALUE"""),"2023-08-11-S")</f>
        <v>2023-08-11-S</v>
      </c>
      <c r="K1672" s="164" t="str">
        <f ca="1">IFERROR(__xludf.DUMMYFUNCTION("""COMPUTED_VALUE"""),"JESSICA ASEDILLO")</f>
        <v>JESSICA ASEDILLO</v>
      </c>
      <c r="L1672" s="164" t="str">
        <f ca="1">IFERROR(__xludf.DUMMYFUNCTION("""COMPUTED_VALUE"""),"SPLIT OFFICE")</f>
        <v>SPLIT OFFICE</v>
      </c>
      <c r="M1672" s="164" t="str">
        <f ca="1">IFERROR(__xludf.DUMMYFUNCTION("""COMPUTED_VALUE"""),"SERVICEABLE")</f>
        <v>SERVICEABLE</v>
      </c>
      <c r="N1672" s="164"/>
    </row>
    <row r="1673" spans="1:14" ht="13.2" hidden="1">
      <c r="A1673" s="164" t="str">
        <f ca="1">IFERROR(__xludf.DUMMYFUNCTION("""COMPUTED_VALUE"""),"Region IV-A")</f>
        <v>Region IV-A</v>
      </c>
      <c r="B1673" s="164" t="str">
        <f ca="1">IFERROR(__xludf.DUMMYFUNCTION("""COMPUTED_VALUE"""),"LAGUNA")</f>
        <v>LAGUNA</v>
      </c>
      <c r="C1673" s="164" t="str">
        <f ca="1">IFERROR(__xludf.DUMMYFUNCTION("""COMPUTED_VALUE"""),"DESKTOP COMPUTER – (LENOVO M70T)")</f>
        <v>DESKTOP COMPUTER – (LENOVO M70T)</v>
      </c>
      <c r="D1673" s="164" t="str">
        <f ca="1">IFERROR(__xludf.DUMMYFUNCTION("""COMPUTED_VALUE"""),"₱ 75,468.00")</f>
        <v>₱ 75,468.00</v>
      </c>
      <c r="E1673" s="164" t="str">
        <f ca="1">IFERROR(__xludf.DUMMYFUNCTION("""COMPUTED_VALUE"""),"₱-")</f>
        <v>₱-</v>
      </c>
      <c r="F1673" s="164" t="str">
        <f ca="1">IFERROR(__xludf.DUMMYFUNCTION("""COMPUTED_VALUE"""),"2023-05-03-10201SP919-01")</f>
        <v>2023-05-03-10201SP919-01</v>
      </c>
      <c r="G1673" s="164" t="str">
        <f ca="1">IFERROR(__xludf.DUMMYFUNCTION("""COMPUTED_VALUE"""),"1S11T5S16200GM0418H0")</f>
        <v>1S11T5S16200GM0418H0</v>
      </c>
      <c r="H1673" s="164" t="str">
        <f ca="1">IFERROR(__xludf.DUMMYFUNCTION("""COMPUTED_VALUE"""),"CAROLINA L. LIZPO")</f>
        <v>CAROLINA L. LIZPO</v>
      </c>
      <c r="I1673" s="164" t="str">
        <f ca="1">IFERROR(__xludf.DUMMYFUNCTION("""COMPUTED_VALUE"""),"CBTA COORDINATOR")</f>
        <v>CBTA COORDINATOR</v>
      </c>
      <c r="J1673" s="164" t="str">
        <f ca="1">IFERROR(__xludf.DUMMYFUNCTION("""COMPUTED_VALUE"""),"2023-06-12-S")</f>
        <v>2023-06-12-S</v>
      </c>
      <c r="K1673" s="164" t="str">
        <f ca="1">IFERROR(__xludf.DUMMYFUNCTION("""COMPUTED_VALUE"""),"CAROLINA L. LIZPO")</f>
        <v>CAROLINA L. LIZPO</v>
      </c>
      <c r="L1673" s="164" t="str">
        <f ca="1">IFERROR(__xludf.DUMMYFUNCTION("""COMPUTED_VALUE"""),"LTIU")</f>
        <v>LTIU</v>
      </c>
      <c r="M1673" s="164" t="str">
        <f ca="1">IFERROR(__xludf.DUMMYFUNCTION("""COMPUTED_VALUE"""),"SERVICEABLE")</f>
        <v>SERVICEABLE</v>
      </c>
      <c r="N1673" s="164"/>
    </row>
    <row r="1674" spans="1:14" ht="13.2" hidden="1">
      <c r="A1674" s="164" t="str">
        <f ca="1">IFERROR(__xludf.DUMMYFUNCTION("""COMPUTED_VALUE"""),"Region IV-A")</f>
        <v>Region IV-A</v>
      </c>
      <c r="B1674" s="164" t="str">
        <f ca="1">IFERROR(__xludf.DUMMYFUNCTION("""COMPUTED_VALUE"""),"QUEZON I")</f>
        <v>QUEZON I</v>
      </c>
      <c r="C1674" s="164" t="str">
        <f ca="1">IFERROR(__xludf.DUMMYFUNCTION("""COMPUTED_VALUE"""),"DESKTOP COMPUTER – (LENOVO M70T)")</f>
        <v>DESKTOP COMPUTER – (LENOVO M70T)</v>
      </c>
      <c r="D1674" s="164" t="str">
        <f ca="1">IFERROR(__xludf.DUMMYFUNCTION("""COMPUTED_VALUE"""),"₱ 75,468.00")</f>
        <v>₱ 75,468.00</v>
      </c>
      <c r="E1674" s="164" t="str">
        <f ca="1">IFERROR(__xludf.DUMMYFUNCTION("""COMPUTED_VALUE"""),"₱-")</f>
        <v>₱-</v>
      </c>
      <c r="F1674" s="164" t="str">
        <f ca="1">IFERROR(__xludf.DUMMYFUNCTION("""COMPUTED_VALUE"""),"2023-05-03-10201SP920-01")</f>
        <v>2023-05-03-10201SP920-01</v>
      </c>
      <c r="G1674" s="164" t="str">
        <f ca="1">IFERROR(__xludf.DUMMYFUNCTION("""COMPUTED_VALUE"""),"1S11T5S16200GM041ASF")</f>
        <v>1S11T5S16200GM041ASF</v>
      </c>
      <c r="H1674" s="164" t="str">
        <f ca="1">IFERROR(__xludf.DUMMYFUNCTION("""COMPUTED_VALUE"""),"ODETTE F. MUROS")</f>
        <v>ODETTE F. MUROS</v>
      </c>
      <c r="I1674" s="164" t="str">
        <f ca="1">IFERROR(__xludf.DUMMYFUNCTION("""COMPUTED_VALUE"""),"CAO/Admin and Finance Coordinator")</f>
        <v>CAO/Admin and Finance Coordinator</v>
      </c>
      <c r="J1674" s="164" t="str">
        <f ca="1">IFERROR(__xludf.DUMMYFUNCTION("""COMPUTED_VALUE"""),"008-04-2023")</f>
        <v>008-04-2023</v>
      </c>
      <c r="K1674" s="164" t="str">
        <f ca="1">IFERROR(__xludf.DUMMYFUNCTION("""COMPUTED_VALUE"""),"ODETTE F. MUROS")</f>
        <v>ODETTE F. MUROS</v>
      </c>
      <c r="L1674" s="164" t="str">
        <f ca="1">IFERROR(__xludf.DUMMYFUNCTION("""COMPUTED_VALUE"""),"DARPO QUEZON I")</f>
        <v>DARPO QUEZON I</v>
      </c>
      <c r="M1674" s="164" t="str">
        <f ca="1">IFERROR(__xludf.DUMMYFUNCTION("""COMPUTED_VALUE"""),"SERVICEABLE")</f>
        <v>SERVICEABLE</v>
      </c>
      <c r="N1674" s="164"/>
    </row>
    <row r="1675" spans="1:14" ht="13.2" hidden="1">
      <c r="A1675" s="164" t="str">
        <f ca="1">IFERROR(__xludf.DUMMYFUNCTION("""COMPUTED_VALUE"""),"Region IV-A")</f>
        <v>Region IV-A</v>
      </c>
      <c r="B1675" s="164" t="str">
        <f ca="1">IFERROR(__xludf.DUMMYFUNCTION("""COMPUTED_VALUE"""),"QUEZON I")</f>
        <v>QUEZON I</v>
      </c>
      <c r="C1675" s="164" t="str">
        <f ca="1">IFERROR(__xludf.DUMMYFUNCTION("""COMPUTED_VALUE"""),"DESKTOP COMPUTER – (LENOVO M70T)")</f>
        <v>DESKTOP COMPUTER – (LENOVO M70T)</v>
      </c>
      <c r="D1675" s="164" t="str">
        <f ca="1">IFERROR(__xludf.DUMMYFUNCTION("""COMPUTED_VALUE"""),"₱ 75,468.00")</f>
        <v>₱ 75,468.00</v>
      </c>
      <c r="E1675" s="164" t="str">
        <f ca="1">IFERROR(__xludf.DUMMYFUNCTION("""COMPUTED_VALUE"""),"₱-")</f>
        <v>₱-</v>
      </c>
      <c r="F1675" s="164" t="str">
        <f ca="1">IFERROR(__xludf.DUMMYFUNCTION("""COMPUTED_VALUE"""),"2023-05-03-10201SP921-01")</f>
        <v>2023-05-03-10201SP921-01</v>
      </c>
      <c r="G1675" s="164" t="str">
        <f ca="1">IFERROR(__xludf.DUMMYFUNCTION("""COMPUTED_VALUE"""),"1S11T5S16200GM041AYW")</f>
        <v>1S11T5S16200GM041AYW</v>
      </c>
      <c r="H1675" s="164" t="str">
        <f ca="1">IFERROR(__xludf.DUMMYFUNCTION("""COMPUTED_VALUE"""),"LEA B. RODIL")</f>
        <v>LEA B. RODIL</v>
      </c>
      <c r="I1675" s="164" t="str">
        <f ca="1">IFERROR(__xludf.DUMMYFUNCTION("""COMPUTED_VALUE"""),"AO IV/Project Procurement Officer")</f>
        <v>AO IV/Project Procurement Officer</v>
      </c>
      <c r="J1675" s="164" t="str">
        <f ca="1">IFERROR(__xludf.DUMMYFUNCTION("""COMPUTED_VALUE"""),"003-04-2023")</f>
        <v>003-04-2023</v>
      </c>
      <c r="K1675" s="164" t="str">
        <f ca="1">IFERROR(__xludf.DUMMYFUNCTION("""COMPUTED_VALUE"""),"DONALDO I. AFABLE")</f>
        <v>DONALDO I. AFABLE</v>
      </c>
      <c r="L1675" s="164" t="str">
        <f ca="1">IFERROR(__xludf.DUMMYFUNCTION("""COMPUTED_VALUE"""),"DARPO QUEZON I")</f>
        <v>DARPO QUEZON I</v>
      </c>
      <c r="M1675" s="164" t="str">
        <f ca="1">IFERROR(__xludf.DUMMYFUNCTION("""COMPUTED_VALUE"""),"SERVICEABLE")</f>
        <v>SERVICEABLE</v>
      </c>
      <c r="N1675" s="164"/>
    </row>
    <row r="1676" spans="1:14" ht="13.2" hidden="1">
      <c r="A1676" s="164" t="str">
        <f ca="1">IFERROR(__xludf.DUMMYFUNCTION("""COMPUTED_VALUE"""),"Region IV-A")</f>
        <v>Region IV-A</v>
      </c>
      <c r="B1676" s="164" t="str">
        <f ca="1">IFERROR(__xludf.DUMMYFUNCTION("""COMPUTED_VALUE"""),"QUEZON I")</f>
        <v>QUEZON I</v>
      </c>
      <c r="C1676" s="164" t="str">
        <f ca="1">IFERROR(__xludf.DUMMYFUNCTION("""COMPUTED_VALUE"""),"DESKTOP COMPUTER – (LENOVO M70T)")</f>
        <v>DESKTOP COMPUTER – (LENOVO M70T)</v>
      </c>
      <c r="D1676" s="164" t="str">
        <f ca="1">IFERROR(__xludf.DUMMYFUNCTION("""COMPUTED_VALUE"""),"₱ 75,468.00")</f>
        <v>₱ 75,468.00</v>
      </c>
      <c r="E1676" s="164" t="str">
        <f ca="1">IFERROR(__xludf.DUMMYFUNCTION("""COMPUTED_VALUE"""),"₱-")</f>
        <v>₱-</v>
      </c>
      <c r="F1676" s="164" t="str">
        <f ca="1">IFERROR(__xludf.DUMMYFUNCTION("""COMPUTED_VALUE"""),"2023-05-03-10201SP922-01")</f>
        <v>2023-05-03-10201SP922-01</v>
      </c>
      <c r="G1676" s="164" t="str">
        <f ca="1">IFERROR(__xludf.DUMMYFUNCTION("""COMPUTED_VALUE"""),"1S11T5S16200GM0415TG")</f>
        <v>1S11T5S16200GM0415TG</v>
      </c>
      <c r="H1676" s="164" t="str">
        <f ca="1">IFERROR(__xludf.DUMMYFUNCTION("""COMPUTED_VALUE"""),"RIZZA MAE EUD")</f>
        <v>RIZZA MAE EUD</v>
      </c>
      <c r="I1676" s="164" t="str">
        <f ca="1">IFERROR(__xludf.DUMMYFUNCTION("""COMPUTED_VALUE"""),"ARPT/Project Accountant")</f>
        <v>ARPT/Project Accountant</v>
      </c>
      <c r="J1676" s="164" t="str">
        <f ca="1">IFERROR(__xludf.DUMMYFUNCTION("""COMPUTED_VALUE"""),"001-04-2023")</f>
        <v>001-04-2023</v>
      </c>
      <c r="K1676" s="164" t="str">
        <f ca="1">IFERROR(__xludf.DUMMYFUNCTION("""COMPUTED_VALUE"""),"CHRISTAL LANUZA")</f>
        <v>CHRISTAL LANUZA</v>
      </c>
      <c r="L1676" s="164" t="str">
        <f ca="1">IFERROR(__xludf.DUMMYFUNCTION("""COMPUTED_VALUE"""),"DARPO QUEZON I")</f>
        <v>DARPO QUEZON I</v>
      </c>
      <c r="M1676" s="164" t="str">
        <f ca="1">IFERROR(__xludf.DUMMYFUNCTION("""COMPUTED_VALUE"""),"SERVICEABLE")</f>
        <v>SERVICEABLE</v>
      </c>
      <c r="N1676" s="164"/>
    </row>
    <row r="1677" spans="1:14" ht="13.2" hidden="1">
      <c r="A1677" s="164" t="str">
        <f ca="1">IFERROR(__xludf.DUMMYFUNCTION("""COMPUTED_VALUE"""),"Region IV-A")</f>
        <v>Region IV-A</v>
      </c>
      <c r="B1677" s="164" t="str">
        <f ca="1">IFERROR(__xludf.DUMMYFUNCTION("""COMPUTED_VALUE"""),"QUEZON I")</f>
        <v>QUEZON I</v>
      </c>
      <c r="C1677" s="164" t="str">
        <f ca="1">IFERROR(__xludf.DUMMYFUNCTION("""COMPUTED_VALUE"""),"DESKTOP COMPUTER – (LENOVO M70T)")</f>
        <v>DESKTOP COMPUTER – (LENOVO M70T)</v>
      </c>
      <c r="D1677" s="164" t="str">
        <f ca="1">IFERROR(__xludf.DUMMYFUNCTION("""COMPUTED_VALUE"""),"₱ 75,468.00")</f>
        <v>₱ 75,468.00</v>
      </c>
      <c r="E1677" s="164" t="str">
        <f ca="1">IFERROR(__xludf.DUMMYFUNCTION("""COMPUTED_VALUE"""),"₱-")</f>
        <v>₱-</v>
      </c>
      <c r="F1677" s="164" t="str">
        <f ca="1">IFERROR(__xludf.DUMMYFUNCTION("""COMPUTED_VALUE"""),"2023-05-03-10201SP923-01")</f>
        <v>2023-05-03-10201SP923-01</v>
      </c>
      <c r="G1677" s="164" t="str">
        <f ca="1">IFERROR(__xludf.DUMMYFUNCTION("""COMPUTED_VALUE"""),"1S11T5S16200GM041AQ4")</f>
        <v>1S11T5S16200GM041AQ4</v>
      </c>
      <c r="H1677" s="164" t="str">
        <f ca="1">IFERROR(__xludf.DUMMYFUNCTION("""COMPUTED_VALUE"""),"MARIA LORNA A. TAN")</f>
        <v>MARIA LORNA A. TAN</v>
      </c>
      <c r="I1677" s="164" t="str">
        <f ca="1">IFERROR(__xludf.DUMMYFUNCTION("""COMPUTED_VALUE"""),"Planning Officer/M&amp;E Coordinator")</f>
        <v>Planning Officer/M&amp;E Coordinator</v>
      </c>
      <c r="J1677" s="164" t="str">
        <f ca="1">IFERROR(__xludf.DUMMYFUNCTION("""COMPUTED_VALUE"""),"011-04-2023")</f>
        <v>011-04-2023</v>
      </c>
      <c r="K1677" s="164" t="str">
        <f ca="1">IFERROR(__xludf.DUMMYFUNCTION("""COMPUTED_VALUE"""),"ELSA HERNANDEZ")</f>
        <v>ELSA HERNANDEZ</v>
      </c>
      <c r="L1677" s="164" t="str">
        <f ca="1">IFERROR(__xludf.DUMMYFUNCTION("""COMPUTED_VALUE"""),"DARPO QUEZON I")</f>
        <v>DARPO QUEZON I</v>
      </c>
      <c r="M1677" s="164" t="str">
        <f ca="1">IFERROR(__xludf.DUMMYFUNCTION("""COMPUTED_VALUE"""),"SERVICEABLE")</f>
        <v>SERVICEABLE</v>
      </c>
      <c r="N1677" s="164"/>
    </row>
    <row r="1678" spans="1:14" ht="13.2" hidden="1">
      <c r="A1678" s="164" t="str">
        <f ca="1">IFERROR(__xludf.DUMMYFUNCTION("""COMPUTED_VALUE"""),"Region IV-A")</f>
        <v>Region IV-A</v>
      </c>
      <c r="B1678" s="164" t="str">
        <f ca="1">IFERROR(__xludf.DUMMYFUNCTION("""COMPUTED_VALUE"""),"QUEZON I")</f>
        <v>QUEZON I</v>
      </c>
      <c r="C1678" s="164" t="str">
        <f ca="1">IFERROR(__xludf.DUMMYFUNCTION("""COMPUTED_VALUE"""),"DESKTOP COMPUTER – (LENOVO M70T)")</f>
        <v>DESKTOP COMPUTER – (LENOVO M70T)</v>
      </c>
      <c r="D1678" s="164" t="str">
        <f ca="1">IFERROR(__xludf.DUMMYFUNCTION("""COMPUTED_VALUE"""),"₱ 75,468.00")</f>
        <v>₱ 75,468.00</v>
      </c>
      <c r="E1678" s="164" t="str">
        <f ca="1">IFERROR(__xludf.DUMMYFUNCTION("""COMPUTED_VALUE"""),"₱-")</f>
        <v>₱-</v>
      </c>
      <c r="F1678" s="164" t="str">
        <f ca="1">IFERROR(__xludf.DUMMYFUNCTION("""COMPUTED_VALUE"""),"2023-05-03-10201SP924-01")</f>
        <v>2023-05-03-10201SP924-01</v>
      </c>
      <c r="G1678" s="164" t="str">
        <f ca="1">IFERROR(__xludf.DUMMYFUNCTION("""COMPUTED_VALUE"""),"1S11T5S16200GM0418BV")</f>
        <v>1S11T5S16200GM0418BV</v>
      </c>
      <c r="H1678" s="164" t="str">
        <f ca="1">IFERROR(__xludf.DUMMYFUNCTION("""COMPUTED_VALUE"""),"MASELIENE A. PELAEZ")</f>
        <v>MASELIENE A. PELAEZ</v>
      </c>
      <c r="I1678" s="164" t="str">
        <f ca="1">IFERROR(__xludf.DUMMYFUNCTION("""COMPUTED_VALUE"""),"Cashier II/Project Cashier")</f>
        <v>Cashier II/Project Cashier</v>
      </c>
      <c r="J1678" s="164" t="str">
        <f ca="1">IFERROR(__xludf.DUMMYFUNCTION("""COMPUTED_VALUE"""),"005-04-2023")</f>
        <v>005-04-2023</v>
      </c>
      <c r="K1678" s="164" t="str">
        <f ca="1">IFERROR(__xludf.DUMMYFUNCTION("""COMPUTED_VALUE"""),"MASELIENE A. PELAEZ")</f>
        <v>MASELIENE A. PELAEZ</v>
      </c>
      <c r="L1678" s="164" t="str">
        <f ca="1">IFERROR(__xludf.DUMMYFUNCTION("""COMPUTED_VALUE"""),"DARPO QUEZON I")</f>
        <v>DARPO QUEZON I</v>
      </c>
      <c r="M1678" s="164" t="str">
        <f ca="1">IFERROR(__xludf.DUMMYFUNCTION("""COMPUTED_VALUE"""),"SERVICEABLE")</f>
        <v>SERVICEABLE</v>
      </c>
      <c r="N1678" s="164"/>
    </row>
    <row r="1679" spans="1:14" ht="13.2" hidden="1">
      <c r="A1679" s="164" t="str">
        <f ca="1">IFERROR(__xludf.DUMMYFUNCTION("""COMPUTED_VALUE"""),"Region IV-A")</f>
        <v>Region IV-A</v>
      </c>
      <c r="B1679" s="164" t="str">
        <f ca="1">IFERROR(__xludf.DUMMYFUNCTION("""COMPUTED_VALUE"""),"QUEZON I")</f>
        <v>QUEZON I</v>
      </c>
      <c r="C1679" s="164" t="str">
        <f ca="1">IFERROR(__xludf.DUMMYFUNCTION("""COMPUTED_VALUE"""),"DESKTOP COMPUTER – (LENOVO M70T)")</f>
        <v>DESKTOP COMPUTER – (LENOVO M70T)</v>
      </c>
      <c r="D1679" s="164" t="str">
        <f ca="1">IFERROR(__xludf.DUMMYFUNCTION("""COMPUTED_VALUE"""),"₱ 75,468.00")</f>
        <v>₱ 75,468.00</v>
      </c>
      <c r="E1679" s="164" t="str">
        <f ca="1">IFERROR(__xludf.DUMMYFUNCTION("""COMPUTED_VALUE"""),"₱-")</f>
        <v>₱-</v>
      </c>
      <c r="F1679" s="164" t="str">
        <f ca="1">IFERROR(__xludf.DUMMYFUNCTION("""COMPUTED_VALUE"""),"2023-05-03-10201SP925-01")</f>
        <v>2023-05-03-10201SP925-01</v>
      </c>
      <c r="G1679" s="164" t="str">
        <f ca="1">IFERROR(__xludf.DUMMYFUNCTION("""COMPUTED_VALUE"""),"1S11T5S16200GM041AQB")</f>
        <v>1S11T5S16200GM041AQB</v>
      </c>
      <c r="H1679" s="164" t="str">
        <f ca="1">IFERROR(__xludf.DUMMYFUNCTION("""COMPUTED_VALUE"""),"CLAUDETTE CASTILLO")</f>
        <v>CLAUDETTE CASTILLO</v>
      </c>
      <c r="I1679" s="164" t="str">
        <f ca="1">IFERROR(__xludf.DUMMYFUNCTION("""COMPUTED_VALUE"""),"CARPO,LTID/ Parcelization Component &amp; FVT Coordinator")</f>
        <v>CARPO,LTID/ Parcelization Component &amp; FVT Coordinator</v>
      </c>
      <c r="J1679" s="164" t="str">
        <f ca="1">IFERROR(__xludf.DUMMYFUNCTION("""COMPUTED_VALUE"""),"014-04-2023")</f>
        <v>014-04-2023</v>
      </c>
      <c r="K1679" s="164" t="str">
        <f ca="1">IFERROR(__xludf.DUMMYFUNCTION("""COMPUTED_VALUE"""),"CLAUDETTE CASTILLO")</f>
        <v>CLAUDETTE CASTILLO</v>
      </c>
      <c r="L1679" s="164" t="str">
        <f ca="1">IFERROR(__xludf.DUMMYFUNCTION("""COMPUTED_VALUE"""),"DARPO QUEZON I")</f>
        <v>DARPO QUEZON I</v>
      </c>
      <c r="M1679" s="164" t="str">
        <f ca="1">IFERROR(__xludf.DUMMYFUNCTION("""COMPUTED_VALUE"""),"SERVICEABLE")</f>
        <v>SERVICEABLE</v>
      </c>
      <c r="N1679" s="164"/>
    </row>
    <row r="1680" spans="1:14" ht="13.2" hidden="1">
      <c r="A1680" s="164" t="str">
        <f ca="1">IFERROR(__xludf.DUMMYFUNCTION("""COMPUTED_VALUE"""),"Region IV-A")</f>
        <v>Region IV-A</v>
      </c>
      <c r="B1680" s="164" t="str">
        <f ca="1">IFERROR(__xludf.DUMMYFUNCTION("""COMPUTED_VALUE"""),"QUEZON I")</f>
        <v>QUEZON I</v>
      </c>
      <c r="C1680" s="164" t="str">
        <f ca="1">IFERROR(__xludf.DUMMYFUNCTION("""COMPUTED_VALUE"""),"DESKTOP COMPUTER – (LENOVO M70T)")</f>
        <v>DESKTOP COMPUTER – (LENOVO M70T)</v>
      </c>
      <c r="D1680" s="164" t="str">
        <f ca="1">IFERROR(__xludf.DUMMYFUNCTION("""COMPUTED_VALUE"""),"₱ 75,468.00")</f>
        <v>₱ 75,468.00</v>
      </c>
      <c r="E1680" s="164" t="str">
        <f ca="1">IFERROR(__xludf.DUMMYFUNCTION("""COMPUTED_VALUE"""),"₱-")</f>
        <v>₱-</v>
      </c>
      <c r="F1680" s="164" t="str">
        <f ca="1">IFERROR(__xludf.DUMMYFUNCTION("""COMPUTED_VALUE"""),"2023-05-03-10201SP926-01")</f>
        <v>2023-05-03-10201SP926-01</v>
      </c>
      <c r="G1680" s="164" t="str">
        <f ca="1">IFERROR(__xludf.DUMMYFUNCTION("""COMPUTED_VALUE"""),"1S11T5S16200GM041AVQ")</f>
        <v>1S11T5S16200GM041AVQ</v>
      </c>
      <c r="H1680" s="164" t="str">
        <f ca="1">IFERROR(__xludf.DUMMYFUNCTION("""COMPUTED_VALUE"""),"ELENITA A. HERRERIA")</f>
        <v>ELENITA A. HERRERIA</v>
      </c>
      <c r="I1680" s="164" t="str">
        <f ca="1">IFERROR(__xludf.DUMMYFUNCTION("""COMPUTED_VALUE"""),"CARPO, PBDD/ Provincial ESS Coordinator")</f>
        <v>CARPO, PBDD/ Provincial ESS Coordinator</v>
      </c>
      <c r="J1680" s="164" t="str">
        <f ca="1">IFERROR(__xludf.DUMMYFUNCTION("""COMPUTED_VALUE"""),"009-04-2023")</f>
        <v>009-04-2023</v>
      </c>
      <c r="K1680" s="164" t="str">
        <f ca="1">IFERROR(__xludf.DUMMYFUNCTION("""COMPUTED_VALUE"""),"ELENITA A. HERRERIA")</f>
        <v>ELENITA A. HERRERIA</v>
      </c>
      <c r="L1680" s="164" t="str">
        <f ca="1">IFERROR(__xludf.DUMMYFUNCTION("""COMPUTED_VALUE"""),"DARPO QUEZON I")</f>
        <v>DARPO QUEZON I</v>
      </c>
      <c r="M1680" s="164" t="str">
        <f ca="1">IFERROR(__xludf.DUMMYFUNCTION("""COMPUTED_VALUE"""),"SERVICEABLE")</f>
        <v>SERVICEABLE</v>
      </c>
      <c r="N1680" s="164"/>
    </row>
    <row r="1681" spans="1:14" ht="13.2" hidden="1">
      <c r="A1681" s="164" t="str">
        <f ca="1">IFERROR(__xludf.DUMMYFUNCTION("""COMPUTED_VALUE"""),"Region IV-A")</f>
        <v>Region IV-A</v>
      </c>
      <c r="B1681" s="164" t="str">
        <f ca="1">IFERROR(__xludf.DUMMYFUNCTION("""COMPUTED_VALUE"""),"QUEZON I")</f>
        <v>QUEZON I</v>
      </c>
      <c r="C1681" s="164" t="str">
        <f ca="1">IFERROR(__xludf.DUMMYFUNCTION("""COMPUTED_VALUE"""),"DESKTOP COMPUTER – (LENOVO M70T)")</f>
        <v>DESKTOP COMPUTER – (LENOVO M70T)</v>
      </c>
      <c r="D1681" s="164" t="str">
        <f ca="1">IFERROR(__xludf.DUMMYFUNCTION("""COMPUTED_VALUE"""),"₱ 75,468.00")</f>
        <v>₱ 75,468.00</v>
      </c>
      <c r="E1681" s="164" t="str">
        <f ca="1">IFERROR(__xludf.DUMMYFUNCTION("""COMPUTED_VALUE"""),"₱-")</f>
        <v>₱-</v>
      </c>
      <c r="F1681" s="164" t="str">
        <f ca="1">IFERROR(__xludf.DUMMYFUNCTION("""COMPUTED_VALUE"""),"2023-05-03-10201SP927-01")</f>
        <v>2023-05-03-10201SP927-01</v>
      </c>
      <c r="G1681" s="164" t="str">
        <f ca="1">IFERROR(__xludf.DUMMYFUNCTION("""COMPUTED_VALUE"""),"1S11T5S16200GM041AQ7")</f>
        <v>1S11T5S16200GM041AQ7</v>
      </c>
      <c r="H1681" s="164" t="str">
        <f ca="1">IFERROR(__xludf.DUMMYFUNCTION("""COMPUTED_VALUE"""),"ANNABELLA P. ESCUDERO")</f>
        <v>ANNABELLA P. ESCUDERO</v>
      </c>
      <c r="I1681" s="164" t="str">
        <f ca="1">IFERROR(__xludf.DUMMYFUNCTION("""COMPUTED_VALUE"""),"SARPT/ESS Staff")</f>
        <v>SARPT/ESS Staff</v>
      </c>
      <c r="J1681" s="164" t="str">
        <f ca="1">IFERROR(__xludf.DUMMYFUNCTION("""COMPUTED_VALUE"""),"012-04-2023")</f>
        <v>012-04-2023</v>
      </c>
      <c r="K1681" s="164" t="str">
        <f ca="1">IFERROR(__xludf.DUMMYFUNCTION("""COMPUTED_VALUE"""),"ANNABELLA P. ESCUDERO")</f>
        <v>ANNABELLA P. ESCUDERO</v>
      </c>
      <c r="L1681" s="164" t="str">
        <f ca="1">IFERROR(__xludf.DUMMYFUNCTION("""COMPUTED_VALUE"""),"DARPO QUEZON I")</f>
        <v>DARPO QUEZON I</v>
      </c>
      <c r="M1681" s="164" t="str">
        <f ca="1">IFERROR(__xludf.DUMMYFUNCTION("""COMPUTED_VALUE"""),"SERVICEABLE")</f>
        <v>SERVICEABLE</v>
      </c>
      <c r="N1681" s="164"/>
    </row>
    <row r="1682" spans="1:14" ht="13.2" hidden="1">
      <c r="A1682" s="164" t="str">
        <f ca="1">IFERROR(__xludf.DUMMYFUNCTION("""COMPUTED_VALUE"""),"Region IV-A")</f>
        <v>Region IV-A</v>
      </c>
      <c r="B1682" s="164" t="str">
        <f ca="1">IFERROR(__xludf.DUMMYFUNCTION("""COMPUTED_VALUE"""),"QUEZON I")</f>
        <v>QUEZON I</v>
      </c>
      <c r="C1682" s="164" t="str">
        <f ca="1">IFERROR(__xludf.DUMMYFUNCTION("""COMPUTED_VALUE"""),"DESKTOP COMPUTER – (LENOVO M70T)")</f>
        <v>DESKTOP COMPUTER – (LENOVO M70T)</v>
      </c>
      <c r="D1682" s="164" t="str">
        <f ca="1">IFERROR(__xludf.DUMMYFUNCTION("""COMPUTED_VALUE"""),"₱ 75,468.00")</f>
        <v>₱ 75,468.00</v>
      </c>
      <c r="E1682" s="164" t="str">
        <f ca="1">IFERROR(__xludf.DUMMYFUNCTION("""COMPUTED_VALUE"""),"₱-")</f>
        <v>₱-</v>
      </c>
      <c r="F1682" s="164" t="str">
        <f ca="1">IFERROR(__xludf.DUMMYFUNCTION("""COMPUTED_VALUE"""),"2023-05-03-10201SP928-01")</f>
        <v>2023-05-03-10201SP928-01</v>
      </c>
      <c r="G1682" s="164" t="str">
        <f ca="1">IFERROR(__xludf.DUMMYFUNCTION("""COMPUTED_VALUE"""),"1S11T5S16200GM041AP3")</f>
        <v>1S11T5S16200GM041AP3</v>
      </c>
      <c r="H1682" s="164" t="str">
        <f ca="1">IFERROR(__xludf.DUMMYFUNCTION("""COMPUTED_VALUE"""),"SAMUEL M. PALENZUELA")</f>
        <v>SAMUEL M. PALENZUELA</v>
      </c>
      <c r="I1682" s="164" t="str">
        <f ca="1">IFERROR(__xludf.DUMMYFUNCTION("""COMPUTED_VALUE"""),"ARPT/ MIS Coordinator")</f>
        <v>ARPT/ MIS Coordinator</v>
      </c>
      <c r="J1682" s="164" t="str">
        <f ca="1">IFERROR(__xludf.DUMMYFUNCTION("""COMPUTED_VALUE"""),"010-04-2023")</f>
        <v>010-04-2023</v>
      </c>
      <c r="K1682" s="164" t="str">
        <f ca="1">IFERROR(__xludf.DUMMYFUNCTION("""COMPUTED_VALUE"""),"JUNE MIRELLES")</f>
        <v>JUNE MIRELLES</v>
      </c>
      <c r="L1682" s="164" t="str">
        <f ca="1">IFERROR(__xludf.DUMMYFUNCTION("""COMPUTED_VALUE"""),"DARPO QUEZON I")</f>
        <v>DARPO QUEZON I</v>
      </c>
      <c r="M1682" s="164" t="str">
        <f ca="1">IFERROR(__xludf.DUMMYFUNCTION("""COMPUTED_VALUE"""),"SERVICEABLE")</f>
        <v>SERVICEABLE</v>
      </c>
      <c r="N1682" s="164"/>
    </row>
    <row r="1683" spans="1:14" ht="13.2" hidden="1">
      <c r="A1683" s="164" t="str">
        <f ca="1">IFERROR(__xludf.DUMMYFUNCTION("""COMPUTED_VALUE"""),"Region IV-A")</f>
        <v>Region IV-A</v>
      </c>
      <c r="B1683" s="164" t="str">
        <f ca="1">IFERROR(__xludf.DUMMYFUNCTION("""COMPUTED_VALUE"""),"QUEZON I")</f>
        <v>QUEZON I</v>
      </c>
      <c r="C1683" s="164" t="str">
        <f ca="1">IFERROR(__xludf.DUMMYFUNCTION("""COMPUTED_VALUE"""),"DESKTOP COMPUTER – (LENOVO M70T)")</f>
        <v>DESKTOP COMPUTER – (LENOVO M70T)</v>
      </c>
      <c r="D1683" s="164" t="str">
        <f ca="1">IFERROR(__xludf.DUMMYFUNCTION("""COMPUTED_VALUE"""),"₱ 75,468.00")</f>
        <v>₱ 75,468.00</v>
      </c>
      <c r="E1683" s="164" t="str">
        <f ca="1">IFERROR(__xludf.DUMMYFUNCTION("""COMPUTED_VALUE"""),"₱-")</f>
        <v>₱-</v>
      </c>
      <c r="F1683" s="164" t="str">
        <f ca="1">IFERROR(__xludf.DUMMYFUNCTION("""COMPUTED_VALUE"""),"2023-05-03-10201SP929-01")</f>
        <v>2023-05-03-10201SP929-01</v>
      </c>
      <c r="G1683" s="164" t="str">
        <f ca="1">IFERROR(__xludf.DUMMYFUNCTION("""COMPUTED_VALUE"""),"1S11T5S16200GM041ASE")</f>
        <v>1S11T5S16200GM041ASE</v>
      </c>
      <c r="H1683" s="164" t="str">
        <f ca="1">IFERROR(__xludf.DUMMYFUNCTION("""COMPUTED_VALUE"""),"MA. VENUS T. LIWAG")</f>
        <v>MA. VENUS T. LIWAG</v>
      </c>
      <c r="I1683" s="164" t="str">
        <f ca="1">IFERROR(__xludf.DUMMYFUNCTION("""COMPUTED_VALUE"""),"Budget Officer/Project Budget Officer")</f>
        <v>Budget Officer/Project Budget Officer</v>
      </c>
      <c r="J1683" s="164" t="str">
        <f ca="1">IFERROR(__xludf.DUMMYFUNCTION("""COMPUTED_VALUE"""),"002-04-2023")</f>
        <v>002-04-2023</v>
      </c>
      <c r="K1683" s="164" t="str">
        <f ca="1">IFERROR(__xludf.DUMMYFUNCTION("""COMPUTED_VALUE"""),"MA. VENUS T. LIWAG")</f>
        <v>MA. VENUS T. LIWAG</v>
      </c>
      <c r="L1683" s="164" t="str">
        <f ca="1">IFERROR(__xludf.DUMMYFUNCTION("""COMPUTED_VALUE"""),"DARPO QUEZON I")</f>
        <v>DARPO QUEZON I</v>
      </c>
      <c r="M1683" s="164" t="str">
        <f ca="1">IFERROR(__xludf.DUMMYFUNCTION("""COMPUTED_VALUE"""),"SERVICEABLE")</f>
        <v>SERVICEABLE</v>
      </c>
      <c r="N1683" s="164"/>
    </row>
    <row r="1684" spans="1:14" ht="13.2" hidden="1">
      <c r="A1684" s="164" t="str">
        <f ca="1">IFERROR(__xludf.DUMMYFUNCTION("""COMPUTED_VALUE"""),"Region IV-A")</f>
        <v>Region IV-A</v>
      </c>
      <c r="B1684" s="164" t="str">
        <f ca="1">IFERROR(__xludf.DUMMYFUNCTION("""COMPUTED_VALUE"""),"QUEZON I")</f>
        <v>QUEZON I</v>
      </c>
      <c r="C1684" s="164" t="str">
        <f ca="1">IFERROR(__xludf.DUMMYFUNCTION("""COMPUTED_VALUE"""),"DESKTOP COMPUTER – (LENOVO M70T)")</f>
        <v>DESKTOP COMPUTER – (LENOVO M70T)</v>
      </c>
      <c r="D1684" s="164" t="str">
        <f ca="1">IFERROR(__xludf.DUMMYFUNCTION("""COMPUTED_VALUE"""),"₱ 75,468.00")</f>
        <v>₱ 75,468.00</v>
      </c>
      <c r="E1684" s="164" t="str">
        <f ca="1">IFERROR(__xludf.DUMMYFUNCTION("""COMPUTED_VALUE"""),"₱-")</f>
        <v>₱-</v>
      </c>
      <c r="F1684" s="164" t="str">
        <f ca="1">IFERROR(__xludf.DUMMYFUNCTION("""COMPUTED_VALUE"""),"2023-05-03-10201SP930-01")</f>
        <v>2023-05-03-10201SP930-01</v>
      </c>
      <c r="G1684" s="164" t="str">
        <f ca="1">IFERROR(__xludf.DUMMYFUNCTION("""COMPUTED_VALUE"""),"1S11T5S16200GM041AS9")</f>
        <v>1S11T5S16200GM041AS9</v>
      </c>
      <c r="H1684" s="164" t="str">
        <f ca="1">IFERROR(__xludf.DUMMYFUNCTION("""COMPUTED_VALUE"""),"ENGR. AMANDO A. CARIASO")</f>
        <v>ENGR. AMANDO A. CARIASO</v>
      </c>
      <c r="I1684" s="164" t="str">
        <f ca="1">IFERROR(__xludf.DUMMYFUNCTION("""COMPUTED_VALUE"""),"Engineer II/ DENR/ LRA/ROD/Survey Coordinator")</f>
        <v>Engineer II/ DENR/ LRA/ROD/Survey Coordinator</v>
      </c>
      <c r="J1684" s="164" t="str">
        <f ca="1">IFERROR(__xludf.DUMMYFUNCTION("""COMPUTED_VALUE"""),"007-04-2023")</f>
        <v>007-04-2023</v>
      </c>
      <c r="K1684" s="164" t="str">
        <f ca="1">IFERROR(__xludf.DUMMYFUNCTION("""COMPUTED_VALUE"""),"JESSA CAPONPON")</f>
        <v>JESSA CAPONPON</v>
      </c>
      <c r="L1684" s="164" t="str">
        <f ca="1">IFERROR(__xludf.DUMMYFUNCTION("""COMPUTED_VALUE"""),"DARPO QUEZON I")</f>
        <v>DARPO QUEZON I</v>
      </c>
      <c r="M1684" s="164" t="str">
        <f ca="1">IFERROR(__xludf.DUMMYFUNCTION("""COMPUTED_VALUE"""),"SERVICEABLE")</f>
        <v>SERVICEABLE</v>
      </c>
      <c r="N1684" s="164"/>
    </row>
    <row r="1685" spans="1:14" ht="13.2" hidden="1">
      <c r="A1685" s="164" t="str">
        <f ca="1">IFERROR(__xludf.DUMMYFUNCTION("""COMPUTED_VALUE"""),"Region IV-A")</f>
        <v>Region IV-A</v>
      </c>
      <c r="B1685" s="164" t="str">
        <f ca="1">IFERROR(__xludf.DUMMYFUNCTION("""COMPUTED_VALUE"""),"QUEZON I")</f>
        <v>QUEZON I</v>
      </c>
      <c r="C1685" s="164" t="str">
        <f ca="1">IFERROR(__xludf.DUMMYFUNCTION("""COMPUTED_VALUE"""),"DESKTOP COMPUTER – (LENOVO M70T)")</f>
        <v>DESKTOP COMPUTER – (LENOVO M70T)</v>
      </c>
      <c r="D1685" s="164" t="str">
        <f ca="1">IFERROR(__xludf.DUMMYFUNCTION("""COMPUTED_VALUE"""),"₱ 75,468.00")</f>
        <v>₱ 75,468.00</v>
      </c>
      <c r="E1685" s="164" t="str">
        <f ca="1">IFERROR(__xludf.DUMMYFUNCTION("""COMPUTED_VALUE"""),"₱-")</f>
        <v>₱-</v>
      </c>
      <c r="F1685" s="164" t="str">
        <f ca="1">IFERROR(__xludf.DUMMYFUNCTION("""COMPUTED_VALUE"""),"2023-05-03-10201SP931-01")</f>
        <v>2023-05-03-10201SP931-01</v>
      </c>
      <c r="G1685" s="164" t="str">
        <f ca="1">IFERROR(__xludf.DUMMYFUNCTION("""COMPUTED_VALUE"""),"1S11T5S16200GM041602")</f>
        <v>1S11T5S16200GM041602</v>
      </c>
      <c r="H1685" s="164" t="str">
        <f ca="1">IFERROR(__xludf.DUMMYFUNCTION("""COMPUTED_VALUE"""),"ATTY. MARCUS CEASAR F. ROBLES")</f>
        <v>ATTY. MARCUS CEASAR F. ROBLES</v>
      </c>
      <c r="I1685" s="164" t="str">
        <f ca="1">IFERROR(__xludf.DUMMYFUNCTION("""COMPUTED_VALUE"""),"Chief Legal Division/ Legal Coordinator")</f>
        <v>Chief Legal Division/ Legal Coordinator</v>
      </c>
      <c r="J1685" s="164" t="str">
        <f ca="1">IFERROR(__xludf.DUMMYFUNCTION("""COMPUTED_VALUE"""),"004-04-2023")</f>
        <v>004-04-2023</v>
      </c>
      <c r="K1685" s="164" t="str">
        <f ca="1">IFERROR(__xludf.DUMMYFUNCTION("""COMPUTED_VALUE"""),"ATTY. MARCUS CEASAR F. ROBLES")</f>
        <v>ATTY. MARCUS CEASAR F. ROBLES</v>
      </c>
      <c r="L1685" s="164" t="str">
        <f ca="1">IFERROR(__xludf.DUMMYFUNCTION("""COMPUTED_VALUE"""),"DARPO QUEZON I")</f>
        <v>DARPO QUEZON I</v>
      </c>
      <c r="M1685" s="164" t="str">
        <f ca="1">IFERROR(__xludf.DUMMYFUNCTION("""COMPUTED_VALUE"""),"SERVICEABLE")</f>
        <v>SERVICEABLE</v>
      </c>
      <c r="N1685" s="164"/>
    </row>
    <row r="1686" spans="1:14" ht="13.2" hidden="1">
      <c r="A1686" s="164" t="str">
        <f ca="1">IFERROR(__xludf.DUMMYFUNCTION("""COMPUTED_VALUE"""),"Region IV-A")</f>
        <v>Region IV-A</v>
      </c>
      <c r="B1686" s="164" t="str">
        <f ca="1">IFERROR(__xludf.DUMMYFUNCTION("""COMPUTED_VALUE"""),"QUEZON II")</f>
        <v>QUEZON II</v>
      </c>
      <c r="C1686" s="164" t="str">
        <f ca="1">IFERROR(__xludf.DUMMYFUNCTION("""COMPUTED_VALUE"""),"DESKTOP COMPUTER – (LENOVO M70T)")</f>
        <v>DESKTOP COMPUTER – (LENOVO M70T)</v>
      </c>
      <c r="D1686" s="164" t="str">
        <f ca="1">IFERROR(__xludf.DUMMYFUNCTION("""COMPUTED_VALUE"""),"₱ 75,468.00")</f>
        <v>₱ 75,468.00</v>
      </c>
      <c r="E1686" s="164" t="str">
        <f ca="1">IFERROR(__xludf.DUMMYFUNCTION("""COMPUTED_VALUE"""),"₱-")</f>
        <v>₱-</v>
      </c>
      <c r="F1686" s="164" t="str">
        <f ca="1">IFERROR(__xludf.DUMMYFUNCTION("""COMPUTED_VALUE"""),"2023-05-03-10201SP932-01")</f>
        <v>2023-05-03-10201SP932-01</v>
      </c>
      <c r="G1686" s="164" t="str">
        <f ca="1">IFERROR(__xludf.DUMMYFUNCTION("""COMPUTED_VALUE"""),"1S11T5S16200GM041AQQ")</f>
        <v>1S11T5S16200GM041AQQ</v>
      </c>
      <c r="H1686" s="164" t="str">
        <f ca="1">IFERROR(__xludf.DUMMYFUNCTION("""COMPUTED_VALUE"""),"ELENITA MERJUDIO")</f>
        <v>ELENITA MERJUDIO</v>
      </c>
      <c r="I1686" s="164" t="str">
        <f ca="1">IFERROR(__xludf.DUMMYFUNCTION("""COMPUTED_VALUE"""),"M&amp;E COORDINATOR")</f>
        <v>M&amp;E COORDINATOR</v>
      </c>
      <c r="J1686" s="164" t="str">
        <f ca="1">IFERROR(__xludf.DUMMYFUNCTION("""COMPUTED_VALUE"""),"2023-04-001")</f>
        <v>2023-04-001</v>
      </c>
      <c r="K1686" s="164" t="str">
        <f ca="1">IFERROR(__xludf.DUMMYFUNCTION("""COMPUTED_VALUE"""),"ELENITA MERJUDIO")</f>
        <v>ELENITA MERJUDIO</v>
      </c>
      <c r="L1686" s="164" t="str">
        <f ca="1">IFERROR(__xludf.DUMMYFUNCTION("""COMPUTED_VALUE"""),"LTID")</f>
        <v>LTID</v>
      </c>
      <c r="M1686" s="164" t="str">
        <f ca="1">IFERROR(__xludf.DUMMYFUNCTION("""COMPUTED_VALUE"""),"SERVICEABLE")</f>
        <v>SERVICEABLE</v>
      </c>
      <c r="N1686" s="164"/>
    </row>
    <row r="1687" spans="1:14" ht="13.2" hidden="1">
      <c r="A1687" s="164" t="str">
        <f ca="1">IFERROR(__xludf.DUMMYFUNCTION("""COMPUTED_VALUE"""),"Region IV-A")</f>
        <v>Region IV-A</v>
      </c>
      <c r="B1687" s="164" t="str">
        <f ca="1">IFERROR(__xludf.DUMMYFUNCTION("""COMPUTED_VALUE"""),"QUEZON II")</f>
        <v>QUEZON II</v>
      </c>
      <c r="C1687" s="164" t="str">
        <f ca="1">IFERROR(__xludf.DUMMYFUNCTION("""COMPUTED_VALUE"""),"DESKTOP COMPUTER – (LENOVO M70T)")</f>
        <v>DESKTOP COMPUTER – (LENOVO M70T)</v>
      </c>
      <c r="D1687" s="164" t="str">
        <f ca="1">IFERROR(__xludf.DUMMYFUNCTION("""COMPUTED_VALUE"""),"₱ 75,468.00")</f>
        <v>₱ 75,468.00</v>
      </c>
      <c r="E1687" s="164" t="str">
        <f ca="1">IFERROR(__xludf.DUMMYFUNCTION("""COMPUTED_VALUE"""),"₱-")</f>
        <v>₱-</v>
      </c>
      <c r="F1687" s="164" t="str">
        <f ca="1">IFERROR(__xludf.DUMMYFUNCTION("""COMPUTED_VALUE"""),"2023-05-03-10201SP933-01")</f>
        <v>2023-05-03-10201SP933-01</v>
      </c>
      <c r="G1687" s="164" t="str">
        <f ca="1">IFERROR(__xludf.DUMMYFUNCTION("""COMPUTED_VALUE"""),"1S11T5S16200GM041AS1")</f>
        <v>1S11T5S16200GM041AS1</v>
      </c>
      <c r="H1687" s="164" t="str">
        <f ca="1">IFERROR(__xludf.DUMMYFUNCTION("""COMPUTED_VALUE"""),"MARIA IMELDA S. DE VERA")</f>
        <v>MARIA IMELDA S. DE VERA</v>
      </c>
      <c r="I1687" s="164" t="str">
        <f ca="1">IFERROR(__xludf.DUMMYFUNCTION("""COMPUTED_VALUE"""),"PROJECT BUDGET OFFICER")</f>
        <v>PROJECT BUDGET OFFICER</v>
      </c>
      <c r="J1687" s="164" t="str">
        <f ca="1">IFERROR(__xludf.DUMMYFUNCTION("""COMPUTED_VALUE"""),"2023-04-002")</f>
        <v>2023-04-002</v>
      </c>
      <c r="K1687" s="164" t="str">
        <f ca="1">IFERROR(__xludf.DUMMYFUNCTION("""COMPUTED_VALUE"""),"CHRISTY LEA V. ANGEO")</f>
        <v>CHRISTY LEA V. ANGEO</v>
      </c>
      <c r="L1687" s="164" t="str">
        <f ca="1">IFERROR(__xludf.DUMMYFUNCTION("""COMPUTED_VALUE"""),"STOD")</f>
        <v>STOD</v>
      </c>
      <c r="M1687" s="164" t="str">
        <f ca="1">IFERROR(__xludf.DUMMYFUNCTION("""COMPUTED_VALUE"""),"SERVICEABLE")</f>
        <v>SERVICEABLE</v>
      </c>
      <c r="N1687" s="164"/>
    </row>
    <row r="1688" spans="1:14" ht="13.2" hidden="1">
      <c r="A1688" s="164" t="str">
        <f ca="1">IFERROR(__xludf.DUMMYFUNCTION("""COMPUTED_VALUE"""),"Region IV-A")</f>
        <v>Region IV-A</v>
      </c>
      <c r="B1688" s="164" t="str">
        <f ca="1">IFERROR(__xludf.DUMMYFUNCTION("""COMPUTED_VALUE"""),"QUEZON II")</f>
        <v>QUEZON II</v>
      </c>
      <c r="C1688" s="164" t="str">
        <f ca="1">IFERROR(__xludf.DUMMYFUNCTION("""COMPUTED_VALUE"""),"DESKTOP COMPUTER – (LENOVO M70T)")</f>
        <v>DESKTOP COMPUTER – (LENOVO M70T)</v>
      </c>
      <c r="D1688" s="164" t="str">
        <f ca="1">IFERROR(__xludf.DUMMYFUNCTION("""COMPUTED_VALUE"""),"₱ 75,468.00")</f>
        <v>₱ 75,468.00</v>
      </c>
      <c r="E1688" s="164" t="str">
        <f ca="1">IFERROR(__xludf.DUMMYFUNCTION("""COMPUTED_VALUE"""),"₱-")</f>
        <v>₱-</v>
      </c>
      <c r="F1688" s="164" t="str">
        <f ca="1">IFERROR(__xludf.DUMMYFUNCTION("""COMPUTED_VALUE"""),"2023-05-03-10201SP934-01")</f>
        <v>2023-05-03-10201SP934-01</v>
      </c>
      <c r="G1688" s="164" t="str">
        <f ca="1">IFERROR(__xludf.DUMMYFUNCTION("""COMPUTED_VALUE"""),"1S11T5S16200GM041AQF")</f>
        <v>1S11T5S16200GM041AQF</v>
      </c>
      <c r="H1688" s="164" t="str">
        <f ca="1">IFERROR(__xludf.DUMMYFUNCTION("""COMPUTED_VALUE"""),"MARITESS R. ABELLA")</f>
        <v>MARITESS R. ABELLA</v>
      </c>
      <c r="I1688" s="164" t="str">
        <f ca="1">IFERROR(__xludf.DUMMYFUNCTION("""COMPUTED_VALUE"""),"PROJECT CASHIER")</f>
        <v>PROJECT CASHIER</v>
      </c>
      <c r="J1688" s="164" t="str">
        <f ca="1">IFERROR(__xludf.DUMMYFUNCTION("""COMPUTED_VALUE"""),"2023-04-003")</f>
        <v>2023-04-003</v>
      </c>
      <c r="K1688" s="164" t="str">
        <f ca="1">IFERROR(__xludf.DUMMYFUNCTION("""COMPUTED_VALUE"""),"MARITESS R. ABELLA")</f>
        <v>MARITESS R. ABELLA</v>
      </c>
      <c r="L1688" s="164" t="str">
        <f ca="1">IFERROR(__xludf.DUMMYFUNCTION("""COMPUTED_VALUE"""),"STOD")</f>
        <v>STOD</v>
      </c>
      <c r="M1688" s="164" t="str">
        <f ca="1">IFERROR(__xludf.DUMMYFUNCTION("""COMPUTED_VALUE"""),"SERVICEABLE")</f>
        <v>SERVICEABLE</v>
      </c>
      <c r="N1688" s="164"/>
    </row>
    <row r="1689" spans="1:14" ht="13.2" hidden="1">
      <c r="A1689" s="164" t="str">
        <f ca="1">IFERROR(__xludf.DUMMYFUNCTION("""COMPUTED_VALUE"""),"Region IV-A")</f>
        <v>Region IV-A</v>
      </c>
      <c r="B1689" s="164" t="str">
        <f ca="1">IFERROR(__xludf.DUMMYFUNCTION("""COMPUTED_VALUE"""),"QUEZON II")</f>
        <v>QUEZON II</v>
      </c>
      <c r="C1689" s="164" t="str">
        <f ca="1">IFERROR(__xludf.DUMMYFUNCTION("""COMPUTED_VALUE"""),"DESKTOP COMPUTER – (LENOVO M70T)")</f>
        <v>DESKTOP COMPUTER – (LENOVO M70T)</v>
      </c>
      <c r="D1689" s="164" t="str">
        <f ca="1">IFERROR(__xludf.DUMMYFUNCTION("""COMPUTED_VALUE"""),"₱ 75,468.00")</f>
        <v>₱ 75,468.00</v>
      </c>
      <c r="E1689" s="164" t="str">
        <f ca="1">IFERROR(__xludf.DUMMYFUNCTION("""COMPUTED_VALUE"""),"₱-")</f>
        <v>₱-</v>
      </c>
      <c r="F1689" s="164" t="str">
        <f ca="1">IFERROR(__xludf.DUMMYFUNCTION("""COMPUTED_VALUE"""),"2023-05-03-10201SP935-01")</f>
        <v>2023-05-03-10201SP935-01</v>
      </c>
      <c r="G1689" s="164" t="str">
        <f ca="1">IFERROR(__xludf.DUMMYFUNCTION("""COMPUTED_VALUE"""),"1S11T5S16200GM041AQ2")</f>
        <v>1S11T5S16200GM041AQ2</v>
      </c>
      <c r="H1689" s="164" t="str">
        <f ca="1">IFERROR(__xludf.DUMMYFUNCTION("""COMPUTED_VALUE"""),"JOSEFINA L. BIO")</f>
        <v>JOSEFINA L. BIO</v>
      </c>
      <c r="I1689" s="164" t="str">
        <f ca="1">IFERROR(__xludf.DUMMYFUNCTION("""COMPUTED_VALUE"""),"ADMINISTRATIVE &amp; FINANCE OFFICER")</f>
        <v>ADMINISTRATIVE &amp; FINANCE OFFICER</v>
      </c>
      <c r="J1689" s="164" t="str">
        <f ca="1">IFERROR(__xludf.DUMMYFUNCTION("""COMPUTED_VALUE"""),"2023-04-004")</f>
        <v>2023-04-004</v>
      </c>
      <c r="K1689" s="164" t="str">
        <f ca="1">IFERROR(__xludf.DUMMYFUNCTION("""COMPUTED_VALUE"""),"JOSEFINA L. BIO")</f>
        <v>JOSEFINA L. BIO</v>
      </c>
      <c r="L1689" s="164" t="str">
        <f ca="1">IFERROR(__xludf.DUMMYFUNCTION("""COMPUTED_VALUE"""),"STOD")</f>
        <v>STOD</v>
      </c>
      <c r="M1689" s="164" t="str">
        <f ca="1">IFERROR(__xludf.DUMMYFUNCTION("""COMPUTED_VALUE"""),"SERVICEABLE")</f>
        <v>SERVICEABLE</v>
      </c>
      <c r="N1689" s="164"/>
    </row>
    <row r="1690" spans="1:14" ht="13.2" hidden="1">
      <c r="A1690" s="164" t="str">
        <f ca="1">IFERROR(__xludf.DUMMYFUNCTION("""COMPUTED_VALUE"""),"Region IV-A")</f>
        <v>Region IV-A</v>
      </c>
      <c r="B1690" s="164" t="str">
        <f ca="1">IFERROR(__xludf.DUMMYFUNCTION("""COMPUTED_VALUE"""),"QUEZON II")</f>
        <v>QUEZON II</v>
      </c>
      <c r="C1690" s="164" t="str">
        <f ca="1">IFERROR(__xludf.DUMMYFUNCTION("""COMPUTED_VALUE"""),"DESKTOP COMPUTER – (LENOVO M70T)")</f>
        <v>DESKTOP COMPUTER – (LENOVO M70T)</v>
      </c>
      <c r="D1690" s="164" t="str">
        <f ca="1">IFERROR(__xludf.DUMMYFUNCTION("""COMPUTED_VALUE"""),"₱ 75,468.00")</f>
        <v>₱ 75,468.00</v>
      </c>
      <c r="E1690" s="164" t="str">
        <f ca="1">IFERROR(__xludf.DUMMYFUNCTION("""COMPUTED_VALUE"""),"₱-")</f>
        <v>₱-</v>
      </c>
      <c r="F1690" s="164" t="str">
        <f ca="1">IFERROR(__xludf.DUMMYFUNCTION("""COMPUTED_VALUE"""),"2023-05-03-10201SP936-01")</f>
        <v>2023-05-03-10201SP936-01</v>
      </c>
      <c r="G1690" s="164" t="str">
        <f ca="1">IFERROR(__xludf.DUMMYFUNCTION("""COMPUTED_VALUE"""),"1S11T5S16200GM041ASG")</f>
        <v>1S11T5S16200GM041ASG</v>
      </c>
      <c r="H1690" s="164" t="str">
        <f ca="1">IFERROR(__xludf.DUMMYFUNCTION("""COMPUTED_VALUE"""),"LHEA-LYN S. ESPAYOS")</f>
        <v>LHEA-LYN S. ESPAYOS</v>
      </c>
      <c r="I1690" s="164" t="str">
        <f ca="1">IFERROR(__xludf.DUMMYFUNCTION("""COMPUTED_VALUE"""),"PROJECT ACCOUNTANT")</f>
        <v>PROJECT ACCOUNTANT</v>
      </c>
      <c r="J1690" s="164" t="str">
        <f ca="1">IFERROR(__xludf.DUMMYFUNCTION("""COMPUTED_VALUE"""),"2023-04-005")</f>
        <v>2023-04-005</v>
      </c>
      <c r="K1690" s="164" t="str">
        <f ca="1">IFERROR(__xludf.DUMMYFUNCTION("""COMPUTED_VALUE"""),"CORAZON D. BONIFACIO")</f>
        <v>CORAZON D. BONIFACIO</v>
      </c>
      <c r="L1690" s="164" t="str">
        <f ca="1">IFERROR(__xludf.DUMMYFUNCTION("""COMPUTED_VALUE"""),"STOD")</f>
        <v>STOD</v>
      </c>
      <c r="M1690" s="164" t="str">
        <f ca="1">IFERROR(__xludf.DUMMYFUNCTION("""COMPUTED_VALUE"""),"SERVICEABLE")</f>
        <v>SERVICEABLE</v>
      </c>
      <c r="N1690" s="164"/>
    </row>
    <row r="1691" spans="1:14" ht="13.2" hidden="1">
      <c r="A1691" s="164" t="str">
        <f ca="1">IFERROR(__xludf.DUMMYFUNCTION("""COMPUTED_VALUE"""),"Region IV-A")</f>
        <v>Region IV-A</v>
      </c>
      <c r="B1691" s="164" t="str">
        <f ca="1">IFERROR(__xludf.DUMMYFUNCTION("""COMPUTED_VALUE"""),"QUEZON II")</f>
        <v>QUEZON II</v>
      </c>
      <c r="C1691" s="164" t="str">
        <f ca="1">IFERROR(__xludf.DUMMYFUNCTION("""COMPUTED_VALUE"""),"DESKTOP COMPUTER – (LENOVO M70T)")</f>
        <v>DESKTOP COMPUTER – (LENOVO M70T)</v>
      </c>
      <c r="D1691" s="164" t="str">
        <f ca="1">IFERROR(__xludf.DUMMYFUNCTION("""COMPUTED_VALUE"""),"₱ 75,468.00")</f>
        <v>₱ 75,468.00</v>
      </c>
      <c r="E1691" s="164" t="str">
        <f ca="1">IFERROR(__xludf.DUMMYFUNCTION("""COMPUTED_VALUE"""),"₱-")</f>
        <v>₱-</v>
      </c>
      <c r="F1691" s="164" t="str">
        <f ca="1">IFERROR(__xludf.DUMMYFUNCTION("""COMPUTED_VALUE"""),"2023-05-03-10201SP937-01")</f>
        <v>2023-05-03-10201SP937-01</v>
      </c>
      <c r="G1691" s="164" t="str">
        <f ca="1">IFERROR(__xludf.DUMMYFUNCTION("""COMPUTED_VALUE"""),"1S11T5S16200GM041AQ8")</f>
        <v>1S11T5S16200GM041AQ8</v>
      </c>
      <c r="H1691" s="164" t="str">
        <f ca="1">IFERROR(__xludf.DUMMYFUNCTION("""COMPUTED_VALUE"""),"RENATO JACA")</f>
        <v>RENATO JACA</v>
      </c>
      <c r="I1691" s="164" t="str">
        <f ca="1">IFERROR(__xludf.DUMMYFUNCTION("""COMPUTED_VALUE"""),"CBTA FOR IMPLEMENTERS &amp; ESS COORDINATOR")</f>
        <v>CBTA FOR IMPLEMENTERS &amp; ESS COORDINATOR</v>
      </c>
      <c r="J1691" s="164" t="str">
        <f ca="1">IFERROR(__xludf.DUMMYFUNCTION("""COMPUTED_VALUE"""),"2023-04-006")</f>
        <v>2023-04-006</v>
      </c>
      <c r="K1691" s="164" t="str">
        <f ca="1">IFERROR(__xludf.DUMMYFUNCTION("""COMPUTED_VALUE"""),"OLIVA HERRERA")</f>
        <v>OLIVA HERRERA</v>
      </c>
      <c r="L1691" s="164" t="str">
        <f ca="1">IFERROR(__xludf.DUMMYFUNCTION("""COMPUTED_VALUE"""),"PBDD")</f>
        <v>PBDD</v>
      </c>
      <c r="M1691" s="164" t="str">
        <f ca="1">IFERROR(__xludf.DUMMYFUNCTION("""COMPUTED_VALUE"""),"SERVICEABLE")</f>
        <v>SERVICEABLE</v>
      </c>
      <c r="N1691" s="164"/>
    </row>
    <row r="1692" spans="1:14" ht="13.2" hidden="1">
      <c r="A1692" s="164" t="str">
        <f ca="1">IFERROR(__xludf.DUMMYFUNCTION("""COMPUTED_VALUE"""),"Region IV-A")</f>
        <v>Region IV-A</v>
      </c>
      <c r="B1692" s="164" t="str">
        <f ca="1">IFERROR(__xludf.DUMMYFUNCTION("""COMPUTED_VALUE"""),"QUEZON II")</f>
        <v>QUEZON II</v>
      </c>
      <c r="C1692" s="164" t="str">
        <f ca="1">IFERROR(__xludf.DUMMYFUNCTION("""COMPUTED_VALUE"""),"DESKTOP COMPUTER – (LENOVO M70T)")</f>
        <v>DESKTOP COMPUTER – (LENOVO M70T)</v>
      </c>
      <c r="D1692" s="164" t="str">
        <f ca="1">IFERROR(__xludf.DUMMYFUNCTION("""COMPUTED_VALUE"""),"₱ 75,468.00")</f>
        <v>₱ 75,468.00</v>
      </c>
      <c r="E1692" s="164" t="str">
        <f ca="1">IFERROR(__xludf.DUMMYFUNCTION("""COMPUTED_VALUE"""),"₱-")</f>
        <v>₱-</v>
      </c>
      <c r="F1692" s="164" t="str">
        <f ca="1">IFERROR(__xludf.DUMMYFUNCTION("""COMPUTED_VALUE"""),"2023-05-03-10201SP938-01")</f>
        <v>2023-05-03-10201SP938-01</v>
      </c>
      <c r="G1692" s="164" t="str">
        <f ca="1">IFERROR(__xludf.DUMMYFUNCTION("""COMPUTED_VALUE"""),"1S11T5S16200GM041AP0")</f>
        <v>1S11T5S16200GM041AP0</v>
      </c>
      <c r="H1692" s="164" t="str">
        <f ca="1">IFERROR(__xludf.DUMMYFUNCTION("""COMPUTED_VALUE"""),"VIVIAN LUSTADO")</f>
        <v>VIVIAN LUSTADO</v>
      </c>
      <c r="I1692" s="164" t="str">
        <f ca="1">IFERROR(__xludf.DUMMYFUNCTION("""COMPUTED_VALUE"""),"LEGAL COORDINATOR")</f>
        <v>LEGAL COORDINATOR</v>
      </c>
      <c r="J1692" s="164" t="str">
        <f ca="1">IFERROR(__xludf.DUMMYFUNCTION("""COMPUTED_VALUE"""),"2023-04-007")</f>
        <v>2023-04-007</v>
      </c>
      <c r="K1692" s="164" t="str">
        <f ca="1">IFERROR(__xludf.DUMMYFUNCTION("""COMPUTED_VALUE"""),"VIVIAN LUSTADO")</f>
        <v>VIVIAN LUSTADO</v>
      </c>
      <c r="L1692" s="164" t="str">
        <f ca="1">IFERROR(__xludf.DUMMYFUNCTION("""COMPUTED_VALUE"""),"LEGAL")</f>
        <v>LEGAL</v>
      </c>
      <c r="M1692" s="164" t="str">
        <f ca="1">IFERROR(__xludf.DUMMYFUNCTION("""COMPUTED_VALUE"""),"SERVICEABLE")</f>
        <v>SERVICEABLE</v>
      </c>
      <c r="N1692" s="164"/>
    </row>
    <row r="1693" spans="1:14" ht="13.2" hidden="1">
      <c r="A1693" s="164" t="str">
        <f ca="1">IFERROR(__xludf.DUMMYFUNCTION("""COMPUTED_VALUE"""),"Region IV-A")</f>
        <v>Region IV-A</v>
      </c>
      <c r="B1693" s="164" t="str">
        <f ca="1">IFERROR(__xludf.DUMMYFUNCTION("""COMPUTED_VALUE"""),"QUEZON II")</f>
        <v>QUEZON II</v>
      </c>
      <c r="C1693" s="164" t="str">
        <f ca="1">IFERROR(__xludf.DUMMYFUNCTION("""COMPUTED_VALUE"""),"DESKTOP COMPUTER – (LENOVO M70T)")</f>
        <v>DESKTOP COMPUTER – (LENOVO M70T)</v>
      </c>
      <c r="D1693" s="164" t="str">
        <f ca="1">IFERROR(__xludf.DUMMYFUNCTION("""COMPUTED_VALUE"""),"₱ 75,468.00")</f>
        <v>₱ 75,468.00</v>
      </c>
      <c r="E1693" s="164" t="str">
        <f ca="1">IFERROR(__xludf.DUMMYFUNCTION("""COMPUTED_VALUE"""),"₱-")</f>
        <v>₱-</v>
      </c>
      <c r="F1693" s="164" t="str">
        <f ca="1">IFERROR(__xludf.DUMMYFUNCTION("""COMPUTED_VALUE"""),"2023-05-03-10201SP939-01")</f>
        <v>2023-05-03-10201SP939-01</v>
      </c>
      <c r="G1693" s="164" t="str">
        <f ca="1">IFERROR(__xludf.DUMMYFUNCTION("""COMPUTED_VALUE"""),"1S11T5S16200GM041AQR")</f>
        <v>1S11T5S16200GM041AQR</v>
      </c>
      <c r="H1693" s="164" t="str">
        <f ca="1">IFERROR(__xludf.DUMMYFUNCTION("""COMPUTED_VALUE"""),"ALFRED RONUEL H. AQUINO")</f>
        <v>ALFRED RONUEL H. AQUINO</v>
      </c>
      <c r="I1693" s="164" t="str">
        <f ca="1">IFERROR(__xludf.DUMMYFUNCTION("""COMPUTED_VALUE"""),"DOCUMENTATION/ESS SUPPORT STAFF")</f>
        <v>DOCUMENTATION/ESS SUPPORT STAFF</v>
      </c>
      <c r="J1693" s="164" t="str">
        <f ca="1">IFERROR(__xludf.DUMMYFUNCTION("""COMPUTED_VALUE"""),"2023-04-008")</f>
        <v>2023-04-008</v>
      </c>
      <c r="K1693" s="164" t="str">
        <f ca="1">IFERROR(__xludf.DUMMYFUNCTION("""COMPUTED_VALUE"""),"ALFRED RONUEL H. AQUINO")</f>
        <v>ALFRED RONUEL H. AQUINO</v>
      </c>
      <c r="L1693" s="164" t="str">
        <f ca="1">IFERROR(__xludf.DUMMYFUNCTION("""COMPUTED_VALUE"""),"LTID")</f>
        <v>LTID</v>
      </c>
      <c r="M1693" s="164" t="str">
        <f ca="1">IFERROR(__xludf.DUMMYFUNCTION("""COMPUTED_VALUE"""),"SERVICEABLE")</f>
        <v>SERVICEABLE</v>
      </c>
      <c r="N1693" s="164"/>
    </row>
    <row r="1694" spans="1:14" ht="13.2" hidden="1">
      <c r="A1694" s="164" t="str">
        <f ca="1">IFERROR(__xludf.DUMMYFUNCTION("""COMPUTED_VALUE"""),"Region IV-A")</f>
        <v>Region IV-A</v>
      </c>
      <c r="B1694" s="164" t="str">
        <f ca="1">IFERROR(__xludf.DUMMYFUNCTION("""COMPUTED_VALUE"""),"QUEZON II")</f>
        <v>QUEZON II</v>
      </c>
      <c r="C1694" s="164" t="str">
        <f ca="1">IFERROR(__xludf.DUMMYFUNCTION("""COMPUTED_VALUE"""),"DESKTOP COMPUTER – (LENOVO M70T)")</f>
        <v>DESKTOP COMPUTER – (LENOVO M70T)</v>
      </c>
      <c r="D1694" s="164" t="str">
        <f ca="1">IFERROR(__xludf.DUMMYFUNCTION("""COMPUTED_VALUE"""),"₱ 75,468.00")</f>
        <v>₱ 75,468.00</v>
      </c>
      <c r="E1694" s="164" t="str">
        <f ca="1">IFERROR(__xludf.DUMMYFUNCTION("""COMPUTED_VALUE"""),"₱-")</f>
        <v>₱-</v>
      </c>
      <c r="F1694" s="164" t="str">
        <f ca="1">IFERROR(__xludf.DUMMYFUNCTION("""COMPUTED_VALUE"""),"2023-05-03-10201SP940-01")</f>
        <v>2023-05-03-10201SP940-01</v>
      </c>
      <c r="G1694" s="164" t="str">
        <f ca="1">IFERROR(__xludf.DUMMYFUNCTION("""COMPUTED_VALUE"""),"1S11T5S16200GM041ASH")</f>
        <v>1S11T5S16200GM041ASH</v>
      </c>
      <c r="H1694" s="164" t="str">
        <f ca="1">IFERROR(__xludf.DUMMYFUNCTION("""COMPUTED_VALUE"""),"VERONICA M. OTCHARAN")</f>
        <v>VERONICA M. OTCHARAN</v>
      </c>
      <c r="I1694" s="164" t="str">
        <f ca="1">IFERROR(__xludf.DUMMYFUNCTION("""COMPUTED_VALUE"""),"FVT COORDINATOR")</f>
        <v>FVT COORDINATOR</v>
      </c>
      <c r="J1694" s="164" t="str">
        <f ca="1">IFERROR(__xludf.DUMMYFUNCTION("""COMPUTED_VALUE"""),"2023-04-009")</f>
        <v>2023-04-009</v>
      </c>
      <c r="K1694" s="164" t="str">
        <f ca="1">IFERROR(__xludf.DUMMYFUNCTION("""COMPUTED_VALUE"""),"DEOVELYN BEJO-AQUINO")</f>
        <v>DEOVELYN BEJO-AQUINO</v>
      </c>
      <c r="L1694" s="164" t="str">
        <f ca="1">IFERROR(__xludf.DUMMYFUNCTION("""COMPUTED_VALUE"""),"LTID")</f>
        <v>LTID</v>
      </c>
      <c r="M1694" s="164" t="str">
        <f ca="1">IFERROR(__xludf.DUMMYFUNCTION("""COMPUTED_VALUE"""),"SERVICEABLE")</f>
        <v>SERVICEABLE</v>
      </c>
      <c r="N1694" s="164"/>
    </row>
    <row r="1695" spans="1:14" ht="13.2" hidden="1">
      <c r="A1695" s="164" t="str">
        <f ca="1">IFERROR(__xludf.DUMMYFUNCTION("""COMPUTED_VALUE"""),"Region IV-A")</f>
        <v>Region IV-A</v>
      </c>
      <c r="B1695" s="164" t="str">
        <f ca="1">IFERROR(__xludf.DUMMYFUNCTION("""COMPUTED_VALUE"""),"QUEZON II")</f>
        <v>QUEZON II</v>
      </c>
      <c r="C1695" s="164" t="str">
        <f ca="1">IFERROR(__xludf.DUMMYFUNCTION("""COMPUTED_VALUE"""),"DESKTOP COMPUTER – (LENOVO M70T)")</f>
        <v>DESKTOP COMPUTER – (LENOVO M70T)</v>
      </c>
      <c r="D1695" s="164" t="str">
        <f ca="1">IFERROR(__xludf.DUMMYFUNCTION("""COMPUTED_VALUE"""),"₱ 75,468.00")</f>
        <v>₱ 75,468.00</v>
      </c>
      <c r="E1695" s="164" t="str">
        <f ca="1">IFERROR(__xludf.DUMMYFUNCTION("""COMPUTED_VALUE"""),"₱-")</f>
        <v>₱-</v>
      </c>
      <c r="F1695" s="164" t="str">
        <f ca="1">IFERROR(__xludf.DUMMYFUNCTION("""COMPUTED_VALUE"""),"2023-05-03-10201SP941-01")</f>
        <v>2023-05-03-10201SP941-01</v>
      </c>
      <c r="G1695" s="164" t="str">
        <f ca="1">IFERROR(__xludf.DUMMYFUNCTION("""COMPUTED_VALUE"""),"1S11T5S16200GM041AQ5")</f>
        <v>1S11T5S16200GM041AQ5</v>
      </c>
      <c r="H1695" s="164" t="str">
        <f ca="1">IFERROR(__xludf.DUMMYFUNCTION("""COMPUTED_VALUE"""),"JOHNSON U. BONIFACIO")</f>
        <v>JOHNSON U. BONIFACIO</v>
      </c>
      <c r="I1695" s="164" t="str">
        <f ca="1">IFERROR(__xludf.DUMMYFUNCTION("""COMPUTED_VALUE"""),"PROCUREMENT OFFICER")</f>
        <v>PROCUREMENT OFFICER</v>
      </c>
      <c r="J1695" s="164" t="str">
        <f ca="1">IFERROR(__xludf.DUMMYFUNCTION("""COMPUTED_VALUE"""),"2023-04-010")</f>
        <v>2023-04-010</v>
      </c>
      <c r="K1695" s="164" t="str">
        <f ca="1">IFERROR(__xludf.DUMMYFUNCTION("""COMPUTED_VALUE"""),"LORELYNN L. MACASINAG")</f>
        <v>LORELYNN L. MACASINAG</v>
      </c>
      <c r="L1695" s="164" t="str">
        <f ca="1">IFERROR(__xludf.DUMMYFUNCTION("""COMPUTED_VALUE"""),"PROCUREMENT OFFICE")</f>
        <v>PROCUREMENT OFFICE</v>
      </c>
      <c r="M1695" s="164" t="str">
        <f ca="1">IFERROR(__xludf.DUMMYFUNCTION("""COMPUTED_VALUE"""),"SERVICEABLE")</f>
        <v>SERVICEABLE</v>
      </c>
      <c r="N1695" s="164"/>
    </row>
    <row r="1696" spans="1:14" ht="13.2" hidden="1">
      <c r="A1696" s="164" t="str">
        <f ca="1">IFERROR(__xludf.DUMMYFUNCTION("""COMPUTED_VALUE"""),"Region IV-A")</f>
        <v>Region IV-A</v>
      </c>
      <c r="B1696" s="164" t="str">
        <f ca="1">IFERROR(__xludf.DUMMYFUNCTION("""COMPUTED_VALUE"""),"QUEZON II")</f>
        <v>QUEZON II</v>
      </c>
      <c r="C1696" s="164" t="str">
        <f ca="1">IFERROR(__xludf.DUMMYFUNCTION("""COMPUTED_VALUE"""),"DESKTOP COMPUTER – (LENOVO M70T)")</f>
        <v>DESKTOP COMPUTER – (LENOVO M70T)</v>
      </c>
      <c r="D1696" s="164" t="str">
        <f ca="1">IFERROR(__xludf.DUMMYFUNCTION("""COMPUTED_VALUE"""),"₱ 75,468.00")</f>
        <v>₱ 75,468.00</v>
      </c>
      <c r="E1696" s="164" t="str">
        <f ca="1">IFERROR(__xludf.DUMMYFUNCTION("""COMPUTED_VALUE"""),"₱-")</f>
        <v>₱-</v>
      </c>
      <c r="F1696" s="164" t="str">
        <f ca="1">IFERROR(__xludf.DUMMYFUNCTION("""COMPUTED_VALUE"""),"2023-05-03-10201SP942-01")</f>
        <v>2023-05-03-10201SP942-01</v>
      </c>
      <c r="G1696" s="164" t="str">
        <f ca="1">IFERROR(__xludf.DUMMYFUNCTION("""COMPUTED_VALUE"""),"1S11T5S16200GM041AQK")</f>
        <v>1S11T5S16200GM041AQK</v>
      </c>
      <c r="H1696" s="164" t="str">
        <f ca="1">IFERROR(__xludf.DUMMYFUNCTION("""COMPUTED_VALUE"""),"ALFA G. LOPEZ")</f>
        <v>ALFA G. LOPEZ</v>
      </c>
      <c r="I1696" s="164" t="str">
        <f ca="1">IFERROR(__xludf.DUMMYFUNCTION("""COMPUTED_VALUE"""),"MIS COORDINATOR")</f>
        <v>MIS COORDINATOR</v>
      </c>
      <c r="J1696" s="164" t="str">
        <f ca="1">IFERROR(__xludf.DUMMYFUNCTION("""COMPUTED_VALUE"""),"2023-04-011")</f>
        <v>2023-04-011</v>
      </c>
      <c r="K1696" s="164" t="str">
        <f ca="1">IFERROR(__xludf.DUMMYFUNCTION("""COMPUTED_VALUE"""),"ALFA G. LOPEZ")</f>
        <v>ALFA G. LOPEZ</v>
      </c>
      <c r="L1696" s="164" t="str">
        <f ca="1">IFERROR(__xludf.DUMMYFUNCTION("""COMPUTED_VALUE"""),"LTID")</f>
        <v>LTID</v>
      </c>
      <c r="M1696" s="164" t="str">
        <f ca="1">IFERROR(__xludf.DUMMYFUNCTION("""COMPUTED_VALUE"""),"SERVICEABLE")</f>
        <v>SERVICEABLE</v>
      </c>
      <c r="N1696" s="164"/>
    </row>
    <row r="1697" spans="1:14" ht="13.2" hidden="1">
      <c r="A1697" s="164" t="str">
        <f ca="1">IFERROR(__xludf.DUMMYFUNCTION("""COMPUTED_VALUE"""),"Region IV-A")</f>
        <v>Region IV-A</v>
      </c>
      <c r="B1697" s="164" t="str">
        <f ca="1">IFERROR(__xludf.DUMMYFUNCTION("""COMPUTED_VALUE"""),"QUEZON II")</f>
        <v>QUEZON II</v>
      </c>
      <c r="C1697" s="164" t="str">
        <f ca="1">IFERROR(__xludf.DUMMYFUNCTION("""COMPUTED_VALUE"""),"DESKTOP COMPUTER – (LENOVO M70T)")</f>
        <v>DESKTOP COMPUTER – (LENOVO M70T)</v>
      </c>
      <c r="D1697" s="164" t="str">
        <f ca="1">IFERROR(__xludf.DUMMYFUNCTION("""COMPUTED_VALUE"""),"₱ 75,468.00")</f>
        <v>₱ 75,468.00</v>
      </c>
      <c r="E1697" s="164" t="str">
        <f ca="1">IFERROR(__xludf.DUMMYFUNCTION("""COMPUTED_VALUE"""),"₱-")</f>
        <v>₱-</v>
      </c>
      <c r="F1697" s="164" t="str">
        <f ca="1">IFERROR(__xludf.DUMMYFUNCTION("""COMPUTED_VALUE"""),"2023-05-03-10201SP943-01")</f>
        <v>2023-05-03-10201SP943-01</v>
      </c>
      <c r="G1697" s="164" t="str">
        <f ca="1">IFERROR(__xludf.DUMMYFUNCTION("""COMPUTED_VALUE"""),"1S11T5S16200GM041AQS")</f>
        <v>1S11T5S16200GM041AQS</v>
      </c>
      <c r="H1697" s="164" t="str">
        <f ca="1">IFERROR(__xludf.DUMMYFUNCTION("""COMPUTED_VALUE"""),"ORLANDO BONO")</f>
        <v>ORLANDO BONO</v>
      </c>
      <c r="I1697" s="164" t="str">
        <f ca="1">IFERROR(__xludf.DUMMYFUNCTION("""COMPUTED_VALUE"""),"DENR/LRA-ROD SURVEY COORDINATOR")</f>
        <v>DENR/LRA-ROD SURVEY COORDINATOR</v>
      </c>
      <c r="J1697" s="164" t="str">
        <f ca="1">IFERROR(__xludf.DUMMYFUNCTION("""COMPUTED_VALUE"""),"2023-04-012")</f>
        <v>2023-04-012</v>
      </c>
      <c r="K1697" s="164" t="str">
        <f ca="1">IFERROR(__xludf.DUMMYFUNCTION("""COMPUTED_VALUE"""),"ORLANDO BONO")</f>
        <v>ORLANDO BONO</v>
      </c>
      <c r="L1697" s="164" t="str">
        <f ca="1">IFERROR(__xludf.DUMMYFUNCTION("""COMPUTED_VALUE"""),"LTID")</f>
        <v>LTID</v>
      </c>
      <c r="M1697" s="164" t="str">
        <f ca="1">IFERROR(__xludf.DUMMYFUNCTION("""COMPUTED_VALUE"""),"SERVICEABLE")</f>
        <v>SERVICEABLE</v>
      </c>
      <c r="N1697" s="164"/>
    </row>
    <row r="1698" spans="1:14" ht="13.2" hidden="1">
      <c r="A1698" s="164" t="str">
        <f ca="1">IFERROR(__xludf.DUMMYFUNCTION("""COMPUTED_VALUE"""),"Region IV-A")</f>
        <v>Region IV-A</v>
      </c>
      <c r="B1698" s="164" t="str">
        <f ca="1">IFERROR(__xludf.DUMMYFUNCTION("""COMPUTED_VALUE"""),"RIZAL")</f>
        <v>RIZAL</v>
      </c>
      <c r="C1698" s="164" t="str">
        <f ca="1">IFERROR(__xludf.DUMMYFUNCTION("""COMPUTED_VALUE"""),"DESKTOP COMPUTER – (LENOVO M70T)")</f>
        <v>DESKTOP COMPUTER – (LENOVO M70T)</v>
      </c>
      <c r="D1698" s="164" t="str">
        <f ca="1">IFERROR(__xludf.DUMMYFUNCTION("""COMPUTED_VALUE"""),"₱ 75,468.00")</f>
        <v>₱ 75,468.00</v>
      </c>
      <c r="E1698" s="164" t="str">
        <f ca="1">IFERROR(__xludf.DUMMYFUNCTION("""COMPUTED_VALUE"""),"₱-")</f>
        <v>₱-</v>
      </c>
      <c r="F1698" s="164" t="str">
        <f ca="1">IFERROR(__xludf.DUMMYFUNCTION("""COMPUTED_VALUE"""),"2023-05-03-10201SP872-01")</f>
        <v>2023-05-03-10201SP872-01</v>
      </c>
      <c r="G1698" s="164" t="str">
        <f ca="1">IFERROR(__xludf.DUMMYFUNCTION("""COMPUTED_VALUE"""),"1S11T5S16200GM0418HM")</f>
        <v>1S11T5S16200GM0418HM</v>
      </c>
      <c r="H1698" s="164" t="str">
        <f ca="1">IFERROR(__xludf.DUMMYFUNCTION("""COMPUTED_VALUE"""),"PRUDENCE P. OROZCO")</f>
        <v>PRUDENCE P. OROZCO</v>
      </c>
      <c r="I1698" s="164" t="str">
        <f ca="1">IFERROR(__xludf.DUMMYFUNCTION("""COMPUTED_VALUE"""),"ADMIN OFFICER IV")</f>
        <v>ADMIN OFFICER IV</v>
      </c>
      <c r="J1698" s="164" t="str">
        <f ca="1">IFERROR(__xludf.DUMMYFUNCTION("""COMPUTED_VALUE"""),"2023-SPLIT-04-001")</f>
        <v>2023-SPLIT-04-001</v>
      </c>
      <c r="K1698" s="164" t="str">
        <f ca="1">IFERROR(__xludf.DUMMYFUNCTION("""COMPUTED_VALUE"""),"PRUDENCE P. OROZCO")</f>
        <v>PRUDENCE P. OROZCO</v>
      </c>
      <c r="L1698" s="164" t="str">
        <f ca="1">IFERROR(__xludf.DUMMYFUNCTION("""COMPUTED_VALUE"""),"ADMIN/FINANCE")</f>
        <v>ADMIN/FINANCE</v>
      </c>
      <c r="M1698" s="164" t="str">
        <f ca="1">IFERROR(__xludf.DUMMYFUNCTION("""COMPUTED_VALUE"""),"SERVICEABLE")</f>
        <v>SERVICEABLE</v>
      </c>
      <c r="N1698" s="164"/>
    </row>
    <row r="1699" spans="1:14" ht="13.2" hidden="1">
      <c r="A1699" s="164" t="str">
        <f ca="1">IFERROR(__xludf.DUMMYFUNCTION("""COMPUTED_VALUE"""),"Region IV-A")</f>
        <v>Region IV-A</v>
      </c>
      <c r="B1699" s="164" t="str">
        <f ca="1">IFERROR(__xludf.DUMMYFUNCTION("""COMPUTED_VALUE"""),"RIZAL")</f>
        <v>RIZAL</v>
      </c>
      <c r="C1699" s="164" t="str">
        <f ca="1">IFERROR(__xludf.DUMMYFUNCTION("""COMPUTED_VALUE"""),"DESKTOP COMPUTER – (LENOVO M70T)")</f>
        <v>DESKTOP COMPUTER – (LENOVO M70T)</v>
      </c>
      <c r="D1699" s="164" t="str">
        <f ca="1">IFERROR(__xludf.DUMMYFUNCTION("""COMPUTED_VALUE"""),"₱ 75,468.00")</f>
        <v>₱ 75,468.00</v>
      </c>
      <c r="E1699" s="164" t="str">
        <f ca="1">IFERROR(__xludf.DUMMYFUNCTION("""COMPUTED_VALUE"""),"₱-")</f>
        <v>₱-</v>
      </c>
      <c r="F1699" s="164" t="str">
        <f ca="1">IFERROR(__xludf.DUMMYFUNCTION("""COMPUTED_VALUE"""),"2023-05-03-10201SP873-01")</f>
        <v>2023-05-03-10201SP873-01</v>
      </c>
      <c r="G1699" s="164" t="str">
        <f ca="1">IFERROR(__xludf.DUMMYFUNCTION("""COMPUTED_VALUE"""),"1S11T5S16200GM041AWQ")</f>
        <v>1S11T5S16200GM041AWQ</v>
      </c>
      <c r="H1699" s="164" t="str">
        <f ca="1">IFERROR(__xludf.DUMMYFUNCTION("""COMPUTED_VALUE"""),"JOSEPHINE R. C. MATAWARAN")</f>
        <v>JOSEPHINE R. C. MATAWARAN</v>
      </c>
      <c r="I1699" s="164" t="str">
        <f ca="1">IFERROR(__xludf.DUMMYFUNCTION("""COMPUTED_VALUE"""),"PLANNING OFFICER II")</f>
        <v>PLANNING OFFICER II</v>
      </c>
      <c r="J1699" s="164" t="str">
        <f ca="1">IFERROR(__xludf.DUMMYFUNCTION("""COMPUTED_VALUE"""),"2023-SPLIT-04-002")</f>
        <v>2023-SPLIT-04-002</v>
      </c>
      <c r="K1699" s="164" t="str">
        <f ca="1">IFERROR(__xludf.DUMMYFUNCTION("""COMPUTED_VALUE"""),"JOSEPHINE R. C. MATAWARAN")</f>
        <v>JOSEPHINE R. C. MATAWARAN</v>
      </c>
      <c r="L1699" s="164" t="str">
        <f ca="1">IFERROR(__xludf.DUMMYFUNCTION("""COMPUTED_VALUE"""),"ADMIN/FINANCE")</f>
        <v>ADMIN/FINANCE</v>
      </c>
      <c r="M1699" s="164" t="str">
        <f ca="1">IFERROR(__xludf.DUMMYFUNCTION("""COMPUTED_VALUE"""),"SERVICEABLE")</f>
        <v>SERVICEABLE</v>
      </c>
      <c r="N1699" s="164"/>
    </row>
    <row r="1700" spans="1:14" ht="13.2" hidden="1">
      <c r="A1700" s="164" t="str">
        <f ca="1">IFERROR(__xludf.DUMMYFUNCTION("""COMPUTED_VALUE"""),"Region IV-A")</f>
        <v>Region IV-A</v>
      </c>
      <c r="B1700" s="164" t="str">
        <f ca="1">IFERROR(__xludf.DUMMYFUNCTION("""COMPUTED_VALUE"""),"RIZAL")</f>
        <v>RIZAL</v>
      </c>
      <c r="C1700" s="164" t="str">
        <f ca="1">IFERROR(__xludf.DUMMYFUNCTION("""COMPUTED_VALUE"""),"DESKTOP COMPUTER – (LENOVO M70T)")</f>
        <v>DESKTOP COMPUTER – (LENOVO M70T)</v>
      </c>
      <c r="D1700" s="164" t="str">
        <f ca="1">IFERROR(__xludf.DUMMYFUNCTION("""COMPUTED_VALUE"""),"₱ 75,468.00")</f>
        <v>₱ 75,468.00</v>
      </c>
      <c r="E1700" s="164" t="str">
        <f ca="1">IFERROR(__xludf.DUMMYFUNCTION("""COMPUTED_VALUE"""),"₱-")</f>
        <v>₱-</v>
      </c>
      <c r="F1700" s="164" t="str">
        <f ca="1">IFERROR(__xludf.DUMMYFUNCTION("""COMPUTED_VALUE"""),"2023-05-03-10201SP874-01")</f>
        <v>2023-05-03-10201SP874-01</v>
      </c>
      <c r="G1700" s="164" t="str">
        <f ca="1">IFERROR(__xludf.DUMMYFUNCTION("""COMPUTED_VALUE"""),"1S11T5S16200GM041607")</f>
        <v>1S11T5S16200GM041607</v>
      </c>
      <c r="H1700" s="164" t="str">
        <f ca="1">IFERROR(__xludf.DUMMYFUNCTION("""COMPUTED_VALUE"""),"AMELITA R. CEJAS")</f>
        <v>AMELITA R. CEJAS</v>
      </c>
      <c r="I1700" s="164" t="str">
        <f ca="1">IFERROR(__xludf.DUMMYFUNCTION("""COMPUTED_VALUE"""),"BUDGET OFFICER II")</f>
        <v>BUDGET OFFICER II</v>
      </c>
      <c r="J1700" s="164" t="str">
        <f ca="1">IFERROR(__xludf.DUMMYFUNCTION("""COMPUTED_VALUE"""),"2023-SPLIT-04-003")</f>
        <v>2023-SPLIT-04-003</v>
      </c>
      <c r="K1700" s="164" t="str">
        <f ca="1">IFERROR(__xludf.DUMMYFUNCTION("""COMPUTED_VALUE"""),"AMELITA R. CEJAS")</f>
        <v>AMELITA R. CEJAS</v>
      </c>
      <c r="L1700" s="164" t="str">
        <f ca="1">IFERROR(__xludf.DUMMYFUNCTION("""COMPUTED_VALUE"""),"ADMIN/FINANCE")</f>
        <v>ADMIN/FINANCE</v>
      </c>
      <c r="M1700" s="164" t="str">
        <f ca="1">IFERROR(__xludf.DUMMYFUNCTION("""COMPUTED_VALUE"""),"SERVICEABLE")</f>
        <v>SERVICEABLE</v>
      </c>
      <c r="N1700" s="164"/>
    </row>
    <row r="1701" spans="1:14" ht="13.2" hidden="1">
      <c r="A1701" s="164" t="str">
        <f ca="1">IFERROR(__xludf.DUMMYFUNCTION("""COMPUTED_VALUE"""),"Region IV-A")</f>
        <v>Region IV-A</v>
      </c>
      <c r="B1701" s="164" t="str">
        <f ca="1">IFERROR(__xludf.DUMMYFUNCTION("""COMPUTED_VALUE"""),"RIZAL")</f>
        <v>RIZAL</v>
      </c>
      <c r="C1701" s="164" t="str">
        <f ca="1">IFERROR(__xludf.DUMMYFUNCTION("""COMPUTED_VALUE"""),"DESKTOP COMPUTER – (LENOVO M70T)")</f>
        <v>DESKTOP COMPUTER – (LENOVO M70T)</v>
      </c>
      <c r="D1701" s="164" t="str">
        <f ca="1">IFERROR(__xludf.DUMMYFUNCTION("""COMPUTED_VALUE"""),"₱ 75,468.00")</f>
        <v>₱ 75,468.00</v>
      </c>
      <c r="E1701" s="164" t="str">
        <f ca="1">IFERROR(__xludf.DUMMYFUNCTION("""COMPUTED_VALUE"""),"₱-")</f>
        <v>₱-</v>
      </c>
      <c r="F1701" s="164" t="str">
        <f ca="1">IFERROR(__xludf.DUMMYFUNCTION("""COMPUTED_VALUE"""),"2023-05-03-10201SP875-01")</f>
        <v>2023-05-03-10201SP875-01</v>
      </c>
      <c r="G1701" s="164" t="str">
        <f ca="1">IFERROR(__xludf.DUMMYFUNCTION("""COMPUTED_VALUE"""),"1S11T5S16200GM0415T7")</f>
        <v>1S11T5S16200GM0415T7</v>
      </c>
      <c r="H1701" s="164" t="str">
        <f ca="1">IFERROR(__xludf.DUMMYFUNCTION("""COMPUTED_VALUE"""),"LHEA R. ANTONIO")</f>
        <v>LHEA R. ANTONIO</v>
      </c>
      <c r="I1701" s="164" t="str">
        <f ca="1">IFERROR(__xludf.DUMMYFUNCTION("""COMPUTED_VALUE"""),"CASHIER II")</f>
        <v>CASHIER II</v>
      </c>
      <c r="J1701" s="164" t="str">
        <f ca="1">IFERROR(__xludf.DUMMYFUNCTION("""COMPUTED_VALUE"""),"2023-SPLIT-04-004")</f>
        <v>2023-SPLIT-04-004</v>
      </c>
      <c r="K1701" s="164" t="str">
        <f ca="1">IFERROR(__xludf.DUMMYFUNCTION("""COMPUTED_VALUE"""),"LHEA R. ANTONIO")</f>
        <v>LHEA R. ANTONIO</v>
      </c>
      <c r="L1701" s="164" t="str">
        <f ca="1">IFERROR(__xludf.DUMMYFUNCTION("""COMPUTED_VALUE"""),"ADMIN/FINANCE")</f>
        <v>ADMIN/FINANCE</v>
      </c>
      <c r="M1701" s="164" t="str">
        <f ca="1">IFERROR(__xludf.DUMMYFUNCTION("""COMPUTED_VALUE"""),"SERVICEABLE")</f>
        <v>SERVICEABLE</v>
      </c>
      <c r="N1701" s="164"/>
    </row>
    <row r="1702" spans="1:14" ht="13.2" hidden="1">
      <c r="A1702" s="164" t="str">
        <f ca="1">IFERROR(__xludf.DUMMYFUNCTION("""COMPUTED_VALUE"""),"Region IV-A")</f>
        <v>Region IV-A</v>
      </c>
      <c r="B1702" s="164" t="str">
        <f ca="1">IFERROR(__xludf.DUMMYFUNCTION("""COMPUTED_VALUE"""),"RIZAL")</f>
        <v>RIZAL</v>
      </c>
      <c r="C1702" s="164" t="str">
        <f ca="1">IFERROR(__xludf.DUMMYFUNCTION("""COMPUTED_VALUE"""),"DESKTOP COMPUTER – (LENOVO M70T)")</f>
        <v>DESKTOP COMPUTER – (LENOVO M70T)</v>
      </c>
      <c r="D1702" s="164" t="str">
        <f ca="1">IFERROR(__xludf.DUMMYFUNCTION("""COMPUTED_VALUE"""),"₱ 75,468.00")</f>
        <v>₱ 75,468.00</v>
      </c>
      <c r="E1702" s="164" t="str">
        <f ca="1">IFERROR(__xludf.DUMMYFUNCTION("""COMPUTED_VALUE"""),"₱-")</f>
        <v>₱-</v>
      </c>
      <c r="F1702" s="164" t="str">
        <f ca="1">IFERROR(__xludf.DUMMYFUNCTION("""COMPUTED_VALUE"""),"2023-05-03-10201SP876-01")</f>
        <v>2023-05-03-10201SP876-01</v>
      </c>
      <c r="G1702" s="164" t="str">
        <f ca="1">IFERROR(__xludf.DUMMYFUNCTION("""COMPUTED_VALUE"""),"1S11T5S16200GM041AX2")</f>
        <v>1S11T5S16200GM041AX2</v>
      </c>
      <c r="H1702" s="164" t="str">
        <f ca="1">IFERROR(__xludf.DUMMYFUNCTION("""COMPUTED_VALUE"""),"ATTY. RAUL I. BAUTISTA")</f>
        <v>ATTY. RAUL I. BAUTISTA</v>
      </c>
      <c r="I1702" s="164" t="str">
        <f ca="1">IFERROR(__xludf.DUMMYFUNCTION("""COMPUTED_VALUE"""),"CHIEF LEGAL")</f>
        <v>CHIEF LEGAL</v>
      </c>
      <c r="J1702" s="164" t="str">
        <f ca="1">IFERROR(__xludf.DUMMYFUNCTION("""COMPUTED_VALUE"""),"2023-SPLIT-04-005")</f>
        <v>2023-SPLIT-04-005</v>
      </c>
      <c r="K1702" s="164" t="str">
        <f ca="1">IFERROR(__xludf.DUMMYFUNCTION("""COMPUTED_VALUE"""),"ATTY. RAUL I. BAUTISTA")</f>
        <v>ATTY. RAUL I. BAUTISTA</v>
      </c>
      <c r="L1702" s="164" t="str">
        <f ca="1">IFERROR(__xludf.DUMMYFUNCTION("""COMPUTED_VALUE"""),"LEGAL")</f>
        <v>LEGAL</v>
      </c>
      <c r="M1702" s="164" t="str">
        <f ca="1">IFERROR(__xludf.DUMMYFUNCTION("""COMPUTED_VALUE"""),"SERVICEABLE")</f>
        <v>SERVICEABLE</v>
      </c>
      <c r="N1702" s="164"/>
    </row>
    <row r="1703" spans="1:14" ht="13.2" hidden="1">
      <c r="A1703" s="164" t="str">
        <f ca="1">IFERROR(__xludf.DUMMYFUNCTION("""COMPUTED_VALUE"""),"Region IV-A")</f>
        <v>Region IV-A</v>
      </c>
      <c r="B1703" s="164" t="str">
        <f ca="1">IFERROR(__xludf.DUMMYFUNCTION("""COMPUTED_VALUE"""),"RIZAL")</f>
        <v>RIZAL</v>
      </c>
      <c r="C1703" s="164" t="str">
        <f ca="1">IFERROR(__xludf.DUMMYFUNCTION("""COMPUTED_VALUE"""),"DESKTOP COMPUTER – (LENOVO M70T)")</f>
        <v>DESKTOP COMPUTER – (LENOVO M70T)</v>
      </c>
      <c r="D1703" s="164" t="str">
        <f ca="1">IFERROR(__xludf.DUMMYFUNCTION("""COMPUTED_VALUE"""),"₱ 75,468.00")</f>
        <v>₱ 75,468.00</v>
      </c>
      <c r="E1703" s="164" t="str">
        <f ca="1">IFERROR(__xludf.DUMMYFUNCTION("""COMPUTED_VALUE"""),"₱-")</f>
        <v>₱-</v>
      </c>
      <c r="F1703" s="164" t="str">
        <f ca="1">IFERROR(__xludf.DUMMYFUNCTION("""COMPUTED_VALUE"""),"2023-05-03-10201SP877-01")</f>
        <v>2023-05-03-10201SP877-01</v>
      </c>
      <c r="G1703" s="164" t="str">
        <f ca="1">IFERROR(__xludf.DUMMYFUNCTION("""COMPUTED_VALUE"""),"1S11T5S16200GM0418DN")</f>
        <v>1S11T5S16200GM0418DN</v>
      </c>
      <c r="H1703" s="164" t="str">
        <f ca="1">IFERROR(__xludf.DUMMYFUNCTION("""COMPUTED_VALUE"""),"FLORENCE SM. MARANION")</f>
        <v>FLORENCE SM. MARANION</v>
      </c>
      <c r="I1703" s="164" t="str">
        <f ca="1">IFERROR(__xludf.DUMMYFUNCTION("""COMPUTED_VALUE"""),"OIC-CARPO")</f>
        <v>OIC-CARPO</v>
      </c>
      <c r="J1703" s="164" t="str">
        <f ca="1">IFERROR(__xludf.DUMMYFUNCTION("""COMPUTED_VALUE"""),"2023-SPLIT-04-006")</f>
        <v>2023-SPLIT-04-006</v>
      </c>
      <c r="K1703" s="164" t="str">
        <f ca="1">IFERROR(__xludf.DUMMYFUNCTION("""COMPUTED_VALUE"""),"FLORENCE SM. MARANION")</f>
        <v>FLORENCE SM. MARANION</v>
      </c>
      <c r="L1703" s="164" t="str">
        <f ca="1">IFERROR(__xludf.DUMMYFUNCTION("""COMPUTED_VALUE"""),"LTS")</f>
        <v>LTS</v>
      </c>
      <c r="M1703" s="164" t="str">
        <f ca="1">IFERROR(__xludf.DUMMYFUNCTION("""COMPUTED_VALUE"""),"SERVICEABLE")</f>
        <v>SERVICEABLE</v>
      </c>
      <c r="N1703" s="164"/>
    </row>
    <row r="1704" spans="1:14" ht="13.2" hidden="1">
      <c r="A1704" s="164" t="str">
        <f ca="1">IFERROR(__xludf.DUMMYFUNCTION("""COMPUTED_VALUE"""),"Region IV-A")</f>
        <v>Region IV-A</v>
      </c>
      <c r="B1704" s="164" t="str">
        <f ca="1">IFERROR(__xludf.DUMMYFUNCTION("""COMPUTED_VALUE"""),"RIZAL")</f>
        <v>RIZAL</v>
      </c>
      <c r="C1704" s="164" t="str">
        <f ca="1">IFERROR(__xludf.DUMMYFUNCTION("""COMPUTED_VALUE"""),"DESKTOP COMPUTER – (LENOVO M70T)")</f>
        <v>DESKTOP COMPUTER – (LENOVO M70T)</v>
      </c>
      <c r="D1704" s="164" t="str">
        <f ca="1">IFERROR(__xludf.DUMMYFUNCTION("""COMPUTED_VALUE"""),"₱ 75,468.00")</f>
        <v>₱ 75,468.00</v>
      </c>
      <c r="E1704" s="164" t="str">
        <f ca="1">IFERROR(__xludf.DUMMYFUNCTION("""COMPUTED_VALUE"""),"₱-")</f>
        <v>₱-</v>
      </c>
      <c r="F1704" s="164" t="str">
        <f ca="1">IFERROR(__xludf.DUMMYFUNCTION("""COMPUTED_VALUE"""),"2023-05-03-10201SP878-01")</f>
        <v>2023-05-03-10201SP878-01</v>
      </c>
      <c r="G1704" s="164" t="str">
        <f ca="1">IFERROR(__xludf.DUMMYFUNCTION("""COMPUTED_VALUE"""),"1S11T5S16200GM0415YJ")</f>
        <v>1S11T5S16200GM0415YJ</v>
      </c>
      <c r="H1704" s="164" t="str">
        <f ca="1">IFERROR(__xludf.DUMMYFUNCTION("""COMPUTED_VALUE"""),"KENNETH R. MARTIREZ")</f>
        <v>KENNETH R. MARTIREZ</v>
      </c>
      <c r="I1704" s="164" t="str">
        <f ca="1">IFERROR(__xludf.DUMMYFUNCTION("""COMPUTED_VALUE"""),"OIC-CARPO")</f>
        <v>OIC-CARPO</v>
      </c>
      <c r="J1704" s="164" t="str">
        <f ca="1">IFERROR(__xludf.DUMMYFUNCTION("""COMPUTED_VALUE"""),"2023-SPLIT-04-007")</f>
        <v>2023-SPLIT-04-007</v>
      </c>
      <c r="K1704" s="164" t="str">
        <f ca="1">IFERROR(__xludf.DUMMYFUNCTION("""COMPUTED_VALUE"""),"KENNETH R. MARTIREZ")</f>
        <v>KENNETH R. MARTIREZ</v>
      </c>
      <c r="L1704" s="164" t="str">
        <f ca="1">IFERROR(__xludf.DUMMYFUNCTION("""COMPUTED_VALUE"""),"PBD")</f>
        <v>PBD</v>
      </c>
      <c r="M1704" s="164" t="str">
        <f ca="1">IFERROR(__xludf.DUMMYFUNCTION("""COMPUTED_VALUE"""),"SERVICEABLE")</f>
        <v>SERVICEABLE</v>
      </c>
      <c r="N1704" s="164"/>
    </row>
    <row r="1705" spans="1:14" ht="13.2" hidden="1">
      <c r="A1705" s="164" t="str">
        <f ca="1">IFERROR(__xludf.DUMMYFUNCTION("""COMPUTED_VALUE"""),"Region IV-A")</f>
        <v>Region IV-A</v>
      </c>
      <c r="B1705" s="164" t="str">
        <f ca="1">IFERROR(__xludf.DUMMYFUNCTION("""COMPUTED_VALUE"""),"RIZAL")</f>
        <v>RIZAL</v>
      </c>
      <c r="C1705" s="164" t="str">
        <f ca="1">IFERROR(__xludf.DUMMYFUNCTION("""COMPUTED_VALUE"""),"DESKTOP COMPUTER – (LENOVO M70T)")</f>
        <v>DESKTOP COMPUTER – (LENOVO M70T)</v>
      </c>
      <c r="D1705" s="164" t="str">
        <f ca="1">IFERROR(__xludf.DUMMYFUNCTION("""COMPUTED_VALUE"""),"₱ 75,468.00")</f>
        <v>₱ 75,468.00</v>
      </c>
      <c r="E1705" s="164" t="str">
        <f ca="1">IFERROR(__xludf.DUMMYFUNCTION("""COMPUTED_VALUE"""),"₱-")</f>
        <v>₱-</v>
      </c>
      <c r="F1705" s="164" t="str">
        <f ca="1">IFERROR(__xludf.DUMMYFUNCTION("""COMPUTED_VALUE"""),"2023-05-03-10201SP879-01")</f>
        <v>2023-05-03-10201SP879-01</v>
      </c>
      <c r="G1705" s="164" t="str">
        <f ca="1">IFERROR(__xludf.DUMMYFUNCTION("""COMPUTED_VALUE"""),"1S11T5S16200GM0415ZX")</f>
        <v>1S11T5S16200GM0415ZX</v>
      </c>
      <c r="H1705" s="164" t="str">
        <f ca="1">IFERROR(__xludf.DUMMYFUNCTION("""COMPUTED_VALUE"""),"RICHARD HAROLD F. MAPULA")</f>
        <v>RICHARD HAROLD F. MAPULA</v>
      </c>
      <c r="I1705" s="164" t="str">
        <f ca="1">IFERROR(__xludf.DUMMYFUNCTION("""COMPUTED_VALUE"""),"ARPO I")</f>
        <v>ARPO I</v>
      </c>
      <c r="J1705" s="164" t="str">
        <f ca="1">IFERROR(__xludf.DUMMYFUNCTION("""COMPUTED_VALUE"""),"2023-SPLIT-04-009")</f>
        <v>2023-SPLIT-04-009</v>
      </c>
      <c r="K1705" s="164" t="str">
        <f ca="1">IFERROR(__xludf.DUMMYFUNCTION("""COMPUTED_VALUE"""),"RICHARD HAROLD F. MAPULA")</f>
        <v>RICHARD HAROLD F. MAPULA</v>
      </c>
      <c r="L1705" s="164" t="str">
        <f ca="1">IFERROR(__xludf.DUMMYFUNCTION("""COMPUTED_VALUE"""),"PBD")</f>
        <v>PBD</v>
      </c>
      <c r="M1705" s="164" t="str">
        <f ca="1">IFERROR(__xludf.DUMMYFUNCTION("""COMPUTED_VALUE"""),"SERVICEABLE")</f>
        <v>SERVICEABLE</v>
      </c>
      <c r="N1705" s="164"/>
    </row>
    <row r="1706" spans="1:14" ht="13.2" hidden="1">
      <c r="A1706" s="164" t="str">
        <f ca="1">IFERROR(__xludf.DUMMYFUNCTION("""COMPUTED_VALUE"""),"Region IV-A")</f>
        <v>Region IV-A</v>
      </c>
      <c r="B1706" s="164" t="str">
        <f ca="1">IFERROR(__xludf.DUMMYFUNCTION("""COMPUTED_VALUE"""),"RIZAL")</f>
        <v>RIZAL</v>
      </c>
      <c r="C1706" s="164" t="str">
        <f ca="1">IFERROR(__xludf.DUMMYFUNCTION("""COMPUTED_VALUE"""),"DESKTOP COMPUTER – (LENOVO M70T)")</f>
        <v>DESKTOP COMPUTER – (LENOVO M70T)</v>
      </c>
      <c r="D1706" s="164" t="str">
        <f ca="1">IFERROR(__xludf.DUMMYFUNCTION("""COMPUTED_VALUE"""),"₱ 75,468.00")</f>
        <v>₱ 75,468.00</v>
      </c>
      <c r="E1706" s="164" t="str">
        <f ca="1">IFERROR(__xludf.DUMMYFUNCTION("""COMPUTED_VALUE"""),"₱-")</f>
        <v>₱-</v>
      </c>
      <c r="F1706" s="164" t="str">
        <f ca="1">IFERROR(__xludf.DUMMYFUNCTION("""COMPUTED_VALUE"""),"2023-05-03-10201SP880-01")</f>
        <v>2023-05-03-10201SP880-01</v>
      </c>
      <c r="G1706" s="164" t="str">
        <f ca="1">IFERROR(__xludf.DUMMYFUNCTION("""COMPUTED_VALUE"""),"1S11T5S16200GM0418HQ")</f>
        <v>1S11T5S16200GM0418HQ</v>
      </c>
      <c r="H1706" s="164" t="str">
        <f ca="1">IFERROR(__xludf.DUMMYFUNCTION("""COMPUTED_VALUE"""),"LEXANE P. SANTOS, CPA")</f>
        <v>LEXANE P. SANTOS, CPA</v>
      </c>
      <c r="I1706" s="164" t="str">
        <f ca="1">IFERROR(__xludf.DUMMYFUNCTION("""COMPUTED_VALUE"""),"ACCOUNTANT II")</f>
        <v>ACCOUNTANT II</v>
      </c>
      <c r="J1706" s="164" t="str">
        <f ca="1">IFERROR(__xludf.DUMMYFUNCTION("""COMPUTED_VALUE"""),"2023-SPLIT-04-008")</f>
        <v>2023-SPLIT-04-008</v>
      </c>
      <c r="K1706" s="164" t="str">
        <f ca="1">IFERROR(__xludf.DUMMYFUNCTION("""COMPUTED_VALUE"""),"LEXANE P. SANTOS, CPA")</f>
        <v>LEXANE P. SANTOS, CPA</v>
      </c>
      <c r="L1706" s="164" t="str">
        <f ca="1">IFERROR(__xludf.DUMMYFUNCTION("""COMPUTED_VALUE"""),"ADMIN/FINANCE")</f>
        <v>ADMIN/FINANCE</v>
      </c>
      <c r="M1706" s="164" t="str">
        <f ca="1">IFERROR(__xludf.DUMMYFUNCTION("""COMPUTED_VALUE"""),"SERVICEABLE")</f>
        <v>SERVICEABLE</v>
      </c>
      <c r="N1706" s="164"/>
    </row>
    <row r="1707" spans="1:14" ht="13.2" hidden="1">
      <c r="A1707" s="164" t="str">
        <f ca="1">IFERROR(__xludf.DUMMYFUNCTION("""COMPUTED_VALUE"""),"Region IV-A")</f>
        <v>Region IV-A</v>
      </c>
      <c r="B1707" s="164" t="str">
        <f ca="1">IFERROR(__xludf.DUMMYFUNCTION("""COMPUTED_VALUE"""),"RIZAL")</f>
        <v>RIZAL</v>
      </c>
      <c r="C1707" s="164" t="str">
        <f ca="1">IFERROR(__xludf.DUMMYFUNCTION("""COMPUTED_VALUE"""),"DESKTOP COMPUTER – (LENOVO M70T)")</f>
        <v>DESKTOP COMPUTER – (LENOVO M70T)</v>
      </c>
      <c r="D1707" s="164" t="str">
        <f ca="1">IFERROR(__xludf.DUMMYFUNCTION("""COMPUTED_VALUE"""),"₱ 75,468.00")</f>
        <v>₱ 75,468.00</v>
      </c>
      <c r="E1707" s="164" t="str">
        <f ca="1">IFERROR(__xludf.DUMMYFUNCTION("""COMPUTED_VALUE"""),"₱-")</f>
        <v>₱-</v>
      </c>
      <c r="F1707" s="164" t="str">
        <f ca="1">IFERROR(__xludf.DUMMYFUNCTION("""COMPUTED_VALUE"""),"2023-05-03-10201SP881-01")</f>
        <v>2023-05-03-10201SP881-01</v>
      </c>
      <c r="G1707" s="164" t="str">
        <f ca="1">IFERROR(__xludf.DUMMYFUNCTION("""COMPUTED_VALUE"""),"1S11T5S16200GM0415Y7")</f>
        <v>1S11T5S16200GM0415Y7</v>
      </c>
      <c r="H1707" s="164" t="str">
        <f ca="1">IFERROR(__xludf.DUMMYFUNCTION("""COMPUTED_VALUE"""),"ROMEO J. DELA CRUZ")</f>
        <v>ROMEO J. DELA CRUZ</v>
      </c>
      <c r="I1707" s="164" t="str">
        <f ca="1">IFERROR(__xludf.DUMMYFUNCTION("""COMPUTED_VALUE"""),"PCAO")</f>
        <v>PCAO</v>
      </c>
      <c r="J1707" s="164" t="str">
        <f ca="1">IFERROR(__xludf.DUMMYFUNCTION("""COMPUTED_VALUE"""),"2023-SPLIT-04-010")</f>
        <v>2023-SPLIT-04-010</v>
      </c>
      <c r="K1707" s="164" t="str">
        <f ca="1">IFERROR(__xludf.DUMMYFUNCTION("""COMPUTED_VALUE"""),"ROMEO J. DELA CRUZ")</f>
        <v>ROMEO J. DELA CRUZ</v>
      </c>
      <c r="L1707" s="164" t="str">
        <f ca="1">IFERROR(__xludf.DUMMYFUNCTION("""COMPUTED_VALUE"""),"ADMIN/FINANCE")</f>
        <v>ADMIN/FINANCE</v>
      </c>
      <c r="M1707" s="164" t="str">
        <f ca="1">IFERROR(__xludf.DUMMYFUNCTION("""COMPUTED_VALUE"""),"SERVICEABLE")</f>
        <v>SERVICEABLE</v>
      </c>
      <c r="N1707" s="164"/>
    </row>
    <row r="1708" spans="1:14" ht="13.2" hidden="1">
      <c r="A1708" s="164" t="str">
        <f ca="1">IFERROR(__xludf.DUMMYFUNCTION("""COMPUTED_VALUE"""),"Region IV-A")</f>
        <v>Region IV-A</v>
      </c>
      <c r="B1708" s="164" t="str">
        <f ca="1">IFERROR(__xludf.DUMMYFUNCTION("""COMPUTED_VALUE"""),"RIZAL")</f>
        <v>RIZAL</v>
      </c>
      <c r="C1708" s="164" t="str">
        <f ca="1">IFERROR(__xludf.DUMMYFUNCTION("""COMPUTED_VALUE"""),"DESKTOP COMPUTER – (LENOVO M70T)")</f>
        <v>DESKTOP COMPUTER – (LENOVO M70T)</v>
      </c>
      <c r="D1708" s="164" t="str">
        <f ca="1">IFERROR(__xludf.DUMMYFUNCTION("""COMPUTED_VALUE"""),"₱ 75,468.00")</f>
        <v>₱ 75,468.00</v>
      </c>
      <c r="E1708" s="164" t="str">
        <f ca="1">IFERROR(__xludf.DUMMYFUNCTION("""COMPUTED_VALUE"""),"₱-")</f>
        <v>₱-</v>
      </c>
      <c r="F1708" s="164" t="str">
        <f ca="1">IFERROR(__xludf.DUMMYFUNCTION("""COMPUTED_VALUE"""),"2023-05-03-10201SP882-01")</f>
        <v>2023-05-03-10201SP882-01</v>
      </c>
      <c r="G1708" s="164" t="str">
        <f ca="1">IFERROR(__xludf.DUMMYFUNCTION("""COMPUTED_VALUE"""),"1S11T5S16200GM0415ZY")</f>
        <v>1S11T5S16200GM0415ZY</v>
      </c>
      <c r="H1708" s="164" t="str">
        <f ca="1">IFERROR(__xludf.DUMMYFUNCTION("""COMPUTED_VALUE"""),"AMELITO Q. TAN")</f>
        <v>AMELITO Q. TAN</v>
      </c>
      <c r="I1708" s="164" t="str">
        <f ca="1">IFERROR(__xludf.DUMMYFUNCTION("""COMPUTED_VALUE"""),"ASSISSTANT STAT.")</f>
        <v>ASSISSTANT STAT.</v>
      </c>
      <c r="J1708" s="164" t="str">
        <f ca="1">IFERROR(__xludf.DUMMYFUNCTION("""COMPUTED_VALUE"""),"2023-SPLIT-04-011")</f>
        <v>2023-SPLIT-04-011</v>
      </c>
      <c r="K1708" s="164" t="str">
        <f ca="1">IFERROR(__xludf.DUMMYFUNCTION("""COMPUTED_VALUE"""),"AMELITO Q. TAN")</f>
        <v>AMELITO Q. TAN</v>
      </c>
      <c r="L1708" s="164" t="str">
        <f ca="1">IFERROR(__xludf.DUMMYFUNCTION("""COMPUTED_VALUE"""),"LTS")</f>
        <v>LTS</v>
      </c>
      <c r="M1708" s="164" t="str">
        <f ca="1">IFERROR(__xludf.DUMMYFUNCTION("""COMPUTED_VALUE"""),"SERVICEABLE")</f>
        <v>SERVICEABLE</v>
      </c>
      <c r="N1708" s="164"/>
    </row>
    <row r="1709" spans="1:14" ht="13.2" hidden="1">
      <c r="A1709" s="164" t="str">
        <f ca="1">IFERROR(__xludf.DUMMYFUNCTION("""COMPUTED_VALUE"""),"Region IV-A")</f>
        <v>Region IV-A</v>
      </c>
      <c r="B1709" s="164" t="str">
        <f ca="1">IFERROR(__xludf.DUMMYFUNCTION("""COMPUTED_VALUE"""),"RIZAL")</f>
        <v>RIZAL</v>
      </c>
      <c r="C1709" s="164" t="str">
        <f ca="1">IFERROR(__xludf.DUMMYFUNCTION("""COMPUTED_VALUE"""),"DESKTOP COMPUTER – (LENOVO M70T)")</f>
        <v>DESKTOP COMPUTER – (LENOVO M70T)</v>
      </c>
      <c r="D1709" s="164" t="str">
        <f ca="1">IFERROR(__xludf.DUMMYFUNCTION("""COMPUTED_VALUE"""),"₱ 75,468.00")</f>
        <v>₱ 75,468.00</v>
      </c>
      <c r="E1709" s="164" t="str">
        <f ca="1">IFERROR(__xludf.DUMMYFUNCTION("""COMPUTED_VALUE"""),"₱-")</f>
        <v>₱-</v>
      </c>
      <c r="F1709" s="164" t="str">
        <f ca="1">IFERROR(__xludf.DUMMYFUNCTION("""COMPUTED_VALUE"""),"2023-05-03-10201SP883-01")</f>
        <v>2023-05-03-10201SP883-01</v>
      </c>
      <c r="G1709" s="164" t="str">
        <f ca="1">IFERROR(__xludf.DUMMYFUNCTION("""COMPUTED_VALUE"""),"1S11T5S16200GM0415YG")</f>
        <v>1S11T5S16200GM0415YG</v>
      </c>
      <c r="H1709" s="164" t="str">
        <f ca="1">IFERROR(__xludf.DUMMYFUNCTION("""COMPUTED_VALUE"""),"KAREN JOY T. TEBERIO")</f>
        <v>KAREN JOY T. TEBERIO</v>
      </c>
      <c r="I1709" s="164" t="str">
        <f ca="1">IFERROR(__xludf.DUMMYFUNCTION("""COMPUTED_VALUE"""),"ARPO I")</f>
        <v>ARPO I</v>
      </c>
      <c r="J1709" s="164" t="str">
        <f ca="1">IFERROR(__xludf.DUMMYFUNCTION("""COMPUTED_VALUE"""),"2023-SPLIT-04-012")</f>
        <v>2023-SPLIT-04-012</v>
      </c>
      <c r="K1709" s="164" t="str">
        <f ca="1">IFERROR(__xludf.DUMMYFUNCTION("""COMPUTED_VALUE"""),"KAREN JOY T. TEBERIO")</f>
        <v>KAREN JOY T. TEBERIO</v>
      </c>
      <c r="L1709" s="164" t="str">
        <f ca="1">IFERROR(__xludf.DUMMYFUNCTION("""COMPUTED_VALUE"""),"LTS")</f>
        <v>LTS</v>
      </c>
      <c r="M1709" s="164" t="str">
        <f ca="1">IFERROR(__xludf.DUMMYFUNCTION("""COMPUTED_VALUE"""),"SERVICEABLE")</f>
        <v>SERVICEABLE</v>
      </c>
      <c r="N1709" s="164"/>
    </row>
    <row r="1710" spans="1:14" ht="13.2" hidden="1">
      <c r="A1710" s="164" t="str">
        <f ca="1">IFERROR(__xludf.DUMMYFUNCTION("""COMPUTED_VALUE"""),"Region IV-A")</f>
        <v>Region IV-A</v>
      </c>
      <c r="B1710" s="164" t="str">
        <f ca="1">IFERROR(__xludf.DUMMYFUNCTION("""COMPUTED_VALUE"""),"REGIONAL OFFICE")</f>
        <v>REGIONAL OFFICE</v>
      </c>
      <c r="C1710" s="164" t="str">
        <f ca="1">IFERROR(__xludf.DUMMYFUNCTION("""COMPUTED_VALUE"""),"DESKTOP COMPUTER – (HP PRO SFF 280G9)")</f>
        <v>DESKTOP COMPUTER – (HP PRO SFF 280G9)</v>
      </c>
      <c r="D1710" s="164" t="str">
        <f ca="1">IFERROR(__xludf.DUMMYFUNCTION("""COMPUTED_VALUE"""),"₱ 78,898.00")</f>
        <v>₱ 78,898.00</v>
      </c>
      <c r="E1710" s="164" t="str">
        <f ca="1">IFERROR(__xludf.DUMMYFUNCTION("""COMPUTED_VALUE"""),"₱-")</f>
        <v>₱-</v>
      </c>
      <c r="F1710" s="164" t="str">
        <f ca="1">IFERROR(__xludf.DUMMYFUNCTION("""COMPUTED_VALUE"""),"2023-05-03-10201SP286-01")</f>
        <v>2023-05-03-10201SP286-01</v>
      </c>
      <c r="G1710" s="164" t="str">
        <f ca="1">IFERROR(__xludf.DUMMYFUNCTION("""COMPUTED_VALUE"""),"4CE301DH4N")</f>
        <v>4CE301DH4N</v>
      </c>
      <c r="H1710" s="164" t="str">
        <f ca="1">IFERROR(__xludf.DUMMYFUNCTION("""COMPUTED_VALUE"""),"ELIZABETH RUIZ")</f>
        <v>ELIZABETH RUIZ</v>
      </c>
      <c r="I1710" s="164" t="str">
        <f ca="1">IFERROR(__xludf.DUMMYFUNCTION("""COMPUTED_VALUE"""),"MIS COORDINATOR")</f>
        <v>MIS COORDINATOR</v>
      </c>
      <c r="J1710" s="164" t="str">
        <f ca="1">IFERROR(__xludf.DUMMYFUNCTION("""COMPUTED_VALUE"""),"23-08-025S")</f>
        <v>23-08-025S</v>
      </c>
      <c r="K1710" s="164" t="str">
        <f ca="1">IFERROR(__xludf.DUMMYFUNCTION("""COMPUTED_VALUE"""),"RONNEL PATUBO")</f>
        <v>RONNEL PATUBO</v>
      </c>
      <c r="L1710" s="164" t="str">
        <f ca="1">IFERROR(__xludf.DUMMYFUNCTION("""COMPUTED_VALUE"""),"STOD")</f>
        <v>STOD</v>
      </c>
      <c r="M1710" s="164" t="str">
        <f ca="1">IFERROR(__xludf.DUMMYFUNCTION("""COMPUTED_VALUE"""),"SERVICEABLE")</f>
        <v>SERVICEABLE</v>
      </c>
      <c r="N1710" s="164"/>
    </row>
    <row r="1711" spans="1:14" ht="13.2" hidden="1">
      <c r="A1711" s="164" t="str">
        <f ca="1">IFERROR(__xludf.DUMMYFUNCTION("""COMPUTED_VALUE"""),"Region IV-A")</f>
        <v>Region IV-A</v>
      </c>
      <c r="B1711" s="164" t="str">
        <f ca="1">IFERROR(__xludf.DUMMYFUNCTION("""COMPUTED_VALUE"""),"REGIONAL OFFICE")</f>
        <v>REGIONAL OFFICE</v>
      </c>
      <c r="C1711" s="164" t="str">
        <f ca="1">IFERROR(__xludf.DUMMYFUNCTION("""COMPUTED_VALUE"""),"DESKTOP COMPUTER – (HP PRO SFF 280G9)")</f>
        <v>DESKTOP COMPUTER – (HP PRO SFF 280G9)</v>
      </c>
      <c r="D1711" s="164" t="str">
        <f ca="1">IFERROR(__xludf.DUMMYFUNCTION("""COMPUTED_VALUE"""),"₱ 78,898.00")</f>
        <v>₱ 78,898.00</v>
      </c>
      <c r="E1711" s="164" t="str">
        <f ca="1">IFERROR(__xludf.DUMMYFUNCTION("""COMPUTED_VALUE"""),"₱-")</f>
        <v>₱-</v>
      </c>
      <c r="F1711" s="164" t="str">
        <f ca="1">IFERROR(__xludf.DUMMYFUNCTION("""COMPUTED_VALUE"""),"2023-05-03-10201SP287-01")</f>
        <v>2023-05-03-10201SP287-01</v>
      </c>
      <c r="G1711" s="164" t="str">
        <f ca="1">IFERROR(__xludf.DUMMYFUNCTION("""COMPUTED_VALUE"""),"4CE301DH72")</f>
        <v>4CE301DH72</v>
      </c>
      <c r="H1711" s="164" t="str">
        <f ca="1">IFERROR(__xludf.DUMMYFUNCTION("""COMPUTED_VALUE"""),"GLORIA A. NATAD")</f>
        <v>GLORIA A. NATAD</v>
      </c>
      <c r="I1711" s="164" t="str">
        <f ca="1">IFERROR(__xludf.DUMMYFUNCTION("""COMPUTED_VALUE"""),"DENR/LRA-ROD SURVEY COORDINATOR")</f>
        <v>DENR/LRA-ROD SURVEY COORDINATOR</v>
      </c>
      <c r="J1711" s="164" t="str">
        <f ca="1">IFERROR(__xludf.DUMMYFUNCTION("""COMPUTED_VALUE"""),"23-08-026S")</f>
        <v>23-08-026S</v>
      </c>
      <c r="K1711" s="164" t="str">
        <f ca="1">IFERROR(__xludf.DUMMYFUNCTION("""COMPUTED_VALUE"""),"SPLIT COS")</f>
        <v>SPLIT COS</v>
      </c>
      <c r="L1711" s="164" t="str">
        <f ca="1">IFERROR(__xludf.DUMMYFUNCTION("""COMPUTED_VALUE"""),"FOD")</f>
        <v>FOD</v>
      </c>
      <c r="M1711" s="164" t="str">
        <f ca="1">IFERROR(__xludf.DUMMYFUNCTION("""COMPUTED_VALUE"""),"SERVICEABLE")</f>
        <v>SERVICEABLE</v>
      </c>
      <c r="N1711" s="164"/>
    </row>
    <row r="1712" spans="1:14" ht="13.2" hidden="1">
      <c r="A1712" s="164" t="str">
        <f ca="1">IFERROR(__xludf.DUMMYFUNCTION("""COMPUTED_VALUE"""),"Region IV-A")</f>
        <v>Region IV-A</v>
      </c>
      <c r="B1712" s="164" t="str">
        <f ca="1">IFERROR(__xludf.DUMMYFUNCTION("""COMPUTED_VALUE"""),"REGIONAL OFFICE")</f>
        <v>REGIONAL OFFICE</v>
      </c>
      <c r="C1712" s="164" t="str">
        <f ca="1">IFERROR(__xludf.DUMMYFUNCTION("""COMPUTED_VALUE"""),"DESKTOP COMPUTER – (HP PRO SFF 280G9)")</f>
        <v>DESKTOP COMPUTER – (HP PRO SFF 280G9)</v>
      </c>
      <c r="D1712" s="164" t="str">
        <f ca="1">IFERROR(__xludf.DUMMYFUNCTION("""COMPUTED_VALUE"""),"₱ 78,898.00")</f>
        <v>₱ 78,898.00</v>
      </c>
      <c r="E1712" s="164" t="str">
        <f ca="1">IFERROR(__xludf.DUMMYFUNCTION("""COMPUTED_VALUE"""),"₱-")</f>
        <v>₱-</v>
      </c>
      <c r="F1712" s="164" t="str">
        <f ca="1">IFERROR(__xludf.DUMMYFUNCTION("""COMPUTED_VALUE"""),"2023-05-03-10201SP288-01")</f>
        <v>2023-05-03-10201SP288-01</v>
      </c>
      <c r="G1712" s="164" t="str">
        <f ca="1">IFERROR(__xludf.DUMMYFUNCTION("""COMPUTED_VALUE"""),"4CE301DH39")</f>
        <v>4CE301DH39</v>
      </c>
      <c r="H1712" s="164" t="str">
        <f ca="1">IFERROR(__xludf.DUMMYFUNCTION("""COMPUTED_VALUE"""),"RAMON S. DAYRIT")</f>
        <v>RAMON S. DAYRIT</v>
      </c>
      <c r="I1712" s="164" t="str">
        <f ca="1">IFERROR(__xludf.DUMMYFUNCTION("""COMPUTED_VALUE"""),"ESS COORDINATOR")</f>
        <v>ESS COORDINATOR</v>
      </c>
      <c r="J1712" s="164" t="str">
        <f ca="1">IFERROR(__xludf.DUMMYFUNCTION("""COMPUTED_VALUE"""),"23-08-027S")</f>
        <v>23-08-027S</v>
      </c>
      <c r="K1712" s="164" t="str">
        <f ca="1">IFERROR(__xludf.DUMMYFUNCTION("""COMPUTED_VALUE"""),"SPLIT COS")</f>
        <v>SPLIT COS</v>
      </c>
      <c r="L1712" s="164" t="str">
        <f ca="1">IFERROR(__xludf.DUMMYFUNCTION("""COMPUTED_VALUE"""),"FOD")</f>
        <v>FOD</v>
      </c>
      <c r="M1712" s="164" t="str">
        <f ca="1">IFERROR(__xludf.DUMMYFUNCTION("""COMPUTED_VALUE"""),"SERVICEABLE")</f>
        <v>SERVICEABLE</v>
      </c>
      <c r="N1712" s="164"/>
    </row>
    <row r="1713" spans="1:14" ht="13.2" hidden="1">
      <c r="A1713" s="164" t="str">
        <f ca="1">IFERROR(__xludf.DUMMYFUNCTION("""COMPUTED_VALUE"""),"Region IV-A")</f>
        <v>Region IV-A</v>
      </c>
      <c r="B1713" s="164" t="str">
        <f ca="1">IFERROR(__xludf.DUMMYFUNCTION("""COMPUTED_VALUE"""),"REGIONAL OFFICE")</f>
        <v>REGIONAL OFFICE</v>
      </c>
      <c r="C1713" s="164" t="str">
        <f ca="1">IFERROR(__xludf.DUMMYFUNCTION("""COMPUTED_VALUE"""),"DESKTOP COMPUTER – (HP PRO SFF 280G9)")</f>
        <v>DESKTOP COMPUTER – (HP PRO SFF 280G9)</v>
      </c>
      <c r="D1713" s="164" t="str">
        <f ca="1">IFERROR(__xludf.DUMMYFUNCTION("""COMPUTED_VALUE"""),"₱ 78,898.00")</f>
        <v>₱ 78,898.00</v>
      </c>
      <c r="E1713" s="164" t="str">
        <f ca="1">IFERROR(__xludf.DUMMYFUNCTION("""COMPUTED_VALUE"""),"₱-")</f>
        <v>₱-</v>
      </c>
      <c r="F1713" s="164" t="str">
        <f ca="1">IFERROR(__xludf.DUMMYFUNCTION("""COMPUTED_VALUE"""),"2023-05-03-10201SP289-01")</f>
        <v>2023-05-03-10201SP289-01</v>
      </c>
      <c r="G1713" s="164" t="str">
        <f ca="1">IFERROR(__xludf.DUMMYFUNCTION("""COMPUTED_VALUE"""),"4CE301DH5Q")</f>
        <v>4CE301DH5Q</v>
      </c>
      <c r="H1713" s="164" t="str">
        <f ca="1">IFERROR(__xludf.DUMMYFUNCTION("""COMPUTED_VALUE"""),"ATTY. MCDONALD M. GALIT")</f>
        <v>ATTY. MCDONALD M. GALIT</v>
      </c>
      <c r="I1713" s="164" t="str">
        <f ca="1">IFERROR(__xludf.DUMMYFUNCTION("""COMPUTED_VALUE"""),"REGIONAL DIRECTOR/ REGIONAL PROJECT MANAGER")</f>
        <v>REGIONAL DIRECTOR/ REGIONAL PROJECT MANAGER</v>
      </c>
      <c r="J1713" s="164" t="str">
        <f ca="1">IFERROR(__xludf.DUMMYFUNCTION("""COMPUTED_VALUE"""),"23-08-028S")</f>
        <v>23-08-028S</v>
      </c>
      <c r="K1713" s="164" t="str">
        <f ca="1">IFERROR(__xludf.DUMMYFUNCTION("""COMPUTED_VALUE"""),"CONCEPCION APRECIO")</f>
        <v>CONCEPCION APRECIO</v>
      </c>
      <c r="L1713" s="164" t="str">
        <f ca="1">IFERROR(__xludf.DUMMYFUNCTION("""COMPUTED_VALUE"""),"ORD")</f>
        <v>ORD</v>
      </c>
      <c r="M1713" s="164" t="str">
        <f ca="1">IFERROR(__xludf.DUMMYFUNCTION("""COMPUTED_VALUE"""),"SERVICEABLE")</f>
        <v>SERVICEABLE</v>
      </c>
      <c r="N1713" s="164"/>
    </row>
    <row r="1714" spans="1:14" ht="13.2" hidden="1">
      <c r="A1714" s="164" t="str">
        <f ca="1">IFERROR(__xludf.DUMMYFUNCTION("""COMPUTED_VALUE"""),"Region IV-A")</f>
        <v>Region IV-A</v>
      </c>
      <c r="B1714" s="164" t="str">
        <f ca="1">IFERROR(__xludf.DUMMYFUNCTION("""COMPUTED_VALUE"""),"REGIONAL OFFICE")</f>
        <v>REGIONAL OFFICE</v>
      </c>
      <c r="C1714" s="164" t="str">
        <f ca="1">IFERROR(__xludf.DUMMYFUNCTION("""COMPUTED_VALUE"""),"DESKTOP COMPUTER – (HP PRO SFF 280G9)")</f>
        <v>DESKTOP COMPUTER – (HP PRO SFF 280G9)</v>
      </c>
      <c r="D1714" s="164" t="str">
        <f ca="1">IFERROR(__xludf.DUMMYFUNCTION("""COMPUTED_VALUE"""),"₱ 78,898.00")</f>
        <v>₱ 78,898.00</v>
      </c>
      <c r="E1714" s="164" t="str">
        <f ca="1">IFERROR(__xludf.DUMMYFUNCTION("""COMPUTED_VALUE"""),"₱-")</f>
        <v>₱-</v>
      </c>
      <c r="F1714" s="164" t="str">
        <f ca="1">IFERROR(__xludf.DUMMYFUNCTION("""COMPUTED_VALUE"""),"2023-05-03-10201SP290-01")</f>
        <v>2023-05-03-10201SP290-01</v>
      </c>
      <c r="G1714" s="164" t="str">
        <f ca="1">IFERROR(__xludf.DUMMYFUNCTION("""COMPUTED_VALUE"""),"4CE301DH7Z")</f>
        <v>4CE301DH7Z</v>
      </c>
      <c r="H1714" s="164" t="str">
        <f ca="1">IFERROR(__xludf.DUMMYFUNCTION("""COMPUTED_VALUE"""),"ERGENE I. REVECHE")</f>
        <v>ERGENE I. REVECHE</v>
      </c>
      <c r="I1714" s="164" t="str">
        <f ca="1">IFERROR(__xludf.DUMMYFUNCTION("""COMPUTED_VALUE"""),"PROJECT ACCOUNTANT")</f>
        <v>PROJECT ACCOUNTANT</v>
      </c>
      <c r="J1714" s="164" t="str">
        <f ca="1">IFERROR(__xludf.DUMMYFUNCTION("""COMPUTED_VALUE"""),"24-04-002S")</f>
        <v>24-04-002S</v>
      </c>
      <c r="K1714" s="164" t="str">
        <f ca="1">IFERROR(__xludf.DUMMYFUNCTION("""COMPUTED_VALUE"""),"SHARMAINE LABUGUEN")</f>
        <v>SHARMAINE LABUGUEN</v>
      </c>
      <c r="L1714" s="164" t="str">
        <f ca="1">IFERROR(__xludf.DUMMYFUNCTION("""COMPUTED_VALUE"""),"ACCOUNTING")</f>
        <v>ACCOUNTING</v>
      </c>
      <c r="M1714" s="164" t="str">
        <f ca="1">IFERROR(__xludf.DUMMYFUNCTION("""COMPUTED_VALUE"""),"SERVICEABLE")</f>
        <v>SERVICEABLE</v>
      </c>
      <c r="N1714" s="164"/>
    </row>
    <row r="1715" spans="1:14" ht="13.2" hidden="1">
      <c r="A1715" s="164" t="str">
        <f ca="1">IFERROR(__xludf.DUMMYFUNCTION("""COMPUTED_VALUE"""),"Region IV-A")</f>
        <v>Region IV-A</v>
      </c>
      <c r="B1715" s="164" t="str">
        <f ca="1">IFERROR(__xludf.DUMMYFUNCTION("""COMPUTED_VALUE"""),"REGIONAL OFFICE")</f>
        <v>REGIONAL OFFICE</v>
      </c>
      <c r="C1715" s="164" t="str">
        <f ca="1">IFERROR(__xludf.DUMMYFUNCTION("""COMPUTED_VALUE"""),"DESKTOP COMPUTER – (HP PRO SFF 280G9)")</f>
        <v>DESKTOP COMPUTER – (HP PRO SFF 280G9)</v>
      </c>
      <c r="D1715" s="164" t="str">
        <f ca="1">IFERROR(__xludf.DUMMYFUNCTION("""COMPUTED_VALUE"""),"₱ 78,898.00")</f>
        <v>₱ 78,898.00</v>
      </c>
      <c r="E1715" s="164" t="str">
        <f ca="1">IFERROR(__xludf.DUMMYFUNCTION("""COMPUTED_VALUE"""),"₱-")</f>
        <v>₱-</v>
      </c>
      <c r="F1715" s="164" t="str">
        <f ca="1">IFERROR(__xludf.DUMMYFUNCTION("""COMPUTED_VALUE"""),"2023-05-03-10201SP291-01")</f>
        <v>2023-05-03-10201SP291-01</v>
      </c>
      <c r="G1715" s="164" t="str">
        <f ca="1">IFERROR(__xludf.DUMMYFUNCTION("""COMPUTED_VALUE"""),"4CE301DH6C")</f>
        <v>4CE301DH6C</v>
      </c>
      <c r="H1715" s="164" t="str">
        <f ca="1">IFERROR(__xludf.DUMMYFUNCTION("""COMPUTED_VALUE"""),"VIVIAN A. SURIAGA")</f>
        <v>VIVIAN A. SURIAGA</v>
      </c>
      <c r="I1715" s="164" t="str">
        <f ca="1">IFERROR(__xludf.DUMMYFUNCTION("""COMPUTED_VALUE"""),"PROJECT PROCUREMENT OFFICER")</f>
        <v>PROJECT PROCUREMENT OFFICER</v>
      </c>
      <c r="J1715" s="164" t="str">
        <f ca="1">IFERROR(__xludf.DUMMYFUNCTION("""COMPUTED_VALUE"""),"23-08-030S")</f>
        <v>23-08-030S</v>
      </c>
      <c r="K1715" s="164" t="str">
        <f ca="1">IFERROR(__xludf.DUMMYFUNCTION("""COMPUTED_VALUE"""),"MA. KRISTINE B. RECULLO")</f>
        <v>MA. KRISTINE B. RECULLO</v>
      </c>
      <c r="L1715" s="164" t="str">
        <f ca="1">IFERROR(__xludf.DUMMYFUNCTION("""COMPUTED_VALUE"""),"STOD")</f>
        <v>STOD</v>
      </c>
      <c r="M1715" s="164" t="str">
        <f ca="1">IFERROR(__xludf.DUMMYFUNCTION("""COMPUTED_VALUE"""),"SERVICEABLE")</f>
        <v>SERVICEABLE</v>
      </c>
      <c r="N1715" s="164"/>
    </row>
    <row r="1716" spans="1:14" ht="13.2" hidden="1">
      <c r="A1716" s="164" t="str">
        <f ca="1">IFERROR(__xludf.DUMMYFUNCTION("""COMPUTED_VALUE"""),"Region IV-A")</f>
        <v>Region IV-A</v>
      </c>
      <c r="B1716" s="164" t="str">
        <f ca="1">IFERROR(__xludf.DUMMYFUNCTION("""COMPUTED_VALUE"""),"REGIONAL OFFICE")</f>
        <v>REGIONAL OFFICE</v>
      </c>
      <c r="C1716" s="164" t="str">
        <f ca="1">IFERROR(__xludf.DUMMYFUNCTION("""COMPUTED_VALUE"""),"DESKTOP COMPUTER – (HP PRO SFF 280G9)")</f>
        <v>DESKTOP COMPUTER – (HP PRO SFF 280G9)</v>
      </c>
      <c r="D1716" s="164" t="str">
        <f ca="1">IFERROR(__xludf.DUMMYFUNCTION("""COMPUTED_VALUE"""),"₱ 78,898.00")</f>
        <v>₱ 78,898.00</v>
      </c>
      <c r="E1716" s="164" t="str">
        <f ca="1">IFERROR(__xludf.DUMMYFUNCTION("""COMPUTED_VALUE"""),"₱-")</f>
        <v>₱-</v>
      </c>
      <c r="F1716" s="164" t="str">
        <f ca="1">IFERROR(__xludf.DUMMYFUNCTION("""COMPUTED_VALUE"""),"2023-05-03-10201SP292-01")</f>
        <v>2023-05-03-10201SP292-01</v>
      </c>
      <c r="G1716" s="164" t="str">
        <f ca="1">IFERROR(__xludf.DUMMYFUNCTION("""COMPUTED_VALUE"""),"4CE301DH75")</f>
        <v>4CE301DH75</v>
      </c>
      <c r="H1716" s="164" t="str">
        <f ca="1">IFERROR(__xludf.DUMMYFUNCTION("""COMPUTED_VALUE"""),"VIVIAN A. SURIAGA")</f>
        <v>VIVIAN A. SURIAGA</v>
      </c>
      <c r="I1716" s="164" t="str">
        <f ca="1">IFERROR(__xludf.DUMMYFUNCTION("""COMPUTED_VALUE"""),"PROJECT PROCUREMENT OFFICER")</f>
        <v>PROJECT PROCUREMENT OFFICER</v>
      </c>
      <c r="J1716" s="164" t="str">
        <f ca="1">IFERROR(__xludf.DUMMYFUNCTION("""COMPUTED_VALUE"""),"23-08-031S")</f>
        <v>23-08-031S</v>
      </c>
      <c r="K1716" s="164" t="str">
        <f ca="1">IFERROR(__xludf.DUMMYFUNCTION("""COMPUTED_VALUE"""),"VIVIAN A. SURIAGA")</f>
        <v>VIVIAN A. SURIAGA</v>
      </c>
      <c r="L1716" s="164" t="str">
        <f ca="1">IFERROR(__xludf.DUMMYFUNCTION("""COMPUTED_VALUE"""),"STOD")</f>
        <v>STOD</v>
      </c>
      <c r="M1716" s="164" t="str">
        <f ca="1">IFERROR(__xludf.DUMMYFUNCTION("""COMPUTED_VALUE"""),"SERVICEABLE")</f>
        <v>SERVICEABLE</v>
      </c>
      <c r="N1716" s="164" t="str">
        <f ca="1">IFERROR(__xludf.DUMMYFUNCTION("""COMPUTED_VALUE"""),"HP PRINTER UNSERVICEABLE")</f>
        <v>HP PRINTER UNSERVICEABLE</v>
      </c>
    </row>
    <row r="1717" spans="1:14" ht="13.2" hidden="1">
      <c r="A1717" s="164" t="str">
        <f ca="1">IFERROR(__xludf.DUMMYFUNCTION("""COMPUTED_VALUE"""),"Region IV-A")</f>
        <v>Region IV-A</v>
      </c>
      <c r="B1717" s="164" t="str">
        <f ca="1">IFERROR(__xludf.DUMMYFUNCTION("""COMPUTED_VALUE"""),"BATANGAS")</f>
        <v>BATANGAS</v>
      </c>
      <c r="C1717" s="164" t="str">
        <f ca="1">IFERROR(__xludf.DUMMYFUNCTION("""COMPUTED_VALUE"""),"DESKTOP COMPUTER – (HP PRO SFF 280G9)")</f>
        <v>DESKTOP COMPUTER – (HP PRO SFF 280G9)</v>
      </c>
      <c r="D1717" s="164" t="str">
        <f ca="1">IFERROR(__xludf.DUMMYFUNCTION("""COMPUTED_VALUE"""),"₱ 78,898.00")</f>
        <v>₱ 78,898.00</v>
      </c>
      <c r="E1717" s="164" t="str">
        <f ca="1">IFERROR(__xludf.DUMMYFUNCTION("""COMPUTED_VALUE"""),"₱-")</f>
        <v>₱-</v>
      </c>
      <c r="F1717" s="164" t="str">
        <f ca="1">IFERROR(__xludf.DUMMYFUNCTION("""COMPUTED_VALUE"""),"2023-05-03-10201SP270-01")</f>
        <v>2023-05-03-10201SP270-01</v>
      </c>
      <c r="G1717" s="164" t="str">
        <f ca="1">IFERROR(__xludf.DUMMYFUNCTION("""COMPUTED_VALUE"""),"4CE301DSN5")</f>
        <v>4CE301DSN5</v>
      </c>
      <c r="H1717" s="164" t="str">
        <f ca="1">IFERROR(__xludf.DUMMYFUNCTION("""COMPUTED_VALUE"""),"MELVIN ESMEDILLA")</f>
        <v>MELVIN ESMEDILLA</v>
      </c>
      <c r="I1717" s="164" t="str">
        <f ca="1">IFERROR(__xludf.DUMMYFUNCTION("""COMPUTED_VALUE"""),"PLANNING OFFICER II / OIC MARPO")</f>
        <v>PLANNING OFFICER II / OIC MARPO</v>
      </c>
      <c r="J1717" s="164" t="str">
        <f ca="1">IFERROR(__xludf.DUMMYFUNCTION("""COMPUTED_VALUE"""),"SP-2023-08-21")</f>
        <v>SP-2023-08-21</v>
      </c>
      <c r="K1717" s="164" t="str">
        <f ca="1">IFERROR(__xludf.DUMMYFUNCTION("""COMPUTED_VALUE"""),"MELVIN ESMEDILLA")</f>
        <v>MELVIN ESMEDILLA</v>
      </c>
      <c r="L1717" s="164" t="str">
        <f ca="1">IFERROR(__xludf.DUMMYFUNCTION("""COMPUTED_VALUE"""),"STOD")</f>
        <v>STOD</v>
      </c>
      <c r="M1717" s="164" t="str">
        <f ca="1">IFERROR(__xludf.DUMMYFUNCTION("""COMPUTED_VALUE"""),"SERVICEABLE")</f>
        <v>SERVICEABLE</v>
      </c>
      <c r="N1717" s="164"/>
    </row>
    <row r="1718" spans="1:14" ht="13.2" hidden="1">
      <c r="A1718" s="164" t="str">
        <f ca="1">IFERROR(__xludf.DUMMYFUNCTION("""COMPUTED_VALUE"""),"Region IV-A")</f>
        <v>Region IV-A</v>
      </c>
      <c r="B1718" s="164" t="str">
        <f ca="1">IFERROR(__xludf.DUMMYFUNCTION("""COMPUTED_VALUE"""),"BATANGAS")</f>
        <v>BATANGAS</v>
      </c>
      <c r="C1718" s="164" t="str">
        <f ca="1">IFERROR(__xludf.DUMMYFUNCTION("""COMPUTED_VALUE"""),"DESKTOP COMPUTER – (HP PRO SFF 280G9)")</f>
        <v>DESKTOP COMPUTER – (HP PRO SFF 280G9)</v>
      </c>
      <c r="D1718" s="164" t="str">
        <f ca="1">IFERROR(__xludf.DUMMYFUNCTION("""COMPUTED_VALUE"""),"₱ 78,898.00")</f>
        <v>₱ 78,898.00</v>
      </c>
      <c r="E1718" s="164" t="str">
        <f ca="1">IFERROR(__xludf.DUMMYFUNCTION("""COMPUTED_VALUE"""),"₱-")</f>
        <v>₱-</v>
      </c>
      <c r="F1718" s="164" t="str">
        <f ca="1">IFERROR(__xludf.DUMMYFUNCTION("""COMPUTED_VALUE"""),"2023-05-03-10201SP271-01")</f>
        <v>2023-05-03-10201SP271-01</v>
      </c>
      <c r="G1718" s="164" t="str">
        <f ca="1">IFERROR(__xludf.DUMMYFUNCTION("""COMPUTED_VALUE"""),"4CE301DSJM")</f>
        <v>4CE301DSJM</v>
      </c>
      <c r="H1718" s="164" t="str">
        <f ca="1">IFERROR(__xludf.DUMMYFUNCTION("""COMPUTED_VALUE"""),"JOSEPHINE CASALLA")</f>
        <v>JOSEPHINE CASALLA</v>
      </c>
      <c r="I1718" s="164" t="str">
        <f ca="1">IFERROR(__xludf.DUMMYFUNCTION("""COMPUTED_VALUE"""),"CARPO LTID/PARCELIZATION COMPONENT AND FVT COORDINATOR")</f>
        <v>CARPO LTID/PARCELIZATION COMPONENT AND FVT COORDINATOR</v>
      </c>
      <c r="J1718" s="164" t="str">
        <f ca="1">IFERROR(__xludf.DUMMYFUNCTION("""COMPUTED_VALUE"""),"SP-2023-08-22")</f>
        <v>SP-2023-08-22</v>
      </c>
      <c r="K1718" s="164" t="str">
        <f ca="1">IFERROR(__xludf.DUMMYFUNCTION("""COMPUTED_VALUE"""),"JOSEPHINE CASALLA")</f>
        <v>JOSEPHINE CASALLA</v>
      </c>
      <c r="L1718" s="164" t="str">
        <f ca="1">IFERROR(__xludf.DUMMYFUNCTION("""COMPUTED_VALUE"""),"LTID")</f>
        <v>LTID</v>
      </c>
      <c r="M1718" s="164" t="str">
        <f ca="1">IFERROR(__xludf.DUMMYFUNCTION("""COMPUTED_VALUE"""),"SERVICEABLE")</f>
        <v>SERVICEABLE</v>
      </c>
      <c r="N1718" s="164"/>
    </row>
    <row r="1719" spans="1:14" ht="13.2" hidden="1">
      <c r="A1719" s="164" t="str">
        <f ca="1">IFERROR(__xludf.DUMMYFUNCTION("""COMPUTED_VALUE"""),"Region IV-A")</f>
        <v>Region IV-A</v>
      </c>
      <c r="B1719" s="164" t="str">
        <f ca="1">IFERROR(__xludf.DUMMYFUNCTION("""COMPUTED_VALUE"""),"BATANGAS")</f>
        <v>BATANGAS</v>
      </c>
      <c r="C1719" s="164" t="str">
        <f ca="1">IFERROR(__xludf.DUMMYFUNCTION("""COMPUTED_VALUE"""),"DESKTOP COMPUTER – (HP PRO SFF 280G9)")</f>
        <v>DESKTOP COMPUTER – (HP PRO SFF 280G9)</v>
      </c>
      <c r="D1719" s="164" t="str">
        <f ca="1">IFERROR(__xludf.DUMMYFUNCTION("""COMPUTED_VALUE"""),"₱ 78,898.00")</f>
        <v>₱ 78,898.00</v>
      </c>
      <c r="E1719" s="164" t="str">
        <f ca="1">IFERROR(__xludf.DUMMYFUNCTION("""COMPUTED_VALUE"""),"₱-")</f>
        <v>₱-</v>
      </c>
      <c r="F1719" s="164" t="str">
        <f ca="1">IFERROR(__xludf.DUMMYFUNCTION("""COMPUTED_VALUE"""),"2023-05-03-10201SP272-01")</f>
        <v>2023-05-03-10201SP272-01</v>
      </c>
      <c r="G1719" s="164" t="str">
        <f ca="1">IFERROR(__xludf.DUMMYFUNCTION("""COMPUTED_VALUE"""),"4CE301DSRH")</f>
        <v>4CE301DSRH</v>
      </c>
      <c r="H1719" s="164" t="str">
        <f ca="1">IFERROR(__xludf.DUMMYFUNCTION("""COMPUTED_VALUE"""),"JOSEPHINE CASALLA")</f>
        <v>JOSEPHINE CASALLA</v>
      </c>
      <c r="I1719" s="164" t="str">
        <f ca="1">IFERROR(__xludf.DUMMYFUNCTION("""COMPUTED_VALUE"""),"CARPO LTID/PARCELIZATION COMPONENT AND FVT COORDINATOR")</f>
        <v>CARPO LTID/PARCELIZATION COMPONENT AND FVT COORDINATOR</v>
      </c>
      <c r="J1719" s="164" t="str">
        <f ca="1">IFERROR(__xludf.DUMMYFUNCTION("""COMPUTED_VALUE"""),"SP-2023-08-23")</f>
        <v>SP-2023-08-23</v>
      </c>
      <c r="K1719" s="164" t="str">
        <f ca="1">IFERROR(__xludf.DUMMYFUNCTION("""COMPUTED_VALUE"""),"JOSEPHINE CASALLA")</f>
        <v>JOSEPHINE CASALLA</v>
      </c>
      <c r="L1719" s="164" t="str">
        <f ca="1">IFERROR(__xludf.DUMMYFUNCTION("""COMPUTED_VALUE"""),"LTID")</f>
        <v>LTID</v>
      </c>
      <c r="M1719" s="164" t="str">
        <f ca="1">IFERROR(__xludf.DUMMYFUNCTION("""COMPUTED_VALUE"""),"SERVICEABLE")</f>
        <v>SERVICEABLE</v>
      </c>
      <c r="N1719" s="164"/>
    </row>
    <row r="1720" spans="1:14" ht="13.2" hidden="1">
      <c r="A1720" s="164" t="str">
        <f ca="1">IFERROR(__xludf.DUMMYFUNCTION("""COMPUTED_VALUE"""),"Region IV-A")</f>
        <v>Region IV-A</v>
      </c>
      <c r="B1720" s="164" t="str">
        <f ca="1">IFERROR(__xludf.DUMMYFUNCTION("""COMPUTED_VALUE"""),"CAVITE")</f>
        <v>CAVITE</v>
      </c>
      <c r="C1720" s="164" t="str">
        <f ca="1">IFERROR(__xludf.DUMMYFUNCTION("""COMPUTED_VALUE"""),"DESKTOP COMPUTER – (HP PRO SFF 280G9)")</f>
        <v>DESKTOP COMPUTER – (HP PRO SFF 280G9)</v>
      </c>
      <c r="D1720" s="164" t="str">
        <f ca="1">IFERROR(__xludf.DUMMYFUNCTION("""COMPUTED_VALUE"""),"₱ 78,898.00")</f>
        <v>₱ 78,898.00</v>
      </c>
      <c r="E1720" s="164" t="str">
        <f ca="1">IFERROR(__xludf.DUMMYFUNCTION("""COMPUTED_VALUE"""),"₱-")</f>
        <v>₱-</v>
      </c>
      <c r="F1720" s="164" t="str">
        <f ca="1">IFERROR(__xludf.DUMMYFUNCTION("""COMPUTED_VALUE"""),"2023-05-02-10202SP273-01")</f>
        <v>2023-05-02-10202SP273-01</v>
      </c>
      <c r="G1720" s="164" t="str">
        <f ca="1">IFERROR(__xludf.DUMMYFUNCTION("""COMPUTED_VALUE"""),"4CE301DSPJ")</f>
        <v>4CE301DSPJ</v>
      </c>
      <c r="H1720" s="164" t="str">
        <f ca="1">IFERROR(__xludf.DUMMYFUNCTION("""COMPUTED_VALUE"""),"JAMES ARTHUR T. DUBONGCO")</f>
        <v>JAMES ARTHUR T. DUBONGCO</v>
      </c>
      <c r="I1720" s="164" t="str">
        <f ca="1">IFERROR(__xludf.DUMMYFUNCTION("""COMPUTED_VALUE"""),"PARPO II /PROJECT MANAGER")</f>
        <v>PARPO II /PROJECT MANAGER</v>
      </c>
      <c r="J1720" s="164" t="str">
        <f ca="1">IFERROR(__xludf.DUMMYFUNCTION("""COMPUTED_VALUE"""),"23-05-03")</f>
        <v>23-05-03</v>
      </c>
      <c r="K1720" s="164" t="str">
        <f ca="1">IFERROR(__xludf.DUMMYFUNCTION("""COMPUTED_VALUE"""),"JAMES ARTHUR T. DUBONGCO")</f>
        <v>JAMES ARTHUR T. DUBONGCO</v>
      </c>
      <c r="L1720" s="164" t="str">
        <f ca="1">IFERROR(__xludf.DUMMYFUNCTION("""COMPUTED_VALUE"""),"PARPO OFFICE")</f>
        <v>PARPO OFFICE</v>
      </c>
      <c r="M1720" s="164" t="str">
        <f ca="1">IFERROR(__xludf.DUMMYFUNCTION("""COMPUTED_VALUE"""),"SERVICEABLE")</f>
        <v>SERVICEABLE</v>
      </c>
      <c r="N1720" s="164"/>
    </row>
    <row r="1721" spans="1:14" ht="13.2" hidden="1">
      <c r="A1721" s="164" t="str">
        <f ca="1">IFERROR(__xludf.DUMMYFUNCTION("""COMPUTED_VALUE"""),"Region IV-A")</f>
        <v>Region IV-A</v>
      </c>
      <c r="B1721" s="164" t="str">
        <f ca="1">IFERROR(__xludf.DUMMYFUNCTION("""COMPUTED_VALUE"""),"CAVITE")</f>
        <v>CAVITE</v>
      </c>
      <c r="C1721" s="164" t="str">
        <f ca="1">IFERROR(__xludf.DUMMYFUNCTION("""COMPUTED_VALUE"""),"DESKTOP COMPUTER – (HP PRO SFF 280G9)")</f>
        <v>DESKTOP COMPUTER – (HP PRO SFF 280G9)</v>
      </c>
      <c r="D1721" s="164" t="str">
        <f ca="1">IFERROR(__xludf.DUMMYFUNCTION("""COMPUTED_VALUE"""),"₱ 78,898.00")</f>
        <v>₱ 78,898.00</v>
      </c>
      <c r="E1721" s="164" t="str">
        <f ca="1">IFERROR(__xludf.DUMMYFUNCTION("""COMPUTED_VALUE"""),"₱-")</f>
        <v>₱-</v>
      </c>
      <c r="F1721" s="164" t="str">
        <f ca="1">IFERROR(__xludf.DUMMYFUNCTION("""COMPUTED_VALUE"""),"2023-05-03-10202SP274-01")</f>
        <v>2023-05-03-10202SP274-01</v>
      </c>
      <c r="G1721" s="164" t="str">
        <f ca="1">IFERROR(__xludf.DUMMYFUNCTION("""COMPUTED_VALUE"""),"4CE301DSJ5")</f>
        <v>4CE301DSJ5</v>
      </c>
      <c r="H1721" s="164" t="str">
        <f ca="1">IFERROR(__xludf.DUMMYFUNCTION("""COMPUTED_VALUE"""),"JOHN BENEDICT MASANA")</f>
        <v>JOHN BENEDICT MASANA</v>
      </c>
      <c r="I1721" s="164" t="str">
        <f ca="1">IFERROR(__xludf.DUMMYFUNCTION("""COMPUTED_VALUE"""),"ARPO 1 / ESS STAFF")</f>
        <v>ARPO 1 / ESS STAFF</v>
      </c>
      <c r="J1721" s="164" t="str">
        <f ca="1">IFERROR(__xludf.DUMMYFUNCTION("""COMPUTED_VALUE"""),"23-10-19")</f>
        <v>23-10-19</v>
      </c>
      <c r="K1721" s="164" t="str">
        <f ca="1">IFERROR(__xludf.DUMMYFUNCTION("""COMPUTED_VALUE"""),"JOHN BENEDICT MASANA")</f>
        <v>JOHN BENEDICT MASANA</v>
      </c>
      <c r="L1721" s="164" t="str">
        <f ca="1">IFERROR(__xludf.DUMMYFUNCTION("""COMPUTED_VALUE"""),"PBDD")</f>
        <v>PBDD</v>
      </c>
      <c r="M1721" s="164" t="str">
        <f ca="1">IFERROR(__xludf.DUMMYFUNCTION("""COMPUTED_VALUE"""),"SERVICEABLE")</f>
        <v>SERVICEABLE</v>
      </c>
      <c r="N1721" s="164" t="str">
        <f ca="1">IFERROR(__xludf.DUMMYFUNCTION("""COMPUTED_VALUE"""),"HP PRINTER UNSERVICEABLE")</f>
        <v>HP PRINTER UNSERVICEABLE</v>
      </c>
    </row>
    <row r="1722" spans="1:14" ht="13.2" hidden="1">
      <c r="A1722" s="164" t="str">
        <f ca="1">IFERROR(__xludf.DUMMYFUNCTION("""COMPUTED_VALUE"""),"Region IV-A")</f>
        <v>Region IV-A</v>
      </c>
      <c r="B1722" s="164" t="str">
        <f ca="1">IFERROR(__xludf.DUMMYFUNCTION("""COMPUTED_VALUE"""),"LAGUNA")</f>
        <v>LAGUNA</v>
      </c>
      <c r="C1722" s="164" t="str">
        <f ca="1">IFERROR(__xludf.DUMMYFUNCTION("""COMPUTED_VALUE"""),"DESKTOP COMPUTER – (HP PRO SFF 280G9)")</f>
        <v>DESKTOP COMPUTER – (HP PRO SFF 280G9)</v>
      </c>
      <c r="D1722" s="164" t="str">
        <f ca="1">IFERROR(__xludf.DUMMYFUNCTION("""COMPUTED_VALUE"""),"₱ 78,898.00")</f>
        <v>₱ 78,898.00</v>
      </c>
      <c r="E1722" s="164" t="str">
        <f ca="1">IFERROR(__xludf.DUMMYFUNCTION("""COMPUTED_VALUE"""),"₱-")</f>
        <v>₱-</v>
      </c>
      <c r="F1722" s="164" t="str">
        <f ca="1">IFERROR(__xludf.DUMMYFUNCTION("""COMPUTED_VALUE"""),"2023-05-02-10201SP275-01")</f>
        <v>2023-05-02-10201SP275-01</v>
      </c>
      <c r="G1722" s="164" t="str">
        <f ca="1">IFERROR(__xludf.DUMMYFUNCTION("""COMPUTED_VALUE"""),"4CE301DSJ8")</f>
        <v>4CE301DSJ8</v>
      </c>
      <c r="H1722" s="164" t="str">
        <f ca="1">IFERROR(__xludf.DUMMYFUNCTION("""COMPUTED_VALUE"""),"NORBERT S. SUMAGUE")</f>
        <v>NORBERT S. SUMAGUE</v>
      </c>
      <c r="I1722" s="164" t="str">
        <f ca="1">IFERROR(__xludf.DUMMYFUNCTION("""COMPUTED_VALUE"""),"M &amp; E COORDINATOR")</f>
        <v>M &amp; E COORDINATOR</v>
      </c>
      <c r="J1722" s="164" t="str">
        <f ca="1">IFERROR(__xludf.DUMMYFUNCTION("""COMPUTED_VALUE"""),"2023-08-16-S")</f>
        <v>2023-08-16-S</v>
      </c>
      <c r="K1722" s="164" t="str">
        <f ca="1">IFERROR(__xludf.DUMMYFUNCTION("""COMPUTED_VALUE"""),"JAIJARA DI FLORES")</f>
        <v>JAIJARA DI FLORES</v>
      </c>
      <c r="L1722" s="164" t="str">
        <f ca="1">IFERROR(__xludf.DUMMYFUNCTION("""COMPUTED_VALUE"""),"SPLIT OFFICE")</f>
        <v>SPLIT OFFICE</v>
      </c>
      <c r="M1722" s="164" t="str">
        <f ca="1">IFERROR(__xludf.DUMMYFUNCTION("""COMPUTED_VALUE"""),"SERVICEABLE")</f>
        <v>SERVICEABLE</v>
      </c>
      <c r="N1722" s="164"/>
    </row>
    <row r="1723" spans="1:14" ht="13.2" hidden="1">
      <c r="A1723" s="164" t="str">
        <f ca="1">IFERROR(__xludf.DUMMYFUNCTION("""COMPUTED_VALUE"""),"Region IV-A")</f>
        <v>Region IV-A</v>
      </c>
      <c r="B1723" s="164" t="str">
        <f ca="1">IFERROR(__xludf.DUMMYFUNCTION("""COMPUTED_VALUE"""),"LAGUNA")</f>
        <v>LAGUNA</v>
      </c>
      <c r="C1723" s="164" t="str">
        <f ca="1">IFERROR(__xludf.DUMMYFUNCTION("""COMPUTED_VALUE"""),"DESKTOP COMPUTER – (HP PRO SFF 280G9)")</f>
        <v>DESKTOP COMPUTER – (HP PRO SFF 280G9)</v>
      </c>
      <c r="D1723" s="164" t="str">
        <f ca="1">IFERROR(__xludf.DUMMYFUNCTION("""COMPUTED_VALUE"""),"₱ 78,898.00")</f>
        <v>₱ 78,898.00</v>
      </c>
      <c r="E1723" s="164" t="str">
        <f ca="1">IFERROR(__xludf.DUMMYFUNCTION("""COMPUTED_VALUE"""),"₱-")</f>
        <v>₱-</v>
      </c>
      <c r="F1723" s="164" t="str">
        <f ca="1">IFERROR(__xludf.DUMMYFUNCTION("""COMPUTED_VALUE"""),"2023-05-02-10201SP276-01")</f>
        <v>2023-05-02-10201SP276-01</v>
      </c>
      <c r="G1723" s="164" t="str">
        <f ca="1">IFERROR(__xludf.DUMMYFUNCTION("""COMPUTED_VALUE"""),"4CE301DSM3")</f>
        <v>4CE301DSM3</v>
      </c>
      <c r="H1723" s="164" t="str">
        <f ca="1">IFERROR(__xludf.DUMMYFUNCTION("""COMPUTED_VALUE"""),"RAMIL O. MONTEJO")</f>
        <v>RAMIL O. MONTEJO</v>
      </c>
      <c r="I1723" s="164" t="str">
        <f ca="1">IFERROR(__xludf.DUMMYFUNCTION("""COMPUTED_VALUE"""),"LRA-ROD SURVEY COORDINATOR")</f>
        <v>LRA-ROD SURVEY COORDINATOR</v>
      </c>
      <c r="J1723" s="164" t="str">
        <f ca="1">IFERROR(__xludf.DUMMYFUNCTION("""COMPUTED_VALUE"""),"2023-08-17-S")</f>
        <v>2023-08-17-S</v>
      </c>
      <c r="K1723" s="164" t="str">
        <f ca="1">IFERROR(__xludf.DUMMYFUNCTION("""COMPUTED_VALUE"""),"CIENNA MAE T DEL ROSARIO")</f>
        <v>CIENNA MAE T DEL ROSARIO</v>
      </c>
      <c r="L1723" s="164" t="str">
        <f ca="1">IFERROR(__xludf.DUMMYFUNCTION("""COMPUTED_VALUE"""),"SPLIT OFFICE")</f>
        <v>SPLIT OFFICE</v>
      </c>
      <c r="M1723" s="164" t="str">
        <f ca="1">IFERROR(__xludf.DUMMYFUNCTION("""COMPUTED_VALUE"""),"SERVICEABLE")</f>
        <v>SERVICEABLE</v>
      </c>
      <c r="N1723" s="164"/>
    </row>
    <row r="1724" spans="1:14" ht="13.2" hidden="1">
      <c r="A1724" s="164" t="str">
        <f ca="1">IFERROR(__xludf.DUMMYFUNCTION("""COMPUTED_VALUE"""),"Region IV-A")</f>
        <v>Region IV-A</v>
      </c>
      <c r="B1724" s="164" t="str">
        <f ca="1">IFERROR(__xludf.DUMMYFUNCTION("""COMPUTED_VALUE"""),"LAGUNA")</f>
        <v>LAGUNA</v>
      </c>
      <c r="C1724" s="164" t="str">
        <f ca="1">IFERROR(__xludf.DUMMYFUNCTION("""COMPUTED_VALUE"""),"DESKTOP COMPUTER – (HP PRO SFF 280G9)")</f>
        <v>DESKTOP COMPUTER – (HP PRO SFF 280G9)</v>
      </c>
      <c r="D1724" s="164" t="str">
        <f ca="1">IFERROR(__xludf.DUMMYFUNCTION("""COMPUTED_VALUE"""),"₱ 78,898.00")</f>
        <v>₱ 78,898.00</v>
      </c>
      <c r="E1724" s="164" t="str">
        <f ca="1">IFERROR(__xludf.DUMMYFUNCTION("""COMPUTED_VALUE"""),"₱-")</f>
        <v>₱-</v>
      </c>
      <c r="F1724" s="164" t="str">
        <f ca="1">IFERROR(__xludf.DUMMYFUNCTION("""COMPUTED_VALUE"""),"2023-05-02-10201SP277-01")</f>
        <v>2023-05-02-10201SP277-01</v>
      </c>
      <c r="G1724" s="164" t="str">
        <f ca="1">IFERROR(__xludf.DUMMYFUNCTION("""COMPUTED_VALUE"""),"4CE301DH3W")</f>
        <v>4CE301DH3W</v>
      </c>
      <c r="H1724" s="164" t="str">
        <f ca="1">IFERROR(__xludf.DUMMYFUNCTION("""COMPUTED_VALUE"""),"GIL M. CRUZ")</f>
        <v>GIL M. CRUZ</v>
      </c>
      <c r="I1724" s="164" t="str">
        <f ca="1">IFERROR(__xludf.DUMMYFUNCTION("""COMPUTED_VALUE"""),"PROJECT PROCUREMENT OFFICER")</f>
        <v>PROJECT PROCUREMENT OFFICER</v>
      </c>
      <c r="J1724" s="164" t="str">
        <f ca="1">IFERROR(__xludf.DUMMYFUNCTION("""COMPUTED_VALUE"""),"2023-08-18-S")</f>
        <v>2023-08-18-S</v>
      </c>
      <c r="K1724" s="164" t="str">
        <f ca="1">IFERROR(__xludf.DUMMYFUNCTION("""COMPUTED_VALUE"""),"MA. NECHOL C. SALUDES")</f>
        <v>MA. NECHOL C. SALUDES</v>
      </c>
      <c r="L1724" s="164" t="str">
        <f ca="1">IFERROR(__xludf.DUMMYFUNCTION("""COMPUTED_VALUE"""),"SPLIT OFFICE")</f>
        <v>SPLIT OFFICE</v>
      </c>
      <c r="M1724" s="164" t="str">
        <f ca="1">IFERROR(__xludf.DUMMYFUNCTION("""COMPUTED_VALUE"""),"SERVICEABLE")</f>
        <v>SERVICEABLE</v>
      </c>
      <c r="N1724" s="164"/>
    </row>
    <row r="1725" spans="1:14" ht="13.2" hidden="1">
      <c r="A1725" s="164" t="str">
        <f ca="1">IFERROR(__xludf.DUMMYFUNCTION("""COMPUTED_VALUE"""),"Region IV-A")</f>
        <v>Region IV-A</v>
      </c>
      <c r="B1725" s="164" t="str">
        <f ca="1">IFERROR(__xludf.DUMMYFUNCTION("""COMPUTED_VALUE"""),"QUEZON I")</f>
        <v>QUEZON I</v>
      </c>
      <c r="C1725" s="164" t="str">
        <f ca="1">IFERROR(__xludf.DUMMYFUNCTION("""COMPUTED_VALUE"""),"DESKTOP COMPUTER – (HP PRO SFF 280G9)")</f>
        <v>DESKTOP COMPUTER – (HP PRO SFF 280G9)</v>
      </c>
      <c r="D1725" s="164" t="str">
        <f ca="1">IFERROR(__xludf.DUMMYFUNCTION("""COMPUTED_VALUE"""),"₱ 78,898.00")</f>
        <v>₱ 78,898.00</v>
      </c>
      <c r="E1725" s="164" t="str">
        <f ca="1">IFERROR(__xludf.DUMMYFUNCTION("""COMPUTED_VALUE"""),"₱-")</f>
        <v>₱-</v>
      </c>
      <c r="F1725" s="164" t="str">
        <f ca="1">IFERROR(__xludf.DUMMYFUNCTION("""COMPUTED_VALUE"""),"2023-05-03-10201SP278-01")</f>
        <v>2023-05-03-10201SP278-01</v>
      </c>
      <c r="G1725" s="164" t="str">
        <f ca="1">IFERROR(__xludf.DUMMYFUNCTION("""COMPUTED_VALUE"""),"4CE301DH7F")</f>
        <v>4CE301DH7F</v>
      </c>
      <c r="H1725" s="164" t="str">
        <f ca="1">IFERROR(__xludf.DUMMYFUNCTION("""COMPUTED_VALUE"""),"LEA B. RODIL")</f>
        <v>LEA B. RODIL</v>
      </c>
      <c r="I1725" s="164" t="str">
        <f ca="1">IFERROR(__xludf.DUMMYFUNCTION("""COMPUTED_VALUE"""),"AO IV/Project Procurement Officer")</f>
        <v>AO IV/Project Procurement Officer</v>
      </c>
      <c r="J1725" s="164" t="str">
        <f ca="1">IFERROR(__xludf.DUMMYFUNCTION("""COMPUTED_VALUE"""),"006-08-2023")</f>
        <v>006-08-2023</v>
      </c>
      <c r="K1725" s="164" t="str">
        <f ca="1">IFERROR(__xludf.DUMMYFUNCTION("""COMPUTED_VALUE"""),"LEA B. RODIL")</f>
        <v>LEA B. RODIL</v>
      </c>
      <c r="L1725" s="164" t="str">
        <f ca="1">IFERROR(__xludf.DUMMYFUNCTION("""COMPUTED_VALUE"""),"DARPO QUEZON I")</f>
        <v>DARPO QUEZON I</v>
      </c>
      <c r="M1725" s="164" t="str">
        <f ca="1">IFERROR(__xludf.DUMMYFUNCTION("""COMPUTED_VALUE"""),"SERVICEABLE")</f>
        <v>SERVICEABLE</v>
      </c>
      <c r="N1725" s="164"/>
    </row>
    <row r="1726" spans="1:14" ht="13.2" hidden="1">
      <c r="A1726" s="164" t="str">
        <f ca="1">IFERROR(__xludf.DUMMYFUNCTION("""COMPUTED_VALUE"""),"Region IV-A")</f>
        <v>Region IV-A</v>
      </c>
      <c r="B1726" s="164" t="str">
        <f ca="1">IFERROR(__xludf.DUMMYFUNCTION("""COMPUTED_VALUE"""),"QUEZON I")</f>
        <v>QUEZON I</v>
      </c>
      <c r="C1726" s="164" t="str">
        <f ca="1">IFERROR(__xludf.DUMMYFUNCTION("""COMPUTED_VALUE"""),"DESKTOP COMPUTER – (HP PRO SFF 280G9)")</f>
        <v>DESKTOP COMPUTER – (HP PRO SFF 280G9)</v>
      </c>
      <c r="D1726" s="164" t="str">
        <f ca="1">IFERROR(__xludf.DUMMYFUNCTION("""COMPUTED_VALUE"""),"₱ 78,898.00")</f>
        <v>₱ 78,898.00</v>
      </c>
      <c r="E1726" s="164" t="str">
        <f ca="1">IFERROR(__xludf.DUMMYFUNCTION("""COMPUTED_VALUE"""),"₱-")</f>
        <v>₱-</v>
      </c>
      <c r="F1726" s="164" t="str">
        <f ca="1">IFERROR(__xludf.DUMMYFUNCTION("""COMPUTED_VALUE"""),"2023-05-03-10201SP279-01")</f>
        <v>2023-05-03-10201SP279-01</v>
      </c>
      <c r="G1726" s="164" t="str">
        <f ca="1">IFERROR(__xludf.DUMMYFUNCTION("""COMPUTED_VALUE"""),"4CE301DH8C")</f>
        <v>4CE301DH8C</v>
      </c>
      <c r="H1726" s="164" t="str">
        <f ca="1">IFERROR(__xludf.DUMMYFUNCTION("""COMPUTED_VALUE"""),"ELENITA HERRERIA")</f>
        <v>ELENITA HERRERIA</v>
      </c>
      <c r="I1726" s="164" t="str">
        <f ca="1">IFERROR(__xludf.DUMMYFUNCTION("""COMPUTED_VALUE"""),"CARPO, PBDD/ Provincial ESS Coordinator")</f>
        <v>CARPO, PBDD/ Provincial ESS Coordinator</v>
      </c>
      <c r="J1726" s="164" t="str">
        <f ca="1">IFERROR(__xludf.DUMMYFUNCTION("""COMPUTED_VALUE"""),"013-08-2023")</f>
        <v>013-08-2023</v>
      </c>
      <c r="K1726" s="164" t="str">
        <f ca="1">IFERROR(__xludf.DUMMYFUNCTION("""COMPUTED_VALUE"""),"NICHOLE POTESTADES")</f>
        <v>NICHOLE POTESTADES</v>
      </c>
      <c r="L1726" s="164" t="str">
        <f ca="1">IFERROR(__xludf.DUMMYFUNCTION("""COMPUTED_VALUE"""),"DARPO QUEZON I")</f>
        <v>DARPO QUEZON I</v>
      </c>
      <c r="M1726" s="164" t="str">
        <f ca="1">IFERROR(__xludf.DUMMYFUNCTION("""COMPUTED_VALUE"""),"SERVICEABLE")</f>
        <v>SERVICEABLE</v>
      </c>
      <c r="N1726" s="164"/>
    </row>
    <row r="1727" spans="1:14" ht="13.2" hidden="1">
      <c r="A1727" s="164" t="str">
        <f ca="1">IFERROR(__xludf.DUMMYFUNCTION("""COMPUTED_VALUE"""),"Region IV-A")</f>
        <v>Region IV-A</v>
      </c>
      <c r="B1727" s="164" t="str">
        <f ca="1">IFERROR(__xludf.DUMMYFUNCTION("""COMPUTED_VALUE"""),"QUEZON I")</f>
        <v>QUEZON I</v>
      </c>
      <c r="C1727" s="164" t="str">
        <f ca="1">IFERROR(__xludf.DUMMYFUNCTION("""COMPUTED_VALUE"""),"DESKTOP COMPUTER – (HP PRO SFF 280G9)")</f>
        <v>DESKTOP COMPUTER – (HP PRO SFF 280G9)</v>
      </c>
      <c r="D1727" s="164" t="str">
        <f ca="1">IFERROR(__xludf.DUMMYFUNCTION("""COMPUTED_VALUE"""),"₱ 78,898.00")</f>
        <v>₱ 78,898.00</v>
      </c>
      <c r="E1727" s="164" t="str">
        <f ca="1">IFERROR(__xludf.DUMMYFUNCTION("""COMPUTED_VALUE"""),"₱-")</f>
        <v>₱-</v>
      </c>
      <c r="F1727" s="164" t="str">
        <f ca="1">IFERROR(__xludf.DUMMYFUNCTION("""COMPUTED_VALUE"""),"2023-05-03-10201SP280-01")</f>
        <v>2023-05-03-10201SP280-01</v>
      </c>
      <c r="G1727" s="164" t="str">
        <f ca="1">IFERROR(__xludf.DUMMYFUNCTION("""COMPUTED_VALUE"""),"4CE301DH4C")</f>
        <v>4CE301DH4C</v>
      </c>
      <c r="H1727" s="164" t="str">
        <f ca="1">IFERROR(__xludf.DUMMYFUNCTION("""COMPUTED_VALUE"""),"LEA B. RODIL")</f>
        <v>LEA B. RODIL</v>
      </c>
      <c r="I1727" s="164" t="str">
        <f ca="1">IFERROR(__xludf.DUMMYFUNCTION("""COMPUTED_VALUE"""),"AO IV/Project Procurement Officer")</f>
        <v>AO IV/Project Procurement Officer</v>
      </c>
      <c r="J1727" s="164" t="str">
        <f ca="1">IFERROR(__xludf.DUMMYFUNCTION("""COMPUTED_VALUE"""),"015-08-2023")</f>
        <v>015-08-2023</v>
      </c>
      <c r="K1727" s="164" t="str">
        <f ca="1">IFERROR(__xludf.DUMMYFUNCTION("""COMPUTED_VALUE"""),"LEA B. RODIL")</f>
        <v>LEA B. RODIL</v>
      </c>
      <c r="L1727" s="164" t="str">
        <f ca="1">IFERROR(__xludf.DUMMYFUNCTION("""COMPUTED_VALUE"""),"DARPO QUEZON I")</f>
        <v>DARPO QUEZON I</v>
      </c>
      <c r="M1727" s="164" t="str">
        <f ca="1">IFERROR(__xludf.DUMMYFUNCTION("""COMPUTED_VALUE"""),"SERVICEABLE")</f>
        <v>SERVICEABLE</v>
      </c>
      <c r="N1727" s="164"/>
    </row>
    <row r="1728" spans="1:14" ht="13.2" hidden="1">
      <c r="A1728" s="164" t="str">
        <f ca="1">IFERROR(__xludf.DUMMYFUNCTION("""COMPUTED_VALUE"""),"Region IV-A")</f>
        <v>Region IV-A</v>
      </c>
      <c r="B1728" s="164" t="str">
        <f ca="1">IFERROR(__xludf.DUMMYFUNCTION("""COMPUTED_VALUE"""),"QUEZON II")</f>
        <v>QUEZON II</v>
      </c>
      <c r="C1728" s="164" t="str">
        <f ca="1">IFERROR(__xludf.DUMMYFUNCTION("""COMPUTED_VALUE"""),"DESKTOP COMPUTER – (HP PRO SFF 280G9)")</f>
        <v>DESKTOP COMPUTER – (HP PRO SFF 280G9)</v>
      </c>
      <c r="D1728" s="164" t="str">
        <f ca="1">IFERROR(__xludf.DUMMYFUNCTION("""COMPUTED_VALUE"""),"₱ 78,898.00")</f>
        <v>₱ 78,898.00</v>
      </c>
      <c r="E1728" s="164" t="str">
        <f ca="1">IFERROR(__xludf.DUMMYFUNCTION("""COMPUTED_VALUE"""),"₱-")</f>
        <v>₱-</v>
      </c>
      <c r="F1728" s="164" t="str">
        <f ca="1">IFERROR(__xludf.DUMMYFUNCTION("""COMPUTED_VALUE"""),"2023-05-03-10201SP281-01")</f>
        <v>2023-05-03-10201SP281-01</v>
      </c>
      <c r="G1728" s="164" t="str">
        <f ca="1">IFERROR(__xludf.DUMMYFUNCTION("""COMPUTED_VALUE"""),"4CE301DHGN")</f>
        <v>4CE301DHGN</v>
      </c>
      <c r="H1728" s="164" t="str">
        <f ca="1">IFERROR(__xludf.DUMMYFUNCTION("""COMPUTED_VALUE"""),"VERONICA M. OTCHARAN")</f>
        <v>VERONICA M. OTCHARAN</v>
      </c>
      <c r="I1728" s="164" t="str">
        <f ca="1">IFERROR(__xludf.DUMMYFUNCTION("""COMPUTED_VALUE"""),"FVT COORDINATOR")</f>
        <v>FVT COORDINATOR</v>
      </c>
      <c r="J1728" s="164" t="str">
        <f ca="1">IFERROR(__xludf.DUMMYFUNCTION("""COMPUTED_VALUE"""),"2023-08-003")</f>
        <v>2023-08-003</v>
      </c>
      <c r="K1728" s="164" t="str">
        <f ca="1">IFERROR(__xludf.DUMMYFUNCTION("""COMPUTED_VALUE"""),"JONATHAN RANAS")</f>
        <v>JONATHAN RANAS</v>
      </c>
      <c r="L1728" s="164" t="str">
        <f ca="1">IFERROR(__xludf.DUMMYFUNCTION("""COMPUTED_VALUE"""),"SPLIT OFFICE")</f>
        <v>SPLIT OFFICE</v>
      </c>
      <c r="M1728" s="164" t="str">
        <f ca="1">IFERROR(__xludf.DUMMYFUNCTION("""COMPUTED_VALUE"""),"SERVICEABLE")</f>
        <v>SERVICEABLE</v>
      </c>
      <c r="N1728" s="164"/>
    </row>
    <row r="1729" spans="1:26" ht="13.2" hidden="1">
      <c r="A1729" s="164" t="str">
        <f ca="1">IFERROR(__xludf.DUMMYFUNCTION("""COMPUTED_VALUE"""),"Region IV-A")</f>
        <v>Region IV-A</v>
      </c>
      <c r="B1729" s="164" t="str">
        <f ca="1">IFERROR(__xludf.DUMMYFUNCTION("""COMPUTED_VALUE"""),"QUEZON II")</f>
        <v>QUEZON II</v>
      </c>
      <c r="C1729" s="164" t="str">
        <f ca="1">IFERROR(__xludf.DUMMYFUNCTION("""COMPUTED_VALUE"""),"DESKTOP COMPUTER – (HP PRO SFF 280G9)")</f>
        <v>DESKTOP COMPUTER – (HP PRO SFF 280G9)</v>
      </c>
      <c r="D1729" s="164" t="str">
        <f ca="1">IFERROR(__xludf.DUMMYFUNCTION("""COMPUTED_VALUE"""),"₱ 78,898.00")</f>
        <v>₱ 78,898.00</v>
      </c>
      <c r="E1729" s="164" t="str">
        <f ca="1">IFERROR(__xludf.DUMMYFUNCTION("""COMPUTED_VALUE"""),"₱-")</f>
        <v>₱-</v>
      </c>
      <c r="F1729" s="164" t="str">
        <f ca="1">IFERROR(__xludf.DUMMYFUNCTION("""COMPUTED_VALUE"""),"2023-05-03-10201SP282-01")</f>
        <v>2023-05-03-10201SP282-01</v>
      </c>
      <c r="G1729" s="164" t="str">
        <f ca="1">IFERROR(__xludf.DUMMYFUNCTION("""COMPUTED_VALUE"""),"4CE301DH3F")</f>
        <v>4CE301DH3F</v>
      </c>
      <c r="H1729" s="164" t="str">
        <f ca="1">IFERROR(__xludf.DUMMYFUNCTION("""COMPUTED_VALUE"""),"JOHNSON U. BONIFACIO")</f>
        <v>JOHNSON U. BONIFACIO</v>
      </c>
      <c r="I1729" s="164" t="str">
        <f ca="1">IFERROR(__xludf.DUMMYFUNCTION("""COMPUTED_VALUE"""),"PROCUREMENT OFFICER")</f>
        <v>PROCUREMENT OFFICER</v>
      </c>
      <c r="J1729" s="164" t="str">
        <f ca="1">IFERROR(__xludf.DUMMYFUNCTION("""COMPUTED_VALUE"""),"2023-08-004")</f>
        <v>2023-08-004</v>
      </c>
      <c r="K1729" s="164" t="str">
        <f ca="1">IFERROR(__xludf.DUMMYFUNCTION("""COMPUTED_VALUE"""),"JOHNSON U. BONIFACIO")</f>
        <v>JOHNSON U. BONIFACIO</v>
      </c>
      <c r="L1729" s="164" t="str">
        <f ca="1">IFERROR(__xludf.DUMMYFUNCTION("""COMPUTED_VALUE"""),"PROCUREMENT OFFICE")</f>
        <v>PROCUREMENT OFFICE</v>
      </c>
      <c r="M1729" s="164" t="str">
        <f ca="1">IFERROR(__xludf.DUMMYFUNCTION("""COMPUTED_VALUE"""),"SERVICEABLE")</f>
        <v>SERVICEABLE</v>
      </c>
      <c r="N1729" s="164"/>
    </row>
    <row r="1730" spans="1:26" ht="13.2" hidden="1">
      <c r="A1730" s="164" t="str">
        <f ca="1">IFERROR(__xludf.DUMMYFUNCTION("""COMPUTED_VALUE"""),"Region IV-A")</f>
        <v>Region IV-A</v>
      </c>
      <c r="B1730" s="164" t="str">
        <f ca="1">IFERROR(__xludf.DUMMYFUNCTION("""COMPUTED_VALUE"""),"QUEZON II")</f>
        <v>QUEZON II</v>
      </c>
      <c r="C1730" s="164" t="str">
        <f ca="1">IFERROR(__xludf.DUMMYFUNCTION("""COMPUTED_VALUE"""),"DESKTOP COMPUTER – (HP PRO SFF 280G9)")</f>
        <v>DESKTOP COMPUTER – (HP PRO SFF 280G9)</v>
      </c>
      <c r="D1730" s="164" t="str">
        <f ca="1">IFERROR(__xludf.DUMMYFUNCTION("""COMPUTED_VALUE"""),"₱ 78,898.00")</f>
        <v>₱ 78,898.00</v>
      </c>
      <c r="E1730" s="164" t="str">
        <f ca="1">IFERROR(__xludf.DUMMYFUNCTION("""COMPUTED_VALUE"""),"₱-")</f>
        <v>₱-</v>
      </c>
      <c r="F1730" s="164" t="str">
        <f ca="1">IFERROR(__xludf.DUMMYFUNCTION("""COMPUTED_VALUE"""),"2023-05-03-10201SP283-01")</f>
        <v>2023-05-03-10201SP283-01</v>
      </c>
      <c r="G1730" s="164" t="str">
        <f ca="1">IFERROR(__xludf.DUMMYFUNCTION("""COMPUTED_VALUE"""),"4CE301DH6X")</f>
        <v>4CE301DH6X</v>
      </c>
      <c r="H1730" s="164" t="str">
        <f ca="1">IFERROR(__xludf.DUMMYFUNCTION("""COMPUTED_VALUE"""),"JOSEFINA L. BIO")</f>
        <v>JOSEFINA L. BIO</v>
      </c>
      <c r="I1730" s="164" t="str">
        <f ca="1">IFERROR(__xludf.DUMMYFUNCTION("""COMPUTED_VALUE"""),"ADMINISTRATIVE &amp; FINANCE OFFICER")</f>
        <v>ADMINISTRATIVE &amp; FINANCE OFFICER</v>
      </c>
      <c r="J1730" s="164" t="str">
        <f ca="1">IFERROR(__xludf.DUMMYFUNCTION("""COMPUTED_VALUE"""),"2023-08-005")</f>
        <v>2023-08-005</v>
      </c>
      <c r="K1730" s="164" t="str">
        <f ca="1">IFERROR(__xludf.DUMMYFUNCTION("""COMPUTED_VALUE"""),"CRIS BRYAN ANGEO")</f>
        <v>CRIS BRYAN ANGEO</v>
      </c>
      <c r="L1730" s="164" t="str">
        <f ca="1">IFERROR(__xludf.DUMMYFUNCTION("""COMPUTED_VALUE"""),"SPLIT OFFICE")</f>
        <v>SPLIT OFFICE</v>
      </c>
      <c r="M1730" s="164" t="str">
        <f ca="1">IFERROR(__xludf.DUMMYFUNCTION("""COMPUTED_VALUE"""),"SERVICEABLE")</f>
        <v>SERVICEABLE</v>
      </c>
      <c r="N1730" s="164"/>
    </row>
    <row r="1731" spans="1:26" ht="13.2" hidden="1">
      <c r="A1731" s="164" t="str">
        <f ca="1">IFERROR(__xludf.DUMMYFUNCTION("""COMPUTED_VALUE"""),"Region IV-A")</f>
        <v>Region IV-A</v>
      </c>
      <c r="B1731" s="164" t="str">
        <f ca="1">IFERROR(__xludf.DUMMYFUNCTION("""COMPUTED_VALUE"""),"RIZAL")</f>
        <v>RIZAL</v>
      </c>
      <c r="C1731" s="164" t="str">
        <f ca="1">IFERROR(__xludf.DUMMYFUNCTION("""COMPUTED_VALUE"""),"DESKTOP COMPUTER – (HP PRO SFF 280G9)")</f>
        <v>DESKTOP COMPUTER – (HP PRO SFF 280G9)</v>
      </c>
      <c r="D1731" s="164" t="str">
        <f ca="1">IFERROR(__xludf.DUMMYFUNCTION("""COMPUTED_VALUE"""),"₱ 78,898.00")</f>
        <v>₱ 78,898.00</v>
      </c>
      <c r="E1731" s="164" t="str">
        <f ca="1">IFERROR(__xludf.DUMMYFUNCTION("""COMPUTED_VALUE"""),"₱-")</f>
        <v>₱-</v>
      </c>
      <c r="F1731" s="164" t="str">
        <f ca="1">IFERROR(__xludf.DUMMYFUNCTION("""COMPUTED_VALUE"""),"2023-05-03-10201SP284-01")</f>
        <v>2023-05-03-10201SP284-01</v>
      </c>
      <c r="G1731" s="164" t="str">
        <f ca="1">IFERROR(__xludf.DUMMYFUNCTION("""COMPUTED_VALUE"""),"4CE301DSP8")</f>
        <v>4CE301DSP8</v>
      </c>
      <c r="H1731" s="164" t="str">
        <f ca="1">IFERROR(__xludf.DUMMYFUNCTION("""COMPUTED_VALUE"""),"JHEUS JEROME SAN ESTEBAN")</f>
        <v>JHEUS JEROME SAN ESTEBAN</v>
      </c>
      <c r="I1731" s="164" t="str">
        <f ca="1">IFERROR(__xludf.DUMMYFUNCTION("""COMPUTED_VALUE"""),"ARPT")</f>
        <v>ARPT</v>
      </c>
      <c r="J1731" s="164" t="str">
        <f ca="1">IFERROR(__xludf.DUMMYFUNCTION("""COMPUTED_VALUE"""),"2023-SPLIT-08-001")</f>
        <v>2023-SPLIT-08-001</v>
      </c>
      <c r="K1731" s="164" t="str">
        <f ca="1">IFERROR(__xludf.DUMMYFUNCTION("""COMPUTED_VALUE"""),"JHEUS JEROME SAN ESTEBAN")</f>
        <v>JHEUS JEROME SAN ESTEBAN</v>
      </c>
      <c r="L1731" s="164" t="str">
        <f ca="1">IFERROR(__xludf.DUMMYFUNCTION("""COMPUTED_VALUE"""),"LTS")</f>
        <v>LTS</v>
      </c>
      <c r="M1731" s="164" t="str">
        <f ca="1">IFERROR(__xludf.DUMMYFUNCTION("""COMPUTED_VALUE"""),"SERVICEABLE")</f>
        <v>SERVICEABLE</v>
      </c>
      <c r="N1731" s="164"/>
      <c r="O1731" s="45"/>
      <c r="P1731" s="45"/>
      <c r="Q1731" s="45"/>
      <c r="R1731" s="45"/>
      <c r="S1731" s="45"/>
      <c r="T1731" s="45"/>
      <c r="U1731" s="45"/>
      <c r="V1731" s="45"/>
      <c r="W1731" s="45"/>
      <c r="X1731" s="45"/>
      <c r="Y1731" s="45"/>
      <c r="Z1731" s="45"/>
    </row>
    <row r="1732" spans="1:26" ht="13.2" hidden="1">
      <c r="A1732" s="164" t="str">
        <f ca="1">IFERROR(__xludf.DUMMYFUNCTION("""COMPUTED_VALUE"""),"Region IV-A")</f>
        <v>Region IV-A</v>
      </c>
      <c r="B1732" s="164" t="str">
        <f ca="1">IFERROR(__xludf.DUMMYFUNCTION("""COMPUTED_VALUE"""),"RIZAL")</f>
        <v>RIZAL</v>
      </c>
      <c r="C1732" s="164" t="str">
        <f ca="1">IFERROR(__xludf.DUMMYFUNCTION("""COMPUTED_VALUE"""),"DESKTOP COMPUTER – (HP PRO SFF 280G9)")</f>
        <v>DESKTOP COMPUTER – (HP PRO SFF 280G9)</v>
      </c>
      <c r="D1732" s="164" t="str">
        <f ca="1">IFERROR(__xludf.DUMMYFUNCTION("""COMPUTED_VALUE"""),"₱ 78,898.00")</f>
        <v>₱ 78,898.00</v>
      </c>
      <c r="E1732" s="164" t="str">
        <f ca="1">IFERROR(__xludf.DUMMYFUNCTION("""COMPUTED_VALUE"""),"₱-")</f>
        <v>₱-</v>
      </c>
      <c r="F1732" s="164" t="str">
        <f ca="1">IFERROR(__xludf.DUMMYFUNCTION("""COMPUTED_VALUE"""),"2023-05-03-10201SP285-01")</f>
        <v>2023-05-03-10201SP285-01</v>
      </c>
      <c r="G1732" s="164" t="str">
        <f ca="1">IFERROR(__xludf.DUMMYFUNCTION("""COMPUTED_VALUE"""),"4CE301DH8R")</f>
        <v>4CE301DH8R</v>
      </c>
      <c r="H1732" s="164" t="str">
        <f ca="1">IFERROR(__xludf.DUMMYFUNCTION("""COMPUTED_VALUE"""),"ROMEO J. DELA CRUZ")</f>
        <v>ROMEO J. DELA CRUZ</v>
      </c>
      <c r="I1732" s="164" t="str">
        <f ca="1">IFERROR(__xludf.DUMMYFUNCTION("""COMPUTED_VALUE"""),"PCAO")</f>
        <v>PCAO</v>
      </c>
      <c r="J1732" s="164" t="str">
        <f ca="1">IFERROR(__xludf.DUMMYFUNCTION("""COMPUTED_VALUE"""),"2023-SPLIT-08-002")</f>
        <v>2023-SPLIT-08-002</v>
      </c>
      <c r="K1732" s="164" t="str">
        <f ca="1">IFERROR(__xludf.DUMMYFUNCTION("""COMPUTED_VALUE"""),"RUBY SJ. LAPID")</f>
        <v>RUBY SJ. LAPID</v>
      </c>
      <c r="L1732" s="164" t="str">
        <f ca="1">IFERROR(__xludf.DUMMYFUNCTION("""COMPUTED_VALUE"""),"ADMIN/FINANCE")</f>
        <v>ADMIN/FINANCE</v>
      </c>
      <c r="M1732" s="164" t="str">
        <f ca="1">IFERROR(__xludf.DUMMYFUNCTION("""COMPUTED_VALUE"""),"SERVICEABLE")</f>
        <v>SERVICEABLE</v>
      </c>
      <c r="N1732" s="164"/>
    </row>
    <row r="1733" spans="1:26" ht="13.2" hidden="1">
      <c r="A1733" s="164" t="str">
        <f ca="1">IFERROR(__xludf.DUMMYFUNCTION("""COMPUTED_VALUE"""),"Region IV-A")</f>
        <v>Region IV-A</v>
      </c>
      <c r="B1733" s="164" t="str">
        <f ca="1">IFERROR(__xludf.DUMMYFUNCTION("""COMPUTED_VALUE"""),"REGIONAL OFFICE")</f>
        <v>REGIONAL OFFICE</v>
      </c>
      <c r="C1733" s="164" t="str">
        <f ca="1">IFERROR(__xludf.DUMMYFUNCTION("""COMPUTED_VALUE"""),"LAPTOP – (ACER EXTENSA EX215-55G I7)")</f>
        <v>LAPTOP – (ACER EXTENSA EX215-55G I7)</v>
      </c>
      <c r="D1733" s="164" t="str">
        <f ca="1">IFERROR(__xludf.DUMMYFUNCTION("""COMPUTED_VALUE"""),"₱ 59,500.00")</f>
        <v>₱ 59,500.00</v>
      </c>
      <c r="E1733" s="164" t="str">
        <f ca="1">IFERROR(__xludf.DUMMYFUNCTION("""COMPUTED_VALUE"""),"₱-")</f>
        <v>₱-</v>
      </c>
      <c r="F1733" s="164" t="str">
        <f ca="1">IFERROR(__xludf.DUMMYFUNCTION("""COMPUTED_VALUE"""),"2023-05-02-10202SP206-01")</f>
        <v>2023-05-02-10202SP206-01</v>
      </c>
      <c r="G1733" s="164" t="str">
        <f ca="1">IFERROR(__xludf.DUMMYFUNCTION("""COMPUTED_VALUE"""),"D593400")</f>
        <v>D593400</v>
      </c>
      <c r="H1733" s="164" t="str">
        <f ca="1">IFERROR(__xludf.DUMMYFUNCTION("""COMPUTED_VALUE"""),"ATTY. MCDONALD M. GALIT")</f>
        <v>ATTY. MCDONALD M. GALIT</v>
      </c>
      <c r="I1733" s="164" t="str">
        <f ca="1">IFERROR(__xludf.DUMMYFUNCTION("""COMPUTED_VALUE"""),"REGIONAL DIRECTOR/ REGIONAL PROJECT MANAGER")</f>
        <v>REGIONAL DIRECTOR/ REGIONAL PROJECT MANAGER</v>
      </c>
      <c r="J1733" s="164" t="str">
        <f ca="1">IFERROR(__xludf.DUMMYFUNCTION("""COMPUTED_VALUE"""),"23-08-022S")</f>
        <v>23-08-022S</v>
      </c>
      <c r="K1733" s="164" t="str">
        <f ca="1">IFERROR(__xludf.DUMMYFUNCTION("""COMPUTED_VALUE"""),"ATTY. MCDONALD M. GALIT")</f>
        <v>ATTY. MCDONALD M. GALIT</v>
      </c>
      <c r="L1733" s="164" t="str">
        <f ca="1">IFERROR(__xludf.DUMMYFUNCTION("""COMPUTED_VALUE"""),"ORD")</f>
        <v>ORD</v>
      </c>
      <c r="M1733" s="164" t="str">
        <f ca="1">IFERROR(__xludf.DUMMYFUNCTION("""COMPUTED_VALUE"""),"SERVICEABLE")</f>
        <v>SERVICEABLE</v>
      </c>
      <c r="N1733" s="164"/>
    </row>
    <row r="1734" spans="1:26" ht="13.2" hidden="1">
      <c r="A1734" s="164" t="str">
        <f ca="1">IFERROR(__xludf.DUMMYFUNCTION("""COMPUTED_VALUE"""),"Region IV-A")</f>
        <v>Region IV-A</v>
      </c>
      <c r="B1734" s="164" t="str">
        <f ca="1">IFERROR(__xludf.DUMMYFUNCTION("""COMPUTED_VALUE"""),"REGIONAL OFFICE")</f>
        <v>REGIONAL OFFICE</v>
      </c>
      <c r="C1734" s="164" t="str">
        <f ca="1">IFERROR(__xludf.DUMMYFUNCTION("""COMPUTED_VALUE"""),"LAPTOP – (ACER EXTENSA EX215-55G I7)")</f>
        <v>LAPTOP – (ACER EXTENSA EX215-55G I7)</v>
      </c>
      <c r="D1734" s="164" t="str">
        <f ca="1">IFERROR(__xludf.DUMMYFUNCTION("""COMPUTED_VALUE"""),"₱ 59,500.00")</f>
        <v>₱ 59,500.00</v>
      </c>
      <c r="E1734" s="164" t="str">
        <f ca="1">IFERROR(__xludf.DUMMYFUNCTION("""COMPUTED_VALUE"""),"₱-")</f>
        <v>₱-</v>
      </c>
      <c r="F1734" s="164" t="str">
        <f ca="1">IFERROR(__xludf.DUMMYFUNCTION("""COMPUTED_VALUE"""),"2023-05-02-10202SP207-01")</f>
        <v>2023-05-02-10202SP207-01</v>
      </c>
      <c r="G1734" s="164" t="str">
        <f ca="1">IFERROR(__xludf.DUMMYFUNCTION("""COMPUTED_VALUE"""),"EF83400")</f>
        <v>EF83400</v>
      </c>
      <c r="H1734" s="164" t="str">
        <f ca="1">IFERROR(__xludf.DUMMYFUNCTION("""COMPUTED_VALUE"""),"ATTY. MA. LILIA O. DELA REA")</f>
        <v>ATTY. MA. LILIA O. DELA REA</v>
      </c>
      <c r="I1734" s="164" t="str">
        <f ca="1">IFERROR(__xludf.DUMMYFUNCTION("""COMPUTED_VALUE"""),"GRM COORDINATOR")</f>
        <v>GRM COORDINATOR</v>
      </c>
      <c r="J1734" s="164" t="str">
        <f ca="1">IFERROR(__xludf.DUMMYFUNCTION("""COMPUTED_VALUE"""),"23-08-023S")</f>
        <v>23-08-023S</v>
      </c>
      <c r="K1734" s="164" t="str">
        <f ca="1">IFERROR(__xludf.DUMMYFUNCTION("""COMPUTED_VALUE"""),"ATTY. MA. LILIA O. DELA REA")</f>
        <v>ATTY. MA. LILIA O. DELA REA</v>
      </c>
      <c r="L1734" s="164" t="str">
        <f ca="1">IFERROR(__xludf.DUMMYFUNCTION("""COMPUTED_VALUE"""),"DARAB")</f>
        <v>DARAB</v>
      </c>
      <c r="M1734" s="164" t="str">
        <f ca="1">IFERROR(__xludf.DUMMYFUNCTION("""COMPUTED_VALUE"""),"SERVICEABLE")</f>
        <v>SERVICEABLE</v>
      </c>
      <c r="N1734" s="164"/>
    </row>
    <row r="1735" spans="1:26" ht="13.2" hidden="1">
      <c r="A1735" s="164" t="str">
        <f ca="1">IFERROR(__xludf.DUMMYFUNCTION("""COMPUTED_VALUE"""),"Region IV-A")</f>
        <v>Region IV-A</v>
      </c>
      <c r="B1735" s="164" t="str">
        <f ca="1">IFERROR(__xludf.DUMMYFUNCTION("""COMPUTED_VALUE"""),"REGIONAL OFFICE")</f>
        <v>REGIONAL OFFICE</v>
      </c>
      <c r="C1735" s="164" t="str">
        <f ca="1">IFERROR(__xludf.DUMMYFUNCTION("""COMPUTED_VALUE"""),"LAPTOP – (ACER EXTENSA EX215-55G I7)")</f>
        <v>LAPTOP – (ACER EXTENSA EX215-55G I7)</v>
      </c>
      <c r="D1735" s="164" t="str">
        <f ca="1">IFERROR(__xludf.DUMMYFUNCTION("""COMPUTED_VALUE"""),"₱ 59,500.00")</f>
        <v>₱ 59,500.00</v>
      </c>
      <c r="E1735" s="164" t="str">
        <f ca="1">IFERROR(__xludf.DUMMYFUNCTION("""COMPUTED_VALUE"""),"₱-")</f>
        <v>₱-</v>
      </c>
      <c r="F1735" s="164" t="str">
        <f ca="1">IFERROR(__xludf.DUMMYFUNCTION("""COMPUTED_VALUE"""),"2023-05-02-10202SP208-01")</f>
        <v>2023-05-02-10202SP208-01</v>
      </c>
      <c r="G1735" s="164" t="str">
        <f ca="1">IFERROR(__xludf.DUMMYFUNCTION("""COMPUTED_VALUE"""),"BF43400")</f>
        <v>BF43400</v>
      </c>
      <c r="H1735" s="164" t="str">
        <f ca="1">IFERROR(__xludf.DUMMYFUNCTION("""COMPUTED_VALUE"""),"ATTY. REXIE M. MARISTELA")</f>
        <v>ATTY. REXIE M. MARISTELA</v>
      </c>
      <c r="I1735" s="164" t="str">
        <f ca="1">IFERROR(__xludf.DUMMYFUNCTION("""COMPUTED_VALUE"""),"ASST.PROJECT MANAGER/LEGAL COORDINATOR")</f>
        <v>ASST.PROJECT MANAGER/LEGAL COORDINATOR</v>
      </c>
      <c r="J1735" s="164" t="str">
        <f ca="1">IFERROR(__xludf.DUMMYFUNCTION("""COMPUTED_VALUE"""),"23-08-024S")</f>
        <v>23-08-024S</v>
      </c>
      <c r="K1735" s="164" t="str">
        <f ca="1">IFERROR(__xludf.DUMMYFUNCTION("""COMPUTED_VALUE"""),"ATTY. REXIE M. MARISTELA")</f>
        <v>ATTY. REXIE M. MARISTELA</v>
      </c>
      <c r="L1735" s="164" t="str">
        <f ca="1">IFERROR(__xludf.DUMMYFUNCTION("""COMPUTED_VALUE"""),"OARD")</f>
        <v>OARD</v>
      </c>
      <c r="M1735" s="164" t="str">
        <f ca="1">IFERROR(__xludf.DUMMYFUNCTION("""COMPUTED_VALUE"""),"SERVICEABLE")</f>
        <v>SERVICEABLE</v>
      </c>
      <c r="N1735" s="164"/>
    </row>
    <row r="1736" spans="1:26" ht="13.2" hidden="1">
      <c r="A1736" s="164" t="str">
        <f ca="1">IFERROR(__xludf.DUMMYFUNCTION("""COMPUTED_VALUE"""),"Region IV-A")</f>
        <v>Region IV-A</v>
      </c>
      <c r="B1736" s="164" t="str">
        <f ca="1">IFERROR(__xludf.DUMMYFUNCTION("""COMPUTED_VALUE"""),"REGIONAL OFFICE")</f>
        <v>REGIONAL OFFICE</v>
      </c>
      <c r="C1736" s="164" t="str">
        <f ca="1">IFERROR(__xludf.DUMMYFUNCTION("""COMPUTED_VALUE"""),"LAPTOP – (ACER EXTENSA EX215-55G I7)")</f>
        <v>LAPTOP – (ACER EXTENSA EX215-55G I7)</v>
      </c>
      <c r="D1736" s="164" t="str">
        <f ca="1">IFERROR(__xludf.DUMMYFUNCTION("""COMPUTED_VALUE"""),"₱ 59,500.00")</f>
        <v>₱ 59,500.00</v>
      </c>
      <c r="E1736" s="164" t="str">
        <f ca="1">IFERROR(__xludf.DUMMYFUNCTION("""COMPUTED_VALUE"""),"₱-")</f>
        <v>₱-</v>
      </c>
      <c r="F1736" s="164" t="str">
        <f ca="1">IFERROR(__xludf.DUMMYFUNCTION("""COMPUTED_VALUE"""),"2023-05-03-10202SP35-01")</f>
        <v>2023-05-03-10202SP35-01</v>
      </c>
      <c r="G1736" s="164" t="str">
        <f ca="1">IFERROR(__xludf.DUMMYFUNCTION("""COMPUTED_VALUE"""),"NXEGZSPOO330801B5C3400")</f>
        <v>NXEGZSPOO330801B5C3400</v>
      </c>
      <c r="H1736" s="164" t="str">
        <f ca="1">IFERROR(__xludf.DUMMYFUNCTION("""COMPUTED_VALUE"""),"MARIO P. LOPEZ")</f>
        <v>MARIO P. LOPEZ</v>
      </c>
      <c r="I1736" s="164" t="str">
        <f ca="1">IFERROR(__xludf.DUMMYFUNCTION("""COMPUTED_VALUE"""),"PIO")</f>
        <v>PIO</v>
      </c>
      <c r="J1736" s="164" t="str">
        <f ca="1">IFERROR(__xludf.DUMMYFUNCTION("""COMPUTED_VALUE"""),"2023-06-007L")</f>
        <v>2023-06-007L</v>
      </c>
      <c r="K1736" s="164" t="str">
        <f ca="1">IFERROR(__xludf.DUMMYFUNCTION("""COMPUTED_VALUE"""),"MARIO P. LOPEZ")</f>
        <v>MARIO P. LOPEZ</v>
      </c>
      <c r="L1736" s="164" t="str">
        <f ca="1">IFERROR(__xludf.DUMMYFUNCTION("""COMPUTED_VALUE"""),"ORD")</f>
        <v>ORD</v>
      </c>
      <c r="M1736" s="164" t="str">
        <f ca="1">IFERROR(__xludf.DUMMYFUNCTION("""COMPUTED_VALUE"""),"SERVICEABLE")</f>
        <v>SERVICEABLE</v>
      </c>
      <c r="N1736" s="164"/>
    </row>
    <row r="1737" spans="1:26" ht="13.2" hidden="1">
      <c r="A1737" s="164" t="str">
        <f ca="1">IFERROR(__xludf.DUMMYFUNCTION("""COMPUTED_VALUE"""),"Region IV-A")</f>
        <v>Region IV-A</v>
      </c>
      <c r="B1737" s="164" t="str">
        <f ca="1">IFERROR(__xludf.DUMMYFUNCTION("""COMPUTED_VALUE"""),"BATANGAS")</f>
        <v>BATANGAS</v>
      </c>
      <c r="C1737" s="164" t="str">
        <f ca="1">IFERROR(__xludf.DUMMYFUNCTION("""COMPUTED_VALUE"""),"LAPTOP – (ACER EXTENSA EX215-55G I7)")</f>
        <v>LAPTOP – (ACER EXTENSA EX215-55G I7)</v>
      </c>
      <c r="D1737" s="164" t="str">
        <f ca="1">IFERROR(__xludf.DUMMYFUNCTION("""COMPUTED_VALUE"""),"₱ 59,500.00")</f>
        <v>₱ 59,500.00</v>
      </c>
      <c r="E1737" s="164" t="str">
        <f ca="1">IFERROR(__xludf.DUMMYFUNCTION("""COMPUTED_VALUE"""),"₱-")</f>
        <v>₱-</v>
      </c>
      <c r="F1737" s="164" t="str">
        <f ca="1">IFERROR(__xludf.DUMMYFUNCTION("""COMPUTED_VALUE"""),"2023-05-03-10202SP30-01")</f>
        <v>2023-05-03-10202SP30-01</v>
      </c>
      <c r="G1737" s="164"/>
      <c r="H1737" s="164" t="str">
        <f ca="1">IFERROR(__xludf.DUMMYFUNCTION("""COMPUTED_VALUE"""),"JASPER CHRISTIAN L. MARALIT")</f>
        <v>JASPER CHRISTIAN L. MARALIT</v>
      </c>
      <c r="I1737" s="164" t="str">
        <f ca="1">IFERROR(__xludf.DUMMYFUNCTION("""COMPUTED_VALUE"""),"ARPO I")</f>
        <v>ARPO I</v>
      </c>
      <c r="J1737" s="164" t="str">
        <f ca="1">IFERROR(__xludf.DUMMYFUNCTION("""COMPUTED_VALUE"""),"DIRECT ISSUANCE FROM CENTRAL")</f>
        <v>DIRECT ISSUANCE FROM CENTRAL</v>
      </c>
      <c r="K1737" s="164" t="str">
        <f ca="1">IFERROR(__xludf.DUMMYFUNCTION("""COMPUTED_VALUE"""),"JASPER CHRISTIAN L. MARALIT")</f>
        <v>JASPER CHRISTIAN L. MARALIT</v>
      </c>
      <c r="L1737" s="164" t="str">
        <f ca="1">IFERROR(__xludf.DUMMYFUNCTION("""COMPUTED_VALUE"""),"PBDD")</f>
        <v>PBDD</v>
      </c>
      <c r="M1737" s="164" t="str">
        <f ca="1">IFERROR(__xludf.DUMMYFUNCTION("""COMPUTED_VALUE"""),"SERVICEABLE")</f>
        <v>SERVICEABLE</v>
      </c>
      <c r="N1737" s="164"/>
    </row>
    <row r="1738" spans="1:26" ht="13.2" hidden="1">
      <c r="A1738" s="164" t="str">
        <f ca="1">IFERROR(__xludf.DUMMYFUNCTION("""COMPUTED_VALUE"""),"Region IV-A")</f>
        <v>Region IV-A</v>
      </c>
      <c r="B1738" s="164" t="str">
        <f ca="1">IFERROR(__xludf.DUMMYFUNCTION("""COMPUTED_VALUE"""),"BATANGAS")</f>
        <v>BATANGAS</v>
      </c>
      <c r="C1738" s="164" t="str">
        <f ca="1">IFERROR(__xludf.DUMMYFUNCTION("""COMPUTED_VALUE"""),"LAPTOP – (ACER EXTENSA EX215-55G I7)")</f>
        <v>LAPTOP – (ACER EXTENSA EX215-55G I7)</v>
      </c>
      <c r="D1738" s="164" t="str">
        <f ca="1">IFERROR(__xludf.DUMMYFUNCTION("""COMPUTED_VALUE"""),"₱ 59,500.00")</f>
        <v>₱ 59,500.00</v>
      </c>
      <c r="E1738" s="164" t="str">
        <f ca="1">IFERROR(__xludf.DUMMYFUNCTION("""COMPUTED_VALUE"""),"₱-")</f>
        <v>₱-</v>
      </c>
      <c r="F1738" s="164" t="str">
        <f ca="1">IFERROR(__xludf.DUMMYFUNCTION("""COMPUTED_VALUE"""),"2023-05-02-10202SP190-01")</f>
        <v>2023-05-02-10202SP190-01</v>
      </c>
      <c r="G1738" s="164" t="str">
        <f ca="1">IFERROR(__xludf.DUMMYFUNCTION("""COMPUTED_VALUE"""),"NXEGZSPOO330801DD93400")</f>
        <v>NXEGZSPOO330801DD93400</v>
      </c>
      <c r="H1738" s="164" t="str">
        <f ca="1">IFERROR(__xludf.DUMMYFUNCTION("""COMPUTED_VALUE"""),"JOSEPHINE CASALLA")</f>
        <v>JOSEPHINE CASALLA</v>
      </c>
      <c r="I1738" s="164" t="str">
        <f ca="1">IFERROR(__xludf.DUMMYFUNCTION("""COMPUTED_VALUE"""),"CARPO LTID/PARCELIZATION COMPONENT AND FVT COORDINATOR")</f>
        <v>CARPO LTID/PARCELIZATION COMPONENT AND FVT COORDINATOR</v>
      </c>
      <c r="J1738" s="164" t="str">
        <f ca="1">IFERROR(__xludf.DUMMYFUNCTION("""COMPUTED_VALUE"""),"SP-2023-08-20")</f>
        <v>SP-2023-08-20</v>
      </c>
      <c r="K1738" s="164" t="str">
        <f ca="1">IFERROR(__xludf.DUMMYFUNCTION("""COMPUTED_VALUE"""),"JOSEPHINE CASALLA")</f>
        <v>JOSEPHINE CASALLA</v>
      </c>
      <c r="L1738" s="164" t="str">
        <f ca="1">IFERROR(__xludf.DUMMYFUNCTION("""COMPUTED_VALUE"""),"LTID")</f>
        <v>LTID</v>
      </c>
      <c r="M1738" s="164" t="str">
        <f ca="1">IFERROR(__xludf.DUMMYFUNCTION("""COMPUTED_VALUE"""),"SERVICEABLE")</f>
        <v>SERVICEABLE</v>
      </c>
      <c r="N1738" s="164"/>
    </row>
    <row r="1739" spans="1:26" ht="13.2" hidden="1">
      <c r="A1739" s="164" t="str">
        <f ca="1">IFERROR(__xludf.DUMMYFUNCTION("""COMPUTED_VALUE"""),"Region IV-A")</f>
        <v>Region IV-A</v>
      </c>
      <c r="B1739" s="164" t="str">
        <f ca="1">IFERROR(__xludf.DUMMYFUNCTION("""COMPUTED_VALUE"""),"BATANGAS")</f>
        <v>BATANGAS</v>
      </c>
      <c r="C1739" s="164" t="str">
        <f ca="1">IFERROR(__xludf.DUMMYFUNCTION("""COMPUTED_VALUE"""),"LAPTOP – (ACER EXTENSA EX215-55G I7)")</f>
        <v>LAPTOP – (ACER EXTENSA EX215-55G I7)</v>
      </c>
      <c r="D1739" s="164" t="str">
        <f ca="1">IFERROR(__xludf.DUMMYFUNCTION("""COMPUTED_VALUE"""),"₱ 59,500.00")</f>
        <v>₱ 59,500.00</v>
      </c>
      <c r="E1739" s="164" t="str">
        <f ca="1">IFERROR(__xludf.DUMMYFUNCTION("""COMPUTED_VALUE"""),"₱-")</f>
        <v>₱-</v>
      </c>
      <c r="F1739" s="164" t="str">
        <f ca="1">IFERROR(__xludf.DUMMYFUNCTION("""COMPUTED_VALUE"""),"2023-05-02-10202SP191-01")</f>
        <v>2023-05-02-10202SP191-01</v>
      </c>
      <c r="G1739" s="164" t="str">
        <f ca="1">IFERROR(__xludf.DUMMYFUNCTION("""COMPUTED_VALUE"""),"NXEGZSPOO330801DF03400")</f>
        <v>NXEGZSPOO330801DF03400</v>
      </c>
      <c r="H1739" s="164" t="str">
        <f ca="1">IFERROR(__xludf.DUMMYFUNCTION("""COMPUTED_VALUE"""),"JOHN EMMARD AQUINO")</f>
        <v>JOHN EMMARD AQUINO</v>
      </c>
      <c r="I1739" s="164" t="str">
        <f ca="1">IFERROR(__xludf.DUMMYFUNCTION("""COMPUTED_VALUE"""),"SURVEYMAN/MIS LTID")</f>
        <v>SURVEYMAN/MIS LTID</v>
      </c>
      <c r="J1739" s="164" t="str">
        <f ca="1">IFERROR(__xludf.DUMMYFUNCTION("""COMPUTED_VALUE"""),"SP-2023-08-19")</f>
        <v>SP-2023-08-19</v>
      </c>
      <c r="K1739" s="164" t="str">
        <f ca="1">IFERROR(__xludf.DUMMYFUNCTION("""COMPUTED_VALUE"""),"JOHN EMMARD AQUINO")</f>
        <v>JOHN EMMARD AQUINO</v>
      </c>
      <c r="L1739" s="164" t="str">
        <f ca="1">IFERROR(__xludf.DUMMYFUNCTION("""COMPUTED_VALUE"""),"LTID")</f>
        <v>LTID</v>
      </c>
      <c r="M1739" s="164" t="str">
        <f ca="1">IFERROR(__xludf.DUMMYFUNCTION("""COMPUTED_VALUE"""),"SERVICEABLE")</f>
        <v>SERVICEABLE</v>
      </c>
      <c r="N1739" s="164"/>
    </row>
    <row r="1740" spans="1:26" ht="13.2" hidden="1">
      <c r="A1740" s="164" t="str">
        <f ca="1">IFERROR(__xludf.DUMMYFUNCTION("""COMPUTED_VALUE"""),"Region IV-A")</f>
        <v>Region IV-A</v>
      </c>
      <c r="B1740" s="164" t="str">
        <f ca="1">IFERROR(__xludf.DUMMYFUNCTION("""COMPUTED_VALUE"""),"CAVITE")</f>
        <v>CAVITE</v>
      </c>
      <c r="C1740" s="164" t="str">
        <f ca="1">IFERROR(__xludf.DUMMYFUNCTION("""COMPUTED_VALUE"""),"LAPTOP – (ACER EXTENSA EX215-55G I7)")</f>
        <v>LAPTOP – (ACER EXTENSA EX215-55G I7)</v>
      </c>
      <c r="D1740" s="164" t="str">
        <f ca="1">IFERROR(__xludf.DUMMYFUNCTION("""COMPUTED_VALUE"""),"₱ 59,500.00")</f>
        <v>₱ 59,500.00</v>
      </c>
      <c r="E1740" s="164" t="str">
        <f ca="1">IFERROR(__xludf.DUMMYFUNCTION("""COMPUTED_VALUE"""),"₱-")</f>
        <v>₱-</v>
      </c>
      <c r="F1740" s="164" t="str">
        <f ca="1">IFERROR(__xludf.DUMMYFUNCTION("""COMPUTED_VALUE"""),"2023-05-03-10202SP31-01")</f>
        <v>2023-05-03-10202SP31-01</v>
      </c>
      <c r="G1740" s="164"/>
      <c r="H1740" s="164" t="str">
        <f ca="1">IFERROR(__xludf.DUMMYFUNCTION("""COMPUTED_VALUE"""),"JESSIE PERLADO")</f>
        <v>JESSIE PERLADO</v>
      </c>
      <c r="I1740" s="164" t="str">
        <f ca="1">IFERROR(__xludf.DUMMYFUNCTION("""COMPUTED_VALUE"""),"ARPO 1/PIO")</f>
        <v>ARPO 1/PIO</v>
      </c>
      <c r="J1740" s="164" t="str">
        <f ca="1">IFERROR(__xludf.DUMMYFUNCTION("""COMPUTED_VALUE"""),"23-05-01")</f>
        <v>23-05-01</v>
      </c>
      <c r="K1740" s="164" t="str">
        <f ca="1">IFERROR(__xludf.DUMMYFUNCTION("""COMPUTED_VALUE"""),"JESSIE PERLADO")</f>
        <v>JESSIE PERLADO</v>
      </c>
      <c r="L1740" s="164" t="str">
        <f ca="1">IFERROR(__xludf.DUMMYFUNCTION("""COMPUTED_VALUE"""),"PBDD")</f>
        <v>PBDD</v>
      </c>
      <c r="M1740" s="164" t="str">
        <f ca="1">IFERROR(__xludf.DUMMYFUNCTION("""COMPUTED_VALUE"""),"SERVICEABLE")</f>
        <v>SERVICEABLE</v>
      </c>
      <c r="N1740" s="164"/>
    </row>
    <row r="1741" spans="1:26" ht="13.2" hidden="1">
      <c r="A1741" s="164" t="str">
        <f ca="1">IFERROR(__xludf.DUMMYFUNCTION("""COMPUTED_VALUE"""),"Region IV-A")</f>
        <v>Region IV-A</v>
      </c>
      <c r="B1741" s="164" t="str">
        <f ca="1">IFERROR(__xludf.DUMMYFUNCTION("""COMPUTED_VALUE"""),"CAVITE")</f>
        <v>CAVITE</v>
      </c>
      <c r="C1741" s="164" t="str">
        <f ca="1">IFERROR(__xludf.DUMMYFUNCTION("""COMPUTED_VALUE"""),"LAPTOP – (ACER EXTENSA EX215-55G I7)")</f>
        <v>LAPTOP – (ACER EXTENSA EX215-55G I7)</v>
      </c>
      <c r="D1741" s="164" t="str">
        <f ca="1">IFERROR(__xludf.DUMMYFUNCTION("""COMPUTED_VALUE"""),"₱ 59,500.00")</f>
        <v>₱ 59,500.00</v>
      </c>
      <c r="E1741" s="164" t="str">
        <f ca="1">IFERROR(__xludf.DUMMYFUNCTION("""COMPUTED_VALUE"""),"₱-")</f>
        <v>₱-</v>
      </c>
      <c r="F1741" s="164" t="str">
        <f ca="1">IFERROR(__xludf.DUMMYFUNCTION("""COMPUTED_VALUE"""),"2023-05-02-10202SP192-01")</f>
        <v>2023-05-02-10202SP192-01</v>
      </c>
      <c r="G1741" s="164" t="str">
        <f ca="1">IFERROR(__xludf.DUMMYFUNCTION("""COMPUTED_VALUE"""),"NXEGZSPOO330801BB13400")</f>
        <v>NXEGZSPOO330801BB13400</v>
      </c>
      <c r="H1741" s="164" t="str">
        <f ca="1">IFERROR(__xludf.DUMMYFUNCTION("""COMPUTED_VALUE"""),"JAMES ARTHUR T. DUBONGCO")</f>
        <v>JAMES ARTHUR T. DUBONGCO</v>
      </c>
      <c r="I1741" s="164" t="str">
        <f ca="1">IFERROR(__xludf.DUMMYFUNCTION("""COMPUTED_VALUE"""),"PARPO II /PROJECT MANAGER")</f>
        <v>PARPO II /PROJECT MANAGER</v>
      </c>
      <c r="J1741" s="164" t="str">
        <f ca="1">IFERROR(__xludf.DUMMYFUNCTION("""COMPUTED_VALUE"""),"23-05-03")</f>
        <v>23-05-03</v>
      </c>
      <c r="K1741" s="164" t="str">
        <f ca="1">IFERROR(__xludf.DUMMYFUNCTION("""COMPUTED_VALUE"""),"JAMES ARTHUR T. DUBONGCO")</f>
        <v>JAMES ARTHUR T. DUBONGCO</v>
      </c>
      <c r="L1741" s="164" t="str">
        <f ca="1">IFERROR(__xludf.DUMMYFUNCTION("""COMPUTED_VALUE"""),"DARPO CAVITE")</f>
        <v>DARPO CAVITE</v>
      </c>
      <c r="M1741" s="164" t="str">
        <f ca="1">IFERROR(__xludf.DUMMYFUNCTION("""COMPUTED_VALUE"""),"SERVICEABLE")</f>
        <v>SERVICEABLE</v>
      </c>
      <c r="N1741" s="164"/>
    </row>
    <row r="1742" spans="1:26" ht="13.2" hidden="1">
      <c r="A1742" s="164" t="str">
        <f ca="1">IFERROR(__xludf.DUMMYFUNCTION("""COMPUTED_VALUE"""),"Region IV-A")</f>
        <v>Region IV-A</v>
      </c>
      <c r="B1742" s="164" t="str">
        <f ca="1">IFERROR(__xludf.DUMMYFUNCTION("""COMPUTED_VALUE"""),"CAVITE")</f>
        <v>CAVITE</v>
      </c>
      <c r="C1742" s="164" t="str">
        <f ca="1">IFERROR(__xludf.DUMMYFUNCTION("""COMPUTED_VALUE"""),"LAPTOP – (ACER EXTENSA EX215-55G I7)")</f>
        <v>LAPTOP – (ACER EXTENSA EX215-55G I7)</v>
      </c>
      <c r="D1742" s="164" t="str">
        <f ca="1">IFERROR(__xludf.DUMMYFUNCTION("""COMPUTED_VALUE"""),"₱ 59,500.00")</f>
        <v>₱ 59,500.00</v>
      </c>
      <c r="E1742" s="164" t="str">
        <f ca="1">IFERROR(__xludf.DUMMYFUNCTION("""COMPUTED_VALUE"""),"₱-")</f>
        <v>₱-</v>
      </c>
      <c r="F1742" s="164" t="str">
        <f ca="1">IFERROR(__xludf.DUMMYFUNCTION("""COMPUTED_VALUE"""),"2023-05-02-10202SP193-01")</f>
        <v>2023-05-02-10202SP193-01</v>
      </c>
      <c r="G1742" s="164" t="str">
        <f ca="1">IFERROR(__xludf.DUMMYFUNCTION("""COMPUTED_VALUE"""),"NXEGZSPOO330801C653400")</f>
        <v>NXEGZSPOO330801C653400</v>
      </c>
      <c r="H1742" s="164" t="str">
        <f ca="1">IFERROR(__xludf.DUMMYFUNCTION("""COMPUTED_VALUE"""),"LESLIE ANN C PLANTO")</f>
        <v>LESLIE ANN C PLANTO</v>
      </c>
      <c r="I1742" s="164" t="str">
        <f ca="1">IFERROR(__xludf.DUMMYFUNCTION("""COMPUTED_VALUE"""),"PLANNING OFFICER/M&amp;E COORDINATOR")</f>
        <v>PLANNING OFFICER/M&amp;E COORDINATOR</v>
      </c>
      <c r="J1742" s="164" t="str">
        <f ca="1">IFERROR(__xludf.DUMMYFUNCTION("""COMPUTED_VALUE"""),"23-05-06")</f>
        <v>23-05-06</v>
      </c>
      <c r="K1742" s="164" t="str">
        <f ca="1">IFERROR(__xludf.DUMMYFUNCTION("""COMPUTED_VALUE"""),"LESLIE ANN C PLANTO")</f>
        <v>LESLIE ANN C PLANTO</v>
      </c>
      <c r="L1742" s="164" t="str">
        <f ca="1">IFERROR(__xludf.DUMMYFUNCTION("""COMPUTED_VALUE"""),"STOD")</f>
        <v>STOD</v>
      </c>
      <c r="M1742" s="164" t="str">
        <f ca="1">IFERROR(__xludf.DUMMYFUNCTION("""COMPUTED_VALUE"""),"SERVICEABLE")</f>
        <v>SERVICEABLE</v>
      </c>
      <c r="N1742" s="164"/>
    </row>
    <row r="1743" spans="1:26" ht="13.2" hidden="1">
      <c r="A1743" s="164" t="str">
        <f ca="1">IFERROR(__xludf.DUMMYFUNCTION("""COMPUTED_VALUE"""),"Region IV-A")</f>
        <v>Region IV-A</v>
      </c>
      <c r="B1743" s="164" t="str">
        <f ca="1">IFERROR(__xludf.DUMMYFUNCTION("""COMPUTED_VALUE"""),"LAGUNA")</f>
        <v>LAGUNA</v>
      </c>
      <c r="C1743" s="164" t="str">
        <f ca="1">IFERROR(__xludf.DUMMYFUNCTION("""COMPUTED_VALUE"""),"LAPTOP – (ACER EXTENSA EX215-55G I7)")</f>
        <v>LAPTOP – (ACER EXTENSA EX215-55G I7)</v>
      </c>
      <c r="D1743" s="164" t="str">
        <f ca="1">IFERROR(__xludf.DUMMYFUNCTION("""COMPUTED_VALUE"""),"₱ 59,500.00")</f>
        <v>₱ 59,500.00</v>
      </c>
      <c r="E1743" s="164" t="str">
        <f ca="1">IFERROR(__xludf.DUMMYFUNCTION("""COMPUTED_VALUE"""),"₱-")</f>
        <v>₱-</v>
      </c>
      <c r="F1743" s="164" t="str">
        <f ca="1">IFERROR(__xludf.DUMMYFUNCTION("""COMPUTED_VALUE"""),"2023-05-03-10202SP932-01")</f>
        <v>2023-05-03-10202SP932-01</v>
      </c>
      <c r="G1743" s="164" t="str">
        <f ca="1">IFERROR(__xludf.DUMMYFUNCTION("""COMPUTED_VALUE"""),"NXEGZSP00330801E283400")</f>
        <v>NXEGZSP00330801E283400</v>
      </c>
      <c r="H1743" s="164" t="str">
        <f ca="1">IFERROR(__xludf.DUMMYFUNCTION("""COMPUTED_VALUE"""),"ANGELIQUE T. CALMA")</f>
        <v>ANGELIQUE T. CALMA</v>
      </c>
      <c r="I1743" s="164" t="str">
        <f ca="1">IFERROR(__xludf.DUMMYFUNCTION("""COMPUTED_VALUE"""),"PIO")</f>
        <v>PIO</v>
      </c>
      <c r="J1743" s="164" t="str">
        <f ca="1">IFERROR(__xludf.DUMMYFUNCTION("""COMPUTED_VALUE"""),"2023-08-004")</f>
        <v>2023-08-004</v>
      </c>
      <c r="K1743" s="164" t="str">
        <f ca="1">IFERROR(__xludf.DUMMYFUNCTION("""COMPUTED_VALUE"""),"ANGELIQUE T. CALMA")</f>
        <v>ANGELIQUE T. CALMA</v>
      </c>
      <c r="L1743" s="164" t="str">
        <f ca="1">IFERROR(__xludf.DUMMYFUNCTION("""COMPUTED_VALUE"""),"PAROs OFFICE")</f>
        <v>PAROs OFFICE</v>
      </c>
      <c r="M1743" s="164" t="str">
        <f ca="1">IFERROR(__xludf.DUMMYFUNCTION("""COMPUTED_VALUE"""),"SERVICEABLE")</f>
        <v>SERVICEABLE</v>
      </c>
      <c r="N1743" s="164"/>
    </row>
    <row r="1744" spans="1:26" ht="13.2" hidden="1">
      <c r="A1744" s="164" t="str">
        <f ca="1">IFERROR(__xludf.DUMMYFUNCTION("""COMPUTED_VALUE"""),"Region IV-A")</f>
        <v>Region IV-A</v>
      </c>
      <c r="B1744" s="164" t="str">
        <f ca="1">IFERROR(__xludf.DUMMYFUNCTION("""COMPUTED_VALUE"""),"LAGUNA")</f>
        <v>LAGUNA</v>
      </c>
      <c r="C1744" s="164" t="str">
        <f ca="1">IFERROR(__xludf.DUMMYFUNCTION("""COMPUTED_VALUE"""),"LAPTOP – (ACER EXTENSA EX215-55G I7)")</f>
        <v>LAPTOP – (ACER EXTENSA EX215-55G I7)</v>
      </c>
      <c r="D1744" s="164" t="str">
        <f ca="1">IFERROR(__xludf.DUMMYFUNCTION("""COMPUTED_VALUE"""),"₱ 59,500.00")</f>
        <v>₱ 59,500.00</v>
      </c>
      <c r="E1744" s="164" t="str">
        <f ca="1">IFERROR(__xludf.DUMMYFUNCTION("""COMPUTED_VALUE"""),"₱-")</f>
        <v>₱-</v>
      </c>
      <c r="F1744" s="164" t="str">
        <f ca="1">IFERROR(__xludf.DUMMYFUNCTION("""COMPUTED_VALUE"""),"2023-05-02-10202SP194-01")</f>
        <v>2023-05-02-10202SP194-01</v>
      </c>
      <c r="G1744" s="164" t="str">
        <f ca="1">IFERROR(__xludf.DUMMYFUNCTION("""COMPUTED_VALUE"""),"NXEGZSPOO330801D9F3400")</f>
        <v>NXEGZSPOO330801D9F3400</v>
      </c>
      <c r="H1744" s="164" t="str">
        <f ca="1">IFERROR(__xludf.DUMMYFUNCTION("""COMPUTED_VALUE"""),"SATURNINO B .BELLO")</f>
        <v>SATURNINO B .BELLO</v>
      </c>
      <c r="I1744" s="164" t="str">
        <f ca="1">IFERROR(__xludf.DUMMYFUNCTION("""COMPUTED_VALUE"""),"PROVINCIAL PROJECT MANAGER")</f>
        <v>PROVINCIAL PROJECT MANAGER</v>
      </c>
      <c r="J1744" s="164" t="str">
        <f ca="1">IFERROR(__xludf.DUMMYFUNCTION("""COMPUTED_VALUE"""),"2023-08-14-S")</f>
        <v>2023-08-14-S</v>
      </c>
      <c r="K1744" s="164" t="str">
        <f ca="1">IFERROR(__xludf.DUMMYFUNCTION("""COMPUTED_VALUE"""),"SATURNINO B .BELLO")</f>
        <v>SATURNINO B .BELLO</v>
      </c>
      <c r="L1744" s="164" t="str">
        <f ca="1">IFERROR(__xludf.DUMMYFUNCTION("""COMPUTED_VALUE"""),"DARPO LAGUNA")</f>
        <v>DARPO LAGUNA</v>
      </c>
      <c r="M1744" s="164" t="str">
        <f ca="1">IFERROR(__xludf.DUMMYFUNCTION("""COMPUTED_VALUE"""),"SERVICEABLE")</f>
        <v>SERVICEABLE</v>
      </c>
      <c r="N1744" s="164"/>
    </row>
    <row r="1745" spans="1:14" ht="13.2" hidden="1">
      <c r="A1745" s="164" t="str">
        <f ca="1">IFERROR(__xludf.DUMMYFUNCTION("""COMPUTED_VALUE"""),"Region IV-A")</f>
        <v>Region IV-A</v>
      </c>
      <c r="B1745" s="164" t="str">
        <f ca="1">IFERROR(__xludf.DUMMYFUNCTION("""COMPUTED_VALUE"""),"LAGUNA")</f>
        <v>LAGUNA</v>
      </c>
      <c r="C1745" s="164" t="str">
        <f ca="1">IFERROR(__xludf.DUMMYFUNCTION("""COMPUTED_VALUE"""),"LAPTOP – (ACER EXTENSA EX215-55G I7)")</f>
        <v>LAPTOP – (ACER EXTENSA EX215-55G I7)</v>
      </c>
      <c r="D1745" s="164" t="str">
        <f ca="1">IFERROR(__xludf.DUMMYFUNCTION("""COMPUTED_VALUE"""),"₱ 59,500.00")</f>
        <v>₱ 59,500.00</v>
      </c>
      <c r="E1745" s="164" t="str">
        <f ca="1">IFERROR(__xludf.DUMMYFUNCTION("""COMPUTED_VALUE"""),"₱-")</f>
        <v>₱-</v>
      </c>
      <c r="F1745" s="164" t="str">
        <f ca="1">IFERROR(__xludf.DUMMYFUNCTION("""COMPUTED_VALUE"""),"2023-05-02-10202SP195-01")</f>
        <v>2023-05-02-10202SP195-01</v>
      </c>
      <c r="G1745" s="164" t="str">
        <f ca="1">IFERROR(__xludf.DUMMYFUNCTION("""COMPUTED_VALUE"""),"NXEGZSPOO330801E493400")</f>
        <v>NXEGZSPOO330801E493400</v>
      </c>
      <c r="H1745" s="164" t="str">
        <f ca="1">IFERROR(__xludf.DUMMYFUNCTION("""COMPUTED_VALUE"""),"DIVINA P. TORRES")</f>
        <v>DIVINA P. TORRES</v>
      </c>
      <c r="I1745" s="164" t="str">
        <f ca="1">IFERROR(__xludf.DUMMYFUNCTION("""COMPUTED_VALUE"""),"PARCELIZATION COMPONENT AND FVT COORDINATOR")</f>
        <v>PARCELIZATION COMPONENT AND FVT COORDINATOR</v>
      </c>
      <c r="J1745" s="164" t="str">
        <f ca="1">IFERROR(__xludf.DUMMYFUNCTION("""COMPUTED_VALUE"""),"2023-08-15-S")</f>
        <v>2023-08-15-S</v>
      </c>
      <c r="K1745" s="164" t="str">
        <f ca="1">IFERROR(__xludf.DUMMYFUNCTION("""COMPUTED_VALUE"""),"DIVINA P. TORRES")</f>
        <v>DIVINA P. TORRES</v>
      </c>
      <c r="L1745" s="164" t="str">
        <f ca="1">IFERROR(__xludf.DUMMYFUNCTION("""COMPUTED_VALUE"""),"LTIU")</f>
        <v>LTIU</v>
      </c>
      <c r="M1745" s="164" t="str">
        <f ca="1">IFERROR(__xludf.DUMMYFUNCTION("""COMPUTED_VALUE"""),"SERVICEABLE")</f>
        <v>SERVICEABLE</v>
      </c>
      <c r="N1745" s="164"/>
    </row>
    <row r="1746" spans="1:14" ht="13.2" hidden="1">
      <c r="A1746" s="164" t="str">
        <f ca="1">IFERROR(__xludf.DUMMYFUNCTION("""COMPUTED_VALUE"""),"Region IV-A")</f>
        <v>Region IV-A</v>
      </c>
      <c r="B1746" s="164" t="str">
        <f ca="1">IFERROR(__xludf.DUMMYFUNCTION("""COMPUTED_VALUE"""),"QUEZON I")</f>
        <v>QUEZON I</v>
      </c>
      <c r="C1746" s="164" t="str">
        <f ca="1">IFERROR(__xludf.DUMMYFUNCTION("""COMPUTED_VALUE"""),"LAPTOP – (ACER EXTENSA EX215-55G I7)")</f>
        <v>LAPTOP – (ACER EXTENSA EX215-55G I7)</v>
      </c>
      <c r="D1746" s="164" t="str">
        <f ca="1">IFERROR(__xludf.DUMMYFUNCTION("""COMPUTED_VALUE"""),"₱ 59,500.00")</f>
        <v>₱ 59,500.00</v>
      </c>
      <c r="E1746" s="164" t="str">
        <f ca="1">IFERROR(__xludf.DUMMYFUNCTION("""COMPUTED_VALUE"""),"₱-")</f>
        <v>₱-</v>
      </c>
      <c r="F1746" s="164" t="str">
        <f ca="1">IFERROR(__xludf.DUMMYFUNCTION("""COMPUTED_VALUE"""),"2023-05-03-10202SP33-01")</f>
        <v>2023-05-03-10202SP33-01</v>
      </c>
      <c r="G1746" s="164"/>
      <c r="H1746" s="164" t="str">
        <f ca="1">IFERROR(__xludf.DUMMYFUNCTION("""COMPUTED_VALUE"""),"REY JIMSON F. MUROS")</f>
        <v>REY JIMSON F. MUROS</v>
      </c>
      <c r="I1746" s="164" t="str">
        <f ca="1">IFERROR(__xludf.DUMMYFUNCTION("""COMPUTED_VALUE"""),"ARPT/Cluster 3")</f>
        <v>ARPT/Cluster 3</v>
      </c>
      <c r="J1746" s="164" t="str">
        <f ca="1">IFERROR(__xludf.DUMMYFUNCTION("""COMPUTED_VALUE"""),"018-08-2023")</f>
        <v>018-08-2023</v>
      </c>
      <c r="K1746" s="164" t="str">
        <f ca="1">IFERROR(__xludf.DUMMYFUNCTION("""COMPUTED_VALUE"""),"REY JIMSON F. MUROS")</f>
        <v>REY JIMSON F. MUROS</v>
      </c>
      <c r="L1746" s="164" t="str">
        <f ca="1">IFERROR(__xludf.DUMMYFUNCTION("""COMPUTED_VALUE"""),"DARPO QUEZON I")</f>
        <v>DARPO QUEZON I</v>
      </c>
      <c r="M1746" s="164" t="str">
        <f ca="1">IFERROR(__xludf.DUMMYFUNCTION("""COMPUTED_VALUE"""),"SERVICEABLE")</f>
        <v>SERVICEABLE</v>
      </c>
      <c r="N1746" s="164"/>
    </row>
    <row r="1747" spans="1:14" ht="13.2" hidden="1">
      <c r="A1747" s="164" t="str">
        <f ca="1">IFERROR(__xludf.DUMMYFUNCTION("""COMPUTED_VALUE"""),"Region IV-A")</f>
        <v>Region IV-A</v>
      </c>
      <c r="B1747" s="164" t="str">
        <f ca="1">IFERROR(__xludf.DUMMYFUNCTION("""COMPUTED_VALUE"""),"QUEZON I")</f>
        <v>QUEZON I</v>
      </c>
      <c r="C1747" s="164" t="str">
        <f ca="1">IFERROR(__xludf.DUMMYFUNCTION("""COMPUTED_VALUE"""),"LAPTOP – (ACER EXTENSA EX215-55G I7)")</f>
        <v>LAPTOP – (ACER EXTENSA EX215-55G I7)</v>
      </c>
      <c r="D1747" s="164" t="str">
        <f ca="1">IFERROR(__xludf.DUMMYFUNCTION("""COMPUTED_VALUE"""),"₱ 59,500.00")</f>
        <v>₱ 59,500.00</v>
      </c>
      <c r="E1747" s="164" t="str">
        <f ca="1">IFERROR(__xludf.DUMMYFUNCTION("""COMPUTED_VALUE"""),"₱-")</f>
        <v>₱-</v>
      </c>
      <c r="F1747" s="164" t="str">
        <f ca="1">IFERROR(__xludf.DUMMYFUNCTION("""COMPUTED_VALUE"""),"2023-05-02-10202SP196-01")</f>
        <v>2023-05-02-10202SP196-01</v>
      </c>
      <c r="G1747" s="164" t="str">
        <f ca="1">IFERROR(__xludf.DUMMYFUNCTION("""COMPUTED_VALUE"""),"NXEGZSP00330801B753400")</f>
        <v>NXEGZSP00330801B753400</v>
      </c>
      <c r="H1747" s="164" t="str">
        <f ca="1">IFERROR(__xludf.DUMMYFUNCTION("""COMPUTED_VALUE"""),"ATTY. ERIC FRANCIS G. LUNA")</f>
        <v>ATTY. ERIC FRANCIS G. LUNA</v>
      </c>
      <c r="I1747" s="164" t="str">
        <f ca="1">IFERROR(__xludf.DUMMYFUNCTION("""COMPUTED_VALUE"""),"PARPO II/Provincial Project Manager")</f>
        <v>PARPO II/Provincial Project Manager</v>
      </c>
      <c r="J1747" s="164" t="str">
        <f ca="1">IFERROR(__xludf.DUMMYFUNCTION("""COMPUTED_VALUE"""),"016-08-2023")</f>
        <v>016-08-2023</v>
      </c>
      <c r="K1747" s="164" t="str">
        <f ca="1">IFERROR(__xludf.DUMMYFUNCTION("""COMPUTED_VALUE"""),"ATTY. ERIC FRANCIS G. LUNA")</f>
        <v>ATTY. ERIC FRANCIS G. LUNA</v>
      </c>
      <c r="L1747" s="164" t="str">
        <f ca="1">IFERROR(__xludf.DUMMYFUNCTION("""COMPUTED_VALUE"""),"DARPO QUEZON I")</f>
        <v>DARPO QUEZON I</v>
      </c>
      <c r="M1747" s="164" t="str">
        <f ca="1">IFERROR(__xludf.DUMMYFUNCTION("""COMPUTED_VALUE"""),"SERVICEABLE")</f>
        <v>SERVICEABLE</v>
      </c>
      <c r="N1747" s="164"/>
    </row>
    <row r="1748" spans="1:14" ht="13.2" hidden="1">
      <c r="A1748" s="164" t="str">
        <f ca="1">IFERROR(__xludf.DUMMYFUNCTION("""COMPUTED_VALUE"""),"Region IV-A")</f>
        <v>Region IV-A</v>
      </c>
      <c r="B1748" s="164" t="str">
        <f ca="1">IFERROR(__xludf.DUMMYFUNCTION("""COMPUTED_VALUE"""),"QUEZON I")</f>
        <v>QUEZON I</v>
      </c>
      <c r="C1748" s="164" t="str">
        <f ca="1">IFERROR(__xludf.DUMMYFUNCTION("""COMPUTED_VALUE"""),"LAPTOP – (ACER EXTENSA EX215-55G I7)")</f>
        <v>LAPTOP – (ACER EXTENSA EX215-55G I7)</v>
      </c>
      <c r="D1748" s="164" t="str">
        <f ca="1">IFERROR(__xludf.DUMMYFUNCTION("""COMPUTED_VALUE"""),"₱ 59,500.00")</f>
        <v>₱ 59,500.00</v>
      </c>
      <c r="E1748" s="164" t="str">
        <f ca="1">IFERROR(__xludf.DUMMYFUNCTION("""COMPUTED_VALUE"""),"₱-")</f>
        <v>₱-</v>
      </c>
      <c r="F1748" s="164" t="str">
        <f ca="1">IFERROR(__xludf.DUMMYFUNCTION("""COMPUTED_VALUE"""),"2023-05-02-10202SP197-01")</f>
        <v>2023-05-02-10202SP197-01</v>
      </c>
      <c r="G1748" s="164" t="str">
        <f ca="1">IFERROR(__xludf.DUMMYFUNCTION("""COMPUTED_VALUE"""),"NXEGZSP00330801E9A3400")</f>
        <v>NXEGZSP00330801E9A3400</v>
      </c>
      <c r="H1748" s="164" t="str">
        <f ca="1">IFERROR(__xludf.DUMMYFUNCTION("""COMPUTED_VALUE"""),"ODETTE F. MUROS")</f>
        <v>ODETTE F. MUROS</v>
      </c>
      <c r="I1748" s="164" t="str">
        <f ca="1">IFERROR(__xludf.DUMMYFUNCTION("""COMPUTED_VALUE"""),"CAO/Admin and Finance Coordinator")</f>
        <v>CAO/Admin and Finance Coordinator</v>
      </c>
      <c r="J1748" s="164" t="str">
        <f ca="1">IFERROR(__xludf.DUMMYFUNCTION("""COMPUTED_VALUE"""),"017-08-2023")</f>
        <v>017-08-2023</v>
      </c>
      <c r="K1748" s="164" t="str">
        <f ca="1">IFERROR(__xludf.DUMMYFUNCTION("""COMPUTED_VALUE"""),"ODETTE F. MUROS")</f>
        <v>ODETTE F. MUROS</v>
      </c>
      <c r="L1748" s="164" t="str">
        <f ca="1">IFERROR(__xludf.DUMMYFUNCTION("""COMPUTED_VALUE"""),"DARPO QUEZON I")</f>
        <v>DARPO QUEZON I</v>
      </c>
      <c r="M1748" s="164" t="str">
        <f ca="1">IFERROR(__xludf.DUMMYFUNCTION("""COMPUTED_VALUE"""),"SERVICEABLE")</f>
        <v>SERVICEABLE</v>
      </c>
      <c r="N1748" s="164"/>
    </row>
    <row r="1749" spans="1:14" ht="13.2" hidden="1">
      <c r="A1749" s="164" t="str">
        <f ca="1">IFERROR(__xludf.DUMMYFUNCTION("""COMPUTED_VALUE"""),"Region IV-A")</f>
        <v>Region IV-A</v>
      </c>
      <c r="B1749" s="164" t="str">
        <f ca="1">IFERROR(__xludf.DUMMYFUNCTION("""COMPUTED_VALUE"""),"QUEZON II")</f>
        <v>QUEZON II</v>
      </c>
      <c r="C1749" s="164" t="str">
        <f ca="1">IFERROR(__xludf.DUMMYFUNCTION("""COMPUTED_VALUE"""),"LAPTOP – (ACER EXTENSA EX215-55G I7)")</f>
        <v>LAPTOP – (ACER EXTENSA EX215-55G I7)</v>
      </c>
      <c r="D1749" s="164" t="str">
        <f ca="1">IFERROR(__xludf.DUMMYFUNCTION("""COMPUTED_VALUE"""),"₱ 59,500.00")</f>
        <v>₱ 59,500.00</v>
      </c>
      <c r="E1749" s="164" t="str">
        <f ca="1">IFERROR(__xludf.DUMMYFUNCTION("""COMPUTED_VALUE"""),"₱-")</f>
        <v>₱-</v>
      </c>
      <c r="F1749" s="164" t="str">
        <f ca="1">IFERROR(__xludf.DUMMYFUNCTION("""COMPUTED_VALUE"""),"2023-05-02-10202SP34-01")</f>
        <v>2023-05-02-10202SP34-01</v>
      </c>
      <c r="G1749" s="164" t="str">
        <f ca="1">IFERROR(__xludf.DUMMYFUNCTION("""COMPUTED_VALUE"""),"NXEGZSP00330801D0D3400")</f>
        <v>NXEGZSP00330801D0D3400</v>
      </c>
      <c r="H1749" s="164" t="str">
        <f ca="1">IFERROR(__xludf.DUMMYFUNCTION("""COMPUTED_VALUE"""),"MARK LUEL Q. ALBAO")</f>
        <v>MARK LUEL Q. ALBAO</v>
      </c>
      <c r="I1749" s="164" t="str">
        <f ca="1">IFERROR(__xludf.DUMMYFUNCTION("""COMPUTED_VALUE"""),"PIO")</f>
        <v>PIO</v>
      </c>
      <c r="J1749" s="164" t="str">
        <f ca="1">IFERROR(__xludf.DUMMYFUNCTION("""COMPUTED_VALUE"""),"2023-06-001")</f>
        <v>2023-06-001</v>
      </c>
      <c r="K1749" s="164" t="str">
        <f ca="1">IFERROR(__xludf.DUMMYFUNCTION("""COMPUTED_VALUE"""),"MARK LUEL Q. ALBAO")</f>
        <v>MARK LUEL Q. ALBAO</v>
      </c>
      <c r="L1749" s="164" t="str">
        <f ca="1">IFERROR(__xludf.DUMMYFUNCTION("""COMPUTED_VALUE"""),"PBDD")</f>
        <v>PBDD</v>
      </c>
      <c r="M1749" s="164" t="str">
        <f ca="1">IFERROR(__xludf.DUMMYFUNCTION("""COMPUTED_VALUE"""),"SERVICEABLE")</f>
        <v>SERVICEABLE</v>
      </c>
      <c r="N1749" s="164"/>
    </row>
    <row r="1750" spans="1:14" ht="13.2" hidden="1">
      <c r="A1750" s="164" t="str">
        <f ca="1">IFERROR(__xludf.DUMMYFUNCTION("""COMPUTED_VALUE"""),"Region IV-A")</f>
        <v>Region IV-A</v>
      </c>
      <c r="B1750" s="164" t="str">
        <f ca="1">IFERROR(__xludf.DUMMYFUNCTION("""COMPUTED_VALUE"""),"QUEZON II")</f>
        <v>QUEZON II</v>
      </c>
      <c r="C1750" s="164" t="str">
        <f ca="1">IFERROR(__xludf.DUMMYFUNCTION("""COMPUTED_VALUE"""),"LAPTOP – (ACER EXTENSA EX215-55G I7)")</f>
        <v>LAPTOP – (ACER EXTENSA EX215-55G I7)</v>
      </c>
      <c r="D1750" s="164" t="str">
        <f ca="1">IFERROR(__xludf.DUMMYFUNCTION("""COMPUTED_VALUE"""),"₱ 59,500.00")</f>
        <v>₱ 59,500.00</v>
      </c>
      <c r="E1750" s="164" t="str">
        <f ca="1">IFERROR(__xludf.DUMMYFUNCTION("""COMPUTED_VALUE"""),"₱-")</f>
        <v>₱-</v>
      </c>
      <c r="F1750" s="164" t="str">
        <f ca="1">IFERROR(__xludf.DUMMYFUNCTION("""COMPUTED_VALUE"""),"2023-05-03-10202SP198-01")</f>
        <v>2023-05-03-10202SP198-01</v>
      </c>
      <c r="G1750" s="164" t="str">
        <f ca="1">IFERROR(__xludf.DUMMYFUNCTION("""COMPUTED_VALUE"""),"NXEGZSP00330801F5D3400")</f>
        <v>NXEGZSP00330801F5D3400</v>
      </c>
      <c r="H1750" s="164" t="str">
        <f ca="1">IFERROR(__xludf.DUMMYFUNCTION("""COMPUTED_VALUE"""),"LHEA-LYN S. ESPAYOS")</f>
        <v>LHEA-LYN S. ESPAYOS</v>
      </c>
      <c r="I1750" s="164" t="str">
        <f ca="1">IFERROR(__xludf.DUMMYFUNCTION("""COMPUTED_VALUE"""),"PROJECT ACCOUNTANT")</f>
        <v>PROJECT ACCOUNTANT</v>
      </c>
      <c r="J1750" s="164" t="str">
        <f ca="1">IFERROR(__xludf.DUMMYFUNCTION("""COMPUTED_VALUE"""),"2023-08-001")</f>
        <v>2023-08-001</v>
      </c>
      <c r="K1750" s="164" t="str">
        <f ca="1">IFERROR(__xludf.DUMMYFUNCTION("""COMPUTED_VALUE"""),"LHEA-LYN S. ESPAYOS")</f>
        <v>LHEA-LYN S. ESPAYOS</v>
      </c>
      <c r="L1750" s="164" t="str">
        <f ca="1">IFERROR(__xludf.DUMMYFUNCTION("""COMPUTED_VALUE"""),"STOD")</f>
        <v>STOD</v>
      </c>
      <c r="M1750" s="164" t="str">
        <f ca="1">IFERROR(__xludf.DUMMYFUNCTION("""COMPUTED_VALUE"""),"SERVICEABLE")</f>
        <v>SERVICEABLE</v>
      </c>
      <c r="N1750" s="164"/>
    </row>
    <row r="1751" spans="1:14" ht="13.2" hidden="1">
      <c r="A1751" s="164" t="str">
        <f ca="1">IFERROR(__xludf.DUMMYFUNCTION("""COMPUTED_VALUE"""),"Region IV-A")</f>
        <v>Region IV-A</v>
      </c>
      <c r="B1751" s="164" t="str">
        <f ca="1">IFERROR(__xludf.DUMMYFUNCTION("""COMPUTED_VALUE"""),"QUEZON II")</f>
        <v>QUEZON II</v>
      </c>
      <c r="C1751" s="164" t="str">
        <f ca="1">IFERROR(__xludf.DUMMYFUNCTION("""COMPUTED_VALUE"""),"LAPTOP – (ACER EXTENSA EX215-55G I7)")</f>
        <v>LAPTOP – (ACER EXTENSA EX215-55G I7)</v>
      </c>
      <c r="D1751" s="164" t="str">
        <f ca="1">IFERROR(__xludf.DUMMYFUNCTION("""COMPUTED_VALUE"""),"₱ 59,500.00")</f>
        <v>₱ 59,500.00</v>
      </c>
      <c r="E1751" s="164" t="str">
        <f ca="1">IFERROR(__xludf.DUMMYFUNCTION("""COMPUTED_VALUE"""),"₱-")</f>
        <v>₱-</v>
      </c>
      <c r="F1751" s="164" t="str">
        <f ca="1">IFERROR(__xludf.DUMMYFUNCTION("""COMPUTED_VALUE"""),"2023-05-03-10202SP199-01")</f>
        <v>2023-05-03-10202SP199-01</v>
      </c>
      <c r="G1751" s="164" t="str">
        <f ca="1">IFERROR(__xludf.DUMMYFUNCTION("""COMPUTED_VALUE"""),"NXEGZSP00330801D8C3400")</f>
        <v>NXEGZSP00330801D8C3400</v>
      </c>
      <c r="H1751" s="164" t="str">
        <f ca="1">IFERROR(__xludf.DUMMYFUNCTION("""COMPUTED_VALUE"""),"JOSEFINA L. BIO")</f>
        <v>JOSEFINA L. BIO</v>
      </c>
      <c r="I1751" s="164" t="str">
        <f ca="1">IFERROR(__xludf.DUMMYFUNCTION("""COMPUTED_VALUE"""),"ADMINISTRATIVE &amp; FINANCE OFFICER")</f>
        <v>ADMINISTRATIVE &amp; FINANCE OFFICER</v>
      </c>
      <c r="J1751" s="164" t="str">
        <f ca="1">IFERROR(__xludf.DUMMYFUNCTION("""COMPUTED_VALUE"""),"2023-08-002")</f>
        <v>2023-08-002</v>
      </c>
      <c r="K1751" s="164" t="str">
        <f ca="1">IFERROR(__xludf.DUMMYFUNCTION("""COMPUTED_VALUE"""),"LOUIS AURELIO A. NAVA")</f>
        <v>LOUIS AURELIO A. NAVA</v>
      </c>
      <c r="L1751" s="164" t="str">
        <f ca="1">IFERROR(__xludf.DUMMYFUNCTION("""COMPUTED_VALUE"""),"SPLIT OFFICE")</f>
        <v>SPLIT OFFICE</v>
      </c>
      <c r="M1751" s="164" t="str">
        <f ca="1">IFERROR(__xludf.DUMMYFUNCTION("""COMPUTED_VALUE"""),"SERVICEABLE")</f>
        <v>SERVICEABLE</v>
      </c>
      <c r="N1751" s="164"/>
    </row>
    <row r="1752" spans="1:14" ht="13.2" hidden="1">
      <c r="A1752" s="164" t="str">
        <f ca="1">IFERROR(__xludf.DUMMYFUNCTION("""COMPUTED_VALUE"""),"Region IV-A")</f>
        <v>Region IV-A</v>
      </c>
      <c r="B1752" s="164" t="str">
        <f ca="1">IFERROR(__xludf.DUMMYFUNCTION("""COMPUTED_VALUE"""),"RIZAL")</f>
        <v>RIZAL</v>
      </c>
      <c r="C1752" s="164" t="str">
        <f ca="1">IFERROR(__xludf.DUMMYFUNCTION("""COMPUTED_VALUE"""),"LAPTOP – (ACER EXTENSA EX215-55G I7)")</f>
        <v>LAPTOP – (ACER EXTENSA EX215-55G I7)</v>
      </c>
      <c r="D1752" s="164" t="str">
        <f ca="1">IFERROR(__xludf.DUMMYFUNCTION("""COMPUTED_VALUE"""),"₱ 59,500.00")</f>
        <v>₱ 59,500.00</v>
      </c>
      <c r="E1752" s="164" t="str">
        <f ca="1">IFERROR(__xludf.DUMMYFUNCTION("""COMPUTED_VALUE"""),"₱-")</f>
        <v>₱-</v>
      </c>
      <c r="F1752" s="164" t="str">
        <f ca="1">IFERROR(__xludf.DUMMYFUNCTION("""COMPUTED_VALUE"""),"2023-05-03-10202SP35-01")</f>
        <v>2023-05-03-10202SP35-01</v>
      </c>
      <c r="G1752" s="164" t="str">
        <f ca="1">IFERROR(__xludf.DUMMYFUNCTION("""COMPUTED_VALUE"""),"NXEGZSP00330801B263400")</f>
        <v>NXEGZSP00330801B263400</v>
      </c>
      <c r="H1752" s="164" t="str">
        <f ca="1">IFERROR(__xludf.DUMMYFUNCTION("""COMPUTED_VALUE"""),"LAXEL B. GASGA")</f>
        <v>LAXEL B. GASGA</v>
      </c>
      <c r="I1752" s="164" t="str">
        <f ca="1">IFERROR(__xludf.DUMMYFUNCTION("""COMPUTED_VALUE"""),"ARPO II")</f>
        <v>ARPO II</v>
      </c>
      <c r="J1752" s="164" t="str">
        <f ca="1">IFERROR(__xludf.DUMMYFUNCTION("""COMPUTED_VALUE"""),"2023-SPLIT-05-002")</f>
        <v>2023-SPLIT-05-002</v>
      </c>
      <c r="K1752" s="164" t="str">
        <f ca="1">IFERROR(__xludf.DUMMYFUNCTION("""COMPUTED_VALUE"""),"LAXEL B. GASGA")</f>
        <v>LAXEL B. GASGA</v>
      </c>
      <c r="L1752" s="164" t="str">
        <f ca="1">IFERROR(__xludf.DUMMYFUNCTION("""COMPUTED_VALUE"""),"OFFICE OF THE PARPO")</f>
        <v>OFFICE OF THE PARPO</v>
      </c>
      <c r="M1752" s="164" t="str">
        <f ca="1">IFERROR(__xludf.DUMMYFUNCTION("""COMPUTED_VALUE"""),"SERVICEABLE")</f>
        <v>SERVICEABLE</v>
      </c>
      <c r="N1752" s="164"/>
    </row>
    <row r="1753" spans="1:14" ht="13.2" hidden="1">
      <c r="A1753" s="164" t="str">
        <f ca="1">IFERROR(__xludf.DUMMYFUNCTION("""COMPUTED_VALUE"""),"Region IV-A")</f>
        <v>Region IV-A</v>
      </c>
      <c r="B1753" s="164" t="str">
        <f ca="1">IFERROR(__xludf.DUMMYFUNCTION("""COMPUTED_VALUE"""),"RIZAL")</f>
        <v>RIZAL</v>
      </c>
      <c r="C1753" s="164" t="str">
        <f ca="1">IFERROR(__xludf.DUMMYFUNCTION("""COMPUTED_VALUE"""),"LAPTOP – (ACER EXTENSA EX215-55G I7)")</f>
        <v>LAPTOP – (ACER EXTENSA EX215-55G I7)</v>
      </c>
      <c r="D1753" s="164" t="str">
        <f ca="1">IFERROR(__xludf.DUMMYFUNCTION("""COMPUTED_VALUE"""),"₱ 59,500.00")</f>
        <v>₱ 59,500.00</v>
      </c>
      <c r="E1753" s="164" t="str">
        <f ca="1">IFERROR(__xludf.DUMMYFUNCTION("""COMPUTED_VALUE"""),"₱-")</f>
        <v>₱-</v>
      </c>
      <c r="F1753" s="164" t="str">
        <f ca="1">IFERROR(__xludf.DUMMYFUNCTION("""COMPUTED_VALUE"""),"2023-05-02-10202SP200-01")</f>
        <v>2023-05-02-10202SP200-01</v>
      </c>
      <c r="G1753" s="164" t="str">
        <f ca="1">IFERROR(__xludf.DUMMYFUNCTION("""COMPUTED_VALUE"""),"NXEGZSP00330801F0F3400")</f>
        <v>NXEGZSP00330801F0F3400</v>
      </c>
      <c r="H1753" s="164" t="str">
        <f ca="1">IFERROR(__xludf.DUMMYFUNCTION("""COMPUTED_VALUE"""),"RAUL M. LEONIN")</f>
        <v>RAUL M. LEONIN</v>
      </c>
      <c r="I1753" s="164" t="str">
        <f ca="1">IFERROR(__xludf.DUMMYFUNCTION("""COMPUTED_VALUE"""),"OIC-PARPO II")</f>
        <v>OIC-PARPO II</v>
      </c>
      <c r="J1753" s="164" t="str">
        <f ca="1">IFERROR(__xludf.DUMMYFUNCTION("""COMPUTED_VALUE"""),"2023-SPLIT-05-001")</f>
        <v>2023-SPLIT-05-001</v>
      </c>
      <c r="K1753" s="164" t="str">
        <f ca="1">IFERROR(__xludf.DUMMYFUNCTION("""COMPUTED_VALUE"""),"RAUL M. LEONIN")</f>
        <v>RAUL M. LEONIN</v>
      </c>
      <c r="L1753" s="164" t="str">
        <f ca="1">IFERROR(__xludf.DUMMYFUNCTION("""COMPUTED_VALUE"""),"OFFICE OF THE PARPO")</f>
        <v>OFFICE OF THE PARPO</v>
      </c>
      <c r="M1753" s="164" t="str">
        <f ca="1">IFERROR(__xludf.DUMMYFUNCTION("""COMPUTED_VALUE"""),"SERVICEABLE")</f>
        <v>SERVICEABLE</v>
      </c>
      <c r="N1753" s="164"/>
    </row>
    <row r="1754" spans="1:14" ht="13.2" hidden="1">
      <c r="A1754" s="164" t="str">
        <f ca="1">IFERROR(__xludf.DUMMYFUNCTION("""COMPUTED_VALUE"""),"Region IV-A")</f>
        <v>Region IV-A</v>
      </c>
      <c r="B1754" s="164" t="str">
        <f ca="1">IFERROR(__xludf.DUMMYFUNCTION("""COMPUTED_VALUE"""),"BATANGAS")</f>
        <v>BATANGAS</v>
      </c>
      <c r="C1754" s="164" t="str">
        <f ca="1">IFERROR(__xludf.DUMMYFUNCTION("""COMPUTED_VALUE"""),"Photocopier Machine – Kyocera")</f>
        <v>Photocopier Machine – Kyocera</v>
      </c>
      <c r="D1754" s="164" t="str">
        <f ca="1">IFERROR(__xludf.DUMMYFUNCTION("""COMPUTED_VALUE"""),"₱ 84,500.00")</f>
        <v>₱ 84,500.00</v>
      </c>
      <c r="E1754" s="164" t="str">
        <f ca="1">IFERROR(__xludf.DUMMYFUNCTION("""COMPUTED_VALUE"""),"₱-")</f>
        <v>₱-</v>
      </c>
      <c r="F1754" s="164" t="str">
        <f ca="1">IFERROR(__xludf.DUMMYFUNCTION("""COMPUTED_VALUE"""),"2022-05-02-10202SP27-01")</f>
        <v>2022-05-02-10202SP27-01</v>
      </c>
      <c r="G1754" s="164" t="str">
        <f ca="1">IFERROR(__xludf.DUMMYFUNCTION("""COMPUTED_VALUE"""),"RNK1600159")</f>
        <v>RNK1600159</v>
      </c>
      <c r="H1754" s="164" t="str">
        <f ca="1">IFERROR(__xludf.DUMMYFUNCTION("""COMPUTED_VALUE"""),"JOSEPHINE CASALLA")</f>
        <v>JOSEPHINE CASALLA</v>
      </c>
      <c r="I1754" s="164" t="str">
        <f ca="1">IFERROR(__xludf.DUMMYFUNCTION("""COMPUTED_VALUE"""),"CARPO LTID/PARCELIZATION COMPONENT AND FVT COORDINATOR")</f>
        <v>CARPO LTID/PARCELIZATION COMPONENT AND FVT COORDINATOR</v>
      </c>
      <c r="J1754" s="164" t="str">
        <f ca="1">IFERROR(__xludf.DUMMYFUNCTION("""COMPUTED_VALUE"""),"SP-2022-05-01")</f>
        <v>SP-2022-05-01</v>
      </c>
      <c r="K1754" s="164" t="str">
        <f ca="1">IFERROR(__xludf.DUMMYFUNCTION("""COMPUTED_VALUE"""),"SPLIT PERSONNEL")</f>
        <v>SPLIT PERSONNEL</v>
      </c>
      <c r="L1754" s="164" t="str">
        <f ca="1">IFERROR(__xludf.DUMMYFUNCTION("""COMPUTED_VALUE"""),"LTID")</f>
        <v>LTID</v>
      </c>
      <c r="M1754" s="164" t="str">
        <f ca="1">IFERROR(__xludf.DUMMYFUNCTION("""COMPUTED_VALUE"""),"SERVICEABLE")</f>
        <v>SERVICEABLE</v>
      </c>
      <c r="N1754" s="164"/>
    </row>
    <row r="1755" spans="1:14" ht="13.2" hidden="1">
      <c r="A1755" s="164" t="str">
        <f ca="1">IFERROR(__xludf.DUMMYFUNCTION("""COMPUTED_VALUE"""),"Region IV-A")</f>
        <v>Region IV-A</v>
      </c>
      <c r="B1755" s="164" t="str">
        <f ca="1">IFERROR(__xludf.DUMMYFUNCTION("""COMPUTED_VALUE"""),"CAVITE")</f>
        <v>CAVITE</v>
      </c>
      <c r="C1755" s="164" t="str">
        <f ca="1">IFERROR(__xludf.DUMMYFUNCTION("""COMPUTED_VALUE"""),"Photocopier Machine – Kyocera")</f>
        <v>Photocopier Machine – Kyocera</v>
      </c>
      <c r="D1755" s="164" t="str">
        <f ca="1">IFERROR(__xludf.DUMMYFUNCTION("""COMPUTED_VALUE"""),"₱ 84,500.00")</f>
        <v>₱ 84,500.00</v>
      </c>
      <c r="E1755" s="164" t="str">
        <f ca="1">IFERROR(__xludf.DUMMYFUNCTION("""COMPUTED_VALUE"""),"₱-")</f>
        <v>₱-</v>
      </c>
      <c r="F1755" s="164" t="str">
        <f ca="1">IFERROR(__xludf.DUMMYFUNCTION("""COMPUTED_VALUE"""),"2022--05-02-10202SP28-01")</f>
        <v>2022--05-02-10202SP28-01</v>
      </c>
      <c r="G1755" s="164" t="str">
        <f ca="1">IFERROR(__xludf.DUMMYFUNCTION("""COMPUTED_VALUE"""),"RNK1600154")</f>
        <v>RNK1600154</v>
      </c>
      <c r="H1755" s="164" t="str">
        <f ca="1">IFERROR(__xludf.DUMMYFUNCTION("""COMPUTED_VALUE"""),"PACITA J. LLAMADO")</f>
        <v>PACITA J. LLAMADO</v>
      </c>
      <c r="I1755" s="164" t="str">
        <f ca="1">IFERROR(__xludf.DUMMYFUNCTION("""COMPUTED_VALUE"""),"CAO/ PROJECT FINANCE &amp; ADMIN OFFICER")</f>
        <v>CAO/ PROJECT FINANCE &amp; ADMIN OFFICER</v>
      </c>
      <c r="J1755" s="164" t="str">
        <f ca="1">IFERROR(__xludf.DUMMYFUNCTION("""COMPUTED_VALUE"""),"23-05-07")</f>
        <v>23-05-07</v>
      </c>
      <c r="K1755" s="164" t="str">
        <f ca="1">IFERROR(__xludf.DUMMYFUNCTION("""COMPUTED_VALUE"""),"CRISJAY MEDINA MIS STAFF")</f>
        <v>CRISJAY MEDINA MIS STAFF</v>
      </c>
      <c r="L1755" s="164" t="str">
        <f ca="1">IFERROR(__xludf.DUMMYFUNCTION("""COMPUTED_VALUE"""),"LTID")</f>
        <v>LTID</v>
      </c>
      <c r="M1755" s="164" t="str">
        <f ca="1">IFERROR(__xludf.DUMMYFUNCTION("""COMPUTED_VALUE"""),"SERVICEABLE")</f>
        <v>SERVICEABLE</v>
      </c>
      <c r="N1755" s="164"/>
    </row>
    <row r="1756" spans="1:14" ht="13.2" hidden="1">
      <c r="A1756" s="164" t="str">
        <f ca="1">IFERROR(__xludf.DUMMYFUNCTION("""COMPUTED_VALUE"""),"Region IV-A")</f>
        <v>Region IV-A</v>
      </c>
      <c r="B1756" s="164" t="str">
        <f ca="1">IFERROR(__xludf.DUMMYFUNCTION("""COMPUTED_VALUE"""),"LAGUNA")</f>
        <v>LAGUNA</v>
      </c>
      <c r="C1756" s="164" t="str">
        <f ca="1">IFERROR(__xludf.DUMMYFUNCTION("""COMPUTED_VALUE"""),"Photocopier Machine – Kyocera")</f>
        <v>Photocopier Machine – Kyocera</v>
      </c>
      <c r="D1756" s="164" t="str">
        <f ca="1">IFERROR(__xludf.DUMMYFUNCTION("""COMPUTED_VALUE"""),"₱ 84,500.00")</f>
        <v>₱ 84,500.00</v>
      </c>
      <c r="E1756" s="164" t="str">
        <f ca="1">IFERROR(__xludf.DUMMYFUNCTION("""COMPUTED_VALUE"""),"₱-")</f>
        <v>₱-</v>
      </c>
      <c r="F1756" s="164" t="str">
        <f ca="1">IFERROR(__xludf.DUMMYFUNCTION("""COMPUTED_VALUE"""),"2022-05-02-10202SP29-01")</f>
        <v>2022-05-02-10202SP29-01</v>
      </c>
      <c r="G1756" s="164" t="str">
        <f ca="1">IFERROR(__xludf.DUMMYFUNCTION("""COMPUTED_VALUE"""),"RNK1600148")</f>
        <v>RNK1600148</v>
      </c>
      <c r="H1756" s="164" t="str">
        <f ca="1">IFERROR(__xludf.DUMMYFUNCTION("""COMPUTED_VALUE"""),"DIVINA P. TORRES")</f>
        <v>DIVINA P. TORRES</v>
      </c>
      <c r="I1756" s="164" t="str">
        <f ca="1">IFERROR(__xludf.DUMMYFUNCTION("""COMPUTED_VALUE"""),"PARCELIZATION COMPONENT AND FVT COORDINATOR")</f>
        <v>PARCELIZATION COMPONENT AND FVT COORDINATOR</v>
      </c>
      <c r="J1756" s="164" t="str">
        <f ca="1">IFERROR(__xludf.DUMMYFUNCTION("""COMPUTED_VALUE"""),"2023-05-003")</f>
        <v>2023-05-003</v>
      </c>
      <c r="K1756" s="164" t="str">
        <f ca="1">IFERROR(__xludf.DUMMYFUNCTION("""COMPUTED_VALUE"""),"MA. NECHOL C. SALUDES")</f>
        <v>MA. NECHOL C. SALUDES</v>
      </c>
      <c r="L1756" s="164" t="str">
        <f ca="1">IFERROR(__xludf.DUMMYFUNCTION("""COMPUTED_VALUE"""),"DARPO LAGUNA")</f>
        <v>DARPO LAGUNA</v>
      </c>
      <c r="M1756" s="164" t="str">
        <f ca="1">IFERROR(__xludf.DUMMYFUNCTION("""COMPUTED_VALUE"""),"SERVICEABLE")</f>
        <v>SERVICEABLE</v>
      </c>
      <c r="N1756" s="164"/>
    </row>
    <row r="1757" spans="1:14" ht="13.2" hidden="1">
      <c r="A1757" s="164" t="str">
        <f ca="1">IFERROR(__xludf.DUMMYFUNCTION("""COMPUTED_VALUE"""),"Region IV-A")</f>
        <v>Region IV-A</v>
      </c>
      <c r="B1757" s="164" t="str">
        <f ca="1">IFERROR(__xludf.DUMMYFUNCTION("""COMPUTED_VALUE"""),"QUEZON I")</f>
        <v>QUEZON I</v>
      </c>
      <c r="C1757" s="164" t="str">
        <f ca="1">IFERROR(__xludf.DUMMYFUNCTION("""COMPUTED_VALUE"""),"Photocopier Machine – Kyocera")</f>
        <v>Photocopier Machine – Kyocera</v>
      </c>
      <c r="D1757" s="164" t="str">
        <f ca="1">IFERROR(__xludf.DUMMYFUNCTION("""COMPUTED_VALUE"""),"₱ 84,500.00")</f>
        <v>₱ 84,500.00</v>
      </c>
      <c r="E1757" s="164" t="str">
        <f ca="1">IFERROR(__xludf.DUMMYFUNCTION("""COMPUTED_VALUE"""),"₱-")</f>
        <v>₱-</v>
      </c>
      <c r="F1757" s="164" t="str">
        <f ca="1">IFERROR(__xludf.DUMMYFUNCTION("""COMPUTED_VALUE"""),"2022-05-02-10202SP30-01")</f>
        <v>2022-05-02-10202SP30-01</v>
      </c>
      <c r="G1757" s="164" t="str">
        <f ca="1">IFERROR(__xludf.DUMMYFUNCTION("""COMPUTED_VALUE"""),"RNK1600146")</f>
        <v>RNK1600146</v>
      </c>
      <c r="H1757" s="164" t="str">
        <f ca="1">IFERROR(__xludf.DUMMYFUNCTION("""COMPUTED_VALUE"""),"LEA B. RODIL")</f>
        <v>LEA B. RODIL</v>
      </c>
      <c r="I1757" s="164" t="str">
        <f ca="1">IFERROR(__xludf.DUMMYFUNCTION("""COMPUTED_VALUE"""),"AO IV/Project Procurement Officer")</f>
        <v>AO IV/Project Procurement Officer</v>
      </c>
      <c r="J1757" s="164" t="str">
        <f ca="1">IFERROR(__xludf.DUMMYFUNCTION("""COMPUTED_VALUE"""),"002-11-2022")</f>
        <v>002-11-2022</v>
      </c>
      <c r="K1757" s="164" t="str">
        <f ca="1">IFERROR(__xludf.DUMMYFUNCTION("""COMPUTED_VALUE"""),"LEA B. RODIL")</f>
        <v>LEA B. RODIL</v>
      </c>
      <c r="L1757" s="164" t="str">
        <f ca="1">IFERROR(__xludf.DUMMYFUNCTION("""COMPUTED_VALUE"""),"DARPO QUEZON I")</f>
        <v>DARPO QUEZON I</v>
      </c>
      <c r="M1757" s="164" t="str">
        <f ca="1">IFERROR(__xludf.DUMMYFUNCTION("""COMPUTED_VALUE"""),"SERVICEABLE")</f>
        <v>SERVICEABLE</v>
      </c>
      <c r="N1757" s="164"/>
    </row>
    <row r="1758" spans="1:14" ht="13.2" hidden="1">
      <c r="A1758" s="164" t="str">
        <f ca="1">IFERROR(__xludf.DUMMYFUNCTION("""COMPUTED_VALUE"""),"Region IV-A")</f>
        <v>Region IV-A</v>
      </c>
      <c r="B1758" s="164" t="str">
        <f ca="1">IFERROR(__xludf.DUMMYFUNCTION("""COMPUTED_VALUE"""),"QUEZON II")</f>
        <v>QUEZON II</v>
      </c>
      <c r="C1758" s="164" t="str">
        <f ca="1">IFERROR(__xludf.DUMMYFUNCTION("""COMPUTED_VALUE"""),"Photocopier Machine – Kyocera")</f>
        <v>Photocopier Machine – Kyocera</v>
      </c>
      <c r="D1758" s="164" t="str">
        <f ca="1">IFERROR(__xludf.DUMMYFUNCTION("""COMPUTED_VALUE"""),"₱ 84,500.00")</f>
        <v>₱ 84,500.00</v>
      </c>
      <c r="E1758" s="164" t="str">
        <f ca="1">IFERROR(__xludf.DUMMYFUNCTION("""COMPUTED_VALUE"""),"₱-")</f>
        <v>₱-</v>
      </c>
      <c r="F1758" s="164" t="str">
        <f ca="1">IFERROR(__xludf.DUMMYFUNCTION("""COMPUTED_VALUE"""),"2022-05-02-10202SP31-01")</f>
        <v>2022-05-02-10202SP31-01</v>
      </c>
      <c r="G1758" s="164" t="str">
        <f ca="1">IFERROR(__xludf.DUMMYFUNCTION("""COMPUTED_VALUE"""),"RNK1600152")</f>
        <v>RNK1600152</v>
      </c>
      <c r="H1758" s="164" t="str">
        <f ca="1">IFERROR(__xludf.DUMMYFUNCTION("""COMPUTED_VALUE"""),"JOHNSON U. BONIFACIO")</f>
        <v>JOHNSON U. BONIFACIO</v>
      </c>
      <c r="I1758" s="164" t="str">
        <f ca="1">IFERROR(__xludf.DUMMYFUNCTION("""COMPUTED_VALUE"""),"Project Procurement Officer")</f>
        <v>Project Procurement Officer</v>
      </c>
      <c r="J1758" s="164" t="str">
        <f ca="1">IFERROR(__xludf.DUMMYFUNCTION("""COMPUTED_VALUE"""),"2023-01-001")</f>
        <v>2023-01-001</v>
      </c>
      <c r="K1758" s="164" t="str">
        <f ca="1">IFERROR(__xludf.DUMMYFUNCTION("""COMPUTED_VALUE"""),"JAYVIE LANE IGLESIA")</f>
        <v>JAYVIE LANE IGLESIA</v>
      </c>
      <c r="L1758" s="164" t="str">
        <f ca="1">IFERROR(__xludf.DUMMYFUNCTION("""COMPUTED_VALUE"""),"SPLIT OFFICE")</f>
        <v>SPLIT OFFICE</v>
      </c>
      <c r="M1758" s="164" t="str">
        <f ca="1">IFERROR(__xludf.DUMMYFUNCTION("""COMPUTED_VALUE"""),"SERVICEABLE")</f>
        <v>SERVICEABLE</v>
      </c>
      <c r="N1758" s="164"/>
    </row>
    <row r="1759" spans="1:14" ht="13.2" hidden="1">
      <c r="A1759" s="164" t="str">
        <f ca="1">IFERROR(__xludf.DUMMYFUNCTION("""COMPUTED_VALUE"""),"Region IV-A")</f>
        <v>Region IV-A</v>
      </c>
      <c r="B1759" s="164" t="str">
        <f ca="1">IFERROR(__xludf.DUMMYFUNCTION("""COMPUTED_VALUE"""),"RIZAL")</f>
        <v>RIZAL</v>
      </c>
      <c r="C1759" s="164" t="str">
        <f ca="1">IFERROR(__xludf.DUMMYFUNCTION("""COMPUTED_VALUE"""),"Photocopier Machine – Kyocera")</f>
        <v>Photocopier Machine – Kyocera</v>
      </c>
      <c r="D1759" s="164" t="str">
        <f ca="1">IFERROR(__xludf.DUMMYFUNCTION("""COMPUTED_VALUE"""),"₱ 84,500.00")</f>
        <v>₱ 84,500.00</v>
      </c>
      <c r="E1759" s="164" t="str">
        <f ca="1">IFERROR(__xludf.DUMMYFUNCTION("""COMPUTED_VALUE"""),"₱-")</f>
        <v>₱-</v>
      </c>
      <c r="F1759" s="164" t="str">
        <f ca="1">IFERROR(__xludf.DUMMYFUNCTION("""COMPUTED_VALUE"""),"2022-05-02-10202SP32-01")</f>
        <v>2022-05-02-10202SP32-01</v>
      </c>
      <c r="G1759" s="164" t="str">
        <f ca="1">IFERROR(__xludf.DUMMYFUNCTION("""COMPUTED_VALUE"""),"RNK1600135")</f>
        <v>RNK1600135</v>
      </c>
      <c r="H1759" s="164" t="str">
        <f ca="1">IFERROR(__xludf.DUMMYFUNCTION("""COMPUTED_VALUE"""),"ROMEO J. DELA CRUZ")</f>
        <v>ROMEO J. DELA CRUZ</v>
      </c>
      <c r="I1759" s="164" t="str">
        <f ca="1">IFERROR(__xludf.DUMMYFUNCTION("""COMPUTED_VALUE"""),"CAO/ PROJECT FINANCE &amp; ADMIN OFFICER")</f>
        <v>CAO/ PROJECT FINANCE &amp; ADMIN OFFICER</v>
      </c>
      <c r="J1759" s="164" t="str">
        <f ca="1">IFERROR(__xludf.DUMMYFUNCTION("""COMPUTED_VALUE"""),"2023-SPLIT-01-001")</f>
        <v>2023-SPLIT-01-001</v>
      </c>
      <c r="K1759" s="164" t="str">
        <f ca="1">IFERROR(__xludf.DUMMYFUNCTION("""COMPUTED_VALUE"""),"ROMEO J. DELA CRUZ")</f>
        <v>ROMEO J. DELA CRUZ</v>
      </c>
      <c r="L1759" s="164" t="str">
        <f ca="1">IFERROR(__xludf.DUMMYFUNCTION("""COMPUTED_VALUE"""),"ADMIN/FINANCE")</f>
        <v>ADMIN/FINANCE</v>
      </c>
      <c r="M1759" s="164" t="str">
        <f ca="1">IFERROR(__xludf.DUMMYFUNCTION("""COMPUTED_VALUE"""),"SERVICEABLE")</f>
        <v>SERVICEABLE</v>
      </c>
      <c r="N1759" s="164"/>
    </row>
    <row r="1760" spans="1:14" ht="13.2" hidden="1">
      <c r="A1760" s="164" t="str">
        <f ca="1">IFERROR(__xludf.DUMMYFUNCTION("""COMPUTED_VALUE"""),"Region IV-A")</f>
        <v>Region IV-A</v>
      </c>
      <c r="B1760" s="164" t="str">
        <f ca="1">IFERROR(__xludf.DUMMYFUNCTION("""COMPUTED_VALUE"""),"QUEZON II")</f>
        <v>QUEZON II</v>
      </c>
      <c r="C1760" s="164" t="str">
        <f ca="1">IFERROR(__xludf.DUMMYFUNCTION("""COMPUTED_VALUE"""),"PLOTTER (3IN1)")</f>
        <v>PLOTTER (3IN1)</v>
      </c>
      <c r="D1760" s="164" t="str">
        <f ca="1">IFERROR(__xludf.DUMMYFUNCTION("""COMPUTED_VALUE"""),"₱ 648,000.00")</f>
        <v>₱ 648,000.00</v>
      </c>
      <c r="E1760" s="164" t="str">
        <f ca="1">IFERROR(__xludf.DUMMYFUNCTION("""COMPUTED_VALUE"""),"₱-")</f>
        <v>₱-</v>
      </c>
      <c r="F1760" s="164" t="str">
        <f ca="1">IFERROR(__xludf.DUMMYFUNCTION("""COMPUTED_VALUE"""),"2024-05-14-10201SPO5-01")</f>
        <v>2024-05-14-10201SPO5-01</v>
      </c>
      <c r="G1760" s="164" t="str">
        <f ca="1">IFERROR(__xludf.DUMMYFUNCTION("""COMPUTED_VALUE"""),"BBAK00036")</f>
        <v>BBAK00036</v>
      </c>
      <c r="H1760" s="164" t="str">
        <f ca="1">IFERROR(__xludf.DUMMYFUNCTION("""COMPUTED_VALUE"""),"MA. GEMMA A. ESGUERRA")</f>
        <v>MA. GEMMA A. ESGUERRA</v>
      </c>
      <c r="I1760" s="164" t="str">
        <f ca="1">IFERROR(__xludf.DUMMYFUNCTION("""COMPUTED_VALUE"""),"SPLIT PROVINCIAL PROJECT MANAGER")</f>
        <v>SPLIT PROVINCIAL PROJECT MANAGER</v>
      </c>
      <c r="J1760" s="164" t="str">
        <f ca="1">IFERROR(__xludf.DUMMYFUNCTION("""COMPUTED_VALUE"""),"2024-06-001")</f>
        <v>2024-06-001</v>
      </c>
      <c r="K1760" s="164" t="str">
        <f ca="1">IFERROR(__xludf.DUMMYFUNCTION("""COMPUTED_VALUE"""),"VERONICA M. OTCHARAN")</f>
        <v>VERONICA M. OTCHARAN</v>
      </c>
      <c r="L1760" s="164" t="str">
        <f ca="1">IFERROR(__xludf.DUMMYFUNCTION("""COMPUTED_VALUE"""),"LTID")</f>
        <v>LTID</v>
      </c>
      <c r="M1760" s="164" t="str">
        <f ca="1">IFERROR(__xludf.DUMMYFUNCTION("""COMPUTED_VALUE"""),"SERVICEABLE")</f>
        <v>SERVICEABLE</v>
      </c>
      <c r="N1760" s="164"/>
    </row>
    <row r="1761" spans="1:14" ht="13.2" hidden="1">
      <c r="A1761" s="164" t="str">
        <f ca="1">IFERROR(__xludf.DUMMYFUNCTION("""COMPUTED_VALUE"""),"Region IV-A")</f>
        <v>Region IV-A</v>
      </c>
      <c r="B1761" s="164" t="str">
        <f ca="1">IFERROR(__xludf.DUMMYFUNCTION("""COMPUTED_VALUE"""),"REGIONAL OFFICE")</f>
        <v>REGIONAL OFFICE</v>
      </c>
      <c r="C1761" s="164" t="str">
        <f ca="1">IFERROR(__xludf.DUMMYFUNCTION("""COMPUTED_VALUE"""),"A3 PRINTER (BROTHER)")</f>
        <v>A3 PRINTER (BROTHER)</v>
      </c>
      <c r="D1761" s="164" t="str">
        <f ca="1">IFERROR(__xludf.DUMMYFUNCTION("""COMPUTED_VALUE"""),"₱ 33,508.00")</f>
        <v>₱ 33,508.00</v>
      </c>
      <c r="E1761" s="164" t="str">
        <f ca="1">IFERROR(__xludf.DUMMYFUNCTION("""COMPUTED_VALUE"""),"₱-")</f>
        <v>₱-</v>
      </c>
      <c r="F1761" s="164" t="str">
        <f ca="1">IFERROR(__xludf.DUMMYFUNCTION("""COMPUTED_VALUE"""),"HV-SPLIT-102-24-05-04-045")</f>
        <v>HV-SPLIT-102-24-05-04-045</v>
      </c>
      <c r="G1761" s="164" t="str">
        <f ca="1">IFERROR(__xludf.DUMMYFUNCTION("""COMPUTED_VALUE"""),"E78947K3H658454")</f>
        <v>E78947K3H658454</v>
      </c>
      <c r="H1761" s="164" t="str">
        <f ca="1">IFERROR(__xludf.DUMMYFUNCTION("""COMPUTED_VALUE"""),"HELEN G. PAULE")</f>
        <v>HELEN G. PAULE</v>
      </c>
      <c r="I1761" s="164" t="str">
        <f ca="1">IFERROR(__xludf.DUMMYFUNCTION("""COMPUTED_VALUE"""),"M&amp;E COORDINATOR")</f>
        <v>M&amp;E COORDINATOR</v>
      </c>
      <c r="J1761" s="164" t="str">
        <f ca="1">IFERROR(__xludf.DUMMYFUNCTION("""COMPUTED_VALUE"""),"24-04-003-S")</f>
        <v>24-04-003-S</v>
      </c>
      <c r="K1761" s="164" t="str">
        <f ca="1">IFERROR(__xludf.DUMMYFUNCTION("""COMPUTED_VALUE"""),"HELEN G. PAULE")</f>
        <v>HELEN G. PAULE</v>
      </c>
      <c r="L1761" s="164" t="str">
        <f ca="1">IFERROR(__xludf.DUMMYFUNCTION("""COMPUTED_VALUE"""),"PLANNING")</f>
        <v>PLANNING</v>
      </c>
      <c r="M1761" s="164" t="str">
        <f ca="1">IFERROR(__xludf.DUMMYFUNCTION("""COMPUTED_VALUE"""),"SERVICEABLE")</f>
        <v>SERVICEABLE</v>
      </c>
      <c r="N1761" s="164"/>
    </row>
    <row r="1762" spans="1:14" ht="13.2" hidden="1">
      <c r="A1762" s="164" t="str">
        <f ca="1">IFERROR(__xludf.DUMMYFUNCTION("""COMPUTED_VALUE"""),"Region IV-A")</f>
        <v>Region IV-A</v>
      </c>
      <c r="B1762" s="164" t="str">
        <f ca="1">IFERROR(__xludf.DUMMYFUNCTION("""COMPUTED_VALUE"""),"BATANGAS")</f>
        <v>BATANGAS</v>
      </c>
      <c r="C1762" s="164" t="str">
        <f ca="1">IFERROR(__xludf.DUMMYFUNCTION("""COMPUTED_VALUE"""),"A3 PRINTER (BROTHER)")</f>
        <v>A3 PRINTER (BROTHER)</v>
      </c>
      <c r="D1762" s="164" t="str">
        <f ca="1">IFERROR(__xludf.DUMMYFUNCTION("""COMPUTED_VALUE"""),"₱ 33,508.00")</f>
        <v>₱ 33,508.00</v>
      </c>
      <c r="E1762" s="164" t="str">
        <f ca="1">IFERROR(__xludf.DUMMYFUNCTION("""COMPUTED_VALUE"""),"₱-")</f>
        <v>₱-</v>
      </c>
      <c r="F1762" s="164" t="str">
        <f ca="1">IFERROR(__xludf.DUMMYFUNCTION("""COMPUTED_VALUE"""),"HV-SPLIT-102-24-05-04-046")</f>
        <v>HV-SPLIT-102-24-05-04-046</v>
      </c>
      <c r="G1762" s="164" t="str">
        <f ca="1">IFERROR(__xludf.DUMMYFUNCTION("""COMPUTED_VALUE"""),"E78947K3H658359")</f>
        <v>E78947K3H658359</v>
      </c>
      <c r="H1762" s="164" t="str">
        <f ca="1">IFERROR(__xludf.DUMMYFUNCTION("""COMPUTED_VALUE"""),"BUENAFE C BERNABE")</f>
        <v>BUENAFE C BERNABE</v>
      </c>
      <c r="I1762" s="164" t="str">
        <f ca="1">IFERROR(__xludf.DUMMYFUNCTION("""COMPUTED_VALUE"""),"PROCUREMENT OFFICER")</f>
        <v>PROCUREMENT OFFICER</v>
      </c>
      <c r="J1762" s="164" t="str">
        <f ca="1">IFERROR(__xludf.DUMMYFUNCTION("""COMPUTED_VALUE"""),"24-04-001")</f>
        <v>24-04-001</v>
      </c>
      <c r="K1762" s="164" t="str">
        <f ca="1">IFERROR(__xludf.DUMMYFUNCTION("""COMPUTED_VALUE"""),"BUENAFE C BERNABE")</f>
        <v>BUENAFE C BERNABE</v>
      </c>
      <c r="L1762" s="164" t="str">
        <f ca="1">IFERROR(__xludf.DUMMYFUNCTION("""COMPUTED_VALUE"""),"#REF!")</f>
        <v>#REF!</v>
      </c>
      <c r="M1762" s="164" t="str">
        <f ca="1">IFERROR(__xludf.DUMMYFUNCTION("""COMPUTED_VALUE"""),"SERVICEABLE")</f>
        <v>SERVICEABLE</v>
      </c>
      <c r="N1762" s="164"/>
    </row>
    <row r="1763" spans="1:14" ht="13.2" hidden="1">
      <c r="A1763" s="164" t="str">
        <f ca="1">IFERROR(__xludf.DUMMYFUNCTION("""COMPUTED_VALUE"""),"Region IV-A")</f>
        <v>Region IV-A</v>
      </c>
      <c r="B1763" s="164" t="str">
        <f ca="1">IFERROR(__xludf.DUMMYFUNCTION("""COMPUTED_VALUE"""),"CAVITE")</f>
        <v>CAVITE</v>
      </c>
      <c r="C1763" s="164" t="str">
        <f ca="1">IFERROR(__xludf.DUMMYFUNCTION("""COMPUTED_VALUE"""),"A3 PRINTER (BROTHER)")</f>
        <v>A3 PRINTER (BROTHER)</v>
      </c>
      <c r="D1763" s="164" t="str">
        <f ca="1">IFERROR(__xludf.DUMMYFUNCTION("""COMPUTED_VALUE"""),"₱ 33,508.00")</f>
        <v>₱ 33,508.00</v>
      </c>
      <c r="E1763" s="164" t="str">
        <f ca="1">IFERROR(__xludf.DUMMYFUNCTION("""COMPUTED_VALUE"""),"₱-")</f>
        <v>₱-</v>
      </c>
      <c r="F1763" s="164" t="str">
        <f ca="1">IFERROR(__xludf.DUMMYFUNCTION("""COMPUTED_VALUE"""),"HV-SPLIT-102-24-05-04-048")</f>
        <v>HV-SPLIT-102-24-05-04-048</v>
      </c>
      <c r="G1763" s="164" t="str">
        <f ca="1">IFERROR(__xludf.DUMMYFUNCTION("""COMPUTED_VALUE"""),"E78947K3H658322")</f>
        <v>E78947K3H658322</v>
      </c>
      <c r="H1763" s="164" t="str">
        <f ca="1">IFERROR(__xludf.DUMMYFUNCTION("""COMPUTED_VALUE"""),"PACITA J. LLAMADO")</f>
        <v>PACITA J. LLAMADO</v>
      </c>
      <c r="I1763" s="164" t="str">
        <f ca="1">IFERROR(__xludf.DUMMYFUNCTION("""COMPUTED_VALUE"""),"Administrative and Finance Officer/ CBTA for Implementers")</f>
        <v>Administrative and Finance Officer/ CBTA for Implementers</v>
      </c>
      <c r="J1763" s="164" t="str">
        <f ca="1">IFERROR(__xludf.DUMMYFUNCTION("""COMPUTED_VALUE"""),"240-04-002")</f>
        <v>240-04-002</v>
      </c>
      <c r="K1763" s="164" t="str">
        <f ca="1">IFERROR(__xludf.DUMMYFUNCTION("""COMPUTED_VALUE"""),"PACITA J. LLAMADO")</f>
        <v>PACITA J. LLAMADO</v>
      </c>
      <c r="L1763" s="164" t="str">
        <f ca="1">IFERROR(__xludf.DUMMYFUNCTION("""COMPUTED_VALUE"""),"#REF!")</f>
        <v>#REF!</v>
      </c>
      <c r="M1763" s="164" t="str">
        <f ca="1">IFERROR(__xludf.DUMMYFUNCTION("""COMPUTED_VALUE"""),"SERVICEABLE")</f>
        <v>SERVICEABLE</v>
      </c>
      <c r="N1763" s="164"/>
    </row>
    <row r="1764" spans="1:14" ht="13.2" hidden="1">
      <c r="A1764" s="164" t="str">
        <f ca="1">IFERROR(__xludf.DUMMYFUNCTION("""COMPUTED_VALUE"""),"Region IV-A")</f>
        <v>Region IV-A</v>
      </c>
      <c r="B1764" s="164" t="str">
        <f ca="1">IFERROR(__xludf.DUMMYFUNCTION("""COMPUTED_VALUE"""),"LAGUNA")</f>
        <v>LAGUNA</v>
      </c>
      <c r="C1764" s="164" t="str">
        <f ca="1">IFERROR(__xludf.DUMMYFUNCTION("""COMPUTED_VALUE"""),"A3 PRINTER (BROTHER)")</f>
        <v>A3 PRINTER (BROTHER)</v>
      </c>
      <c r="D1764" s="164" t="str">
        <f ca="1">IFERROR(__xludf.DUMMYFUNCTION("""COMPUTED_VALUE"""),"₱ 33,508.00")</f>
        <v>₱ 33,508.00</v>
      </c>
      <c r="E1764" s="164" t="str">
        <f ca="1">IFERROR(__xludf.DUMMYFUNCTION("""COMPUTED_VALUE"""),"₱-")</f>
        <v>₱-</v>
      </c>
      <c r="F1764" s="164" t="str">
        <f ca="1">IFERROR(__xludf.DUMMYFUNCTION("""COMPUTED_VALUE"""),"HV-SPLIT-102-24-05-04-049")</f>
        <v>HV-SPLIT-102-24-05-04-049</v>
      </c>
      <c r="G1764" s="164" t="str">
        <f ca="1">IFERROR(__xludf.DUMMYFUNCTION("""COMPUTED_VALUE"""),"E78947L3H871404")</f>
        <v>E78947L3H871404</v>
      </c>
      <c r="H1764" s="164" t="str">
        <f ca="1">IFERROR(__xludf.DUMMYFUNCTION("""COMPUTED_VALUE"""),"LARINA E. LOPEZ")</f>
        <v>LARINA E. LOPEZ</v>
      </c>
      <c r="I1764" s="164" t="str">
        <f ca="1">IFERROR(__xludf.DUMMYFUNCTION("""COMPUTED_VALUE"""),"Administrative and Finance Officer/ CBTA for Implementers")</f>
        <v>Administrative and Finance Officer/ CBTA for Implementers</v>
      </c>
      <c r="J1764" s="164" t="str">
        <f ca="1">IFERROR(__xludf.DUMMYFUNCTION("""COMPUTED_VALUE"""),"2024-04-003")</f>
        <v>2024-04-003</v>
      </c>
      <c r="K1764" s="164" t="str">
        <f ca="1">IFERROR(__xludf.DUMMYFUNCTION("""COMPUTED_VALUE"""),"CAROLINA L. LIZO")</f>
        <v>CAROLINA L. LIZO</v>
      </c>
      <c r="L1764" s="164" t="str">
        <f ca="1">IFERROR(__xludf.DUMMYFUNCTION("""COMPUTED_VALUE"""),"LTIU")</f>
        <v>LTIU</v>
      </c>
      <c r="M1764" s="164" t="str">
        <f ca="1">IFERROR(__xludf.DUMMYFUNCTION("""COMPUTED_VALUE"""),"SERVICEABLE")</f>
        <v>SERVICEABLE</v>
      </c>
      <c r="N1764" s="164"/>
    </row>
    <row r="1765" spans="1:14" ht="13.2" hidden="1">
      <c r="A1765" s="164" t="str">
        <f ca="1">IFERROR(__xludf.DUMMYFUNCTION("""COMPUTED_VALUE"""),"Region IV-A")</f>
        <v>Region IV-A</v>
      </c>
      <c r="B1765" s="164" t="str">
        <f ca="1">IFERROR(__xludf.DUMMYFUNCTION("""COMPUTED_VALUE"""),"QUEZON I")</f>
        <v>QUEZON I</v>
      </c>
      <c r="C1765" s="164" t="str">
        <f ca="1">IFERROR(__xludf.DUMMYFUNCTION("""COMPUTED_VALUE"""),"A3 PRINTER (BROTHER)")</f>
        <v>A3 PRINTER (BROTHER)</v>
      </c>
      <c r="D1765" s="164" t="str">
        <f ca="1">IFERROR(__xludf.DUMMYFUNCTION("""COMPUTED_VALUE"""),"₱ 33,508.00")</f>
        <v>₱ 33,508.00</v>
      </c>
      <c r="E1765" s="164" t="str">
        <f ca="1">IFERROR(__xludf.DUMMYFUNCTION("""COMPUTED_VALUE"""),"₱-")</f>
        <v>₱-</v>
      </c>
      <c r="F1765" s="164" t="str">
        <f ca="1">IFERROR(__xludf.DUMMYFUNCTION("""COMPUTED_VALUE"""),"HV-SPLIT-102-24-05-04-050")</f>
        <v>HV-SPLIT-102-24-05-04-050</v>
      </c>
      <c r="G1765" s="164" t="str">
        <f ca="1">IFERROR(__xludf.DUMMYFUNCTION("""COMPUTED_VALUE"""),"E78947K3H658271")</f>
        <v>E78947K3H658271</v>
      </c>
      <c r="H1765" s="164" t="str">
        <f ca="1">IFERROR(__xludf.DUMMYFUNCTION("""COMPUTED_VALUE"""),"ODETTE F. MUROS")</f>
        <v>ODETTE F. MUROS</v>
      </c>
      <c r="I1765" s="164" t="str">
        <f ca="1">IFERROR(__xludf.DUMMYFUNCTION("""COMPUTED_VALUE"""),"Administrative and Finance Officer/ CBTA for Implementers")</f>
        <v>Administrative and Finance Officer/ CBTA for Implementers</v>
      </c>
      <c r="J1765" s="164" t="str">
        <f ca="1">IFERROR(__xludf.DUMMYFUNCTION("""COMPUTED_VALUE"""),"2024-04-004")</f>
        <v>2024-04-004</v>
      </c>
      <c r="K1765" s="164" t="str">
        <f ca="1">IFERROR(__xludf.DUMMYFUNCTION("""COMPUTED_VALUE"""),"ODETTE F. MUROS")</f>
        <v>ODETTE F. MUROS</v>
      </c>
      <c r="L1765" s="164" t="str">
        <f ca="1">IFERROR(__xludf.DUMMYFUNCTION("""COMPUTED_VALUE"""),"DARPO QUEZON I")</f>
        <v>DARPO QUEZON I</v>
      </c>
      <c r="M1765" s="164" t="str">
        <f ca="1">IFERROR(__xludf.DUMMYFUNCTION("""COMPUTED_VALUE"""),"SERVICEABLE")</f>
        <v>SERVICEABLE</v>
      </c>
      <c r="N1765" s="164"/>
    </row>
    <row r="1766" spans="1:14" ht="13.2" hidden="1">
      <c r="A1766" s="164" t="str">
        <f ca="1">IFERROR(__xludf.DUMMYFUNCTION("""COMPUTED_VALUE"""),"Region IV-A")</f>
        <v>Region IV-A</v>
      </c>
      <c r="B1766" s="164" t="str">
        <f ca="1">IFERROR(__xludf.DUMMYFUNCTION("""COMPUTED_VALUE"""),"QUEZON II")</f>
        <v>QUEZON II</v>
      </c>
      <c r="C1766" s="164" t="str">
        <f ca="1">IFERROR(__xludf.DUMMYFUNCTION("""COMPUTED_VALUE"""),"A3 PRINTER (BROTHER)")</f>
        <v>A3 PRINTER (BROTHER)</v>
      </c>
      <c r="D1766" s="164" t="str">
        <f ca="1">IFERROR(__xludf.DUMMYFUNCTION("""COMPUTED_VALUE"""),"₱ 33,508.00")</f>
        <v>₱ 33,508.00</v>
      </c>
      <c r="E1766" s="164" t="str">
        <f ca="1">IFERROR(__xludf.DUMMYFUNCTION("""COMPUTED_VALUE"""),"₱-")</f>
        <v>₱-</v>
      </c>
      <c r="F1766" s="164" t="str">
        <f ca="1">IFERROR(__xludf.DUMMYFUNCTION("""COMPUTED_VALUE"""),"HV-SPLIT-102-24-05-04-052")</f>
        <v>HV-SPLIT-102-24-05-04-052</v>
      </c>
      <c r="G1766" s="164" t="str">
        <f ca="1">IFERROR(__xludf.DUMMYFUNCTION("""COMPUTED_VALUE"""),"E78947K3H658410")</f>
        <v>E78947K3H658410</v>
      </c>
      <c r="H1766" s="164" t="str">
        <f ca="1">IFERROR(__xludf.DUMMYFUNCTION("""COMPUTED_VALUE"""),"JOHNSON U. BONIFACIO")</f>
        <v>JOHNSON U. BONIFACIO</v>
      </c>
      <c r="I1766" s="164" t="str">
        <f ca="1">IFERROR(__xludf.DUMMYFUNCTION("""COMPUTED_VALUE"""),"PROCUREMENT OFFICER")</f>
        <v>PROCUREMENT OFFICER</v>
      </c>
      <c r="J1766" s="164" t="str">
        <f ca="1">IFERROR(__xludf.DUMMYFUNCTION("""COMPUTED_VALUE"""),"2024-05-001")</f>
        <v>2024-05-001</v>
      </c>
      <c r="K1766" s="164" t="str">
        <f ca="1">IFERROR(__xludf.DUMMYFUNCTION("""COMPUTED_VALUE"""),"CRIS BRYAN ANGEO")</f>
        <v>CRIS BRYAN ANGEO</v>
      </c>
      <c r="L1766" s="164" t="str">
        <f ca="1">IFERROR(__xludf.DUMMYFUNCTION("""COMPUTED_VALUE"""),"SPLIT OFFICE")</f>
        <v>SPLIT OFFICE</v>
      </c>
      <c r="M1766" s="164" t="str">
        <f ca="1">IFERROR(__xludf.DUMMYFUNCTION("""COMPUTED_VALUE"""),"SERVICEABLE")</f>
        <v>SERVICEABLE</v>
      </c>
      <c r="N1766" s="164"/>
    </row>
    <row r="1767" spans="1:14" ht="13.2" hidden="1">
      <c r="A1767" s="164" t="str">
        <f ca="1">IFERROR(__xludf.DUMMYFUNCTION("""COMPUTED_VALUE"""),"Region IV-A")</f>
        <v>Region IV-A</v>
      </c>
      <c r="B1767" s="164" t="str">
        <f ca="1">IFERROR(__xludf.DUMMYFUNCTION("""COMPUTED_VALUE"""),"RIZAL")</f>
        <v>RIZAL</v>
      </c>
      <c r="C1767" s="164" t="str">
        <f ca="1">IFERROR(__xludf.DUMMYFUNCTION("""COMPUTED_VALUE"""),"A3 PRINTER (BROTHER)")</f>
        <v>A3 PRINTER (BROTHER)</v>
      </c>
      <c r="D1767" s="164" t="str">
        <f ca="1">IFERROR(__xludf.DUMMYFUNCTION("""COMPUTED_VALUE"""),"₱ 33,508.00")</f>
        <v>₱ 33,508.00</v>
      </c>
      <c r="E1767" s="164" t="str">
        <f ca="1">IFERROR(__xludf.DUMMYFUNCTION("""COMPUTED_VALUE"""),"₱-")</f>
        <v>₱-</v>
      </c>
      <c r="F1767" s="164" t="str">
        <f ca="1">IFERROR(__xludf.DUMMYFUNCTION("""COMPUTED_VALUE"""),"HV-SPLIT-102-24-05-04-056")</f>
        <v>HV-SPLIT-102-24-05-04-056</v>
      </c>
      <c r="G1767" s="164" t="str">
        <f ca="1">IFERROR(__xludf.DUMMYFUNCTION("""COMPUTED_VALUE"""),"E78947H3H281845")</f>
        <v>E78947H3H281845</v>
      </c>
      <c r="H1767" s="164" t="str">
        <f ca="1">IFERROR(__xludf.DUMMYFUNCTION("""COMPUTED_VALUE"""),"AMELITA R. CEJAS")</f>
        <v>AMELITA R. CEJAS</v>
      </c>
      <c r="I1767" s="164" t="str">
        <f ca="1">IFERROR(__xludf.DUMMYFUNCTION("""COMPUTED_VALUE"""),"PROJECT BUDGET OFFICER")</f>
        <v>PROJECT BUDGET OFFICER</v>
      </c>
      <c r="J1767" s="164" t="str">
        <f ca="1">IFERROR(__xludf.DUMMYFUNCTION("""COMPUTED_VALUE"""),"2024-SPLIT-01-0001")</f>
        <v>2024-SPLIT-01-0001</v>
      </c>
      <c r="K1767" s="164" t="str">
        <f ca="1">IFERROR(__xludf.DUMMYFUNCTION("""COMPUTED_VALUE"""),"AMELITA R. CEJAS")</f>
        <v>AMELITA R. CEJAS</v>
      </c>
      <c r="L1767" s="164" t="str">
        <f ca="1">IFERROR(__xludf.DUMMYFUNCTION("""COMPUTED_VALUE"""),"STOD")</f>
        <v>STOD</v>
      </c>
      <c r="M1767" s="164" t="str">
        <f ca="1">IFERROR(__xludf.DUMMYFUNCTION("""COMPUTED_VALUE"""),"SERVICEABLE")</f>
        <v>SERVICEABLE</v>
      </c>
      <c r="N1767" s="164"/>
    </row>
    <row r="1768" spans="1:14" ht="13.2" hidden="1">
      <c r="A1768" s="164" t="str">
        <f ca="1">IFERROR(__xludf.DUMMYFUNCTION("""COMPUTED_VALUE"""),"Region IV-A")</f>
        <v>Region IV-A</v>
      </c>
      <c r="B1768" s="164" t="str">
        <f ca="1">IFERROR(__xludf.DUMMYFUNCTION("""COMPUTED_VALUE"""),"REGIONAL OFFICE")</f>
        <v>REGIONAL OFFICE</v>
      </c>
      <c r="C1768" s="164" t="str">
        <f ca="1">IFERROR(__xludf.DUMMYFUNCTION("""COMPUTED_VALUE"""),"ACER TRAVELMATE")</f>
        <v>ACER TRAVELMATE</v>
      </c>
      <c r="D1768" s="164" t="str">
        <f ca="1">IFERROR(__xludf.DUMMYFUNCTION("""COMPUTED_VALUE"""),"₱ 46,580.00")</f>
        <v>₱ 46,580.00</v>
      </c>
      <c r="E1768" s="164" t="str">
        <f ca="1">IFERROR(__xludf.DUMMYFUNCTION("""COMPUTED_VALUE"""),"₱-")</f>
        <v>₱-</v>
      </c>
      <c r="F1768" s="164" t="str">
        <f ca="1">IFERROR(__xludf.DUMMYFUNCTION("""COMPUTED_VALUE"""),"2024-05-03-10202SP-249-01")</f>
        <v>2024-05-03-10202SP-249-01</v>
      </c>
      <c r="G1768" s="164" t="str">
        <f ca="1">IFERROR(__xludf.DUMMYFUNCTION("""COMPUTED_VALUE"""),"NXVXKSP00341913BEF7600")</f>
        <v>NXVXKSP00341913BEF7600</v>
      </c>
      <c r="H1768" s="164" t="str">
        <f ca="1">IFERROR(__xludf.DUMMYFUNCTION("""COMPUTED_VALUE"""),"RAMON S. DAYRIT")</f>
        <v>RAMON S. DAYRIT</v>
      </c>
      <c r="I1768" s="164" t="str">
        <f ca="1">IFERROR(__xludf.DUMMYFUNCTION("""COMPUTED_VALUE"""),"ESS REGIONAL COORDINATOR")</f>
        <v>ESS REGIONAL COORDINATOR</v>
      </c>
      <c r="J1768" s="164" t="str">
        <f ca="1">IFERROR(__xludf.DUMMYFUNCTION("""COMPUTED_VALUE"""),"SP028-2024")</f>
        <v>SP028-2024</v>
      </c>
      <c r="K1768" s="164" t="str">
        <f ca="1">IFERROR(__xludf.DUMMYFUNCTION("""COMPUTED_VALUE"""),"RAMON S. DAYRIT")</f>
        <v>RAMON S. DAYRIT</v>
      </c>
      <c r="L1768" s="164" t="str">
        <f ca="1">IFERROR(__xludf.DUMMYFUNCTION("""COMPUTED_VALUE"""),"FOD")</f>
        <v>FOD</v>
      </c>
      <c r="M1768" s="164" t="str">
        <f ca="1">IFERROR(__xludf.DUMMYFUNCTION("""COMPUTED_VALUE"""),"SERVICEABLE")</f>
        <v>SERVICEABLE</v>
      </c>
      <c r="N1768" s="164"/>
    </row>
    <row r="1769" spans="1:14" ht="13.2" hidden="1">
      <c r="A1769" s="164" t="str">
        <f ca="1">IFERROR(__xludf.DUMMYFUNCTION("""COMPUTED_VALUE"""),"Region IV-A")</f>
        <v>Region IV-A</v>
      </c>
      <c r="B1769" s="164" t="str">
        <f ca="1">IFERROR(__xludf.DUMMYFUNCTION("""COMPUTED_VALUE"""),"REGIONAL OFFICE")</f>
        <v>REGIONAL OFFICE</v>
      </c>
      <c r="C1769" s="164" t="str">
        <f ca="1">IFERROR(__xludf.DUMMYFUNCTION("""COMPUTED_VALUE"""),"Desktop Computer – (MSI PRO DP180)")</f>
        <v>Desktop Computer – (MSI PRO DP180)</v>
      </c>
      <c r="D1769" s="164" t="str">
        <f ca="1">IFERROR(__xludf.DUMMYFUNCTION("""COMPUTED_VALUE"""),"₱ 49,300.00")</f>
        <v>₱ 49,300.00</v>
      </c>
      <c r="E1769" s="164"/>
      <c r="F1769" s="164" t="str">
        <f ca="1">IFERROR(__xludf.DUMMYFUNCTION("""COMPUTED_VALUE"""),"HVSPLIT-102-24-05-01-048")</f>
        <v>HVSPLIT-102-24-05-01-048</v>
      </c>
      <c r="G1769" s="164"/>
      <c r="H1769" s="164" t="str">
        <f ca="1">IFERROR(__xludf.DUMMYFUNCTION("""COMPUTED_VALUE"""),"LEA B. RODIL")</f>
        <v>LEA B. RODIL</v>
      </c>
      <c r="I1769" s="164" t="str">
        <f ca="1">IFERROR(__xludf.DUMMYFUNCTION("""COMPUTED_VALUE"""),"AO IV/Project Procurement Officer")</f>
        <v>AO IV/Project Procurement Officer</v>
      </c>
      <c r="J1769" s="164"/>
      <c r="K1769" s="164" t="str">
        <f ca="1">IFERROR(__xludf.DUMMYFUNCTION("""COMPUTED_VALUE"""),"LEA B. RODIL")</f>
        <v>LEA B. RODIL</v>
      </c>
      <c r="L1769" s="164"/>
      <c r="M1769" s="164" t="str">
        <f ca="1">IFERROR(__xludf.DUMMYFUNCTION("""COMPUTED_VALUE"""),"SERVICEABLE")</f>
        <v>SERVICEABLE</v>
      </c>
      <c r="N1769" s="164"/>
    </row>
    <row r="1770" spans="1:14" ht="13.2" hidden="1">
      <c r="A1770" s="164" t="str">
        <f ca="1">IFERROR(__xludf.DUMMYFUNCTION("""COMPUTED_VALUE"""),"Region IV-A")</f>
        <v>Region IV-A</v>
      </c>
      <c r="B1770" s="164" t="str">
        <f ca="1">IFERROR(__xludf.DUMMYFUNCTION("""COMPUTED_VALUE"""),"REGIONAL OFFICE")</f>
        <v>REGIONAL OFFICE</v>
      </c>
      <c r="C1770" s="164" t="str">
        <f ca="1">IFERROR(__xludf.DUMMYFUNCTION("""COMPUTED_VALUE"""),"Desktop Computer – (MSI PRO DP180)")</f>
        <v>Desktop Computer – (MSI PRO DP180)</v>
      </c>
      <c r="D1770" s="164" t="str">
        <f ca="1">IFERROR(__xludf.DUMMYFUNCTION("""COMPUTED_VALUE"""),"₱ 49,300.00")</f>
        <v>₱ 49,300.00</v>
      </c>
      <c r="E1770" s="164"/>
      <c r="F1770" s="164" t="str">
        <f ca="1">IFERROR(__xludf.DUMMYFUNCTION("""COMPUTED_VALUE"""),"HVSPLIT-102-24-05-01-049")</f>
        <v>HVSPLIT-102-24-05-01-049</v>
      </c>
      <c r="G1770" s="164"/>
      <c r="H1770" s="164" t="str">
        <f ca="1">IFERROR(__xludf.DUMMYFUNCTION("""COMPUTED_VALUE"""),"LEA B. RODIL")</f>
        <v>LEA B. RODIL</v>
      </c>
      <c r="I1770" s="164" t="str">
        <f ca="1">IFERROR(__xludf.DUMMYFUNCTION("""COMPUTED_VALUE"""),"AO IV/Project Procurement Officer")</f>
        <v>AO IV/Project Procurement Officer</v>
      </c>
      <c r="J1770" s="164"/>
      <c r="K1770" s="164" t="str">
        <f ca="1">IFERROR(__xludf.DUMMYFUNCTION("""COMPUTED_VALUE"""),"LEA B. RODIL")</f>
        <v>LEA B. RODIL</v>
      </c>
      <c r="L1770" s="164"/>
      <c r="M1770" s="164" t="str">
        <f ca="1">IFERROR(__xludf.DUMMYFUNCTION("""COMPUTED_VALUE"""),"SERVICEABLE")</f>
        <v>SERVICEABLE</v>
      </c>
      <c r="N1770" s="164"/>
    </row>
    <row r="1771" spans="1:14" ht="13.2" hidden="1">
      <c r="A1771" s="164" t="str">
        <f ca="1">IFERROR(__xludf.DUMMYFUNCTION("""COMPUTED_VALUE"""),"Region IV-A")</f>
        <v>Region IV-A</v>
      </c>
      <c r="B1771" s="164" t="str">
        <f ca="1">IFERROR(__xludf.DUMMYFUNCTION("""COMPUTED_VALUE"""),"REGIONAL OFFICE")</f>
        <v>REGIONAL OFFICE</v>
      </c>
      <c r="C1771" s="164" t="str">
        <f ca="1">IFERROR(__xludf.DUMMYFUNCTION("""COMPUTED_VALUE"""),"Desktop Computer – (MSI PRO DP180)")</f>
        <v>Desktop Computer – (MSI PRO DP180)</v>
      </c>
      <c r="D1771" s="164" t="str">
        <f ca="1">IFERROR(__xludf.DUMMYFUNCTION("""COMPUTED_VALUE"""),"₱ 49,300.00")</f>
        <v>₱ 49,300.00</v>
      </c>
      <c r="E1771" s="164"/>
      <c r="F1771" s="164" t="str">
        <f ca="1">IFERROR(__xludf.DUMMYFUNCTION("""COMPUTED_VALUE"""),"HVSPLIT-102-24-05-01-050")</f>
        <v>HVSPLIT-102-24-05-01-050</v>
      </c>
      <c r="G1771" s="164"/>
      <c r="H1771" s="164" t="str">
        <f ca="1">IFERROR(__xludf.DUMMYFUNCTION("""COMPUTED_VALUE"""),"LEA B. RODIL")</f>
        <v>LEA B. RODIL</v>
      </c>
      <c r="I1771" s="164" t="str">
        <f ca="1">IFERROR(__xludf.DUMMYFUNCTION("""COMPUTED_VALUE"""),"AO IV/Project Procurement Officer")</f>
        <v>AO IV/Project Procurement Officer</v>
      </c>
      <c r="J1771" s="164"/>
      <c r="K1771" s="164" t="str">
        <f ca="1">IFERROR(__xludf.DUMMYFUNCTION("""COMPUTED_VALUE"""),"LEA B. RODIL")</f>
        <v>LEA B. RODIL</v>
      </c>
      <c r="L1771" s="164"/>
      <c r="M1771" s="164" t="str">
        <f ca="1">IFERROR(__xludf.DUMMYFUNCTION("""COMPUTED_VALUE"""),"SERVICEABLE")</f>
        <v>SERVICEABLE</v>
      </c>
      <c r="N1771" s="164"/>
    </row>
    <row r="1772" spans="1:14" ht="13.2" hidden="1">
      <c r="A1772" s="164" t="str">
        <f ca="1">IFERROR(__xludf.DUMMYFUNCTION("""COMPUTED_VALUE"""),"Region IV-A")</f>
        <v>Region IV-A</v>
      </c>
      <c r="B1772" s="164" t="str">
        <f ca="1">IFERROR(__xludf.DUMMYFUNCTION("""COMPUTED_VALUE"""),"REGIONAL OFFICE")</f>
        <v>REGIONAL OFFICE</v>
      </c>
      <c r="C1772" s="164" t="str">
        <f ca="1">IFERROR(__xludf.DUMMYFUNCTION("""COMPUTED_VALUE"""),"Desktop Computer – (MSI PRO DP180)")</f>
        <v>Desktop Computer – (MSI PRO DP180)</v>
      </c>
      <c r="D1772" s="164" t="str">
        <f ca="1">IFERROR(__xludf.DUMMYFUNCTION("""COMPUTED_VALUE"""),"₱ 49,300.00")</f>
        <v>₱ 49,300.00</v>
      </c>
      <c r="E1772" s="164"/>
      <c r="F1772" s="164" t="str">
        <f ca="1">IFERROR(__xludf.DUMMYFUNCTION("""COMPUTED_VALUE"""),"HVSPLIT-102-24-05-01-051")</f>
        <v>HVSPLIT-102-24-05-01-051</v>
      </c>
      <c r="G1772" s="164"/>
      <c r="H1772" s="164" t="str">
        <f ca="1">IFERROR(__xludf.DUMMYFUNCTION("""COMPUTED_VALUE"""),"LEA B. RODIL")</f>
        <v>LEA B. RODIL</v>
      </c>
      <c r="I1772" s="164" t="str">
        <f ca="1">IFERROR(__xludf.DUMMYFUNCTION("""COMPUTED_VALUE"""),"AO IV/Project Procurement Officer")</f>
        <v>AO IV/Project Procurement Officer</v>
      </c>
      <c r="J1772" s="164"/>
      <c r="K1772" s="164" t="str">
        <f ca="1">IFERROR(__xludf.DUMMYFUNCTION("""COMPUTED_VALUE"""),"LEA B. RODIL")</f>
        <v>LEA B. RODIL</v>
      </c>
      <c r="L1772" s="164"/>
      <c r="M1772" s="164" t="str">
        <f ca="1">IFERROR(__xludf.DUMMYFUNCTION("""COMPUTED_VALUE"""),"SERVICEABLE")</f>
        <v>SERVICEABLE</v>
      </c>
      <c r="N1772" s="164"/>
    </row>
    <row r="1773" spans="1:14" ht="13.2" hidden="1">
      <c r="A1773" s="164" t="str">
        <f ca="1">IFERROR(__xludf.DUMMYFUNCTION("""COMPUTED_VALUE"""),"Region IV-A")</f>
        <v>Region IV-A</v>
      </c>
      <c r="B1773" s="164" t="str">
        <f ca="1">IFERROR(__xludf.DUMMYFUNCTION("""COMPUTED_VALUE"""),"REGIONAL OFFICE")</f>
        <v>REGIONAL OFFICE</v>
      </c>
      <c r="C1773" s="164" t="str">
        <f ca="1">IFERROR(__xludf.DUMMYFUNCTION("""COMPUTED_VALUE"""),"Desktop Computer – (MSI PRO DP180)")</f>
        <v>Desktop Computer – (MSI PRO DP180)</v>
      </c>
      <c r="D1773" s="164" t="str">
        <f ca="1">IFERROR(__xludf.DUMMYFUNCTION("""COMPUTED_VALUE"""),"₱ 49,300.00")</f>
        <v>₱ 49,300.00</v>
      </c>
      <c r="E1773" s="164"/>
      <c r="F1773" s="164" t="str">
        <f ca="1">IFERROR(__xludf.DUMMYFUNCTION("""COMPUTED_VALUE"""),"HVSPLIT-102-24-05-01-052")</f>
        <v>HVSPLIT-102-24-05-01-052</v>
      </c>
      <c r="G1773" s="164"/>
      <c r="H1773" s="164" t="str">
        <f ca="1">IFERROR(__xludf.DUMMYFUNCTION("""COMPUTED_VALUE"""),"LEA B. RODIL")</f>
        <v>LEA B. RODIL</v>
      </c>
      <c r="I1773" s="164" t="str">
        <f ca="1">IFERROR(__xludf.DUMMYFUNCTION("""COMPUTED_VALUE"""),"AO IV/Project Procurement Officer")</f>
        <v>AO IV/Project Procurement Officer</v>
      </c>
      <c r="J1773" s="164"/>
      <c r="K1773" s="164" t="str">
        <f ca="1">IFERROR(__xludf.DUMMYFUNCTION("""COMPUTED_VALUE"""),"LEA B. RODIL")</f>
        <v>LEA B. RODIL</v>
      </c>
      <c r="L1773" s="164"/>
      <c r="M1773" s="164" t="str">
        <f ca="1">IFERROR(__xludf.DUMMYFUNCTION("""COMPUTED_VALUE"""),"SERVICEABLE")</f>
        <v>SERVICEABLE</v>
      </c>
      <c r="N1773" s="164"/>
    </row>
    <row r="1774" spans="1:14" ht="13.2" hidden="1">
      <c r="A1774" s="164" t="str">
        <f ca="1">IFERROR(__xludf.DUMMYFUNCTION("""COMPUTED_VALUE"""),"Region IV-A")</f>
        <v>Region IV-A</v>
      </c>
      <c r="B1774" s="164" t="str">
        <f ca="1">IFERROR(__xludf.DUMMYFUNCTION("""COMPUTED_VALUE"""),"REGIONAL OFFICE")</f>
        <v>REGIONAL OFFICE</v>
      </c>
      <c r="C1774" s="164" t="str">
        <f ca="1">IFERROR(__xludf.DUMMYFUNCTION("""COMPUTED_VALUE"""),"Desktop Computer – (MSI PRO DP180)")</f>
        <v>Desktop Computer – (MSI PRO DP180)</v>
      </c>
      <c r="D1774" s="164" t="str">
        <f ca="1">IFERROR(__xludf.DUMMYFUNCTION("""COMPUTED_VALUE"""),"₱ 49,300.00")</f>
        <v>₱ 49,300.00</v>
      </c>
      <c r="E1774" s="164"/>
      <c r="F1774" s="164" t="str">
        <f ca="1">IFERROR(__xludf.DUMMYFUNCTION("""COMPUTED_VALUE"""),"HVSPLIT-102-24-05-01-053")</f>
        <v>HVSPLIT-102-24-05-01-053</v>
      </c>
      <c r="G1774" s="164"/>
      <c r="H1774" s="164" t="str">
        <f ca="1">IFERROR(__xludf.DUMMYFUNCTION("""COMPUTED_VALUE"""),"LEA B. RODIL")</f>
        <v>LEA B. RODIL</v>
      </c>
      <c r="I1774" s="164" t="str">
        <f ca="1">IFERROR(__xludf.DUMMYFUNCTION("""COMPUTED_VALUE"""),"AO IV/Project Procurement Officer")</f>
        <v>AO IV/Project Procurement Officer</v>
      </c>
      <c r="J1774" s="164"/>
      <c r="K1774" s="164" t="str">
        <f ca="1">IFERROR(__xludf.DUMMYFUNCTION("""COMPUTED_VALUE"""),"LEA B. RODIL")</f>
        <v>LEA B. RODIL</v>
      </c>
      <c r="L1774" s="164"/>
      <c r="M1774" s="164" t="str">
        <f ca="1">IFERROR(__xludf.DUMMYFUNCTION("""COMPUTED_VALUE"""),"SERVICEABLE")</f>
        <v>SERVICEABLE</v>
      </c>
      <c r="N1774" s="164"/>
    </row>
    <row r="1775" spans="1:14" ht="13.2" hidden="1">
      <c r="A1775" s="164" t="str">
        <f ca="1">IFERROR(__xludf.DUMMYFUNCTION("""COMPUTED_VALUE"""),"Region IV-A")</f>
        <v>Region IV-A</v>
      </c>
      <c r="B1775" s="164" t="str">
        <f ca="1">IFERROR(__xludf.DUMMYFUNCTION("""COMPUTED_VALUE"""),"REGIONAL OFFICE")</f>
        <v>REGIONAL OFFICE</v>
      </c>
      <c r="C1775" s="164" t="str">
        <f ca="1">IFERROR(__xludf.DUMMYFUNCTION("""COMPUTED_VALUE"""),"Desktop Computer – (MSI PRO DP180)")</f>
        <v>Desktop Computer – (MSI PRO DP180)</v>
      </c>
      <c r="D1775" s="164" t="str">
        <f ca="1">IFERROR(__xludf.DUMMYFUNCTION("""COMPUTED_VALUE"""),"₱ 49,300.00")</f>
        <v>₱ 49,300.00</v>
      </c>
      <c r="E1775" s="164"/>
      <c r="F1775" s="164" t="str">
        <f ca="1">IFERROR(__xludf.DUMMYFUNCTION("""COMPUTED_VALUE"""),"HVSPLIT-102-24-05-01-171")</f>
        <v>HVSPLIT-102-24-05-01-171</v>
      </c>
      <c r="G1775" s="164"/>
      <c r="H1775" s="164" t="str">
        <f ca="1">IFERROR(__xludf.DUMMYFUNCTION("""COMPUTED_VALUE"""),"LEA B. RODIL")</f>
        <v>LEA B. RODIL</v>
      </c>
      <c r="I1775" s="164" t="str">
        <f ca="1">IFERROR(__xludf.DUMMYFUNCTION("""COMPUTED_VALUE"""),"AO IV/Project Procurement Officer")</f>
        <v>AO IV/Project Procurement Officer</v>
      </c>
      <c r="J1775" s="164"/>
      <c r="K1775" s="164" t="str">
        <f ca="1">IFERROR(__xludf.DUMMYFUNCTION("""COMPUTED_VALUE"""),"LEA B. RODIL")</f>
        <v>LEA B. RODIL</v>
      </c>
      <c r="L1775" s="164"/>
      <c r="M1775" s="164" t="str">
        <f ca="1">IFERROR(__xludf.DUMMYFUNCTION("""COMPUTED_VALUE"""),"SERVICEABLE")</f>
        <v>SERVICEABLE</v>
      </c>
      <c r="N1775" s="164"/>
    </row>
    <row r="1776" spans="1:14" ht="13.2" hidden="1">
      <c r="A1776" s="164" t="str">
        <f ca="1">IFERROR(__xludf.DUMMYFUNCTION("""COMPUTED_VALUE"""),"Region IV-A")</f>
        <v>Region IV-A</v>
      </c>
      <c r="B1776" s="164" t="str">
        <f ca="1">IFERROR(__xludf.DUMMYFUNCTION("""COMPUTED_VALUE"""),"REGIONAL OFFICE")</f>
        <v>REGIONAL OFFICE</v>
      </c>
      <c r="C1776" s="164" t="str">
        <f ca="1">IFERROR(__xludf.DUMMYFUNCTION("""COMPUTED_VALUE"""),"Desktop Computer – (MSI PRO DP180)")</f>
        <v>Desktop Computer – (MSI PRO DP180)</v>
      </c>
      <c r="D1776" s="164" t="str">
        <f ca="1">IFERROR(__xludf.DUMMYFUNCTION("""COMPUTED_VALUE"""),"₱ 49,300.00")</f>
        <v>₱ 49,300.00</v>
      </c>
      <c r="E1776" s="164"/>
      <c r="F1776" s="164" t="str">
        <f ca="1">IFERROR(__xludf.DUMMYFUNCTION("""COMPUTED_VALUE"""),"HVSPLIT-102-24-05-01-275")</f>
        <v>HVSPLIT-102-24-05-01-275</v>
      </c>
      <c r="G1776" s="164"/>
      <c r="H1776" s="164" t="str">
        <f ca="1">IFERROR(__xludf.DUMMYFUNCTION("""COMPUTED_VALUE"""),"LEA B. RODIL")</f>
        <v>LEA B. RODIL</v>
      </c>
      <c r="I1776" s="164" t="str">
        <f ca="1">IFERROR(__xludf.DUMMYFUNCTION("""COMPUTED_VALUE"""),"AO IV/Project Procurement Officer")</f>
        <v>AO IV/Project Procurement Officer</v>
      </c>
      <c r="J1776" s="164"/>
      <c r="K1776" s="164" t="str">
        <f ca="1">IFERROR(__xludf.DUMMYFUNCTION("""COMPUTED_VALUE"""),"LEA B. RODIL")</f>
        <v>LEA B. RODIL</v>
      </c>
      <c r="L1776" s="164"/>
      <c r="M1776" s="164" t="str">
        <f ca="1">IFERROR(__xludf.DUMMYFUNCTION("""COMPUTED_VALUE"""),"SERVICEABLE")</f>
        <v>SERVICEABLE</v>
      </c>
      <c r="N1776" s="164"/>
    </row>
    <row r="1777" spans="1:14" ht="13.2" hidden="1">
      <c r="A1777" s="164" t="str">
        <f ca="1">IFERROR(__xludf.DUMMYFUNCTION("""COMPUTED_VALUE"""),"Region IV-A")</f>
        <v>Region IV-A</v>
      </c>
      <c r="B1777" s="164" t="str">
        <f ca="1">IFERROR(__xludf.DUMMYFUNCTION("""COMPUTED_VALUE"""),"REGIONAL OFFICE")</f>
        <v>REGIONAL OFFICE</v>
      </c>
      <c r="C1777" s="164" t="str">
        <f ca="1">IFERROR(__xludf.DUMMYFUNCTION("""COMPUTED_VALUE"""),"Desktop Computer – (MSI PRO DP180)")</f>
        <v>Desktop Computer – (MSI PRO DP180)</v>
      </c>
      <c r="D1777" s="164" t="str">
        <f ca="1">IFERROR(__xludf.DUMMYFUNCTION("""COMPUTED_VALUE"""),"₱ 49,300.00")</f>
        <v>₱ 49,300.00</v>
      </c>
      <c r="E1777" s="164"/>
      <c r="F1777" s="164" t="str">
        <f ca="1">IFERROR(__xludf.DUMMYFUNCTION("""COMPUTED_VALUE"""),"HVSPLIT-102-24-05-01-276")</f>
        <v>HVSPLIT-102-24-05-01-276</v>
      </c>
      <c r="G1777" s="164"/>
      <c r="H1777" s="164" t="str">
        <f ca="1">IFERROR(__xludf.DUMMYFUNCTION("""COMPUTED_VALUE"""),"LEA B. RODIL")</f>
        <v>LEA B. RODIL</v>
      </c>
      <c r="I1777" s="164" t="str">
        <f ca="1">IFERROR(__xludf.DUMMYFUNCTION("""COMPUTED_VALUE"""),"AO IV/Project Procurement Officer")</f>
        <v>AO IV/Project Procurement Officer</v>
      </c>
      <c r="J1777" s="164"/>
      <c r="K1777" s="164" t="str">
        <f ca="1">IFERROR(__xludf.DUMMYFUNCTION("""COMPUTED_VALUE"""),"LEA B. RODIL")</f>
        <v>LEA B. RODIL</v>
      </c>
      <c r="L1777" s="164"/>
      <c r="M1777" s="164" t="str">
        <f ca="1">IFERROR(__xludf.DUMMYFUNCTION("""COMPUTED_VALUE"""),"SERVICEABLE")</f>
        <v>SERVICEABLE</v>
      </c>
      <c r="N1777" s="164"/>
    </row>
    <row r="1778" spans="1:14" ht="13.2" hidden="1">
      <c r="A1778" s="164" t="str">
        <f ca="1">IFERROR(__xludf.DUMMYFUNCTION("""COMPUTED_VALUE"""),"Region IV-A")</f>
        <v>Region IV-A</v>
      </c>
      <c r="B1778" s="164" t="str">
        <f ca="1">IFERROR(__xludf.DUMMYFUNCTION("""COMPUTED_VALUE"""),"REGIONAL OFFICE")</f>
        <v>REGIONAL OFFICE</v>
      </c>
      <c r="C1778" s="164" t="str">
        <f ca="1">IFERROR(__xludf.DUMMYFUNCTION("""COMPUTED_VALUE"""),"Desktop Computer – (MSI PRO DP180)")</f>
        <v>Desktop Computer – (MSI PRO DP180)</v>
      </c>
      <c r="D1778" s="164" t="str">
        <f ca="1">IFERROR(__xludf.DUMMYFUNCTION("""COMPUTED_VALUE"""),"₱ 49,300.00")</f>
        <v>₱ 49,300.00</v>
      </c>
      <c r="E1778" s="164"/>
      <c r="F1778" s="164" t="str">
        <f ca="1">IFERROR(__xludf.DUMMYFUNCTION("""COMPUTED_VALUE"""),"HVSPLIT-102-24-05-01-277")</f>
        <v>HVSPLIT-102-24-05-01-277</v>
      </c>
      <c r="G1778" s="164"/>
      <c r="H1778" s="164" t="str">
        <f ca="1">IFERROR(__xludf.DUMMYFUNCTION("""COMPUTED_VALUE"""),"LEA B. RODIL")</f>
        <v>LEA B. RODIL</v>
      </c>
      <c r="I1778" s="164" t="str">
        <f ca="1">IFERROR(__xludf.DUMMYFUNCTION("""COMPUTED_VALUE"""),"AO IV/Project Procurement Officer")</f>
        <v>AO IV/Project Procurement Officer</v>
      </c>
      <c r="J1778" s="164"/>
      <c r="K1778" s="164" t="str">
        <f ca="1">IFERROR(__xludf.DUMMYFUNCTION("""COMPUTED_VALUE"""),"LEA B. RODIL")</f>
        <v>LEA B. RODIL</v>
      </c>
      <c r="L1778" s="164"/>
      <c r="M1778" s="164" t="str">
        <f ca="1">IFERROR(__xludf.DUMMYFUNCTION("""COMPUTED_VALUE"""),"SERVICEABLE")</f>
        <v>SERVICEABLE</v>
      </c>
      <c r="N1778" s="164"/>
    </row>
    <row r="1779" spans="1:14" ht="13.2" hidden="1">
      <c r="A1779" s="164" t="str">
        <f ca="1">IFERROR(__xludf.DUMMYFUNCTION("""COMPUTED_VALUE"""),"Region IV-A")</f>
        <v>Region IV-A</v>
      </c>
      <c r="B1779" s="164" t="str">
        <f ca="1">IFERROR(__xludf.DUMMYFUNCTION("""COMPUTED_VALUE"""),"REGIONAL OFFICE")</f>
        <v>REGIONAL OFFICE</v>
      </c>
      <c r="C1779" s="164" t="str">
        <f ca="1">IFERROR(__xludf.DUMMYFUNCTION("""COMPUTED_VALUE"""),"Desktop Computer – (MSI PRO DP180)")</f>
        <v>Desktop Computer – (MSI PRO DP180)</v>
      </c>
      <c r="D1779" s="164" t="str">
        <f ca="1">IFERROR(__xludf.DUMMYFUNCTION("""COMPUTED_VALUE"""),"₱ 49,300.00")</f>
        <v>₱ 49,300.00</v>
      </c>
      <c r="E1779" s="164"/>
      <c r="F1779" s="164" t="str">
        <f ca="1">IFERROR(__xludf.DUMMYFUNCTION("""COMPUTED_VALUE"""),"HVSPLIT-102-24-05-01-278")</f>
        <v>HVSPLIT-102-24-05-01-278</v>
      </c>
      <c r="G1779" s="164"/>
      <c r="H1779" s="164" t="str">
        <f ca="1">IFERROR(__xludf.DUMMYFUNCTION("""COMPUTED_VALUE"""),"LEA B. RODIL")</f>
        <v>LEA B. RODIL</v>
      </c>
      <c r="I1779" s="164" t="str">
        <f ca="1">IFERROR(__xludf.DUMMYFUNCTION("""COMPUTED_VALUE"""),"AO IV/Project Procurement Officer")</f>
        <v>AO IV/Project Procurement Officer</v>
      </c>
      <c r="J1779" s="164"/>
      <c r="K1779" s="164" t="str">
        <f ca="1">IFERROR(__xludf.DUMMYFUNCTION("""COMPUTED_VALUE"""),"LEA B. RODIL")</f>
        <v>LEA B. RODIL</v>
      </c>
      <c r="L1779" s="164"/>
      <c r="M1779" s="164" t="str">
        <f ca="1">IFERROR(__xludf.DUMMYFUNCTION("""COMPUTED_VALUE"""),"SERVICEABLE")</f>
        <v>SERVICEABLE</v>
      </c>
      <c r="N1779" s="164"/>
    </row>
    <row r="1780" spans="1:14" ht="13.2" hidden="1">
      <c r="A1780" s="164" t="str">
        <f ca="1">IFERROR(__xludf.DUMMYFUNCTION("""COMPUTED_VALUE"""),"Region IV-A")</f>
        <v>Region IV-A</v>
      </c>
      <c r="B1780" s="164" t="str">
        <f ca="1">IFERROR(__xludf.DUMMYFUNCTION("""COMPUTED_VALUE"""),"REGIONAL OFFICE")</f>
        <v>REGIONAL OFFICE</v>
      </c>
      <c r="C1780" s="164" t="str">
        <f ca="1">IFERROR(__xludf.DUMMYFUNCTION("""COMPUTED_VALUE"""),"Desktop Computer – (MSI PRO DP180)")</f>
        <v>Desktop Computer – (MSI PRO DP180)</v>
      </c>
      <c r="D1780" s="164" t="str">
        <f ca="1">IFERROR(__xludf.DUMMYFUNCTION("""COMPUTED_VALUE"""),"₱ 49,300.00")</f>
        <v>₱ 49,300.00</v>
      </c>
      <c r="E1780" s="164"/>
      <c r="F1780" s="164" t="str">
        <f ca="1">IFERROR(__xludf.DUMMYFUNCTION("""COMPUTED_VALUE"""),"HVSPLIT-102-24-05-01-279")</f>
        <v>HVSPLIT-102-24-05-01-279</v>
      </c>
      <c r="G1780" s="164"/>
      <c r="H1780" s="164" t="str">
        <f ca="1">IFERROR(__xludf.DUMMYFUNCTION("""COMPUTED_VALUE"""),"LEA B. RODIL")</f>
        <v>LEA B. RODIL</v>
      </c>
      <c r="I1780" s="164" t="str">
        <f ca="1">IFERROR(__xludf.DUMMYFUNCTION("""COMPUTED_VALUE"""),"AO IV/Project Procurement Officer")</f>
        <v>AO IV/Project Procurement Officer</v>
      </c>
      <c r="J1780" s="164"/>
      <c r="K1780" s="164" t="str">
        <f ca="1">IFERROR(__xludf.DUMMYFUNCTION("""COMPUTED_VALUE"""),"LEA B. RODIL")</f>
        <v>LEA B. RODIL</v>
      </c>
      <c r="L1780" s="164"/>
      <c r="M1780" s="164" t="str">
        <f ca="1">IFERROR(__xludf.DUMMYFUNCTION("""COMPUTED_VALUE"""),"SERVICEABLE")</f>
        <v>SERVICEABLE</v>
      </c>
      <c r="N1780" s="164"/>
    </row>
    <row r="1781" spans="1:14" ht="13.2" hidden="1">
      <c r="A1781" s="164" t="str">
        <f ca="1">IFERROR(__xludf.DUMMYFUNCTION("""COMPUTED_VALUE"""),"Region IV-A")</f>
        <v>Region IV-A</v>
      </c>
      <c r="B1781" s="164" t="str">
        <f ca="1">IFERROR(__xludf.DUMMYFUNCTION("""COMPUTED_VALUE"""),"REGIONAL OFFICE")</f>
        <v>REGIONAL OFFICE</v>
      </c>
      <c r="C1781" s="164" t="str">
        <f ca="1">IFERROR(__xludf.DUMMYFUNCTION("""COMPUTED_VALUE"""),"Desktop Computer – (MSI PRO DP180)")</f>
        <v>Desktop Computer – (MSI PRO DP180)</v>
      </c>
      <c r="D1781" s="164" t="str">
        <f ca="1">IFERROR(__xludf.DUMMYFUNCTION("""COMPUTED_VALUE"""),"₱ 49,300.00")</f>
        <v>₱ 49,300.00</v>
      </c>
      <c r="E1781" s="164"/>
      <c r="F1781" s="164" t="str">
        <f ca="1">IFERROR(__xludf.DUMMYFUNCTION("""COMPUTED_VALUE"""),"HVSPLIT-102-24-05-01-280")</f>
        <v>HVSPLIT-102-24-05-01-280</v>
      </c>
      <c r="G1781" s="164"/>
      <c r="H1781" s="164" t="str">
        <f ca="1">IFERROR(__xludf.DUMMYFUNCTION("""COMPUTED_VALUE"""),"LEA B. RODIL")</f>
        <v>LEA B. RODIL</v>
      </c>
      <c r="I1781" s="164" t="str">
        <f ca="1">IFERROR(__xludf.DUMMYFUNCTION("""COMPUTED_VALUE"""),"AO IV/Project Procurement Officer")</f>
        <v>AO IV/Project Procurement Officer</v>
      </c>
      <c r="J1781" s="164"/>
      <c r="K1781" s="164" t="str">
        <f ca="1">IFERROR(__xludf.DUMMYFUNCTION("""COMPUTED_VALUE"""),"LEA B. RODIL")</f>
        <v>LEA B. RODIL</v>
      </c>
      <c r="L1781" s="164"/>
      <c r="M1781" s="164" t="str">
        <f ca="1">IFERROR(__xludf.DUMMYFUNCTION("""COMPUTED_VALUE"""),"SERVICEABLE")</f>
        <v>SERVICEABLE</v>
      </c>
      <c r="N1781" s="164"/>
    </row>
    <row r="1782" spans="1:14" ht="13.2" hidden="1">
      <c r="A1782" s="164" t="str">
        <f ca="1">IFERROR(__xludf.DUMMYFUNCTION("""COMPUTED_VALUE"""),"Region IV-A")</f>
        <v>Region IV-A</v>
      </c>
      <c r="B1782" s="164" t="str">
        <f ca="1">IFERROR(__xludf.DUMMYFUNCTION("""COMPUTED_VALUE"""),"REGIONAL OFFICE")</f>
        <v>REGIONAL OFFICE</v>
      </c>
      <c r="C1782" s="164" t="str">
        <f ca="1">IFERROR(__xludf.DUMMYFUNCTION("""COMPUTED_VALUE"""),"Desktop Computer – (MSI PRO DP180)")</f>
        <v>Desktop Computer – (MSI PRO DP180)</v>
      </c>
      <c r="D1782" s="164" t="str">
        <f ca="1">IFERROR(__xludf.DUMMYFUNCTION("""COMPUTED_VALUE"""),"₱ 49,300.00")</f>
        <v>₱ 49,300.00</v>
      </c>
      <c r="E1782" s="164"/>
      <c r="F1782" s="164" t="str">
        <f ca="1">IFERROR(__xludf.DUMMYFUNCTION("""COMPUTED_VALUE"""),"HVSPLIT-102-24-05-01-281")</f>
        <v>HVSPLIT-102-24-05-01-281</v>
      </c>
      <c r="G1782" s="164"/>
      <c r="H1782" s="164" t="str">
        <f ca="1">IFERROR(__xludf.DUMMYFUNCTION("""COMPUTED_VALUE"""),"LEA B. RODIL")</f>
        <v>LEA B. RODIL</v>
      </c>
      <c r="I1782" s="164" t="str">
        <f ca="1">IFERROR(__xludf.DUMMYFUNCTION("""COMPUTED_VALUE"""),"AO IV/Project Procurement Officer")</f>
        <v>AO IV/Project Procurement Officer</v>
      </c>
      <c r="J1782" s="164"/>
      <c r="K1782" s="164" t="str">
        <f ca="1">IFERROR(__xludf.DUMMYFUNCTION("""COMPUTED_VALUE"""),"LEA B. RODIL")</f>
        <v>LEA B. RODIL</v>
      </c>
      <c r="L1782" s="164"/>
      <c r="M1782" s="164" t="str">
        <f ca="1">IFERROR(__xludf.DUMMYFUNCTION("""COMPUTED_VALUE"""),"SERVICEABLE")</f>
        <v>SERVICEABLE</v>
      </c>
      <c r="N1782" s="164"/>
    </row>
    <row r="1783" spans="1:14" ht="13.2" hidden="1">
      <c r="A1783" s="164" t="str">
        <f ca="1">IFERROR(__xludf.DUMMYFUNCTION("""COMPUTED_VALUE"""),"Region IV-A")</f>
        <v>Region IV-A</v>
      </c>
      <c r="B1783" s="164" t="str">
        <f ca="1">IFERROR(__xludf.DUMMYFUNCTION("""COMPUTED_VALUE"""),"REGIONAL OFFICE")</f>
        <v>REGIONAL OFFICE</v>
      </c>
      <c r="C1783" s="164" t="str">
        <f ca="1">IFERROR(__xludf.DUMMYFUNCTION("""COMPUTED_VALUE"""),"Desktop Computer – (MSI PRO DP180)")</f>
        <v>Desktop Computer – (MSI PRO DP180)</v>
      </c>
      <c r="D1783" s="164" t="str">
        <f ca="1">IFERROR(__xludf.DUMMYFUNCTION("""COMPUTED_VALUE"""),"₱ 49,300.00")</f>
        <v>₱ 49,300.00</v>
      </c>
      <c r="E1783" s="164"/>
      <c r="F1783" s="164" t="str">
        <f ca="1">IFERROR(__xludf.DUMMYFUNCTION("""COMPUTED_VALUE"""),"HVSPLIT-102-24-05-01-282")</f>
        <v>HVSPLIT-102-24-05-01-282</v>
      </c>
      <c r="G1783" s="164"/>
      <c r="H1783" s="164" t="str">
        <f ca="1">IFERROR(__xludf.DUMMYFUNCTION("""COMPUTED_VALUE"""),"LEA B. RODIL")</f>
        <v>LEA B. RODIL</v>
      </c>
      <c r="I1783" s="164" t="str">
        <f ca="1">IFERROR(__xludf.DUMMYFUNCTION("""COMPUTED_VALUE"""),"AO IV/Project Procurement Officer")</f>
        <v>AO IV/Project Procurement Officer</v>
      </c>
      <c r="J1783" s="164"/>
      <c r="K1783" s="164" t="str">
        <f ca="1">IFERROR(__xludf.DUMMYFUNCTION("""COMPUTED_VALUE"""),"LEA B. RODIL")</f>
        <v>LEA B. RODIL</v>
      </c>
      <c r="L1783" s="164"/>
      <c r="M1783" s="164" t="str">
        <f ca="1">IFERROR(__xludf.DUMMYFUNCTION("""COMPUTED_VALUE"""),"SERVICEABLE")</f>
        <v>SERVICEABLE</v>
      </c>
      <c r="N1783" s="164"/>
    </row>
    <row r="1784" spans="1:14" ht="13.2" hidden="1">
      <c r="A1784" s="164" t="str">
        <f ca="1">IFERROR(__xludf.DUMMYFUNCTION("""COMPUTED_VALUE"""),"Region IV-A")</f>
        <v>Region IV-A</v>
      </c>
      <c r="B1784" s="164" t="str">
        <f ca="1">IFERROR(__xludf.DUMMYFUNCTION("""COMPUTED_VALUE"""),"REGIONAL OFFICE")</f>
        <v>REGIONAL OFFICE</v>
      </c>
      <c r="C1784" s="164" t="str">
        <f ca="1">IFERROR(__xludf.DUMMYFUNCTION("""COMPUTED_VALUE"""),"Desktop Computer – (MSI PRO DP180)")</f>
        <v>Desktop Computer – (MSI PRO DP180)</v>
      </c>
      <c r="D1784" s="164" t="str">
        <f ca="1">IFERROR(__xludf.DUMMYFUNCTION("""COMPUTED_VALUE"""),"₱ 49,300.00")</f>
        <v>₱ 49,300.00</v>
      </c>
      <c r="E1784" s="164"/>
      <c r="F1784" s="164" t="str">
        <f ca="1">IFERROR(__xludf.DUMMYFUNCTION("""COMPUTED_VALUE"""),"HVSPLIT-102-24-05-01-283")</f>
        <v>HVSPLIT-102-24-05-01-283</v>
      </c>
      <c r="G1784" s="164"/>
      <c r="H1784" s="164" t="str">
        <f ca="1">IFERROR(__xludf.DUMMYFUNCTION("""COMPUTED_VALUE"""),"LEA B. RODIL")</f>
        <v>LEA B. RODIL</v>
      </c>
      <c r="I1784" s="164" t="str">
        <f ca="1">IFERROR(__xludf.DUMMYFUNCTION("""COMPUTED_VALUE"""),"AO IV/Project Procurement Officer")</f>
        <v>AO IV/Project Procurement Officer</v>
      </c>
      <c r="J1784" s="164"/>
      <c r="K1784" s="164" t="str">
        <f ca="1">IFERROR(__xludf.DUMMYFUNCTION("""COMPUTED_VALUE"""),"LEA B. RODIL")</f>
        <v>LEA B. RODIL</v>
      </c>
      <c r="L1784" s="164"/>
      <c r="M1784" s="164" t="str">
        <f ca="1">IFERROR(__xludf.DUMMYFUNCTION("""COMPUTED_VALUE"""),"SERVICEABLE")</f>
        <v>SERVICEABLE</v>
      </c>
      <c r="N1784" s="164"/>
    </row>
    <row r="1785" spans="1:14" ht="13.2" hidden="1">
      <c r="A1785" s="164" t="str">
        <f ca="1">IFERROR(__xludf.DUMMYFUNCTION("""COMPUTED_VALUE"""),"Region IV-A")</f>
        <v>Region IV-A</v>
      </c>
      <c r="B1785" s="164" t="str">
        <f ca="1">IFERROR(__xludf.DUMMYFUNCTION("""COMPUTED_VALUE"""),"REGIONAL OFFICE")</f>
        <v>REGIONAL OFFICE</v>
      </c>
      <c r="C1785" s="164" t="str">
        <f ca="1">IFERROR(__xludf.DUMMYFUNCTION("""COMPUTED_VALUE"""),"Desktop Computer – (MSI PRO DP180)")</f>
        <v>Desktop Computer – (MSI PRO DP180)</v>
      </c>
      <c r="D1785" s="164" t="str">
        <f ca="1">IFERROR(__xludf.DUMMYFUNCTION("""COMPUTED_VALUE"""),"₱ 49,300.00")</f>
        <v>₱ 49,300.00</v>
      </c>
      <c r="E1785" s="164"/>
      <c r="F1785" s="164" t="str">
        <f ca="1">IFERROR(__xludf.DUMMYFUNCTION("""COMPUTED_VALUE"""),"HVSPLIT-102-24-05-01-284")</f>
        <v>HVSPLIT-102-24-05-01-284</v>
      </c>
      <c r="G1785" s="164"/>
      <c r="H1785" s="164" t="str">
        <f ca="1">IFERROR(__xludf.DUMMYFUNCTION("""COMPUTED_VALUE"""),"LEA B. RODIL")</f>
        <v>LEA B. RODIL</v>
      </c>
      <c r="I1785" s="164" t="str">
        <f ca="1">IFERROR(__xludf.DUMMYFUNCTION("""COMPUTED_VALUE"""),"AO IV/Project Procurement Officer")</f>
        <v>AO IV/Project Procurement Officer</v>
      </c>
      <c r="J1785" s="164"/>
      <c r="K1785" s="164" t="str">
        <f ca="1">IFERROR(__xludf.DUMMYFUNCTION("""COMPUTED_VALUE"""),"LEA B. RODIL")</f>
        <v>LEA B. RODIL</v>
      </c>
      <c r="L1785" s="164"/>
      <c r="M1785" s="164" t="str">
        <f ca="1">IFERROR(__xludf.DUMMYFUNCTION("""COMPUTED_VALUE"""),"SERVICEABLE")</f>
        <v>SERVICEABLE</v>
      </c>
      <c r="N1785" s="164"/>
    </row>
    <row r="1786" spans="1:14" ht="13.2" hidden="1">
      <c r="A1786" s="164" t="str">
        <f ca="1">IFERROR(__xludf.DUMMYFUNCTION("""COMPUTED_VALUE"""),"Region IV-A")</f>
        <v>Region IV-A</v>
      </c>
      <c r="B1786" s="164" t="str">
        <f ca="1">IFERROR(__xludf.DUMMYFUNCTION("""COMPUTED_VALUE"""),"REGIONAL OFFICE")</f>
        <v>REGIONAL OFFICE</v>
      </c>
      <c r="C1786" s="164" t="str">
        <f ca="1">IFERROR(__xludf.DUMMYFUNCTION("""COMPUTED_VALUE"""),"Desktop Computer – (MSI PRO DP180)")</f>
        <v>Desktop Computer – (MSI PRO DP180)</v>
      </c>
      <c r="D1786" s="164" t="str">
        <f ca="1">IFERROR(__xludf.DUMMYFUNCTION("""COMPUTED_VALUE"""),"₱ 49,300.00")</f>
        <v>₱ 49,300.00</v>
      </c>
      <c r="E1786" s="164"/>
      <c r="F1786" s="164" t="str">
        <f ca="1">IFERROR(__xludf.DUMMYFUNCTION("""COMPUTED_VALUE"""),"HVSPLIT-102-24-05-01-285")</f>
        <v>HVSPLIT-102-24-05-01-285</v>
      </c>
      <c r="G1786" s="164"/>
      <c r="H1786" s="164" t="str">
        <f ca="1">IFERROR(__xludf.DUMMYFUNCTION("""COMPUTED_VALUE"""),"LEA B. RODIL")</f>
        <v>LEA B. RODIL</v>
      </c>
      <c r="I1786" s="164" t="str">
        <f ca="1">IFERROR(__xludf.DUMMYFUNCTION("""COMPUTED_VALUE"""),"AO IV/Project Procurement Officer")</f>
        <v>AO IV/Project Procurement Officer</v>
      </c>
      <c r="J1786" s="164"/>
      <c r="K1786" s="164" t="str">
        <f ca="1">IFERROR(__xludf.DUMMYFUNCTION("""COMPUTED_VALUE"""),"LEA B. RODIL")</f>
        <v>LEA B. RODIL</v>
      </c>
      <c r="L1786" s="164"/>
      <c r="M1786" s="164" t="str">
        <f ca="1">IFERROR(__xludf.DUMMYFUNCTION("""COMPUTED_VALUE"""),"SERVICEABLE")</f>
        <v>SERVICEABLE</v>
      </c>
      <c r="N1786" s="164"/>
    </row>
    <row r="1787" spans="1:14" ht="13.2" hidden="1">
      <c r="A1787" s="164" t="str">
        <f ca="1">IFERROR(__xludf.DUMMYFUNCTION("""COMPUTED_VALUE"""),"Region IV-A")</f>
        <v>Region IV-A</v>
      </c>
      <c r="B1787" s="164" t="str">
        <f ca="1">IFERROR(__xludf.DUMMYFUNCTION("""COMPUTED_VALUE"""),"REGIONAL OFFICE")</f>
        <v>REGIONAL OFFICE</v>
      </c>
      <c r="C1787" s="164" t="str">
        <f ca="1">IFERROR(__xludf.DUMMYFUNCTION("""COMPUTED_VALUE"""),"Desktop Computer – (MSI PRO DP180)")</f>
        <v>Desktop Computer – (MSI PRO DP180)</v>
      </c>
      <c r="D1787" s="164" t="str">
        <f ca="1">IFERROR(__xludf.DUMMYFUNCTION("""COMPUTED_VALUE"""),"₱ 49,300.00")</f>
        <v>₱ 49,300.00</v>
      </c>
      <c r="E1787" s="164"/>
      <c r="F1787" s="164" t="str">
        <f ca="1">IFERROR(__xludf.DUMMYFUNCTION("""COMPUTED_VALUE"""),"HVSPLIT-102-24-05-01-286")</f>
        <v>HVSPLIT-102-24-05-01-286</v>
      </c>
      <c r="G1787" s="164"/>
      <c r="H1787" s="164" t="str">
        <f ca="1">IFERROR(__xludf.DUMMYFUNCTION("""COMPUTED_VALUE"""),"LEA B. RODIL")</f>
        <v>LEA B. RODIL</v>
      </c>
      <c r="I1787" s="164" t="str">
        <f ca="1">IFERROR(__xludf.DUMMYFUNCTION("""COMPUTED_VALUE"""),"AO IV/Project Procurement Officer")</f>
        <v>AO IV/Project Procurement Officer</v>
      </c>
      <c r="J1787" s="164"/>
      <c r="K1787" s="164" t="str">
        <f ca="1">IFERROR(__xludf.DUMMYFUNCTION("""COMPUTED_VALUE"""),"LEA B. RODIL")</f>
        <v>LEA B. RODIL</v>
      </c>
      <c r="L1787" s="164"/>
      <c r="M1787" s="164" t="str">
        <f ca="1">IFERROR(__xludf.DUMMYFUNCTION("""COMPUTED_VALUE"""),"SERVICEABLE")</f>
        <v>SERVICEABLE</v>
      </c>
      <c r="N1787" s="164"/>
    </row>
    <row r="1788" spans="1:14" ht="13.2" hidden="1">
      <c r="A1788" s="164" t="str">
        <f ca="1">IFERROR(__xludf.DUMMYFUNCTION("""COMPUTED_VALUE"""),"Region IV-A")</f>
        <v>Region IV-A</v>
      </c>
      <c r="B1788" s="164" t="str">
        <f ca="1">IFERROR(__xludf.DUMMYFUNCTION("""COMPUTED_VALUE"""),"REGIONAL OFFICE")</f>
        <v>REGIONAL OFFICE</v>
      </c>
      <c r="C1788" s="164" t="str">
        <f ca="1">IFERROR(__xludf.DUMMYFUNCTION("""COMPUTED_VALUE"""),"Desktop Computer – (MSI PRO DP180)")</f>
        <v>Desktop Computer – (MSI PRO DP180)</v>
      </c>
      <c r="D1788" s="164" t="str">
        <f ca="1">IFERROR(__xludf.DUMMYFUNCTION("""COMPUTED_VALUE"""),"₱ 49,300.00")</f>
        <v>₱ 49,300.00</v>
      </c>
      <c r="E1788" s="164"/>
      <c r="F1788" s="164" t="str">
        <f ca="1">IFERROR(__xludf.DUMMYFUNCTION("""COMPUTED_VALUE"""),"HVSPLIT-102-24-05-01-287")</f>
        <v>HVSPLIT-102-24-05-01-287</v>
      </c>
      <c r="G1788" s="164"/>
      <c r="H1788" s="164" t="str">
        <f ca="1">IFERROR(__xludf.DUMMYFUNCTION("""COMPUTED_VALUE"""),"LEA B. RODIL")</f>
        <v>LEA B. RODIL</v>
      </c>
      <c r="I1788" s="164" t="str">
        <f ca="1">IFERROR(__xludf.DUMMYFUNCTION("""COMPUTED_VALUE"""),"AO IV/Project Procurement Officer")</f>
        <v>AO IV/Project Procurement Officer</v>
      </c>
      <c r="J1788" s="164"/>
      <c r="K1788" s="164" t="str">
        <f ca="1">IFERROR(__xludf.DUMMYFUNCTION("""COMPUTED_VALUE"""),"LEA B. RODIL")</f>
        <v>LEA B. RODIL</v>
      </c>
      <c r="L1788" s="164"/>
      <c r="M1788" s="164" t="str">
        <f ca="1">IFERROR(__xludf.DUMMYFUNCTION("""COMPUTED_VALUE"""),"SERVICEABLE")</f>
        <v>SERVICEABLE</v>
      </c>
      <c r="N1788" s="164"/>
    </row>
    <row r="1789" spans="1:14" ht="13.2" hidden="1">
      <c r="A1789" s="164" t="str">
        <f ca="1">IFERROR(__xludf.DUMMYFUNCTION("""COMPUTED_VALUE"""),"Region IV-A")</f>
        <v>Region IV-A</v>
      </c>
      <c r="B1789" s="164" t="str">
        <f ca="1">IFERROR(__xludf.DUMMYFUNCTION("""COMPUTED_VALUE"""),"REGIONAL OFFICE")</f>
        <v>REGIONAL OFFICE</v>
      </c>
      <c r="C1789" s="164" t="str">
        <f ca="1">IFERROR(__xludf.DUMMYFUNCTION("""COMPUTED_VALUE"""),"Desktop Computer – (MSI PRO DP180)")</f>
        <v>Desktop Computer – (MSI PRO DP180)</v>
      </c>
      <c r="D1789" s="164" t="str">
        <f ca="1">IFERROR(__xludf.DUMMYFUNCTION("""COMPUTED_VALUE"""),"₱ 49,300.00")</f>
        <v>₱ 49,300.00</v>
      </c>
      <c r="E1789" s="164"/>
      <c r="F1789" s="164" t="str">
        <f ca="1">IFERROR(__xludf.DUMMYFUNCTION("""COMPUTED_VALUE"""),"HVSPLIT-102-24-05-01-288")</f>
        <v>HVSPLIT-102-24-05-01-288</v>
      </c>
      <c r="G1789" s="164"/>
      <c r="H1789" s="164" t="str">
        <f ca="1">IFERROR(__xludf.DUMMYFUNCTION("""COMPUTED_VALUE"""),"LEA B. RODIL")</f>
        <v>LEA B. RODIL</v>
      </c>
      <c r="I1789" s="164" t="str">
        <f ca="1">IFERROR(__xludf.DUMMYFUNCTION("""COMPUTED_VALUE"""),"AO IV/Project Procurement Officer")</f>
        <v>AO IV/Project Procurement Officer</v>
      </c>
      <c r="J1789" s="164"/>
      <c r="K1789" s="164" t="str">
        <f ca="1">IFERROR(__xludf.DUMMYFUNCTION("""COMPUTED_VALUE"""),"LEA B. RODIL")</f>
        <v>LEA B. RODIL</v>
      </c>
      <c r="L1789" s="164"/>
      <c r="M1789" s="164" t="str">
        <f ca="1">IFERROR(__xludf.DUMMYFUNCTION("""COMPUTED_VALUE"""),"SERVICEABLE")</f>
        <v>SERVICEABLE</v>
      </c>
      <c r="N1789" s="164"/>
    </row>
    <row r="1790" spans="1:14" ht="13.2" hidden="1">
      <c r="A1790" s="164" t="str">
        <f ca="1">IFERROR(__xludf.DUMMYFUNCTION("""COMPUTED_VALUE"""),"Region IV-A")</f>
        <v>Region IV-A</v>
      </c>
      <c r="B1790" s="164" t="str">
        <f ca="1">IFERROR(__xludf.DUMMYFUNCTION("""COMPUTED_VALUE"""),"REGIONAL OFFICE")</f>
        <v>REGIONAL OFFICE</v>
      </c>
      <c r="C1790" s="164" t="str">
        <f ca="1">IFERROR(__xludf.DUMMYFUNCTION("""COMPUTED_VALUE"""),"Desktop Computer – (MSI PRO DP180)")</f>
        <v>Desktop Computer – (MSI PRO DP180)</v>
      </c>
      <c r="D1790" s="164" t="str">
        <f ca="1">IFERROR(__xludf.DUMMYFUNCTION("""COMPUTED_VALUE"""),"₱ 49,300.00")</f>
        <v>₱ 49,300.00</v>
      </c>
      <c r="E1790" s="164"/>
      <c r="F1790" s="164" t="str">
        <f ca="1">IFERROR(__xludf.DUMMYFUNCTION("""COMPUTED_VALUE"""),"HVSPLIT-102-24-05-01-289")</f>
        <v>HVSPLIT-102-24-05-01-289</v>
      </c>
      <c r="G1790" s="164"/>
      <c r="H1790" s="164" t="str">
        <f ca="1">IFERROR(__xludf.DUMMYFUNCTION("""COMPUTED_VALUE"""),"LEA B. RODIL")</f>
        <v>LEA B. RODIL</v>
      </c>
      <c r="I1790" s="164" t="str">
        <f ca="1">IFERROR(__xludf.DUMMYFUNCTION("""COMPUTED_VALUE"""),"AO IV/Project Procurement Officer")</f>
        <v>AO IV/Project Procurement Officer</v>
      </c>
      <c r="J1790" s="164"/>
      <c r="K1790" s="164" t="str">
        <f ca="1">IFERROR(__xludf.DUMMYFUNCTION("""COMPUTED_VALUE"""),"LEA B. RODIL")</f>
        <v>LEA B. RODIL</v>
      </c>
      <c r="L1790" s="164"/>
      <c r="M1790" s="164" t="str">
        <f ca="1">IFERROR(__xludf.DUMMYFUNCTION("""COMPUTED_VALUE"""),"SERVICEABLE")</f>
        <v>SERVICEABLE</v>
      </c>
      <c r="N1790" s="164"/>
    </row>
    <row r="1791" spans="1:14" ht="13.2" hidden="1">
      <c r="A1791" s="164" t="str">
        <f ca="1">IFERROR(__xludf.DUMMYFUNCTION("""COMPUTED_VALUE"""),"Region IV-A")</f>
        <v>Region IV-A</v>
      </c>
      <c r="B1791" s="164" t="str">
        <f ca="1">IFERROR(__xludf.DUMMYFUNCTION("""COMPUTED_VALUE"""),"REGIONAL OFFICE")</f>
        <v>REGIONAL OFFICE</v>
      </c>
      <c r="C1791" s="164" t="str">
        <f ca="1">IFERROR(__xludf.DUMMYFUNCTION("""COMPUTED_VALUE"""),"Desktop Computer – (MSI PRO DP180)")</f>
        <v>Desktop Computer – (MSI PRO DP180)</v>
      </c>
      <c r="D1791" s="164" t="str">
        <f ca="1">IFERROR(__xludf.DUMMYFUNCTION("""COMPUTED_VALUE"""),"₱ 49,300.00")</f>
        <v>₱ 49,300.00</v>
      </c>
      <c r="E1791" s="164"/>
      <c r="F1791" s="164" t="str">
        <f ca="1">IFERROR(__xludf.DUMMYFUNCTION("""COMPUTED_VALUE"""),"HVSPLIT-102-24-05-01-290")</f>
        <v>HVSPLIT-102-24-05-01-290</v>
      </c>
      <c r="G1791" s="164"/>
      <c r="H1791" s="164" t="str">
        <f ca="1">IFERROR(__xludf.DUMMYFUNCTION("""COMPUTED_VALUE"""),"LEA B. RODIL")</f>
        <v>LEA B. RODIL</v>
      </c>
      <c r="I1791" s="164" t="str">
        <f ca="1">IFERROR(__xludf.DUMMYFUNCTION("""COMPUTED_VALUE"""),"AO IV/Project Procurement Officer")</f>
        <v>AO IV/Project Procurement Officer</v>
      </c>
      <c r="J1791" s="164"/>
      <c r="K1791" s="164" t="str">
        <f ca="1">IFERROR(__xludf.DUMMYFUNCTION("""COMPUTED_VALUE"""),"LEA B. RODIL")</f>
        <v>LEA B. RODIL</v>
      </c>
      <c r="L1791" s="164"/>
      <c r="M1791" s="164" t="str">
        <f ca="1">IFERROR(__xludf.DUMMYFUNCTION("""COMPUTED_VALUE"""),"SERVICEABLE")</f>
        <v>SERVICEABLE</v>
      </c>
      <c r="N1791" s="164"/>
    </row>
    <row r="1792" spans="1:14" ht="13.2" hidden="1">
      <c r="A1792" s="164" t="str">
        <f ca="1">IFERROR(__xludf.DUMMYFUNCTION("""COMPUTED_VALUE"""),"Region IV-A")</f>
        <v>Region IV-A</v>
      </c>
      <c r="B1792" s="164" t="str">
        <f ca="1">IFERROR(__xludf.DUMMYFUNCTION("""COMPUTED_VALUE"""),"REGIONAL OFFICE")</f>
        <v>REGIONAL OFFICE</v>
      </c>
      <c r="C1792" s="164" t="str">
        <f ca="1">IFERROR(__xludf.DUMMYFUNCTION("""COMPUTED_VALUE"""),"Desktop Computer – (MSI PRO DP180)")</f>
        <v>Desktop Computer – (MSI PRO DP180)</v>
      </c>
      <c r="D1792" s="164" t="str">
        <f ca="1">IFERROR(__xludf.DUMMYFUNCTION("""COMPUTED_VALUE"""),"₱ 49,300.00")</f>
        <v>₱ 49,300.00</v>
      </c>
      <c r="E1792" s="164"/>
      <c r="F1792" s="164" t="str">
        <f ca="1">IFERROR(__xludf.DUMMYFUNCTION("""COMPUTED_VALUE"""),"HVSPLIT-102-24-05-01-165")</f>
        <v>HVSPLIT-102-24-05-01-165</v>
      </c>
      <c r="G1792" s="164"/>
      <c r="H1792" s="164" t="str">
        <f ca="1">IFERROR(__xludf.DUMMYFUNCTION("""COMPUTED_VALUE"""),"LEA B. RODIL")</f>
        <v>LEA B. RODIL</v>
      </c>
      <c r="I1792" s="164" t="str">
        <f ca="1">IFERROR(__xludf.DUMMYFUNCTION("""COMPUTED_VALUE"""),"AO IV/Project Procurement Officer")</f>
        <v>AO IV/Project Procurement Officer</v>
      </c>
      <c r="J1792" s="164"/>
      <c r="K1792" s="164" t="str">
        <f ca="1">IFERROR(__xludf.DUMMYFUNCTION("""COMPUTED_VALUE"""),"LEA B. RODIL")</f>
        <v>LEA B. RODIL</v>
      </c>
      <c r="L1792" s="164"/>
      <c r="M1792" s="164" t="str">
        <f ca="1">IFERROR(__xludf.DUMMYFUNCTION("""COMPUTED_VALUE"""),"SERVICEABLE")</f>
        <v>SERVICEABLE</v>
      </c>
      <c r="N1792" s="164"/>
    </row>
    <row r="1793" spans="1:14" ht="13.2" hidden="1">
      <c r="A1793" s="164" t="str">
        <f ca="1">IFERROR(__xludf.DUMMYFUNCTION("""COMPUTED_VALUE"""),"Region IV-A")</f>
        <v>Region IV-A</v>
      </c>
      <c r="B1793" s="164" t="str">
        <f ca="1">IFERROR(__xludf.DUMMYFUNCTION("""COMPUTED_VALUE"""),"REGIONAL OFFICE")</f>
        <v>REGIONAL OFFICE</v>
      </c>
      <c r="C1793" s="164" t="str">
        <f ca="1">IFERROR(__xludf.DUMMYFUNCTION("""COMPUTED_VALUE"""),"DOUBLE CABIN PICK-UP VEHICLES – MITSUBISHI STRADA")</f>
        <v>DOUBLE CABIN PICK-UP VEHICLES – MITSUBISHI STRADA</v>
      </c>
      <c r="D1793" s="164" t="str">
        <f ca="1">IFERROR(__xludf.DUMMYFUNCTION("""COMPUTED_VALUE"""),"₱ 1,752,400.00")</f>
        <v>₱ 1,752,400.00</v>
      </c>
      <c r="E1793" s="164" t="str">
        <f ca="1">IFERROR(__xludf.DUMMYFUNCTION("""COMPUTED_VALUE"""),"₱ -")</f>
        <v>₱ -</v>
      </c>
      <c r="F1793" s="164" t="str">
        <f ca="1">IFERROR(__xludf.DUMMYFUNCTION("""COMPUTED_VALUE"""),"2023-06-01-1020ISP59-01")</f>
        <v>2023-06-01-1020ISP59-01</v>
      </c>
      <c r="G1793" s="164" t="str">
        <f ca="1">IFERROR(__xludf.DUMMYFUNCTION("""COMPUTED_VALUE"""),"SNC 1099")</f>
        <v>SNC 1099</v>
      </c>
      <c r="H1793" s="164" t="str">
        <f ca="1">IFERROR(__xludf.DUMMYFUNCTION("""COMPUTED_VALUE"""),"DALANGIN CEFERINA S. PAREL")</f>
        <v>DALANGIN CEFERINA S. PAREL</v>
      </c>
      <c r="I1793" s="164" t="str">
        <f ca="1">IFERROR(__xludf.DUMMYFUNCTION("""COMPUTED_VALUE"""),"PARCELIZATION COORDINATOR FOR SPLIT")</f>
        <v>PARCELIZATION COORDINATOR FOR SPLIT</v>
      </c>
      <c r="J1793" s="164" t="str">
        <f ca="1">IFERROR(__xludf.DUMMYFUNCTION("""COMPUTED_VALUE"""),"24-02-001S")</f>
        <v>24-02-001S</v>
      </c>
      <c r="K1793" s="164" t="str">
        <f ca="1">IFERROR(__xludf.DUMMYFUNCTION("""COMPUTED_VALUE"""),"DALANGIN CEFERINA S. PAREL")</f>
        <v>DALANGIN CEFERINA S. PAREL</v>
      </c>
      <c r="L1793" s="164" t="str">
        <f ca="1">IFERROR(__xludf.DUMMYFUNCTION("""COMPUTED_VALUE"""),"DARRO")</f>
        <v>DARRO</v>
      </c>
      <c r="M1793" s="164" t="str">
        <f ca="1">IFERROR(__xludf.DUMMYFUNCTION("""COMPUTED_VALUE"""),"SERVICEABLE")</f>
        <v>SERVICEABLE</v>
      </c>
      <c r="N1793" s="164"/>
    </row>
    <row r="1794" spans="1:14" ht="13.2" hidden="1">
      <c r="A1794" s="164" t="str">
        <f ca="1">IFERROR(__xludf.DUMMYFUNCTION("""COMPUTED_VALUE"""),"Region IV-A")</f>
        <v>Region IV-A</v>
      </c>
      <c r="B1794" s="164" t="str">
        <f ca="1">IFERROR(__xludf.DUMMYFUNCTION("""COMPUTED_VALUE"""),"REGIONAL OFFICE")</f>
        <v>REGIONAL OFFICE</v>
      </c>
      <c r="C1794" s="164" t="str">
        <f ca="1">IFERROR(__xludf.DUMMYFUNCTION("""COMPUTED_VALUE"""),"DOUBLE CABIN PICK-UP VEHICLES – MITSUBISHI STRADA")</f>
        <v>DOUBLE CABIN PICK-UP VEHICLES – MITSUBISHI STRADA</v>
      </c>
      <c r="D1794" s="164" t="str">
        <f ca="1">IFERROR(__xludf.DUMMYFUNCTION("""COMPUTED_VALUE"""),"₱ 1,752,400.00")</f>
        <v>₱ 1,752,400.00</v>
      </c>
      <c r="E1794" s="164" t="str">
        <f ca="1">IFERROR(__xludf.DUMMYFUNCTION("""COMPUTED_VALUE"""),"₱-")</f>
        <v>₱-</v>
      </c>
      <c r="F1794" s="164" t="str">
        <f ca="1">IFERROR(__xludf.DUMMYFUNCTION("""COMPUTED_VALUE"""),"2023-06-01-1020ISP60-01")</f>
        <v>2023-06-01-1020ISP60-01</v>
      </c>
      <c r="G1794" s="164" t="str">
        <f ca="1">IFERROR(__xludf.DUMMYFUNCTION("""COMPUTED_VALUE"""),"SNC 1159")</f>
        <v>SNC 1159</v>
      </c>
      <c r="H1794" s="164" t="str">
        <f ca="1">IFERROR(__xludf.DUMMYFUNCTION("""COMPUTED_VALUE"""),"ATTY. REXIE M. MARISTELA")</f>
        <v>ATTY. REXIE M. MARISTELA</v>
      </c>
      <c r="I1794" s="164" t="str">
        <f ca="1">IFERROR(__xludf.DUMMYFUNCTION("""COMPUTED_VALUE"""),"ARD/ASST. PROJECT MANAGER")</f>
        <v>ARD/ASST. PROJECT MANAGER</v>
      </c>
      <c r="J1794" s="164" t="str">
        <f ca="1">IFERROR(__xludf.DUMMYFUNCTION("""COMPUTED_VALUE"""),"23-09-033S")</f>
        <v>23-09-033S</v>
      </c>
      <c r="K1794" s="164" t="str">
        <f ca="1">IFERROR(__xludf.DUMMYFUNCTION("""COMPUTED_VALUE"""),"ATTY. REXIE M. MARISTELA")</f>
        <v>ATTY. REXIE M. MARISTELA</v>
      </c>
      <c r="L1794" s="164" t="str">
        <f ca="1">IFERROR(__xludf.DUMMYFUNCTION("""COMPUTED_VALUE"""),"DARRO")</f>
        <v>DARRO</v>
      </c>
      <c r="M1794" s="164" t="str">
        <f ca="1">IFERROR(__xludf.DUMMYFUNCTION("""COMPUTED_VALUE"""),"SERVICEABLE")</f>
        <v>SERVICEABLE</v>
      </c>
      <c r="N1794" s="164"/>
    </row>
    <row r="1795" spans="1:14" ht="13.2" hidden="1">
      <c r="A1795" s="164" t="str">
        <f ca="1">IFERROR(__xludf.DUMMYFUNCTION("""COMPUTED_VALUE"""),"Region IV-A")</f>
        <v>Region IV-A</v>
      </c>
      <c r="B1795" s="164" t="str">
        <f ca="1">IFERROR(__xludf.DUMMYFUNCTION("""COMPUTED_VALUE"""),"BATANGAS")</f>
        <v>BATANGAS</v>
      </c>
      <c r="C1795" s="164" t="str">
        <f ca="1">IFERROR(__xludf.DUMMYFUNCTION("""COMPUTED_VALUE"""),"DOUBLE CABIN PICK-UP VEHICLES – MITSUBISHI STRADA")</f>
        <v>DOUBLE CABIN PICK-UP VEHICLES – MITSUBISHI STRADA</v>
      </c>
      <c r="D1795" s="164" t="str">
        <f ca="1">IFERROR(__xludf.DUMMYFUNCTION("""COMPUTED_VALUE"""),"₱ 1,752,400.00")</f>
        <v>₱ 1,752,400.00</v>
      </c>
      <c r="E1795" s="164" t="str">
        <f ca="1">IFERROR(__xludf.DUMMYFUNCTION("""COMPUTED_VALUE"""),"₱-")</f>
        <v>₱-</v>
      </c>
      <c r="F1795" s="164" t="str">
        <f ca="1">IFERROR(__xludf.DUMMYFUNCTION("""COMPUTED_VALUE"""),"2023-06-01-10201SP61-01")</f>
        <v>2023-06-01-10201SP61-01</v>
      </c>
      <c r="G1795" s="164" t="str">
        <f ca="1">IFERROR(__xludf.DUMMYFUNCTION("""COMPUTED_VALUE"""),"SNC 1208")</f>
        <v>SNC 1208</v>
      </c>
      <c r="H1795" s="164" t="str">
        <f ca="1">IFERROR(__xludf.DUMMYFUNCTION("""COMPUTED_VALUE"""),"ABDULLAH L. LINOG.Sh.L.,J.D.")</f>
        <v>ABDULLAH L. LINOG.Sh.L.,J.D.</v>
      </c>
      <c r="I1795" s="164" t="str">
        <f ca="1">IFERROR(__xludf.DUMMYFUNCTION("""COMPUTED_VALUE"""),"PARPO II")</f>
        <v>PARPO II</v>
      </c>
      <c r="J1795" s="164" t="str">
        <f ca="1">IFERROR(__xludf.DUMMYFUNCTION("""COMPUTED_VALUE"""),"SP2024-02-01")</f>
        <v>SP2024-02-01</v>
      </c>
      <c r="K1795" s="164" t="str">
        <f ca="1">IFERROR(__xludf.DUMMYFUNCTION("""COMPUTED_VALUE"""),"ABDULLAH L. LINOG.Sh.L.,J.D.")</f>
        <v>ABDULLAH L. LINOG.Sh.L.,J.D.</v>
      </c>
      <c r="L1795" s="164" t="str">
        <f ca="1">IFERROR(__xludf.DUMMYFUNCTION("""COMPUTED_VALUE"""),"#REF!")</f>
        <v>#REF!</v>
      </c>
      <c r="M1795" s="164" t="str">
        <f ca="1">IFERROR(__xludf.DUMMYFUNCTION("""COMPUTED_VALUE"""),"SERVICEABLE")</f>
        <v>SERVICEABLE</v>
      </c>
      <c r="N1795" s="164"/>
    </row>
    <row r="1796" spans="1:14" ht="13.2" hidden="1">
      <c r="A1796" s="164" t="str">
        <f ca="1">IFERROR(__xludf.DUMMYFUNCTION("""COMPUTED_VALUE"""),"Region IV-A")</f>
        <v>Region IV-A</v>
      </c>
      <c r="B1796" s="164" t="str">
        <f ca="1">IFERROR(__xludf.DUMMYFUNCTION("""COMPUTED_VALUE"""),"CAVITE")</f>
        <v>CAVITE</v>
      </c>
      <c r="C1796" s="164" t="str">
        <f ca="1">IFERROR(__xludf.DUMMYFUNCTION("""COMPUTED_VALUE"""),"DOUBLE CABIN PICK-UP VEHICLES – MITSUBISHI STRADA")</f>
        <v>DOUBLE CABIN PICK-UP VEHICLES – MITSUBISHI STRADA</v>
      </c>
      <c r="D1796" s="164" t="str">
        <f ca="1">IFERROR(__xludf.DUMMYFUNCTION("""COMPUTED_VALUE"""),"₱ 1,752,400.00")</f>
        <v>₱ 1,752,400.00</v>
      </c>
      <c r="E1796" s="164" t="str">
        <f ca="1">IFERROR(__xludf.DUMMYFUNCTION("""COMPUTED_VALUE"""),"₱-")</f>
        <v>₱-</v>
      </c>
      <c r="F1796" s="164" t="str">
        <f ca="1">IFERROR(__xludf.DUMMYFUNCTION("""COMPUTED_VALUE"""),"2023-06-01-1020SP62-01")</f>
        <v>2023-06-01-1020SP62-01</v>
      </c>
      <c r="G1796" s="164" t="str">
        <f ca="1">IFERROR(__xludf.DUMMYFUNCTION("""COMPUTED_VALUE"""),"SNC 1166")</f>
        <v>SNC 1166</v>
      </c>
      <c r="H1796" s="164" t="str">
        <f ca="1">IFERROR(__xludf.DUMMYFUNCTION("""COMPUTED_VALUE"""),"JAMES ARTHUR T. DUBONGCO")</f>
        <v>JAMES ARTHUR T. DUBONGCO</v>
      </c>
      <c r="I1796" s="164" t="str">
        <f ca="1">IFERROR(__xludf.DUMMYFUNCTION("""COMPUTED_VALUE"""),"PARPO II")</f>
        <v>PARPO II</v>
      </c>
      <c r="J1796" s="164" t="str">
        <f ca="1">IFERROR(__xludf.DUMMYFUNCTION("""COMPUTED_VALUE"""),"23-05-03")</f>
        <v>23-05-03</v>
      </c>
      <c r="K1796" s="164" t="str">
        <f ca="1">IFERROR(__xludf.DUMMYFUNCTION("""COMPUTED_VALUE"""),"JAMES ARTHUR T. DUBONGCO")</f>
        <v>JAMES ARTHUR T. DUBONGCO</v>
      </c>
      <c r="L1796" s="164" t="str">
        <f ca="1">IFERROR(__xludf.DUMMYFUNCTION("""COMPUTED_VALUE"""),"DARPO CAVITE")</f>
        <v>DARPO CAVITE</v>
      </c>
      <c r="M1796" s="164" t="str">
        <f ca="1">IFERROR(__xludf.DUMMYFUNCTION("""COMPUTED_VALUE"""),"SERVICEABLE")</f>
        <v>SERVICEABLE</v>
      </c>
      <c r="N1796" s="164"/>
    </row>
    <row r="1797" spans="1:14" ht="13.2" hidden="1">
      <c r="A1797" s="164" t="str">
        <f ca="1">IFERROR(__xludf.DUMMYFUNCTION("""COMPUTED_VALUE"""),"Region IV-A")</f>
        <v>Region IV-A</v>
      </c>
      <c r="B1797" s="164" t="str">
        <f ca="1">IFERROR(__xludf.DUMMYFUNCTION("""COMPUTED_VALUE"""),"LAGUNA")</f>
        <v>LAGUNA</v>
      </c>
      <c r="C1797" s="164" t="str">
        <f ca="1">IFERROR(__xludf.DUMMYFUNCTION("""COMPUTED_VALUE"""),"DOUBLE CABIN PICK-UP VEHICLES – MITSUBISHI STRADA")</f>
        <v>DOUBLE CABIN PICK-UP VEHICLES – MITSUBISHI STRADA</v>
      </c>
      <c r="D1797" s="164" t="str">
        <f ca="1">IFERROR(__xludf.DUMMYFUNCTION("""COMPUTED_VALUE"""),"₱ 1,752,400.00")</f>
        <v>₱ 1,752,400.00</v>
      </c>
      <c r="E1797" s="164" t="str">
        <f ca="1">IFERROR(__xludf.DUMMYFUNCTION("""COMPUTED_VALUE"""),"₱-")</f>
        <v>₱-</v>
      </c>
      <c r="F1797" s="164" t="str">
        <f ca="1">IFERROR(__xludf.DUMMYFUNCTION("""COMPUTED_VALUE"""),"2023-06-01-10201SP63-01")</f>
        <v>2023-06-01-10201SP63-01</v>
      </c>
      <c r="G1797" s="164" t="str">
        <f ca="1">IFERROR(__xludf.DUMMYFUNCTION("""COMPUTED_VALUE"""),"SNC 1109")</f>
        <v>SNC 1109</v>
      </c>
      <c r="H1797" s="164" t="str">
        <f ca="1">IFERROR(__xludf.DUMMYFUNCTION("""COMPUTED_VALUE"""),"SATURNINO B .BELLO")</f>
        <v>SATURNINO B .BELLO</v>
      </c>
      <c r="I1797" s="164" t="str">
        <f ca="1">IFERROR(__xludf.DUMMYFUNCTION("""COMPUTED_VALUE"""),"PARPO II")</f>
        <v>PARPO II</v>
      </c>
      <c r="J1797" s="164" t="str">
        <f ca="1">IFERROR(__xludf.DUMMYFUNCTION("""COMPUTED_VALUE"""),"2023-10-19-S")</f>
        <v>2023-10-19-S</v>
      </c>
      <c r="K1797" s="164" t="str">
        <f ca="1">IFERROR(__xludf.DUMMYFUNCTION("""COMPUTED_VALUE"""),"SATURNINO B .BELLO")</f>
        <v>SATURNINO B .BELLO</v>
      </c>
      <c r="L1797" s="164" t="str">
        <f ca="1">IFERROR(__xludf.DUMMYFUNCTION("""COMPUTED_VALUE"""),"DARPO LAGUNA")</f>
        <v>DARPO LAGUNA</v>
      </c>
      <c r="M1797" s="164" t="str">
        <f ca="1">IFERROR(__xludf.DUMMYFUNCTION("""COMPUTED_VALUE"""),"SERVICEABLE")</f>
        <v>SERVICEABLE</v>
      </c>
      <c r="N1797" s="164"/>
    </row>
    <row r="1798" spans="1:14" ht="13.2" hidden="1">
      <c r="A1798" s="164" t="str">
        <f ca="1">IFERROR(__xludf.DUMMYFUNCTION("""COMPUTED_VALUE"""),"Region IV-A")</f>
        <v>Region IV-A</v>
      </c>
      <c r="B1798" s="164" t="str">
        <f ca="1">IFERROR(__xludf.DUMMYFUNCTION("""COMPUTED_VALUE"""),"QUEZON I")</f>
        <v>QUEZON I</v>
      </c>
      <c r="C1798" s="164" t="str">
        <f ca="1">IFERROR(__xludf.DUMMYFUNCTION("""COMPUTED_VALUE"""),"DOUBLE CABIN PICK-UP VEHICLES – MITSUBISHI STRADA")</f>
        <v>DOUBLE CABIN PICK-UP VEHICLES – MITSUBISHI STRADA</v>
      </c>
      <c r="D1798" s="164" t="str">
        <f ca="1">IFERROR(__xludf.DUMMYFUNCTION("""COMPUTED_VALUE"""),"₱ 1,752,400.00")</f>
        <v>₱ 1,752,400.00</v>
      </c>
      <c r="E1798" s="164" t="str">
        <f ca="1">IFERROR(__xludf.DUMMYFUNCTION("""COMPUTED_VALUE"""),"₱-")</f>
        <v>₱-</v>
      </c>
      <c r="F1798" s="164" t="str">
        <f ca="1">IFERROR(__xludf.DUMMYFUNCTION("""COMPUTED_VALUE"""),"2023-06-01-10201SP64-01")</f>
        <v>2023-06-01-10201SP64-01</v>
      </c>
      <c r="G1798" s="164" t="str">
        <f ca="1">IFERROR(__xludf.DUMMYFUNCTION("""COMPUTED_VALUE"""),"SNC 1141")</f>
        <v>SNC 1141</v>
      </c>
      <c r="H1798" s="164" t="str">
        <f ca="1">IFERROR(__xludf.DUMMYFUNCTION("""COMPUTED_VALUE"""),"ATTY. ERIC FRANCIS G. LUNA")</f>
        <v>ATTY. ERIC FRANCIS G. LUNA</v>
      </c>
      <c r="I1798" s="164" t="str">
        <f ca="1">IFERROR(__xludf.DUMMYFUNCTION("""COMPUTED_VALUE"""),"PARPO II")</f>
        <v>PARPO II</v>
      </c>
      <c r="J1798" s="164" t="str">
        <f ca="1">IFERROR(__xludf.DUMMYFUNCTION("""COMPUTED_VALUE"""),"007-09-2023")</f>
        <v>007-09-2023</v>
      </c>
      <c r="K1798" s="164" t="str">
        <f ca="1">IFERROR(__xludf.DUMMYFUNCTION("""COMPUTED_VALUE"""),"ATTY. ERIC FRANCIS G. LUNA")</f>
        <v>ATTY. ERIC FRANCIS G. LUNA</v>
      </c>
      <c r="L1798" s="164" t="str">
        <f ca="1">IFERROR(__xludf.DUMMYFUNCTION("""COMPUTED_VALUE"""),"DARPO QUEZON I")</f>
        <v>DARPO QUEZON I</v>
      </c>
      <c r="M1798" s="164" t="str">
        <f ca="1">IFERROR(__xludf.DUMMYFUNCTION("""COMPUTED_VALUE"""),"SERVICEABLE")</f>
        <v>SERVICEABLE</v>
      </c>
      <c r="N1798" s="164"/>
    </row>
    <row r="1799" spans="1:14" ht="13.2" hidden="1">
      <c r="A1799" s="164" t="str">
        <f ca="1">IFERROR(__xludf.DUMMYFUNCTION("""COMPUTED_VALUE"""),"Region IV-A")</f>
        <v>Region IV-A</v>
      </c>
      <c r="B1799" s="164" t="str">
        <f ca="1">IFERROR(__xludf.DUMMYFUNCTION("""COMPUTED_VALUE"""),"QUEZON II")</f>
        <v>QUEZON II</v>
      </c>
      <c r="C1799" s="164" t="str">
        <f ca="1">IFERROR(__xludf.DUMMYFUNCTION("""COMPUTED_VALUE"""),"DOUBLE CABIN PICK-UP VEHICLES – MITSUBISHI STRADA")</f>
        <v>DOUBLE CABIN PICK-UP VEHICLES – MITSUBISHI STRADA</v>
      </c>
      <c r="D1799" s="164" t="str">
        <f ca="1">IFERROR(__xludf.DUMMYFUNCTION("""COMPUTED_VALUE"""),"₱ 1,752,400.00")</f>
        <v>₱ 1,752,400.00</v>
      </c>
      <c r="E1799" s="164" t="str">
        <f ca="1">IFERROR(__xludf.DUMMYFUNCTION("""COMPUTED_VALUE"""),"₱-")</f>
        <v>₱-</v>
      </c>
      <c r="F1799" s="164" t="str">
        <f ca="1">IFERROR(__xludf.DUMMYFUNCTION("""COMPUTED_VALUE"""),"2023-06-01-10201SP65-01")</f>
        <v>2023-06-01-10201SP65-01</v>
      </c>
      <c r="G1799" s="164" t="str">
        <f ca="1">IFERROR(__xludf.DUMMYFUNCTION("""COMPUTED_VALUE"""),"SNC 1110")</f>
        <v>SNC 1110</v>
      </c>
      <c r="H1799" s="164" t="str">
        <f ca="1">IFERROR(__xludf.DUMMYFUNCTION("""COMPUTED_VALUE"""),"MA. GEMMA A. ESGUERRA")</f>
        <v>MA. GEMMA A. ESGUERRA</v>
      </c>
      <c r="I1799" s="164" t="str">
        <f ca="1">IFERROR(__xludf.DUMMYFUNCTION("""COMPUTED_VALUE"""),"PARPO II")</f>
        <v>PARPO II</v>
      </c>
      <c r="J1799" s="164" t="str">
        <f ca="1">IFERROR(__xludf.DUMMYFUNCTION("""COMPUTED_VALUE"""),"2023-10-001")</f>
        <v>2023-10-001</v>
      </c>
      <c r="K1799" s="164" t="str">
        <f ca="1">IFERROR(__xludf.DUMMYFUNCTION("""COMPUTED_VALUE"""),"MA. GEMMA A. ESGUERRA")</f>
        <v>MA. GEMMA A. ESGUERRA</v>
      </c>
      <c r="L1799" s="164" t="str">
        <f ca="1">IFERROR(__xludf.DUMMYFUNCTION("""COMPUTED_VALUE"""),"DARPO QUEZON II")</f>
        <v>DARPO QUEZON II</v>
      </c>
      <c r="M1799" s="164" t="str">
        <f ca="1">IFERROR(__xludf.DUMMYFUNCTION("""COMPUTED_VALUE"""),"SERVICEABLE")</f>
        <v>SERVICEABLE</v>
      </c>
      <c r="N1799" s="164"/>
    </row>
    <row r="1800" spans="1:14" ht="13.2" hidden="1">
      <c r="A1800" s="164" t="str">
        <f ca="1">IFERROR(__xludf.DUMMYFUNCTION("""COMPUTED_VALUE"""),"Region IV-A")</f>
        <v>Region IV-A</v>
      </c>
      <c r="B1800" s="164" t="str">
        <f ca="1">IFERROR(__xludf.DUMMYFUNCTION("""COMPUTED_VALUE"""),"RIZAL")</f>
        <v>RIZAL</v>
      </c>
      <c r="C1800" s="164" t="str">
        <f ca="1">IFERROR(__xludf.DUMMYFUNCTION("""COMPUTED_VALUE"""),"DOUBLE CABIN PICK-UP VEHICLES – MITSUBISHI STRADA")</f>
        <v>DOUBLE CABIN PICK-UP VEHICLES – MITSUBISHI STRADA</v>
      </c>
      <c r="D1800" s="164" t="str">
        <f ca="1">IFERROR(__xludf.DUMMYFUNCTION("""COMPUTED_VALUE"""),"₱ 1,752,400.00")</f>
        <v>₱ 1,752,400.00</v>
      </c>
      <c r="E1800" s="164" t="str">
        <f ca="1">IFERROR(__xludf.DUMMYFUNCTION("""COMPUTED_VALUE"""),"₱-")</f>
        <v>₱-</v>
      </c>
      <c r="F1800" s="164" t="str">
        <f ca="1">IFERROR(__xludf.DUMMYFUNCTION("""COMPUTED_VALUE"""),"2023-06-01-10201SP66-01")</f>
        <v>2023-06-01-10201SP66-01</v>
      </c>
      <c r="G1800" s="164" t="str">
        <f ca="1">IFERROR(__xludf.DUMMYFUNCTION("""COMPUTED_VALUE"""),"SNC 1102")</f>
        <v>SNC 1102</v>
      </c>
      <c r="H1800" s="164" t="str">
        <f ca="1">IFERROR(__xludf.DUMMYFUNCTION("""COMPUTED_VALUE"""),"RAUL M. LEONIN")</f>
        <v>RAUL M. LEONIN</v>
      </c>
      <c r="I1800" s="164" t="str">
        <f ca="1">IFERROR(__xludf.DUMMYFUNCTION("""COMPUTED_VALUE"""),"OIC-PARPO II")</f>
        <v>OIC-PARPO II</v>
      </c>
      <c r="J1800" s="164" t="str">
        <f ca="1">IFERROR(__xludf.DUMMYFUNCTION("""COMPUTED_VALUE"""),"2023-SPLIT-10-001")</f>
        <v>2023-SPLIT-10-001</v>
      </c>
      <c r="K1800" s="164" t="str">
        <f ca="1">IFERROR(__xludf.DUMMYFUNCTION("""COMPUTED_VALUE"""),"RAUL M. LEONIN")</f>
        <v>RAUL M. LEONIN</v>
      </c>
      <c r="L1800" s="164" t="str">
        <f ca="1">IFERROR(__xludf.DUMMYFUNCTION("""COMPUTED_VALUE"""),"DARPO RIZAL")</f>
        <v>DARPO RIZAL</v>
      </c>
      <c r="M1800" s="164" t="str">
        <f ca="1">IFERROR(__xludf.DUMMYFUNCTION("""COMPUTED_VALUE"""),"SERVICEABLE")</f>
        <v>SERVICEABLE</v>
      </c>
      <c r="N1800" s="164"/>
    </row>
    <row r="1801" spans="1:14" ht="13.2" hidden="1">
      <c r="A1801" s="164" t="str">
        <f ca="1">IFERROR(__xludf.DUMMYFUNCTION("""COMPUTED_VALUE"""),"Region IV-A")</f>
        <v>Region IV-A</v>
      </c>
      <c r="B1801" s="164" t="str">
        <f ca="1">IFERROR(__xludf.DUMMYFUNCTION("""COMPUTED_VALUE"""),"BATANGAS")</f>
        <v>BATANGAS</v>
      </c>
      <c r="C1801" s="164" t="str">
        <f ca="1">IFERROR(__xludf.DUMMYFUNCTION("""COMPUTED_VALUE"""),"MOTORCYCLE – (HONDA XRL 150)")</f>
        <v>MOTORCYCLE – (HONDA XRL 150)</v>
      </c>
      <c r="D1801" s="164" t="str">
        <f ca="1">IFERROR(__xludf.DUMMYFUNCTION("""COMPUTED_VALUE"""),"₱ 124,900.00")</f>
        <v>₱ 124,900.00</v>
      </c>
      <c r="E1801" s="164" t="str">
        <f ca="1">IFERROR(__xludf.DUMMYFUNCTION("""COMPUTED_VALUE"""),"₱-")</f>
        <v>₱-</v>
      </c>
      <c r="F1801" s="164" t="str">
        <f ca="1">IFERROR(__xludf.DUMMYFUNCTION("""COMPUTED_VALUE"""),"2023-06-01-10202SP127-01")</f>
        <v>2023-06-01-10202SP127-01</v>
      </c>
      <c r="G1801" s="164" t="str">
        <f ca="1">IFERROR(__xludf.DUMMYFUNCTION("""COMPUTED_VALUE"""),"no plate available")</f>
        <v>no plate available</v>
      </c>
      <c r="H1801" s="164" t="str">
        <f ca="1">IFERROR(__xludf.DUMMYFUNCTION("""COMPUTED_VALUE"""),"CRISPINA L. MADRIGAL")</f>
        <v>CRISPINA L. MADRIGAL</v>
      </c>
      <c r="I1801" s="164" t="str">
        <f ca="1">IFERROR(__xludf.DUMMYFUNCTION("""COMPUTED_VALUE"""),"SARPT")</f>
        <v>SARPT</v>
      </c>
      <c r="J1801" s="164" t="str">
        <f ca="1">IFERROR(__xludf.DUMMYFUNCTION("""COMPUTED_VALUE"""),"SP-2023-05-03")</f>
        <v>SP-2023-05-03</v>
      </c>
      <c r="K1801" s="164" t="str">
        <f ca="1">IFERROR(__xludf.DUMMYFUNCTION("""COMPUTED_VALUE"""),"ELVIN F. MIRASOL")</f>
        <v>ELVIN F. MIRASOL</v>
      </c>
      <c r="L1801" s="164" t="str">
        <f ca="1">IFERROR(__xludf.DUMMYFUNCTION("""COMPUTED_VALUE"""),"DARMO/NASUGBU")</f>
        <v>DARMO/NASUGBU</v>
      </c>
      <c r="M1801" s="164" t="str">
        <f ca="1">IFERROR(__xludf.DUMMYFUNCTION("""COMPUTED_VALUE"""),"SERVICEABLE")</f>
        <v>SERVICEABLE</v>
      </c>
      <c r="N1801" s="164"/>
    </row>
    <row r="1802" spans="1:14" ht="13.2" hidden="1">
      <c r="A1802" s="164" t="str">
        <f ca="1">IFERROR(__xludf.DUMMYFUNCTION("""COMPUTED_VALUE"""),"Region IV-A")</f>
        <v>Region IV-A</v>
      </c>
      <c r="B1802" s="164" t="str">
        <f ca="1">IFERROR(__xludf.DUMMYFUNCTION("""COMPUTED_VALUE"""),"BATANGAS")</f>
        <v>BATANGAS</v>
      </c>
      <c r="C1802" s="164" t="str">
        <f ca="1">IFERROR(__xludf.DUMMYFUNCTION("""COMPUTED_VALUE"""),"MOTORCYCLE – (HONDA XRL 150)")</f>
        <v>MOTORCYCLE – (HONDA XRL 150)</v>
      </c>
      <c r="D1802" s="164" t="str">
        <f ca="1">IFERROR(__xludf.DUMMYFUNCTION("""COMPUTED_VALUE"""),"₱ 124,900.00")</f>
        <v>₱ 124,900.00</v>
      </c>
      <c r="E1802" s="164" t="str">
        <f ca="1">IFERROR(__xludf.DUMMYFUNCTION("""COMPUTED_VALUE"""),"₱-")</f>
        <v>₱-</v>
      </c>
      <c r="F1802" s="164" t="str">
        <f ca="1">IFERROR(__xludf.DUMMYFUNCTION("""COMPUTED_VALUE"""),"2023-06-01-10202SP128-01")</f>
        <v>2023-06-01-10202SP128-01</v>
      </c>
      <c r="G1802" s="164" t="str">
        <f ca="1">IFERROR(__xludf.DUMMYFUNCTION("""COMPUTED_VALUE"""),"no plate available")</f>
        <v>no plate available</v>
      </c>
      <c r="H1802" s="164" t="str">
        <f ca="1">IFERROR(__xludf.DUMMYFUNCTION("""COMPUTED_VALUE"""),"RAMON ESPINA JR")</f>
        <v>RAMON ESPINA JR</v>
      </c>
      <c r="I1802" s="164" t="str">
        <f ca="1">IFERROR(__xludf.DUMMYFUNCTION("""COMPUTED_VALUE"""),"Assistant Statistician")</f>
        <v>Assistant Statistician</v>
      </c>
      <c r="J1802" s="164" t="str">
        <f ca="1">IFERROR(__xludf.DUMMYFUNCTION("""COMPUTED_VALUE"""),"SP-2023-11-25")</f>
        <v>SP-2023-11-25</v>
      </c>
      <c r="K1802" s="164" t="str">
        <f ca="1">IFERROR(__xludf.DUMMYFUNCTION("""COMPUTED_VALUE"""),"RAMON L. ESPINA JR.")</f>
        <v>RAMON L. ESPINA JR.</v>
      </c>
      <c r="L1802" s="164" t="str">
        <f ca="1">IFERROR(__xludf.DUMMYFUNCTION("""COMPUTED_VALUE"""),"DARMO/SAN JUAN")</f>
        <v>DARMO/SAN JUAN</v>
      </c>
      <c r="M1802" s="164" t="str">
        <f ca="1">IFERROR(__xludf.DUMMYFUNCTION("""COMPUTED_VALUE"""),"SERVICEABLE")</f>
        <v>SERVICEABLE</v>
      </c>
      <c r="N1802" s="164"/>
    </row>
    <row r="1803" spans="1:14" ht="13.2" hidden="1">
      <c r="A1803" s="164" t="str">
        <f ca="1">IFERROR(__xludf.DUMMYFUNCTION("""COMPUTED_VALUE"""),"Region IV-A")</f>
        <v>Region IV-A</v>
      </c>
      <c r="B1803" s="164" t="str">
        <f ca="1">IFERROR(__xludf.DUMMYFUNCTION("""COMPUTED_VALUE"""),"BATANGAS")</f>
        <v>BATANGAS</v>
      </c>
      <c r="C1803" s="164" t="str">
        <f ca="1">IFERROR(__xludf.DUMMYFUNCTION("""COMPUTED_VALUE"""),"MOTORCYCLE – (HONDA XRL 150)")</f>
        <v>MOTORCYCLE – (HONDA XRL 150)</v>
      </c>
      <c r="D1803" s="164" t="str">
        <f ca="1">IFERROR(__xludf.DUMMYFUNCTION("""COMPUTED_VALUE"""),"₱ 124,900.00")</f>
        <v>₱ 124,900.00</v>
      </c>
      <c r="E1803" s="164" t="str">
        <f ca="1">IFERROR(__xludf.DUMMYFUNCTION("""COMPUTED_VALUE"""),"₱-")</f>
        <v>₱-</v>
      </c>
      <c r="F1803" s="164" t="str">
        <f ca="1">IFERROR(__xludf.DUMMYFUNCTION("""COMPUTED_VALUE"""),"2023-06-01-10202SP129-01")</f>
        <v>2023-06-01-10202SP129-01</v>
      </c>
      <c r="G1803" s="164" t="str">
        <f ca="1">IFERROR(__xludf.DUMMYFUNCTION("""COMPUTED_VALUE"""),"no plate available")</f>
        <v>no plate available</v>
      </c>
      <c r="H1803" s="164" t="str">
        <f ca="1">IFERROR(__xludf.DUMMYFUNCTION("""COMPUTED_VALUE"""),"ANDRES IRENEO MACAISA")</f>
        <v>ANDRES IRENEO MACAISA</v>
      </c>
      <c r="I1803" s="164" t="str">
        <f ca="1">IFERROR(__xludf.DUMMYFUNCTION("""COMPUTED_VALUE"""),"MARPO")</f>
        <v>MARPO</v>
      </c>
      <c r="J1803" s="164" t="str">
        <f ca="1">IFERROR(__xludf.DUMMYFUNCTION("""COMPUTED_VALUE"""),"SP-2023-05-02")</f>
        <v>SP-2023-05-02</v>
      </c>
      <c r="K1803" s="164" t="str">
        <f ca="1">IFERROR(__xludf.DUMMYFUNCTION("""COMPUTED_VALUE"""),"ANDRES IRENEO MACAISA")</f>
        <v>ANDRES IRENEO MACAISA</v>
      </c>
      <c r="L1803" s="164" t="str">
        <f ca="1">IFERROR(__xludf.DUMMYFUNCTION("""COMPUTED_VALUE"""),"DARMO/CALACA")</f>
        <v>DARMO/CALACA</v>
      </c>
      <c r="M1803" s="164" t="str">
        <f ca="1">IFERROR(__xludf.DUMMYFUNCTION("""COMPUTED_VALUE"""),"SERVICEABLE")</f>
        <v>SERVICEABLE</v>
      </c>
      <c r="N1803" s="164"/>
    </row>
    <row r="1804" spans="1:14" ht="13.2" hidden="1">
      <c r="A1804" s="164" t="str">
        <f ca="1">IFERROR(__xludf.DUMMYFUNCTION("""COMPUTED_VALUE"""),"Region IV-A")</f>
        <v>Region IV-A</v>
      </c>
      <c r="B1804" s="164" t="str">
        <f ca="1">IFERROR(__xludf.DUMMYFUNCTION("""COMPUTED_VALUE"""),"CAVITE")</f>
        <v>CAVITE</v>
      </c>
      <c r="C1804" s="164" t="str">
        <f ca="1">IFERROR(__xludf.DUMMYFUNCTION("""COMPUTED_VALUE"""),"MOTORCYCLE – (HONDA XRL 150)")</f>
        <v>MOTORCYCLE – (HONDA XRL 150)</v>
      </c>
      <c r="D1804" s="164" t="str">
        <f ca="1">IFERROR(__xludf.DUMMYFUNCTION("""COMPUTED_VALUE"""),"₱ 124,900.00")</f>
        <v>₱ 124,900.00</v>
      </c>
      <c r="E1804" s="164" t="str">
        <f ca="1">IFERROR(__xludf.DUMMYFUNCTION("""COMPUTED_VALUE"""),"₱-")</f>
        <v>₱-</v>
      </c>
      <c r="F1804" s="164" t="str">
        <f ca="1">IFERROR(__xludf.DUMMYFUNCTION("""COMPUTED_VALUE"""),"2023-05-02-10202SP130-01")</f>
        <v>2023-05-02-10202SP130-01</v>
      </c>
      <c r="G1804" s="164" t="str">
        <f ca="1">IFERROR(__xludf.DUMMYFUNCTION("""COMPUTED_VALUE"""),"no plate available")</f>
        <v>no plate available</v>
      </c>
      <c r="H1804" s="164" t="str">
        <f ca="1">IFERROR(__xludf.DUMMYFUNCTION("""COMPUTED_VALUE"""),"ALEXANDER D. COSTA")</f>
        <v>ALEXANDER D. COSTA</v>
      </c>
      <c r="I1804" s="164" t="str">
        <f ca="1">IFERROR(__xludf.DUMMYFUNCTION("""COMPUTED_VALUE"""),"ARPO II/PARCELIZATION COORDINATOR")</f>
        <v>ARPO II/PARCELIZATION COORDINATOR</v>
      </c>
      <c r="J1804" s="164" t="str">
        <f ca="1">IFERROR(__xludf.DUMMYFUNCTION("""COMPUTED_VALUE"""),"23-05-04")</f>
        <v>23-05-04</v>
      </c>
      <c r="K1804" s="164" t="str">
        <f ca="1">IFERROR(__xludf.DUMMYFUNCTION("""COMPUTED_VALUE"""),"ALEXANDER D. COSTA")</f>
        <v>ALEXANDER D. COSTA</v>
      </c>
      <c r="L1804" s="164" t="str">
        <f ca="1">IFERROR(__xludf.DUMMYFUNCTION("""COMPUTED_VALUE"""),"DARPO CAVITE")</f>
        <v>DARPO CAVITE</v>
      </c>
      <c r="M1804" s="164" t="str">
        <f ca="1">IFERROR(__xludf.DUMMYFUNCTION("""COMPUTED_VALUE"""),"SERVICEABLE")</f>
        <v>SERVICEABLE</v>
      </c>
      <c r="N1804" s="164"/>
    </row>
    <row r="1805" spans="1:14" ht="13.2" hidden="1">
      <c r="A1805" s="164" t="str">
        <f ca="1">IFERROR(__xludf.DUMMYFUNCTION("""COMPUTED_VALUE"""),"Region IV-A")</f>
        <v>Region IV-A</v>
      </c>
      <c r="B1805" s="164" t="str">
        <f ca="1">IFERROR(__xludf.DUMMYFUNCTION("""COMPUTED_VALUE"""),"CAVITE")</f>
        <v>CAVITE</v>
      </c>
      <c r="C1805" s="164" t="str">
        <f ca="1">IFERROR(__xludf.DUMMYFUNCTION("""COMPUTED_VALUE"""),"MOTORCYCLE – (HONDA XRL 150)")</f>
        <v>MOTORCYCLE – (HONDA XRL 150)</v>
      </c>
      <c r="D1805" s="164" t="str">
        <f ca="1">IFERROR(__xludf.DUMMYFUNCTION("""COMPUTED_VALUE"""),"₱ 124,900.00")</f>
        <v>₱ 124,900.00</v>
      </c>
      <c r="E1805" s="164" t="str">
        <f ca="1">IFERROR(__xludf.DUMMYFUNCTION("""COMPUTED_VALUE"""),"₱-")</f>
        <v>₱-</v>
      </c>
      <c r="F1805" s="164" t="str">
        <f ca="1">IFERROR(__xludf.DUMMYFUNCTION("""COMPUTED_VALUE"""),"2023-05-02-10202SP131-01")</f>
        <v>2023-05-02-10202SP131-01</v>
      </c>
      <c r="G1805" s="164" t="str">
        <f ca="1">IFERROR(__xludf.DUMMYFUNCTION("""COMPUTED_VALUE"""),"no plate available")</f>
        <v>no plate available</v>
      </c>
      <c r="H1805" s="164" t="str">
        <f ca="1">IFERROR(__xludf.DUMMYFUNCTION("""COMPUTED_VALUE"""),"ALEXANDER D. COSTA")</f>
        <v>ALEXANDER D. COSTA</v>
      </c>
      <c r="I1805" s="164" t="str">
        <f ca="1">IFERROR(__xludf.DUMMYFUNCTION("""COMPUTED_VALUE"""),"ARPO II/PARCELIZATION COORDINATOR")</f>
        <v>ARPO II/PARCELIZATION COORDINATOR</v>
      </c>
      <c r="J1805" s="164" t="str">
        <f ca="1">IFERROR(__xludf.DUMMYFUNCTION("""COMPUTED_VALUE"""),"23-05-04")</f>
        <v>23-05-04</v>
      </c>
      <c r="K1805" s="164" t="str">
        <f ca="1">IFERROR(__xludf.DUMMYFUNCTION("""COMPUTED_VALUE"""),"ALEXANDER D. COSTA")</f>
        <v>ALEXANDER D. COSTA</v>
      </c>
      <c r="L1805" s="164" t="str">
        <f ca="1">IFERROR(__xludf.DUMMYFUNCTION("""COMPUTED_VALUE"""),"DARPO CAVITE")</f>
        <v>DARPO CAVITE</v>
      </c>
      <c r="M1805" s="164" t="str">
        <f ca="1">IFERROR(__xludf.DUMMYFUNCTION("""COMPUTED_VALUE"""),"SERVICEABLE")</f>
        <v>SERVICEABLE</v>
      </c>
      <c r="N1805" s="164"/>
    </row>
    <row r="1806" spans="1:14" ht="13.2" hidden="1">
      <c r="A1806" s="164" t="str">
        <f ca="1">IFERROR(__xludf.DUMMYFUNCTION("""COMPUTED_VALUE"""),"Region IV-A")</f>
        <v>Region IV-A</v>
      </c>
      <c r="B1806" s="164" t="str">
        <f ca="1">IFERROR(__xludf.DUMMYFUNCTION("""COMPUTED_VALUE"""),"LAGUNA")</f>
        <v>LAGUNA</v>
      </c>
      <c r="C1806" s="164" t="str">
        <f ca="1">IFERROR(__xludf.DUMMYFUNCTION("""COMPUTED_VALUE"""),"MOTORCYCLE – (HONDA XRL 150)")</f>
        <v>MOTORCYCLE – (HONDA XRL 150)</v>
      </c>
      <c r="D1806" s="164" t="str">
        <f ca="1">IFERROR(__xludf.DUMMYFUNCTION("""COMPUTED_VALUE"""),"₱ 124,900.00")</f>
        <v>₱ 124,900.00</v>
      </c>
      <c r="E1806" s="164" t="str">
        <f ca="1">IFERROR(__xludf.DUMMYFUNCTION("""COMPUTED_VALUE"""),"₱-")</f>
        <v>₱-</v>
      </c>
      <c r="F1806" s="164" t="str">
        <f ca="1">IFERROR(__xludf.DUMMYFUNCTION("""COMPUTED_VALUE"""),"2023-06-01-10202SP132-01")</f>
        <v>2023-06-01-10202SP132-01</v>
      </c>
      <c r="G1806" s="164" t="str">
        <f ca="1">IFERROR(__xludf.DUMMYFUNCTION("""COMPUTED_VALUE"""),"no plate available")</f>
        <v>no plate available</v>
      </c>
      <c r="H1806" s="164" t="str">
        <f ca="1">IFERROR(__xludf.DUMMYFUNCTION("""COMPUTED_VALUE"""),"GIL M. CRUZ")</f>
        <v>GIL M. CRUZ</v>
      </c>
      <c r="I1806" s="164" t="str">
        <f ca="1">IFERROR(__xludf.DUMMYFUNCTION("""COMPUTED_VALUE"""),"PROJECT PROCUREMENT OFFICER")</f>
        <v>PROJECT PROCUREMENT OFFICER</v>
      </c>
      <c r="J1806" s="164" t="str">
        <f ca="1">IFERROR(__xludf.DUMMYFUNCTION("""COMPUTED_VALUE"""),"2023-05-002")</f>
        <v>2023-05-002</v>
      </c>
      <c r="K1806" s="164" t="str">
        <f ca="1">IFERROR(__xludf.DUMMYFUNCTION("""COMPUTED_VALUE"""),"REDERICK MIRANDA")</f>
        <v>REDERICK MIRANDA</v>
      </c>
      <c r="L1806" s="164" t="str">
        <f ca="1">IFERROR(__xludf.DUMMYFUNCTION("""COMPUTED_VALUE"""),"DARPO LAGUNA")</f>
        <v>DARPO LAGUNA</v>
      </c>
      <c r="M1806" s="164" t="str">
        <f ca="1">IFERROR(__xludf.DUMMYFUNCTION("""COMPUTED_VALUE"""),"SERVICEABLE")</f>
        <v>SERVICEABLE</v>
      </c>
      <c r="N1806" s="164"/>
    </row>
    <row r="1807" spans="1:14" ht="13.2" hidden="1">
      <c r="A1807" s="164" t="str">
        <f ca="1">IFERROR(__xludf.DUMMYFUNCTION("""COMPUTED_VALUE"""),"Region IV-A")</f>
        <v>Region IV-A</v>
      </c>
      <c r="B1807" s="164" t="str">
        <f ca="1">IFERROR(__xludf.DUMMYFUNCTION("""COMPUTED_VALUE"""),"LAGUNA")</f>
        <v>LAGUNA</v>
      </c>
      <c r="C1807" s="164" t="str">
        <f ca="1">IFERROR(__xludf.DUMMYFUNCTION("""COMPUTED_VALUE"""),"MOTORCYCLE – (HONDA XRL 150)")</f>
        <v>MOTORCYCLE – (HONDA XRL 150)</v>
      </c>
      <c r="D1807" s="164" t="str">
        <f ca="1">IFERROR(__xludf.DUMMYFUNCTION("""COMPUTED_VALUE"""),"₱ 124,900.00")</f>
        <v>₱ 124,900.00</v>
      </c>
      <c r="E1807" s="164" t="str">
        <f ca="1">IFERROR(__xludf.DUMMYFUNCTION("""COMPUTED_VALUE"""),"₱-")</f>
        <v>₱-</v>
      </c>
      <c r="F1807" s="164" t="str">
        <f ca="1">IFERROR(__xludf.DUMMYFUNCTION("""COMPUTED_VALUE"""),"2023-06-01-10202SP133-01")</f>
        <v>2023-06-01-10202SP133-01</v>
      </c>
      <c r="G1807" s="164" t="str">
        <f ca="1">IFERROR(__xludf.DUMMYFUNCTION("""COMPUTED_VALUE"""),"no plate available")</f>
        <v>no plate available</v>
      </c>
      <c r="H1807" s="164" t="str">
        <f ca="1">IFERROR(__xludf.DUMMYFUNCTION("""COMPUTED_VALUE"""),"GIL M. CRUZ")</f>
        <v>GIL M. CRUZ</v>
      </c>
      <c r="I1807" s="164" t="str">
        <f ca="1">IFERROR(__xludf.DUMMYFUNCTION("""COMPUTED_VALUE"""),"PROJECT PROCUREMENT OFFICER")</f>
        <v>PROJECT PROCUREMENT OFFICER</v>
      </c>
      <c r="J1807" s="164" t="str">
        <f ca="1">IFERROR(__xludf.DUMMYFUNCTION("""COMPUTED_VALUE"""),"2023-05-003")</f>
        <v>2023-05-003</v>
      </c>
      <c r="K1807" s="164" t="str">
        <f ca="1">IFERROR(__xludf.DUMMYFUNCTION("""COMPUTED_VALUE"""),"ALEKSON CALAPINE")</f>
        <v>ALEKSON CALAPINE</v>
      </c>
      <c r="L1807" s="164" t="str">
        <f ca="1">IFERROR(__xludf.DUMMYFUNCTION("""COMPUTED_VALUE"""),"DARPO LAGUNA")</f>
        <v>DARPO LAGUNA</v>
      </c>
      <c r="M1807" s="164" t="str">
        <f ca="1">IFERROR(__xludf.DUMMYFUNCTION("""COMPUTED_VALUE"""),"SERVICEABLE")</f>
        <v>SERVICEABLE</v>
      </c>
      <c r="N1807" s="164"/>
    </row>
    <row r="1808" spans="1:14" ht="13.2" hidden="1">
      <c r="A1808" s="164" t="str">
        <f ca="1">IFERROR(__xludf.DUMMYFUNCTION("""COMPUTED_VALUE"""),"Region IV-A")</f>
        <v>Region IV-A</v>
      </c>
      <c r="B1808" s="164" t="str">
        <f ca="1">IFERROR(__xludf.DUMMYFUNCTION("""COMPUTED_VALUE"""),"LAGUNA")</f>
        <v>LAGUNA</v>
      </c>
      <c r="C1808" s="164" t="str">
        <f ca="1">IFERROR(__xludf.DUMMYFUNCTION("""COMPUTED_VALUE"""),"MOTORCYCLE – (HONDA XRL 150)")</f>
        <v>MOTORCYCLE – (HONDA XRL 150)</v>
      </c>
      <c r="D1808" s="164" t="str">
        <f ca="1">IFERROR(__xludf.DUMMYFUNCTION("""COMPUTED_VALUE"""),"₱ 124,900.00")</f>
        <v>₱ 124,900.00</v>
      </c>
      <c r="E1808" s="164" t="str">
        <f ca="1">IFERROR(__xludf.DUMMYFUNCTION("""COMPUTED_VALUE"""),"₱-")</f>
        <v>₱-</v>
      </c>
      <c r="F1808" s="164" t="str">
        <f ca="1">IFERROR(__xludf.DUMMYFUNCTION("""COMPUTED_VALUE"""),"2023-06-01-10202SP134-01")</f>
        <v>2023-06-01-10202SP134-01</v>
      </c>
      <c r="G1808" s="164" t="str">
        <f ca="1">IFERROR(__xludf.DUMMYFUNCTION("""COMPUTED_VALUE"""),"no plate available")</f>
        <v>no plate available</v>
      </c>
      <c r="H1808" s="164" t="str">
        <f ca="1">IFERROR(__xludf.DUMMYFUNCTION("""COMPUTED_VALUE"""),"GIL M. CRUZ")</f>
        <v>GIL M. CRUZ</v>
      </c>
      <c r="I1808" s="164" t="str">
        <f ca="1">IFERROR(__xludf.DUMMYFUNCTION("""COMPUTED_VALUE"""),"PROJECT PROCUREMENT OFFICER")</f>
        <v>PROJECT PROCUREMENT OFFICER</v>
      </c>
      <c r="J1808" s="164" t="str">
        <f ca="1">IFERROR(__xludf.DUMMYFUNCTION("""COMPUTED_VALUE"""),"2023-05-004")</f>
        <v>2023-05-004</v>
      </c>
      <c r="K1808" s="164" t="str">
        <f ca="1">IFERROR(__xludf.DUMMYFUNCTION("""COMPUTED_VALUE"""),"MATTHEW LALONG ISIP")</f>
        <v>MATTHEW LALONG ISIP</v>
      </c>
      <c r="L1808" s="164" t="str">
        <f ca="1">IFERROR(__xludf.DUMMYFUNCTION("""COMPUTED_VALUE"""),"DARPO LAGUNA")</f>
        <v>DARPO LAGUNA</v>
      </c>
      <c r="M1808" s="164" t="str">
        <f ca="1">IFERROR(__xludf.DUMMYFUNCTION("""COMPUTED_VALUE"""),"SERVICEABLE")</f>
        <v>SERVICEABLE</v>
      </c>
      <c r="N1808" s="164"/>
    </row>
    <row r="1809" spans="1:14" ht="13.2" hidden="1">
      <c r="A1809" s="164" t="str">
        <f ca="1">IFERROR(__xludf.DUMMYFUNCTION("""COMPUTED_VALUE"""),"Region IV-A")</f>
        <v>Region IV-A</v>
      </c>
      <c r="B1809" s="164" t="str">
        <f ca="1">IFERROR(__xludf.DUMMYFUNCTION("""COMPUTED_VALUE"""),"QUEZON I")</f>
        <v>QUEZON I</v>
      </c>
      <c r="C1809" s="164" t="str">
        <f ca="1">IFERROR(__xludf.DUMMYFUNCTION("""COMPUTED_VALUE"""),"MOTORCYCLE – (HONDA XRL 150)")</f>
        <v>MOTORCYCLE – (HONDA XRL 150)</v>
      </c>
      <c r="D1809" s="164" t="str">
        <f ca="1">IFERROR(__xludf.DUMMYFUNCTION("""COMPUTED_VALUE"""),"₱ 124,900.00")</f>
        <v>₱ 124,900.00</v>
      </c>
      <c r="E1809" s="164" t="str">
        <f ca="1">IFERROR(__xludf.DUMMYFUNCTION("""COMPUTED_VALUE"""),"₱-")</f>
        <v>₱-</v>
      </c>
      <c r="F1809" s="164" t="str">
        <f ca="1">IFERROR(__xludf.DUMMYFUNCTION("""COMPUTED_VALUE"""),"2023-06-01-10202SP135-01")</f>
        <v>2023-06-01-10202SP135-01</v>
      </c>
      <c r="G1809" s="164" t="str">
        <f ca="1">IFERROR(__xludf.DUMMYFUNCTION("""COMPUTED_VALUE"""),"no plate available")</f>
        <v>no plate available</v>
      </c>
      <c r="H1809" s="164" t="str">
        <f ca="1">IFERROR(__xludf.DUMMYFUNCTION("""COMPUTED_VALUE"""),"LEA B. RODIL")</f>
        <v>LEA B. RODIL</v>
      </c>
      <c r="I1809" s="164" t="str">
        <f ca="1">IFERROR(__xludf.DUMMYFUNCTION("""COMPUTED_VALUE"""),"AO IV/Project Procurement Officer")</f>
        <v>AO IV/Project Procurement Officer</v>
      </c>
      <c r="J1809" s="164" t="str">
        <f ca="1">IFERROR(__xludf.DUMMYFUNCTION("""COMPUTED_VALUE"""),"008-01-2023")</f>
        <v>008-01-2023</v>
      </c>
      <c r="K1809" s="164" t="str">
        <f ca="1">IFERROR(__xludf.DUMMYFUNCTION("""COMPUTED_VALUE"""),"LEA B. RODIL")</f>
        <v>LEA B. RODIL</v>
      </c>
      <c r="L1809" s="164" t="str">
        <f ca="1">IFERROR(__xludf.DUMMYFUNCTION("""COMPUTED_VALUE"""),"DARPO QUEZON I")</f>
        <v>DARPO QUEZON I</v>
      </c>
      <c r="M1809" s="164" t="str">
        <f ca="1">IFERROR(__xludf.DUMMYFUNCTION("""COMPUTED_VALUE"""),"SERVICEABLE")</f>
        <v>SERVICEABLE</v>
      </c>
      <c r="N1809" s="164"/>
    </row>
    <row r="1810" spans="1:14" ht="13.2" hidden="1">
      <c r="A1810" s="164" t="str">
        <f ca="1">IFERROR(__xludf.DUMMYFUNCTION("""COMPUTED_VALUE"""),"Region IV-A")</f>
        <v>Region IV-A</v>
      </c>
      <c r="B1810" s="164" t="str">
        <f ca="1">IFERROR(__xludf.DUMMYFUNCTION("""COMPUTED_VALUE"""),"QUEZON I")</f>
        <v>QUEZON I</v>
      </c>
      <c r="C1810" s="164" t="str">
        <f ca="1">IFERROR(__xludf.DUMMYFUNCTION("""COMPUTED_VALUE"""),"MOTORCYCLE – (HONDA XRL 150)")</f>
        <v>MOTORCYCLE – (HONDA XRL 150)</v>
      </c>
      <c r="D1810" s="164" t="str">
        <f ca="1">IFERROR(__xludf.DUMMYFUNCTION("""COMPUTED_VALUE"""),"₱ 124,900.00")</f>
        <v>₱ 124,900.00</v>
      </c>
      <c r="E1810" s="164" t="str">
        <f ca="1">IFERROR(__xludf.DUMMYFUNCTION("""COMPUTED_VALUE"""),"₱-")</f>
        <v>₱-</v>
      </c>
      <c r="F1810" s="164" t="str">
        <f ca="1">IFERROR(__xludf.DUMMYFUNCTION("""COMPUTED_VALUE"""),"2023-06-01-10202SP136-01")</f>
        <v>2023-06-01-10202SP136-01</v>
      </c>
      <c r="G1810" s="164" t="str">
        <f ca="1">IFERROR(__xludf.DUMMYFUNCTION("""COMPUTED_VALUE"""),"no plate available")</f>
        <v>no plate available</v>
      </c>
      <c r="H1810" s="164" t="str">
        <f ca="1">IFERROR(__xludf.DUMMYFUNCTION("""COMPUTED_VALUE"""),"LEA B. RODIL")</f>
        <v>LEA B. RODIL</v>
      </c>
      <c r="I1810" s="164" t="str">
        <f ca="1">IFERROR(__xludf.DUMMYFUNCTION("""COMPUTED_VALUE"""),"AO IV/Project Procurement Officer")</f>
        <v>AO IV/Project Procurement Officer</v>
      </c>
      <c r="J1810" s="164" t="str">
        <f ca="1">IFERROR(__xludf.DUMMYFUNCTION("""COMPUTED_VALUE"""),"009-01-2023")</f>
        <v>009-01-2023</v>
      </c>
      <c r="K1810" s="164" t="str">
        <f ca="1">IFERROR(__xludf.DUMMYFUNCTION("""COMPUTED_VALUE"""),"LEA B. RODIL")</f>
        <v>LEA B. RODIL</v>
      </c>
      <c r="L1810" s="164" t="str">
        <f ca="1">IFERROR(__xludf.DUMMYFUNCTION("""COMPUTED_VALUE"""),"DARPO QUEZON I")</f>
        <v>DARPO QUEZON I</v>
      </c>
      <c r="M1810" s="164" t="str">
        <f ca="1">IFERROR(__xludf.DUMMYFUNCTION("""COMPUTED_VALUE"""),"SERVICEABLE")</f>
        <v>SERVICEABLE</v>
      </c>
      <c r="N1810" s="164"/>
    </row>
    <row r="1811" spans="1:14" ht="13.2" hidden="1">
      <c r="A1811" s="164" t="str">
        <f ca="1">IFERROR(__xludf.DUMMYFUNCTION("""COMPUTED_VALUE"""),"Region IV-A")</f>
        <v>Region IV-A</v>
      </c>
      <c r="B1811" s="164" t="str">
        <f ca="1">IFERROR(__xludf.DUMMYFUNCTION("""COMPUTED_VALUE"""),"QUEZON I")</f>
        <v>QUEZON I</v>
      </c>
      <c r="C1811" s="164" t="str">
        <f ca="1">IFERROR(__xludf.DUMMYFUNCTION("""COMPUTED_VALUE"""),"MOTORCYCLE – (HONDA XRL 150)")</f>
        <v>MOTORCYCLE – (HONDA XRL 150)</v>
      </c>
      <c r="D1811" s="164" t="str">
        <f ca="1">IFERROR(__xludf.DUMMYFUNCTION("""COMPUTED_VALUE"""),"₱ 124,900.00")</f>
        <v>₱ 124,900.00</v>
      </c>
      <c r="E1811" s="164" t="str">
        <f ca="1">IFERROR(__xludf.DUMMYFUNCTION("""COMPUTED_VALUE"""),"₱-")</f>
        <v>₱-</v>
      </c>
      <c r="F1811" s="164" t="str">
        <f ca="1">IFERROR(__xludf.DUMMYFUNCTION("""COMPUTED_VALUE"""),"2023-06-01-10202SP137-01")</f>
        <v>2023-06-01-10202SP137-01</v>
      </c>
      <c r="G1811" s="164" t="str">
        <f ca="1">IFERROR(__xludf.DUMMYFUNCTION("""COMPUTED_VALUE"""),"no plate available")</f>
        <v>no plate available</v>
      </c>
      <c r="H1811" s="164" t="str">
        <f ca="1">IFERROR(__xludf.DUMMYFUNCTION("""COMPUTED_VALUE"""),"LEA B. RODIL")</f>
        <v>LEA B. RODIL</v>
      </c>
      <c r="I1811" s="164" t="str">
        <f ca="1">IFERROR(__xludf.DUMMYFUNCTION("""COMPUTED_VALUE"""),"AO IV/Project Procurement Officer")</f>
        <v>AO IV/Project Procurement Officer</v>
      </c>
      <c r="J1811" s="164" t="str">
        <f ca="1">IFERROR(__xludf.DUMMYFUNCTION("""COMPUTED_VALUE"""),"010-01-2023")</f>
        <v>010-01-2023</v>
      </c>
      <c r="K1811" s="164" t="str">
        <f ca="1">IFERROR(__xludf.DUMMYFUNCTION("""COMPUTED_VALUE"""),"LEA B. RODIL")</f>
        <v>LEA B. RODIL</v>
      </c>
      <c r="L1811" s="164" t="str">
        <f ca="1">IFERROR(__xludf.DUMMYFUNCTION("""COMPUTED_VALUE"""),"DARPO QUEZON I")</f>
        <v>DARPO QUEZON I</v>
      </c>
      <c r="M1811" s="164" t="str">
        <f ca="1">IFERROR(__xludf.DUMMYFUNCTION("""COMPUTED_VALUE"""),"SERVICEABLE")</f>
        <v>SERVICEABLE</v>
      </c>
      <c r="N1811" s="164"/>
    </row>
    <row r="1812" spans="1:14" ht="13.2" hidden="1">
      <c r="A1812" s="164" t="str">
        <f ca="1">IFERROR(__xludf.DUMMYFUNCTION("""COMPUTED_VALUE"""),"Region IV-A")</f>
        <v>Region IV-A</v>
      </c>
      <c r="B1812" s="164" t="str">
        <f ca="1">IFERROR(__xludf.DUMMYFUNCTION("""COMPUTED_VALUE"""),"QUEZON II")</f>
        <v>QUEZON II</v>
      </c>
      <c r="C1812" s="164" t="str">
        <f ca="1">IFERROR(__xludf.DUMMYFUNCTION("""COMPUTED_VALUE"""),"MOTORCYCLE – (HONDA XRL 150)")</f>
        <v>MOTORCYCLE – (HONDA XRL 150)</v>
      </c>
      <c r="D1812" s="164" t="str">
        <f ca="1">IFERROR(__xludf.DUMMYFUNCTION("""COMPUTED_VALUE"""),"₱ 124,900.00")</f>
        <v>₱ 124,900.00</v>
      </c>
      <c r="E1812" s="164" t="str">
        <f ca="1">IFERROR(__xludf.DUMMYFUNCTION("""COMPUTED_VALUE"""),"₱-")</f>
        <v>₱-</v>
      </c>
      <c r="F1812" s="164" t="str">
        <f ca="1">IFERROR(__xludf.DUMMYFUNCTION("""COMPUTED_VALUE"""),"2023-06-01-10202SP138-01")</f>
        <v>2023-06-01-10202SP138-01</v>
      </c>
      <c r="G1812" s="164" t="str">
        <f ca="1">IFERROR(__xludf.DUMMYFUNCTION("""COMPUTED_VALUE"""),"no plate available")</f>
        <v>no plate available</v>
      </c>
      <c r="H1812" s="164" t="str">
        <f ca="1">IFERROR(__xludf.DUMMYFUNCTION("""COMPUTED_VALUE"""),"JOHNSON U. BONIFACIO")</f>
        <v>JOHNSON U. BONIFACIO</v>
      </c>
      <c r="I1812" s="164" t="str">
        <f ca="1">IFERROR(__xludf.DUMMYFUNCTION("""COMPUTED_VALUE"""),"PROCUREMENT OFFICER")</f>
        <v>PROCUREMENT OFFICER</v>
      </c>
      <c r="J1812" s="164" t="str">
        <f ca="1">IFERROR(__xludf.DUMMYFUNCTION("""COMPUTED_VALUE"""),"2023-02-001")</f>
        <v>2023-02-001</v>
      </c>
      <c r="K1812" s="164" t="str">
        <f ca="1">IFERROR(__xludf.DUMMYFUNCTION("""COMPUTED_VALUE"""),"JONATHAN RANAS")</f>
        <v>JONATHAN RANAS</v>
      </c>
      <c r="L1812" s="164" t="str">
        <f ca="1">IFERROR(__xludf.DUMMYFUNCTION("""COMPUTED_VALUE"""),"SPLIT OFFICE")</f>
        <v>SPLIT OFFICE</v>
      </c>
      <c r="M1812" s="164" t="str">
        <f ca="1">IFERROR(__xludf.DUMMYFUNCTION("""COMPUTED_VALUE"""),"SERVICEABLE")</f>
        <v>SERVICEABLE</v>
      </c>
      <c r="N1812" s="164"/>
    </row>
    <row r="1813" spans="1:14" ht="13.2" hidden="1">
      <c r="A1813" s="164" t="str">
        <f ca="1">IFERROR(__xludf.DUMMYFUNCTION("""COMPUTED_VALUE"""),"Region IV-A")</f>
        <v>Region IV-A</v>
      </c>
      <c r="B1813" s="164" t="str">
        <f ca="1">IFERROR(__xludf.DUMMYFUNCTION("""COMPUTED_VALUE"""),"QUEZON II")</f>
        <v>QUEZON II</v>
      </c>
      <c r="C1813" s="164" t="str">
        <f ca="1">IFERROR(__xludf.DUMMYFUNCTION("""COMPUTED_VALUE"""),"MOTORCYCLE – (HONDA XRL 150)")</f>
        <v>MOTORCYCLE – (HONDA XRL 150)</v>
      </c>
      <c r="D1813" s="164" t="str">
        <f ca="1">IFERROR(__xludf.DUMMYFUNCTION("""COMPUTED_VALUE"""),"₱ 124,900.00")</f>
        <v>₱ 124,900.00</v>
      </c>
      <c r="E1813" s="164" t="str">
        <f ca="1">IFERROR(__xludf.DUMMYFUNCTION("""COMPUTED_VALUE"""),"₱-")</f>
        <v>₱-</v>
      </c>
      <c r="F1813" s="164" t="str">
        <f ca="1">IFERROR(__xludf.DUMMYFUNCTION("""COMPUTED_VALUE"""),"2023-06-01-10202SP139-01")</f>
        <v>2023-06-01-10202SP139-01</v>
      </c>
      <c r="G1813" s="164" t="str">
        <f ca="1">IFERROR(__xludf.DUMMYFUNCTION("""COMPUTED_VALUE"""),"no plate available")</f>
        <v>no plate available</v>
      </c>
      <c r="H1813" s="164" t="str">
        <f ca="1">IFERROR(__xludf.DUMMYFUNCTION("""COMPUTED_VALUE"""),"AMADO A. PINEDA, JR.")</f>
        <v>AMADO A. PINEDA, JR.</v>
      </c>
      <c r="I1813" s="164" t="str">
        <f ca="1">IFERROR(__xludf.DUMMYFUNCTION("""COMPUTED_VALUE"""),"MARPO-DARMO SAN NARCISO")</f>
        <v>MARPO-DARMO SAN NARCISO</v>
      </c>
      <c r="J1813" s="164" t="str">
        <f ca="1">IFERROR(__xludf.DUMMYFUNCTION("""COMPUTED_VALUE"""),"2023-02-001")</f>
        <v>2023-02-001</v>
      </c>
      <c r="K1813" s="164" t="str">
        <f ca="1">IFERROR(__xludf.DUMMYFUNCTION("""COMPUTED_VALUE"""),"AMADO A. PINEDA, JR.")</f>
        <v>AMADO A. PINEDA, JR.</v>
      </c>
      <c r="L1813" s="164" t="str">
        <f ca="1">IFERROR(__xludf.DUMMYFUNCTION("""COMPUTED_VALUE"""),"DARMO-SAN NARCISO")</f>
        <v>DARMO-SAN NARCISO</v>
      </c>
      <c r="M1813" s="164" t="str">
        <f ca="1">IFERROR(__xludf.DUMMYFUNCTION("""COMPUTED_VALUE"""),"SERVICEABLE")</f>
        <v>SERVICEABLE</v>
      </c>
      <c r="N1813" s="164"/>
    </row>
    <row r="1814" spans="1:14" ht="13.2" hidden="1">
      <c r="A1814" s="164" t="str">
        <f ca="1">IFERROR(__xludf.DUMMYFUNCTION("""COMPUTED_VALUE"""),"Region IV-A")</f>
        <v>Region IV-A</v>
      </c>
      <c r="B1814" s="164" t="str">
        <f ca="1">IFERROR(__xludf.DUMMYFUNCTION("""COMPUTED_VALUE"""),"QUEZON II")</f>
        <v>QUEZON II</v>
      </c>
      <c r="C1814" s="164" t="str">
        <f ca="1">IFERROR(__xludf.DUMMYFUNCTION("""COMPUTED_VALUE"""),"MOTORCYCLE – (HONDA XRL 150)")</f>
        <v>MOTORCYCLE – (HONDA XRL 150)</v>
      </c>
      <c r="D1814" s="164" t="str">
        <f ca="1">IFERROR(__xludf.DUMMYFUNCTION("""COMPUTED_VALUE"""),"₱ 124,900.00")</f>
        <v>₱ 124,900.00</v>
      </c>
      <c r="E1814" s="164" t="str">
        <f ca="1">IFERROR(__xludf.DUMMYFUNCTION("""COMPUTED_VALUE"""),"₱-")</f>
        <v>₱-</v>
      </c>
      <c r="F1814" s="164" t="str">
        <f ca="1">IFERROR(__xludf.DUMMYFUNCTION("""COMPUTED_VALUE"""),"2023-06-01-10202SP140-01")</f>
        <v>2023-06-01-10202SP140-01</v>
      </c>
      <c r="G1814" s="164" t="str">
        <f ca="1">IFERROR(__xludf.DUMMYFUNCTION("""COMPUTED_VALUE"""),"no plate available")</f>
        <v>no plate available</v>
      </c>
      <c r="H1814" s="164" t="str">
        <f ca="1">IFERROR(__xludf.DUMMYFUNCTION("""COMPUTED_VALUE"""),"JOHNSON U. BONIFACIO")</f>
        <v>JOHNSON U. BONIFACIO</v>
      </c>
      <c r="I1814" s="164" t="str">
        <f ca="1">IFERROR(__xludf.DUMMYFUNCTION("""COMPUTED_VALUE"""),"PROCUREMENT OFFICER")</f>
        <v>PROCUREMENT OFFICER</v>
      </c>
      <c r="J1814" s="164" t="str">
        <f ca="1">IFERROR(__xludf.DUMMYFUNCTION("""COMPUTED_VALUE"""),"2023-02-001")</f>
        <v>2023-02-001</v>
      </c>
      <c r="K1814" s="164" t="str">
        <f ca="1">IFERROR(__xludf.DUMMYFUNCTION("""COMPUTED_VALUE"""),"MARLON ALCARAZ")</f>
        <v>MARLON ALCARAZ</v>
      </c>
      <c r="L1814" s="164" t="str">
        <f ca="1">IFERROR(__xludf.DUMMYFUNCTION("""COMPUTED_VALUE"""),"SPLIT OFFICE")</f>
        <v>SPLIT OFFICE</v>
      </c>
      <c r="M1814" s="164" t="str">
        <f ca="1">IFERROR(__xludf.DUMMYFUNCTION("""COMPUTED_VALUE"""),"SERVICEABLE")</f>
        <v>SERVICEABLE</v>
      </c>
      <c r="N1814" s="164"/>
    </row>
    <row r="1815" spans="1:14" ht="13.2" hidden="1">
      <c r="A1815" s="164" t="str">
        <f ca="1">IFERROR(__xludf.DUMMYFUNCTION("""COMPUTED_VALUE"""),"Region IV-A")</f>
        <v>Region IV-A</v>
      </c>
      <c r="B1815" s="164" t="str">
        <f ca="1">IFERROR(__xludf.DUMMYFUNCTION("""COMPUTED_VALUE"""),"QUEZON II")</f>
        <v>QUEZON II</v>
      </c>
      <c r="C1815" s="164" t="str">
        <f ca="1">IFERROR(__xludf.DUMMYFUNCTION("""COMPUTED_VALUE"""),"MOTORCYCLE – (HONDA XRL 150)")</f>
        <v>MOTORCYCLE – (HONDA XRL 150)</v>
      </c>
      <c r="D1815" s="164" t="str">
        <f ca="1">IFERROR(__xludf.DUMMYFUNCTION("""COMPUTED_VALUE"""),"₱ 124,900.00")</f>
        <v>₱ 124,900.00</v>
      </c>
      <c r="E1815" s="164" t="str">
        <f ca="1">IFERROR(__xludf.DUMMYFUNCTION("""COMPUTED_VALUE"""),"₱-")</f>
        <v>₱-</v>
      </c>
      <c r="F1815" s="164" t="str">
        <f ca="1">IFERROR(__xludf.DUMMYFUNCTION("""COMPUTED_VALUE"""),"2023-06-01-10202SP141-01")</f>
        <v>2023-06-01-10202SP141-01</v>
      </c>
      <c r="G1815" s="164" t="str">
        <f ca="1">IFERROR(__xludf.DUMMYFUNCTION("""COMPUTED_VALUE"""),"no plate available")</f>
        <v>no plate available</v>
      </c>
      <c r="H1815" s="164" t="str">
        <f ca="1">IFERROR(__xludf.DUMMYFUNCTION("""COMPUTED_VALUE"""),"JOHNSON U. BONIFACIO")</f>
        <v>JOHNSON U. BONIFACIO</v>
      </c>
      <c r="I1815" s="164" t="str">
        <f ca="1">IFERROR(__xludf.DUMMYFUNCTION("""COMPUTED_VALUE"""),"PROCUREMENT OFFICER")</f>
        <v>PROCUREMENT OFFICER</v>
      </c>
      <c r="J1815" s="164" t="str">
        <f ca="1">IFERROR(__xludf.DUMMYFUNCTION("""COMPUTED_VALUE"""),"2023-02-001")</f>
        <v>2023-02-001</v>
      </c>
      <c r="K1815" s="164" t="str">
        <f ca="1">IFERROR(__xludf.DUMMYFUNCTION("""COMPUTED_VALUE"""),"ALDRIN FORTUNO")</f>
        <v>ALDRIN FORTUNO</v>
      </c>
      <c r="L1815" s="164" t="str">
        <f ca="1">IFERROR(__xludf.DUMMYFUNCTION("""COMPUTED_VALUE"""),"SPLIT OFFICE")</f>
        <v>SPLIT OFFICE</v>
      </c>
      <c r="M1815" s="164" t="str">
        <f ca="1">IFERROR(__xludf.DUMMYFUNCTION("""COMPUTED_VALUE"""),"SERVICEABLE")</f>
        <v>SERVICEABLE</v>
      </c>
      <c r="N1815" s="164"/>
    </row>
    <row r="1816" spans="1:14" ht="13.2" hidden="1">
      <c r="A1816" s="164" t="str">
        <f ca="1">IFERROR(__xludf.DUMMYFUNCTION("""COMPUTED_VALUE"""),"Region IV-A")</f>
        <v>Region IV-A</v>
      </c>
      <c r="B1816" s="164" t="str">
        <f ca="1">IFERROR(__xludf.DUMMYFUNCTION("""COMPUTED_VALUE"""),"QUEZON II")</f>
        <v>QUEZON II</v>
      </c>
      <c r="C1816" s="164" t="str">
        <f ca="1">IFERROR(__xludf.DUMMYFUNCTION("""COMPUTED_VALUE"""),"MOTORCYCLE – (HONDA XRL 150)")</f>
        <v>MOTORCYCLE – (HONDA XRL 150)</v>
      </c>
      <c r="D1816" s="164" t="str">
        <f ca="1">IFERROR(__xludf.DUMMYFUNCTION("""COMPUTED_VALUE"""),"₱ 124,900.00")</f>
        <v>₱ 124,900.00</v>
      </c>
      <c r="E1816" s="164" t="str">
        <f ca="1">IFERROR(__xludf.DUMMYFUNCTION("""COMPUTED_VALUE"""),"₱-")</f>
        <v>₱-</v>
      </c>
      <c r="F1816" s="164" t="str">
        <f ca="1">IFERROR(__xludf.DUMMYFUNCTION("""COMPUTED_VALUE"""),"2023-06-01-10202SP142-01")</f>
        <v>2023-06-01-10202SP142-01</v>
      </c>
      <c r="G1816" s="164" t="str">
        <f ca="1">IFERROR(__xludf.DUMMYFUNCTION("""COMPUTED_VALUE"""),"no plate available")</f>
        <v>no plate available</v>
      </c>
      <c r="H1816" s="164" t="str">
        <f ca="1">IFERROR(__xludf.DUMMYFUNCTION("""COMPUTED_VALUE"""),"JOHNSON U. BONIFACIO")</f>
        <v>JOHNSON U. BONIFACIO</v>
      </c>
      <c r="I1816" s="164" t="str">
        <f ca="1">IFERROR(__xludf.DUMMYFUNCTION("""COMPUTED_VALUE"""),"PROCUREMENT OFFICER")</f>
        <v>PROCUREMENT OFFICER</v>
      </c>
      <c r="J1816" s="164" t="str">
        <f ca="1">IFERROR(__xludf.DUMMYFUNCTION("""COMPUTED_VALUE"""),"2023-02-001")</f>
        <v>2023-02-001</v>
      </c>
      <c r="K1816" s="164" t="str">
        <f ca="1">IFERROR(__xludf.DUMMYFUNCTION("""COMPUTED_VALUE"""),"VINCHELLE MARALIT")</f>
        <v>VINCHELLE MARALIT</v>
      </c>
      <c r="L1816" s="164" t="str">
        <f ca="1">IFERROR(__xludf.DUMMYFUNCTION("""COMPUTED_VALUE"""),"SPLIT OFFICE")</f>
        <v>SPLIT OFFICE</v>
      </c>
      <c r="M1816" s="164" t="str">
        <f ca="1">IFERROR(__xludf.DUMMYFUNCTION("""COMPUTED_VALUE"""),"SERVICEABLE")</f>
        <v>SERVICEABLE</v>
      </c>
      <c r="N1816" s="164"/>
    </row>
    <row r="1817" spans="1:14" ht="13.2" hidden="1">
      <c r="A1817" s="164" t="str">
        <f ca="1">IFERROR(__xludf.DUMMYFUNCTION("""COMPUTED_VALUE"""),"Region IV-A")</f>
        <v>Region IV-A</v>
      </c>
      <c r="B1817" s="164" t="str">
        <f ca="1">IFERROR(__xludf.DUMMYFUNCTION("""COMPUTED_VALUE"""),"RIZAL")</f>
        <v>RIZAL</v>
      </c>
      <c r="C1817" s="164" t="str">
        <f ca="1">IFERROR(__xludf.DUMMYFUNCTION("""COMPUTED_VALUE"""),"MOTORCYCLE – (HONDA XRL 150)")</f>
        <v>MOTORCYCLE – (HONDA XRL 150)</v>
      </c>
      <c r="D1817" s="164" t="str">
        <f ca="1">IFERROR(__xludf.DUMMYFUNCTION("""COMPUTED_VALUE"""),"₱ 124,900.00")</f>
        <v>₱ 124,900.00</v>
      </c>
      <c r="E1817" s="164" t="str">
        <f ca="1">IFERROR(__xludf.DUMMYFUNCTION("""COMPUTED_VALUE"""),"₱-")</f>
        <v>₱-</v>
      </c>
      <c r="F1817" s="164" t="str">
        <f ca="1">IFERROR(__xludf.DUMMYFUNCTION("""COMPUTED_VALUE"""),"2023-06-01-10202SP143-01")</f>
        <v>2023-06-01-10202SP143-01</v>
      </c>
      <c r="G1817" s="164" t="str">
        <f ca="1">IFERROR(__xludf.DUMMYFUNCTION("""COMPUTED_VALUE"""),"no plate available")</f>
        <v>no plate available</v>
      </c>
      <c r="H1817" s="164" t="str">
        <f ca="1">IFERROR(__xludf.DUMMYFUNCTION("""COMPUTED_VALUE"""),"FLORENCE SM. MARANION")</f>
        <v>FLORENCE SM. MARANION</v>
      </c>
      <c r="I1817" s="164" t="str">
        <f ca="1">IFERROR(__xludf.DUMMYFUNCTION("""COMPUTED_VALUE"""),"OIC-CARPO")</f>
        <v>OIC-CARPO</v>
      </c>
      <c r="J1817" s="164" t="str">
        <f ca="1">IFERROR(__xludf.DUMMYFUNCTION("""COMPUTED_VALUE"""),"2023-SPLIT-02-001")</f>
        <v>2023-SPLIT-02-001</v>
      </c>
      <c r="K1817" s="164" t="str">
        <f ca="1">IFERROR(__xludf.DUMMYFUNCTION("""COMPUTED_VALUE"""),"FLORENCE SM. MARANION")</f>
        <v>FLORENCE SM. MARANION</v>
      </c>
      <c r="L1817" s="164" t="str">
        <f ca="1">IFERROR(__xludf.DUMMYFUNCTION("""COMPUTED_VALUE"""),"LTS")</f>
        <v>LTS</v>
      </c>
      <c r="M1817" s="164" t="str">
        <f ca="1">IFERROR(__xludf.DUMMYFUNCTION("""COMPUTED_VALUE"""),"SERVICEABLE")</f>
        <v>SERVICEABLE</v>
      </c>
      <c r="N1817" s="164"/>
    </row>
    <row r="1818" spans="1:14" ht="13.2" hidden="1">
      <c r="A1818" s="164" t="str">
        <f ca="1">IFERROR(__xludf.DUMMYFUNCTION("""COMPUTED_VALUE"""),"Region IV-A")</f>
        <v>Region IV-A</v>
      </c>
      <c r="B1818" s="164"/>
      <c r="C1818" s="164" t="str">
        <f ca="1">IFERROR(__xludf.DUMMYFUNCTION("""COMPUTED_VALUE"""),"LAPTOP MSI KATANA")</f>
        <v>LAPTOP MSI KATANA</v>
      </c>
      <c r="D1818" s="164" t="str">
        <f ca="1">IFERROR(__xludf.DUMMYFUNCTION("""COMPUTED_VALUE"""),"₱ 142,100.00")</f>
        <v>₱ 142,100.00</v>
      </c>
      <c r="E1818" s="164"/>
      <c r="F1818" s="164" t="str">
        <f ca="1">IFERROR(__xludf.DUMMYFUNCTION("""COMPUTED_VALUE"""),"2024-05-03-10202SPO44-01")</f>
        <v>2024-05-03-10202SPO44-01</v>
      </c>
      <c r="G1818" s="164"/>
      <c r="H1818" s="164"/>
      <c r="I1818" s="164"/>
      <c r="J1818" s="164"/>
      <c r="K1818" s="164"/>
      <c r="L1818" s="164"/>
      <c r="M1818" s="164"/>
      <c r="N1818" s="164"/>
    </row>
    <row r="1819" spans="1:14" ht="13.2" hidden="1">
      <c r="A1819" s="164" t="str">
        <f ca="1">IFERROR(__xludf.DUMMYFUNCTION("""COMPUTED_VALUE"""),"Region IV-B")</f>
        <v>Region IV-B</v>
      </c>
      <c r="B1819" s="164" t="str">
        <f ca="1">IFERROR(__xludf.DUMMYFUNCTION("""COMPUTED_VALUE"""),"Regional Office")</f>
        <v>Regional Office</v>
      </c>
      <c r="C1819" s="164" t="str">
        <f ca="1">IFERROR(__xludf.DUMMYFUNCTION("""COMPUTED_VALUE"""),"Desktop Computer – (HP Pro SFF 280G9)")</f>
        <v>Desktop Computer – (HP Pro SFF 280G9)</v>
      </c>
      <c r="D1819" s="164" t="str">
        <f ca="1">IFERROR(__xludf.DUMMYFUNCTION("""COMPUTED_VALUE"""),"₱ 78,898.00")</f>
        <v>₱ 78,898.00</v>
      </c>
      <c r="E1819" s="164" t="str">
        <f ca="1">IFERROR(__xludf.DUMMYFUNCTION("""COMPUTED_VALUE"""),"₱ -")</f>
        <v>₱ -</v>
      </c>
      <c r="F1819" s="164" t="str">
        <f ca="1">IFERROR(__xludf.DUMMYFUNCTION("""COMPUTED_VALUE"""),"2023-05-03-10201SP244-01")</f>
        <v>2023-05-03-10201SP244-01</v>
      </c>
      <c r="G1819" s="164"/>
      <c r="H1819" s="164" t="str">
        <f ca="1">IFERROR(__xludf.DUMMYFUNCTION("""COMPUTED_VALUE"""),"FERDINAND M. DE GALA")</f>
        <v>FERDINAND M. DE GALA</v>
      </c>
      <c r="I1819" s="164" t="str">
        <f ca="1">IFERROR(__xludf.DUMMYFUNCTION("""COMPUTED_VALUE"""),"CARPO")</f>
        <v>CARPO</v>
      </c>
      <c r="J1819" s="164" t="str">
        <f ca="1">IFERROR(__xludf.DUMMYFUNCTION("""COMPUTED_VALUE"""),"23-017-SPLIT")</f>
        <v>23-017-SPLIT</v>
      </c>
      <c r="K1819" s="164" t="str">
        <f ca="1">IFERROR(__xludf.DUMMYFUNCTION("""COMPUTED_VALUE"""),"ENGR. JOCELYN A. SARILE")</f>
        <v>ENGR. JOCELYN A. SARILE</v>
      </c>
      <c r="L1819" s="164" t="str">
        <f ca="1">IFERROR(__xludf.DUMMYFUNCTION("""COMPUTED_VALUE"""),"FOD")</f>
        <v>FOD</v>
      </c>
      <c r="M1819" s="164" t="str">
        <f ca="1">IFERROR(__xludf.DUMMYFUNCTION("""COMPUTED_VALUE"""),"SERVICEABLE")</f>
        <v>SERVICEABLE</v>
      </c>
      <c r="N1819" s="164"/>
    </row>
    <row r="1820" spans="1:14" ht="13.2" hidden="1">
      <c r="A1820" s="164" t="str">
        <f ca="1">IFERROR(__xludf.DUMMYFUNCTION("""COMPUTED_VALUE"""),"Region IV-B")</f>
        <v>Region IV-B</v>
      </c>
      <c r="B1820" s="164" t="str">
        <f ca="1">IFERROR(__xludf.DUMMYFUNCTION("""COMPUTED_VALUE"""),"Regional Office")</f>
        <v>Regional Office</v>
      </c>
      <c r="C1820" s="164" t="str">
        <f ca="1">IFERROR(__xludf.DUMMYFUNCTION("""COMPUTED_VALUE"""),"Desktop Computer – (HP Pro SFF 280G9)")</f>
        <v>Desktop Computer – (HP Pro SFF 280G9)</v>
      </c>
      <c r="D1820" s="164" t="str">
        <f ca="1">IFERROR(__xludf.DUMMYFUNCTION("""COMPUTED_VALUE"""),"₱ 78,898.00")</f>
        <v>₱ 78,898.00</v>
      </c>
      <c r="E1820" s="164" t="str">
        <f ca="1">IFERROR(__xludf.DUMMYFUNCTION("""COMPUTED_VALUE"""),"₱-")</f>
        <v>₱-</v>
      </c>
      <c r="F1820" s="164" t="str">
        <f ca="1">IFERROR(__xludf.DUMMYFUNCTION("""COMPUTED_VALUE"""),"2023-05-03-10201SP252-01")</f>
        <v>2023-05-03-10201SP252-01</v>
      </c>
      <c r="G1820" s="164"/>
      <c r="H1820" s="164" t="str">
        <f ca="1">IFERROR(__xludf.DUMMYFUNCTION("""COMPUTED_VALUE"""),"FERDINAND M. DE GALA")</f>
        <v>FERDINAND M. DE GALA</v>
      </c>
      <c r="I1820" s="164" t="str">
        <f ca="1">IFERROR(__xludf.DUMMYFUNCTION("""COMPUTED_VALUE"""),"CARPO")</f>
        <v>CARPO</v>
      </c>
      <c r="J1820" s="164" t="str">
        <f ca="1">IFERROR(__xludf.DUMMYFUNCTION("""COMPUTED_VALUE"""),"23-017-SPLIT")</f>
        <v>23-017-SPLIT</v>
      </c>
      <c r="K1820" s="164" t="str">
        <f ca="1">IFERROR(__xludf.DUMMYFUNCTION("""COMPUTED_VALUE"""),"ENGR. JOCELYN A. SARILE")</f>
        <v>ENGR. JOCELYN A. SARILE</v>
      </c>
      <c r="L1820" s="164" t="str">
        <f ca="1">IFERROR(__xludf.DUMMYFUNCTION("""COMPUTED_VALUE"""),"FOD")</f>
        <v>FOD</v>
      </c>
      <c r="M1820" s="164" t="str">
        <f ca="1">IFERROR(__xludf.DUMMYFUNCTION("""COMPUTED_VALUE"""),"SERVICEABLE")</f>
        <v>SERVICEABLE</v>
      </c>
      <c r="N1820" s="164"/>
    </row>
    <row r="1821" spans="1:14" ht="13.2" hidden="1">
      <c r="A1821" s="164" t="str">
        <f ca="1">IFERROR(__xludf.DUMMYFUNCTION("""COMPUTED_VALUE"""),"Region IV-B")</f>
        <v>Region IV-B</v>
      </c>
      <c r="B1821" s="164" t="str">
        <f ca="1">IFERROR(__xludf.DUMMYFUNCTION("""COMPUTED_VALUE"""),"Regional Office")</f>
        <v>Regional Office</v>
      </c>
      <c r="C1821" s="164" t="str">
        <f ca="1">IFERROR(__xludf.DUMMYFUNCTION("""COMPUTED_VALUE"""),"Desktop Computer – (HP Pro SFF 280G9)")</f>
        <v>Desktop Computer – (HP Pro SFF 280G9)</v>
      </c>
      <c r="D1821" s="164" t="str">
        <f ca="1">IFERROR(__xludf.DUMMYFUNCTION("""COMPUTED_VALUE"""),"₱ 78,898.00")</f>
        <v>₱ 78,898.00</v>
      </c>
      <c r="E1821" s="164" t="str">
        <f ca="1">IFERROR(__xludf.DUMMYFUNCTION("""COMPUTED_VALUE"""),"₱-")</f>
        <v>₱-</v>
      </c>
      <c r="F1821" s="164" t="str">
        <f ca="1">IFERROR(__xludf.DUMMYFUNCTION("""COMPUTED_VALUE"""),"2023-05-03-10201SP251-01")</f>
        <v>2023-05-03-10201SP251-01</v>
      </c>
      <c r="G1821" s="164"/>
      <c r="H1821" s="164" t="str">
        <f ca="1">IFERROR(__xludf.DUMMYFUNCTION("""COMPUTED_VALUE"""),"FERDINAND M. DE GALA")</f>
        <v>FERDINAND M. DE GALA</v>
      </c>
      <c r="I1821" s="164" t="str">
        <f ca="1">IFERROR(__xludf.DUMMYFUNCTION("""COMPUTED_VALUE"""),"CARPO")</f>
        <v>CARPO</v>
      </c>
      <c r="J1821" s="164" t="str">
        <f ca="1">IFERROR(__xludf.DUMMYFUNCTION("""COMPUTED_VALUE"""),"23-018-SPLIT")</f>
        <v>23-018-SPLIT</v>
      </c>
      <c r="K1821" s="164" t="str">
        <f ca="1">IFERROR(__xludf.DUMMYFUNCTION("""COMPUTED_VALUE"""),"PRECIOUS JOY CRISOSTOMO")</f>
        <v>PRECIOUS JOY CRISOSTOMO</v>
      </c>
      <c r="L1821" s="164" t="str">
        <f ca="1">IFERROR(__xludf.DUMMYFUNCTION("""COMPUTED_VALUE"""),"FOD")</f>
        <v>FOD</v>
      </c>
      <c r="M1821" s="164" t="str">
        <f ca="1">IFERROR(__xludf.DUMMYFUNCTION("""COMPUTED_VALUE"""),"SERVICEABLE")</f>
        <v>SERVICEABLE</v>
      </c>
      <c r="N1821" s="164"/>
    </row>
    <row r="1822" spans="1:14" ht="13.2" hidden="1">
      <c r="A1822" s="164" t="str">
        <f ca="1">IFERROR(__xludf.DUMMYFUNCTION("""COMPUTED_VALUE"""),"Region IV-B")</f>
        <v>Region IV-B</v>
      </c>
      <c r="B1822" s="164" t="str">
        <f ca="1">IFERROR(__xludf.DUMMYFUNCTION("""COMPUTED_VALUE"""),"Regional Office")</f>
        <v>Regional Office</v>
      </c>
      <c r="C1822" s="164" t="str">
        <f ca="1">IFERROR(__xludf.DUMMYFUNCTION("""COMPUTED_VALUE"""),"Desktop Computer – (HP Pro SFF 280G9)")</f>
        <v>Desktop Computer – (HP Pro SFF 280G9)</v>
      </c>
      <c r="D1822" s="164" t="str">
        <f ca="1">IFERROR(__xludf.DUMMYFUNCTION("""COMPUTED_VALUE"""),"₱ 78,898.00")</f>
        <v>₱ 78,898.00</v>
      </c>
      <c r="E1822" s="164" t="str">
        <f ca="1">IFERROR(__xludf.DUMMYFUNCTION("""COMPUTED_VALUE"""),"₱-")</f>
        <v>₱-</v>
      </c>
      <c r="F1822" s="164" t="str">
        <f ca="1">IFERROR(__xludf.DUMMYFUNCTION("""COMPUTED_VALUE"""),"2023-05-03-10201SP250-01")</f>
        <v>2023-05-03-10201SP250-01</v>
      </c>
      <c r="G1822" s="164"/>
      <c r="H1822" s="164" t="str">
        <f ca="1">IFERROR(__xludf.DUMMYFUNCTION("""COMPUTED_VALUE"""),"MELISSA D. PUNSALAN")</f>
        <v>MELISSA D. PUNSALAN</v>
      </c>
      <c r="I1822" s="164" t="str">
        <f ca="1">IFERROR(__xludf.DUMMYFUNCTION("""COMPUTED_VALUE"""),"Regional Budget Officer")</f>
        <v>Regional Budget Officer</v>
      </c>
      <c r="J1822" s="164" t="str">
        <f ca="1">IFERROR(__xludf.DUMMYFUNCTION("""COMPUTED_VALUE"""),"23-019-SPLIT")</f>
        <v>23-019-SPLIT</v>
      </c>
      <c r="K1822" s="164" t="str">
        <f ca="1">IFERROR(__xludf.DUMMYFUNCTION("""COMPUTED_VALUE"""),"NICAELA MARIE S. SIBUG")</f>
        <v>NICAELA MARIE S. SIBUG</v>
      </c>
      <c r="L1822" s="164" t="str">
        <f ca="1">IFERROR(__xludf.DUMMYFUNCTION("""COMPUTED_VALUE"""),"STOD")</f>
        <v>STOD</v>
      </c>
      <c r="M1822" s="164" t="str">
        <f ca="1">IFERROR(__xludf.DUMMYFUNCTION("""COMPUTED_VALUE"""),"SERVICEABLE")</f>
        <v>SERVICEABLE</v>
      </c>
      <c r="N1822" s="164"/>
    </row>
    <row r="1823" spans="1:14" ht="13.2" hidden="1">
      <c r="A1823" s="164" t="str">
        <f ca="1">IFERROR(__xludf.DUMMYFUNCTION("""COMPUTED_VALUE"""),"Region IV-B")</f>
        <v>Region IV-B</v>
      </c>
      <c r="B1823" s="164" t="str">
        <f ca="1">IFERROR(__xludf.DUMMYFUNCTION("""COMPUTED_VALUE"""),"Regional Office")</f>
        <v>Regional Office</v>
      </c>
      <c r="C1823" s="164" t="str">
        <f ca="1">IFERROR(__xludf.DUMMYFUNCTION("""COMPUTED_VALUE"""),"Desktop Computer – (HP Pro SFF 280G9)")</f>
        <v>Desktop Computer – (HP Pro SFF 280G9)</v>
      </c>
      <c r="D1823" s="164" t="str">
        <f ca="1">IFERROR(__xludf.DUMMYFUNCTION("""COMPUTED_VALUE"""),"₱ 78,898.00")</f>
        <v>₱ 78,898.00</v>
      </c>
      <c r="E1823" s="164" t="str">
        <f ca="1">IFERROR(__xludf.DUMMYFUNCTION("""COMPUTED_VALUE"""),"₱-")</f>
        <v>₱-</v>
      </c>
      <c r="F1823" s="164" t="str">
        <f ca="1">IFERROR(__xludf.DUMMYFUNCTION("""COMPUTED_VALUE"""),"2023-05-03-10201SP247-01")</f>
        <v>2023-05-03-10201SP247-01</v>
      </c>
      <c r="G1823" s="164"/>
      <c r="H1823" s="164" t="str">
        <f ca="1">IFERROR(__xludf.DUMMYFUNCTION("""COMPUTED_VALUE"""),"GEFELYN A. GOLENG")</f>
        <v>GEFELYN A. GOLENG</v>
      </c>
      <c r="I1823" s="164" t="str">
        <f ca="1">IFERROR(__xludf.DUMMYFUNCTION("""COMPUTED_VALUE"""),"OIC-RCAO")</f>
        <v>OIC-RCAO</v>
      </c>
      <c r="J1823" s="164" t="str">
        <f ca="1">IFERROR(__xludf.DUMMYFUNCTION("""COMPUTED_VALUE"""),"23-020-SPLIT")</f>
        <v>23-020-SPLIT</v>
      </c>
      <c r="K1823" s="164" t="str">
        <f ca="1">IFERROR(__xludf.DUMMYFUNCTION("""COMPUTED_VALUE"""),"JOYCE FORMELOZA")</f>
        <v>JOYCE FORMELOZA</v>
      </c>
      <c r="L1823" s="164" t="str">
        <f ca="1">IFERROR(__xludf.DUMMYFUNCTION("""COMPUTED_VALUE"""),"STOD")</f>
        <v>STOD</v>
      </c>
      <c r="M1823" s="164" t="str">
        <f ca="1">IFERROR(__xludf.DUMMYFUNCTION("""COMPUTED_VALUE"""),"SERVICEABLE")</f>
        <v>SERVICEABLE</v>
      </c>
      <c r="N1823" s="164"/>
    </row>
    <row r="1824" spans="1:14" ht="13.2" hidden="1">
      <c r="A1824" s="164" t="str">
        <f ca="1">IFERROR(__xludf.DUMMYFUNCTION("""COMPUTED_VALUE"""),"Region IV-B")</f>
        <v>Region IV-B</v>
      </c>
      <c r="B1824" s="164" t="str">
        <f ca="1">IFERROR(__xludf.DUMMYFUNCTION("""COMPUTED_VALUE"""),"Regional Office")</f>
        <v>Regional Office</v>
      </c>
      <c r="C1824" s="164" t="str">
        <f ca="1">IFERROR(__xludf.DUMMYFUNCTION("""COMPUTED_VALUE"""),"Desktop Computer – (HP Pro SFF 280G9)")</f>
        <v>Desktop Computer – (HP Pro SFF 280G9)</v>
      </c>
      <c r="D1824" s="164" t="str">
        <f ca="1">IFERROR(__xludf.DUMMYFUNCTION("""COMPUTED_VALUE"""),"₱ 78,898.00")</f>
        <v>₱ 78,898.00</v>
      </c>
      <c r="E1824" s="164" t="str">
        <f ca="1">IFERROR(__xludf.DUMMYFUNCTION("""COMPUTED_VALUE"""),"₱-")</f>
        <v>₱-</v>
      </c>
      <c r="F1824" s="164" t="str">
        <f ca="1">IFERROR(__xludf.DUMMYFUNCTION("""COMPUTED_VALUE"""),"2023-05-03-10201SP248-01")</f>
        <v>2023-05-03-10201SP248-01</v>
      </c>
      <c r="G1824" s="164"/>
      <c r="H1824" s="164" t="str">
        <f ca="1">IFERROR(__xludf.DUMMYFUNCTION("""COMPUTED_VALUE"""),"GEFELYN A. GOLENG")</f>
        <v>GEFELYN A. GOLENG</v>
      </c>
      <c r="I1824" s="164" t="str">
        <f ca="1">IFERROR(__xludf.DUMMYFUNCTION("""COMPUTED_VALUE"""),"OIC-RCAO")</f>
        <v>OIC-RCAO</v>
      </c>
      <c r="J1824" s="164" t="str">
        <f ca="1">IFERROR(__xludf.DUMMYFUNCTION("""COMPUTED_VALUE"""),"23-020-SPLIT")</f>
        <v>23-020-SPLIT</v>
      </c>
      <c r="K1824" s="164" t="str">
        <f ca="1">IFERROR(__xludf.DUMMYFUNCTION("""COMPUTED_VALUE"""),"JEFELYN A. GOLENG")</f>
        <v>JEFELYN A. GOLENG</v>
      </c>
      <c r="L1824" s="164" t="str">
        <f ca="1">IFERROR(__xludf.DUMMYFUNCTION("""COMPUTED_VALUE"""),"STOD")</f>
        <v>STOD</v>
      </c>
      <c r="M1824" s="164" t="str">
        <f ca="1">IFERROR(__xludf.DUMMYFUNCTION("""COMPUTED_VALUE"""),"SERVICEABLE")</f>
        <v>SERVICEABLE</v>
      </c>
      <c r="N1824" s="164"/>
    </row>
    <row r="1825" spans="1:14" ht="13.2" hidden="1">
      <c r="A1825" s="164" t="str">
        <f ca="1">IFERROR(__xludf.DUMMYFUNCTION("""COMPUTED_VALUE"""),"Region IV-B")</f>
        <v>Region IV-B</v>
      </c>
      <c r="B1825" s="164" t="str">
        <f ca="1">IFERROR(__xludf.DUMMYFUNCTION("""COMPUTED_VALUE"""),"Regional Office")</f>
        <v>Regional Office</v>
      </c>
      <c r="C1825" s="164" t="str">
        <f ca="1">IFERROR(__xludf.DUMMYFUNCTION("""COMPUTED_VALUE"""),"Desktop Computer – (HP Pro SFF 280G9)")</f>
        <v>Desktop Computer – (HP Pro SFF 280G9)</v>
      </c>
      <c r="D1825" s="164" t="str">
        <f ca="1">IFERROR(__xludf.DUMMYFUNCTION("""COMPUTED_VALUE"""),"₱ 78,898.00")</f>
        <v>₱ 78,898.00</v>
      </c>
      <c r="E1825" s="164" t="str">
        <f ca="1">IFERROR(__xludf.DUMMYFUNCTION("""COMPUTED_VALUE"""),"₱-")</f>
        <v>₱-</v>
      </c>
      <c r="F1825" s="164" t="str">
        <f ca="1">IFERROR(__xludf.DUMMYFUNCTION("""COMPUTED_VALUE"""),"2023-05-03-10201SP246-01")</f>
        <v>2023-05-03-10201SP246-01</v>
      </c>
      <c r="G1825" s="164"/>
      <c r="H1825" s="164" t="str">
        <f ca="1">IFERROR(__xludf.DUMMYFUNCTION("""COMPUTED_VALUE"""),"MARILOU C. BASLAN")</f>
        <v>MARILOU C. BASLAN</v>
      </c>
      <c r="I1825" s="164" t="str">
        <f ca="1">IFERROR(__xludf.DUMMYFUNCTION("""COMPUTED_VALUE"""),"OIC-ARDAO")</f>
        <v>OIC-ARDAO</v>
      </c>
      <c r="J1825" s="164" t="str">
        <f ca="1">IFERROR(__xludf.DUMMYFUNCTION("""COMPUTED_VALUE"""),"23-027-SPLIT")</f>
        <v>23-027-SPLIT</v>
      </c>
      <c r="K1825" s="164" t="str">
        <f ca="1">IFERROR(__xludf.DUMMYFUNCTION("""COMPUTED_VALUE"""),"MARILOU C. BASLAN")</f>
        <v>MARILOU C. BASLAN</v>
      </c>
      <c r="L1825" s="164" t="str">
        <f ca="1">IFERROR(__xludf.DUMMYFUNCTION("""COMPUTED_VALUE"""),"FOD")</f>
        <v>FOD</v>
      </c>
      <c r="M1825" s="164" t="str">
        <f ca="1">IFERROR(__xludf.DUMMYFUNCTION("""COMPUTED_VALUE"""),"SERVICEABLE")</f>
        <v>SERVICEABLE</v>
      </c>
      <c r="N1825" s="164"/>
    </row>
    <row r="1826" spans="1:14" ht="13.2" hidden="1">
      <c r="A1826" s="164" t="str">
        <f ca="1">IFERROR(__xludf.DUMMYFUNCTION("""COMPUTED_VALUE"""),"Region IV-B")</f>
        <v>Region IV-B</v>
      </c>
      <c r="B1826" s="164" t="str">
        <f ca="1">IFERROR(__xludf.DUMMYFUNCTION("""COMPUTED_VALUE"""),"Regional Office")</f>
        <v>Regional Office</v>
      </c>
      <c r="C1826" s="164" t="str">
        <f ca="1">IFERROR(__xludf.DUMMYFUNCTION("""COMPUTED_VALUE"""),"Desktop Computer – (Lenovo M70T)")</f>
        <v>Desktop Computer – (Lenovo M70T)</v>
      </c>
      <c r="D1826" s="164" t="str">
        <f ca="1">IFERROR(__xludf.DUMMYFUNCTION("""COMPUTED_VALUE"""),"₱ 75,468.00")</f>
        <v>₱ 75,468.00</v>
      </c>
      <c r="E1826" s="164" t="str">
        <f ca="1">IFERROR(__xludf.DUMMYFUNCTION("""COMPUTED_VALUE"""),"₱-")</f>
        <v>₱-</v>
      </c>
      <c r="F1826" s="164" t="str">
        <f ca="1">IFERROR(__xludf.DUMMYFUNCTION("""COMPUTED_VALUE"""),"2023-05-03-10201SP944-01")</f>
        <v>2023-05-03-10201SP944-01</v>
      </c>
      <c r="G1826" s="164" t="str">
        <f ca="1">IFERROR(__xludf.DUMMYFUNCTION("""COMPUTED_VALUE"""),"1S11T5S16200GM0415T5")</f>
        <v>1S11T5S16200GM0415T5</v>
      </c>
      <c r="H1826" s="164" t="str">
        <f ca="1">IFERROR(__xludf.DUMMYFUNCTION("""COMPUTED_VALUE"""),"ATTY. MARVIN V. BERNAL")</f>
        <v>ATTY. MARVIN V. BERNAL</v>
      </c>
      <c r="I1826" s="164" t="str">
        <f ca="1">IFERROR(__xludf.DUMMYFUNCTION("""COMPUTED_VALUE"""),"Regional Director")</f>
        <v>Regional Director</v>
      </c>
      <c r="J1826" s="164" t="str">
        <f ca="1">IFERROR(__xludf.DUMMYFUNCTION("""COMPUTED_VALUE"""),"23-001-SPLIT")</f>
        <v>23-001-SPLIT</v>
      </c>
      <c r="K1826" s="164" t="str">
        <f ca="1">IFERROR(__xludf.DUMMYFUNCTION("""COMPUTED_VALUE"""),"ATTY. MARVIN V. BERNAL")</f>
        <v>ATTY. MARVIN V. BERNAL</v>
      </c>
      <c r="L1826" s="164" t="str">
        <f ca="1">IFERROR(__xludf.DUMMYFUNCTION("""COMPUTED_VALUE"""),"ORD")</f>
        <v>ORD</v>
      </c>
      <c r="M1826" s="164" t="str">
        <f ca="1">IFERROR(__xludf.DUMMYFUNCTION("""COMPUTED_VALUE"""),"SERVICEABLE")</f>
        <v>SERVICEABLE</v>
      </c>
      <c r="N1826" s="164"/>
    </row>
    <row r="1827" spans="1:14" ht="13.2" hidden="1">
      <c r="A1827" s="164" t="str">
        <f ca="1">IFERROR(__xludf.DUMMYFUNCTION("""COMPUTED_VALUE"""),"Region IV-B")</f>
        <v>Region IV-B</v>
      </c>
      <c r="B1827" s="164" t="str">
        <f ca="1">IFERROR(__xludf.DUMMYFUNCTION("""COMPUTED_VALUE"""),"Regional Office")</f>
        <v>Regional Office</v>
      </c>
      <c r="C1827" s="164" t="str">
        <f ca="1">IFERROR(__xludf.DUMMYFUNCTION("""COMPUTED_VALUE"""),"Desktop Computer – (Lenovo M70T)")</f>
        <v>Desktop Computer – (Lenovo M70T)</v>
      </c>
      <c r="D1827" s="164" t="str">
        <f ca="1">IFERROR(__xludf.DUMMYFUNCTION("""COMPUTED_VALUE"""),"₱ 75,468.00")</f>
        <v>₱ 75,468.00</v>
      </c>
      <c r="E1827" s="164" t="str">
        <f ca="1">IFERROR(__xludf.DUMMYFUNCTION("""COMPUTED_VALUE"""),"₱-")</f>
        <v>₱-</v>
      </c>
      <c r="F1827" s="164" t="str">
        <f ca="1">IFERROR(__xludf.DUMMYFUNCTION("""COMPUTED_VALUE"""),"2023-05-03-10201SP961-01")</f>
        <v>2023-05-03-10201SP961-01</v>
      </c>
      <c r="G1827" s="164" t="str">
        <f ca="1">IFERROR(__xludf.DUMMYFUNCTION("""COMPUTED_VALUE"""),"1S11T5S16200GM0418ER")</f>
        <v>1S11T5S16200GM0418ER</v>
      </c>
      <c r="H1827" s="164" t="str">
        <f ca="1">IFERROR(__xludf.DUMMYFUNCTION("""COMPUTED_VALUE"""),"ATTY. PACITO CANONOY JR")</f>
        <v>ATTY. PACITO CANONOY JR</v>
      </c>
      <c r="I1827" s="164" t="str">
        <f ca="1">IFERROR(__xludf.DUMMYFUNCTION("""COMPUTED_VALUE"""),"Regional Adjudicator")</f>
        <v>Regional Adjudicator</v>
      </c>
      <c r="J1827" s="164" t="str">
        <f ca="1">IFERROR(__xludf.DUMMYFUNCTION("""COMPUTED_VALUE"""),"23-002-SPLIT")</f>
        <v>23-002-SPLIT</v>
      </c>
      <c r="K1827" s="164" t="str">
        <f ca="1">IFERROR(__xludf.DUMMYFUNCTION("""COMPUTED_VALUE"""),"ATTY. PACITO CANONOY JR.")</f>
        <v>ATTY. PACITO CANONOY JR.</v>
      </c>
      <c r="L1827" s="164" t="str">
        <f ca="1">IFERROR(__xludf.DUMMYFUNCTION("""COMPUTED_VALUE"""),"DARAB")</f>
        <v>DARAB</v>
      </c>
      <c r="M1827" s="164" t="str">
        <f ca="1">IFERROR(__xludf.DUMMYFUNCTION("""COMPUTED_VALUE"""),"SERVICEABLE")</f>
        <v>SERVICEABLE</v>
      </c>
      <c r="N1827" s="164"/>
    </row>
    <row r="1828" spans="1:14" ht="13.2" hidden="1">
      <c r="A1828" s="164" t="str">
        <f ca="1">IFERROR(__xludf.DUMMYFUNCTION("""COMPUTED_VALUE"""),"Region IV-B")</f>
        <v>Region IV-B</v>
      </c>
      <c r="B1828" s="164" t="str">
        <f ca="1">IFERROR(__xludf.DUMMYFUNCTION("""COMPUTED_VALUE"""),"Regional Office")</f>
        <v>Regional Office</v>
      </c>
      <c r="C1828" s="164" t="str">
        <f ca="1">IFERROR(__xludf.DUMMYFUNCTION("""COMPUTED_VALUE"""),"Desktop Computer – (Lenovo M70T)")</f>
        <v>Desktop Computer – (Lenovo M70T)</v>
      </c>
      <c r="D1828" s="164" t="str">
        <f ca="1">IFERROR(__xludf.DUMMYFUNCTION("""COMPUTED_VALUE"""),"₱ 75,468.00")</f>
        <v>₱ 75,468.00</v>
      </c>
      <c r="E1828" s="164" t="str">
        <f ca="1">IFERROR(__xludf.DUMMYFUNCTION("""COMPUTED_VALUE"""),"₱-")</f>
        <v>₱-</v>
      </c>
      <c r="F1828" s="164" t="str">
        <f ca="1">IFERROR(__xludf.DUMMYFUNCTION("""COMPUTED_VALUE"""),"2023-05-03-10201SP957-01")</f>
        <v>2023-05-03-10201SP957-01</v>
      </c>
      <c r="G1828" s="164" t="str">
        <f ca="1">IFERROR(__xludf.DUMMYFUNCTION("""COMPUTED_VALUE"""),"1S11T5S16200GM041B5Q")</f>
        <v>1S11T5S16200GM041B5Q</v>
      </c>
      <c r="H1828" s="164" t="str">
        <f ca="1">IFERROR(__xludf.DUMMYFUNCTION("""COMPUTED_VALUE"""),"CAROL S. VALERA")</f>
        <v>CAROL S. VALERA</v>
      </c>
      <c r="I1828" s="164" t="str">
        <f ca="1">IFERROR(__xludf.DUMMYFUNCTION("""COMPUTED_VALUE"""),"Regional Cashier")</f>
        <v>Regional Cashier</v>
      </c>
      <c r="J1828" s="164" t="str">
        <f ca="1">IFERROR(__xludf.DUMMYFUNCTION("""COMPUTED_VALUE"""),"23-005-SPLIT")</f>
        <v>23-005-SPLIT</v>
      </c>
      <c r="K1828" s="164" t="str">
        <f ca="1">IFERROR(__xludf.DUMMYFUNCTION("""COMPUTED_VALUE"""),"CAROL S. VALERA")</f>
        <v>CAROL S. VALERA</v>
      </c>
      <c r="L1828" s="164" t="str">
        <f ca="1">IFERROR(__xludf.DUMMYFUNCTION("""COMPUTED_VALUE"""),"STOD")</f>
        <v>STOD</v>
      </c>
      <c r="M1828" s="164" t="str">
        <f ca="1">IFERROR(__xludf.DUMMYFUNCTION("""COMPUTED_VALUE"""),"SERVICEABLE")</f>
        <v>SERVICEABLE</v>
      </c>
      <c r="N1828" s="164"/>
    </row>
    <row r="1829" spans="1:14" ht="13.2" hidden="1">
      <c r="A1829" s="164" t="str">
        <f ca="1">IFERROR(__xludf.DUMMYFUNCTION("""COMPUTED_VALUE"""),"Region IV-B")</f>
        <v>Region IV-B</v>
      </c>
      <c r="B1829" s="164" t="str">
        <f ca="1">IFERROR(__xludf.DUMMYFUNCTION("""COMPUTED_VALUE"""),"Regional Office")</f>
        <v>Regional Office</v>
      </c>
      <c r="C1829" s="164" t="str">
        <f ca="1">IFERROR(__xludf.DUMMYFUNCTION("""COMPUTED_VALUE"""),"Desktop Computer – (Lenovo M70T)")</f>
        <v>Desktop Computer – (Lenovo M70T)</v>
      </c>
      <c r="D1829" s="164" t="str">
        <f ca="1">IFERROR(__xludf.DUMMYFUNCTION("""COMPUTED_VALUE"""),"₱ 75,468.00")</f>
        <v>₱ 75,468.00</v>
      </c>
      <c r="E1829" s="164" t="str">
        <f ca="1">IFERROR(__xludf.DUMMYFUNCTION("""COMPUTED_VALUE"""),"₱-")</f>
        <v>₱-</v>
      </c>
      <c r="F1829" s="164" t="str">
        <f ca="1">IFERROR(__xludf.DUMMYFUNCTION("""COMPUTED_VALUE"""),"2023-05-03-10201SP956-01")</f>
        <v>2023-05-03-10201SP956-01</v>
      </c>
      <c r="G1829" s="164" t="str">
        <f ca="1">IFERROR(__xludf.DUMMYFUNCTION("""COMPUTED_VALUE"""),"1S11T5S16200GM041B2K")</f>
        <v>1S11T5S16200GM041B2K</v>
      </c>
      <c r="H1829" s="164" t="str">
        <f ca="1">IFERROR(__xludf.DUMMYFUNCTION("""COMPUTED_VALUE"""),"ERWIN RALPH A. LLAMES")</f>
        <v>ERWIN RALPH A. LLAMES</v>
      </c>
      <c r="I1829" s="164" t="str">
        <f ca="1">IFERROR(__xludf.DUMMYFUNCTION("""COMPUTED_VALUE"""),"Regional Supply Officer")</f>
        <v>Regional Supply Officer</v>
      </c>
      <c r="J1829" s="164" t="str">
        <f ca="1">IFERROR(__xludf.DUMMYFUNCTION("""COMPUTED_VALUE"""),"23-008-SPLIT")</f>
        <v>23-008-SPLIT</v>
      </c>
      <c r="K1829" s="164" t="str">
        <f ca="1">IFERROR(__xludf.DUMMYFUNCTION("""COMPUTED_VALUE"""),"ERWIN RALPH A. LLAMES")</f>
        <v>ERWIN RALPH A. LLAMES</v>
      </c>
      <c r="L1829" s="164" t="str">
        <f ca="1">IFERROR(__xludf.DUMMYFUNCTION("""COMPUTED_VALUE"""),"STOD")</f>
        <v>STOD</v>
      </c>
      <c r="M1829" s="164" t="str">
        <f ca="1">IFERROR(__xludf.DUMMYFUNCTION("""COMPUTED_VALUE"""),"SERVICEABLE")</f>
        <v>SERVICEABLE</v>
      </c>
      <c r="N1829" s="164"/>
    </row>
    <row r="1830" spans="1:14" ht="13.2" hidden="1">
      <c r="A1830" s="164" t="str">
        <f ca="1">IFERROR(__xludf.DUMMYFUNCTION("""COMPUTED_VALUE"""),"Region IV-B")</f>
        <v>Region IV-B</v>
      </c>
      <c r="B1830" s="164" t="str">
        <f ca="1">IFERROR(__xludf.DUMMYFUNCTION("""COMPUTED_VALUE"""),"Regional Office")</f>
        <v>Regional Office</v>
      </c>
      <c r="C1830" s="164" t="str">
        <f ca="1">IFERROR(__xludf.DUMMYFUNCTION("""COMPUTED_VALUE"""),"Desktop Computer – (Lenovo M70T)")</f>
        <v>Desktop Computer – (Lenovo M70T)</v>
      </c>
      <c r="D1830" s="164" t="str">
        <f ca="1">IFERROR(__xludf.DUMMYFUNCTION("""COMPUTED_VALUE"""),"₱ 75,468.00")</f>
        <v>₱ 75,468.00</v>
      </c>
      <c r="E1830" s="164" t="str">
        <f ca="1">IFERROR(__xludf.DUMMYFUNCTION("""COMPUTED_VALUE"""),"₱-")</f>
        <v>₱-</v>
      </c>
      <c r="F1830" s="164" t="str">
        <f ca="1">IFERROR(__xludf.DUMMYFUNCTION("""COMPUTED_VALUE"""),"2023-05-03-10201SP958-01")</f>
        <v>2023-05-03-10201SP958-01</v>
      </c>
      <c r="G1830" s="164" t="str">
        <f ca="1">IFERROR(__xludf.DUMMYFUNCTION("""COMPUTED_VALUE"""),"1S11T5S16200GM0418ES")</f>
        <v>1S11T5S16200GM0418ES</v>
      </c>
      <c r="H1830" s="164" t="str">
        <f ca="1">IFERROR(__xludf.DUMMYFUNCTION("""COMPUTED_VALUE"""),"ERWIN RALPH A. LLAMES")</f>
        <v>ERWIN RALPH A. LLAMES</v>
      </c>
      <c r="I1830" s="164" t="str">
        <f ca="1">IFERROR(__xludf.DUMMYFUNCTION("""COMPUTED_VALUE"""),"Regional Supply Officer")</f>
        <v>Regional Supply Officer</v>
      </c>
      <c r="J1830" s="164" t="str">
        <f ca="1">IFERROR(__xludf.DUMMYFUNCTION("""COMPUTED_VALUE"""),"23-006-SPLIT")</f>
        <v>23-006-SPLIT</v>
      </c>
      <c r="K1830" s="164" t="str">
        <f ca="1">IFERROR(__xludf.DUMMYFUNCTION("""COMPUTED_VALUE"""),"LORIE MAY G. SABANAL")</f>
        <v>LORIE MAY G. SABANAL</v>
      </c>
      <c r="L1830" s="164" t="str">
        <f ca="1">IFERROR(__xludf.DUMMYFUNCTION("""COMPUTED_VALUE"""),"STOD")</f>
        <v>STOD</v>
      </c>
      <c r="M1830" s="164" t="str">
        <f ca="1">IFERROR(__xludf.DUMMYFUNCTION("""COMPUTED_VALUE"""),"SERVICEABLE")</f>
        <v>SERVICEABLE</v>
      </c>
      <c r="N1830" s="164"/>
    </row>
    <row r="1831" spans="1:14" ht="13.2" hidden="1">
      <c r="A1831" s="164" t="str">
        <f ca="1">IFERROR(__xludf.DUMMYFUNCTION("""COMPUTED_VALUE"""),"Region IV-B")</f>
        <v>Region IV-B</v>
      </c>
      <c r="B1831" s="164" t="str">
        <f ca="1">IFERROR(__xludf.DUMMYFUNCTION("""COMPUTED_VALUE"""),"Regional Office")</f>
        <v>Regional Office</v>
      </c>
      <c r="C1831" s="164" t="str">
        <f ca="1">IFERROR(__xludf.DUMMYFUNCTION("""COMPUTED_VALUE"""),"Desktop Computer – (Lenovo M70T)")</f>
        <v>Desktop Computer – (Lenovo M70T)</v>
      </c>
      <c r="D1831" s="164" t="str">
        <f ca="1">IFERROR(__xludf.DUMMYFUNCTION("""COMPUTED_VALUE"""),"₱ 75,468.00")</f>
        <v>₱ 75,468.00</v>
      </c>
      <c r="E1831" s="164" t="str">
        <f ca="1">IFERROR(__xludf.DUMMYFUNCTION("""COMPUTED_VALUE"""),"₱-")</f>
        <v>₱-</v>
      </c>
      <c r="F1831" s="164" t="str">
        <f ca="1">IFERROR(__xludf.DUMMYFUNCTION("""COMPUTED_VALUE"""),"2023-05-03-10201SP946-01")</f>
        <v>2023-05-03-10201SP946-01</v>
      </c>
      <c r="G1831" s="164" t="str">
        <f ca="1">IFERROR(__xludf.DUMMYFUNCTION("""COMPUTED_VALUE"""),"1S11T5S16200GM0415YP")</f>
        <v>1S11T5S16200GM0415YP</v>
      </c>
      <c r="H1831" s="164" t="str">
        <f ca="1">IFERROR(__xludf.DUMMYFUNCTION("""COMPUTED_VALUE"""),"FERDINAND M. DE GALA")</f>
        <v>FERDINAND M. DE GALA</v>
      </c>
      <c r="I1831" s="164" t="str">
        <f ca="1">IFERROR(__xludf.DUMMYFUNCTION("""COMPUTED_VALUE"""),"CARPO")</f>
        <v>CARPO</v>
      </c>
      <c r="J1831" s="164" t="str">
        <f ca="1">IFERROR(__xludf.DUMMYFUNCTION("""COMPUTED_VALUE"""),"23-007-SPLIT")</f>
        <v>23-007-SPLIT</v>
      </c>
      <c r="K1831" s="164" t="str">
        <f ca="1">IFERROR(__xludf.DUMMYFUNCTION("""COMPUTED_VALUE"""),"FERDINAND M. DE GALA")</f>
        <v>FERDINAND M. DE GALA</v>
      </c>
      <c r="L1831" s="164" t="str">
        <f ca="1">IFERROR(__xludf.DUMMYFUNCTION("""COMPUTED_VALUE"""),"FOD")</f>
        <v>FOD</v>
      </c>
      <c r="M1831" s="164" t="str">
        <f ca="1">IFERROR(__xludf.DUMMYFUNCTION("""COMPUTED_VALUE"""),"SERVICEABLE")</f>
        <v>SERVICEABLE</v>
      </c>
      <c r="N1831" s="164"/>
    </row>
    <row r="1832" spans="1:14" ht="13.2" hidden="1">
      <c r="A1832" s="164" t="str">
        <f ca="1">IFERROR(__xludf.DUMMYFUNCTION("""COMPUTED_VALUE"""),"Region IV-B")</f>
        <v>Region IV-B</v>
      </c>
      <c r="B1832" s="164" t="str">
        <f ca="1">IFERROR(__xludf.DUMMYFUNCTION("""COMPUTED_VALUE"""),"Regional Office")</f>
        <v>Regional Office</v>
      </c>
      <c r="C1832" s="164" t="str">
        <f ca="1">IFERROR(__xludf.DUMMYFUNCTION("""COMPUTED_VALUE"""),"Desktop Computer – (Lenovo M70T)")</f>
        <v>Desktop Computer – (Lenovo M70T)</v>
      </c>
      <c r="D1832" s="164" t="str">
        <f ca="1">IFERROR(__xludf.DUMMYFUNCTION("""COMPUTED_VALUE"""),"₱ 75,468.00")</f>
        <v>₱ 75,468.00</v>
      </c>
      <c r="E1832" s="164" t="str">
        <f ca="1">IFERROR(__xludf.DUMMYFUNCTION("""COMPUTED_VALUE"""),"₱-")</f>
        <v>₱-</v>
      </c>
      <c r="F1832" s="164" t="str">
        <f ca="1">IFERROR(__xludf.DUMMYFUNCTION("""COMPUTED_VALUE"""),"2023-05-03-10201SP963-01")</f>
        <v>2023-05-03-10201SP963-01</v>
      </c>
      <c r="G1832" s="164" t="str">
        <f ca="1">IFERROR(__xludf.DUMMYFUNCTION("""COMPUTED_VALUE"""),"1S11T5S16200GM0418KJ")</f>
        <v>1S11T5S16200GM0418KJ</v>
      </c>
      <c r="H1832" s="164" t="str">
        <f ca="1">IFERROR(__xludf.DUMMYFUNCTION("""COMPUTED_VALUE"""),"FERDINAND M. DE GALA")</f>
        <v>FERDINAND M. DE GALA</v>
      </c>
      <c r="I1832" s="164" t="str">
        <f ca="1">IFERROR(__xludf.DUMMYFUNCTION("""COMPUTED_VALUE"""),"CARPO")</f>
        <v>CARPO</v>
      </c>
      <c r="J1832" s="164" t="str">
        <f ca="1">IFERROR(__xludf.DUMMYFUNCTION("""COMPUTED_VALUE"""),"23-009-SPLIT")</f>
        <v>23-009-SPLIT</v>
      </c>
      <c r="K1832" s="164" t="str">
        <f ca="1">IFERROR(__xludf.DUMMYFUNCTION("""COMPUTED_VALUE"""),"ANGELO ARNALD SANTOS")</f>
        <v>ANGELO ARNALD SANTOS</v>
      </c>
      <c r="L1832" s="164" t="str">
        <f ca="1">IFERROR(__xludf.DUMMYFUNCTION("""COMPUTED_VALUE"""),"FOD")</f>
        <v>FOD</v>
      </c>
      <c r="M1832" s="164" t="str">
        <f ca="1">IFERROR(__xludf.DUMMYFUNCTION("""COMPUTED_VALUE"""),"SERVICEABLE")</f>
        <v>SERVICEABLE</v>
      </c>
      <c r="N1832" s="164"/>
    </row>
    <row r="1833" spans="1:14" ht="13.2" hidden="1">
      <c r="A1833" s="164" t="str">
        <f ca="1">IFERROR(__xludf.DUMMYFUNCTION("""COMPUTED_VALUE"""),"Region IV-B")</f>
        <v>Region IV-B</v>
      </c>
      <c r="B1833" s="164" t="str">
        <f ca="1">IFERROR(__xludf.DUMMYFUNCTION("""COMPUTED_VALUE"""),"Regional Office")</f>
        <v>Regional Office</v>
      </c>
      <c r="C1833" s="164" t="str">
        <f ca="1">IFERROR(__xludf.DUMMYFUNCTION("""COMPUTED_VALUE"""),"Desktop Computer – (Lenovo M70T)")</f>
        <v>Desktop Computer – (Lenovo M70T)</v>
      </c>
      <c r="D1833" s="164" t="str">
        <f ca="1">IFERROR(__xludf.DUMMYFUNCTION("""COMPUTED_VALUE"""),"₱ 75,468.00")</f>
        <v>₱ 75,468.00</v>
      </c>
      <c r="E1833" s="164" t="str">
        <f ca="1">IFERROR(__xludf.DUMMYFUNCTION("""COMPUTED_VALUE"""),"₱-")</f>
        <v>₱-</v>
      </c>
      <c r="F1833" s="164" t="str">
        <f ca="1">IFERROR(__xludf.DUMMYFUNCTION("""COMPUTED_VALUE"""),"2023-05-03-10201SP953-01")</f>
        <v>2023-05-03-10201SP953-01</v>
      </c>
      <c r="G1833" s="164" t="str">
        <f ca="1">IFERROR(__xludf.DUMMYFUNCTION("""COMPUTED_VALUE"""),"1S11T5S16200GM0415W1")</f>
        <v>1S11T5S16200GM0415W1</v>
      </c>
      <c r="H1833" s="164" t="str">
        <f ca="1">IFERROR(__xludf.DUMMYFUNCTION("""COMPUTED_VALUE"""),"LUDIVINA L. VINARAO")</f>
        <v>LUDIVINA L. VINARAO</v>
      </c>
      <c r="I1833" s="164" t="str">
        <f ca="1">IFERROR(__xludf.DUMMYFUNCTION("""COMPUTED_VALUE"""),"Regional Planning Officer")</f>
        <v>Regional Planning Officer</v>
      </c>
      <c r="J1833" s="164" t="str">
        <f ca="1">IFERROR(__xludf.DUMMYFUNCTION("""COMPUTED_VALUE"""),"23-010-SPLIT")</f>
        <v>23-010-SPLIT</v>
      </c>
      <c r="K1833" s="164" t="str">
        <f ca="1">IFERROR(__xludf.DUMMYFUNCTION("""COMPUTED_VALUE"""),"LUDIVINA L. VINARAO")</f>
        <v>LUDIVINA L. VINARAO</v>
      </c>
      <c r="L1833" s="164" t="str">
        <f ca="1">IFERROR(__xludf.DUMMYFUNCTION("""COMPUTED_VALUE"""),"STOD")</f>
        <v>STOD</v>
      </c>
      <c r="M1833" s="164" t="str">
        <f ca="1">IFERROR(__xludf.DUMMYFUNCTION("""COMPUTED_VALUE"""),"SERVICEABLE")</f>
        <v>SERVICEABLE</v>
      </c>
      <c r="N1833" s="164"/>
    </row>
    <row r="1834" spans="1:14" ht="13.2" hidden="1">
      <c r="A1834" s="164" t="str">
        <f ca="1">IFERROR(__xludf.DUMMYFUNCTION("""COMPUTED_VALUE"""),"Region IV-B")</f>
        <v>Region IV-B</v>
      </c>
      <c r="B1834" s="164" t="str">
        <f ca="1">IFERROR(__xludf.DUMMYFUNCTION("""COMPUTED_VALUE"""),"Regional Office")</f>
        <v>Regional Office</v>
      </c>
      <c r="C1834" s="164" t="str">
        <f ca="1">IFERROR(__xludf.DUMMYFUNCTION("""COMPUTED_VALUE"""),"Desktop Computer – (Lenovo M70T)")</f>
        <v>Desktop Computer – (Lenovo M70T)</v>
      </c>
      <c r="D1834" s="164" t="str">
        <f ca="1">IFERROR(__xludf.DUMMYFUNCTION("""COMPUTED_VALUE"""),"₱ 75,468.00")</f>
        <v>₱ 75,468.00</v>
      </c>
      <c r="E1834" s="164" t="str">
        <f ca="1">IFERROR(__xludf.DUMMYFUNCTION("""COMPUTED_VALUE"""),"₱-")</f>
        <v>₱-</v>
      </c>
      <c r="F1834" s="164" t="str">
        <f ca="1">IFERROR(__xludf.DUMMYFUNCTION("""COMPUTED_VALUE"""),"2023-05-03-10201SP954-01")</f>
        <v>2023-05-03-10201SP954-01</v>
      </c>
      <c r="G1834" s="164" t="str">
        <f ca="1">IFERROR(__xludf.DUMMYFUNCTION("""COMPUTED_VALUE"""),"1S11T5S16200GM041B2P")</f>
        <v>1S11T5S16200GM041B2P</v>
      </c>
      <c r="H1834" s="164" t="str">
        <f ca="1">IFERROR(__xludf.DUMMYFUNCTION("""COMPUTED_VALUE"""),"MELISSA D. PUNSALAN")</f>
        <v>MELISSA D. PUNSALAN</v>
      </c>
      <c r="I1834" s="164" t="str">
        <f ca="1">IFERROR(__xludf.DUMMYFUNCTION("""COMPUTED_VALUE"""),"Regional Budget Officer")</f>
        <v>Regional Budget Officer</v>
      </c>
      <c r="J1834" s="164" t="str">
        <f ca="1">IFERROR(__xludf.DUMMYFUNCTION("""COMPUTED_VALUE"""),"23-011-SPLIT")</f>
        <v>23-011-SPLIT</v>
      </c>
      <c r="K1834" s="164" t="str">
        <f ca="1">IFERROR(__xludf.DUMMYFUNCTION("""COMPUTED_VALUE"""),"MELISSA D. PUNSALAN")</f>
        <v>MELISSA D. PUNSALAN</v>
      </c>
      <c r="L1834" s="164" t="str">
        <f ca="1">IFERROR(__xludf.DUMMYFUNCTION("""COMPUTED_VALUE"""),"STOD")</f>
        <v>STOD</v>
      </c>
      <c r="M1834" s="164" t="str">
        <f ca="1">IFERROR(__xludf.DUMMYFUNCTION("""COMPUTED_VALUE"""),"SERVICEABLE")</f>
        <v>SERVICEABLE</v>
      </c>
      <c r="N1834" s="164"/>
    </row>
    <row r="1835" spans="1:14" ht="13.2" hidden="1">
      <c r="A1835" s="164" t="str">
        <f ca="1">IFERROR(__xludf.DUMMYFUNCTION("""COMPUTED_VALUE"""),"Region IV-B")</f>
        <v>Region IV-B</v>
      </c>
      <c r="B1835" s="164" t="str">
        <f ca="1">IFERROR(__xludf.DUMMYFUNCTION("""COMPUTED_VALUE"""),"Regional Office")</f>
        <v>Regional Office</v>
      </c>
      <c r="C1835" s="164" t="str">
        <f ca="1">IFERROR(__xludf.DUMMYFUNCTION("""COMPUTED_VALUE"""),"Desktop Computer – (Lenovo M70T)")</f>
        <v>Desktop Computer – (Lenovo M70T)</v>
      </c>
      <c r="D1835" s="164" t="str">
        <f ca="1">IFERROR(__xludf.DUMMYFUNCTION("""COMPUTED_VALUE"""),"₱ 75,468.00")</f>
        <v>₱ 75,468.00</v>
      </c>
      <c r="E1835" s="164" t="str">
        <f ca="1">IFERROR(__xludf.DUMMYFUNCTION("""COMPUTED_VALUE"""),"₱-")</f>
        <v>₱-</v>
      </c>
      <c r="F1835" s="164" t="str">
        <f ca="1">IFERROR(__xludf.DUMMYFUNCTION("""COMPUTED_VALUE"""),"2023-05-03-10201SP955-01")</f>
        <v>2023-05-03-10201SP955-01</v>
      </c>
      <c r="G1835" s="164" t="str">
        <f ca="1">IFERROR(__xludf.DUMMYFUNCTION("""COMPUTED_VALUE"""),"1S11T5S16200GM0415VM")</f>
        <v>1S11T5S16200GM0415VM</v>
      </c>
      <c r="H1835" s="164" t="str">
        <f ca="1">IFERROR(__xludf.DUMMYFUNCTION("""COMPUTED_VALUE"""),"REYNALDO O. FORMELIZA")</f>
        <v>REYNALDO O. FORMELIZA</v>
      </c>
      <c r="I1835" s="164" t="str">
        <f ca="1">IFERROR(__xludf.DUMMYFUNCTION("""COMPUTED_VALUE"""),"ARPO II")</f>
        <v>ARPO II</v>
      </c>
      <c r="J1835" s="164" t="str">
        <f ca="1">IFERROR(__xludf.DUMMYFUNCTION("""COMPUTED_VALUE"""),"23-012-SPLIT")</f>
        <v>23-012-SPLIT</v>
      </c>
      <c r="K1835" s="164" t="str">
        <f ca="1">IFERROR(__xludf.DUMMYFUNCTION("""COMPUTED_VALUE"""),"REYNALDO O. FORMELIZA")</f>
        <v>REYNALDO O. FORMELIZA</v>
      </c>
      <c r="L1835" s="164" t="str">
        <f ca="1">IFERROR(__xludf.DUMMYFUNCTION("""COMPUTED_VALUE"""),"STOD")</f>
        <v>STOD</v>
      </c>
      <c r="M1835" s="164" t="str">
        <f ca="1">IFERROR(__xludf.DUMMYFUNCTION("""COMPUTED_VALUE"""),"SERVICEABLE")</f>
        <v>SERVICEABLE</v>
      </c>
      <c r="N1835" s="164"/>
    </row>
    <row r="1836" spans="1:14" ht="13.2" hidden="1">
      <c r="A1836" s="164" t="str">
        <f ca="1">IFERROR(__xludf.DUMMYFUNCTION("""COMPUTED_VALUE"""),"Region IV-B")</f>
        <v>Region IV-B</v>
      </c>
      <c r="B1836" s="164" t="str">
        <f ca="1">IFERROR(__xludf.DUMMYFUNCTION("""COMPUTED_VALUE"""),"Regional Office")</f>
        <v>Regional Office</v>
      </c>
      <c r="C1836" s="164" t="str">
        <f ca="1">IFERROR(__xludf.DUMMYFUNCTION("""COMPUTED_VALUE"""),"Desktop Computer – (Lenovo M70T)")</f>
        <v>Desktop Computer – (Lenovo M70T)</v>
      </c>
      <c r="D1836" s="164" t="str">
        <f ca="1">IFERROR(__xludf.DUMMYFUNCTION("""COMPUTED_VALUE"""),"₱ 75,468.00")</f>
        <v>₱ 75,468.00</v>
      </c>
      <c r="E1836" s="164" t="str">
        <f ca="1">IFERROR(__xludf.DUMMYFUNCTION("""COMPUTED_VALUE"""),"₱-")</f>
        <v>₱-</v>
      </c>
      <c r="F1836" s="164" t="str">
        <f ca="1">IFERROR(__xludf.DUMMYFUNCTION("""COMPUTED_VALUE"""),"2023-05-03-10201SP947-01")</f>
        <v>2023-05-03-10201SP947-01</v>
      </c>
      <c r="G1836" s="164" t="str">
        <f ca="1">IFERROR(__xludf.DUMMYFUNCTION("""COMPUTED_VALUE"""),"1S11T5S16200GM0415V9")</f>
        <v>1S11T5S16200GM0415V9</v>
      </c>
      <c r="H1836" s="164" t="str">
        <f ca="1">IFERROR(__xludf.DUMMYFUNCTION("""COMPUTED_VALUE"""),"ROSEMARIE T. DE LEON")</f>
        <v>ROSEMARIE T. DE LEON</v>
      </c>
      <c r="I1836" s="164" t="str">
        <f ca="1">IFERROR(__xludf.DUMMYFUNCTION("""COMPUTED_VALUE"""),"SUARPO")</f>
        <v>SUARPO</v>
      </c>
      <c r="J1836" s="164" t="str">
        <f ca="1">IFERROR(__xludf.DUMMYFUNCTION("""COMPUTED_VALUE"""),"23-013-SPLIT")</f>
        <v>23-013-SPLIT</v>
      </c>
      <c r="K1836" s="164" t="str">
        <f ca="1">IFERROR(__xludf.DUMMYFUNCTION("""COMPUTED_VALUE"""),"ROSEMARIE T. DE LEON")</f>
        <v>ROSEMARIE T. DE LEON</v>
      </c>
      <c r="L1836" s="164" t="str">
        <f ca="1">IFERROR(__xludf.DUMMYFUNCTION("""COMPUTED_VALUE"""),"FOD")</f>
        <v>FOD</v>
      </c>
      <c r="M1836" s="164" t="str">
        <f ca="1">IFERROR(__xludf.DUMMYFUNCTION("""COMPUTED_VALUE"""),"SERVICEABLE")</f>
        <v>SERVICEABLE</v>
      </c>
      <c r="N1836" s="164"/>
    </row>
    <row r="1837" spans="1:14" ht="13.2" hidden="1">
      <c r="A1837" s="164" t="str">
        <f ca="1">IFERROR(__xludf.DUMMYFUNCTION("""COMPUTED_VALUE"""),"Region IV-B")</f>
        <v>Region IV-B</v>
      </c>
      <c r="B1837" s="164" t="str">
        <f ca="1">IFERROR(__xludf.DUMMYFUNCTION("""COMPUTED_VALUE"""),"Regional Office")</f>
        <v>Regional Office</v>
      </c>
      <c r="C1837" s="164" t="str">
        <f ca="1">IFERROR(__xludf.DUMMYFUNCTION("""COMPUTED_VALUE"""),"Desktop Computer – (Lenovo M70T)")</f>
        <v>Desktop Computer – (Lenovo M70T)</v>
      </c>
      <c r="D1837" s="164" t="str">
        <f ca="1">IFERROR(__xludf.DUMMYFUNCTION("""COMPUTED_VALUE"""),"₱ 75,468.00")</f>
        <v>₱ 75,468.00</v>
      </c>
      <c r="E1837" s="164" t="str">
        <f ca="1">IFERROR(__xludf.DUMMYFUNCTION("""COMPUTED_VALUE"""),"₱-")</f>
        <v>₱-</v>
      </c>
      <c r="F1837" s="164" t="str">
        <f ca="1">IFERROR(__xludf.DUMMYFUNCTION("""COMPUTED_VALUE"""),"2023-05-03-10201SP950-01")</f>
        <v>2023-05-03-10201SP950-01</v>
      </c>
      <c r="G1837" s="164" t="str">
        <f ca="1">IFERROR(__xludf.DUMMYFUNCTION("""COMPUTED_VALUE"""),"1S11T5S16200GM0415X7")</f>
        <v>1S11T5S16200GM0415X7</v>
      </c>
      <c r="H1837" s="164" t="str">
        <f ca="1">IFERROR(__xludf.DUMMYFUNCTION("""COMPUTED_VALUE"""),"ROSEMARIE T. DE LEON")</f>
        <v>ROSEMARIE T. DE LEON</v>
      </c>
      <c r="I1837" s="164" t="str">
        <f ca="1">IFERROR(__xludf.DUMMYFUNCTION("""COMPUTED_VALUE"""),"SUARPO")</f>
        <v>SUARPO</v>
      </c>
      <c r="J1837" s="164" t="str">
        <f ca="1">IFERROR(__xludf.DUMMYFUNCTION("""COMPUTED_VALUE"""),"23-013-SPLIT")</f>
        <v>23-013-SPLIT</v>
      </c>
      <c r="K1837" s="164" t="str">
        <f ca="1">IFERROR(__xludf.DUMMYFUNCTION("""COMPUTED_VALUE"""),"SHARLENE P. PEREÑO")</f>
        <v>SHARLENE P. PEREÑO</v>
      </c>
      <c r="L1837" s="164" t="str">
        <f ca="1">IFERROR(__xludf.DUMMYFUNCTION("""COMPUTED_VALUE"""),"FOD")</f>
        <v>FOD</v>
      </c>
      <c r="M1837" s="164" t="str">
        <f ca="1">IFERROR(__xludf.DUMMYFUNCTION("""COMPUTED_VALUE"""),"SERVICEABLE")</f>
        <v>SERVICEABLE</v>
      </c>
      <c r="N1837" s="164"/>
    </row>
    <row r="1838" spans="1:14" ht="13.2" hidden="1">
      <c r="A1838" s="164" t="str">
        <f ca="1">IFERROR(__xludf.DUMMYFUNCTION("""COMPUTED_VALUE"""),"Region IV-B")</f>
        <v>Region IV-B</v>
      </c>
      <c r="B1838" s="164" t="str">
        <f ca="1">IFERROR(__xludf.DUMMYFUNCTION("""COMPUTED_VALUE"""),"Regional Office")</f>
        <v>Regional Office</v>
      </c>
      <c r="C1838" s="164" t="str">
        <f ca="1">IFERROR(__xludf.DUMMYFUNCTION("""COMPUTED_VALUE"""),"Desktop Computer – (Lenovo M70T)")</f>
        <v>Desktop Computer – (Lenovo M70T)</v>
      </c>
      <c r="D1838" s="164" t="str">
        <f ca="1">IFERROR(__xludf.DUMMYFUNCTION("""COMPUTED_VALUE"""),"₱ 75,468.00")</f>
        <v>₱ 75,468.00</v>
      </c>
      <c r="E1838" s="164" t="str">
        <f ca="1">IFERROR(__xludf.DUMMYFUNCTION("""COMPUTED_VALUE"""),"₱-")</f>
        <v>₱-</v>
      </c>
      <c r="F1838" s="164" t="str">
        <f ca="1">IFERROR(__xludf.DUMMYFUNCTION("""COMPUTED_VALUE"""),"2023-05-03-10201SP948-01")</f>
        <v>2023-05-03-10201SP948-01</v>
      </c>
      <c r="G1838" s="164" t="str">
        <f ca="1">IFERROR(__xludf.DUMMYFUNCTION("""COMPUTED_VALUE"""),"1S11T5S16200GM041600")</f>
        <v>1S11T5S16200GM041600</v>
      </c>
      <c r="H1838" s="164" t="str">
        <f ca="1">IFERROR(__xludf.DUMMYFUNCTION("""COMPUTED_VALUE"""),"RUELLA DE LEON")</f>
        <v>RUELLA DE LEON</v>
      </c>
      <c r="I1838" s="164" t="str">
        <f ca="1">IFERROR(__xludf.DUMMYFUNCTION("""COMPUTED_VALUE"""),"SARPO")</f>
        <v>SARPO</v>
      </c>
      <c r="J1838" s="164" t="str">
        <f ca="1">IFERROR(__xludf.DUMMYFUNCTION("""COMPUTED_VALUE"""),"23-014-SPLIT")</f>
        <v>23-014-SPLIT</v>
      </c>
      <c r="K1838" s="164" t="str">
        <f ca="1">IFERROR(__xludf.DUMMYFUNCTION("""COMPUTED_VALUE"""),"ENGR. ALJHON V. MANALILI")</f>
        <v>ENGR. ALJHON V. MANALILI</v>
      </c>
      <c r="L1838" s="164" t="str">
        <f ca="1">IFERROR(__xludf.DUMMYFUNCTION("""COMPUTED_VALUE"""),"FOD")</f>
        <v>FOD</v>
      </c>
      <c r="M1838" s="164" t="str">
        <f ca="1">IFERROR(__xludf.DUMMYFUNCTION("""COMPUTED_VALUE"""),"SERVICEABLE")</f>
        <v>SERVICEABLE</v>
      </c>
      <c r="N1838" s="164"/>
    </row>
    <row r="1839" spans="1:14" ht="13.2" hidden="1">
      <c r="A1839" s="164" t="str">
        <f ca="1">IFERROR(__xludf.DUMMYFUNCTION("""COMPUTED_VALUE"""),"Region IV-B")</f>
        <v>Region IV-B</v>
      </c>
      <c r="B1839" s="164" t="str">
        <f ca="1">IFERROR(__xludf.DUMMYFUNCTION("""COMPUTED_VALUE"""),"Regional Office")</f>
        <v>Regional Office</v>
      </c>
      <c r="C1839" s="164" t="str">
        <f ca="1">IFERROR(__xludf.DUMMYFUNCTION("""COMPUTED_VALUE"""),"Desktop Computer – (Lenovo M70T)")</f>
        <v>Desktop Computer – (Lenovo M70T)</v>
      </c>
      <c r="D1839" s="164" t="str">
        <f ca="1">IFERROR(__xludf.DUMMYFUNCTION("""COMPUTED_VALUE"""),"₱ 75,468.00")</f>
        <v>₱ 75,468.00</v>
      </c>
      <c r="E1839" s="164" t="str">
        <f ca="1">IFERROR(__xludf.DUMMYFUNCTION("""COMPUTED_VALUE"""),"₱-")</f>
        <v>₱-</v>
      </c>
      <c r="F1839" s="164" t="str">
        <f ca="1">IFERROR(__xludf.DUMMYFUNCTION("""COMPUTED_VALUE"""),"2023-05-03-10201SP951-01")</f>
        <v>2023-05-03-10201SP951-01</v>
      </c>
      <c r="G1839" s="164" t="str">
        <f ca="1">IFERROR(__xludf.DUMMYFUNCTION("""COMPUTED_VALUE"""),"1S11T5S16200GM041B4T")</f>
        <v>1S11T5S16200GM041B4T</v>
      </c>
      <c r="H1839" s="164" t="str">
        <f ca="1">IFERROR(__xludf.DUMMYFUNCTION("""COMPUTED_VALUE"""),"RUELLA DE LEON")</f>
        <v>RUELLA DE LEON</v>
      </c>
      <c r="I1839" s="164" t="str">
        <f ca="1">IFERROR(__xludf.DUMMYFUNCTION("""COMPUTED_VALUE"""),"SARPO")</f>
        <v>SARPO</v>
      </c>
      <c r="J1839" s="164" t="str">
        <f ca="1">IFERROR(__xludf.DUMMYFUNCTION("""COMPUTED_VALUE"""),"23-014-SPLIT")</f>
        <v>23-014-SPLIT</v>
      </c>
      <c r="K1839" s="164" t="str">
        <f ca="1">IFERROR(__xludf.DUMMYFUNCTION("""COMPUTED_VALUE"""),"ENGR. ALJHON V. MANALILI")</f>
        <v>ENGR. ALJHON V. MANALILI</v>
      </c>
      <c r="L1839" s="164" t="str">
        <f ca="1">IFERROR(__xludf.DUMMYFUNCTION("""COMPUTED_VALUE"""),"FOD")</f>
        <v>FOD</v>
      </c>
      <c r="M1839" s="164" t="str">
        <f ca="1">IFERROR(__xludf.DUMMYFUNCTION("""COMPUTED_VALUE"""),"SERVICEABLE")</f>
        <v>SERVICEABLE</v>
      </c>
      <c r="N1839" s="164"/>
    </row>
    <row r="1840" spans="1:14" ht="13.2" hidden="1">
      <c r="A1840" s="164" t="str">
        <f ca="1">IFERROR(__xludf.DUMMYFUNCTION("""COMPUTED_VALUE"""),"Region IV-B")</f>
        <v>Region IV-B</v>
      </c>
      <c r="B1840" s="164" t="str">
        <f ca="1">IFERROR(__xludf.DUMMYFUNCTION("""COMPUTED_VALUE"""),"Regional Office")</f>
        <v>Regional Office</v>
      </c>
      <c r="C1840" s="164" t="str">
        <f ca="1">IFERROR(__xludf.DUMMYFUNCTION("""COMPUTED_VALUE"""),"Desktop Computer – (Lenovo M70T)")</f>
        <v>Desktop Computer – (Lenovo M70T)</v>
      </c>
      <c r="D1840" s="164" t="str">
        <f ca="1">IFERROR(__xludf.DUMMYFUNCTION("""COMPUTED_VALUE"""),"₱ 75,468.00")</f>
        <v>₱ 75,468.00</v>
      </c>
      <c r="E1840" s="164" t="str">
        <f ca="1">IFERROR(__xludf.DUMMYFUNCTION("""COMPUTED_VALUE"""),"₱-")</f>
        <v>₱-</v>
      </c>
      <c r="F1840" s="164" t="str">
        <f ca="1">IFERROR(__xludf.DUMMYFUNCTION("""COMPUTED_VALUE"""),"2023-05-03-10201SP949-01")</f>
        <v>2023-05-03-10201SP949-01</v>
      </c>
      <c r="G1840" s="164" t="str">
        <f ca="1">IFERROR(__xludf.DUMMYFUNCTION("""COMPUTED_VALUE"""),"1S11T5S16200GM0415YN")</f>
        <v>1S11T5S16200GM0415YN</v>
      </c>
      <c r="H1840" s="164" t="str">
        <f ca="1">IFERROR(__xludf.DUMMYFUNCTION("""COMPUTED_VALUE"""),"SHEILA D. RESURRECCION")</f>
        <v>SHEILA D. RESURRECCION</v>
      </c>
      <c r="I1840" s="164" t="str">
        <f ca="1">IFERROR(__xludf.DUMMYFUNCTION("""COMPUTED_VALUE"""),"SARPO")</f>
        <v>SARPO</v>
      </c>
      <c r="J1840" s="164" t="str">
        <f ca="1">IFERROR(__xludf.DUMMYFUNCTION("""COMPUTED_VALUE"""),"23-015-SPLIT")</f>
        <v>23-015-SPLIT</v>
      </c>
      <c r="K1840" s="164" t="str">
        <f ca="1">IFERROR(__xludf.DUMMYFUNCTION("""COMPUTED_VALUE"""),"MARVIN DUSTIN LIM")</f>
        <v>MARVIN DUSTIN LIM</v>
      </c>
      <c r="L1840" s="164" t="str">
        <f ca="1">IFERROR(__xludf.DUMMYFUNCTION("""COMPUTED_VALUE"""),"FOD")</f>
        <v>FOD</v>
      </c>
      <c r="M1840" s="164" t="str">
        <f ca="1">IFERROR(__xludf.DUMMYFUNCTION("""COMPUTED_VALUE"""),"SERVICEABLE")</f>
        <v>SERVICEABLE</v>
      </c>
      <c r="N1840" s="164"/>
    </row>
    <row r="1841" spans="1:14" ht="13.2" hidden="1">
      <c r="A1841" s="164" t="str">
        <f ca="1">IFERROR(__xludf.DUMMYFUNCTION("""COMPUTED_VALUE"""),"Region IV-B")</f>
        <v>Region IV-B</v>
      </c>
      <c r="B1841" s="164" t="str">
        <f ca="1">IFERROR(__xludf.DUMMYFUNCTION("""COMPUTED_VALUE"""),"Regional Office")</f>
        <v>Regional Office</v>
      </c>
      <c r="C1841" s="164" t="str">
        <f ca="1">IFERROR(__xludf.DUMMYFUNCTION("""COMPUTED_VALUE"""),"Desktop Computer – (Lenovo M70T)")</f>
        <v>Desktop Computer – (Lenovo M70T)</v>
      </c>
      <c r="D1841" s="164" t="str">
        <f ca="1">IFERROR(__xludf.DUMMYFUNCTION("""COMPUTED_VALUE"""),"₱ 75,468.00")</f>
        <v>₱ 75,468.00</v>
      </c>
      <c r="E1841" s="164" t="str">
        <f ca="1">IFERROR(__xludf.DUMMYFUNCTION("""COMPUTED_VALUE"""),"₱-")</f>
        <v>₱-</v>
      </c>
      <c r="F1841" s="164" t="str">
        <f ca="1">IFERROR(__xludf.DUMMYFUNCTION("""COMPUTED_VALUE"""),"2023-05-03-10201SP962-01")</f>
        <v>2023-05-03-10201SP962-01</v>
      </c>
      <c r="G1841" s="164" t="str">
        <f ca="1">IFERROR(__xludf.DUMMYFUNCTION("""COMPUTED_VALUE"""),"1S11T5S16200GM041AZ3")</f>
        <v>1S11T5S16200GM041AZ3</v>
      </c>
      <c r="H1841" s="164" t="str">
        <f ca="1">IFERROR(__xludf.DUMMYFUNCTION("""COMPUTED_VALUE"""),"SHEILA D. RESURRECCION")</f>
        <v>SHEILA D. RESURRECCION</v>
      </c>
      <c r="I1841" s="164" t="str">
        <f ca="1">IFERROR(__xludf.DUMMYFUNCTION("""COMPUTED_VALUE"""),"SARPO")</f>
        <v>SARPO</v>
      </c>
      <c r="J1841" s="164" t="str">
        <f ca="1">IFERROR(__xludf.DUMMYFUNCTION("""COMPUTED_VALUE"""),"23-015-SPLIT")</f>
        <v>23-015-SPLIT</v>
      </c>
      <c r="K1841" s="164" t="str">
        <f ca="1">IFERROR(__xludf.DUMMYFUNCTION("""COMPUTED_VALUE"""),"SHEILA D. RESURRECCION")</f>
        <v>SHEILA D. RESURRECCION</v>
      </c>
      <c r="L1841" s="164" t="str">
        <f ca="1">IFERROR(__xludf.DUMMYFUNCTION("""COMPUTED_VALUE"""),"FOD")</f>
        <v>FOD</v>
      </c>
      <c r="M1841" s="164" t="str">
        <f ca="1">IFERROR(__xludf.DUMMYFUNCTION("""COMPUTED_VALUE"""),"SERVICEABLE")</f>
        <v>SERVICEABLE</v>
      </c>
      <c r="N1841" s="164"/>
    </row>
    <row r="1842" spans="1:14" ht="13.2" hidden="1">
      <c r="A1842" s="164" t="str">
        <f ca="1">IFERROR(__xludf.DUMMYFUNCTION("""COMPUTED_VALUE"""),"Region IV-B")</f>
        <v>Region IV-B</v>
      </c>
      <c r="B1842" s="164" t="str">
        <f ca="1">IFERROR(__xludf.DUMMYFUNCTION("""COMPUTED_VALUE"""),"Regional Office")</f>
        <v>Regional Office</v>
      </c>
      <c r="C1842" s="164" t="str">
        <f ca="1">IFERROR(__xludf.DUMMYFUNCTION("""COMPUTED_VALUE"""),"Desktop Computer – (Lenovo M70T)")</f>
        <v>Desktop Computer – (Lenovo M70T)</v>
      </c>
      <c r="D1842" s="164" t="str">
        <f ca="1">IFERROR(__xludf.DUMMYFUNCTION("""COMPUTED_VALUE"""),"₱ 75,468.00")</f>
        <v>₱ 75,468.00</v>
      </c>
      <c r="E1842" s="164" t="str">
        <f ca="1">IFERROR(__xludf.DUMMYFUNCTION("""COMPUTED_VALUE"""),"₱-")</f>
        <v>₱-</v>
      </c>
      <c r="F1842" s="164" t="str">
        <f ca="1">IFERROR(__xludf.DUMMYFUNCTION("""COMPUTED_VALUE"""),"2023-05-03-10201SP952-01")</f>
        <v>2023-05-03-10201SP952-01</v>
      </c>
      <c r="G1842" s="164" t="str">
        <f ca="1">IFERROR(__xludf.DUMMYFUNCTION("""COMPUTED_VALUE"""),"1S11T5S16200GM041B2F")</f>
        <v>1S11T5S16200GM041B2F</v>
      </c>
      <c r="H1842" s="164" t="str">
        <f ca="1">IFERROR(__xludf.DUMMYFUNCTION("""COMPUTED_VALUE"""),"GEFELYN A. GOLENG")</f>
        <v>GEFELYN A. GOLENG</v>
      </c>
      <c r="I1842" s="164" t="str">
        <f ca="1">IFERROR(__xludf.DUMMYFUNCTION("""COMPUTED_VALUE"""),"OIC-RCAO")</f>
        <v>OIC-RCAO</v>
      </c>
      <c r="J1842" s="164" t="str">
        <f ca="1">IFERROR(__xludf.DUMMYFUNCTION("""COMPUTED_VALUE"""),"23-022-SPLIT")</f>
        <v>23-022-SPLIT</v>
      </c>
      <c r="K1842" s="164" t="str">
        <f ca="1">IFERROR(__xludf.DUMMYFUNCTION("""COMPUTED_VALUE"""),"AURORA CAYETANO")</f>
        <v>AURORA CAYETANO</v>
      </c>
      <c r="L1842" s="164" t="str">
        <f ca="1">IFERROR(__xludf.DUMMYFUNCTION("""COMPUTED_VALUE"""),"STOD")</f>
        <v>STOD</v>
      </c>
      <c r="M1842" s="164" t="str">
        <f ca="1">IFERROR(__xludf.DUMMYFUNCTION("""COMPUTED_VALUE"""),"SERVICEABLE")</f>
        <v>SERVICEABLE</v>
      </c>
      <c r="N1842" s="164"/>
    </row>
    <row r="1843" spans="1:14" ht="13.2" hidden="1">
      <c r="A1843" s="164" t="str">
        <f ca="1">IFERROR(__xludf.DUMMYFUNCTION("""COMPUTED_VALUE"""),"Region IV-B")</f>
        <v>Region IV-B</v>
      </c>
      <c r="B1843" s="164" t="str">
        <f ca="1">IFERROR(__xludf.DUMMYFUNCTION("""COMPUTED_VALUE"""),"Regional Office")</f>
        <v>Regional Office</v>
      </c>
      <c r="C1843" s="164" t="str">
        <f ca="1">IFERROR(__xludf.DUMMYFUNCTION("""COMPUTED_VALUE"""),"Desktop Computer – (Lenovo M70T)")</f>
        <v>Desktop Computer – (Lenovo M70T)</v>
      </c>
      <c r="D1843" s="164" t="str">
        <f ca="1">IFERROR(__xludf.DUMMYFUNCTION("""COMPUTED_VALUE"""),"₱ 75,468.00")</f>
        <v>₱ 75,468.00</v>
      </c>
      <c r="E1843" s="164" t="str">
        <f ca="1">IFERROR(__xludf.DUMMYFUNCTION("""COMPUTED_VALUE"""),"₱-")</f>
        <v>₱-</v>
      </c>
      <c r="F1843" s="164" t="str">
        <f ca="1">IFERROR(__xludf.DUMMYFUNCTION("""COMPUTED_VALUE"""),"2023-05-03-10201SP945-01")</f>
        <v>2023-05-03-10201SP945-01</v>
      </c>
      <c r="G1843" s="164" t="str">
        <f ca="1">IFERROR(__xludf.DUMMYFUNCTION("""COMPUTED_VALUE"""),"1S11T5S16200GM0415VK")</f>
        <v>1S11T5S16200GM0415VK</v>
      </c>
      <c r="H1843" s="164" t="str">
        <f ca="1">IFERROR(__xludf.DUMMYFUNCTION("""COMPUTED_VALUE"""),"JOSEFINA M. LOPEZ")</f>
        <v>JOSEFINA M. LOPEZ</v>
      </c>
      <c r="I1843" s="164" t="str">
        <f ca="1">IFERROR(__xludf.DUMMYFUNCTION("""COMPUTED_VALUE"""),"OIC-ARDA")</f>
        <v>OIC-ARDA</v>
      </c>
      <c r="J1843" s="164" t="str">
        <f ca="1">IFERROR(__xludf.DUMMYFUNCTION("""COMPUTED_VALUE"""),"23-025-SPLIT")</f>
        <v>23-025-SPLIT</v>
      </c>
      <c r="K1843" s="164" t="str">
        <f ca="1">IFERROR(__xludf.DUMMYFUNCTION("""COMPUTED_VALUE"""),"JOSEFINA M. LOPEZ")</f>
        <v>JOSEFINA M. LOPEZ</v>
      </c>
      <c r="L1843" s="164" t="str">
        <f ca="1">IFERROR(__xludf.DUMMYFUNCTION("""COMPUTED_VALUE"""),"STOD")</f>
        <v>STOD</v>
      </c>
      <c r="M1843" s="164" t="str">
        <f ca="1">IFERROR(__xludf.DUMMYFUNCTION("""COMPUTED_VALUE"""),"SERVICEABLE")</f>
        <v>SERVICEABLE</v>
      </c>
      <c r="N1843" s="164"/>
    </row>
    <row r="1844" spans="1:14" ht="13.2" hidden="1">
      <c r="A1844" s="164" t="str">
        <f ca="1">IFERROR(__xludf.DUMMYFUNCTION("""COMPUTED_VALUE"""),"Region IV-B")</f>
        <v>Region IV-B</v>
      </c>
      <c r="B1844" s="164" t="str">
        <f ca="1">IFERROR(__xludf.DUMMYFUNCTION("""COMPUTED_VALUE"""),"Regional Office")</f>
        <v>Regional Office</v>
      </c>
      <c r="C1844" s="164" t="str">
        <f ca="1">IFERROR(__xludf.DUMMYFUNCTION("""COMPUTED_VALUE"""),"Desktop Computer – (Lenovo M70T)")</f>
        <v>Desktop Computer – (Lenovo M70T)</v>
      </c>
      <c r="D1844" s="164" t="str">
        <f ca="1">IFERROR(__xludf.DUMMYFUNCTION("""COMPUTED_VALUE"""),"₱ 75,468.00")</f>
        <v>₱ 75,468.00</v>
      </c>
      <c r="E1844" s="164" t="str">
        <f ca="1">IFERROR(__xludf.DUMMYFUNCTION("""COMPUTED_VALUE"""),"₱-")</f>
        <v>₱-</v>
      </c>
      <c r="F1844" s="164" t="str">
        <f ca="1">IFERROR(__xludf.DUMMYFUNCTION("""COMPUTED_VALUE"""),"2023-05-03-10201SP959-01")</f>
        <v>2023-05-03-10201SP959-01</v>
      </c>
      <c r="G1844" s="164" t="str">
        <f ca="1">IFERROR(__xludf.DUMMYFUNCTION("""COMPUTED_VALUE"""),"1S11T5S16200GM0415Y8")</f>
        <v>1S11T5S16200GM0415Y8</v>
      </c>
      <c r="H1844" s="164" t="str">
        <f ca="1">IFERROR(__xludf.DUMMYFUNCTION("""COMPUTED_VALUE"""),"AILA MARIE B. QUINTO")</f>
        <v>AILA MARIE B. QUINTO</v>
      </c>
      <c r="I1844" s="164" t="str">
        <f ca="1">IFERROR(__xludf.DUMMYFUNCTION("""COMPUTED_VALUE"""),"ARPO II")</f>
        <v>ARPO II</v>
      </c>
      <c r="J1844" s="164" t="str">
        <f ca="1">IFERROR(__xludf.DUMMYFUNCTION("""COMPUTED_VALUE"""),"24-001-SPLIT")</f>
        <v>24-001-SPLIT</v>
      </c>
      <c r="K1844" s="164" t="str">
        <f ca="1">IFERROR(__xludf.DUMMYFUNCTION("""COMPUTED_VALUE"""),"AILA MARIE B. QUINTO")</f>
        <v>AILA MARIE B. QUINTO</v>
      </c>
      <c r="L1844" s="164" t="str">
        <f ca="1">IFERROR(__xludf.DUMMYFUNCTION("""COMPUTED_VALUE"""),"LEGAL DIVISION")</f>
        <v>LEGAL DIVISION</v>
      </c>
      <c r="M1844" s="164" t="str">
        <f ca="1">IFERROR(__xludf.DUMMYFUNCTION("""COMPUTED_VALUE"""),"SERVICEABLE")</f>
        <v>SERVICEABLE</v>
      </c>
      <c r="N1844" s="164"/>
    </row>
    <row r="1845" spans="1:14" ht="13.2" hidden="1">
      <c r="A1845" s="164" t="str">
        <f ca="1">IFERROR(__xludf.DUMMYFUNCTION("""COMPUTED_VALUE"""),"Region IV-B")</f>
        <v>Region IV-B</v>
      </c>
      <c r="B1845" s="164" t="str">
        <f ca="1">IFERROR(__xludf.DUMMYFUNCTION("""COMPUTED_VALUE"""),"Regional Office")</f>
        <v>Regional Office</v>
      </c>
      <c r="C1845" s="164" t="str">
        <f ca="1">IFERROR(__xludf.DUMMYFUNCTION("""COMPUTED_VALUE"""),"Desktop Computer – (Lenovo M70T)")</f>
        <v>Desktop Computer – (Lenovo M70T)</v>
      </c>
      <c r="D1845" s="164" t="str">
        <f ca="1">IFERROR(__xludf.DUMMYFUNCTION("""COMPUTED_VALUE"""),"₱ 75,468.00")</f>
        <v>₱ 75,468.00</v>
      </c>
      <c r="E1845" s="164" t="str">
        <f ca="1">IFERROR(__xludf.DUMMYFUNCTION("""COMPUTED_VALUE"""),"₱-")</f>
        <v>₱-</v>
      </c>
      <c r="F1845" s="164" t="str">
        <f ca="1">IFERROR(__xludf.DUMMYFUNCTION("""COMPUTED_VALUE"""),"2023-05-03-10201SP960-01")</f>
        <v>2023-05-03-10201SP960-01</v>
      </c>
      <c r="G1845" s="164" t="str">
        <f ca="1">IFERROR(__xludf.DUMMYFUNCTION("""COMPUTED_VALUE"""),"1S11T5S16200GM041B2J")</f>
        <v>1S11T5S16200GM041B2J</v>
      </c>
      <c r="H1845" s="164" t="str">
        <f ca="1">IFERROR(__xludf.DUMMYFUNCTION("""COMPUTED_VALUE"""),"LEA C. COLON")</f>
        <v>LEA C. COLON</v>
      </c>
      <c r="I1845" s="164" t="str">
        <f ca="1">IFERROR(__xludf.DUMMYFUNCTION("""COMPUTED_VALUE"""),"ARPO II")</f>
        <v>ARPO II</v>
      </c>
      <c r="J1845" s="164" t="str">
        <f ca="1">IFERROR(__xludf.DUMMYFUNCTION("""COMPUTED_VALUE"""),"24-002-SPLIT")</f>
        <v>24-002-SPLIT</v>
      </c>
      <c r="K1845" s="164" t="str">
        <f ca="1">IFERROR(__xludf.DUMMYFUNCTION("""COMPUTED_VALUE"""),"LEA C. COLON")</f>
        <v>LEA C. COLON</v>
      </c>
      <c r="L1845" s="164" t="str">
        <f ca="1">IFERROR(__xludf.DUMMYFUNCTION("""COMPUTED_VALUE"""),"LEGAL DIVISION")</f>
        <v>LEGAL DIVISION</v>
      </c>
      <c r="M1845" s="164" t="str">
        <f ca="1">IFERROR(__xludf.DUMMYFUNCTION("""COMPUTED_VALUE"""),"SERVICEABLE")</f>
        <v>SERVICEABLE</v>
      </c>
      <c r="N1845" s="164"/>
    </row>
    <row r="1846" spans="1:14" ht="13.2" hidden="1">
      <c r="A1846" s="164" t="str">
        <f ca="1">IFERROR(__xludf.DUMMYFUNCTION("""COMPUTED_VALUE"""),"Region IV-B")</f>
        <v>Region IV-B</v>
      </c>
      <c r="B1846" s="164" t="str">
        <f ca="1">IFERROR(__xludf.DUMMYFUNCTION("""COMPUTED_VALUE"""),"Regional Office")</f>
        <v>Regional Office</v>
      </c>
      <c r="C1846" s="164" t="str">
        <f ca="1">IFERROR(__xludf.DUMMYFUNCTION("""COMPUTED_VALUE"""),"PLOTTER (3IN1)")</f>
        <v>PLOTTER (3IN1)</v>
      </c>
      <c r="D1846" s="164" t="str">
        <f ca="1">IFERROR(__xludf.DUMMYFUNCTION("""COMPUTED_VALUE"""),"₱ 648,000.00")</f>
        <v>₱ 648,000.00</v>
      </c>
      <c r="E1846" s="164" t="str">
        <f ca="1">IFERROR(__xludf.DUMMYFUNCTION("""COMPUTED_VALUE"""),"₱-")</f>
        <v>₱-</v>
      </c>
      <c r="F1846" s="164" t="str">
        <f ca="1">IFERROR(__xludf.DUMMYFUNCTION("""COMPUTED_VALUE"""),"2024-05-13-10204SP04-O1")</f>
        <v>2024-05-13-10204SP04-O1</v>
      </c>
      <c r="G1846" s="164"/>
      <c r="H1846" s="164" t="str">
        <f ca="1">IFERROR(__xludf.DUMMYFUNCTION("""COMPUTED_VALUE"""),"ATTY MARVIN V BERNAL")</f>
        <v>ATTY MARVIN V BERNAL</v>
      </c>
      <c r="I1846" s="164" t="str">
        <f ca="1">IFERROR(__xludf.DUMMYFUNCTION("""COMPUTED_VALUE"""),"Regional Director")</f>
        <v>Regional Director</v>
      </c>
      <c r="J1846" s="164" t="str">
        <f ca="1">IFERROR(__xludf.DUMMYFUNCTION("""COMPUTED_VALUE"""),"2024-05-003PL")</f>
        <v>2024-05-003PL</v>
      </c>
      <c r="K1846" s="164" t="str">
        <f ca="1">IFERROR(__xludf.DUMMYFUNCTION("""COMPUTED_VALUE"""),"ATTY MARVIN V BERNAL")</f>
        <v>ATTY MARVIN V BERNAL</v>
      </c>
      <c r="L1846" s="164" t="str">
        <f ca="1">IFERROR(__xludf.DUMMYFUNCTION("""COMPUTED_VALUE"""),"DARRO IVB")</f>
        <v>DARRO IVB</v>
      </c>
      <c r="M1846" s="164" t="str">
        <f ca="1">IFERROR(__xludf.DUMMYFUNCTION("""COMPUTED_VALUE"""),"SERVICEABLE")</f>
        <v>SERVICEABLE</v>
      </c>
      <c r="N1846" s="164"/>
    </row>
    <row r="1847" spans="1:14" ht="13.2" hidden="1">
      <c r="A1847" s="164" t="str">
        <f ca="1">IFERROR(__xludf.DUMMYFUNCTION("""COMPUTED_VALUE"""),"Region IV-B")</f>
        <v>Region IV-B</v>
      </c>
      <c r="B1847" s="164" t="str">
        <f ca="1">IFERROR(__xludf.DUMMYFUNCTION("""COMPUTED_VALUE"""),"Regional Office")</f>
        <v>Regional Office</v>
      </c>
      <c r="C1847" s="164" t="str">
        <f ca="1">IFERROR(__xludf.DUMMYFUNCTION("""COMPUTED_VALUE"""),"A3 PRINTER (BROTHER)")</f>
        <v>A3 PRINTER (BROTHER)</v>
      </c>
      <c r="D1847" s="164" t="str">
        <f ca="1">IFERROR(__xludf.DUMMYFUNCTION("""COMPUTED_VALUE"""),"₱ 33,508.00")</f>
        <v>₱ 33,508.00</v>
      </c>
      <c r="E1847" s="164" t="str">
        <f ca="1">IFERROR(__xludf.DUMMYFUNCTION("""COMPUTED_VALUE"""),"₱-")</f>
        <v>₱-</v>
      </c>
      <c r="F1847" s="164" t="str">
        <f ca="1">IFERROR(__xludf.DUMMYFUNCTION("""COMPUTED_VALUE"""),"HV-SPLIT-102-24-05-51")</f>
        <v>HV-SPLIT-102-24-05-51</v>
      </c>
      <c r="G1847" s="164"/>
      <c r="H1847" s="164" t="str">
        <f ca="1">IFERROR(__xludf.DUMMYFUNCTION("""COMPUTED_VALUE"""),"ATTY MARVIN V BERNAL")</f>
        <v>ATTY MARVIN V BERNAL</v>
      </c>
      <c r="I1847" s="164" t="str">
        <f ca="1">IFERROR(__xludf.DUMMYFUNCTION("""COMPUTED_VALUE"""),"REGIONAL DIRECTOR")</f>
        <v>REGIONAL DIRECTOR</v>
      </c>
      <c r="J1847" s="164" t="str">
        <f ca="1">IFERROR(__xludf.DUMMYFUNCTION("""COMPUTED_VALUE"""),"2024-03-009")</f>
        <v>2024-03-009</v>
      </c>
      <c r="K1847" s="164"/>
      <c r="L1847" s="164" t="str">
        <f ca="1">IFERROR(__xludf.DUMMYFUNCTION("""COMPUTED_VALUE"""),"DARRO IVB")</f>
        <v>DARRO IVB</v>
      </c>
      <c r="M1847" s="164" t="str">
        <f ca="1">IFERROR(__xludf.DUMMYFUNCTION("""COMPUTED_VALUE"""),"SERVICEABLE")</f>
        <v>SERVICEABLE</v>
      </c>
      <c r="N1847" s="164"/>
    </row>
    <row r="1848" spans="1:14" ht="13.2" hidden="1">
      <c r="A1848" s="164" t="str">
        <f ca="1">IFERROR(__xludf.DUMMYFUNCTION("""COMPUTED_VALUE"""),"Region IV-B")</f>
        <v>Region IV-B</v>
      </c>
      <c r="B1848" s="164" t="str">
        <f ca="1">IFERROR(__xludf.DUMMYFUNCTION("""COMPUTED_VALUE"""),"Regional Office")</f>
        <v>Regional Office</v>
      </c>
      <c r="C1848" s="164" t="str">
        <f ca="1">IFERROR(__xludf.DUMMYFUNCTION("""COMPUTED_VALUE"""),"ACER TRAVELMATE")</f>
        <v>ACER TRAVELMATE</v>
      </c>
      <c r="D1848" s="164" t="str">
        <f ca="1">IFERROR(__xludf.DUMMYFUNCTION("""COMPUTED_VALUE"""),"₱ 46,580.00")</f>
        <v>₱ 46,580.00</v>
      </c>
      <c r="E1848" s="164" t="str">
        <f ca="1">IFERROR(__xludf.DUMMYFUNCTION("""COMPUTED_VALUE"""),"₱-")</f>
        <v>₱-</v>
      </c>
      <c r="F1848" s="164" t="str">
        <f ca="1">IFERROR(__xludf.DUMMYFUNCTION("""COMPUTED_VALUE"""),"2024-05-03-10202SP-310-01")</f>
        <v>2024-05-03-10202SP-310-01</v>
      </c>
      <c r="G1848" s="164"/>
      <c r="H1848" s="164" t="str">
        <f ca="1">IFERROR(__xludf.DUMMYFUNCTION("""COMPUTED_VALUE"""),"SHARON TERRIE BALAGOT")</f>
        <v>SHARON TERRIE BALAGOT</v>
      </c>
      <c r="I1848" s="164" t="str">
        <f ca="1">IFERROR(__xludf.DUMMYFUNCTION("""COMPUTED_VALUE"""),"INFO OFFICER III")</f>
        <v>INFO OFFICER III</v>
      </c>
      <c r="J1848" s="164"/>
      <c r="K1848" s="164" t="str">
        <f ca="1">IFERROR(__xludf.DUMMYFUNCTION("""COMPUTED_VALUE"""),"SHARON TERRIE BALAGOT")</f>
        <v>SHARON TERRIE BALAGOT</v>
      </c>
      <c r="L1848" s="164" t="str">
        <f ca="1">IFERROR(__xludf.DUMMYFUNCTION("""COMPUTED_VALUE"""),"DARRO IVB")</f>
        <v>DARRO IVB</v>
      </c>
      <c r="M1848" s="164" t="str">
        <f ca="1">IFERROR(__xludf.DUMMYFUNCTION("""COMPUTED_VALUE"""),"SERVICEABLE")</f>
        <v>SERVICEABLE</v>
      </c>
      <c r="N1848" s="164"/>
    </row>
    <row r="1849" spans="1:14" ht="13.2" hidden="1">
      <c r="A1849" s="164" t="str">
        <f ca="1">IFERROR(__xludf.DUMMYFUNCTION("""COMPUTED_VALUE"""),"Region IV-B")</f>
        <v>Region IV-B</v>
      </c>
      <c r="B1849" s="164" t="str">
        <f ca="1">IFERROR(__xludf.DUMMYFUNCTION("""COMPUTED_VALUE"""),"Regional Office")</f>
        <v>Regional Office</v>
      </c>
      <c r="C1849" s="164" t="str">
        <f ca="1">IFERROR(__xludf.DUMMYFUNCTION("""COMPUTED_VALUE"""),"ACER TRAVELMATE")</f>
        <v>ACER TRAVELMATE</v>
      </c>
      <c r="D1849" s="164" t="str">
        <f ca="1">IFERROR(__xludf.DUMMYFUNCTION("""COMPUTED_VALUE"""),"₱ 46,580.00")</f>
        <v>₱ 46,580.00</v>
      </c>
      <c r="E1849" s="164" t="str">
        <f ca="1">IFERROR(__xludf.DUMMYFUNCTION("""COMPUTED_VALUE"""),"₱-")</f>
        <v>₱-</v>
      </c>
      <c r="F1849" s="164" t="str">
        <f ca="1">IFERROR(__xludf.DUMMYFUNCTION("""COMPUTED_VALUE"""),"2024-05-03-10202SP-250-01")</f>
        <v>2024-05-03-10202SP-250-01</v>
      </c>
      <c r="G1849" s="164"/>
      <c r="H1849" s="164" t="str">
        <f ca="1">IFERROR(__xludf.DUMMYFUNCTION("""COMPUTED_VALUE"""),"ROSEMARIE DE LEON")</f>
        <v>ROSEMARIE DE LEON</v>
      </c>
      <c r="I1849" s="164" t="str">
        <f ca="1">IFERROR(__xludf.DUMMYFUNCTION("""COMPUTED_VALUE"""),"ESS COORDINATOR")</f>
        <v>ESS COORDINATOR</v>
      </c>
      <c r="J1849" s="164"/>
      <c r="K1849" s="164" t="str">
        <f ca="1">IFERROR(__xludf.DUMMYFUNCTION("""COMPUTED_VALUE"""),"ROSEMARIE DE LEON")</f>
        <v>ROSEMARIE DE LEON</v>
      </c>
      <c r="L1849" s="164" t="str">
        <f ca="1">IFERROR(__xludf.DUMMYFUNCTION("""COMPUTED_VALUE"""),"DARRO IVB")</f>
        <v>DARRO IVB</v>
      </c>
      <c r="M1849" s="164" t="str">
        <f ca="1">IFERROR(__xludf.DUMMYFUNCTION("""COMPUTED_VALUE"""),"SERVICEABLE")</f>
        <v>SERVICEABLE</v>
      </c>
      <c r="N1849" s="164"/>
    </row>
    <row r="1850" spans="1:14" ht="13.2" hidden="1">
      <c r="A1850" s="164" t="str">
        <f ca="1">IFERROR(__xludf.DUMMYFUNCTION("""COMPUTED_VALUE"""),"Region IV-B")</f>
        <v>Region IV-B</v>
      </c>
      <c r="B1850" s="164" t="str">
        <f ca="1">IFERROR(__xludf.DUMMYFUNCTION("""COMPUTED_VALUE"""),"Regional Office")</f>
        <v>Regional Office</v>
      </c>
      <c r="C1850" s="164" t="str">
        <f ca="1">IFERROR(__xludf.DUMMYFUNCTION("""COMPUTED_VALUE"""),"ACER TRAVELMATE")</f>
        <v>ACER TRAVELMATE</v>
      </c>
      <c r="D1850" s="164" t="str">
        <f ca="1">IFERROR(__xludf.DUMMYFUNCTION("""COMPUTED_VALUE"""),"₱ 46,580.00")</f>
        <v>₱ 46,580.00</v>
      </c>
      <c r="E1850" s="164" t="str">
        <f ca="1">IFERROR(__xludf.DUMMYFUNCTION("""COMPUTED_VALUE"""),"₱-")</f>
        <v>₱-</v>
      </c>
      <c r="F1850" s="164" t="str">
        <f ca="1">IFERROR(__xludf.DUMMYFUNCTION("""COMPUTED_VALUE"""),"2024-05-03-10202SP-332-01")</f>
        <v>2024-05-03-10202SP-332-01</v>
      </c>
      <c r="G1850" s="164"/>
      <c r="H1850" s="164" t="str">
        <f ca="1">IFERROR(__xludf.DUMMYFUNCTION("""COMPUTED_VALUE"""),"ROSEMARIE DE LEON")</f>
        <v>ROSEMARIE DE LEON</v>
      </c>
      <c r="I1850" s="164" t="str">
        <f ca="1">IFERROR(__xludf.DUMMYFUNCTION("""COMPUTED_VALUE"""),"ESS COORDINATOR")</f>
        <v>ESS COORDINATOR</v>
      </c>
      <c r="J1850" s="164"/>
      <c r="K1850" s="164" t="str">
        <f ca="1">IFERROR(__xludf.DUMMYFUNCTION("""COMPUTED_VALUE"""),"ROSEMARIE DE LEON")</f>
        <v>ROSEMARIE DE LEON</v>
      </c>
      <c r="L1850" s="164" t="str">
        <f ca="1">IFERROR(__xludf.DUMMYFUNCTION("""COMPUTED_VALUE"""),"DARRO IVB")</f>
        <v>DARRO IVB</v>
      </c>
      <c r="M1850" s="164" t="str">
        <f ca="1">IFERROR(__xludf.DUMMYFUNCTION("""COMPUTED_VALUE"""),"SERVICEABLE")</f>
        <v>SERVICEABLE</v>
      </c>
      <c r="N1850" s="164"/>
    </row>
    <row r="1851" spans="1:14" ht="13.2" hidden="1">
      <c r="A1851" s="164" t="str">
        <f ca="1">IFERROR(__xludf.DUMMYFUNCTION("""COMPUTED_VALUE"""),"Region IV-B")</f>
        <v>Region IV-B</v>
      </c>
      <c r="B1851" s="164" t="str">
        <f ca="1">IFERROR(__xludf.DUMMYFUNCTION("""COMPUTED_VALUE"""),"Palawan")</f>
        <v>Palawan</v>
      </c>
      <c r="C1851" s="164" t="str">
        <f ca="1">IFERROR(__xludf.DUMMYFUNCTION("""COMPUTED_VALUE"""),"Desktop Computer – (Lenovo M70T)")</f>
        <v>Desktop Computer – (Lenovo M70T)</v>
      </c>
      <c r="D1851" s="164" t="str">
        <f ca="1">IFERROR(__xludf.DUMMYFUNCTION("""COMPUTED_VALUE"""),"₱ 75,468.00")</f>
        <v>₱ 75,468.00</v>
      </c>
      <c r="E1851" s="164" t="str">
        <f ca="1">IFERROR(__xludf.DUMMYFUNCTION("""COMPUTED_VALUE"""),"₱-")</f>
        <v>₱-</v>
      </c>
      <c r="F1851" s="164" t="str">
        <f ca="1">IFERROR(__xludf.DUMMYFUNCTION("""COMPUTED_VALUE"""),"2023-05-03-10201SP1000-01")</f>
        <v>2023-05-03-10201SP1000-01</v>
      </c>
      <c r="G1851" s="164" t="str">
        <f ca="1">IFERROR(__xludf.DUMMYFUNCTION("""COMPUTED_VALUE"""),"1S11T5S16200GM041AZ7")</f>
        <v>1S11T5S16200GM041AZ7</v>
      </c>
      <c r="H1851" s="164" t="str">
        <f ca="1">IFERROR(__xludf.DUMMYFUNCTION("""COMPUTED_VALUE"""),"JESPER S. MAPANAO")</f>
        <v>JESPER S. MAPANAO</v>
      </c>
      <c r="I1851" s="164" t="str">
        <f ca="1">IFERROR(__xludf.DUMMYFUNCTION("""COMPUTED_VALUE"""),"ARPT/Documentation/ESS Staff")</f>
        <v>ARPT/Documentation/ESS Staff</v>
      </c>
      <c r="J1851" s="164" t="str">
        <f ca="1">IFERROR(__xludf.DUMMYFUNCTION("""COMPUTED_VALUE"""),"2023-06-008")</f>
        <v>2023-06-008</v>
      </c>
      <c r="K1851" s="164" t="str">
        <f ca="1">IFERROR(__xludf.DUMMYFUNCTION("""COMPUTED_VALUE"""),"JESPER S. MAPANAO")</f>
        <v>JESPER S. MAPANAO</v>
      </c>
      <c r="L1851" s="164" t="str">
        <f ca="1">IFERROR(__xludf.DUMMYFUNCTION("""COMPUTED_VALUE"""),"LTSPD")</f>
        <v>LTSPD</v>
      </c>
      <c r="M1851" s="164" t="str">
        <f ca="1">IFERROR(__xludf.DUMMYFUNCTION("""COMPUTED_VALUE"""),"SERVICEABLE")</f>
        <v>SERVICEABLE</v>
      </c>
      <c r="N1851" s="164"/>
    </row>
    <row r="1852" spans="1:14" ht="13.2" hidden="1">
      <c r="A1852" s="164" t="str">
        <f ca="1">IFERROR(__xludf.DUMMYFUNCTION("""COMPUTED_VALUE"""),"Region IV-B")</f>
        <v>Region IV-B</v>
      </c>
      <c r="B1852" s="164" t="str">
        <f ca="1">IFERROR(__xludf.DUMMYFUNCTION("""COMPUTED_VALUE"""),"Palawan")</f>
        <v>Palawan</v>
      </c>
      <c r="C1852" s="164" t="str">
        <f ca="1">IFERROR(__xludf.DUMMYFUNCTION("""COMPUTED_VALUE"""),"Desktop Computer – (Lenovo M70T)")</f>
        <v>Desktop Computer – (Lenovo M70T)</v>
      </c>
      <c r="D1852" s="164" t="str">
        <f ca="1">IFERROR(__xludf.DUMMYFUNCTION("""COMPUTED_VALUE"""),"₱ 75,468.00")</f>
        <v>₱ 75,468.00</v>
      </c>
      <c r="E1852" s="164" t="str">
        <f ca="1">IFERROR(__xludf.DUMMYFUNCTION("""COMPUTED_VALUE"""),"₱-")</f>
        <v>₱-</v>
      </c>
      <c r="F1852" s="164" t="str">
        <f ca="1">IFERROR(__xludf.DUMMYFUNCTION("""COMPUTED_VALUE"""),"2023-05-03-10201SP1001-01")</f>
        <v>2023-05-03-10201SP1001-01</v>
      </c>
      <c r="G1852" s="164" t="str">
        <f ca="1">IFERROR(__xludf.DUMMYFUNCTION("""COMPUTED_VALUE"""),"1S11T5S16200GM041APR")</f>
        <v>1S11T5S16200GM041APR</v>
      </c>
      <c r="H1852" s="164" t="str">
        <f ca="1">IFERROR(__xludf.DUMMYFUNCTION("""COMPUTED_VALUE"""),"MARGIE S. DOFITAS")</f>
        <v>MARGIE S. DOFITAS</v>
      </c>
      <c r="I1852" s="164" t="str">
        <f ca="1">IFERROR(__xludf.DUMMYFUNCTION("""COMPUTED_VALUE"""),"STENOGRAPHIC REPORTER/MIS Coordinator")</f>
        <v>STENOGRAPHIC REPORTER/MIS Coordinator</v>
      </c>
      <c r="J1852" s="164" t="str">
        <f ca="1">IFERROR(__xludf.DUMMYFUNCTION("""COMPUTED_VALUE"""),"2023-06-007")</f>
        <v>2023-06-007</v>
      </c>
      <c r="K1852" s="164" t="str">
        <f ca="1">IFERROR(__xludf.DUMMYFUNCTION("""COMPUTED_VALUE"""),"ALBERT A. ARUGAY")</f>
        <v>ALBERT A. ARUGAY</v>
      </c>
      <c r="L1852" s="164" t="str">
        <f ca="1">IFERROR(__xludf.DUMMYFUNCTION("""COMPUTED_VALUE"""),"LTSPD")</f>
        <v>LTSPD</v>
      </c>
      <c r="M1852" s="164" t="str">
        <f ca="1">IFERROR(__xludf.DUMMYFUNCTION("""COMPUTED_VALUE"""),"SERVICEABLE")</f>
        <v>SERVICEABLE</v>
      </c>
      <c r="N1852" s="164"/>
    </row>
    <row r="1853" spans="1:14" ht="13.2" hidden="1">
      <c r="A1853" s="164" t="str">
        <f ca="1">IFERROR(__xludf.DUMMYFUNCTION("""COMPUTED_VALUE"""),"Region IV-B")</f>
        <v>Region IV-B</v>
      </c>
      <c r="B1853" s="164" t="str">
        <f ca="1">IFERROR(__xludf.DUMMYFUNCTION("""COMPUTED_VALUE"""),"Palawan")</f>
        <v>Palawan</v>
      </c>
      <c r="C1853" s="164" t="str">
        <f ca="1">IFERROR(__xludf.DUMMYFUNCTION("""COMPUTED_VALUE"""),"Desktop Computer – (Lenovo M70T)")</f>
        <v>Desktop Computer – (Lenovo M70T)</v>
      </c>
      <c r="D1853" s="164" t="str">
        <f ca="1">IFERROR(__xludf.DUMMYFUNCTION("""COMPUTED_VALUE"""),"₱ 75,468.00")</f>
        <v>₱ 75,468.00</v>
      </c>
      <c r="E1853" s="164" t="str">
        <f ca="1">IFERROR(__xludf.DUMMYFUNCTION("""COMPUTED_VALUE"""),"₱-")</f>
        <v>₱-</v>
      </c>
      <c r="F1853" s="164" t="str">
        <f ca="1">IFERROR(__xludf.DUMMYFUNCTION("""COMPUTED_VALUE"""),"2023-05-03-10201SP1002-01")</f>
        <v>2023-05-03-10201SP1002-01</v>
      </c>
      <c r="G1853" s="164" t="str">
        <f ca="1">IFERROR(__xludf.DUMMYFUNCTION("""COMPUTED_VALUE"""),"1S11T5S16200GM0415TN")</f>
        <v>1S11T5S16200GM0415TN</v>
      </c>
      <c r="H1853" s="164" t="str">
        <f ca="1">IFERROR(__xludf.DUMMYFUNCTION("""COMPUTED_VALUE"""),"ROSEMARY M. TAMAYO")</f>
        <v>ROSEMARY M. TAMAYO</v>
      </c>
      <c r="I1853" s="164" t="str">
        <f ca="1">IFERROR(__xludf.DUMMYFUNCTION("""COMPUTED_VALUE"""),"OIC-CAO/Administrative &amp; Finance Officer")</f>
        <v>OIC-CAO/Administrative &amp; Finance Officer</v>
      </c>
      <c r="J1853" s="164" t="str">
        <f ca="1">IFERROR(__xludf.DUMMYFUNCTION("""COMPUTED_VALUE"""),"2023-06-001")</f>
        <v>2023-06-001</v>
      </c>
      <c r="K1853" s="164" t="str">
        <f ca="1">IFERROR(__xludf.DUMMYFUNCTION("""COMPUTED_VALUE"""),"SONIA R. ALCANTARA")</f>
        <v>SONIA R. ALCANTARA</v>
      </c>
      <c r="L1853" s="164" t="str">
        <f ca="1">IFERROR(__xludf.DUMMYFUNCTION("""COMPUTED_VALUE"""),"STOD")</f>
        <v>STOD</v>
      </c>
      <c r="M1853" s="164" t="str">
        <f ca="1">IFERROR(__xludf.DUMMYFUNCTION("""COMPUTED_VALUE"""),"SERVICEABLE")</f>
        <v>SERVICEABLE</v>
      </c>
      <c r="N1853" s="164"/>
    </row>
    <row r="1854" spans="1:14" ht="13.2" hidden="1">
      <c r="A1854" s="164" t="str">
        <f ca="1">IFERROR(__xludf.DUMMYFUNCTION("""COMPUTED_VALUE"""),"Region IV-B")</f>
        <v>Region IV-B</v>
      </c>
      <c r="B1854" s="164" t="str">
        <f ca="1">IFERROR(__xludf.DUMMYFUNCTION("""COMPUTED_VALUE"""),"Palawan")</f>
        <v>Palawan</v>
      </c>
      <c r="C1854" s="164" t="str">
        <f ca="1">IFERROR(__xludf.DUMMYFUNCTION("""COMPUTED_VALUE"""),"Desktop Computer – (Lenovo M70T)")</f>
        <v>Desktop Computer – (Lenovo M70T)</v>
      </c>
      <c r="D1854" s="164" t="str">
        <f ca="1">IFERROR(__xludf.DUMMYFUNCTION("""COMPUTED_VALUE"""),"₱ 75,468.00")</f>
        <v>₱ 75,468.00</v>
      </c>
      <c r="E1854" s="164" t="str">
        <f ca="1">IFERROR(__xludf.DUMMYFUNCTION("""COMPUTED_VALUE"""),"₱-")</f>
        <v>₱-</v>
      </c>
      <c r="F1854" s="164" t="str">
        <f ca="1">IFERROR(__xludf.DUMMYFUNCTION("""COMPUTED_VALUE"""),"2023-05-03-10201SP1003-01")</f>
        <v>2023-05-03-10201SP1003-01</v>
      </c>
      <c r="G1854" s="164" t="str">
        <f ca="1">IFERROR(__xludf.DUMMYFUNCTION("""COMPUTED_VALUE"""),"1S11T5S16200GM0415VV")</f>
        <v>1S11T5S16200GM0415VV</v>
      </c>
      <c r="H1854" s="164" t="str">
        <f ca="1">IFERROR(__xludf.DUMMYFUNCTION("""COMPUTED_VALUE"""),"REMEDIOS S. BACUEL")</f>
        <v>REMEDIOS S. BACUEL</v>
      </c>
      <c r="I1854" s="164" t="str">
        <f ca="1">IFERROR(__xludf.DUMMYFUNCTION("""COMPUTED_VALUE"""),"MARPO/OIC-CARPO/CBTA Coordinator")</f>
        <v>MARPO/OIC-CARPO/CBTA Coordinator</v>
      </c>
      <c r="J1854" s="164" t="str">
        <f ca="1">IFERROR(__xludf.DUMMYFUNCTION("""COMPUTED_VALUE"""),"2023-06-009")</f>
        <v>2023-06-009</v>
      </c>
      <c r="K1854" s="164" t="str">
        <f ca="1">IFERROR(__xludf.DUMMYFUNCTION("""COMPUTED_VALUE"""),"REMEDIOS S. BACUEL")</f>
        <v>REMEDIOS S. BACUEL</v>
      </c>
      <c r="L1854" s="164" t="str">
        <f ca="1">IFERROR(__xludf.DUMMYFUNCTION("""COMPUTED_VALUE"""),"PBDD")</f>
        <v>PBDD</v>
      </c>
      <c r="M1854" s="164" t="str">
        <f ca="1">IFERROR(__xludf.DUMMYFUNCTION("""COMPUTED_VALUE"""),"SERVICEABLE")</f>
        <v>SERVICEABLE</v>
      </c>
      <c r="N1854" s="164"/>
    </row>
    <row r="1855" spans="1:14" ht="13.2" hidden="1">
      <c r="A1855" s="164" t="str">
        <f ca="1">IFERROR(__xludf.DUMMYFUNCTION("""COMPUTED_VALUE"""),"Region IV-B")</f>
        <v>Region IV-B</v>
      </c>
      <c r="B1855" s="164" t="str">
        <f ca="1">IFERROR(__xludf.DUMMYFUNCTION("""COMPUTED_VALUE"""),"Palawan")</f>
        <v>Palawan</v>
      </c>
      <c r="C1855" s="164" t="str">
        <f ca="1">IFERROR(__xludf.DUMMYFUNCTION("""COMPUTED_VALUE"""),"Desktop Computer – (Lenovo M70T)")</f>
        <v>Desktop Computer – (Lenovo M70T)</v>
      </c>
      <c r="D1855" s="164" t="str">
        <f ca="1">IFERROR(__xludf.DUMMYFUNCTION("""COMPUTED_VALUE"""),"₱ 75,468.00")</f>
        <v>₱ 75,468.00</v>
      </c>
      <c r="E1855" s="164" t="str">
        <f ca="1">IFERROR(__xludf.DUMMYFUNCTION("""COMPUTED_VALUE"""),"₱-")</f>
        <v>₱-</v>
      </c>
      <c r="F1855" s="164" t="str">
        <f ca="1">IFERROR(__xludf.DUMMYFUNCTION("""COMPUTED_VALUE"""),"2023-05-03-10201SP1004-01")</f>
        <v>2023-05-03-10201SP1004-01</v>
      </c>
      <c r="G1855" s="164" t="str">
        <f ca="1">IFERROR(__xludf.DUMMYFUNCTION("""COMPUTED_VALUE"""),"1S11T5S16200GM0415V8")</f>
        <v>1S11T5S16200GM0415V8</v>
      </c>
      <c r="H1855" s="164" t="str">
        <f ca="1">IFERROR(__xludf.DUMMYFUNCTION("""COMPUTED_VALUE"""),"ARLYN B. DORIA")</f>
        <v>ARLYN B. DORIA</v>
      </c>
      <c r="I1855" s="164" t="str">
        <f ca="1">IFERROR(__xludf.DUMMYFUNCTION("""COMPUTED_VALUE"""),"AO IV/Project Procurement Officer")</f>
        <v>AO IV/Project Procurement Officer</v>
      </c>
      <c r="J1855" s="164" t="str">
        <f ca="1">IFERROR(__xludf.DUMMYFUNCTION("""COMPUTED_VALUE"""),"2023-06-003")</f>
        <v>2023-06-003</v>
      </c>
      <c r="K1855" s="164" t="str">
        <f ca="1">IFERROR(__xludf.DUMMYFUNCTION("""COMPUTED_VALUE"""),"TERRENCE PAUL C. PAGUNTALAN")</f>
        <v>TERRENCE PAUL C. PAGUNTALAN</v>
      </c>
      <c r="L1855" s="164" t="str">
        <f ca="1">IFERROR(__xludf.DUMMYFUNCTION("""COMPUTED_VALUE"""),"STOD")</f>
        <v>STOD</v>
      </c>
      <c r="M1855" s="164" t="str">
        <f ca="1">IFERROR(__xludf.DUMMYFUNCTION("""COMPUTED_VALUE"""),"SERVICEABLE")</f>
        <v>SERVICEABLE</v>
      </c>
      <c r="N1855" s="164"/>
    </row>
    <row r="1856" spans="1:14" ht="13.2" hidden="1">
      <c r="A1856" s="164" t="str">
        <f ca="1">IFERROR(__xludf.DUMMYFUNCTION("""COMPUTED_VALUE"""),"Region IV-B")</f>
        <v>Region IV-B</v>
      </c>
      <c r="B1856" s="164" t="str">
        <f ca="1">IFERROR(__xludf.DUMMYFUNCTION("""COMPUTED_VALUE"""),"Palawan")</f>
        <v>Palawan</v>
      </c>
      <c r="C1856" s="164" t="str">
        <f ca="1">IFERROR(__xludf.DUMMYFUNCTION("""COMPUTED_VALUE"""),"Desktop Computer – (Lenovo M70T)")</f>
        <v>Desktop Computer – (Lenovo M70T)</v>
      </c>
      <c r="D1856" s="164" t="str">
        <f ca="1">IFERROR(__xludf.DUMMYFUNCTION("""COMPUTED_VALUE"""),"₱ 75,468.00")</f>
        <v>₱ 75,468.00</v>
      </c>
      <c r="E1856" s="164" t="str">
        <f ca="1">IFERROR(__xludf.DUMMYFUNCTION("""COMPUTED_VALUE"""),"₱-")</f>
        <v>₱-</v>
      </c>
      <c r="F1856" s="164" t="str">
        <f ca="1">IFERROR(__xludf.DUMMYFUNCTION("""COMPUTED_VALUE"""),"2023-05-03-10201SP1005-01")</f>
        <v>2023-05-03-10201SP1005-01</v>
      </c>
      <c r="G1856" s="164" t="str">
        <f ca="1">IFERROR(__xludf.DUMMYFUNCTION("""COMPUTED_VALUE"""),"1S11T5S16200GM0418GZ")</f>
        <v>1S11T5S16200GM0418GZ</v>
      </c>
      <c r="H1856" s="164" t="str">
        <f ca="1">IFERROR(__xludf.DUMMYFUNCTION("""COMPUTED_VALUE"""),"REMEDIOS S. BACUEL")</f>
        <v>REMEDIOS S. BACUEL</v>
      </c>
      <c r="I1856" s="164" t="str">
        <f ca="1">IFERROR(__xludf.DUMMYFUNCTION("""COMPUTED_VALUE"""),"MARPO/OIC-CARPO/CBTA Coordinator")</f>
        <v>MARPO/OIC-CARPO/CBTA Coordinator</v>
      </c>
      <c r="J1856" s="164" t="str">
        <f ca="1">IFERROR(__xludf.DUMMYFUNCTION("""COMPUTED_VALUE"""),"2023-06-009")</f>
        <v>2023-06-009</v>
      </c>
      <c r="K1856" s="164" t="str">
        <f ca="1">IFERROR(__xludf.DUMMYFUNCTION("""COMPUTED_VALUE"""),"GENARO G. HERMAN, JR.")</f>
        <v>GENARO G. HERMAN, JR.</v>
      </c>
      <c r="L1856" s="164" t="str">
        <f ca="1">IFERROR(__xludf.DUMMYFUNCTION("""COMPUTED_VALUE"""),"PBDD")</f>
        <v>PBDD</v>
      </c>
      <c r="M1856" s="164" t="str">
        <f ca="1">IFERROR(__xludf.DUMMYFUNCTION("""COMPUTED_VALUE"""),"SERVICEABLE")</f>
        <v>SERVICEABLE</v>
      </c>
      <c r="N1856" s="164"/>
    </row>
    <row r="1857" spans="1:14" ht="13.2" hidden="1">
      <c r="A1857" s="164" t="str">
        <f ca="1">IFERROR(__xludf.DUMMYFUNCTION("""COMPUTED_VALUE"""),"Region IV-B")</f>
        <v>Region IV-B</v>
      </c>
      <c r="B1857" s="164" t="str">
        <f ca="1">IFERROR(__xludf.DUMMYFUNCTION("""COMPUTED_VALUE"""),"Palawan")</f>
        <v>Palawan</v>
      </c>
      <c r="C1857" s="164" t="str">
        <f ca="1">IFERROR(__xludf.DUMMYFUNCTION("""COMPUTED_VALUE"""),"Desktop Computer – (Lenovo M70T)")</f>
        <v>Desktop Computer – (Lenovo M70T)</v>
      </c>
      <c r="D1857" s="164" t="str">
        <f ca="1">IFERROR(__xludf.DUMMYFUNCTION("""COMPUTED_VALUE"""),"₱ 75,468.00")</f>
        <v>₱ 75,468.00</v>
      </c>
      <c r="E1857" s="164" t="str">
        <f ca="1">IFERROR(__xludf.DUMMYFUNCTION("""COMPUTED_VALUE"""),"₱-")</f>
        <v>₱-</v>
      </c>
      <c r="F1857" s="164" t="str">
        <f ca="1">IFERROR(__xludf.DUMMYFUNCTION("""COMPUTED_VALUE"""),"2023-05-03-10201SP1006-01")</f>
        <v>2023-05-03-10201SP1006-01</v>
      </c>
      <c r="G1857" s="164" t="str">
        <f ca="1">IFERROR(__xludf.DUMMYFUNCTION("""COMPUTED_VALUE"""),"1S11T5S16200GM0418EE")</f>
        <v>1S11T5S16200GM0418EE</v>
      </c>
      <c r="H1857" s="164" t="str">
        <f ca="1">IFERROR(__xludf.DUMMYFUNCTION("""COMPUTED_VALUE"""),"ROSEMARY M. TAMAYO")</f>
        <v>ROSEMARY M. TAMAYO</v>
      </c>
      <c r="I1857" s="164" t="str">
        <f ca="1">IFERROR(__xludf.DUMMYFUNCTION("""COMPUTED_VALUE"""),"OIC-CAO/Administrative &amp; Finance Officer")</f>
        <v>OIC-CAO/Administrative &amp; Finance Officer</v>
      </c>
      <c r="J1857" s="164" t="str">
        <f ca="1">IFERROR(__xludf.DUMMYFUNCTION("""COMPUTED_VALUE"""),"2023-06-001")</f>
        <v>2023-06-001</v>
      </c>
      <c r="K1857" s="164" t="str">
        <f ca="1">IFERROR(__xludf.DUMMYFUNCTION("""COMPUTED_VALUE"""),"EDMUNDO C. ACAIN")</f>
        <v>EDMUNDO C. ACAIN</v>
      </c>
      <c r="L1857" s="164" t="str">
        <f ca="1">IFERROR(__xludf.DUMMYFUNCTION("""COMPUTED_VALUE"""),"STOD")</f>
        <v>STOD</v>
      </c>
      <c r="M1857" s="164" t="str">
        <f ca="1">IFERROR(__xludf.DUMMYFUNCTION("""COMPUTED_VALUE"""),"SERVICEABLE")</f>
        <v>SERVICEABLE</v>
      </c>
      <c r="N1857" s="164"/>
    </row>
    <row r="1858" spans="1:14" ht="13.2" hidden="1">
      <c r="A1858" s="164" t="str">
        <f ca="1">IFERROR(__xludf.DUMMYFUNCTION("""COMPUTED_VALUE"""),"Region IV-B")</f>
        <v>Region IV-B</v>
      </c>
      <c r="B1858" s="164" t="str">
        <f ca="1">IFERROR(__xludf.DUMMYFUNCTION("""COMPUTED_VALUE"""),"Palawan")</f>
        <v>Palawan</v>
      </c>
      <c r="C1858" s="164" t="str">
        <f ca="1">IFERROR(__xludf.DUMMYFUNCTION("""COMPUTED_VALUE"""),"Desktop Computer – (Lenovo M70T)")</f>
        <v>Desktop Computer – (Lenovo M70T)</v>
      </c>
      <c r="D1858" s="164" t="str">
        <f ca="1">IFERROR(__xludf.DUMMYFUNCTION("""COMPUTED_VALUE"""),"₱ 75,468.00")</f>
        <v>₱ 75,468.00</v>
      </c>
      <c r="E1858" s="164" t="str">
        <f ca="1">IFERROR(__xludf.DUMMYFUNCTION("""COMPUTED_VALUE"""),"₱-")</f>
        <v>₱-</v>
      </c>
      <c r="F1858" s="164" t="str">
        <f ca="1">IFERROR(__xludf.DUMMYFUNCTION("""COMPUTED_VALUE"""),"2023-05-03-10201SP1007-01")</f>
        <v>2023-05-03-10201SP1007-01</v>
      </c>
      <c r="G1858" s="164" t="str">
        <f ca="1">IFERROR(__xludf.DUMMYFUNCTION("""COMPUTED_VALUE"""),"1S11T5S16200GM041B2L")</f>
        <v>1S11T5S16200GM041B2L</v>
      </c>
      <c r="H1858" s="164" t="str">
        <f ca="1">IFERROR(__xludf.DUMMYFUNCTION("""COMPUTED_VALUE"""),"NOEMI D. SARSAGAT")</f>
        <v>NOEMI D. SARSAGAT</v>
      </c>
      <c r="I1858" s="164" t="str">
        <f ca="1">IFERROR(__xludf.DUMMYFUNCTION("""COMPUTED_VALUE"""),"CARPO/Parcelization Component/FVT Coordinator")</f>
        <v>CARPO/Parcelization Component/FVT Coordinator</v>
      </c>
      <c r="J1858" s="164" t="str">
        <f ca="1">IFERROR(__xludf.DUMMYFUNCTION("""COMPUTED_VALUE"""),"2023-06-006")</f>
        <v>2023-06-006</v>
      </c>
      <c r="K1858" s="164" t="str">
        <f ca="1">IFERROR(__xludf.DUMMYFUNCTION("""COMPUTED_VALUE"""),"NOEMI D. SARSAGAT")</f>
        <v>NOEMI D. SARSAGAT</v>
      </c>
      <c r="L1858" s="164" t="str">
        <f ca="1">IFERROR(__xludf.DUMMYFUNCTION("""COMPUTED_VALUE"""),"LTSPD")</f>
        <v>LTSPD</v>
      </c>
      <c r="M1858" s="164" t="str">
        <f ca="1">IFERROR(__xludf.DUMMYFUNCTION("""COMPUTED_VALUE"""),"SERVICEABLE")</f>
        <v>SERVICEABLE</v>
      </c>
      <c r="N1858" s="164"/>
    </row>
    <row r="1859" spans="1:14" ht="13.2" hidden="1">
      <c r="A1859" s="164" t="str">
        <f ca="1">IFERROR(__xludf.DUMMYFUNCTION("""COMPUTED_VALUE"""),"Region IV-B")</f>
        <v>Region IV-B</v>
      </c>
      <c r="B1859" s="164" t="str">
        <f ca="1">IFERROR(__xludf.DUMMYFUNCTION("""COMPUTED_VALUE"""),"Palawan")</f>
        <v>Palawan</v>
      </c>
      <c r="C1859" s="164" t="str">
        <f ca="1">IFERROR(__xludf.DUMMYFUNCTION("""COMPUTED_VALUE"""),"Desktop Computer – (Lenovo M70T)")</f>
        <v>Desktop Computer – (Lenovo M70T)</v>
      </c>
      <c r="D1859" s="164" t="str">
        <f ca="1">IFERROR(__xludf.DUMMYFUNCTION("""COMPUTED_VALUE"""),"₱ 75,468.00")</f>
        <v>₱ 75,468.00</v>
      </c>
      <c r="E1859" s="164" t="str">
        <f ca="1">IFERROR(__xludf.DUMMYFUNCTION("""COMPUTED_VALUE"""),"₱-")</f>
        <v>₱-</v>
      </c>
      <c r="F1859" s="164" t="str">
        <f ca="1">IFERROR(__xludf.DUMMYFUNCTION("""COMPUTED_VALUE"""),"2023-05-03-10201SP992-01")</f>
        <v>2023-05-03-10201SP992-01</v>
      </c>
      <c r="G1859" s="164" t="str">
        <f ca="1">IFERROR(__xludf.DUMMYFUNCTION("""COMPUTED_VALUE"""),"1S11T5S16200GM0415VP")</f>
        <v>1S11T5S16200GM0415VP</v>
      </c>
      <c r="H1859" s="164" t="str">
        <f ca="1">IFERROR(__xludf.DUMMYFUNCTION("""COMPUTED_VALUE"""),"CARMELA M. MADARCOS")</f>
        <v>CARMELA M. MADARCOS</v>
      </c>
      <c r="I1859" s="164" t="str">
        <f ca="1">IFERROR(__xludf.DUMMYFUNCTION("""COMPUTED_VALUE"""),"BUDGET OFFICER II/Project Budget Officer")</f>
        <v>BUDGET OFFICER II/Project Budget Officer</v>
      </c>
      <c r="J1859" s="164" t="str">
        <f ca="1">IFERROR(__xludf.DUMMYFUNCTION("""COMPUTED_VALUE"""),"2023-06-002")</f>
        <v>2023-06-002</v>
      </c>
      <c r="K1859" s="164" t="str">
        <f ca="1">IFERROR(__xludf.DUMMYFUNCTION("""COMPUTED_VALUE"""),"EANA JAMAICA D. MADRIÑAN")</f>
        <v>EANA JAMAICA D. MADRIÑAN</v>
      </c>
      <c r="L1859" s="164" t="str">
        <f ca="1">IFERROR(__xludf.DUMMYFUNCTION("""COMPUTED_VALUE"""),"STOD")</f>
        <v>STOD</v>
      </c>
      <c r="M1859" s="164" t="str">
        <f ca="1">IFERROR(__xludf.DUMMYFUNCTION("""COMPUTED_VALUE"""),"SERVICEABLE")</f>
        <v>SERVICEABLE</v>
      </c>
      <c r="N1859" s="164"/>
    </row>
    <row r="1860" spans="1:14" ht="13.2" hidden="1">
      <c r="A1860" s="164" t="str">
        <f ca="1">IFERROR(__xludf.DUMMYFUNCTION("""COMPUTED_VALUE"""),"Region IV-B")</f>
        <v>Region IV-B</v>
      </c>
      <c r="B1860" s="164" t="str">
        <f ca="1">IFERROR(__xludf.DUMMYFUNCTION("""COMPUTED_VALUE"""),"Palawan")</f>
        <v>Palawan</v>
      </c>
      <c r="C1860" s="164" t="str">
        <f ca="1">IFERROR(__xludf.DUMMYFUNCTION("""COMPUTED_VALUE"""),"Desktop Computer – (Lenovo M70T)")</f>
        <v>Desktop Computer – (Lenovo M70T)</v>
      </c>
      <c r="D1860" s="164" t="str">
        <f ca="1">IFERROR(__xludf.DUMMYFUNCTION("""COMPUTED_VALUE"""),"₱ 75,468.00")</f>
        <v>₱ 75,468.00</v>
      </c>
      <c r="E1860" s="164" t="str">
        <f ca="1">IFERROR(__xludf.DUMMYFUNCTION("""COMPUTED_VALUE"""),"₱-")</f>
        <v>₱-</v>
      </c>
      <c r="F1860" s="164" t="str">
        <f ca="1">IFERROR(__xludf.DUMMYFUNCTION("""COMPUTED_VALUE"""),"2023-05-03-10201SP993-01")</f>
        <v>2023-05-03-10201SP993-01</v>
      </c>
      <c r="G1860" s="164" t="str">
        <f ca="1">IFERROR(__xludf.DUMMYFUNCTION("""COMPUTED_VALUE"""),"1S11T5S16200GM0415VL")</f>
        <v>1S11T5S16200GM0415VL</v>
      </c>
      <c r="H1860" s="164" t="str">
        <f ca="1">IFERROR(__xludf.DUMMYFUNCTION("""COMPUTED_VALUE"""),"GINA G. GAVINO")</f>
        <v>GINA G. GAVINO</v>
      </c>
      <c r="I1860" s="164" t="str">
        <f ca="1">IFERROR(__xludf.DUMMYFUNCTION("""COMPUTED_VALUE"""),"ACCOUNTANT III/Project Accountant")</f>
        <v>ACCOUNTANT III/Project Accountant</v>
      </c>
      <c r="J1860" s="164" t="str">
        <f ca="1">IFERROR(__xludf.DUMMYFUNCTION("""COMPUTED_VALUE"""),"2023-06-005")</f>
        <v>2023-06-005</v>
      </c>
      <c r="K1860" s="164" t="str">
        <f ca="1">IFERROR(__xludf.DUMMYFUNCTION("""COMPUTED_VALUE"""),"JANICE BADAJOS")</f>
        <v>JANICE BADAJOS</v>
      </c>
      <c r="L1860" s="164" t="str">
        <f ca="1">IFERROR(__xludf.DUMMYFUNCTION("""COMPUTED_VALUE"""),"STOD")</f>
        <v>STOD</v>
      </c>
      <c r="M1860" s="164" t="str">
        <f ca="1">IFERROR(__xludf.DUMMYFUNCTION("""COMPUTED_VALUE"""),"SERVICEABLE")</f>
        <v>SERVICEABLE</v>
      </c>
      <c r="N1860" s="164"/>
    </row>
    <row r="1861" spans="1:14" ht="13.2" hidden="1">
      <c r="A1861" s="164" t="str">
        <f ca="1">IFERROR(__xludf.DUMMYFUNCTION("""COMPUTED_VALUE"""),"Region IV-B")</f>
        <v>Region IV-B</v>
      </c>
      <c r="B1861" s="164" t="str">
        <f ca="1">IFERROR(__xludf.DUMMYFUNCTION("""COMPUTED_VALUE"""),"Palawan")</f>
        <v>Palawan</v>
      </c>
      <c r="C1861" s="164" t="str">
        <f ca="1">IFERROR(__xludf.DUMMYFUNCTION("""COMPUTED_VALUE"""),"Desktop Computer – (Lenovo M70T)")</f>
        <v>Desktop Computer – (Lenovo M70T)</v>
      </c>
      <c r="D1861" s="164" t="str">
        <f ca="1">IFERROR(__xludf.DUMMYFUNCTION("""COMPUTED_VALUE"""),"₱ 75,468.00")</f>
        <v>₱ 75,468.00</v>
      </c>
      <c r="E1861" s="164" t="str">
        <f ca="1">IFERROR(__xludf.DUMMYFUNCTION("""COMPUTED_VALUE"""),"₱-")</f>
        <v>₱-</v>
      </c>
      <c r="F1861" s="164" t="str">
        <f ca="1">IFERROR(__xludf.DUMMYFUNCTION("""COMPUTED_VALUE"""),"2023-05-03-10201SP994-01")</f>
        <v>2023-05-03-10201SP994-01</v>
      </c>
      <c r="G1861" s="164" t="str">
        <f ca="1">IFERROR(__xludf.DUMMYFUNCTION("""COMPUTED_VALUE"""),"1S11T5S16200GM0415VC")</f>
        <v>1S11T5S16200GM0415VC</v>
      </c>
      <c r="H1861" s="164" t="str">
        <f ca="1">IFERROR(__xludf.DUMMYFUNCTION("""COMPUTED_VALUE"""),"NOEMI D. SARSAGAT")</f>
        <v>NOEMI D. SARSAGAT</v>
      </c>
      <c r="I1861" s="164" t="str">
        <f ca="1">IFERROR(__xludf.DUMMYFUNCTION("""COMPUTED_VALUE"""),"CARPO/Parcelization Component/FVT Coordinator")</f>
        <v>CARPO/Parcelization Component/FVT Coordinator</v>
      </c>
      <c r="J1861" s="164" t="str">
        <f ca="1">IFERROR(__xludf.DUMMYFUNCTION("""COMPUTED_VALUE"""),"2023-05-006")</f>
        <v>2023-05-006</v>
      </c>
      <c r="K1861" s="164" t="str">
        <f ca="1">IFERROR(__xludf.DUMMYFUNCTION("""COMPUTED_VALUE"""),"SPLIT-CPMO")</f>
        <v>SPLIT-CPMO</v>
      </c>
      <c r="L1861" s="164" t="str">
        <f ca="1">IFERROR(__xludf.DUMMYFUNCTION("""COMPUTED_VALUE"""),"LTSPD")</f>
        <v>LTSPD</v>
      </c>
      <c r="M1861" s="164" t="str">
        <f ca="1">IFERROR(__xludf.DUMMYFUNCTION("""COMPUTED_VALUE"""),"SERVICEABLE")</f>
        <v>SERVICEABLE</v>
      </c>
      <c r="N1861" s="164"/>
    </row>
    <row r="1862" spans="1:14" ht="13.2" hidden="1">
      <c r="A1862" s="164" t="str">
        <f ca="1">IFERROR(__xludf.DUMMYFUNCTION("""COMPUTED_VALUE"""),"Region IV-B")</f>
        <v>Region IV-B</v>
      </c>
      <c r="B1862" s="164" t="str">
        <f ca="1">IFERROR(__xludf.DUMMYFUNCTION("""COMPUTED_VALUE"""),"Palawan")</f>
        <v>Palawan</v>
      </c>
      <c r="C1862" s="164" t="str">
        <f ca="1">IFERROR(__xludf.DUMMYFUNCTION("""COMPUTED_VALUE"""),"Desktop Computer – (Lenovo M70T)")</f>
        <v>Desktop Computer – (Lenovo M70T)</v>
      </c>
      <c r="D1862" s="164" t="str">
        <f ca="1">IFERROR(__xludf.DUMMYFUNCTION("""COMPUTED_VALUE"""),"₱ 75,468.00")</f>
        <v>₱ 75,468.00</v>
      </c>
      <c r="E1862" s="164" t="str">
        <f ca="1">IFERROR(__xludf.DUMMYFUNCTION("""COMPUTED_VALUE"""),"₱-")</f>
        <v>₱-</v>
      </c>
      <c r="F1862" s="164" t="str">
        <f ca="1">IFERROR(__xludf.DUMMYFUNCTION("""COMPUTED_VALUE"""),"2023-05-03-10201SP995-01")</f>
        <v>2023-05-03-10201SP995-01</v>
      </c>
      <c r="G1862" s="164" t="str">
        <f ca="1">IFERROR(__xludf.DUMMYFUNCTION("""COMPUTED_VALUE"""),"1S11T5S16200GM0415T6")</f>
        <v>1S11T5S16200GM0415T6</v>
      </c>
      <c r="H1862" s="164" t="str">
        <f ca="1">IFERROR(__xludf.DUMMYFUNCTION("""COMPUTED_VALUE"""),"MARGIE S. DOFITAS")</f>
        <v>MARGIE S. DOFITAS</v>
      </c>
      <c r="I1862" s="164" t="str">
        <f ca="1">IFERROR(__xludf.DUMMYFUNCTION("""COMPUTED_VALUE"""),"STENOGRAPHIC REPORTER/MIS Coordinator")</f>
        <v>STENOGRAPHIC REPORTER/MIS Coordinator</v>
      </c>
      <c r="J1862" s="164" t="str">
        <f ca="1">IFERROR(__xludf.DUMMYFUNCTION("""COMPUTED_VALUE"""),"2023-06-007")</f>
        <v>2023-06-007</v>
      </c>
      <c r="K1862" s="164" t="str">
        <f ca="1">IFERROR(__xludf.DUMMYFUNCTION("""COMPUTED_VALUE"""),"SPLIT-CPMO")</f>
        <v>SPLIT-CPMO</v>
      </c>
      <c r="L1862" s="164" t="str">
        <f ca="1">IFERROR(__xludf.DUMMYFUNCTION("""COMPUTED_VALUE"""),"LTSPD")</f>
        <v>LTSPD</v>
      </c>
      <c r="M1862" s="164" t="str">
        <f ca="1">IFERROR(__xludf.DUMMYFUNCTION("""COMPUTED_VALUE"""),"SERVICEABLE")</f>
        <v>SERVICEABLE</v>
      </c>
      <c r="N1862" s="164"/>
    </row>
    <row r="1863" spans="1:14" ht="13.2" hidden="1">
      <c r="A1863" s="164" t="str">
        <f ca="1">IFERROR(__xludf.DUMMYFUNCTION("""COMPUTED_VALUE"""),"Region IV-B")</f>
        <v>Region IV-B</v>
      </c>
      <c r="B1863" s="164" t="str">
        <f ca="1">IFERROR(__xludf.DUMMYFUNCTION("""COMPUTED_VALUE"""),"Palawan")</f>
        <v>Palawan</v>
      </c>
      <c r="C1863" s="164" t="str">
        <f ca="1">IFERROR(__xludf.DUMMYFUNCTION("""COMPUTED_VALUE"""),"Desktop Computer – (Lenovo M70T)")</f>
        <v>Desktop Computer – (Lenovo M70T)</v>
      </c>
      <c r="D1863" s="164" t="str">
        <f ca="1">IFERROR(__xludf.DUMMYFUNCTION("""COMPUTED_VALUE"""),"₱ 75,468.00")</f>
        <v>₱ 75,468.00</v>
      </c>
      <c r="E1863" s="164" t="str">
        <f ca="1">IFERROR(__xludf.DUMMYFUNCTION("""COMPUTED_VALUE"""),"₱-")</f>
        <v>₱-</v>
      </c>
      <c r="F1863" s="164" t="str">
        <f ca="1">IFERROR(__xludf.DUMMYFUNCTION("""COMPUTED_VALUE"""),"2023-05-03-10201SP996-01")</f>
        <v>2023-05-03-10201SP996-01</v>
      </c>
      <c r="G1863" s="164" t="str">
        <f ca="1">IFERROR(__xludf.DUMMYFUNCTION("""COMPUTED_VALUE"""),"1S11T5S16200GM0418ET")</f>
        <v>1S11T5S16200GM0418ET</v>
      </c>
      <c r="H1863" s="164" t="str">
        <f ca="1">IFERROR(__xludf.DUMMYFUNCTION("""COMPUTED_VALUE"""),"JOCELYN J. PACALDO")</f>
        <v>JOCELYN J. PACALDO</v>
      </c>
      <c r="I1863" s="164" t="str">
        <f ca="1">IFERROR(__xludf.DUMMYFUNCTION("""COMPUTED_VALUE"""),"PLANNING OFFICER II/M&amp;E Coordinator")</f>
        <v>PLANNING OFFICER II/M&amp;E Coordinator</v>
      </c>
      <c r="J1863" s="164" t="str">
        <f ca="1">IFERROR(__xludf.DUMMYFUNCTION("""COMPUTED_VALUE"""),"2023-06-003")</f>
        <v>2023-06-003</v>
      </c>
      <c r="K1863" s="164" t="str">
        <f ca="1">IFERROR(__xludf.DUMMYFUNCTION("""COMPUTED_VALUE"""),"APRIL MAE P. ROA")</f>
        <v>APRIL MAE P. ROA</v>
      </c>
      <c r="L1863" s="164" t="str">
        <f ca="1">IFERROR(__xludf.DUMMYFUNCTION("""COMPUTED_VALUE"""),"STOD")</f>
        <v>STOD</v>
      </c>
      <c r="M1863" s="164" t="str">
        <f ca="1">IFERROR(__xludf.DUMMYFUNCTION("""COMPUTED_VALUE"""),"SERVICEABLE")</f>
        <v>SERVICEABLE</v>
      </c>
      <c r="N1863" s="164"/>
    </row>
    <row r="1864" spans="1:14" ht="13.2" hidden="1">
      <c r="A1864" s="164" t="str">
        <f ca="1">IFERROR(__xludf.DUMMYFUNCTION("""COMPUTED_VALUE"""),"Region IV-B")</f>
        <v>Region IV-B</v>
      </c>
      <c r="B1864" s="164" t="str">
        <f ca="1">IFERROR(__xludf.DUMMYFUNCTION("""COMPUTED_VALUE"""),"Palawan")</f>
        <v>Palawan</v>
      </c>
      <c r="C1864" s="164" t="str">
        <f ca="1">IFERROR(__xludf.DUMMYFUNCTION("""COMPUTED_VALUE"""),"Desktop Computer – (Lenovo M70T)")</f>
        <v>Desktop Computer – (Lenovo M70T)</v>
      </c>
      <c r="D1864" s="164" t="str">
        <f ca="1">IFERROR(__xludf.DUMMYFUNCTION("""COMPUTED_VALUE"""),"₱ 75,468.00")</f>
        <v>₱ 75,468.00</v>
      </c>
      <c r="E1864" s="164" t="str">
        <f ca="1">IFERROR(__xludf.DUMMYFUNCTION("""COMPUTED_VALUE"""),"₱-")</f>
        <v>₱-</v>
      </c>
      <c r="F1864" s="164" t="str">
        <f ca="1">IFERROR(__xludf.DUMMYFUNCTION("""COMPUTED_VALUE"""),"2023-05-03-10201SP997-01")</f>
        <v>2023-05-03-10201SP997-01</v>
      </c>
      <c r="G1864" s="164" t="str">
        <f ca="1">IFERROR(__xludf.DUMMYFUNCTION("""COMPUTED_VALUE"""),"1S11T5S16200GM0415VR")</f>
        <v>1S11T5S16200GM0415VR</v>
      </c>
      <c r="H1864" s="164" t="str">
        <f ca="1">IFERROR(__xludf.DUMMYFUNCTION("""COMPUTED_VALUE"""),"ROSANA Q. BALUYOT")</f>
        <v>ROSANA Q. BALUYOT</v>
      </c>
      <c r="I1864" s="164" t="str">
        <f ca="1">IFERROR(__xludf.DUMMYFUNCTION("""COMPUTED_VALUE"""),"SARPO/DENR/LRA-ROD Survey Coordinator")</f>
        <v>SARPO/DENR/LRA-ROD Survey Coordinator</v>
      </c>
      <c r="J1864" s="164" t="str">
        <f ca="1">IFERROR(__xludf.DUMMYFUNCTION("""COMPUTED_VALUE"""),"2023-06-008")</f>
        <v>2023-06-008</v>
      </c>
      <c r="K1864" s="164" t="str">
        <f ca="1">IFERROR(__xludf.DUMMYFUNCTION("""COMPUTED_VALUE"""),"REGISTRY OF DEEDS")</f>
        <v>REGISTRY OF DEEDS</v>
      </c>
      <c r="L1864" s="164" t="str">
        <f ca="1">IFERROR(__xludf.DUMMYFUNCTION("""COMPUTED_VALUE"""),"LTSPD")</f>
        <v>LTSPD</v>
      </c>
      <c r="M1864" s="164" t="str">
        <f ca="1">IFERROR(__xludf.DUMMYFUNCTION("""COMPUTED_VALUE"""),"SERVICEABLE")</f>
        <v>SERVICEABLE</v>
      </c>
      <c r="N1864" s="164"/>
    </row>
    <row r="1865" spans="1:14" ht="13.2" hidden="1">
      <c r="A1865" s="164" t="str">
        <f ca="1">IFERROR(__xludf.DUMMYFUNCTION("""COMPUTED_VALUE"""),"Region IV-B")</f>
        <v>Region IV-B</v>
      </c>
      <c r="B1865" s="164" t="str">
        <f ca="1">IFERROR(__xludf.DUMMYFUNCTION("""COMPUTED_VALUE"""),"Palawan")</f>
        <v>Palawan</v>
      </c>
      <c r="C1865" s="164" t="str">
        <f ca="1">IFERROR(__xludf.DUMMYFUNCTION("""COMPUTED_VALUE"""),"Desktop Computer – (Lenovo M70T)")</f>
        <v>Desktop Computer – (Lenovo M70T)</v>
      </c>
      <c r="D1865" s="164" t="str">
        <f ca="1">IFERROR(__xludf.DUMMYFUNCTION("""COMPUTED_VALUE"""),"₱ 75,468.00")</f>
        <v>₱ 75,468.00</v>
      </c>
      <c r="E1865" s="164" t="str">
        <f ca="1">IFERROR(__xludf.DUMMYFUNCTION("""COMPUTED_VALUE"""),"₱-")</f>
        <v>₱-</v>
      </c>
      <c r="F1865" s="164" t="str">
        <f ca="1">IFERROR(__xludf.DUMMYFUNCTION("""COMPUTED_VALUE"""),"2023-05-03-10201SP998-01")</f>
        <v>2023-05-03-10201SP998-01</v>
      </c>
      <c r="G1865" s="164" t="str">
        <f ca="1">IFERROR(__xludf.DUMMYFUNCTION("""COMPUTED_VALUE"""),"1S11T5S16200GM041B2N")</f>
        <v>1S11T5S16200GM041B2N</v>
      </c>
      <c r="H1865" s="164" t="str">
        <f ca="1">IFERROR(__xludf.DUMMYFUNCTION("""COMPUTED_VALUE"""),"CONRADO S. GUEVARRA")</f>
        <v>CONRADO S. GUEVARRA</v>
      </c>
      <c r="I1865" s="164" t="str">
        <f ca="1">IFERROR(__xludf.DUMMYFUNCTION("""COMPUTED_VALUE"""),"PARPO II/Project Manager")</f>
        <v>PARPO II/Project Manager</v>
      </c>
      <c r="J1865" s="164" t="str">
        <f ca="1">IFERROR(__xludf.DUMMYFUNCTION("""COMPUTED_VALUE"""),"2023-06-004")</f>
        <v>2023-06-004</v>
      </c>
      <c r="K1865" s="164" t="str">
        <f ca="1">IFERROR(__xludf.DUMMYFUNCTION("""COMPUTED_VALUE"""),"REGISTRY OF DEEDS")</f>
        <v>REGISTRY OF DEEDS</v>
      </c>
      <c r="L1865" s="164" t="str">
        <f ca="1">IFERROR(__xludf.DUMMYFUNCTION("""COMPUTED_VALUE"""),"PARPO'S OFFICE")</f>
        <v>PARPO'S OFFICE</v>
      </c>
      <c r="M1865" s="164" t="str">
        <f ca="1">IFERROR(__xludf.DUMMYFUNCTION("""COMPUTED_VALUE"""),"SERVICEABLE")</f>
        <v>SERVICEABLE</v>
      </c>
      <c r="N1865" s="164"/>
    </row>
    <row r="1866" spans="1:14" ht="13.2" hidden="1">
      <c r="A1866" s="164" t="str">
        <f ca="1">IFERROR(__xludf.DUMMYFUNCTION("""COMPUTED_VALUE"""),"Region IV-B")</f>
        <v>Region IV-B</v>
      </c>
      <c r="B1866" s="164" t="str">
        <f ca="1">IFERROR(__xludf.DUMMYFUNCTION("""COMPUTED_VALUE"""),"Palawan")</f>
        <v>Palawan</v>
      </c>
      <c r="C1866" s="164" t="str">
        <f ca="1">IFERROR(__xludf.DUMMYFUNCTION("""COMPUTED_VALUE"""),"Desktop Computer – (Lenovo M70T)")</f>
        <v>Desktop Computer – (Lenovo M70T)</v>
      </c>
      <c r="D1866" s="164" t="str">
        <f ca="1">IFERROR(__xludf.DUMMYFUNCTION("""COMPUTED_VALUE"""),"₱ 75,468.00")</f>
        <v>₱ 75,468.00</v>
      </c>
      <c r="E1866" s="164" t="str">
        <f ca="1">IFERROR(__xludf.DUMMYFUNCTION("""COMPUTED_VALUE"""),"₱-")</f>
        <v>₱-</v>
      </c>
      <c r="F1866" s="164" t="str">
        <f ca="1">IFERROR(__xludf.DUMMYFUNCTION("""COMPUTED_VALUE"""),"2023-05-03-10201SP999-01")</f>
        <v>2023-05-03-10201SP999-01</v>
      </c>
      <c r="G1866" s="164" t="str">
        <f ca="1">IFERROR(__xludf.DUMMYFUNCTION("""COMPUTED_VALUE"""),"1S11T5S16200GM041B4Z")</f>
        <v>1S11T5S16200GM041B4Z</v>
      </c>
      <c r="H1866" s="164" t="str">
        <f ca="1">IFERROR(__xludf.DUMMYFUNCTION("""COMPUTED_VALUE"""),"CONRADO S. GUEVARRA")</f>
        <v>CONRADO S. GUEVARRA</v>
      </c>
      <c r="I1866" s="164" t="str">
        <f ca="1">IFERROR(__xludf.DUMMYFUNCTION("""COMPUTED_VALUE"""),"PARPO II/Project Manager")</f>
        <v>PARPO II/Project Manager</v>
      </c>
      <c r="J1866" s="164" t="str">
        <f ca="1">IFERROR(__xludf.DUMMYFUNCTION("""COMPUTED_VALUE"""),"2023-06-004")</f>
        <v>2023-06-004</v>
      </c>
      <c r="K1866" s="164" t="str">
        <f ca="1">IFERROR(__xludf.DUMMYFUNCTION("""COMPUTED_VALUE"""),"CONRADO S. GUEVARRA")</f>
        <v>CONRADO S. GUEVARRA</v>
      </c>
      <c r="L1866" s="164" t="str">
        <f ca="1">IFERROR(__xludf.DUMMYFUNCTION("""COMPUTED_VALUE"""),"PARPO'S OFFICE")</f>
        <v>PARPO'S OFFICE</v>
      </c>
      <c r="M1866" s="164" t="str">
        <f ca="1">IFERROR(__xludf.DUMMYFUNCTION("""COMPUTED_VALUE"""),"SERVICEABLE")</f>
        <v>SERVICEABLE</v>
      </c>
      <c r="N1866" s="164"/>
    </row>
    <row r="1867" spans="1:14" ht="13.2" hidden="1">
      <c r="A1867" s="164" t="str">
        <f ca="1">IFERROR(__xludf.DUMMYFUNCTION("""COMPUTED_VALUE"""),"Region IV-B")</f>
        <v>Region IV-B</v>
      </c>
      <c r="B1867" s="164" t="str">
        <f ca="1">IFERROR(__xludf.DUMMYFUNCTION("""COMPUTED_VALUE"""),"Palawan")</f>
        <v>Palawan</v>
      </c>
      <c r="C1867" s="164" t="str">
        <f ca="1">IFERROR(__xludf.DUMMYFUNCTION("""COMPUTED_VALUE"""),"Desktop Computer – (HP Pro SFF 280G9)")</f>
        <v>Desktop Computer – (HP Pro SFF 280G9)</v>
      </c>
      <c r="D1867" s="164" t="str">
        <f ca="1">IFERROR(__xludf.DUMMYFUNCTION("""COMPUTED_VALUE"""),"₱ 78,898.00")</f>
        <v>₱ 78,898.00</v>
      </c>
      <c r="E1867" s="164" t="str">
        <f ca="1">IFERROR(__xludf.DUMMYFUNCTION("""COMPUTED_VALUE"""),"₱-")</f>
        <v>₱-</v>
      </c>
      <c r="F1867" s="164" t="str">
        <f ca="1">IFERROR(__xludf.DUMMYFUNCTION("""COMPUTED_VALUE"""),"2023-05-03-10201SP263-01")</f>
        <v>2023-05-03-10201SP263-01</v>
      </c>
      <c r="G1867" s="164"/>
      <c r="H1867" s="164" t="str">
        <f ca="1">IFERROR(__xludf.DUMMYFUNCTION("""COMPUTED_VALUE"""),"ATTY. MARY JEL B. BACOSA")</f>
        <v>ATTY. MARY JEL B. BACOSA</v>
      </c>
      <c r="I1867" s="164" t="str">
        <f ca="1">IFERROR(__xludf.DUMMYFUNCTION("""COMPUTED_VALUE"""),"ATTY V/ Legal Coordinator")</f>
        <v>ATTY V/ Legal Coordinator</v>
      </c>
      <c r="J1867" s="164" t="str">
        <f ca="1">IFERROR(__xludf.DUMMYFUNCTION("""COMPUTED_VALUE"""),"2023-10-001")</f>
        <v>2023-10-001</v>
      </c>
      <c r="K1867" s="164" t="str">
        <f ca="1">IFERROR(__xludf.DUMMYFUNCTION("""COMPUTED_VALUE"""),"ATTY. MARY JEL B. BACOSA")</f>
        <v>ATTY. MARY JEL B. BACOSA</v>
      </c>
      <c r="L1867" s="164" t="str">
        <f ca="1">IFERROR(__xludf.DUMMYFUNCTION("""COMPUTED_VALUE"""),"LEGAL")</f>
        <v>LEGAL</v>
      </c>
      <c r="M1867" s="164" t="str">
        <f ca="1">IFERROR(__xludf.DUMMYFUNCTION("""COMPUTED_VALUE"""),"SERVICEABLE")</f>
        <v>SERVICEABLE</v>
      </c>
      <c r="N1867" s="164"/>
    </row>
    <row r="1868" spans="1:14" ht="13.2" hidden="1">
      <c r="A1868" s="164" t="str">
        <f ca="1">IFERROR(__xludf.DUMMYFUNCTION("""COMPUTED_VALUE"""),"Region IV-B")</f>
        <v>Region IV-B</v>
      </c>
      <c r="B1868" s="164" t="str">
        <f ca="1">IFERROR(__xludf.DUMMYFUNCTION("""COMPUTED_VALUE"""),"Palawan")</f>
        <v>Palawan</v>
      </c>
      <c r="C1868" s="164" t="str">
        <f ca="1">IFERROR(__xludf.DUMMYFUNCTION("""COMPUTED_VALUE"""),"Desktop Computer – (HP Pro SFF 280G9)")</f>
        <v>Desktop Computer – (HP Pro SFF 280G9)</v>
      </c>
      <c r="D1868" s="164" t="str">
        <f ca="1">IFERROR(__xludf.DUMMYFUNCTION("""COMPUTED_VALUE"""),"₱ 78,898.00")</f>
        <v>₱ 78,898.00</v>
      </c>
      <c r="E1868" s="164" t="str">
        <f ca="1">IFERROR(__xludf.DUMMYFUNCTION("""COMPUTED_VALUE"""),"₱-")</f>
        <v>₱-</v>
      </c>
      <c r="F1868" s="164" t="str">
        <f ca="1">IFERROR(__xludf.DUMMYFUNCTION("""COMPUTED_VALUE"""),"2023-05-03-10201SP264-01")</f>
        <v>2023-05-03-10201SP264-01</v>
      </c>
      <c r="G1868" s="164"/>
      <c r="H1868" s="164" t="str">
        <f ca="1">IFERROR(__xludf.DUMMYFUNCTION("""COMPUTED_VALUE"""),"ROSEMARY M. TAMAYO")</f>
        <v>ROSEMARY M. TAMAYO</v>
      </c>
      <c r="I1868" s="164" t="str">
        <f ca="1">IFERROR(__xludf.DUMMYFUNCTION("""COMPUTED_VALUE"""),"OIC-CAO/Administrative &amp; Finance Officer")</f>
        <v>OIC-CAO/Administrative &amp; Finance Officer</v>
      </c>
      <c r="J1868" s="164" t="str">
        <f ca="1">IFERROR(__xludf.DUMMYFUNCTION("""COMPUTED_VALUE"""),"2023-10-002")</f>
        <v>2023-10-002</v>
      </c>
      <c r="K1868" s="164" t="str">
        <f ca="1">IFERROR(__xludf.DUMMYFUNCTION("""COMPUTED_VALUE"""),"ROSEMARY M. TAMAYO")</f>
        <v>ROSEMARY M. TAMAYO</v>
      </c>
      <c r="L1868" s="164" t="str">
        <f ca="1">IFERROR(__xludf.DUMMYFUNCTION("""COMPUTED_VALUE"""),"STOD")</f>
        <v>STOD</v>
      </c>
      <c r="M1868" s="164" t="str">
        <f ca="1">IFERROR(__xludf.DUMMYFUNCTION("""COMPUTED_VALUE"""),"SERVICEABLE")</f>
        <v>SERVICEABLE</v>
      </c>
      <c r="N1868" s="164"/>
    </row>
    <row r="1869" spans="1:14" ht="13.2" hidden="1">
      <c r="A1869" s="164" t="str">
        <f ca="1">IFERROR(__xludf.DUMMYFUNCTION("""COMPUTED_VALUE"""),"Region IV-B")</f>
        <v>Region IV-B</v>
      </c>
      <c r="B1869" s="164" t="str">
        <f ca="1">IFERROR(__xludf.DUMMYFUNCTION("""COMPUTED_VALUE"""),"Palawan")</f>
        <v>Palawan</v>
      </c>
      <c r="C1869" s="164" t="str">
        <f ca="1">IFERROR(__xludf.DUMMYFUNCTION("""COMPUTED_VALUE"""),"Desktop Computer – (HP Pro SFF 280G9)")</f>
        <v>Desktop Computer – (HP Pro SFF 280G9)</v>
      </c>
      <c r="D1869" s="164" t="str">
        <f ca="1">IFERROR(__xludf.DUMMYFUNCTION("""COMPUTED_VALUE"""),"₱ 78,898.00")</f>
        <v>₱ 78,898.00</v>
      </c>
      <c r="E1869" s="164" t="str">
        <f ca="1">IFERROR(__xludf.DUMMYFUNCTION("""COMPUTED_VALUE"""),"₱-")</f>
        <v>₱-</v>
      </c>
      <c r="F1869" s="164" t="str">
        <f ca="1">IFERROR(__xludf.DUMMYFUNCTION("""COMPUTED_VALUE"""),"2023-05-03-10201SP265-01")</f>
        <v>2023-05-03-10201SP265-01</v>
      </c>
      <c r="G1869" s="164"/>
      <c r="H1869" s="164" t="str">
        <f ca="1">IFERROR(__xludf.DUMMYFUNCTION("""COMPUTED_VALUE"""),"ROSSANA Q. BALUYOT")</f>
        <v>ROSSANA Q. BALUYOT</v>
      </c>
      <c r="I1869" s="164" t="str">
        <f ca="1">IFERROR(__xludf.DUMMYFUNCTION("""COMPUTED_VALUE"""),"SARPO/DENR/LRA-ROD Survey Coordinator")</f>
        <v>SARPO/DENR/LRA-ROD Survey Coordinator</v>
      </c>
      <c r="J1869" s="164" t="str">
        <f ca="1">IFERROR(__xludf.DUMMYFUNCTION("""COMPUTED_VALUE"""),"2023-10-003")</f>
        <v>2023-10-003</v>
      </c>
      <c r="K1869" s="164" t="str">
        <f ca="1">IFERROR(__xludf.DUMMYFUNCTION("""COMPUTED_VALUE"""),"ROSSANA Q. BALUYOT")</f>
        <v>ROSSANA Q. BALUYOT</v>
      </c>
      <c r="L1869" s="164" t="str">
        <f ca="1">IFERROR(__xludf.DUMMYFUNCTION("""COMPUTED_VALUE"""),"LTSPD")</f>
        <v>LTSPD</v>
      </c>
      <c r="M1869" s="164" t="str">
        <f ca="1">IFERROR(__xludf.DUMMYFUNCTION("""COMPUTED_VALUE"""),"SERVICEABLE")</f>
        <v>SERVICEABLE</v>
      </c>
      <c r="N1869" s="164"/>
    </row>
    <row r="1870" spans="1:14" ht="13.2" hidden="1">
      <c r="A1870" s="164" t="str">
        <f ca="1">IFERROR(__xludf.DUMMYFUNCTION("""COMPUTED_VALUE"""),"Region IV-B")</f>
        <v>Region IV-B</v>
      </c>
      <c r="B1870" s="164" t="str">
        <f ca="1">IFERROR(__xludf.DUMMYFUNCTION("""COMPUTED_VALUE"""),"Palawan")</f>
        <v>Palawan</v>
      </c>
      <c r="C1870" s="164" t="str">
        <f ca="1">IFERROR(__xludf.DUMMYFUNCTION("""COMPUTED_VALUE"""),"Desktop Computer – (HP Pro SFF 280G9)")</f>
        <v>Desktop Computer – (HP Pro SFF 280G9)</v>
      </c>
      <c r="D1870" s="164" t="str">
        <f ca="1">IFERROR(__xludf.DUMMYFUNCTION("""COMPUTED_VALUE"""),"₱ 78,898.00")</f>
        <v>₱ 78,898.00</v>
      </c>
      <c r="E1870" s="164" t="str">
        <f ca="1">IFERROR(__xludf.DUMMYFUNCTION("""COMPUTED_VALUE"""),"₱-")</f>
        <v>₱-</v>
      </c>
      <c r="F1870" s="164" t="str">
        <f ca="1">IFERROR(__xludf.DUMMYFUNCTION("""COMPUTED_VALUE"""),"2023-05-03-10201SP266-01")</f>
        <v>2023-05-03-10201SP266-01</v>
      </c>
      <c r="G1870" s="164"/>
      <c r="H1870" s="164" t="str">
        <f ca="1">IFERROR(__xludf.DUMMYFUNCTION("""COMPUTED_VALUE"""),"ARLYN B. DORIA")</f>
        <v>ARLYN B. DORIA</v>
      </c>
      <c r="I1870" s="164" t="str">
        <f ca="1">IFERROR(__xludf.DUMMYFUNCTION("""COMPUTED_VALUE"""),"AO IV/Project Procurement Officer")</f>
        <v>AO IV/Project Procurement Officer</v>
      </c>
      <c r="J1870" s="164" t="str">
        <f ca="1">IFERROR(__xludf.DUMMYFUNCTION("""COMPUTED_VALUE"""),"2023-10-004")</f>
        <v>2023-10-004</v>
      </c>
      <c r="K1870" s="164" t="str">
        <f ca="1">IFERROR(__xludf.DUMMYFUNCTION("""COMPUTED_VALUE"""),"ARLYN B. DORIA")</f>
        <v>ARLYN B. DORIA</v>
      </c>
      <c r="L1870" s="164" t="str">
        <f ca="1">IFERROR(__xludf.DUMMYFUNCTION("""COMPUTED_VALUE"""),"STOD")</f>
        <v>STOD</v>
      </c>
      <c r="M1870" s="164" t="str">
        <f ca="1">IFERROR(__xludf.DUMMYFUNCTION("""COMPUTED_VALUE"""),"SERVICEABLE")</f>
        <v>SERVICEABLE</v>
      </c>
      <c r="N1870" s="164"/>
    </row>
    <row r="1871" spans="1:14" ht="13.2" hidden="1">
      <c r="A1871" s="164" t="str">
        <f ca="1">IFERROR(__xludf.DUMMYFUNCTION("""COMPUTED_VALUE"""),"Region IV-B")</f>
        <v>Region IV-B</v>
      </c>
      <c r="B1871" s="164" t="str">
        <f ca="1">IFERROR(__xludf.DUMMYFUNCTION("""COMPUTED_VALUE"""),"Palawan")</f>
        <v>Palawan</v>
      </c>
      <c r="C1871" s="164" t="str">
        <f ca="1">IFERROR(__xludf.DUMMYFUNCTION("""COMPUTED_VALUE"""),"Desktop Computer – (HP Pro SFF 280G9)")</f>
        <v>Desktop Computer – (HP Pro SFF 280G9)</v>
      </c>
      <c r="D1871" s="164" t="str">
        <f ca="1">IFERROR(__xludf.DUMMYFUNCTION("""COMPUTED_VALUE"""),"₱ 78,898.00")</f>
        <v>₱ 78,898.00</v>
      </c>
      <c r="E1871" s="164" t="str">
        <f ca="1">IFERROR(__xludf.DUMMYFUNCTION("""COMPUTED_VALUE"""),"₱-")</f>
        <v>₱-</v>
      </c>
      <c r="F1871" s="164" t="str">
        <f ca="1">IFERROR(__xludf.DUMMYFUNCTION("""COMPUTED_VALUE"""),"2023-05-03-10201SP267-01")</f>
        <v>2023-05-03-10201SP267-01</v>
      </c>
      <c r="G1871" s="164"/>
      <c r="H1871" s="164" t="str">
        <f ca="1">IFERROR(__xludf.DUMMYFUNCTION("""COMPUTED_VALUE"""),"JESFER S. MAPANAO")</f>
        <v>JESFER S. MAPANAO</v>
      </c>
      <c r="I1871" s="164" t="str">
        <f ca="1">IFERROR(__xludf.DUMMYFUNCTION("""COMPUTED_VALUE"""),"ARPT/Documentation/ESS Staff")</f>
        <v>ARPT/Documentation/ESS Staff</v>
      </c>
      <c r="J1871" s="164" t="str">
        <f ca="1">IFERROR(__xludf.DUMMYFUNCTION("""COMPUTED_VALUE"""),"2023-10-005")</f>
        <v>2023-10-005</v>
      </c>
      <c r="K1871" s="164" t="str">
        <f ca="1">IFERROR(__xludf.DUMMYFUNCTION("""COMPUTED_VALUE"""),"JESFER S. MAPANAO")</f>
        <v>JESFER S. MAPANAO</v>
      </c>
      <c r="L1871" s="164" t="str">
        <f ca="1">IFERROR(__xludf.DUMMYFUNCTION("""COMPUTED_VALUE"""),"LTSPD")</f>
        <v>LTSPD</v>
      </c>
      <c r="M1871" s="164" t="str">
        <f ca="1">IFERROR(__xludf.DUMMYFUNCTION("""COMPUTED_VALUE"""),"SERVICEABLE")</f>
        <v>SERVICEABLE</v>
      </c>
      <c r="N1871" s="164"/>
    </row>
    <row r="1872" spans="1:14" ht="13.2" hidden="1">
      <c r="A1872" s="164" t="str">
        <f ca="1">IFERROR(__xludf.DUMMYFUNCTION("""COMPUTED_VALUE"""),"Region IV-B")</f>
        <v>Region IV-B</v>
      </c>
      <c r="B1872" s="164" t="str">
        <f ca="1">IFERROR(__xludf.DUMMYFUNCTION("""COMPUTED_VALUE"""),"Romblon")</f>
        <v>Romblon</v>
      </c>
      <c r="C1872" s="164" t="str">
        <f ca="1">IFERROR(__xludf.DUMMYFUNCTION("""COMPUTED_VALUE"""),"Desktop Computer – (Lenovo M70T)")</f>
        <v>Desktop Computer – (Lenovo M70T)</v>
      </c>
      <c r="D1872" s="164" t="str">
        <f ca="1">IFERROR(__xludf.DUMMYFUNCTION("""COMPUTED_VALUE"""),"₱ 75,468.00")</f>
        <v>₱ 75,468.00</v>
      </c>
      <c r="E1872" s="164" t="str">
        <f ca="1">IFERROR(__xludf.DUMMYFUNCTION("""COMPUTED_VALUE"""),"₱-")</f>
        <v>₱-</v>
      </c>
      <c r="F1872" s="164" t="str">
        <f ca="1">IFERROR(__xludf.DUMMYFUNCTION("""COMPUTED_VALUE"""),"2023-05-03-10201SP1013-01")</f>
        <v>2023-05-03-10201SP1013-01</v>
      </c>
      <c r="G1872" s="164" t="str">
        <f ca="1">IFERROR(__xludf.DUMMYFUNCTION("""COMPUTED_VALUE"""),"1S11T5S16200GM0418BP")</f>
        <v>1S11T5S16200GM0418BP</v>
      </c>
      <c r="H1872" s="164" t="str">
        <f ca="1">IFERROR(__xludf.DUMMYFUNCTION("""COMPUTED_VALUE"""),"ENGR. ROGELIO D. MADARCOS")</f>
        <v>ENGR. ROGELIO D. MADARCOS</v>
      </c>
      <c r="I1872" s="164" t="str">
        <f ca="1">IFERROR(__xludf.DUMMYFUNCTION("""COMPUTED_VALUE"""),"PARPO II")</f>
        <v>PARPO II</v>
      </c>
      <c r="J1872" s="164" t="str">
        <f ca="1">IFERROR(__xludf.DUMMYFUNCTION("""COMPUTED_VALUE"""),"2023-05-002")</f>
        <v>2023-05-002</v>
      </c>
      <c r="K1872" s="164" t="str">
        <f ca="1">IFERROR(__xludf.DUMMYFUNCTION("""COMPUTED_VALUE"""),"ENGR. ROGELIO D. MADARCOS")</f>
        <v>ENGR. ROGELIO D. MADARCOS</v>
      </c>
      <c r="L1872" s="164" t="str">
        <f ca="1">IFERROR(__xludf.DUMMYFUNCTION("""COMPUTED_VALUE"""),"PARPO'S OFFICE")</f>
        <v>PARPO'S OFFICE</v>
      </c>
      <c r="M1872" s="164" t="str">
        <f ca="1">IFERROR(__xludf.DUMMYFUNCTION("""COMPUTED_VALUE"""),"SERVICEABLE")</f>
        <v>SERVICEABLE</v>
      </c>
      <c r="N1872" s="164"/>
    </row>
    <row r="1873" spans="1:14" ht="13.2" hidden="1">
      <c r="A1873" s="164" t="str">
        <f ca="1">IFERROR(__xludf.DUMMYFUNCTION("""COMPUTED_VALUE"""),"Region IV-B")</f>
        <v>Region IV-B</v>
      </c>
      <c r="B1873" s="164" t="str">
        <f ca="1">IFERROR(__xludf.DUMMYFUNCTION("""COMPUTED_VALUE"""),"Romblon")</f>
        <v>Romblon</v>
      </c>
      <c r="C1873" s="164" t="str">
        <f ca="1">IFERROR(__xludf.DUMMYFUNCTION("""COMPUTED_VALUE"""),"Desktop Computer – (Lenovo M70T)")</f>
        <v>Desktop Computer – (Lenovo M70T)</v>
      </c>
      <c r="D1873" s="164" t="str">
        <f ca="1">IFERROR(__xludf.DUMMYFUNCTION("""COMPUTED_VALUE"""),"₱ 75,468.00")</f>
        <v>₱ 75,468.00</v>
      </c>
      <c r="E1873" s="164" t="str">
        <f ca="1">IFERROR(__xludf.DUMMYFUNCTION("""COMPUTED_VALUE"""),"₱-")</f>
        <v>₱-</v>
      </c>
      <c r="F1873" s="164" t="str">
        <f ca="1">IFERROR(__xludf.DUMMYFUNCTION("""COMPUTED_VALUE"""),"2023-05-03-10201SP-1008-01")</f>
        <v>2023-05-03-10201SP-1008-01</v>
      </c>
      <c r="G1873" s="164" t="str">
        <f ca="1">IFERROR(__xludf.DUMMYFUNCTION("""COMPUTED_VALUE"""),"1S11T5S16200GM0418HA")</f>
        <v>1S11T5S16200GM0418HA</v>
      </c>
      <c r="H1873" s="164" t="str">
        <f ca="1">IFERROR(__xludf.DUMMYFUNCTION("""COMPUTED_VALUE"""),"ENGR. ROGELIO D. MADARCOS")</f>
        <v>ENGR. ROGELIO D. MADARCOS</v>
      </c>
      <c r="I1873" s="164" t="str">
        <f ca="1">IFERROR(__xludf.DUMMYFUNCTION("""COMPUTED_VALUE"""),"PARPO II")</f>
        <v>PARPO II</v>
      </c>
      <c r="J1873" s="164" t="str">
        <f ca="1">IFERROR(__xludf.DUMMYFUNCTION("""COMPUTED_VALUE"""),"2023-05-002")</f>
        <v>2023-05-002</v>
      </c>
      <c r="K1873" s="164" t="str">
        <f ca="1">IFERROR(__xludf.DUMMYFUNCTION("""COMPUTED_VALUE"""),"PARO OFFICE PERSONNEL")</f>
        <v>PARO OFFICE PERSONNEL</v>
      </c>
      <c r="L1873" s="164" t="str">
        <f ca="1">IFERROR(__xludf.DUMMYFUNCTION("""COMPUTED_VALUE"""),"PARPO'S OFFICE")</f>
        <v>PARPO'S OFFICE</v>
      </c>
      <c r="M1873" s="164" t="str">
        <f ca="1">IFERROR(__xludf.DUMMYFUNCTION("""COMPUTED_VALUE"""),"SERVICEABLE")</f>
        <v>SERVICEABLE</v>
      </c>
      <c r="N1873" s="164"/>
    </row>
    <row r="1874" spans="1:14" ht="13.2" hidden="1">
      <c r="A1874" s="164" t="str">
        <f ca="1">IFERROR(__xludf.DUMMYFUNCTION("""COMPUTED_VALUE"""),"Region IV-B")</f>
        <v>Region IV-B</v>
      </c>
      <c r="B1874" s="164" t="str">
        <f ca="1">IFERROR(__xludf.DUMMYFUNCTION("""COMPUTED_VALUE"""),"Romblon")</f>
        <v>Romblon</v>
      </c>
      <c r="C1874" s="164" t="str">
        <f ca="1">IFERROR(__xludf.DUMMYFUNCTION("""COMPUTED_VALUE"""),"Desktop Computer – (Lenovo M70T)")</f>
        <v>Desktop Computer – (Lenovo M70T)</v>
      </c>
      <c r="D1874" s="164" t="str">
        <f ca="1">IFERROR(__xludf.DUMMYFUNCTION("""COMPUTED_VALUE"""),"₱ 75,468.00")</f>
        <v>₱ 75,468.00</v>
      </c>
      <c r="E1874" s="164" t="str">
        <f ca="1">IFERROR(__xludf.DUMMYFUNCTION("""COMPUTED_VALUE"""),"₱-")</f>
        <v>₱-</v>
      </c>
      <c r="F1874" s="164" t="str">
        <f ca="1">IFERROR(__xludf.DUMMYFUNCTION("""COMPUTED_VALUE"""),"2023-05-03-10201SP1009-01")</f>
        <v>2023-05-03-10201SP1009-01</v>
      </c>
      <c r="G1874" s="164" t="str">
        <f ca="1">IFERROR(__xludf.DUMMYFUNCTION("""COMPUTED_VALUE"""),"1S11T5S16200GM0418HT")</f>
        <v>1S11T5S16200GM0418HT</v>
      </c>
      <c r="H1874" s="164" t="str">
        <f ca="1">IFERROR(__xludf.DUMMYFUNCTION("""COMPUTED_VALUE"""),"IRENE B. MAULLON")</f>
        <v>IRENE B. MAULLON</v>
      </c>
      <c r="I1874" s="164" t="str">
        <f ca="1">IFERROR(__xludf.DUMMYFUNCTION("""COMPUTED_VALUE"""),"LEGAL STAFF")</f>
        <v>LEGAL STAFF</v>
      </c>
      <c r="J1874" s="164" t="str">
        <f ca="1">IFERROR(__xludf.DUMMYFUNCTION("""COMPUTED_VALUE"""),"2023-05-003")</f>
        <v>2023-05-003</v>
      </c>
      <c r="K1874" s="164" t="str">
        <f ca="1">IFERROR(__xludf.DUMMYFUNCTION("""COMPUTED_VALUE"""),"IRENE B. MAULLON")</f>
        <v>IRENE B. MAULLON</v>
      </c>
      <c r="L1874" s="164" t="str">
        <f ca="1">IFERROR(__xludf.DUMMYFUNCTION("""COMPUTED_VALUE"""),"LEGAL DIVISION")</f>
        <v>LEGAL DIVISION</v>
      </c>
      <c r="M1874" s="164" t="str">
        <f ca="1">IFERROR(__xludf.DUMMYFUNCTION("""COMPUTED_VALUE"""),"SERVICEABLE")</f>
        <v>SERVICEABLE</v>
      </c>
      <c r="N1874" s="164"/>
    </row>
    <row r="1875" spans="1:14" ht="13.2" hidden="1">
      <c r="A1875" s="164" t="str">
        <f ca="1">IFERROR(__xludf.DUMMYFUNCTION("""COMPUTED_VALUE"""),"Region IV-B")</f>
        <v>Region IV-B</v>
      </c>
      <c r="B1875" s="164" t="str">
        <f ca="1">IFERROR(__xludf.DUMMYFUNCTION("""COMPUTED_VALUE"""),"Romblon")</f>
        <v>Romblon</v>
      </c>
      <c r="C1875" s="164" t="str">
        <f ca="1">IFERROR(__xludf.DUMMYFUNCTION("""COMPUTED_VALUE"""),"Desktop Computer – (Lenovo M70T)")</f>
        <v>Desktop Computer – (Lenovo M70T)</v>
      </c>
      <c r="D1875" s="164" t="str">
        <f ca="1">IFERROR(__xludf.DUMMYFUNCTION("""COMPUTED_VALUE"""),"₱ 75,468.00")</f>
        <v>₱ 75,468.00</v>
      </c>
      <c r="E1875" s="164" t="str">
        <f ca="1">IFERROR(__xludf.DUMMYFUNCTION("""COMPUTED_VALUE"""),"₱-")</f>
        <v>₱-</v>
      </c>
      <c r="F1875" s="164" t="str">
        <f ca="1">IFERROR(__xludf.DUMMYFUNCTION("""COMPUTED_VALUE"""),"2023-05-03-10201SP1010-01")</f>
        <v>2023-05-03-10201SP1010-01</v>
      </c>
      <c r="G1875" s="164" t="str">
        <f ca="1">IFERROR(__xludf.DUMMYFUNCTION("""COMPUTED_VALUE"""),"1S11T5S16200GM0418GH")</f>
        <v>1S11T5S16200GM0418GH</v>
      </c>
      <c r="H1875" s="164" t="str">
        <f ca="1">IFERROR(__xludf.DUMMYFUNCTION("""COMPUTED_VALUE"""),"LORILE PADUA")</f>
        <v>LORILE PADUA</v>
      </c>
      <c r="I1875" s="164" t="str">
        <f ca="1">IFERROR(__xludf.DUMMYFUNCTION("""COMPUTED_VALUE"""),"Accountant II")</f>
        <v>Accountant II</v>
      </c>
      <c r="J1875" s="164" t="str">
        <f ca="1">IFERROR(__xludf.DUMMYFUNCTION("""COMPUTED_VALUE"""),"2023-05-004")</f>
        <v>2023-05-004</v>
      </c>
      <c r="K1875" s="164" t="str">
        <f ca="1">IFERROR(__xludf.DUMMYFUNCTION("""COMPUTED_VALUE"""),"LORILE PADUA")</f>
        <v>LORILE PADUA</v>
      </c>
      <c r="L1875" s="164" t="str">
        <f ca="1">IFERROR(__xludf.DUMMYFUNCTION("""COMPUTED_VALUE"""),"STOD")</f>
        <v>STOD</v>
      </c>
      <c r="M1875" s="164" t="str">
        <f ca="1">IFERROR(__xludf.DUMMYFUNCTION("""COMPUTED_VALUE"""),"SERVICEABLE")</f>
        <v>SERVICEABLE</v>
      </c>
      <c r="N1875" s="164"/>
    </row>
    <row r="1876" spans="1:14" ht="13.2" hidden="1">
      <c r="A1876" s="164" t="str">
        <f ca="1">IFERROR(__xludf.DUMMYFUNCTION("""COMPUTED_VALUE"""),"Region IV-B")</f>
        <v>Region IV-B</v>
      </c>
      <c r="B1876" s="164" t="str">
        <f ca="1">IFERROR(__xludf.DUMMYFUNCTION("""COMPUTED_VALUE"""),"Romblon")</f>
        <v>Romblon</v>
      </c>
      <c r="C1876" s="164" t="str">
        <f ca="1">IFERROR(__xludf.DUMMYFUNCTION("""COMPUTED_VALUE"""),"Desktop Computer – (Lenovo M70T)")</f>
        <v>Desktop Computer – (Lenovo M70T)</v>
      </c>
      <c r="D1876" s="164" t="str">
        <f ca="1">IFERROR(__xludf.DUMMYFUNCTION("""COMPUTED_VALUE"""),"₱ 75,468.00")</f>
        <v>₱ 75,468.00</v>
      </c>
      <c r="E1876" s="164" t="str">
        <f ca="1">IFERROR(__xludf.DUMMYFUNCTION("""COMPUTED_VALUE"""),"₱-")</f>
        <v>₱-</v>
      </c>
      <c r="F1876" s="164" t="str">
        <f ca="1">IFERROR(__xludf.DUMMYFUNCTION("""COMPUTED_VALUE"""),"2023-05-03-10201SP1011-01")</f>
        <v>2023-05-03-10201SP1011-01</v>
      </c>
      <c r="G1876" s="164" t="str">
        <f ca="1">IFERROR(__xludf.DUMMYFUNCTION("""COMPUTED_VALUE"""),"1S11T5S16200GM041AZ5")</f>
        <v>1S11T5S16200GM041AZ5</v>
      </c>
      <c r="H1876" s="164" t="str">
        <f ca="1">IFERROR(__xludf.DUMMYFUNCTION("""COMPUTED_VALUE"""),"FELINO DAVID MAGALLON")</f>
        <v>FELINO DAVID MAGALLON</v>
      </c>
      <c r="I1876" s="164" t="str">
        <f ca="1">IFERROR(__xludf.DUMMYFUNCTION("""COMPUTED_VALUE"""),"SUARPO")</f>
        <v>SUARPO</v>
      </c>
      <c r="J1876" s="164" t="str">
        <f ca="1">IFERROR(__xludf.DUMMYFUNCTION("""COMPUTED_VALUE"""),"2023-05-005")</f>
        <v>2023-05-005</v>
      </c>
      <c r="K1876" s="164" t="str">
        <f ca="1">IFERROR(__xludf.DUMMYFUNCTION("""COMPUTED_VALUE"""),"SPLIT PERSONNEL")</f>
        <v>SPLIT PERSONNEL</v>
      </c>
      <c r="L1876" s="164" t="str">
        <f ca="1">IFERROR(__xludf.DUMMYFUNCTION("""COMPUTED_VALUE"""),"LTSPD")</f>
        <v>LTSPD</v>
      </c>
      <c r="M1876" s="164" t="str">
        <f ca="1">IFERROR(__xludf.DUMMYFUNCTION("""COMPUTED_VALUE"""),"SERVICEABLE")</f>
        <v>SERVICEABLE</v>
      </c>
      <c r="N1876" s="164"/>
    </row>
    <row r="1877" spans="1:14" ht="13.2" hidden="1">
      <c r="A1877" s="164" t="str">
        <f ca="1">IFERROR(__xludf.DUMMYFUNCTION("""COMPUTED_VALUE"""),"Region IV-B")</f>
        <v>Region IV-B</v>
      </c>
      <c r="B1877" s="164" t="str">
        <f ca="1">IFERROR(__xludf.DUMMYFUNCTION("""COMPUTED_VALUE"""),"Romblon")</f>
        <v>Romblon</v>
      </c>
      <c r="C1877" s="164" t="str">
        <f ca="1">IFERROR(__xludf.DUMMYFUNCTION("""COMPUTED_VALUE"""),"Desktop Computer – (Lenovo M70T)")</f>
        <v>Desktop Computer – (Lenovo M70T)</v>
      </c>
      <c r="D1877" s="164" t="str">
        <f ca="1">IFERROR(__xludf.DUMMYFUNCTION("""COMPUTED_VALUE"""),"₱ 75,468.00")</f>
        <v>₱ 75,468.00</v>
      </c>
      <c r="E1877" s="164" t="str">
        <f ca="1">IFERROR(__xludf.DUMMYFUNCTION("""COMPUTED_VALUE"""),"₱-")</f>
        <v>₱-</v>
      </c>
      <c r="F1877" s="164" t="str">
        <f ca="1">IFERROR(__xludf.DUMMYFUNCTION("""COMPUTED_VALUE"""),"2023-05-03-10201SP1012-01")</f>
        <v>2023-05-03-10201SP1012-01</v>
      </c>
      <c r="G1877" s="164" t="str">
        <f ca="1">IFERROR(__xludf.DUMMYFUNCTION("""COMPUTED_VALUE"""),"1S11T5S16200GM0418HP")</f>
        <v>1S11T5S16200GM0418HP</v>
      </c>
      <c r="H1877" s="164" t="str">
        <f ca="1">IFERROR(__xludf.DUMMYFUNCTION("""COMPUTED_VALUE"""),"WILFRED GABUTERO")</f>
        <v>WILFRED GABUTERO</v>
      </c>
      <c r="I1877" s="164" t="str">
        <f ca="1">IFERROR(__xludf.DUMMYFUNCTION("""COMPUTED_VALUE"""),"SARPT")</f>
        <v>SARPT</v>
      </c>
      <c r="J1877" s="164" t="str">
        <f ca="1">IFERROR(__xludf.DUMMYFUNCTION("""COMPUTED_VALUE"""),"2023-05-006")</f>
        <v>2023-05-006</v>
      </c>
      <c r="K1877" s="164" t="str">
        <f ca="1">IFERROR(__xludf.DUMMYFUNCTION("""COMPUTED_VALUE"""),"SPLIT PERSONNEL")</f>
        <v>SPLIT PERSONNEL</v>
      </c>
      <c r="L1877" s="164" t="str">
        <f ca="1">IFERROR(__xludf.DUMMYFUNCTION("""COMPUTED_VALUE"""),"LTSPD")</f>
        <v>LTSPD</v>
      </c>
      <c r="M1877" s="164" t="str">
        <f ca="1">IFERROR(__xludf.DUMMYFUNCTION("""COMPUTED_VALUE"""),"SERVICEABLE")</f>
        <v>SERVICEABLE</v>
      </c>
      <c r="N1877" s="164"/>
    </row>
    <row r="1878" spans="1:14" ht="13.2" hidden="1">
      <c r="A1878" s="164" t="str">
        <f ca="1">IFERROR(__xludf.DUMMYFUNCTION("""COMPUTED_VALUE"""),"Region IV-B")</f>
        <v>Region IV-B</v>
      </c>
      <c r="B1878" s="164" t="str">
        <f ca="1">IFERROR(__xludf.DUMMYFUNCTION("""COMPUTED_VALUE"""),"Romblon")</f>
        <v>Romblon</v>
      </c>
      <c r="C1878" s="164" t="str">
        <f ca="1">IFERROR(__xludf.DUMMYFUNCTION("""COMPUTED_VALUE"""),"Desktop Computer – (HP Pro SFF 280G9)")</f>
        <v>Desktop Computer – (HP Pro SFF 280G9)</v>
      </c>
      <c r="D1878" s="164" t="str">
        <f ca="1">IFERROR(__xludf.DUMMYFUNCTION("""COMPUTED_VALUE"""),"₱ 78,898.00")</f>
        <v>₱ 78,898.00</v>
      </c>
      <c r="E1878" s="164" t="str">
        <f ca="1">IFERROR(__xludf.DUMMYFUNCTION("""COMPUTED_VALUE"""),"₱-")</f>
        <v>₱-</v>
      </c>
      <c r="F1878" s="164" t="str">
        <f ca="1">IFERROR(__xludf.DUMMYFUNCTION("""COMPUTED_VALUE"""),"2023-05-03-10201SP268-01")</f>
        <v>2023-05-03-10201SP268-01</v>
      </c>
      <c r="G1878" s="164"/>
      <c r="H1878" s="164" t="str">
        <f ca="1">IFERROR(__xludf.DUMMYFUNCTION("""COMPUTED_VALUE"""),"COA USER")</f>
        <v>COA USER</v>
      </c>
      <c r="I1878" s="164" t="str">
        <f ca="1">IFERROR(__xludf.DUMMYFUNCTION("""COMPUTED_VALUE"""),"COA")</f>
        <v>COA</v>
      </c>
      <c r="J1878" s="164" t="str">
        <f ca="1">IFERROR(__xludf.DUMMYFUNCTION("""COMPUTED_VALUE"""),"2023-09-002")</f>
        <v>2023-09-002</v>
      </c>
      <c r="K1878" s="164" t="str">
        <f ca="1">IFERROR(__xludf.DUMMYFUNCTION("""COMPUTED_VALUE"""),"COA USER")</f>
        <v>COA USER</v>
      </c>
      <c r="L1878" s="164" t="str">
        <f ca="1">IFERROR(__xludf.DUMMYFUNCTION("""COMPUTED_VALUE"""),"COA")</f>
        <v>COA</v>
      </c>
      <c r="M1878" s="164" t="str">
        <f ca="1">IFERROR(__xludf.DUMMYFUNCTION("""COMPUTED_VALUE"""),"SERVICEABLE")</f>
        <v>SERVICEABLE</v>
      </c>
      <c r="N1878" s="164" t="str">
        <f ca="1">IFERROR(__xludf.DUMMYFUNCTION("""COMPUTED_VALUE"""),"MONITOR UNSERVICEABLE")</f>
        <v>MONITOR UNSERVICEABLE</v>
      </c>
    </row>
    <row r="1879" spans="1:14" ht="13.2" hidden="1">
      <c r="A1879" s="164" t="str">
        <f ca="1">IFERROR(__xludf.DUMMYFUNCTION("""COMPUTED_VALUE"""),"Region IV-B")</f>
        <v>Region IV-B</v>
      </c>
      <c r="B1879" s="164" t="str">
        <f ca="1">IFERROR(__xludf.DUMMYFUNCTION("""COMPUTED_VALUE"""),"Romblon")</f>
        <v>Romblon</v>
      </c>
      <c r="C1879" s="164" t="str">
        <f ca="1">IFERROR(__xludf.DUMMYFUNCTION("""COMPUTED_VALUE"""),"Desktop Computer – (HP Pro SFF 280G9)")</f>
        <v>Desktop Computer – (HP Pro SFF 280G9)</v>
      </c>
      <c r="D1879" s="164" t="str">
        <f ca="1">IFERROR(__xludf.DUMMYFUNCTION("""COMPUTED_VALUE"""),"₱ 78,898.00")</f>
        <v>₱ 78,898.00</v>
      </c>
      <c r="E1879" s="164" t="str">
        <f ca="1">IFERROR(__xludf.DUMMYFUNCTION("""COMPUTED_VALUE"""),"₱-")</f>
        <v>₱-</v>
      </c>
      <c r="F1879" s="164" t="str">
        <f ca="1">IFERROR(__xludf.DUMMYFUNCTION("""COMPUTED_VALUE"""),"2023-05-03-10201SP269-01")</f>
        <v>2023-05-03-10201SP269-01</v>
      </c>
      <c r="G1879" s="164"/>
      <c r="H1879" s="164" t="str">
        <f ca="1">IFERROR(__xludf.DUMMYFUNCTION("""COMPUTED_VALUE"""),"CLAIRE FETALVER")</f>
        <v>CLAIRE FETALVER</v>
      </c>
      <c r="I1879" s="164" t="str">
        <f ca="1">IFERROR(__xludf.DUMMYFUNCTION("""COMPUTED_VALUE"""),"ARPO OO/OIC-CARPO")</f>
        <v>ARPO OO/OIC-CARPO</v>
      </c>
      <c r="J1879" s="164" t="str">
        <f ca="1">IFERROR(__xludf.DUMMYFUNCTION("""COMPUTED_VALUE"""),"2023-09-001")</f>
        <v>2023-09-001</v>
      </c>
      <c r="K1879" s="164" t="str">
        <f ca="1">IFERROR(__xludf.DUMMYFUNCTION("""COMPUTED_VALUE"""),"CLAIRE FETALVER")</f>
        <v>CLAIRE FETALVER</v>
      </c>
      <c r="L1879" s="164" t="str">
        <f ca="1">IFERROR(__xludf.DUMMYFUNCTION("""COMPUTED_VALUE"""),"PBDD")</f>
        <v>PBDD</v>
      </c>
      <c r="M1879" s="164" t="str">
        <f ca="1">IFERROR(__xludf.DUMMYFUNCTION("""COMPUTED_VALUE"""),"SERVICEABLE")</f>
        <v>SERVICEABLE</v>
      </c>
      <c r="N1879" s="164"/>
    </row>
    <row r="1880" spans="1:14" ht="13.2" hidden="1">
      <c r="A1880" s="164" t="str">
        <f ca="1">IFERROR(__xludf.DUMMYFUNCTION("""COMPUTED_VALUE"""),"Region IV-B")</f>
        <v>Region IV-B</v>
      </c>
      <c r="B1880" s="164" t="str">
        <f ca="1">IFERROR(__xludf.DUMMYFUNCTION("""COMPUTED_VALUE"""),"Marinduque")</f>
        <v>Marinduque</v>
      </c>
      <c r="C1880" s="164" t="str">
        <f ca="1">IFERROR(__xludf.DUMMYFUNCTION("""COMPUTED_VALUE"""),"Desktop Computer – (Lenovo M70T)")</f>
        <v>Desktop Computer – (Lenovo M70T)</v>
      </c>
      <c r="D1880" s="164" t="str">
        <f ca="1">IFERROR(__xludf.DUMMYFUNCTION("""COMPUTED_VALUE"""),"₱ 75,468.00")</f>
        <v>₱ 75,468.00</v>
      </c>
      <c r="E1880" s="164" t="str">
        <f ca="1">IFERROR(__xludf.DUMMYFUNCTION("""COMPUTED_VALUE"""),"₱-")</f>
        <v>₱-</v>
      </c>
      <c r="F1880" s="164" t="str">
        <f ca="1">IFERROR(__xludf.DUMMYFUNCTION("""COMPUTED_VALUE"""),"2023-05-03-1020ISP970-01")</f>
        <v>2023-05-03-1020ISP970-01</v>
      </c>
      <c r="G1880" s="164" t="str">
        <f ca="1">IFERROR(__xludf.DUMMYFUNCTION("""COMPUTED_VALUE"""),"1S11T5S16200GM0418HS")</f>
        <v>1S11T5S16200GM0418HS</v>
      </c>
      <c r="H1880" s="164" t="str">
        <f ca="1">IFERROR(__xludf.DUMMYFUNCTION("""COMPUTED_VALUE"""),"SALVADOR M. JAMILLA JR.")</f>
        <v>SALVADOR M. JAMILLA JR.</v>
      </c>
      <c r="I1880" s="164" t="str">
        <f ca="1">IFERROR(__xludf.DUMMYFUNCTION("""COMPUTED_VALUE"""),"OIC-CARPO")</f>
        <v>OIC-CARPO</v>
      </c>
      <c r="J1880" s="164" t="str">
        <f ca="1">IFERROR(__xludf.DUMMYFUNCTION("""COMPUTED_VALUE"""),"2023-04-02")</f>
        <v>2023-04-02</v>
      </c>
      <c r="K1880" s="164" t="str">
        <f ca="1">IFERROR(__xludf.DUMMYFUNCTION("""COMPUTED_VALUE"""),"SALVADOR M. JAMILLA")</f>
        <v>SALVADOR M. JAMILLA</v>
      </c>
      <c r="L1880" s="164" t="str">
        <f ca="1">IFERROR(__xludf.DUMMYFUNCTION("""COMPUTED_VALUE"""),"LTSPD")</f>
        <v>LTSPD</v>
      </c>
      <c r="M1880" s="164" t="str">
        <f ca="1">IFERROR(__xludf.DUMMYFUNCTION("""COMPUTED_VALUE"""),"SERVICEABLE")</f>
        <v>SERVICEABLE</v>
      </c>
      <c r="N1880" s="164"/>
    </row>
    <row r="1881" spans="1:14" ht="13.2" hidden="1">
      <c r="A1881" s="164" t="str">
        <f ca="1">IFERROR(__xludf.DUMMYFUNCTION("""COMPUTED_VALUE"""),"Region IV-B")</f>
        <v>Region IV-B</v>
      </c>
      <c r="B1881" s="164" t="str">
        <f ca="1">IFERROR(__xludf.DUMMYFUNCTION("""COMPUTED_VALUE"""),"Marinduque")</f>
        <v>Marinduque</v>
      </c>
      <c r="C1881" s="164" t="str">
        <f ca="1">IFERROR(__xludf.DUMMYFUNCTION("""COMPUTED_VALUE"""),"Desktop Computer – (Lenovo M70T)")</f>
        <v>Desktop Computer – (Lenovo M70T)</v>
      </c>
      <c r="D1881" s="164" t="str">
        <f ca="1">IFERROR(__xludf.DUMMYFUNCTION("""COMPUTED_VALUE"""),"₱ 75,468.00")</f>
        <v>₱ 75,468.00</v>
      </c>
      <c r="E1881" s="164" t="str">
        <f ca="1">IFERROR(__xludf.DUMMYFUNCTION("""COMPUTED_VALUE"""),"₱-")</f>
        <v>₱-</v>
      </c>
      <c r="F1881" s="164" t="str">
        <f ca="1">IFERROR(__xludf.DUMMYFUNCTION("""COMPUTED_VALUE"""),"2023-05-03-1020ISP964-01")</f>
        <v>2023-05-03-1020ISP964-01</v>
      </c>
      <c r="G1881" s="164" t="str">
        <f ca="1">IFERROR(__xludf.DUMMYFUNCTION("""COMPUTED_VALUE"""),"1S11T5S16200GM041B2R")</f>
        <v>1S11T5S16200GM041B2R</v>
      </c>
      <c r="H1881" s="164" t="str">
        <f ca="1">IFERROR(__xludf.DUMMYFUNCTION("""COMPUTED_VALUE"""),"DORINA M. MALAPOTE")</f>
        <v>DORINA M. MALAPOTE</v>
      </c>
      <c r="I1881" s="164" t="str">
        <f ca="1">IFERROR(__xludf.DUMMYFUNCTION("""COMPUTED_VALUE"""),"ASST. STATISTICIAN")</f>
        <v>ASST. STATISTICIAN</v>
      </c>
      <c r="J1881" s="164" t="str">
        <f ca="1">IFERROR(__xludf.DUMMYFUNCTION("""COMPUTED_VALUE"""),"2023-04-03")</f>
        <v>2023-04-03</v>
      </c>
      <c r="K1881" s="164" t="str">
        <f ca="1">IFERROR(__xludf.DUMMYFUNCTION("""COMPUTED_VALUE"""),"DORINA M. MALAPOTE")</f>
        <v>DORINA M. MALAPOTE</v>
      </c>
      <c r="L1881" s="164" t="str">
        <f ca="1">IFERROR(__xludf.DUMMYFUNCTION("""COMPUTED_VALUE"""),"LTSPD")</f>
        <v>LTSPD</v>
      </c>
      <c r="M1881" s="164" t="str">
        <f ca="1">IFERROR(__xludf.DUMMYFUNCTION("""COMPUTED_VALUE"""),"SERVICEABLE")</f>
        <v>SERVICEABLE</v>
      </c>
      <c r="N1881" s="164"/>
    </row>
    <row r="1882" spans="1:14" ht="13.2" hidden="1">
      <c r="A1882" s="164" t="str">
        <f ca="1">IFERROR(__xludf.DUMMYFUNCTION("""COMPUTED_VALUE"""),"Region IV-B")</f>
        <v>Region IV-B</v>
      </c>
      <c r="B1882" s="164" t="str">
        <f ca="1">IFERROR(__xludf.DUMMYFUNCTION("""COMPUTED_VALUE"""),"Marinduque")</f>
        <v>Marinduque</v>
      </c>
      <c r="C1882" s="164" t="str">
        <f ca="1">IFERROR(__xludf.DUMMYFUNCTION("""COMPUTED_VALUE"""),"Desktop Computer – (Lenovo M70T)")</f>
        <v>Desktop Computer – (Lenovo M70T)</v>
      </c>
      <c r="D1882" s="164" t="str">
        <f ca="1">IFERROR(__xludf.DUMMYFUNCTION("""COMPUTED_VALUE"""),"₱ 75,468.00")</f>
        <v>₱ 75,468.00</v>
      </c>
      <c r="E1882" s="164" t="str">
        <f ca="1">IFERROR(__xludf.DUMMYFUNCTION("""COMPUTED_VALUE"""),"₱-")</f>
        <v>₱-</v>
      </c>
      <c r="F1882" s="164" t="str">
        <f ca="1">IFERROR(__xludf.DUMMYFUNCTION("""COMPUTED_VALUE"""),"2023-05-03-12020ISP968-01")</f>
        <v>2023-05-03-12020ISP968-01</v>
      </c>
      <c r="G1882" s="164" t="str">
        <f ca="1">IFERROR(__xludf.DUMMYFUNCTION("""COMPUTED_VALUE"""),"1S11T5S16200GM041B5X")</f>
        <v>1S11T5S16200GM041B5X</v>
      </c>
      <c r="H1882" s="164" t="str">
        <f ca="1">IFERROR(__xludf.DUMMYFUNCTION("""COMPUTED_VALUE"""),"ALMA J. SENA")</f>
        <v>ALMA J. SENA</v>
      </c>
      <c r="I1882" s="164" t="str">
        <f ca="1">IFERROR(__xludf.DUMMYFUNCTION("""COMPUTED_VALUE"""),"HRM AIDE")</f>
        <v>HRM AIDE</v>
      </c>
      <c r="J1882" s="164" t="str">
        <f ca="1">IFERROR(__xludf.DUMMYFUNCTION("""COMPUTED_VALUE"""),"2023-04-04")</f>
        <v>2023-04-04</v>
      </c>
      <c r="K1882" s="164" t="str">
        <f ca="1">IFERROR(__xludf.DUMMYFUNCTION("""COMPUTED_VALUE"""),"ALMA J. SENA")</f>
        <v>ALMA J. SENA</v>
      </c>
      <c r="L1882" s="164" t="str">
        <f ca="1">IFERROR(__xludf.DUMMYFUNCTION("""COMPUTED_VALUE"""),"LTSPD")</f>
        <v>LTSPD</v>
      </c>
      <c r="M1882" s="164" t="str">
        <f ca="1">IFERROR(__xludf.DUMMYFUNCTION("""COMPUTED_VALUE"""),"SERVICEABLE")</f>
        <v>SERVICEABLE</v>
      </c>
      <c r="N1882" s="164"/>
    </row>
    <row r="1883" spans="1:14" ht="13.2" hidden="1">
      <c r="A1883" s="164" t="str">
        <f ca="1">IFERROR(__xludf.DUMMYFUNCTION("""COMPUTED_VALUE"""),"Region IV-B")</f>
        <v>Region IV-B</v>
      </c>
      <c r="B1883" s="164" t="str">
        <f ca="1">IFERROR(__xludf.DUMMYFUNCTION("""COMPUTED_VALUE"""),"Marinduque")</f>
        <v>Marinduque</v>
      </c>
      <c r="C1883" s="164" t="str">
        <f ca="1">IFERROR(__xludf.DUMMYFUNCTION("""COMPUTED_VALUE"""),"Desktop Computer – (Lenovo M70T)")</f>
        <v>Desktop Computer – (Lenovo M70T)</v>
      </c>
      <c r="D1883" s="164" t="str">
        <f ca="1">IFERROR(__xludf.DUMMYFUNCTION("""COMPUTED_VALUE"""),"₱ 75,468.00")</f>
        <v>₱ 75,468.00</v>
      </c>
      <c r="E1883" s="164" t="str">
        <f ca="1">IFERROR(__xludf.DUMMYFUNCTION("""COMPUTED_VALUE"""),"₱-")</f>
        <v>₱-</v>
      </c>
      <c r="F1883" s="164" t="str">
        <f ca="1">IFERROR(__xludf.DUMMYFUNCTION("""COMPUTED_VALUE"""),"2023-05-03-1020ISP974-01")</f>
        <v>2023-05-03-1020ISP974-01</v>
      </c>
      <c r="G1883" s="164" t="str">
        <f ca="1">IFERROR(__xludf.DUMMYFUNCTION("""COMPUTED_VALUE"""),"1S11T5S16200GM041B2Q")</f>
        <v>1S11T5S16200GM041B2Q</v>
      </c>
      <c r="H1883" s="164" t="str">
        <f ca="1">IFERROR(__xludf.DUMMYFUNCTION("""COMPUTED_VALUE"""),"GELLI ANNE F. PANTOJA")</f>
        <v>GELLI ANNE F. PANTOJA</v>
      </c>
      <c r="I1883" s="164" t="str">
        <f ca="1">IFERROR(__xludf.DUMMYFUNCTION("""COMPUTED_VALUE"""),"ARPT")</f>
        <v>ARPT</v>
      </c>
      <c r="J1883" s="164" t="str">
        <f ca="1">IFERROR(__xludf.DUMMYFUNCTION("""COMPUTED_VALUE"""),"2023-04-05")</f>
        <v>2023-04-05</v>
      </c>
      <c r="K1883" s="164" t="str">
        <f ca="1">IFERROR(__xludf.DUMMYFUNCTION("""COMPUTED_VALUE"""),"GELLI ANNE F. PANTOJA")</f>
        <v>GELLI ANNE F. PANTOJA</v>
      </c>
      <c r="L1883" s="164" t="str">
        <f ca="1">IFERROR(__xludf.DUMMYFUNCTION("""COMPUTED_VALUE"""),"LTSPD")</f>
        <v>LTSPD</v>
      </c>
      <c r="M1883" s="164" t="str">
        <f ca="1">IFERROR(__xludf.DUMMYFUNCTION("""COMPUTED_VALUE"""),"SERVICEABLE")</f>
        <v>SERVICEABLE</v>
      </c>
      <c r="N1883" s="164"/>
    </row>
    <row r="1884" spans="1:14" ht="13.2" hidden="1">
      <c r="A1884" s="164" t="str">
        <f ca="1">IFERROR(__xludf.DUMMYFUNCTION("""COMPUTED_VALUE"""),"Region IV-B")</f>
        <v>Region IV-B</v>
      </c>
      <c r="B1884" s="164" t="str">
        <f ca="1">IFERROR(__xludf.DUMMYFUNCTION("""COMPUTED_VALUE"""),"Marinduque")</f>
        <v>Marinduque</v>
      </c>
      <c r="C1884" s="164" t="str">
        <f ca="1">IFERROR(__xludf.DUMMYFUNCTION("""COMPUTED_VALUE"""),"Desktop Computer – (Lenovo M70T)")</f>
        <v>Desktop Computer – (Lenovo M70T)</v>
      </c>
      <c r="D1884" s="164" t="str">
        <f ca="1">IFERROR(__xludf.DUMMYFUNCTION("""COMPUTED_VALUE"""),"₱ 75,468.00")</f>
        <v>₱ 75,468.00</v>
      </c>
      <c r="E1884" s="164" t="str">
        <f ca="1">IFERROR(__xludf.DUMMYFUNCTION("""COMPUTED_VALUE"""),"₱-")</f>
        <v>₱-</v>
      </c>
      <c r="F1884" s="164" t="str">
        <f ca="1">IFERROR(__xludf.DUMMYFUNCTION("""COMPUTED_VALUE"""),"2023-05-03-1020ISP969-01")</f>
        <v>2023-05-03-1020ISP969-01</v>
      </c>
      <c r="G1884" s="164" t="str">
        <f ca="1">IFERROR(__xludf.DUMMYFUNCTION("""COMPUTED_VALUE"""),"1S11T5S16200GM0418HN")</f>
        <v>1S11T5S16200GM0418HN</v>
      </c>
      <c r="H1884" s="164" t="str">
        <f ca="1">IFERROR(__xludf.DUMMYFUNCTION("""COMPUTED_VALUE"""),"SALVADOR M. JAMILLA JR.")</f>
        <v>SALVADOR M. JAMILLA JR.</v>
      </c>
      <c r="I1884" s="164" t="str">
        <f ca="1">IFERROR(__xludf.DUMMYFUNCTION("""COMPUTED_VALUE"""),"OIC-CARPO")</f>
        <v>OIC-CARPO</v>
      </c>
      <c r="J1884" s="164" t="str">
        <f ca="1">IFERROR(__xludf.DUMMYFUNCTION("""COMPUTED_VALUE"""),"2023-04-06")</f>
        <v>2023-04-06</v>
      </c>
      <c r="K1884" s="164" t="str">
        <f ca="1">IFERROR(__xludf.DUMMYFUNCTION("""COMPUTED_VALUE"""),"DARVIN MAGDURULANG")</f>
        <v>DARVIN MAGDURULANG</v>
      </c>
      <c r="L1884" s="164" t="str">
        <f ca="1">IFERROR(__xludf.DUMMYFUNCTION("""COMPUTED_VALUE"""),"LTSPD")</f>
        <v>LTSPD</v>
      </c>
      <c r="M1884" s="164" t="str">
        <f ca="1">IFERROR(__xludf.DUMMYFUNCTION("""COMPUTED_VALUE"""),"SERVICEABLE")</f>
        <v>SERVICEABLE</v>
      </c>
      <c r="N1884" s="164"/>
    </row>
    <row r="1885" spans="1:14" ht="13.2" hidden="1">
      <c r="A1885" s="164" t="str">
        <f ca="1">IFERROR(__xludf.DUMMYFUNCTION("""COMPUTED_VALUE"""),"Region IV-B")</f>
        <v>Region IV-B</v>
      </c>
      <c r="B1885" s="164" t="str">
        <f ca="1">IFERROR(__xludf.DUMMYFUNCTION("""COMPUTED_VALUE"""),"Marinduque")</f>
        <v>Marinduque</v>
      </c>
      <c r="C1885" s="164" t="str">
        <f ca="1">IFERROR(__xludf.DUMMYFUNCTION("""COMPUTED_VALUE"""),"Desktop Computer – (Lenovo M70T)")</f>
        <v>Desktop Computer – (Lenovo M70T)</v>
      </c>
      <c r="D1885" s="164" t="str">
        <f ca="1">IFERROR(__xludf.DUMMYFUNCTION("""COMPUTED_VALUE"""),"₱ 75,468.00")</f>
        <v>₱ 75,468.00</v>
      </c>
      <c r="E1885" s="164" t="str">
        <f ca="1">IFERROR(__xludf.DUMMYFUNCTION("""COMPUTED_VALUE"""),"₱-")</f>
        <v>₱-</v>
      </c>
      <c r="F1885" s="164" t="str">
        <f ca="1">IFERROR(__xludf.DUMMYFUNCTION("""COMPUTED_VALUE"""),"2023-05-03-1020ISP971-01")</f>
        <v>2023-05-03-1020ISP971-01</v>
      </c>
      <c r="G1885" s="164" t="str">
        <f ca="1">IFERROR(__xludf.DUMMYFUNCTION("""COMPUTED_VALUE"""),"1S11T5S16200GM0415VQ")</f>
        <v>1S11T5S16200GM0415VQ</v>
      </c>
      <c r="H1885" s="164" t="str">
        <f ca="1">IFERROR(__xludf.DUMMYFUNCTION("""COMPUTED_VALUE"""),"IMELDA L. LLANES")</f>
        <v>IMELDA L. LLANES</v>
      </c>
      <c r="I1885" s="164" t="str">
        <f ca="1">IFERROR(__xludf.DUMMYFUNCTION("""COMPUTED_VALUE"""),"PLANNING OFFICER II")</f>
        <v>PLANNING OFFICER II</v>
      </c>
      <c r="J1885" s="164" t="str">
        <f ca="1">IFERROR(__xludf.DUMMYFUNCTION("""COMPUTED_VALUE"""),"2023-04-07")</f>
        <v>2023-04-07</v>
      </c>
      <c r="K1885" s="164" t="str">
        <f ca="1">IFERROR(__xludf.DUMMYFUNCTION("""COMPUTED_VALUE"""),"IMELDA L. LLANES")</f>
        <v>IMELDA L. LLANES</v>
      </c>
      <c r="L1885" s="164" t="str">
        <f ca="1">IFERROR(__xludf.DUMMYFUNCTION("""COMPUTED_VALUE"""),"STOD")</f>
        <v>STOD</v>
      </c>
      <c r="M1885" s="164" t="str">
        <f ca="1">IFERROR(__xludf.DUMMYFUNCTION("""COMPUTED_VALUE"""),"SERVICEABLE")</f>
        <v>SERVICEABLE</v>
      </c>
      <c r="N1885" s="164"/>
    </row>
    <row r="1886" spans="1:14" ht="13.2" hidden="1">
      <c r="A1886" s="164" t="str">
        <f ca="1">IFERROR(__xludf.DUMMYFUNCTION("""COMPUTED_VALUE"""),"Region IV-B")</f>
        <v>Region IV-B</v>
      </c>
      <c r="B1886" s="164" t="str">
        <f ca="1">IFERROR(__xludf.DUMMYFUNCTION("""COMPUTED_VALUE"""),"Marinduque")</f>
        <v>Marinduque</v>
      </c>
      <c r="C1886" s="164" t="str">
        <f ca="1">IFERROR(__xludf.DUMMYFUNCTION("""COMPUTED_VALUE"""),"Desktop Computer – (Lenovo M70T)")</f>
        <v>Desktop Computer – (Lenovo M70T)</v>
      </c>
      <c r="D1886" s="164" t="str">
        <f ca="1">IFERROR(__xludf.DUMMYFUNCTION("""COMPUTED_VALUE"""),"₱ 75,468.00")</f>
        <v>₱ 75,468.00</v>
      </c>
      <c r="E1886" s="164" t="str">
        <f ca="1">IFERROR(__xludf.DUMMYFUNCTION("""COMPUTED_VALUE"""),"₱-")</f>
        <v>₱-</v>
      </c>
      <c r="F1886" s="164" t="str">
        <f ca="1">IFERROR(__xludf.DUMMYFUNCTION("""COMPUTED_VALUE"""),"2023-05-03-1020ISP972-01")</f>
        <v>2023-05-03-1020ISP972-01</v>
      </c>
      <c r="G1886" s="164" t="str">
        <f ca="1">IFERROR(__xludf.DUMMYFUNCTION("""COMPUTED_VALUE"""),"1S11T5S16200GM041B5W")</f>
        <v>1S11T5S16200GM041B5W</v>
      </c>
      <c r="H1886" s="164" t="str">
        <f ca="1">IFERROR(__xludf.DUMMYFUNCTION("""COMPUTED_VALUE"""),"SALVADOR M. JAMILLA JR.")</f>
        <v>SALVADOR M. JAMILLA JR.</v>
      </c>
      <c r="I1886" s="164" t="str">
        <f ca="1">IFERROR(__xludf.DUMMYFUNCTION("""COMPUTED_VALUE"""),"OIC-CARPO")</f>
        <v>OIC-CARPO</v>
      </c>
      <c r="J1886" s="164" t="str">
        <f ca="1">IFERROR(__xludf.DUMMYFUNCTION("""COMPUTED_VALUE"""),"2023-04-08")</f>
        <v>2023-04-08</v>
      </c>
      <c r="K1886" s="164" t="str">
        <f ca="1">IFERROR(__xludf.DUMMYFUNCTION("""COMPUTED_VALUE"""),"ANGELICA M. JAGONG")</f>
        <v>ANGELICA M. JAGONG</v>
      </c>
      <c r="L1886" s="164" t="str">
        <f ca="1">IFERROR(__xludf.DUMMYFUNCTION("""COMPUTED_VALUE"""),"LTSPD")</f>
        <v>LTSPD</v>
      </c>
      <c r="M1886" s="164" t="str">
        <f ca="1">IFERROR(__xludf.DUMMYFUNCTION("""COMPUTED_VALUE"""),"SERVICEABLE")</f>
        <v>SERVICEABLE</v>
      </c>
      <c r="N1886" s="164"/>
    </row>
    <row r="1887" spans="1:14" ht="13.2" hidden="1">
      <c r="A1887" s="164" t="str">
        <f ca="1">IFERROR(__xludf.DUMMYFUNCTION("""COMPUTED_VALUE"""),"Region IV-B")</f>
        <v>Region IV-B</v>
      </c>
      <c r="B1887" s="164" t="str">
        <f ca="1">IFERROR(__xludf.DUMMYFUNCTION("""COMPUTED_VALUE"""),"Marinduque")</f>
        <v>Marinduque</v>
      </c>
      <c r="C1887" s="164" t="str">
        <f ca="1">IFERROR(__xludf.DUMMYFUNCTION("""COMPUTED_VALUE"""),"Desktop Computer – (Lenovo M70T)")</f>
        <v>Desktop Computer – (Lenovo M70T)</v>
      </c>
      <c r="D1887" s="164" t="str">
        <f ca="1">IFERROR(__xludf.DUMMYFUNCTION("""COMPUTED_VALUE"""),"₱ 75,468.00")</f>
        <v>₱ 75,468.00</v>
      </c>
      <c r="E1887" s="164" t="str">
        <f ca="1">IFERROR(__xludf.DUMMYFUNCTION("""COMPUTED_VALUE"""),"₱-")</f>
        <v>₱-</v>
      </c>
      <c r="F1887" s="164" t="str">
        <f ca="1">IFERROR(__xludf.DUMMYFUNCTION("""COMPUTED_VALUE"""),"2023-05-03-1020ISP967-01")</f>
        <v>2023-05-03-1020ISP967-01</v>
      </c>
      <c r="G1887" s="164" t="str">
        <f ca="1">IFERROR(__xludf.DUMMYFUNCTION("""COMPUTED_VALUE"""),"1S11T5S16200GM0415XB")</f>
        <v>1S11T5S16200GM0415XB</v>
      </c>
      <c r="H1887" s="164" t="str">
        <f ca="1">IFERROR(__xludf.DUMMYFUNCTION("""COMPUTED_VALUE"""),"TIRSO M. SARMIENTO")</f>
        <v>TIRSO M. SARMIENTO</v>
      </c>
      <c r="I1887" s="164" t="str">
        <f ca="1">IFERROR(__xludf.DUMMYFUNCTION("""COMPUTED_VALUE"""),"SARPO")</f>
        <v>SARPO</v>
      </c>
      <c r="J1887" s="164" t="str">
        <f ca="1">IFERROR(__xludf.DUMMYFUNCTION("""COMPUTED_VALUE"""),"2023-04-09")</f>
        <v>2023-04-09</v>
      </c>
      <c r="K1887" s="164" t="str">
        <f ca="1">IFERROR(__xludf.DUMMYFUNCTION("""COMPUTED_VALUE"""),"TIRSO M. SARMIENTO")</f>
        <v>TIRSO M. SARMIENTO</v>
      </c>
      <c r="L1887" s="164" t="str">
        <f ca="1">IFERROR(__xludf.DUMMYFUNCTION("""COMPUTED_VALUE"""),"LEGAL")</f>
        <v>LEGAL</v>
      </c>
      <c r="M1887" s="164" t="str">
        <f ca="1">IFERROR(__xludf.DUMMYFUNCTION("""COMPUTED_VALUE"""),"SERVICEABLE")</f>
        <v>SERVICEABLE</v>
      </c>
      <c r="N1887" s="164"/>
    </row>
    <row r="1888" spans="1:14" ht="13.2" hidden="1">
      <c r="A1888" s="164" t="str">
        <f ca="1">IFERROR(__xludf.DUMMYFUNCTION("""COMPUTED_VALUE"""),"Region IV-B")</f>
        <v>Region IV-B</v>
      </c>
      <c r="B1888" s="164" t="str">
        <f ca="1">IFERROR(__xludf.DUMMYFUNCTION("""COMPUTED_VALUE"""),"Marinduque")</f>
        <v>Marinduque</v>
      </c>
      <c r="C1888" s="164" t="str">
        <f ca="1">IFERROR(__xludf.DUMMYFUNCTION("""COMPUTED_VALUE"""),"Desktop Computer – (Lenovo M70T)")</f>
        <v>Desktop Computer – (Lenovo M70T)</v>
      </c>
      <c r="D1888" s="164" t="str">
        <f ca="1">IFERROR(__xludf.DUMMYFUNCTION("""COMPUTED_VALUE"""),"₱ 75,468.00")</f>
        <v>₱ 75,468.00</v>
      </c>
      <c r="E1888" s="164" t="str">
        <f ca="1">IFERROR(__xludf.DUMMYFUNCTION("""COMPUTED_VALUE"""),"₱-")</f>
        <v>₱-</v>
      </c>
      <c r="F1888" s="164" t="str">
        <f ca="1">IFERROR(__xludf.DUMMYFUNCTION("""COMPUTED_VALUE"""),"2023-05-03-1020ISP973-01")</f>
        <v>2023-05-03-1020ISP973-01</v>
      </c>
      <c r="G1888" s="164" t="str">
        <f ca="1">IFERROR(__xludf.DUMMYFUNCTION("""COMPUTED_VALUE"""),"1S11T5S16200GM0415YR")</f>
        <v>1S11T5S16200GM0415YR</v>
      </c>
      <c r="H1888" s="164" t="str">
        <f ca="1">IFERROR(__xludf.DUMMYFUNCTION("""COMPUTED_VALUE"""),"RON MICHAEL L. MAGAHIS")</f>
        <v>RON MICHAEL L. MAGAHIS</v>
      </c>
      <c r="I1888" s="164" t="str">
        <f ca="1">IFERROR(__xludf.DUMMYFUNCTION("""COMPUTED_VALUE"""),"ACCOUNTANT")</f>
        <v>ACCOUNTANT</v>
      </c>
      <c r="J1888" s="164" t="str">
        <f ca="1">IFERROR(__xludf.DUMMYFUNCTION("""COMPUTED_VALUE"""),"2023-04-10")</f>
        <v>2023-04-10</v>
      </c>
      <c r="K1888" s="164" t="str">
        <f ca="1">IFERROR(__xludf.DUMMYFUNCTION("""COMPUTED_VALUE"""),"RON MICHAEL L. MAGAHIS")</f>
        <v>RON MICHAEL L. MAGAHIS</v>
      </c>
      <c r="L1888" s="164" t="str">
        <f ca="1">IFERROR(__xludf.DUMMYFUNCTION("""COMPUTED_VALUE"""),"STOD")</f>
        <v>STOD</v>
      </c>
      <c r="M1888" s="164" t="str">
        <f ca="1">IFERROR(__xludf.DUMMYFUNCTION("""COMPUTED_VALUE"""),"SERVICEABLE")</f>
        <v>SERVICEABLE</v>
      </c>
      <c r="N1888" s="164"/>
    </row>
    <row r="1889" spans="1:14" ht="13.2" hidden="1">
      <c r="A1889" s="164" t="str">
        <f ca="1">IFERROR(__xludf.DUMMYFUNCTION("""COMPUTED_VALUE"""),"Region IV-B")</f>
        <v>Region IV-B</v>
      </c>
      <c r="B1889" s="164" t="str">
        <f ca="1">IFERROR(__xludf.DUMMYFUNCTION("""COMPUTED_VALUE"""),"Marinduque")</f>
        <v>Marinduque</v>
      </c>
      <c r="C1889" s="164" t="str">
        <f ca="1">IFERROR(__xludf.DUMMYFUNCTION("""COMPUTED_VALUE"""),"Desktop Computer – (Lenovo M70T)")</f>
        <v>Desktop Computer – (Lenovo M70T)</v>
      </c>
      <c r="D1889" s="164" t="str">
        <f ca="1">IFERROR(__xludf.DUMMYFUNCTION("""COMPUTED_VALUE"""),"₱ 75,468.00")</f>
        <v>₱ 75,468.00</v>
      </c>
      <c r="E1889" s="164" t="str">
        <f ca="1">IFERROR(__xludf.DUMMYFUNCTION("""COMPUTED_VALUE"""),"₱-")</f>
        <v>₱-</v>
      </c>
      <c r="F1889" s="164" t="str">
        <f ca="1">IFERROR(__xludf.DUMMYFUNCTION("""COMPUTED_VALUE"""),"2023-05-03-1020ISP966-01")</f>
        <v>2023-05-03-1020ISP966-01</v>
      </c>
      <c r="G1889" s="164" t="str">
        <f ca="1">IFERROR(__xludf.DUMMYFUNCTION("""COMPUTED_VALUE"""),"1S11T5S16200GM03S3PX")</f>
        <v>1S11T5S16200GM03S3PX</v>
      </c>
      <c r="H1889" s="164" t="str">
        <f ca="1">IFERROR(__xludf.DUMMYFUNCTION("""COMPUTED_VALUE"""),"OLLIE F. DAVALOS")</f>
        <v>OLLIE F. DAVALOS</v>
      </c>
      <c r="I1889" s="164" t="str">
        <f ca="1">IFERROR(__xludf.DUMMYFUNCTION("""COMPUTED_VALUE"""),"OIC-CARPO")</f>
        <v>OIC-CARPO</v>
      </c>
      <c r="J1889" s="164" t="str">
        <f ca="1">IFERROR(__xludf.DUMMYFUNCTION("""COMPUTED_VALUE"""),"2023-04-11")</f>
        <v>2023-04-11</v>
      </c>
      <c r="K1889" s="164" t="str">
        <f ca="1">IFERROR(__xludf.DUMMYFUNCTION("""COMPUTED_VALUE"""),"OLLIE F. DAVALOS")</f>
        <v>OLLIE F. DAVALOS</v>
      </c>
      <c r="L1889" s="164" t="str">
        <f ca="1">IFERROR(__xludf.DUMMYFUNCTION("""COMPUTED_VALUE"""),"PBDD")</f>
        <v>PBDD</v>
      </c>
      <c r="M1889" s="164" t="str">
        <f ca="1">IFERROR(__xludf.DUMMYFUNCTION("""COMPUTED_VALUE"""),"SERVICEABLE")</f>
        <v>SERVICEABLE</v>
      </c>
      <c r="N1889" s="164"/>
    </row>
    <row r="1890" spans="1:14" ht="13.2" hidden="1">
      <c r="A1890" s="164" t="str">
        <f ca="1">IFERROR(__xludf.DUMMYFUNCTION("""COMPUTED_VALUE"""),"Region IV-B")</f>
        <v>Region IV-B</v>
      </c>
      <c r="B1890" s="164" t="str">
        <f ca="1">IFERROR(__xludf.DUMMYFUNCTION("""COMPUTED_VALUE"""),"Marinduque")</f>
        <v>Marinduque</v>
      </c>
      <c r="C1890" s="164" t="str">
        <f ca="1">IFERROR(__xludf.DUMMYFUNCTION("""COMPUTED_VALUE"""),"Desktop Computer – (Lenovo M70T)")</f>
        <v>Desktop Computer – (Lenovo M70T)</v>
      </c>
      <c r="D1890" s="164" t="str">
        <f ca="1">IFERROR(__xludf.DUMMYFUNCTION("""COMPUTED_VALUE"""),"₱ 75,468.00")</f>
        <v>₱ 75,468.00</v>
      </c>
      <c r="E1890" s="164" t="str">
        <f ca="1">IFERROR(__xludf.DUMMYFUNCTION("""COMPUTED_VALUE"""),"₱-")</f>
        <v>₱-</v>
      </c>
      <c r="F1890" s="164" t="str">
        <f ca="1">IFERROR(__xludf.DUMMYFUNCTION("""COMPUTED_VALUE"""),"2023-05-03-1020ISP965-01")</f>
        <v>2023-05-03-1020ISP965-01</v>
      </c>
      <c r="G1890" s="164" t="str">
        <f ca="1">IFERROR(__xludf.DUMMYFUNCTION("""COMPUTED_VALUE"""),"1S11T5S16200GM041AYX")</f>
        <v>1S11T5S16200GM041AYX</v>
      </c>
      <c r="H1890" s="164" t="str">
        <f ca="1">IFERROR(__xludf.DUMMYFUNCTION("""COMPUTED_VALUE"""),"SALVADOR M. JAMILLA JR.")</f>
        <v>SALVADOR M. JAMILLA JR.</v>
      </c>
      <c r="I1890" s="164" t="str">
        <f ca="1">IFERROR(__xludf.DUMMYFUNCTION("""COMPUTED_VALUE"""),"OIC-CARPO")</f>
        <v>OIC-CARPO</v>
      </c>
      <c r="J1890" s="164" t="str">
        <f ca="1">IFERROR(__xludf.DUMMYFUNCTION("""COMPUTED_VALUE"""),"2023-04-12")</f>
        <v>2023-04-12</v>
      </c>
      <c r="K1890" s="164" t="str">
        <f ca="1">IFERROR(__xludf.DUMMYFUNCTION("""COMPUTED_VALUE"""),"MARIDEL SENA")</f>
        <v>MARIDEL SENA</v>
      </c>
      <c r="L1890" s="164" t="str">
        <f ca="1">IFERROR(__xludf.DUMMYFUNCTION("""COMPUTED_VALUE"""),"LTSPD")</f>
        <v>LTSPD</v>
      </c>
      <c r="M1890" s="164" t="str">
        <f ca="1">IFERROR(__xludf.DUMMYFUNCTION("""COMPUTED_VALUE"""),"SERVICEABLE")</f>
        <v>SERVICEABLE</v>
      </c>
      <c r="N1890" s="164"/>
    </row>
    <row r="1891" spans="1:14" ht="13.2" hidden="1">
      <c r="A1891" s="164" t="str">
        <f ca="1">IFERROR(__xludf.DUMMYFUNCTION("""COMPUTED_VALUE"""),"Region IV-B")</f>
        <v>Region IV-B</v>
      </c>
      <c r="B1891" s="164" t="str">
        <f ca="1">IFERROR(__xludf.DUMMYFUNCTION("""COMPUTED_VALUE"""),"Marinduque")</f>
        <v>Marinduque</v>
      </c>
      <c r="C1891" s="164" t="str">
        <f ca="1">IFERROR(__xludf.DUMMYFUNCTION("""COMPUTED_VALUE"""),"Desktop Computer – (Lenovo M70T)")</f>
        <v>Desktop Computer – (Lenovo M70T)</v>
      </c>
      <c r="D1891" s="164" t="str">
        <f ca="1">IFERROR(__xludf.DUMMYFUNCTION("""COMPUTED_VALUE"""),"₱ 75,468.00")</f>
        <v>₱ 75,468.00</v>
      </c>
      <c r="E1891" s="164" t="str">
        <f ca="1">IFERROR(__xludf.DUMMYFUNCTION("""COMPUTED_VALUE"""),"₱-")</f>
        <v>₱-</v>
      </c>
      <c r="F1891" s="164" t="str">
        <f ca="1">IFERROR(__xludf.DUMMYFUNCTION("""COMPUTED_VALUE"""),"2023-05-03-1020ISP975-01")</f>
        <v>2023-05-03-1020ISP975-01</v>
      </c>
      <c r="G1891" s="164" t="str">
        <f ca="1">IFERROR(__xludf.DUMMYFUNCTION("""COMPUTED_VALUE"""),"1S11T5S16200GM041B65")</f>
        <v>1S11T5S16200GM041B65</v>
      </c>
      <c r="H1891" s="164" t="str">
        <f ca="1">IFERROR(__xludf.DUMMYFUNCTION("""COMPUTED_VALUE"""),"BARBARA V. MENDOZA")</f>
        <v>BARBARA V. MENDOZA</v>
      </c>
      <c r="I1891" s="164" t="str">
        <f ca="1">IFERROR(__xludf.DUMMYFUNCTION("""COMPUTED_VALUE"""),"ARPT")</f>
        <v>ARPT</v>
      </c>
      <c r="J1891" s="164" t="str">
        <f ca="1">IFERROR(__xludf.DUMMYFUNCTION("""COMPUTED_VALUE"""),"2023-04-02")</f>
        <v>2023-04-02</v>
      </c>
      <c r="K1891" s="164" t="str">
        <f ca="1">IFERROR(__xludf.DUMMYFUNCTION("""COMPUTED_VALUE"""),"BARBARA V. MENDOZA")</f>
        <v>BARBARA V. MENDOZA</v>
      </c>
      <c r="L1891" s="164" t="str">
        <f ca="1">IFERROR(__xludf.DUMMYFUNCTION("""COMPUTED_VALUE"""),"LTSPD")</f>
        <v>LTSPD</v>
      </c>
      <c r="M1891" s="164" t="str">
        <f ca="1">IFERROR(__xludf.DUMMYFUNCTION("""COMPUTED_VALUE"""),"SERVICEABLE")</f>
        <v>SERVICEABLE</v>
      </c>
      <c r="N1891" s="164"/>
    </row>
    <row r="1892" spans="1:14" ht="13.2" hidden="1">
      <c r="A1892" s="164" t="str">
        <f ca="1">IFERROR(__xludf.DUMMYFUNCTION("""COMPUTED_VALUE"""),"Region IV-B")</f>
        <v>Region IV-B</v>
      </c>
      <c r="B1892" s="164" t="str">
        <f ca="1">IFERROR(__xludf.DUMMYFUNCTION("""COMPUTED_VALUE"""),"Marinduque")</f>
        <v>Marinduque</v>
      </c>
      <c r="C1892" s="164" t="str">
        <f ca="1">IFERROR(__xludf.DUMMYFUNCTION("""COMPUTED_VALUE"""),"Desktop Computer – (HP Pro SFF 280G9)")</f>
        <v>Desktop Computer – (HP Pro SFF 280G9)</v>
      </c>
      <c r="D1892" s="164" t="str">
        <f ca="1">IFERROR(__xludf.DUMMYFUNCTION("""COMPUTED_VALUE"""),"₱ 78,898.00")</f>
        <v>₱ 78,898.00</v>
      </c>
      <c r="E1892" s="164" t="str">
        <f ca="1">IFERROR(__xludf.DUMMYFUNCTION("""COMPUTED_VALUE"""),"₱-")</f>
        <v>₱-</v>
      </c>
      <c r="F1892" s="164" t="str">
        <f ca="1">IFERROR(__xludf.DUMMYFUNCTION("""COMPUTED_VALUE"""),"2023-05-03-1020ISP255-01")</f>
        <v>2023-05-03-1020ISP255-01</v>
      </c>
      <c r="G1892" s="164"/>
      <c r="H1892" s="164" t="str">
        <f ca="1">IFERROR(__xludf.DUMMYFUNCTION("""COMPUTED_VALUE"""),"SALVADOR M. JAMILLA JR.")</f>
        <v>SALVADOR M. JAMILLA JR.</v>
      </c>
      <c r="I1892" s="164" t="str">
        <f ca="1">IFERROR(__xludf.DUMMYFUNCTION("""COMPUTED_VALUE"""),"OIC-CARPO")</f>
        <v>OIC-CARPO</v>
      </c>
      <c r="J1892" s="164" t="str">
        <f ca="1">IFERROR(__xludf.DUMMYFUNCTION("""COMPUTED_VALUE"""),"2023-08-01")</f>
        <v>2023-08-01</v>
      </c>
      <c r="K1892" s="164" t="str">
        <f ca="1">IFERROR(__xludf.DUMMYFUNCTION("""COMPUTED_VALUE"""),"CHERRIE MANUBA")</f>
        <v>CHERRIE MANUBA</v>
      </c>
      <c r="L1892" s="164" t="str">
        <f ca="1">IFERROR(__xludf.DUMMYFUNCTION("""COMPUTED_VALUE"""),"LTSPD")</f>
        <v>LTSPD</v>
      </c>
      <c r="M1892" s="164" t="str">
        <f ca="1">IFERROR(__xludf.DUMMYFUNCTION("""COMPUTED_VALUE"""),"SERVICEABLE")</f>
        <v>SERVICEABLE</v>
      </c>
      <c r="N1892" s="164"/>
    </row>
    <row r="1893" spans="1:14" ht="13.2" hidden="1">
      <c r="A1893" s="164" t="str">
        <f ca="1">IFERROR(__xludf.DUMMYFUNCTION("""COMPUTED_VALUE"""),"Region IV-B")</f>
        <v>Region IV-B</v>
      </c>
      <c r="B1893" s="164" t="str">
        <f ca="1">IFERROR(__xludf.DUMMYFUNCTION("""COMPUTED_VALUE"""),"Marinduque")</f>
        <v>Marinduque</v>
      </c>
      <c r="C1893" s="164" t="str">
        <f ca="1">IFERROR(__xludf.DUMMYFUNCTION("""COMPUTED_VALUE"""),"Desktop Computer – (HP Pro SFF 280G9)")</f>
        <v>Desktop Computer – (HP Pro SFF 280G9)</v>
      </c>
      <c r="D1893" s="164" t="str">
        <f ca="1">IFERROR(__xludf.DUMMYFUNCTION("""COMPUTED_VALUE"""),"₱ 78,898.00")</f>
        <v>₱ 78,898.00</v>
      </c>
      <c r="E1893" s="164" t="str">
        <f ca="1">IFERROR(__xludf.DUMMYFUNCTION("""COMPUTED_VALUE"""),"₱-")</f>
        <v>₱-</v>
      </c>
      <c r="F1893" s="164" t="str">
        <f ca="1">IFERROR(__xludf.DUMMYFUNCTION("""COMPUTED_VALUE"""),"2023-05-03-1020ISP256-01")</f>
        <v>2023-05-03-1020ISP256-01</v>
      </c>
      <c r="G1893" s="164"/>
      <c r="H1893" s="164" t="str">
        <f ca="1">IFERROR(__xludf.DUMMYFUNCTION("""COMPUTED_VALUE"""),"SALVADOR M. JAMILLA JR.")</f>
        <v>SALVADOR M. JAMILLA JR.</v>
      </c>
      <c r="I1893" s="164" t="str">
        <f ca="1">IFERROR(__xludf.DUMMYFUNCTION("""COMPUTED_VALUE"""),"OIC-CARPO")</f>
        <v>OIC-CARPO</v>
      </c>
      <c r="J1893" s="164" t="str">
        <f ca="1">IFERROR(__xludf.DUMMYFUNCTION("""COMPUTED_VALUE"""),"2023-08-02")</f>
        <v>2023-08-02</v>
      </c>
      <c r="K1893" s="164" t="str">
        <f ca="1">IFERROR(__xludf.DUMMYFUNCTION("""COMPUTED_VALUE"""),"DARLENE DAMAYAN")</f>
        <v>DARLENE DAMAYAN</v>
      </c>
      <c r="L1893" s="164" t="str">
        <f ca="1">IFERROR(__xludf.DUMMYFUNCTION("""COMPUTED_VALUE"""),"LTSPD")</f>
        <v>LTSPD</v>
      </c>
      <c r="M1893" s="164" t="str">
        <f ca="1">IFERROR(__xludf.DUMMYFUNCTION("""COMPUTED_VALUE"""),"SERVICEABLE")</f>
        <v>SERVICEABLE</v>
      </c>
      <c r="N1893" s="164"/>
    </row>
    <row r="1894" spans="1:14" ht="13.2" hidden="1">
      <c r="A1894" s="164" t="str">
        <f ca="1">IFERROR(__xludf.DUMMYFUNCTION("""COMPUTED_VALUE"""),"Region IV-B")</f>
        <v>Region IV-B</v>
      </c>
      <c r="B1894" s="164" t="str">
        <f ca="1">IFERROR(__xludf.DUMMYFUNCTION("""COMPUTED_VALUE"""),"Marinduque")</f>
        <v>Marinduque</v>
      </c>
      <c r="C1894" s="164" t="str">
        <f ca="1">IFERROR(__xludf.DUMMYFUNCTION("""COMPUTED_VALUE"""),"Desktop Computer – (HP Pro SFF 280G9)")</f>
        <v>Desktop Computer – (HP Pro SFF 280G9)</v>
      </c>
      <c r="D1894" s="164" t="str">
        <f ca="1">IFERROR(__xludf.DUMMYFUNCTION("""COMPUTED_VALUE"""),"₱ 78,898.00")</f>
        <v>₱ 78,898.00</v>
      </c>
      <c r="E1894" s="164" t="str">
        <f ca="1">IFERROR(__xludf.DUMMYFUNCTION("""COMPUTED_VALUE"""),"₱-")</f>
        <v>₱-</v>
      </c>
      <c r="F1894" s="164" t="str">
        <f ca="1">IFERROR(__xludf.DUMMYFUNCTION("""COMPUTED_VALUE"""),"2023-05-03-1020ISP257-01")</f>
        <v>2023-05-03-1020ISP257-01</v>
      </c>
      <c r="G1894" s="164"/>
      <c r="H1894" s="164" t="str">
        <f ca="1">IFERROR(__xludf.DUMMYFUNCTION("""COMPUTED_VALUE"""),"SALVADOR M. JAMILLA JR.")</f>
        <v>SALVADOR M. JAMILLA JR.</v>
      </c>
      <c r="I1894" s="164" t="str">
        <f ca="1">IFERROR(__xludf.DUMMYFUNCTION("""COMPUTED_VALUE"""),"OIC-CARPO")</f>
        <v>OIC-CARPO</v>
      </c>
      <c r="J1894" s="164" t="str">
        <f ca="1">IFERROR(__xludf.DUMMYFUNCTION("""COMPUTED_VALUE"""),"2023-08-03")</f>
        <v>2023-08-03</v>
      </c>
      <c r="K1894" s="164" t="str">
        <f ca="1">IFERROR(__xludf.DUMMYFUNCTION("""COMPUTED_VALUE"""),"ALDIN N. MARTILLANO")</f>
        <v>ALDIN N. MARTILLANO</v>
      </c>
      <c r="L1894" s="164" t="str">
        <f ca="1">IFERROR(__xludf.DUMMYFUNCTION("""COMPUTED_VALUE"""),"LTSPD")</f>
        <v>LTSPD</v>
      </c>
      <c r="M1894" s="164" t="str">
        <f ca="1">IFERROR(__xludf.DUMMYFUNCTION("""COMPUTED_VALUE"""),"SERVICEABLE")</f>
        <v>SERVICEABLE</v>
      </c>
      <c r="N1894" s="164"/>
    </row>
    <row r="1895" spans="1:14" ht="13.2" hidden="1">
      <c r="A1895" s="164" t="str">
        <f ca="1">IFERROR(__xludf.DUMMYFUNCTION("""COMPUTED_VALUE"""),"Region IV-B")</f>
        <v>Region IV-B</v>
      </c>
      <c r="B1895" s="164" t="str">
        <f ca="1">IFERROR(__xludf.DUMMYFUNCTION("""COMPUTED_VALUE"""),"Marinduque")</f>
        <v>Marinduque</v>
      </c>
      <c r="C1895" s="164" t="str">
        <f ca="1">IFERROR(__xludf.DUMMYFUNCTION("""COMPUTED_VALUE"""),"Desktop Computer – (HP Pro SFF 280G9)")</f>
        <v>Desktop Computer – (HP Pro SFF 280G9)</v>
      </c>
      <c r="D1895" s="164" t="str">
        <f ca="1">IFERROR(__xludf.DUMMYFUNCTION("""COMPUTED_VALUE"""),"₱ 78,898.00")</f>
        <v>₱ 78,898.00</v>
      </c>
      <c r="E1895" s="164" t="str">
        <f ca="1">IFERROR(__xludf.DUMMYFUNCTION("""COMPUTED_VALUE"""),"₱-")</f>
        <v>₱-</v>
      </c>
      <c r="F1895" s="164" t="str">
        <f ca="1">IFERROR(__xludf.DUMMYFUNCTION("""COMPUTED_VALUE"""),"2023-05-03-1020ISP253.01")</f>
        <v>2023-05-03-1020ISP253.01</v>
      </c>
      <c r="G1895" s="164"/>
      <c r="H1895" s="164" t="str">
        <f ca="1">IFERROR(__xludf.DUMMYFUNCTION("""COMPUTED_VALUE"""),"FELICITAS R. PEDRIGAL")</f>
        <v>FELICITAS R. PEDRIGAL</v>
      </c>
      <c r="I1895" s="164" t="str">
        <f ca="1">IFERROR(__xludf.DUMMYFUNCTION("""COMPUTED_VALUE"""),"BUDGET OFFICER")</f>
        <v>BUDGET OFFICER</v>
      </c>
      <c r="J1895" s="164" t="str">
        <f ca="1">IFERROR(__xludf.DUMMYFUNCTION("""COMPUTED_VALUE"""),"2023-08-04")</f>
        <v>2023-08-04</v>
      </c>
      <c r="K1895" s="164" t="str">
        <f ca="1">IFERROR(__xludf.DUMMYFUNCTION("""COMPUTED_VALUE"""),"FELICITAS R. PEDRIGAL")</f>
        <v>FELICITAS R. PEDRIGAL</v>
      </c>
      <c r="L1895" s="164" t="str">
        <f ca="1">IFERROR(__xludf.DUMMYFUNCTION("""COMPUTED_VALUE"""),"STOD")</f>
        <v>STOD</v>
      </c>
      <c r="M1895" s="164" t="str">
        <f ca="1">IFERROR(__xludf.DUMMYFUNCTION("""COMPUTED_VALUE"""),"SERVICEABLE")</f>
        <v>SERVICEABLE</v>
      </c>
      <c r="N1895" s="164"/>
    </row>
    <row r="1896" spans="1:14" ht="13.2" hidden="1">
      <c r="A1896" s="164" t="str">
        <f ca="1">IFERROR(__xludf.DUMMYFUNCTION("""COMPUTED_VALUE"""),"Region IV-B")</f>
        <v>Region IV-B</v>
      </c>
      <c r="B1896" s="164" t="str">
        <f ca="1">IFERROR(__xludf.DUMMYFUNCTION("""COMPUTED_VALUE"""),"Marinduque")</f>
        <v>Marinduque</v>
      </c>
      <c r="C1896" s="164" t="str">
        <f ca="1">IFERROR(__xludf.DUMMYFUNCTION("""COMPUTED_VALUE"""),"Desktop Computer – (HP Pro SFF 280G9)")</f>
        <v>Desktop Computer – (HP Pro SFF 280G9)</v>
      </c>
      <c r="D1896" s="164" t="str">
        <f ca="1">IFERROR(__xludf.DUMMYFUNCTION("""COMPUTED_VALUE"""),"₱ 78,898.00")</f>
        <v>₱ 78,898.00</v>
      </c>
      <c r="E1896" s="164" t="str">
        <f ca="1">IFERROR(__xludf.DUMMYFUNCTION("""COMPUTED_VALUE"""),"₱-")</f>
        <v>₱-</v>
      </c>
      <c r="F1896" s="164" t="str">
        <f ca="1">IFERROR(__xludf.DUMMYFUNCTION("""COMPUTED_VALUE"""),"2023-05-03-1020ISP254-01")</f>
        <v>2023-05-03-1020ISP254-01</v>
      </c>
      <c r="G1896" s="164"/>
      <c r="H1896" s="164" t="str">
        <f ca="1">IFERROR(__xludf.DUMMYFUNCTION("""COMPUTED_VALUE"""),"OLLIE F. DAVALOS")</f>
        <v>OLLIE F. DAVALOS</v>
      </c>
      <c r="I1896" s="164" t="str">
        <f ca="1">IFERROR(__xludf.DUMMYFUNCTION("""COMPUTED_VALUE"""),"OIC-CARPO")</f>
        <v>OIC-CARPO</v>
      </c>
      <c r="J1896" s="164" t="str">
        <f ca="1">IFERROR(__xludf.DUMMYFUNCTION("""COMPUTED_VALUE"""),"2023-08-05")</f>
        <v>2023-08-05</v>
      </c>
      <c r="K1896" s="164" t="str">
        <f ca="1">IFERROR(__xludf.DUMMYFUNCTION("""COMPUTED_VALUE"""),"MA. PERPETUA P. VIZARRA")</f>
        <v>MA. PERPETUA P. VIZARRA</v>
      </c>
      <c r="L1896" s="164" t="str">
        <f ca="1">IFERROR(__xludf.DUMMYFUNCTION("""COMPUTED_VALUE"""),"PBDD")</f>
        <v>PBDD</v>
      </c>
      <c r="M1896" s="164" t="str">
        <f ca="1">IFERROR(__xludf.DUMMYFUNCTION("""COMPUTED_VALUE"""),"SERVICEABLE")</f>
        <v>SERVICEABLE</v>
      </c>
      <c r="N1896" s="164"/>
    </row>
    <row r="1897" spans="1:14" ht="13.2" hidden="1">
      <c r="A1897" s="164" t="str">
        <f ca="1">IFERROR(__xludf.DUMMYFUNCTION("""COMPUTED_VALUE"""),"Region IV-B")</f>
        <v>Region IV-B</v>
      </c>
      <c r="B1897" s="164" t="str">
        <f ca="1">IFERROR(__xludf.DUMMYFUNCTION("""COMPUTED_VALUE"""),"Marinduque")</f>
        <v>Marinduque</v>
      </c>
      <c r="C1897" s="164" t="str">
        <f ca="1">IFERROR(__xludf.DUMMYFUNCTION("""COMPUTED_VALUE"""),"A3 PRINTER (BROTHER)")</f>
        <v>A3 PRINTER (BROTHER)</v>
      </c>
      <c r="D1897" s="164" t="str">
        <f ca="1">IFERROR(__xludf.DUMMYFUNCTION("""COMPUTED_VALUE"""),"₱ 33,508.00")</f>
        <v>₱ 33,508.00</v>
      </c>
      <c r="E1897" s="164" t="str">
        <f ca="1">IFERROR(__xludf.DUMMYFUNCTION("""COMPUTED_VALUE"""),"₱-")</f>
        <v>₱-</v>
      </c>
      <c r="F1897" s="164" t="str">
        <f ca="1">IFERROR(__xludf.DUMMYFUNCTION("""COMPUTED_VALUE"""),"HV-SPLIT-102-24-05-65")</f>
        <v>HV-SPLIT-102-24-05-65</v>
      </c>
      <c r="G1897" s="164"/>
      <c r="H1897" s="164" t="str">
        <f ca="1">IFERROR(__xludf.DUMMYFUNCTION("""COMPUTED_VALUE"""),"ATTY MARVIN V BERNAL")</f>
        <v>ATTY MARVIN V BERNAL</v>
      </c>
      <c r="I1897" s="164" t="str">
        <f ca="1">IFERROR(__xludf.DUMMYFUNCTION("""COMPUTED_VALUE"""),"REGIONAL DIRECTOR")</f>
        <v>REGIONAL DIRECTOR</v>
      </c>
      <c r="J1897" s="164" t="str">
        <f ca="1">IFERROR(__xludf.DUMMYFUNCTION("""COMPUTED_VALUE"""),"2024-03-009")</f>
        <v>2024-03-009</v>
      </c>
      <c r="K1897" s="164"/>
      <c r="L1897" s="164" t="str">
        <f ca="1">IFERROR(__xludf.DUMMYFUNCTION("""COMPUTED_VALUE"""),"DARPO MARINDUQUE")</f>
        <v>DARPO MARINDUQUE</v>
      </c>
      <c r="M1897" s="164" t="str">
        <f ca="1">IFERROR(__xludf.DUMMYFUNCTION("""COMPUTED_VALUE"""),"SERVICEABLE")</f>
        <v>SERVICEABLE</v>
      </c>
      <c r="N1897" s="164"/>
    </row>
    <row r="1898" spans="1:14" ht="13.2" hidden="1">
      <c r="A1898" s="164" t="str">
        <f ca="1">IFERROR(__xludf.DUMMYFUNCTION("""COMPUTED_VALUE"""),"Region IV-B")</f>
        <v>Region IV-B</v>
      </c>
      <c r="B1898" s="164" t="str">
        <f ca="1">IFERROR(__xludf.DUMMYFUNCTION("""COMPUTED_VALUE"""),"Occidental Mindoro")</f>
        <v>Occidental Mindoro</v>
      </c>
      <c r="C1898" s="164" t="str">
        <f ca="1">IFERROR(__xludf.DUMMYFUNCTION("""COMPUTED_VALUE"""),"Desktop Computer – (Lenovo M70T)")</f>
        <v>Desktop Computer – (Lenovo M70T)</v>
      </c>
      <c r="D1898" s="164" t="str">
        <f ca="1">IFERROR(__xludf.DUMMYFUNCTION("""COMPUTED_VALUE"""),"₱ 75,468.00")</f>
        <v>₱ 75,468.00</v>
      </c>
      <c r="E1898" s="164" t="str">
        <f ca="1">IFERROR(__xludf.DUMMYFUNCTION("""COMPUTED_VALUE"""),"₱-")</f>
        <v>₱-</v>
      </c>
      <c r="F1898" s="164" t="str">
        <f ca="1">IFERROR(__xludf.DUMMYFUNCTION("""COMPUTED_VALUE"""),"2023-05-03-10201SP977-01")</f>
        <v>2023-05-03-10201SP977-01</v>
      </c>
      <c r="G1898" s="164" t="str">
        <f ca="1">IFERROR(__xludf.DUMMYFUNCTION("""COMPUTED_VALUE"""),"1S11T5S16200GM0418H4")</f>
        <v>1S11T5S16200GM0418H4</v>
      </c>
      <c r="H1898" s="164" t="str">
        <f ca="1">IFERROR(__xludf.DUMMYFUNCTION("""COMPUTED_VALUE"""),"ADELYN CABRIEL")</f>
        <v>ADELYN CABRIEL</v>
      </c>
      <c r="I1898" s="164" t="str">
        <f ca="1">IFERROR(__xludf.DUMMYFUNCTION("""COMPUTED_VALUE"""),"AOIV")</f>
        <v>AOIV</v>
      </c>
      <c r="J1898" s="164" t="str">
        <f ca="1">IFERROR(__xludf.DUMMYFUNCTION("""COMPUTED_VALUE"""),"2023-07-0003")</f>
        <v>2023-07-0003</v>
      </c>
      <c r="K1898" s="164" t="str">
        <f ca="1">IFERROR(__xludf.DUMMYFUNCTION("""COMPUTED_VALUE"""),"ADELYN CABRIEL")</f>
        <v>ADELYN CABRIEL</v>
      </c>
      <c r="L1898" s="164" t="str">
        <f ca="1">IFERROR(__xludf.DUMMYFUNCTION("""COMPUTED_VALUE"""),"STO")</f>
        <v>STO</v>
      </c>
      <c r="M1898" s="164" t="str">
        <f ca="1">IFERROR(__xludf.DUMMYFUNCTION("""COMPUTED_VALUE"""),"SERVICEABLE")</f>
        <v>SERVICEABLE</v>
      </c>
      <c r="N1898" s="164"/>
    </row>
    <row r="1899" spans="1:14" ht="13.2" hidden="1">
      <c r="A1899" s="164" t="str">
        <f ca="1">IFERROR(__xludf.DUMMYFUNCTION("""COMPUTED_VALUE"""),"Region IV-B")</f>
        <v>Region IV-B</v>
      </c>
      <c r="B1899" s="164" t="str">
        <f ca="1">IFERROR(__xludf.DUMMYFUNCTION("""COMPUTED_VALUE"""),"Occidental Mindoro")</f>
        <v>Occidental Mindoro</v>
      </c>
      <c r="C1899" s="164" t="str">
        <f ca="1">IFERROR(__xludf.DUMMYFUNCTION("""COMPUTED_VALUE"""),"Desktop Computer – (Lenovo M70T)")</f>
        <v>Desktop Computer – (Lenovo M70T)</v>
      </c>
      <c r="D1899" s="164" t="str">
        <f ca="1">IFERROR(__xludf.DUMMYFUNCTION("""COMPUTED_VALUE"""),"₱ 75,468.00")</f>
        <v>₱ 75,468.00</v>
      </c>
      <c r="E1899" s="164" t="str">
        <f ca="1">IFERROR(__xludf.DUMMYFUNCTION("""COMPUTED_VALUE"""),"₱-")</f>
        <v>₱-</v>
      </c>
      <c r="F1899" s="164" t="str">
        <f ca="1">IFERROR(__xludf.DUMMYFUNCTION("""COMPUTED_VALUE"""),"2023-05-03-10201SP976-01
 2023-05-03-10201SP916-01")</f>
        <v>2023-05-03-10201SP976-01
 2023-05-03-10201SP916-01</v>
      </c>
      <c r="G1899" s="164" t="str">
        <f ca="1">IFERROR(__xludf.DUMMYFUNCTION("""COMPUTED_VALUE"""),"1S11T5S16200GM041B66")</f>
        <v>1S11T5S16200GM041B66</v>
      </c>
      <c r="H1899" s="164" t="str">
        <f ca="1">IFERROR(__xludf.DUMMYFUNCTION("""COMPUTED_VALUE"""),"EDMUND ALMOGELA")</f>
        <v>EDMUND ALMOGELA</v>
      </c>
      <c r="I1899" s="164" t="str">
        <f ca="1">IFERROR(__xludf.DUMMYFUNCTION("""COMPUTED_VALUE"""),"ARPO II")</f>
        <v>ARPO II</v>
      </c>
      <c r="J1899" s="164" t="str">
        <f ca="1">IFERROR(__xludf.DUMMYFUNCTION("""COMPUTED_VALUE"""),"2023-07-0002")</f>
        <v>2023-07-0002</v>
      </c>
      <c r="K1899" s="164" t="str">
        <f ca="1">IFERROR(__xludf.DUMMYFUNCTION("""COMPUTED_VALUE"""),"EDMUND ALMOGELA")</f>
        <v>EDMUND ALMOGELA</v>
      </c>
      <c r="L1899" s="164" t="str">
        <f ca="1">IFERROR(__xludf.DUMMYFUNCTION("""COMPUTED_VALUE"""),"FOD")</f>
        <v>FOD</v>
      </c>
      <c r="M1899" s="164" t="str">
        <f ca="1">IFERROR(__xludf.DUMMYFUNCTION("""COMPUTED_VALUE"""),"SERVICEABLE")</f>
        <v>SERVICEABLE</v>
      </c>
      <c r="N1899" s="164"/>
    </row>
    <row r="1900" spans="1:14" ht="13.2" hidden="1">
      <c r="A1900" s="164" t="str">
        <f ca="1">IFERROR(__xludf.DUMMYFUNCTION("""COMPUTED_VALUE"""),"Region IV-B")</f>
        <v>Region IV-B</v>
      </c>
      <c r="B1900" s="164" t="str">
        <f ca="1">IFERROR(__xludf.DUMMYFUNCTION("""COMPUTED_VALUE"""),"Occidental Mindoro")</f>
        <v>Occidental Mindoro</v>
      </c>
      <c r="C1900" s="164" t="str">
        <f ca="1">IFERROR(__xludf.DUMMYFUNCTION("""COMPUTED_VALUE"""),"Desktop Computer – (Lenovo M70T)")</f>
        <v>Desktop Computer – (Lenovo M70T)</v>
      </c>
      <c r="D1900" s="164" t="str">
        <f ca="1">IFERROR(__xludf.DUMMYFUNCTION("""COMPUTED_VALUE"""),"₱ 75,468.00")</f>
        <v>₱ 75,468.00</v>
      </c>
      <c r="E1900" s="164" t="str">
        <f ca="1">IFERROR(__xludf.DUMMYFUNCTION("""COMPUTED_VALUE"""),"₱-")</f>
        <v>₱-</v>
      </c>
      <c r="F1900" s="164" t="str">
        <f ca="1">IFERROR(__xludf.DUMMYFUNCTION("""COMPUTED_VALUE"""),"2023-05-03-10201SP982-01")</f>
        <v>2023-05-03-10201SP982-01</v>
      </c>
      <c r="G1900" s="164" t="str">
        <f ca="1">IFERROR(__xludf.DUMMYFUNCTION("""COMPUTED_VALUE"""),"1S11T5S16200GM041B2H")</f>
        <v>1S11T5S16200GM041B2H</v>
      </c>
      <c r="H1900" s="164" t="str">
        <f ca="1">IFERROR(__xludf.DUMMYFUNCTION("""COMPUTED_VALUE"""),"ISRAEL PALINO")</f>
        <v>ISRAEL PALINO</v>
      </c>
      <c r="I1900" s="164" t="str">
        <f ca="1">IFERROR(__xludf.DUMMYFUNCTION("""COMPUTED_VALUE"""),"ATTY. V / CHIEF LEGAL")</f>
        <v>ATTY. V / CHIEF LEGAL</v>
      </c>
      <c r="J1900" s="164" t="str">
        <f ca="1">IFERROR(__xludf.DUMMYFUNCTION("""COMPUTED_VALUE"""),"2023-07-0001")</f>
        <v>2023-07-0001</v>
      </c>
      <c r="K1900" s="164" t="str">
        <f ca="1">IFERROR(__xludf.DUMMYFUNCTION("""COMPUTED_VALUE"""),"ISRAEL PALINO")</f>
        <v>ISRAEL PALINO</v>
      </c>
      <c r="L1900" s="164" t="str">
        <f ca="1">IFERROR(__xludf.DUMMYFUNCTION("""COMPUTED_VALUE"""),"LEGAL")</f>
        <v>LEGAL</v>
      </c>
      <c r="M1900" s="164" t="str">
        <f ca="1">IFERROR(__xludf.DUMMYFUNCTION("""COMPUTED_VALUE"""),"SERVICEABLE")</f>
        <v>SERVICEABLE</v>
      </c>
      <c r="N1900" s="164"/>
    </row>
    <row r="1901" spans="1:14" ht="13.2" hidden="1">
      <c r="A1901" s="164" t="str">
        <f ca="1">IFERROR(__xludf.DUMMYFUNCTION("""COMPUTED_VALUE"""),"Region IV-B")</f>
        <v>Region IV-B</v>
      </c>
      <c r="B1901" s="164" t="str">
        <f ca="1">IFERROR(__xludf.DUMMYFUNCTION("""COMPUTED_VALUE"""),"Occidental Mindoro")</f>
        <v>Occidental Mindoro</v>
      </c>
      <c r="C1901" s="164" t="str">
        <f ca="1">IFERROR(__xludf.DUMMYFUNCTION("""COMPUTED_VALUE"""),"Desktop Computer – (Lenovo M70T)")</f>
        <v>Desktop Computer – (Lenovo M70T)</v>
      </c>
      <c r="D1901" s="164" t="str">
        <f ca="1">IFERROR(__xludf.DUMMYFUNCTION("""COMPUTED_VALUE"""),"₱ 75,468.00")</f>
        <v>₱ 75,468.00</v>
      </c>
      <c r="E1901" s="164" t="str">
        <f ca="1">IFERROR(__xludf.DUMMYFUNCTION("""COMPUTED_VALUE"""),"₱-")</f>
        <v>₱-</v>
      </c>
      <c r="F1901" s="164" t="str">
        <f ca="1">IFERROR(__xludf.DUMMYFUNCTION("""COMPUTED_VALUE"""),"2023-05-03-10201SP978-01")</f>
        <v>2023-05-03-10201SP978-01</v>
      </c>
      <c r="G1901" s="164" t="str">
        <f ca="1">IFERROR(__xludf.DUMMYFUNCTION("""COMPUTED_VALUE"""),"1S11T5S16200GM041B5R")</f>
        <v>1S11T5S16200GM041B5R</v>
      </c>
      <c r="H1901" s="164" t="str">
        <f ca="1">IFERROR(__xludf.DUMMYFUNCTION("""COMPUTED_VALUE"""),"LYDIA SARMIENTO")</f>
        <v>LYDIA SARMIENTO</v>
      </c>
      <c r="I1901" s="164" t="str">
        <f ca="1">IFERROR(__xludf.DUMMYFUNCTION("""COMPUTED_VALUE"""),"ARPO II")</f>
        <v>ARPO II</v>
      </c>
      <c r="J1901" s="164" t="str">
        <f ca="1">IFERROR(__xludf.DUMMYFUNCTION("""COMPUTED_VALUE"""),"2023-07-0004")</f>
        <v>2023-07-0004</v>
      </c>
      <c r="K1901" s="164" t="str">
        <f ca="1">IFERROR(__xludf.DUMMYFUNCTION("""COMPUTED_VALUE"""),"LYDIA SARMIENTO")</f>
        <v>LYDIA SARMIENTO</v>
      </c>
      <c r="L1901" s="164" t="str">
        <f ca="1">IFERROR(__xludf.DUMMYFUNCTION("""COMPUTED_VALUE"""),"FOD")</f>
        <v>FOD</v>
      </c>
      <c r="M1901" s="164" t="str">
        <f ca="1">IFERROR(__xludf.DUMMYFUNCTION("""COMPUTED_VALUE"""),"SERVICEABLE")</f>
        <v>SERVICEABLE</v>
      </c>
      <c r="N1901" s="164"/>
    </row>
    <row r="1902" spans="1:14" ht="13.2" hidden="1">
      <c r="A1902" s="164" t="str">
        <f ca="1">IFERROR(__xludf.DUMMYFUNCTION("""COMPUTED_VALUE"""),"Region IV-B")</f>
        <v>Region IV-B</v>
      </c>
      <c r="B1902" s="164" t="str">
        <f ca="1">IFERROR(__xludf.DUMMYFUNCTION("""COMPUTED_VALUE"""),"Occidental Mindoro")</f>
        <v>Occidental Mindoro</v>
      </c>
      <c r="C1902" s="164" t="str">
        <f ca="1">IFERROR(__xludf.DUMMYFUNCTION("""COMPUTED_VALUE"""),"Desktop Computer – (Lenovo M70T)")</f>
        <v>Desktop Computer – (Lenovo M70T)</v>
      </c>
      <c r="D1902" s="164" t="str">
        <f ca="1">IFERROR(__xludf.DUMMYFUNCTION("""COMPUTED_VALUE"""),"₱ 75,468.00")</f>
        <v>₱ 75,468.00</v>
      </c>
      <c r="E1902" s="164" t="str">
        <f ca="1">IFERROR(__xludf.DUMMYFUNCTION("""COMPUTED_VALUE"""),"₱-")</f>
        <v>₱-</v>
      </c>
      <c r="F1902" s="164" t="str">
        <f ca="1">IFERROR(__xludf.DUMMYFUNCTION("""COMPUTED_VALUE"""),"2023-05-03-10201SP981-01")</f>
        <v>2023-05-03-10201SP981-01</v>
      </c>
      <c r="G1902" s="164" t="str">
        <f ca="1">IFERROR(__xludf.DUMMYFUNCTION("""COMPUTED_VALUE"""),"1S11T5S16200GM0415YK")</f>
        <v>1S11T5S16200GM0415YK</v>
      </c>
      <c r="H1902" s="164" t="str">
        <f ca="1">IFERROR(__xludf.DUMMYFUNCTION("""COMPUTED_VALUE"""),"LYDIA SARMIENTO")</f>
        <v>LYDIA SARMIENTO</v>
      </c>
      <c r="I1902" s="164" t="str">
        <f ca="1">IFERROR(__xludf.DUMMYFUNCTION("""COMPUTED_VALUE"""),"ARPO II")</f>
        <v>ARPO II</v>
      </c>
      <c r="J1902" s="164" t="str">
        <f ca="1">IFERROR(__xludf.DUMMYFUNCTION("""COMPUTED_VALUE"""),"2023-07-0007")</f>
        <v>2023-07-0007</v>
      </c>
      <c r="K1902" s="164" t="str">
        <f ca="1">IFERROR(__xludf.DUMMYFUNCTION("""COMPUTED_VALUE"""),"LYDIA SARMIENTO")</f>
        <v>LYDIA SARMIENTO</v>
      </c>
      <c r="L1902" s="164" t="str">
        <f ca="1">IFERROR(__xludf.DUMMYFUNCTION("""COMPUTED_VALUE"""),"FOD")</f>
        <v>FOD</v>
      </c>
      <c r="M1902" s="164" t="str">
        <f ca="1">IFERROR(__xludf.DUMMYFUNCTION("""COMPUTED_VALUE"""),"SERVICEABLE")</f>
        <v>SERVICEABLE</v>
      </c>
      <c r="N1902" s="164"/>
    </row>
    <row r="1903" spans="1:14" ht="13.2" hidden="1">
      <c r="A1903" s="164" t="str">
        <f ca="1">IFERROR(__xludf.DUMMYFUNCTION("""COMPUTED_VALUE"""),"Region IV-B")</f>
        <v>Region IV-B</v>
      </c>
      <c r="B1903" s="164" t="str">
        <f ca="1">IFERROR(__xludf.DUMMYFUNCTION("""COMPUTED_VALUE"""),"Occidental Mindoro")</f>
        <v>Occidental Mindoro</v>
      </c>
      <c r="C1903" s="164" t="str">
        <f ca="1">IFERROR(__xludf.DUMMYFUNCTION("""COMPUTED_VALUE"""),"Desktop Computer – (Lenovo M70T)")</f>
        <v>Desktop Computer – (Lenovo M70T)</v>
      </c>
      <c r="D1903" s="164" t="str">
        <f ca="1">IFERROR(__xludf.DUMMYFUNCTION("""COMPUTED_VALUE"""),"₱ 75,468.00")</f>
        <v>₱ 75,468.00</v>
      </c>
      <c r="E1903" s="164" t="str">
        <f ca="1">IFERROR(__xludf.DUMMYFUNCTION("""COMPUTED_VALUE"""),"₱-")</f>
        <v>₱-</v>
      </c>
      <c r="F1903" s="164" t="str">
        <f ca="1">IFERROR(__xludf.DUMMYFUNCTION("""COMPUTED_VALUE"""),"2023-05-03-10201SP980-01")</f>
        <v>2023-05-03-10201SP980-01</v>
      </c>
      <c r="G1903" s="164" t="str">
        <f ca="1">IFERROR(__xludf.DUMMYFUNCTION("""COMPUTED_VALUE"""),"1S11T5S16200GM041B2G")</f>
        <v>1S11T5S16200GM041B2G</v>
      </c>
      <c r="H1903" s="164" t="str">
        <f ca="1">IFERROR(__xludf.DUMMYFUNCTION("""COMPUTED_VALUE"""),"LYKA JAMILLE SANO")</f>
        <v>LYKA JAMILLE SANO</v>
      </c>
      <c r="I1903" s="164" t="str">
        <f ca="1">IFERROR(__xludf.DUMMYFUNCTION("""COMPUTED_VALUE"""),"ARPT")</f>
        <v>ARPT</v>
      </c>
      <c r="J1903" s="164" t="str">
        <f ca="1">IFERROR(__xludf.DUMMYFUNCTION("""COMPUTED_VALUE"""),"2023-07-0006")</f>
        <v>2023-07-0006</v>
      </c>
      <c r="K1903" s="164" t="str">
        <f ca="1">IFERROR(__xludf.DUMMYFUNCTION("""COMPUTED_VALUE"""),"LYKA JAMILLE SANO")</f>
        <v>LYKA JAMILLE SANO</v>
      </c>
      <c r="L1903" s="164" t="str">
        <f ca="1">IFERROR(__xludf.DUMMYFUNCTION("""COMPUTED_VALUE"""),"FOD")</f>
        <v>FOD</v>
      </c>
      <c r="M1903" s="164" t="str">
        <f ca="1">IFERROR(__xludf.DUMMYFUNCTION("""COMPUTED_VALUE"""),"SERVICEABLE")</f>
        <v>SERVICEABLE</v>
      </c>
      <c r="N1903" s="164"/>
    </row>
    <row r="1904" spans="1:14" ht="13.2" hidden="1">
      <c r="A1904" s="164" t="str">
        <f ca="1">IFERROR(__xludf.DUMMYFUNCTION("""COMPUTED_VALUE"""),"Region IV-B")</f>
        <v>Region IV-B</v>
      </c>
      <c r="B1904" s="164" t="str">
        <f ca="1">IFERROR(__xludf.DUMMYFUNCTION("""COMPUTED_VALUE"""),"Occidental Mindoro")</f>
        <v>Occidental Mindoro</v>
      </c>
      <c r="C1904" s="164" t="str">
        <f ca="1">IFERROR(__xludf.DUMMYFUNCTION("""COMPUTED_VALUE"""),"Desktop Computer – (Lenovo M70T)")</f>
        <v>Desktop Computer – (Lenovo M70T)</v>
      </c>
      <c r="D1904" s="164" t="str">
        <f ca="1">IFERROR(__xludf.DUMMYFUNCTION("""COMPUTED_VALUE"""),"₱ 75,468.00")</f>
        <v>₱ 75,468.00</v>
      </c>
      <c r="E1904" s="164" t="str">
        <f ca="1">IFERROR(__xludf.DUMMYFUNCTION("""COMPUTED_VALUE"""),"₱-")</f>
        <v>₱-</v>
      </c>
      <c r="F1904" s="164" t="str">
        <f ca="1">IFERROR(__xludf.DUMMYFUNCTION("""COMPUTED_VALUE"""),"2023-05-03-10201SP983-01")</f>
        <v>2023-05-03-10201SP983-01</v>
      </c>
      <c r="G1904" s="164" t="str">
        <f ca="1">IFERROR(__xludf.DUMMYFUNCTION("""COMPUTED_VALUE"""),"1S11T5S16200GM0418EG")</f>
        <v>1S11T5S16200GM0418EG</v>
      </c>
      <c r="H1904" s="164" t="str">
        <f ca="1">IFERROR(__xludf.DUMMYFUNCTION("""COMPUTED_VALUE"""),"RODRIGO P. MAZO")</f>
        <v>RODRIGO P. MAZO</v>
      </c>
      <c r="I1904" s="164" t="str">
        <f ca="1">IFERROR(__xludf.DUMMYFUNCTION("""COMPUTED_VALUE"""),"AO IV")</f>
        <v>AO IV</v>
      </c>
      <c r="J1904" s="164" t="str">
        <f ca="1">IFERROR(__xludf.DUMMYFUNCTION("""COMPUTED_VALUE"""),"2023-07-0008")</f>
        <v>2023-07-0008</v>
      </c>
      <c r="K1904" s="164" t="str">
        <f ca="1">IFERROR(__xludf.DUMMYFUNCTION("""COMPUTED_VALUE"""),"RODRIGO P. MAZO")</f>
        <v>RODRIGO P. MAZO</v>
      </c>
      <c r="L1904" s="164" t="str">
        <f ca="1">IFERROR(__xludf.DUMMYFUNCTION("""COMPUTED_VALUE"""),"STO")</f>
        <v>STO</v>
      </c>
      <c r="M1904" s="164" t="str">
        <f ca="1">IFERROR(__xludf.DUMMYFUNCTION("""COMPUTED_VALUE"""),"SERVICEABLE")</f>
        <v>SERVICEABLE</v>
      </c>
      <c r="N1904" s="164"/>
    </row>
    <row r="1905" spans="1:14" ht="13.2" hidden="1">
      <c r="A1905" s="164" t="str">
        <f ca="1">IFERROR(__xludf.DUMMYFUNCTION("""COMPUTED_VALUE"""),"Region IV-B")</f>
        <v>Region IV-B</v>
      </c>
      <c r="B1905" s="164" t="str">
        <f ca="1">IFERROR(__xludf.DUMMYFUNCTION("""COMPUTED_VALUE"""),"Occidental Mindoro")</f>
        <v>Occidental Mindoro</v>
      </c>
      <c r="C1905" s="164" t="str">
        <f ca="1">IFERROR(__xludf.DUMMYFUNCTION("""COMPUTED_VALUE"""),"Desktop Computer – (Lenovo M70T)")</f>
        <v>Desktop Computer – (Lenovo M70T)</v>
      </c>
      <c r="D1905" s="164" t="str">
        <f ca="1">IFERROR(__xludf.DUMMYFUNCTION("""COMPUTED_VALUE"""),"₱ 75,468.00")</f>
        <v>₱ 75,468.00</v>
      </c>
      <c r="E1905" s="164" t="str">
        <f ca="1">IFERROR(__xludf.DUMMYFUNCTION("""COMPUTED_VALUE"""),"₱-")</f>
        <v>₱-</v>
      </c>
      <c r="F1905" s="164" t="str">
        <f ca="1">IFERROR(__xludf.DUMMYFUNCTION("""COMPUTED_VALUE"""),"2023-05-03-10201SP979-01")</f>
        <v>2023-05-03-10201SP979-01</v>
      </c>
      <c r="G1905" s="164" t="str">
        <f ca="1">IFERROR(__xludf.DUMMYFUNCTION("""COMPUTED_VALUE"""),"1S11T5S16200GM041B5Z")</f>
        <v>1S11T5S16200GM041B5Z</v>
      </c>
      <c r="H1905" s="164" t="str">
        <f ca="1">IFERROR(__xludf.DUMMYFUNCTION("""COMPUTED_VALUE"""),"ULYSIE ROBLES")</f>
        <v>ULYSIE ROBLES</v>
      </c>
      <c r="I1905" s="164" t="str">
        <f ca="1">IFERROR(__xludf.DUMMYFUNCTION("""COMPUTED_VALUE"""),"AO III")</f>
        <v>AO III</v>
      </c>
      <c r="J1905" s="164" t="str">
        <f ca="1">IFERROR(__xludf.DUMMYFUNCTION("""COMPUTED_VALUE"""),"2023-07-0005")</f>
        <v>2023-07-0005</v>
      </c>
      <c r="K1905" s="164" t="str">
        <f ca="1">IFERROR(__xludf.DUMMYFUNCTION("""COMPUTED_VALUE"""),"ULYSIE ROBLES")</f>
        <v>ULYSIE ROBLES</v>
      </c>
      <c r="L1905" s="164" t="str">
        <f ca="1">IFERROR(__xludf.DUMMYFUNCTION("""COMPUTED_VALUE"""),"STO")</f>
        <v>STO</v>
      </c>
      <c r="M1905" s="164" t="str">
        <f ca="1">IFERROR(__xludf.DUMMYFUNCTION("""COMPUTED_VALUE"""),"SERVICEABLE")</f>
        <v>SERVICEABLE</v>
      </c>
      <c r="N1905" s="164"/>
    </row>
    <row r="1906" spans="1:14" ht="13.2" hidden="1">
      <c r="A1906" s="164" t="str">
        <f ca="1">IFERROR(__xludf.DUMMYFUNCTION("""COMPUTED_VALUE"""),"Region IV-B")</f>
        <v>Region IV-B</v>
      </c>
      <c r="B1906" s="164" t="str">
        <f ca="1">IFERROR(__xludf.DUMMYFUNCTION("""COMPUTED_VALUE"""),"Occidental Mindoro")</f>
        <v>Occidental Mindoro</v>
      </c>
      <c r="C1906" s="164" t="str">
        <f ca="1">IFERROR(__xludf.DUMMYFUNCTION("""COMPUTED_VALUE"""),"Desktop Computer – (HP Pro SFF 280G9)")</f>
        <v>Desktop Computer – (HP Pro SFF 280G9)</v>
      </c>
      <c r="D1906" s="164" t="str">
        <f ca="1">IFERROR(__xludf.DUMMYFUNCTION("""COMPUTED_VALUE"""),"₱ 78,898.00")</f>
        <v>₱ 78,898.00</v>
      </c>
      <c r="E1906" s="164" t="str">
        <f ca="1">IFERROR(__xludf.DUMMYFUNCTION("""COMPUTED_VALUE"""),"₱-")</f>
        <v>₱-</v>
      </c>
      <c r="F1906" s="164" t="str">
        <f ca="1">IFERROR(__xludf.DUMMYFUNCTION("""COMPUTED_VALUE"""),"2023-05-03-10201SP259-01")</f>
        <v>2023-05-03-10201SP259-01</v>
      </c>
      <c r="G1906" s="164"/>
      <c r="H1906" s="164" t="str">
        <f ca="1">IFERROR(__xludf.DUMMYFUNCTION("""COMPUTED_VALUE"""),"LYDIA SARMIENTO")</f>
        <v>LYDIA SARMIENTO</v>
      </c>
      <c r="I1906" s="164" t="str">
        <f ca="1">IFERROR(__xludf.DUMMYFUNCTION("""COMPUTED_VALUE"""),"ARPO II")</f>
        <v>ARPO II</v>
      </c>
      <c r="J1906" s="164" t="str">
        <f ca="1">IFERROR(__xludf.DUMMYFUNCTION("""COMPUTED_VALUE"""),"2023-10-0001")</f>
        <v>2023-10-0001</v>
      </c>
      <c r="K1906" s="164" t="str">
        <f ca="1">IFERROR(__xludf.DUMMYFUNCTION("""COMPUTED_VALUE"""),"LYDIA SARMIENTO")</f>
        <v>LYDIA SARMIENTO</v>
      </c>
      <c r="L1906" s="164" t="str">
        <f ca="1">IFERROR(__xludf.DUMMYFUNCTION("""COMPUTED_VALUE"""),"FOD")</f>
        <v>FOD</v>
      </c>
      <c r="M1906" s="164" t="str">
        <f ca="1">IFERROR(__xludf.DUMMYFUNCTION("""COMPUTED_VALUE"""),"SERVICEABLE")</f>
        <v>SERVICEABLE</v>
      </c>
      <c r="N1906" s="164"/>
    </row>
    <row r="1907" spans="1:14" ht="13.2" hidden="1">
      <c r="A1907" s="164" t="str">
        <f ca="1">IFERROR(__xludf.DUMMYFUNCTION("""COMPUTED_VALUE"""),"Region IV-B")</f>
        <v>Region IV-B</v>
      </c>
      <c r="B1907" s="164" t="str">
        <f ca="1">IFERROR(__xludf.DUMMYFUNCTION("""COMPUTED_VALUE"""),"Occidental Mindoro")</f>
        <v>Occidental Mindoro</v>
      </c>
      <c r="C1907" s="164" t="str">
        <f ca="1">IFERROR(__xludf.DUMMYFUNCTION("""COMPUTED_VALUE"""),"Desktop Computer – (HP Pro SFF 280G9)")</f>
        <v>Desktop Computer – (HP Pro SFF 280G9)</v>
      </c>
      <c r="D1907" s="164" t="str">
        <f ca="1">IFERROR(__xludf.DUMMYFUNCTION("""COMPUTED_VALUE"""),"₱ 78,898.00")</f>
        <v>₱ 78,898.00</v>
      </c>
      <c r="E1907" s="164" t="str">
        <f ca="1">IFERROR(__xludf.DUMMYFUNCTION("""COMPUTED_VALUE"""),"₱-")</f>
        <v>₱-</v>
      </c>
      <c r="F1907" s="164" t="str">
        <f ca="1">IFERROR(__xludf.DUMMYFUNCTION("""COMPUTED_VALUE"""),"2023-05-03-10201SP258-01")</f>
        <v>2023-05-03-10201SP258-01</v>
      </c>
      <c r="G1907" s="164"/>
      <c r="H1907" s="164" t="str">
        <f ca="1">IFERROR(__xludf.DUMMYFUNCTION("""COMPUTED_VALUE"""),"IZRAEL CONVOCAR")</f>
        <v>IZRAEL CONVOCAR</v>
      </c>
      <c r="I1907" s="164" t="str">
        <f ca="1">IFERROR(__xludf.DUMMYFUNCTION("""COMPUTED_VALUE"""),"Accountant")</f>
        <v>Accountant</v>
      </c>
      <c r="J1907" s="164" t="str">
        <f ca="1">IFERROR(__xludf.DUMMYFUNCTION("""COMPUTED_VALUE"""),"2023-10-0002")</f>
        <v>2023-10-0002</v>
      </c>
      <c r="K1907" s="164" t="str">
        <f ca="1">IFERROR(__xludf.DUMMYFUNCTION("""COMPUTED_VALUE"""),"IZRAEL A. CONVOCAR")</f>
        <v>IZRAEL A. CONVOCAR</v>
      </c>
      <c r="L1907" s="164" t="str">
        <f ca="1">IFERROR(__xludf.DUMMYFUNCTION("""COMPUTED_VALUE"""),"STO")</f>
        <v>STO</v>
      </c>
      <c r="M1907" s="164" t="str">
        <f ca="1">IFERROR(__xludf.DUMMYFUNCTION("""COMPUTED_VALUE"""),"SERVICEABLE")</f>
        <v>SERVICEABLE</v>
      </c>
      <c r="N1907" s="164"/>
    </row>
    <row r="1908" spans="1:14" ht="13.2" hidden="1">
      <c r="A1908" s="164" t="str">
        <f ca="1">IFERROR(__xludf.DUMMYFUNCTION("""COMPUTED_VALUE"""),"Region IV-B")</f>
        <v>Region IV-B</v>
      </c>
      <c r="B1908" s="164" t="str">
        <f ca="1">IFERROR(__xludf.DUMMYFUNCTION("""COMPUTED_VALUE"""),"Occidental Mindoro")</f>
        <v>Occidental Mindoro</v>
      </c>
      <c r="C1908" s="164" t="str">
        <f ca="1">IFERROR(__xludf.DUMMYFUNCTION("""COMPUTED_VALUE"""),"A3 PRINTER (BROTHER)")</f>
        <v>A3 PRINTER (BROTHER)</v>
      </c>
      <c r="D1908" s="164" t="str">
        <f ca="1">IFERROR(__xludf.DUMMYFUNCTION("""COMPUTED_VALUE"""),"₱ 33,508.00")</f>
        <v>₱ 33,508.00</v>
      </c>
      <c r="E1908" s="164" t="str">
        <f ca="1">IFERROR(__xludf.DUMMYFUNCTION("""COMPUTED_VALUE"""),"₱-")</f>
        <v>₱-</v>
      </c>
      <c r="F1908" s="164" t="str">
        <f ca="1">IFERROR(__xludf.DUMMYFUNCTION("""COMPUTED_VALUE"""),"HV-SPLIT-102-24-05-74")</f>
        <v>HV-SPLIT-102-24-05-74</v>
      </c>
      <c r="G1908" s="164"/>
      <c r="H1908" s="164" t="str">
        <f ca="1">IFERROR(__xludf.DUMMYFUNCTION("""COMPUTED_VALUE"""),"ATTY MARVIN V BERNAL")</f>
        <v>ATTY MARVIN V BERNAL</v>
      </c>
      <c r="I1908" s="164" t="str">
        <f ca="1">IFERROR(__xludf.DUMMYFUNCTION("""COMPUTED_VALUE"""),"REGIONAL DIRECTOR")</f>
        <v>REGIONAL DIRECTOR</v>
      </c>
      <c r="J1908" s="164" t="str">
        <f ca="1">IFERROR(__xludf.DUMMYFUNCTION("""COMPUTED_VALUE"""),"2024-03-009")</f>
        <v>2024-03-009</v>
      </c>
      <c r="K1908" s="164"/>
      <c r="L1908" s="164" t="str">
        <f ca="1">IFERROR(__xludf.DUMMYFUNCTION("""COMPUTED_VALUE"""),"FOD")</f>
        <v>FOD</v>
      </c>
      <c r="M1908" s="164" t="str">
        <f ca="1">IFERROR(__xludf.DUMMYFUNCTION("""COMPUTED_VALUE"""),"SERVICEABLE")</f>
        <v>SERVICEABLE</v>
      </c>
      <c r="N1908" s="164" t="str">
        <f ca="1">IFERROR(__xludf.DUMMYFUNCTION("""COMPUTED_VALUE"""),"possible typo-error, actual unit 077 Registered in Palawan")</f>
        <v>possible typo-error, actual unit 077 Registered in Palawan</v>
      </c>
    </row>
    <row r="1909" spans="1:14" ht="13.2" hidden="1">
      <c r="A1909" s="164" t="str">
        <f ca="1">IFERROR(__xludf.DUMMYFUNCTION("""COMPUTED_VALUE"""),"Region IV-B")</f>
        <v>Region IV-B</v>
      </c>
      <c r="B1909" s="164" t="str">
        <f ca="1">IFERROR(__xludf.DUMMYFUNCTION("""COMPUTED_VALUE"""),"Oriental Mindoro")</f>
        <v>Oriental Mindoro</v>
      </c>
      <c r="C1909" s="164" t="str">
        <f ca="1">IFERROR(__xludf.DUMMYFUNCTION("""COMPUTED_VALUE"""),"Desktop Computer – (Lenovo M70T)")</f>
        <v>Desktop Computer – (Lenovo M70T)</v>
      </c>
      <c r="D1909" s="164" t="str">
        <f ca="1">IFERROR(__xludf.DUMMYFUNCTION("""COMPUTED_VALUE"""),"₱ 75,468.00")</f>
        <v>₱ 75,468.00</v>
      </c>
      <c r="E1909" s="164" t="str">
        <f ca="1">IFERROR(__xludf.DUMMYFUNCTION("""COMPUTED_VALUE"""),"₱-")</f>
        <v>₱-</v>
      </c>
      <c r="F1909" s="164" t="str">
        <f ca="1">IFERROR(__xludf.DUMMYFUNCTION("""COMPUTED_VALUE"""),"2023-05-03-10201SP984-01")</f>
        <v>2023-05-03-10201SP984-01</v>
      </c>
      <c r="G1909" s="164" t="str">
        <f ca="1">IFERROR(__xludf.DUMMYFUNCTION("""COMPUTED_VALUE"""),"1S11T5S16200GM0415VT")</f>
        <v>1S11T5S16200GM0415VT</v>
      </c>
      <c r="H1909" s="164" t="str">
        <f ca="1">IFERROR(__xludf.DUMMYFUNCTION("""COMPUTED_VALUE"""),"MARISEL M. HERNANDEZ")</f>
        <v>MARISEL M. HERNANDEZ</v>
      </c>
      <c r="I1909" s="164" t="str">
        <f ca="1">IFERROR(__xludf.DUMMYFUNCTION("""COMPUTED_VALUE"""),"ARPO II")</f>
        <v>ARPO II</v>
      </c>
      <c r="J1909" s="164" t="str">
        <f ca="1">IFERROR(__xludf.DUMMYFUNCTION("""COMPUTED_VALUE"""),"23-120")</f>
        <v>23-120</v>
      </c>
      <c r="K1909" s="164" t="str">
        <f ca="1">IFERROR(__xludf.DUMMYFUNCTION("""COMPUTED_VALUE"""),"MARISEL M. HERNANDEZ")</f>
        <v>MARISEL M. HERNANDEZ</v>
      </c>
      <c r="L1909" s="164" t="str">
        <f ca="1">IFERROR(__xludf.DUMMYFUNCTION("""COMPUTED_VALUE"""),"STOD")</f>
        <v>STOD</v>
      </c>
      <c r="M1909" s="164" t="str">
        <f ca="1">IFERROR(__xludf.DUMMYFUNCTION("""COMPUTED_VALUE"""),"SERVICEABLE")</f>
        <v>SERVICEABLE</v>
      </c>
      <c r="N1909" s="164"/>
    </row>
    <row r="1910" spans="1:14" ht="13.2" hidden="1">
      <c r="A1910" s="164" t="str">
        <f ca="1">IFERROR(__xludf.DUMMYFUNCTION("""COMPUTED_VALUE"""),"Region IV-B")</f>
        <v>Region IV-B</v>
      </c>
      <c r="B1910" s="164" t="str">
        <f ca="1">IFERROR(__xludf.DUMMYFUNCTION("""COMPUTED_VALUE"""),"Oriental Mindoro")</f>
        <v>Oriental Mindoro</v>
      </c>
      <c r="C1910" s="164" t="str">
        <f ca="1">IFERROR(__xludf.DUMMYFUNCTION("""COMPUTED_VALUE"""),"Desktop Computer – (Lenovo M70T)")</f>
        <v>Desktop Computer – (Lenovo M70T)</v>
      </c>
      <c r="D1910" s="164" t="str">
        <f ca="1">IFERROR(__xludf.DUMMYFUNCTION("""COMPUTED_VALUE"""),"₱ 75,468.00")</f>
        <v>₱ 75,468.00</v>
      </c>
      <c r="E1910" s="164" t="str">
        <f ca="1">IFERROR(__xludf.DUMMYFUNCTION("""COMPUTED_VALUE"""),"₱-")</f>
        <v>₱-</v>
      </c>
      <c r="F1910" s="164" t="str">
        <f ca="1">IFERROR(__xludf.DUMMYFUNCTION("""COMPUTED_VALUE"""),"2023-05-03-10201SP985-01")</f>
        <v>2023-05-03-10201SP985-01</v>
      </c>
      <c r="G1910" s="164" t="str">
        <f ca="1">IFERROR(__xludf.DUMMYFUNCTION("""COMPUTED_VALUE"""),"1S11T5S16200GM0418EC")</f>
        <v>1S11T5S16200GM0418EC</v>
      </c>
      <c r="H1910" s="164" t="str">
        <f ca="1">IFERROR(__xludf.DUMMYFUNCTION("""COMPUTED_VALUE"""),"MITCHELLE B. QUISIERA")</f>
        <v>MITCHELLE B. QUISIERA</v>
      </c>
      <c r="I1910" s="164" t="str">
        <f ca="1">IFERROR(__xludf.DUMMYFUNCTION("""COMPUTED_VALUE"""),"BUDGET OFFICER")</f>
        <v>BUDGET OFFICER</v>
      </c>
      <c r="J1910" s="164" t="str">
        <f ca="1">IFERROR(__xludf.DUMMYFUNCTION("""COMPUTED_VALUE"""),"23-125")</f>
        <v>23-125</v>
      </c>
      <c r="K1910" s="164" t="str">
        <f ca="1">IFERROR(__xludf.DUMMYFUNCTION("""COMPUTED_VALUE"""),"GALINATO, MARRY JANE L.")</f>
        <v>GALINATO, MARRY JANE L.</v>
      </c>
      <c r="L1910" s="164" t="str">
        <f ca="1">IFERROR(__xludf.DUMMYFUNCTION("""COMPUTED_VALUE"""),"STOD")</f>
        <v>STOD</v>
      </c>
      <c r="M1910" s="164" t="str">
        <f ca="1">IFERROR(__xludf.DUMMYFUNCTION("""COMPUTED_VALUE"""),"SERVICEABLE")</f>
        <v>SERVICEABLE</v>
      </c>
      <c r="N1910" s="164"/>
    </row>
    <row r="1911" spans="1:14" ht="13.2" hidden="1">
      <c r="A1911" s="164" t="str">
        <f ca="1">IFERROR(__xludf.DUMMYFUNCTION("""COMPUTED_VALUE"""),"Region IV-B")</f>
        <v>Region IV-B</v>
      </c>
      <c r="B1911" s="164" t="str">
        <f ca="1">IFERROR(__xludf.DUMMYFUNCTION("""COMPUTED_VALUE"""),"Oriental Mindoro")</f>
        <v>Oriental Mindoro</v>
      </c>
      <c r="C1911" s="164" t="str">
        <f ca="1">IFERROR(__xludf.DUMMYFUNCTION("""COMPUTED_VALUE"""),"Desktop Computer – (Lenovo M70T)")</f>
        <v>Desktop Computer – (Lenovo M70T)</v>
      </c>
      <c r="D1911" s="164" t="str">
        <f ca="1">IFERROR(__xludf.DUMMYFUNCTION("""COMPUTED_VALUE"""),"₱ 75,468.00")</f>
        <v>₱ 75,468.00</v>
      </c>
      <c r="E1911" s="164" t="str">
        <f ca="1">IFERROR(__xludf.DUMMYFUNCTION("""COMPUTED_VALUE"""),"₱-")</f>
        <v>₱-</v>
      </c>
      <c r="F1911" s="164" t="str">
        <f ca="1">IFERROR(__xludf.DUMMYFUNCTION("""COMPUTED_VALUE"""),"2023-05-03-10201SP986-01")</f>
        <v>2023-05-03-10201SP986-01</v>
      </c>
      <c r="G1911" s="164" t="str">
        <f ca="1">IFERROR(__xludf.DUMMYFUNCTION("""COMPUTED_VALUE"""),"1S11T5S16200GM041B2E")</f>
        <v>1S11T5S16200GM041B2E</v>
      </c>
      <c r="H1911" s="164" t="str">
        <f ca="1">IFERROR(__xludf.DUMMYFUNCTION("""COMPUTED_VALUE"""),"LALAP, MARICEL P.")</f>
        <v>LALAP, MARICEL P.</v>
      </c>
      <c r="I1911" s="164" t="str">
        <f ca="1">IFERROR(__xludf.DUMMYFUNCTION("""COMPUTED_VALUE"""),"ACTING AO-IV")</f>
        <v>ACTING AO-IV</v>
      </c>
      <c r="J1911" s="164" t="str">
        <f ca="1">IFERROR(__xludf.DUMMYFUNCTION("""COMPUTED_VALUE"""),"23-180")</f>
        <v>23-180</v>
      </c>
      <c r="K1911" s="164" t="str">
        <f ca="1">IFERROR(__xludf.DUMMYFUNCTION("""COMPUTED_VALUE"""),"ULIP, CHARLES GIAN")</f>
        <v>ULIP, CHARLES GIAN</v>
      </c>
      <c r="L1911" s="164" t="str">
        <f ca="1">IFERROR(__xludf.DUMMYFUNCTION("""COMPUTED_VALUE"""),"STOD")</f>
        <v>STOD</v>
      </c>
      <c r="M1911" s="164" t="str">
        <f ca="1">IFERROR(__xludf.DUMMYFUNCTION("""COMPUTED_VALUE"""),"SERVICEABLE")</f>
        <v>SERVICEABLE</v>
      </c>
      <c r="N1911" s="164"/>
    </row>
    <row r="1912" spans="1:14" ht="13.2" hidden="1">
      <c r="A1912" s="164" t="str">
        <f ca="1">IFERROR(__xludf.DUMMYFUNCTION("""COMPUTED_VALUE"""),"Region IV-B")</f>
        <v>Region IV-B</v>
      </c>
      <c r="B1912" s="164" t="str">
        <f ca="1">IFERROR(__xludf.DUMMYFUNCTION("""COMPUTED_VALUE"""),"Oriental Mindoro")</f>
        <v>Oriental Mindoro</v>
      </c>
      <c r="C1912" s="164" t="str">
        <f ca="1">IFERROR(__xludf.DUMMYFUNCTION("""COMPUTED_VALUE"""),"Desktop Computer – (Lenovo M70T)")</f>
        <v>Desktop Computer – (Lenovo M70T)</v>
      </c>
      <c r="D1912" s="164" t="str">
        <f ca="1">IFERROR(__xludf.DUMMYFUNCTION("""COMPUTED_VALUE"""),"₱ 75,468.00")</f>
        <v>₱ 75,468.00</v>
      </c>
      <c r="E1912" s="164" t="str">
        <f ca="1">IFERROR(__xludf.DUMMYFUNCTION("""COMPUTED_VALUE"""),"₱-")</f>
        <v>₱-</v>
      </c>
      <c r="F1912" s="164" t="str">
        <f ca="1">IFERROR(__xludf.DUMMYFUNCTION("""COMPUTED_VALUE"""),"2023-05-03-10201SP987-01")</f>
        <v>2023-05-03-10201SP987-01</v>
      </c>
      <c r="G1912" s="164" t="str">
        <f ca="1">IFERROR(__xludf.DUMMYFUNCTION("""COMPUTED_VALUE"""),"1S11T5S16200GM041B2M")</f>
        <v>1S11T5S16200GM041B2M</v>
      </c>
      <c r="H1912" s="164" t="str">
        <f ca="1">IFERROR(__xludf.DUMMYFUNCTION("""COMPUTED_VALUE"""),"MARIANNE L. PANGCALIWAGAN")</f>
        <v>MARIANNE L. PANGCALIWAGAN</v>
      </c>
      <c r="I1912" s="164" t="str">
        <f ca="1">IFERROR(__xludf.DUMMYFUNCTION("""COMPUTED_VALUE"""),"ARPO I")</f>
        <v>ARPO I</v>
      </c>
      <c r="J1912" s="164" t="str">
        <f ca="1">IFERROR(__xludf.DUMMYFUNCTION("""COMPUTED_VALUE"""),"23-135")</f>
        <v>23-135</v>
      </c>
      <c r="K1912" s="164" t="str">
        <f ca="1">IFERROR(__xludf.DUMMYFUNCTION("""COMPUTED_VALUE"""),"MATUTINA, RHEYNOLD D.")</f>
        <v>MATUTINA, RHEYNOLD D.</v>
      </c>
      <c r="L1912" s="164" t="str">
        <f ca="1">IFERROR(__xludf.DUMMYFUNCTION("""COMPUTED_VALUE"""),"LTSPD")</f>
        <v>LTSPD</v>
      </c>
      <c r="M1912" s="164" t="str">
        <f ca="1">IFERROR(__xludf.DUMMYFUNCTION("""COMPUTED_VALUE"""),"SERVICEABLE")</f>
        <v>SERVICEABLE</v>
      </c>
      <c r="N1912" s="164"/>
    </row>
    <row r="1913" spans="1:14" ht="13.2" hidden="1">
      <c r="A1913" s="164" t="str">
        <f ca="1">IFERROR(__xludf.DUMMYFUNCTION("""COMPUTED_VALUE"""),"Region IV-B")</f>
        <v>Region IV-B</v>
      </c>
      <c r="B1913" s="164" t="str">
        <f ca="1">IFERROR(__xludf.DUMMYFUNCTION("""COMPUTED_VALUE"""),"Oriental Mindoro")</f>
        <v>Oriental Mindoro</v>
      </c>
      <c r="C1913" s="164" t="str">
        <f ca="1">IFERROR(__xludf.DUMMYFUNCTION("""COMPUTED_VALUE"""),"Desktop Computer – (Lenovo M70T)")</f>
        <v>Desktop Computer – (Lenovo M70T)</v>
      </c>
      <c r="D1913" s="164" t="str">
        <f ca="1">IFERROR(__xludf.DUMMYFUNCTION("""COMPUTED_VALUE"""),"₱ 75,468.00")</f>
        <v>₱ 75,468.00</v>
      </c>
      <c r="E1913" s="164" t="str">
        <f ca="1">IFERROR(__xludf.DUMMYFUNCTION("""COMPUTED_VALUE"""),"₱-")</f>
        <v>₱-</v>
      </c>
      <c r="F1913" s="164" t="str">
        <f ca="1">IFERROR(__xludf.DUMMYFUNCTION("""COMPUTED_VALUE"""),"2023-05-03-10201SP988-01")</f>
        <v>2023-05-03-10201SP988-01</v>
      </c>
      <c r="G1913" s="164" t="str">
        <f ca="1">IFERROR(__xludf.DUMMYFUNCTION("""COMPUTED_VALUE"""),"1S11T5S16200GM041B4S")</f>
        <v>1S11T5S16200GM041B4S</v>
      </c>
      <c r="H1913" s="164" t="str">
        <f ca="1">IFERROR(__xludf.DUMMYFUNCTION("""COMPUTED_VALUE"""),"ENGR. ROGELIO D. MADARCOS")</f>
        <v>ENGR. ROGELIO D. MADARCOS</v>
      </c>
      <c r="I1913" s="164" t="str">
        <f ca="1">IFERROR(__xludf.DUMMYFUNCTION("""COMPUTED_VALUE"""),"PARPO II/OIC-CARPO LTID")</f>
        <v>PARPO II/OIC-CARPO LTID</v>
      </c>
      <c r="J1913" s="164" t="str">
        <f ca="1">IFERROR(__xludf.DUMMYFUNCTION("""COMPUTED_VALUE"""),"23-140")</f>
        <v>23-140</v>
      </c>
      <c r="K1913" s="164" t="str">
        <f ca="1">IFERROR(__xludf.DUMMYFUNCTION("""COMPUTED_VALUE"""),"LABANIEGO, BRYAN")</f>
        <v>LABANIEGO, BRYAN</v>
      </c>
      <c r="L1913" s="164" t="str">
        <f ca="1">IFERROR(__xludf.DUMMYFUNCTION("""COMPUTED_VALUE"""),"LTSPD")</f>
        <v>LTSPD</v>
      </c>
      <c r="M1913" s="164" t="str">
        <f ca="1">IFERROR(__xludf.DUMMYFUNCTION("""COMPUTED_VALUE"""),"SERVICEABLE")</f>
        <v>SERVICEABLE</v>
      </c>
      <c r="N1913" s="164"/>
    </row>
    <row r="1914" spans="1:14" ht="13.2" hidden="1">
      <c r="A1914" s="164" t="str">
        <f ca="1">IFERROR(__xludf.DUMMYFUNCTION("""COMPUTED_VALUE"""),"Region IV-B")</f>
        <v>Region IV-B</v>
      </c>
      <c r="B1914" s="164" t="str">
        <f ca="1">IFERROR(__xludf.DUMMYFUNCTION("""COMPUTED_VALUE"""),"Oriental Mindoro")</f>
        <v>Oriental Mindoro</v>
      </c>
      <c r="C1914" s="164" t="str">
        <f ca="1">IFERROR(__xludf.DUMMYFUNCTION("""COMPUTED_VALUE"""),"Desktop Computer – (Lenovo M70T)")</f>
        <v>Desktop Computer – (Lenovo M70T)</v>
      </c>
      <c r="D1914" s="164" t="str">
        <f ca="1">IFERROR(__xludf.DUMMYFUNCTION("""COMPUTED_VALUE"""),"₱ 75,468.00")</f>
        <v>₱ 75,468.00</v>
      </c>
      <c r="E1914" s="164" t="str">
        <f ca="1">IFERROR(__xludf.DUMMYFUNCTION("""COMPUTED_VALUE"""),"₱-")</f>
        <v>₱-</v>
      </c>
      <c r="F1914" s="164" t="str">
        <f ca="1">IFERROR(__xludf.DUMMYFUNCTION("""COMPUTED_VALUE"""),"2023-05-03-10201SP989-01")</f>
        <v>2023-05-03-10201SP989-01</v>
      </c>
      <c r="G1914" s="164" t="str">
        <f ca="1">IFERROR(__xludf.DUMMYFUNCTION("""COMPUTED_VALUE"""),"1S11T5S16200GM0415ZT")</f>
        <v>1S11T5S16200GM0415ZT</v>
      </c>
      <c r="H1914" s="164" t="str">
        <f ca="1">IFERROR(__xludf.DUMMYFUNCTION("""COMPUTED_VALUE"""),"DOMINGO LAGGUI")</f>
        <v>DOMINGO LAGGUI</v>
      </c>
      <c r="I1914" s="164" t="str">
        <f ca="1">IFERROR(__xludf.DUMMYFUNCTION("""COMPUTED_VALUE"""),"CARTOGTRAPHER")</f>
        <v>CARTOGTRAPHER</v>
      </c>
      <c r="J1914" s="164" t="str">
        <f ca="1">IFERROR(__xludf.DUMMYFUNCTION("""COMPUTED_VALUE"""),"23-145")</f>
        <v>23-145</v>
      </c>
      <c r="K1914" s="164" t="str">
        <f ca="1">IFERROR(__xludf.DUMMYFUNCTION("""COMPUTED_VALUE"""),"EVANGELISTA, JEANEL")</f>
        <v>EVANGELISTA, JEANEL</v>
      </c>
      <c r="L1914" s="164" t="str">
        <f ca="1">IFERROR(__xludf.DUMMYFUNCTION("""COMPUTED_VALUE"""),"LTSPD")</f>
        <v>LTSPD</v>
      </c>
      <c r="M1914" s="164" t="str">
        <f ca="1">IFERROR(__xludf.DUMMYFUNCTION("""COMPUTED_VALUE"""),"SERVICEABLE")</f>
        <v>SERVICEABLE</v>
      </c>
      <c r="N1914" s="164" t="str">
        <f ca="1">IFERROR(__xludf.DUMMYFUNCTION("""COMPUTED_VALUE"""),"UNSERVICEABLE (UPS)")</f>
        <v>UNSERVICEABLE (UPS)</v>
      </c>
    </row>
    <row r="1915" spans="1:14" ht="13.2" hidden="1">
      <c r="A1915" s="164" t="str">
        <f ca="1">IFERROR(__xludf.DUMMYFUNCTION("""COMPUTED_VALUE"""),"Region IV-B")</f>
        <v>Region IV-B</v>
      </c>
      <c r="B1915" s="164" t="str">
        <f ca="1">IFERROR(__xludf.DUMMYFUNCTION("""COMPUTED_VALUE"""),"Oriental Mindoro")</f>
        <v>Oriental Mindoro</v>
      </c>
      <c r="C1915" s="164" t="str">
        <f ca="1">IFERROR(__xludf.DUMMYFUNCTION("""COMPUTED_VALUE"""),"Desktop Computer – (Lenovo M70T)")</f>
        <v>Desktop Computer – (Lenovo M70T)</v>
      </c>
      <c r="D1915" s="164" t="str">
        <f ca="1">IFERROR(__xludf.DUMMYFUNCTION("""COMPUTED_VALUE"""),"₱ 75,468.00")</f>
        <v>₱ 75,468.00</v>
      </c>
      <c r="E1915" s="164" t="str">
        <f ca="1">IFERROR(__xludf.DUMMYFUNCTION("""COMPUTED_VALUE"""),"₱-")</f>
        <v>₱-</v>
      </c>
      <c r="F1915" s="164" t="str">
        <f ca="1">IFERROR(__xludf.DUMMYFUNCTION("""COMPUTED_VALUE"""),"2023-05-03-10201SP990-01")</f>
        <v>2023-05-03-10201SP990-01</v>
      </c>
      <c r="G1915" s="164" t="str">
        <f ca="1">IFERROR(__xludf.DUMMYFUNCTION("""COMPUTED_VALUE"""),"1S11T5S16200GM0418ED")</f>
        <v>1S11T5S16200GM0418ED</v>
      </c>
      <c r="H1915" s="164" t="str">
        <f ca="1">IFERROR(__xludf.DUMMYFUNCTION("""COMPUTED_VALUE"""),"ENGR. ROGELIO D. MADARCOS")</f>
        <v>ENGR. ROGELIO D. MADARCOS</v>
      </c>
      <c r="I1915" s="164" t="str">
        <f ca="1">IFERROR(__xludf.DUMMYFUNCTION("""COMPUTED_VALUE"""),"PARPO II/OIC-CARPO LTID")</f>
        <v>PARPO II/OIC-CARPO LTID</v>
      </c>
      <c r="J1915" s="164" t="str">
        <f ca="1">IFERROR(__xludf.DUMMYFUNCTION("""COMPUTED_VALUE"""),"23-150")</f>
        <v>23-150</v>
      </c>
      <c r="K1915" s="164" t="str">
        <f ca="1">IFERROR(__xludf.DUMMYFUNCTION("""COMPUTED_VALUE"""),"ADARLO, PATRICIA MAE")</f>
        <v>ADARLO, PATRICIA MAE</v>
      </c>
      <c r="L1915" s="164" t="str">
        <f ca="1">IFERROR(__xludf.DUMMYFUNCTION("""COMPUTED_VALUE"""),"LTSPD")</f>
        <v>LTSPD</v>
      </c>
      <c r="M1915" s="164" t="str">
        <f ca="1">IFERROR(__xludf.DUMMYFUNCTION("""COMPUTED_VALUE"""),"SERVICEABLE")</f>
        <v>SERVICEABLE</v>
      </c>
      <c r="N1915" s="164" t="str">
        <f ca="1">IFERROR(__xludf.DUMMYFUNCTION("""COMPUTED_VALUE"""),"UNSERVICEABLE (UPS)")</f>
        <v>UNSERVICEABLE (UPS)</v>
      </c>
    </row>
    <row r="1916" spans="1:14" ht="13.2" hidden="1">
      <c r="A1916" s="164" t="str">
        <f ca="1">IFERROR(__xludf.DUMMYFUNCTION("""COMPUTED_VALUE"""),"Region IV-B")</f>
        <v>Region IV-B</v>
      </c>
      <c r="B1916" s="164" t="str">
        <f ca="1">IFERROR(__xludf.DUMMYFUNCTION("""COMPUTED_VALUE"""),"Oriental Mindoro")</f>
        <v>Oriental Mindoro</v>
      </c>
      <c r="C1916" s="164" t="str">
        <f ca="1">IFERROR(__xludf.DUMMYFUNCTION("""COMPUTED_VALUE"""),"Desktop Computer – (Lenovo M70T)")</f>
        <v>Desktop Computer – (Lenovo M70T)</v>
      </c>
      <c r="D1916" s="164" t="str">
        <f ca="1">IFERROR(__xludf.DUMMYFUNCTION("""COMPUTED_VALUE"""),"₱ 75,468.00")</f>
        <v>₱ 75,468.00</v>
      </c>
      <c r="E1916" s="164" t="str">
        <f ca="1">IFERROR(__xludf.DUMMYFUNCTION("""COMPUTED_VALUE"""),"₱-")</f>
        <v>₱-</v>
      </c>
      <c r="F1916" s="164" t="str">
        <f ca="1">IFERROR(__xludf.DUMMYFUNCTION("""COMPUTED_VALUE"""),"2023-05-03-10201SP991-01")</f>
        <v>2023-05-03-10201SP991-01</v>
      </c>
      <c r="G1916" s="164" t="str">
        <f ca="1">IFERROR(__xludf.DUMMYFUNCTION("""COMPUTED_VALUE"""),"1S11T5S16200GM0418HC")</f>
        <v>1S11T5S16200GM0418HC</v>
      </c>
      <c r="H1916" s="164" t="str">
        <f ca="1">IFERROR(__xludf.DUMMYFUNCTION("""COMPUTED_VALUE"""),"WILSON DELICA")</f>
        <v>WILSON DELICA</v>
      </c>
      <c r="I1916" s="164" t="str">
        <f ca="1">IFERROR(__xludf.DUMMYFUNCTION("""COMPUTED_VALUE"""),"ARPO II")</f>
        <v>ARPO II</v>
      </c>
      <c r="J1916" s="164" t="str">
        <f ca="1">IFERROR(__xludf.DUMMYFUNCTION("""COMPUTED_VALUE"""),"23-155")</f>
        <v>23-155</v>
      </c>
      <c r="K1916" s="164" t="str">
        <f ca="1">IFERROR(__xludf.DUMMYFUNCTION("""COMPUTED_VALUE"""),"WILSON DELICA")</f>
        <v>WILSON DELICA</v>
      </c>
      <c r="L1916" s="164" t="str">
        <f ca="1">IFERROR(__xludf.DUMMYFUNCTION("""COMPUTED_VALUE"""),"PBDD")</f>
        <v>PBDD</v>
      </c>
      <c r="M1916" s="164" t="str">
        <f ca="1">IFERROR(__xludf.DUMMYFUNCTION("""COMPUTED_VALUE"""),"SERVICEABLE")</f>
        <v>SERVICEABLE</v>
      </c>
      <c r="N1916" s="164"/>
    </row>
    <row r="1917" spans="1:14" ht="13.2" hidden="1">
      <c r="A1917" s="164" t="str">
        <f ca="1">IFERROR(__xludf.DUMMYFUNCTION("""COMPUTED_VALUE"""),"Region IV-B")</f>
        <v>Region IV-B</v>
      </c>
      <c r="B1917" s="164" t="str">
        <f ca="1">IFERROR(__xludf.DUMMYFUNCTION("""COMPUTED_VALUE"""),"Oriental Mindoro")</f>
        <v>Oriental Mindoro</v>
      </c>
      <c r="C1917" s="164" t="str">
        <f ca="1">IFERROR(__xludf.DUMMYFUNCTION("""COMPUTED_VALUE"""),"Desktop Computer – (HP Pro SFF 280G9)")</f>
        <v>Desktop Computer – (HP Pro SFF 280G9)</v>
      </c>
      <c r="D1917" s="164" t="str">
        <f ca="1">IFERROR(__xludf.DUMMYFUNCTION("""COMPUTED_VALUE"""),"₱ 78,898.00")</f>
        <v>₱ 78,898.00</v>
      </c>
      <c r="E1917" s="164" t="str">
        <f ca="1">IFERROR(__xludf.DUMMYFUNCTION("""COMPUTED_VALUE"""),"₱-")</f>
        <v>₱-</v>
      </c>
      <c r="F1917" s="164" t="str">
        <f ca="1">IFERROR(__xludf.DUMMYFUNCTION("""COMPUTED_VALUE"""),"2023-05-03-10201SP260-01")</f>
        <v>2023-05-03-10201SP260-01</v>
      </c>
      <c r="G1917" s="164"/>
      <c r="H1917" s="164" t="str">
        <f ca="1">IFERROR(__xludf.DUMMYFUNCTION("""COMPUTED_VALUE"""),"RENE B. CATLY")</f>
        <v>RENE B. CATLY</v>
      </c>
      <c r="I1917" s="164" t="str">
        <f ca="1">IFERROR(__xludf.DUMMYFUNCTION("""COMPUTED_VALUE"""),"PCAO")</f>
        <v>PCAO</v>
      </c>
      <c r="J1917" s="164" t="str">
        <f ca="1">IFERROR(__xludf.DUMMYFUNCTION("""COMPUTED_VALUE"""),"23-303")</f>
        <v>23-303</v>
      </c>
      <c r="K1917" s="164" t="str">
        <f ca="1">IFERROR(__xludf.DUMMYFUNCTION("""COMPUTED_VALUE"""),"BENTER, BUENA PLEIDA A")</f>
        <v>BENTER, BUENA PLEIDA A</v>
      </c>
      <c r="L1917" s="164" t="str">
        <f ca="1">IFERROR(__xludf.DUMMYFUNCTION("""COMPUTED_VALUE"""),"STOD")</f>
        <v>STOD</v>
      </c>
      <c r="M1917" s="164" t="str">
        <f ca="1">IFERROR(__xludf.DUMMYFUNCTION("""COMPUTED_VALUE"""),"SERVICEABLE")</f>
        <v>SERVICEABLE</v>
      </c>
      <c r="N1917" s="164"/>
    </row>
    <row r="1918" spans="1:14" ht="13.2" hidden="1">
      <c r="A1918" s="164" t="str">
        <f ca="1">IFERROR(__xludf.DUMMYFUNCTION("""COMPUTED_VALUE"""),"Region IV-B")</f>
        <v>Region IV-B</v>
      </c>
      <c r="B1918" s="164" t="str">
        <f ca="1">IFERROR(__xludf.DUMMYFUNCTION("""COMPUTED_VALUE"""),"Oriental Mindoro")</f>
        <v>Oriental Mindoro</v>
      </c>
      <c r="C1918" s="164" t="str">
        <f ca="1">IFERROR(__xludf.DUMMYFUNCTION("""COMPUTED_VALUE"""),"Desktop Computer – (HP Pro SFF 280G9)")</f>
        <v>Desktop Computer – (HP Pro SFF 280G9)</v>
      </c>
      <c r="D1918" s="164" t="str">
        <f ca="1">IFERROR(__xludf.DUMMYFUNCTION("""COMPUTED_VALUE"""),"₱ 78,898.00")</f>
        <v>₱ 78,898.00</v>
      </c>
      <c r="E1918" s="164" t="str">
        <f ca="1">IFERROR(__xludf.DUMMYFUNCTION("""COMPUTED_VALUE"""),"₱-")</f>
        <v>₱-</v>
      </c>
      <c r="F1918" s="164" t="str">
        <f ca="1">IFERROR(__xludf.DUMMYFUNCTION("""COMPUTED_VALUE"""),"2023-05-03-10201SP261-01")</f>
        <v>2023-05-03-10201SP261-01</v>
      </c>
      <c r="G1918" s="164"/>
      <c r="H1918" s="164" t="str">
        <f ca="1">IFERROR(__xludf.DUMMYFUNCTION("""COMPUTED_VALUE"""),"SARAH JESSICA L. CODERIAS")</f>
        <v>SARAH JESSICA L. CODERIAS</v>
      </c>
      <c r="I1918" s="164" t="str">
        <f ca="1">IFERROR(__xludf.DUMMYFUNCTION("""COMPUTED_VALUE"""),"ACCOUNTANT")</f>
        <v>ACCOUNTANT</v>
      </c>
      <c r="J1918" s="164" t="str">
        <f ca="1">IFERROR(__xludf.DUMMYFUNCTION("""COMPUTED_VALUE"""),"23-307")</f>
        <v>23-307</v>
      </c>
      <c r="K1918" s="164" t="str">
        <f ca="1">IFERROR(__xludf.DUMMYFUNCTION("""COMPUTED_VALUE"""),"SARAH JESSICA L. CODERIAS")</f>
        <v>SARAH JESSICA L. CODERIAS</v>
      </c>
      <c r="L1918" s="164" t="str">
        <f ca="1">IFERROR(__xludf.DUMMYFUNCTION("""COMPUTED_VALUE"""),"STOD")</f>
        <v>STOD</v>
      </c>
      <c r="M1918" s="164" t="str">
        <f ca="1">IFERROR(__xludf.DUMMYFUNCTION("""COMPUTED_VALUE"""),"SERVICEABLE")</f>
        <v>SERVICEABLE</v>
      </c>
      <c r="N1918" s="164"/>
    </row>
    <row r="1919" spans="1:14" ht="13.2" hidden="1">
      <c r="A1919" s="164" t="str">
        <f ca="1">IFERROR(__xludf.DUMMYFUNCTION("""COMPUTED_VALUE"""),"Region IV-B")</f>
        <v>Region IV-B</v>
      </c>
      <c r="B1919" s="164" t="str">
        <f ca="1">IFERROR(__xludf.DUMMYFUNCTION("""COMPUTED_VALUE"""),"Oriental Mindoro")</f>
        <v>Oriental Mindoro</v>
      </c>
      <c r="C1919" s="164" t="str">
        <f ca="1">IFERROR(__xludf.DUMMYFUNCTION("""COMPUTED_VALUE"""),"Desktop Computer – (HP Pro SFF 280G9)")</f>
        <v>Desktop Computer – (HP Pro SFF 280G9)</v>
      </c>
      <c r="D1919" s="164" t="str">
        <f ca="1">IFERROR(__xludf.DUMMYFUNCTION("""COMPUTED_VALUE"""),"₱ 78,898.00")</f>
        <v>₱ 78,898.00</v>
      </c>
      <c r="E1919" s="164" t="str">
        <f ca="1">IFERROR(__xludf.DUMMYFUNCTION("""COMPUTED_VALUE"""),"₱-")</f>
        <v>₱-</v>
      </c>
      <c r="F1919" s="164" t="str">
        <f ca="1">IFERROR(__xludf.DUMMYFUNCTION("""COMPUTED_VALUE"""),"2023-05-03-10201SP262-01")</f>
        <v>2023-05-03-10201SP262-01</v>
      </c>
      <c r="G1919" s="164"/>
      <c r="H1919" s="164" t="str">
        <f ca="1">IFERROR(__xludf.DUMMYFUNCTION("""COMPUTED_VALUE"""),"JESUS FRANCO B. LASQUITE")</f>
        <v>JESUS FRANCO B. LASQUITE</v>
      </c>
      <c r="I1919" s="164" t="str">
        <f ca="1">IFERROR(__xludf.DUMMYFUNCTION("""COMPUTED_VALUE"""),"ATTORNEY V")</f>
        <v>ATTORNEY V</v>
      </c>
      <c r="J1919" s="164" t="str">
        <f ca="1">IFERROR(__xludf.DUMMYFUNCTION("""COMPUTED_VALUE"""),"23-311")</f>
        <v>23-311</v>
      </c>
      <c r="K1919" s="164" t="str">
        <f ca="1">IFERROR(__xludf.DUMMYFUNCTION("""COMPUTED_VALUE"""),"ACHA,PRINCESS KAILA")</f>
        <v>ACHA,PRINCESS KAILA</v>
      </c>
      <c r="L1919" s="164" t="str">
        <f ca="1">IFERROR(__xludf.DUMMYFUNCTION("""COMPUTED_VALUE"""),"LEGAL DIVISION")</f>
        <v>LEGAL DIVISION</v>
      </c>
      <c r="M1919" s="164" t="str">
        <f ca="1">IFERROR(__xludf.DUMMYFUNCTION("""COMPUTED_VALUE"""),"SERVICEABLE")</f>
        <v>SERVICEABLE</v>
      </c>
      <c r="N1919" s="164"/>
    </row>
    <row r="1920" spans="1:14" ht="13.2" hidden="1">
      <c r="A1920" s="164" t="str">
        <f ca="1">IFERROR(__xludf.DUMMYFUNCTION("""COMPUTED_VALUE"""),"Region IV-B")</f>
        <v>Region IV-B</v>
      </c>
      <c r="B1920" s="164" t="str">
        <f ca="1">IFERROR(__xludf.DUMMYFUNCTION("""COMPUTED_VALUE"""),"Oriental Mindoro")</f>
        <v>Oriental Mindoro</v>
      </c>
      <c r="C1920" s="164" t="str">
        <f ca="1">IFERROR(__xludf.DUMMYFUNCTION("""COMPUTED_VALUE"""),"A3 PRINTER (BROTHER)")</f>
        <v>A3 PRINTER (BROTHER)</v>
      </c>
      <c r="D1920" s="164" t="str">
        <f ca="1">IFERROR(__xludf.DUMMYFUNCTION("""COMPUTED_VALUE"""),"₱ 33,508.00")</f>
        <v>₱ 33,508.00</v>
      </c>
      <c r="E1920" s="164" t="str">
        <f ca="1">IFERROR(__xludf.DUMMYFUNCTION("""COMPUTED_VALUE"""),"₱-")</f>
        <v>₱-</v>
      </c>
      <c r="F1920" s="164" t="str">
        <f ca="1">IFERROR(__xludf.DUMMYFUNCTION("""COMPUTED_VALUE"""),"HV-SPLIT-102-24-05-75")</f>
        <v>HV-SPLIT-102-24-05-75</v>
      </c>
      <c r="G1920" s="164"/>
      <c r="H1920" s="164" t="str">
        <f ca="1">IFERROR(__xludf.DUMMYFUNCTION("""COMPUTED_VALUE"""),"ENGR. ROGELIO D. MADARCOS")</f>
        <v>ENGR. ROGELIO D. MADARCOS</v>
      </c>
      <c r="I1920" s="164" t="str">
        <f ca="1">IFERROR(__xludf.DUMMYFUNCTION("""COMPUTED_VALUE"""),"PARPO II/OIC-CARPO LTID")</f>
        <v>PARPO II/OIC-CARPO LTID</v>
      </c>
      <c r="J1920" s="164" t="str">
        <f ca="1">IFERROR(__xludf.DUMMYFUNCTION("""COMPUTED_VALUE"""),"2024-03-009")</f>
        <v>2024-03-009</v>
      </c>
      <c r="K1920" s="164" t="str">
        <f ca="1">IFERROR(__xludf.DUMMYFUNCTION("""COMPUTED_VALUE"""),"EVANGELISTA, JEAN GERLENE")</f>
        <v>EVANGELISTA, JEAN GERLENE</v>
      </c>
      <c r="L1920" s="164" t="str">
        <f ca="1">IFERROR(__xludf.DUMMYFUNCTION("""COMPUTED_VALUE"""),"DARPO OR MINDORO")</f>
        <v>DARPO OR MINDORO</v>
      </c>
      <c r="M1920" s="164" t="str">
        <f ca="1">IFERROR(__xludf.DUMMYFUNCTION("""COMPUTED_VALUE"""),"SERVICEABLE")</f>
        <v>SERVICEABLE</v>
      </c>
      <c r="N1920" s="164"/>
    </row>
    <row r="1921" spans="1:14" ht="13.2" hidden="1">
      <c r="A1921" s="164" t="str">
        <f ca="1">IFERROR(__xludf.DUMMYFUNCTION("""COMPUTED_VALUE"""),"Region IV-B")</f>
        <v>Region IV-B</v>
      </c>
      <c r="B1921" s="164" t="str">
        <f ca="1">IFERROR(__xludf.DUMMYFUNCTION("""COMPUTED_VALUE"""),"Palawan")</f>
        <v>Palawan</v>
      </c>
      <c r="C1921" s="164" t="str">
        <f ca="1">IFERROR(__xludf.DUMMYFUNCTION("""COMPUTED_VALUE"""),"A3 PRINTER (BROTHER)")</f>
        <v>A3 PRINTER (BROTHER)</v>
      </c>
      <c r="D1921" s="164" t="str">
        <f ca="1">IFERROR(__xludf.DUMMYFUNCTION("""COMPUTED_VALUE"""),"₱ 33,508.00")</f>
        <v>₱ 33,508.00</v>
      </c>
      <c r="E1921" s="164" t="str">
        <f ca="1">IFERROR(__xludf.DUMMYFUNCTION("""COMPUTED_VALUE"""),"₱-")</f>
        <v>₱-</v>
      </c>
      <c r="F1921" s="164" t="str">
        <f ca="1">IFERROR(__xludf.DUMMYFUNCTION("""COMPUTED_VALUE"""),"HV-SPLIT-102-24-05-77")</f>
        <v>HV-SPLIT-102-24-05-77</v>
      </c>
      <c r="G1921" s="164"/>
      <c r="H1921" s="164" t="str">
        <f ca="1">IFERROR(__xludf.DUMMYFUNCTION("""COMPUTED_VALUE"""),"ATTY MARVIN V BERNAL")</f>
        <v>ATTY MARVIN V BERNAL</v>
      </c>
      <c r="I1921" s="164" t="str">
        <f ca="1">IFERROR(__xludf.DUMMYFUNCTION("""COMPUTED_VALUE"""),"REGIONAL DIRECTOR")</f>
        <v>REGIONAL DIRECTOR</v>
      </c>
      <c r="J1921" s="164" t="str">
        <f ca="1">IFERROR(__xludf.DUMMYFUNCTION("""COMPUTED_VALUE"""),"2024-03-009")</f>
        <v>2024-03-009</v>
      </c>
      <c r="K1921" s="164"/>
      <c r="L1921" s="164" t="str">
        <f ca="1">IFERROR(__xludf.DUMMYFUNCTION("""COMPUTED_VALUE"""),"DARPO PALAWAN")</f>
        <v>DARPO PALAWAN</v>
      </c>
      <c r="M1921" s="164" t="str">
        <f ca="1">IFERROR(__xludf.DUMMYFUNCTION("""COMPUTED_VALUE"""),"SERVICEABLE")</f>
        <v>SERVICEABLE</v>
      </c>
      <c r="N1921" s="164"/>
    </row>
    <row r="1922" spans="1:14" ht="13.2" hidden="1">
      <c r="A1922" s="164" t="str">
        <f ca="1">IFERROR(__xludf.DUMMYFUNCTION("""COMPUTED_VALUE"""),"Region IV-B")</f>
        <v>Region IV-B</v>
      </c>
      <c r="B1922" s="164" t="str">
        <f ca="1">IFERROR(__xludf.DUMMYFUNCTION("""COMPUTED_VALUE"""),"Regional Office")</f>
        <v>Regional Office</v>
      </c>
      <c r="C1922" s="164" t="str">
        <f ca="1">IFERROR(__xludf.DUMMYFUNCTION("""COMPUTED_VALUE"""),"Laptop – (ACER EXTENSA EX215-55G i7)")</f>
        <v>Laptop – (ACER EXTENSA EX215-55G i7)</v>
      </c>
      <c r="D1922" s="164" t="str">
        <f ca="1">IFERROR(__xludf.DUMMYFUNCTION("""COMPUTED_VALUE"""),"₱ 59,500.00")</f>
        <v>₱ 59,500.00</v>
      </c>
      <c r="E1922" s="164" t="str">
        <f ca="1">IFERROR(__xludf.DUMMYFUNCTION("""COMPUTED_VALUE"""),"₱-")</f>
        <v>₱-</v>
      </c>
      <c r="F1922" s="164" t="str">
        <f ca="1">IFERROR(__xludf.DUMMYFUNCTION("""COMPUTED_VALUE"""),"2023-05-03-10202SP209-01")</f>
        <v>2023-05-03-10202SP209-01</v>
      </c>
      <c r="G1922" s="164"/>
      <c r="H1922" s="164" t="str">
        <f ca="1">IFERROR(__xludf.DUMMYFUNCTION("""COMPUTED_VALUE"""),"ROSEMARIE T. DE LEON")</f>
        <v>ROSEMARIE T. DE LEON</v>
      </c>
      <c r="I1922" s="164" t="str">
        <f ca="1">IFERROR(__xludf.DUMMYFUNCTION("""COMPUTED_VALUE"""),"SUARPO")</f>
        <v>SUARPO</v>
      </c>
      <c r="J1922" s="164" t="str">
        <f ca="1">IFERROR(__xludf.DUMMYFUNCTION("""COMPUTED_VALUE"""),"23-018-SPLIT")</f>
        <v>23-018-SPLIT</v>
      </c>
      <c r="K1922" s="164" t="str">
        <f ca="1">IFERROR(__xludf.DUMMYFUNCTION("""COMPUTED_VALUE"""),"ROSEMARIE T. DE LEON")</f>
        <v>ROSEMARIE T. DE LEON</v>
      </c>
      <c r="L1922" s="164" t="str">
        <f ca="1">IFERROR(__xludf.DUMMYFUNCTION("""COMPUTED_VALUE"""),"FOD")</f>
        <v>FOD</v>
      </c>
      <c r="M1922" s="164" t="str">
        <f ca="1">IFERROR(__xludf.DUMMYFUNCTION("""COMPUTED_VALUE"""),"SERVICEABLE")</f>
        <v>SERVICEABLE</v>
      </c>
      <c r="N1922" s="164"/>
    </row>
    <row r="1923" spans="1:14" ht="13.2" hidden="1">
      <c r="A1923" s="164" t="str">
        <f ca="1">IFERROR(__xludf.DUMMYFUNCTION("""COMPUTED_VALUE"""),"Region IV-B")</f>
        <v>Region IV-B</v>
      </c>
      <c r="B1923" s="164" t="str">
        <f ca="1">IFERROR(__xludf.DUMMYFUNCTION("""COMPUTED_VALUE"""),"Regional Office")</f>
        <v>Regional Office</v>
      </c>
      <c r="C1923" s="164" t="str">
        <f ca="1">IFERROR(__xludf.DUMMYFUNCTION("""COMPUTED_VALUE"""),"Laptop – (ACER EXTENSA EX215-55G i7)")</f>
        <v>Laptop – (ACER EXTENSA EX215-55G i7)</v>
      </c>
      <c r="D1923" s="164" t="str">
        <f ca="1">IFERROR(__xludf.DUMMYFUNCTION("""COMPUTED_VALUE"""),"₱ 59,500.00")</f>
        <v>₱ 59,500.00</v>
      </c>
      <c r="E1923" s="164" t="str">
        <f ca="1">IFERROR(__xludf.DUMMYFUNCTION("""COMPUTED_VALUE"""),"₱-")</f>
        <v>₱-</v>
      </c>
      <c r="F1923" s="164" t="str">
        <f ca="1">IFERROR(__xludf.DUMMYFUNCTION("""COMPUTED_VALUE"""),"2023-05-03-10202SP211-01")</f>
        <v>2023-05-03-10202SP211-01</v>
      </c>
      <c r="G1923" s="164"/>
      <c r="H1923" s="164" t="str">
        <f ca="1">IFERROR(__xludf.DUMMYFUNCTION("""COMPUTED_VALUE"""),"FERDINAND M. DE GALA")</f>
        <v>FERDINAND M. DE GALA</v>
      </c>
      <c r="I1923" s="164" t="str">
        <f ca="1">IFERROR(__xludf.DUMMYFUNCTION("""COMPUTED_VALUE"""),"CARPO")</f>
        <v>CARPO</v>
      </c>
      <c r="J1923" s="164" t="str">
        <f ca="1">IFERROR(__xludf.DUMMYFUNCTION("""COMPUTED_VALUE"""),"23-018-SPLIT")</f>
        <v>23-018-SPLIT</v>
      </c>
      <c r="K1923" s="164" t="str">
        <f ca="1">IFERROR(__xludf.DUMMYFUNCTION("""COMPUTED_VALUE"""),"FERDINAND M. DE GALA")</f>
        <v>FERDINAND M. DE GALA</v>
      </c>
      <c r="L1923" s="164" t="str">
        <f ca="1">IFERROR(__xludf.DUMMYFUNCTION("""COMPUTED_VALUE"""),"FOD")</f>
        <v>FOD</v>
      </c>
      <c r="M1923" s="164" t="str">
        <f ca="1">IFERROR(__xludf.DUMMYFUNCTION("""COMPUTED_VALUE"""),"SERVICEABLE")</f>
        <v>SERVICEABLE</v>
      </c>
      <c r="N1923" s="164"/>
    </row>
    <row r="1924" spans="1:14" ht="13.2" hidden="1">
      <c r="A1924" s="164" t="str">
        <f ca="1">IFERROR(__xludf.DUMMYFUNCTION("""COMPUTED_VALUE"""),"Region IV-B")</f>
        <v>Region IV-B</v>
      </c>
      <c r="B1924" s="164" t="str">
        <f ca="1">IFERROR(__xludf.DUMMYFUNCTION("""COMPUTED_VALUE"""),"Regional Office")</f>
        <v>Regional Office</v>
      </c>
      <c r="C1924" s="164" t="str">
        <f ca="1">IFERROR(__xludf.DUMMYFUNCTION("""COMPUTED_VALUE"""),"Laptop – (ACER EXTENSA EX215-55G i7)")</f>
        <v>Laptop – (ACER EXTENSA EX215-55G i7)</v>
      </c>
      <c r="D1924" s="164" t="str">
        <f ca="1">IFERROR(__xludf.DUMMYFUNCTION("""COMPUTED_VALUE"""),"₱ 59,500.00")</f>
        <v>₱ 59,500.00</v>
      </c>
      <c r="E1924" s="164" t="str">
        <f ca="1">IFERROR(__xludf.DUMMYFUNCTION("""COMPUTED_VALUE"""),"₱-")</f>
        <v>₱-</v>
      </c>
      <c r="F1924" s="164" t="str">
        <f ca="1">IFERROR(__xludf.DUMMYFUNCTION("""COMPUTED_VALUE"""),"2023-05-03-10202SP210-01")</f>
        <v>2023-05-03-10202SP210-01</v>
      </c>
      <c r="G1924" s="164"/>
      <c r="H1924" s="164" t="str">
        <f ca="1">IFERROR(__xludf.DUMMYFUNCTION("""COMPUTED_VALUE"""),"GEFELYN A. GOLENG")</f>
        <v>GEFELYN A. GOLENG</v>
      </c>
      <c r="I1924" s="164" t="str">
        <f ca="1">IFERROR(__xludf.DUMMYFUNCTION("""COMPUTED_VALUE"""),"OIC-RCAO")</f>
        <v>OIC-RCAO</v>
      </c>
      <c r="J1924" s="164" t="str">
        <f ca="1">IFERROR(__xludf.DUMMYFUNCTION("""COMPUTED_VALUE"""),"23-020-SPLIT")</f>
        <v>23-020-SPLIT</v>
      </c>
      <c r="K1924" s="164" t="str">
        <f ca="1">IFERROR(__xludf.DUMMYFUNCTION("""COMPUTED_VALUE"""),"GEFELYN A. GOLENG")</f>
        <v>GEFELYN A. GOLENG</v>
      </c>
      <c r="L1924" s="164" t="str">
        <f ca="1">IFERROR(__xludf.DUMMYFUNCTION("""COMPUTED_VALUE"""),"STOD")</f>
        <v>STOD</v>
      </c>
      <c r="M1924" s="164" t="str">
        <f ca="1">IFERROR(__xludf.DUMMYFUNCTION("""COMPUTED_VALUE"""),"SERVICEABLE")</f>
        <v>SERVICEABLE</v>
      </c>
      <c r="N1924" s="164"/>
    </row>
    <row r="1925" spans="1:14" ht="13.2" hidden="1">
      <c r="A1925" s="164" t="str">
        <f ca="1">IFERROR(__xludf.DUMMYFUNCTION("""COMPUTED_VALUE"""),"Region IV-B")</f>
        <v>Region IV-B</v>
      </c>
      <c r="B1925" s="164" t="str">
        <f ca="1">IFERROR(__xludf.DUMMYFUNCTION("""COMPUTED_VALUE"""),"Regional Office")</f>
        <v>Regional Office</v>
      </c>
      <c r="C1925" s="164" t="str">
        <f ca="1">IFERROR(__xludf.DUMMYFUNCTION("""COMPUTED_VALUE"""),"Laptop – (ACER EXTENSA EX215-55G i7)")</f>
        <v>Laptop – (ACER EXTENSA EX215-55G i7)</v>
      </c>
      <c r="D1925" s="164" t="str">
        <f ca="1">IFERROR(__xludf.DUMMYFUNCTION("""COMPUTED_VALUE"""),"₱ 59,500.00")</f>
        <v>₱ 59,500.00</v>
      </c>
      <c r="E1925" s="164" t="str">
        <f ca="1">IFERROR(__xludf.DUMMYFUNCTION("""COMPUTED_VALUE"""),"₱-")</f>
        <v>₱-</v>
      </c>
      <c r="F1925" s="164" t="str">
        <f ca="1">IFERROR(__xludf.DUMMYFUNCTION("""COMPUTED_VALUE"""),"2023-05-03-10202SP36-01")</f>
        <v>2023-05-03-10202SP36-01</v>
      </c>
      <c r="G1925" s="164"/>
      <c r="H1925" s="164" t="str">
        <f ca="1">IFERROR(__xludf.DUMMYFUNCTION("""COMPUTED_VALUE"""),"SHARON TERRIE P. BALAGOT")</f>
        <v>SHARON TERRIE P. BALAGOT</v>
      </c>
      <c r="I1925" s="164" t="str">
        <f ca="1">IFERROR(__xludf.DUMMYFUNCTION("""COMPUTED_VALUE"""),"RIO")</f>
        <v>RIO</v>
      </c>
      <c r="J1925" s="164" t="str">
        <f ca="1">IFERROR(__xludf.DUMMYFUNCTION("""COMPUTED_VALUE"""),"23-026-SPLIT")</f>
        <v>23-026-SPLIT</v>
      </c>
      <c r="K1925" s="164" t="str">
        <f ca="1">IFERROR(__xludf.DUMMYFUNCTION("""COMPUTED_VALUE"""),"SHARON TERRIE P. BALAGOT")</f>
        <v>SHARON TERRIE P. BALAGOT</v>
      </c>
      <c r="L1925" s="164" t="str">
        <f ca="1">IFERROR(__xludf.DUMMYFUNCTION("""COMPUTED_VALUE"""),"ORD")</f>
        <v>ORD</v>
      </c>
      <c r="M1925" s="164" t="str">
        <f ca="1">IFERROR(__xludf.DUMMYFUNCTION("""COMPUTED_VALUE"""),"SERVICEABLE")</f>
        <v>SERVICEABLE</v>
      </c>
      <c r="N1925" s="164"/>
    </row>
    <row r="1926" spans="1:14" ht="13.2" hidden="1">
      <c r="A1926" s="164" t="str">
        <f ca="1">IFERROR(__xludf.DUMMYFUNCTION("""COMPUTED_VALUE"""),"Region IV-B")</f>
        <v>Region IV-B</v>
      </c>
      <c r="B1926" s="164" t="str">
        <f ca="1">IFERROR(__xludf.DUMMYFUNCTION("""COMPUTED_VALUE"""),"Palawan")</f>
        <v>Palawan</v>
      </c>
      <c r="C1926" s="164" t="str">
        <f ca="1">IFERROR(__xludf.DUMMYFUNCTION("""COMPUTED_VALUE"""),"Laptop – (ACER EXTENSA EX215-55G i7)")</f>
        <v>Laptop – (ACER EXTENSA EX215-55G i7)</v>
      </c>
      <c r="D1926" s="164" t="str">
        <f ca="1">IFERROR(__xludf.DUMMYFUNCTION("""COMPUTED_VALUE"""),"₱ 59,500.00")</f>
        <v>₱ 59,500.00</v>
      </c>
      <c r="E1926" s="164" t="str">
        <f ca="1">IFERROR(__xludf.DUMMYFUNCTION("""COMPUTED_VALUE"""),"₱-")</f>
        <v>₱-</v>
      </c>
      <c r="F1926" s="164" t="str">
        <f ca="1">IFERROR(__xludf.DUMMYFUNCTION("""COMPUTED_VALUE"""),"2023-05-03-10202SP218-01")</f>
        <v>2023-05-03-10202SP218-01</v>
      </c>
      <c r="G1926" s="164"/>
      <c r="H1926" s="164" t="str">
        <f ca="1">IFERROR(__xludf.DUMMYFUNCTION("""COMPUTED_VALUE"""),"JESFER S. MAPANAO")</f>
        <v>JESFER S. MAPANAO</v>
      </c>
      <c r="I1926" s="164" t="str">
        <f ca="1">IFERROR(__xludf.DUMMYFUNCTION("""COMPUTED_VALUE"""),"Documentation/ESS Support Staff")</f>
        <v>Documentation/ESS Support Staff</v>
      </c>
      <c r="J1926" s="164" t="str">
        <f ca="1">IFERROR(__xludf.DUMMYFUNCTION("""COMPUTED_VALUE"""),"2023-09-001")</f>
        <v>2023-09-001</v>
      </c>
      <c r="K1926" s="164" t="str">
        <f ca="1">IFERROR(__xludf.DUMMYFUNCTION("""COMPUTED_VALUE"""),"JESFER S. MAPANAO")</f>
        <v>JESFER S. MAPANAO</v>
      </c>
      <c r="L1926" s="164" t="str">
        <f ca="1">IFERROR(__xludf.DUMMYFUNCTION("""COMPUTED_VALUE"""),"LTSPD")</f>
        <v>LTSPD</v>
      </c>
      <c r="M1926" s="164" t="str">
        <f ca="1">IFERROR(__xludf.DUMMYFUNCTION("""COMPUTED_VALUE"""),"SERVICEABLE")</f>
        <v>SERVICEABLE</v>
      </c>
      <c r="N1926" s="164"/>
    </row>
    <row r="1927" spans="1:14" ht="13.2" hidden="1">
      <c r="A1927" s="164" t="str">
        <f ca="1">IFERROR(__xludf.DUMMYFUNCTION("""COMPUTED_VALUE"""),"Region IV-B")</f>
        <v>Region IV-B</v>
      </c>
      <c r="B1927" s="164" t="str">
        <f ca="1">IFERROR(__xludf.DUMMYFUNCTION("""COMPUTED_VALUE"""),"Palawan")</f>
        <v>Palawan</v>
      </c>
      <c r="C1927" s="164" t="str">
        <f ca="1">IFERROR(__xludf.DUMMYFUNCTION("""COMPUTED_VALUE"""),"Laptop – (ACER EXTENSA EX215-55G i7)")</f>
        <v>Laptop – (ACER EXTENSA EX215-55G i7)</v>
      </c>
      <c r="D1927" s="164" t="str">
        <f ca="1">IFERROR(__xludf.DUMMYFUNCTION("""COMPUTED_VALUE"""),"₱ 59,500.00")</f>
        <v>₱ 59,500.00</v>
      </c>
      <c r="E1927" s="164" t="str">
        <f ca="1">IFERROR(__xludf.DUMMYFUNCTION("""COMPUTED_VALUE"""),"₱-")</f>
        <v>₱-</v>
      </c>
      <c r="F1927" s="164" t="str">
        <f ca="1">IFERROR(__xludf.DUMMYFUNCTION("""COMPUTED_VALUE"""),"2023-05-03-10202SP219-01")</f>
        <v>2023-05-03-10202SP219-01</v>
      </c>
      <c r="G1927" s="164"/>
      <c r="H1927" s="164" t="str">
        <f ca="1">IFERROR(__xludf.DUMMYFUNCTION("""COMPUTED_VALUE"""),"NOEMI D. SARSAGAT")</f>
        <v>NOEMI D. SARSAGAT</v>
      </c>
      <c r="I1927" s="164" t="str">
        <f ca="1">IFERROR(__xludf.DUMMYFUNCTION("""COMPUTED_VALUE"""),"Component/FVT Coordinator")</f>
        <v>Component/FVT Coordinator</v>
      </c>
      <c r="J1927" s="164" t="str">
        <f ca="1">IFERROR(__xludf.DUMMYFUNCTION("""COMPUTED_VALUE"""),"2023-09-001")</f>
        <v>2023-09-001</v>
      </c>
      <c r="K1927" s="164" t="str">
        <f ca="1">IFERROR(__xludf.DUMMYFUNCTION("""COMPUTED_VALUE"""),"MARGIE S. DOFITAS")</f>
        <v>MARGIE S. DOFITAS</v>
      </c>
      <c r="L1927" s="164" t="str">
        <f ca="1">IFERROR(__xludf.DUMMYFUNCTION("""COMPUTED_VALUE"""),"LTSPD")</f>
        <v>LTSPD</v>
      </c>
      <c r="M1927" s="164" t="str">
        <f ca="1">IFERROR(__xludf.DUMMYFUNCTION("""COMPUTED_VALUE"""),"SERVICEABLE")</f>
        <v>SERVICEABLE</v>
      </c>
      <c r="N1927" s="164"/>
    </row>
    <row r="1928" spans="1:14" ht="13.2" hidden="1">
      <c r="A1928" s="164" t="str">
        <f ca="1">IFERROR(__xludf.DUMMYFUNCTION("""COMPUTED_VALUE"""),"Region IV-B")</f>
        <v>Region IV-B</v>
      </c>
      <c r="B1928" s="164" t="str">
        <f ca="1">IFERROR(__xludf.DUMMYFUNCTION("""COMPUTED_VALUE"""),"Palawan")</f>
        <v>Palawan</v>
      </c>
      <c r="C1928" s="164" t="str">
        <f ca="1">IFERROR(__xludf.DUMMYFUNCTION("""COMPUTED_VALUE"""),"Laptop – (ACER EXTENSA EX215-55G i7)")</f>
        <v>Laptop – (ACER EXTENSA EX215-55G i7)</v>
      </c>
      <c r="D1928" s="164" t="str">
        <f ca="1">IFERROR(__xludf.DUMMYFUNCTION("""COMPUTED_VALUE"""),"₱ 59,500.00")</f>
        <v>₱ 59,500.00</v>
      </c>
      <c r="E1928" s="164" t="str">
        <f ca="1">IFERROR(__xludf.DUMMYFUNCTION("""COMPUTED_VALUE"""),"₱-")</f>
        <v>₱-</v>
      </c>
      <c r="F1928" s="164" t="str">
        <f ca="1">IFERROR(__xludf.DUMMYFUNCTION("""COMPUTED_VALUE"""),"2023-05-03-10202SP220-01")</f>
        <v>2023-05-03-10202SP220-01</v>
      </c>
      <c r="G1928" s="164"/>
      <c r="H1928" s="164" t="str">
        <f ca="1">IFERROR(__xludf.DUMMYFUNCTION("""COMPUTED_VALUE"""),"REMEDIOS S. BACUEL")</f>
        <v>REMEDIOS S. BACUEL</v>
      </c>
      <c r="I1928" s="164" t="str">
        <f ca="1">IFERROR(__xludf.DUMMYFUNCTION("""COMPUTED_VALUE"""),"CARPO/CBTA Coordinator")</f>
        <v>CARPO/CBTA Coordinator</v>
      </c>
      <c r="J1928" s="164" t="str">
        <f ca="1">IFERROR(__xludf.DUMMYFUNCTION("""COMPUTED_VALUE"""),"2023-09-001")</f>
        <v>2023-09-001</v>
      </c>
      <c r="K1928" s="164" t="str">
        <f ca="1">IFERROR(__xludf.DUMMYFUNCTION("""COMPUTED_VALUE"""),"RECHEL T. BELO")</f>
        <v>RECHEL T. BELO</v>
      </c>
      <c r="L1928" s="164" t="str">
        <f ca="1">IFERROR(__xludf.DUMMYFUNCTION("""COMPUTED_VALUE"""),"PBDD")</f>
        <v>PBDD</v>
      </c>
      <c r="M1928" s="164" t="str">
        <f ca="1">IFERROR(__xludf.DUMMYFUNCTION("""COMPUTED_VALUE"""),"SERVICEABLE")</f>
        <v>SERVICEABLE</v>
      </c>
      <c r="N1928" s="164"/>
    </row>
    <row r="1929" spans="1:14" ht="13.2" hidden="1">
      <c r="A1929" s="164" t="str">
        <f ca="1">IFERROR(__xludf.DUMMYFUNCTION("""COMPUTED_VALUE"""),"Region IV-B")</f>
        <v>Region IV-B</v>
      </c>
      <c r="B1929" s="164" t="str">
        <f ca="1">IFERROR(__xludf.DUMMYFUNCTION("""COMPUTED_VALUE"""),"Romblon")</f>
        <v>Romblon</v>
      </c>
      <c r="C1929" s="164" t="str">
        <f ca="1">IFERROR(__xludf.DUMMYFUNCTION("""COMPUTED_VALUE"""),"Laptop – (ACER EXTENSA EX215-55G i7)")</f>
        <v>Laptop – (ACER EXTENSA EX215-55G i7)</v>
      </c>
      <c r="D1929" s="164" t="str">
        <f ca="1">IFERROR(__xludf.DUMMYFUNCTION("""COMPUTED_VALUE"""),"₱ 59,500.00")</f>
        <v>₱ 59,500.00</v>
      </c>
      <c r="E1929" s="164" t="str">
        <f ca="1">IFERROR(__xludf.DUMMYFUNCTION("""COMPUTED_VALUE"""),"₱-")</f>
        <v>₱-</v>
      </c>
      <c r="F1929" s="164" t="str">
        <f ca="1">IFERROR(__xludf.DUMMYFUNCTION("""COMPUTED_VALUE"""),"2023-05-03-10202SP37-01")</f>
        <v>2023-05-03-10202SP37-01</v>
      </c>
      <c r="G1929" s="164"/>
      <c r="H1929" s="164" t="str">
        <f ca="1">IFERROR(__xludf.DUMMYFUNCTION("""COMPUTED_VALUE"""),"JEANSON R. FADRI")</f>
        <v>JEANSON R. FADRI</v>
      </c>
      <c r="I1929" s="164" t="str">
        <f ca="1">IFERROR(__xludf.DUMMYFUNCTION("""COMPUTED_VALUE"""),"ARPO I/PIO")</f>
        <v>ARPO I/PIO</v>
      </c>
      <c r="J1929" s="164" t="str">
        <f ca="1">IFERROR(__xludf.DUMMYFUNCTION("""COMPUTED_VALUE"""),"2023-09-004")</f>
        <v>2023-09-004</v>
      </c>
      <c r="K1929" s="164" t="str">
        <f ca="1">IFERROR(__xludf.DUMMYFUNCTION("""COMPUTED_VALUE"""),"JEANSON R. FADRI")</f>
        <v>JEANSON R. FADRI</v>
      </c>
      <c r="L1929" s="164" t="str">
        <f ca="1">IFERROR(__xludf.DUMMYFUNCTION("""COMPUTED_VALUE"""),"PBDD")</f>
        <v>PBDD</v>
      </c>
      <c r="M1929" s="164" t="str">
        <f ca="1">IFERROR(__xludf.DUMMYFUNCTION("""COMPUTED_VALUE"""),"SERVICEABLE")</f>
        <v>SERVICEABLE</v>
      </c>
      <c r="N1929" s="164"/>
    </row>
    <row r="1930" spans="1:14" ht="13.2" hidden="1">
      <c r="A1930" s="164" t="str">
        <f ca="1">IFERROR(__xludf.DUMMYFUNCTION("""COMPUTED_VALUE"""),"Region IV-B")</f>
        <v>Region IV-B</v>
      </c>
      <c r="B1930" s="164" t="str">
        <f ca="1">IFERROR(__xludf.DUMMYFUNCTION("""COMPUTED_VALUE"""),"Romblon")</f>
        <v>Romblon</v>
      </c>
      <c r="C1930" s="164" t="str">
        <f ca="1">IFERROR(__xludf.DUMMYFUNCTION("""COMPUTED_VALUE"""),"Laptop – (ACER EXTENSA EX215-55G i7)")</f>
        <v>Laptop – (ACER EXTENSA EX215-55G i7)</v>
      </c>
      <c r="D1930" s="164" t="str">
        <f ca="1">IFERROR(__xludf.DUMMYFUNCTION("""COMPUTED_VALUE"""),"₱ 59,500.00")</f>
        <v>₱ 59,500.00</v>
      </c>
      <c r="E1930" s="164" t="str">
        <f ca="1">IFERROR(__xludf.DUMMYFUNCTION("""COMPUTED_VALUE"""),"₱-")</f>
        <v>₱-</v>
      </c>
      <c r="F1930" s="164" t="str">
        <f ca="1">IFERROR(__xludf.DUMMYFUNCTION("""COMPUTED_VALUE"""),"2023-05-03-1020SP221-01")</f>
        <v>2023-05-03-1020SP221-01</v>
      </c>
      <c r="G1930" s="164"/>
      <c r="H1930" s="164" t="str">
        <f ca="1">IFERROR(__xludf.DUMMYFUNCTION("""COMPUTED_VALUE"""),"FELINO DAVID MAGALLON")</f>
        <v>FELINO DAVID MAGALLON</v>
      </c>
      <c r="I1930" s="164" t="str">
        <f ca="1">IFERROR(__xludf.DUMMYFUNCTION("""COMPUTED_VALUE"""),"SUARPO")</f>
        <v>SUARPO</v>
      </c>
      <c r="J1930" s="164" t="str">
        <f ca="1">IFERROR(__xludf.DUMMYFUNCTION("""COMPUTED_VALUE"""),"2023-09-001")</f>
        <v>2023-09-001</v>
      </c>
      <c r="K1930" s="164" t="str">
        <f ca="1">IFERROR(__xludf.DUMMYFUNCTION("""COMPUTED_VALUE"""),"SPLIT PERSONNEL")</f>
        <v>SPLIT PERSONNEL</v>
      </c>
      <c r="L1930" s="164" t="str">
        <f ca="1">IFERROR(__xludf.DUMMYFUNCTION("""COMPUTED_VALUE"""),"LTSPD")</f>
        <v>LTSPD</v>
      </c>
      <c r="M1930" s="164" t="str">
        <f ca="1">IFERROR(__xludf.DUMMYFUNCTION("""COMPUTED_VALUE"""),"SERVICEABLE")</f>
        <v>SERVICEABLE</v>
      </c>
      <c r="N1930" s="164"/>
    </row>
    <row r="1931" spans="1:14" ht="13.2" hidden="1">
      <c r="A1931" s="164" t="str">
        <f ca="1">IFERROR(__xludf.DUMMYFUNCTION("""COMPUTED_VALUE"""),"Region IV-B")</f>
        <v>Region IV-B</v>
      </c>
      <c r="B1931" s="164" t="str">
        <f ca="1">IFERROR(__xludf.DUMMYFUNCTION("""COMPUTED_VALUE"""),"Marinduque")</f>
        <v>Marinduque</v>
      </c>
      <c r="C1931" s="164" t="str">
        <f ca="1">IFERROR(__xludf.DUMMYFUNCTION("""COMPUTED_VALUE"""),"Laptop – (ACER EXTENSA EX215-55G i7)")</f>
        <v>Laptop – (ACER EXTENSA EX215-55G i7)</v>
      </c>
      <c r="D1931" s="164" t="str">
        <f ca="1">IFERROR(__xludf.DUMMYFUNCTION("""COMPUTED_VALUE"""),"₱ 59,500.00")</f>
        <v>₱ 59,500.00</v>
      </c>
      <c r="E1931" s="164" t="str">
        <f ca="1">IFERROR(__xludf.DUMMYFUNCTION("""COMPUTED_VALUE"""),"₱-")</f>
        <v>₱-</v>
      </c>
      <c r="F1931" s="164" t="str">
        <f ca="1">IFERROR(__xludf.DUMMYFUNCTION("""COMPUTED_VALUE"""),"2023-05-03-10202SP212-01")</f>
        <v>2023-05-03-10202SP212-01</v>
      </c>
      <c r="G1931" s="164"/>
      <c r="H1931" s="164" t="str">
        <f ca="1">IFERROR(__xludf.DUMMYFUNCTION("""COMPUTED_VALUE"""),"SALVADOR M. JAMILLA JR.")</f>
        <v>SALVADOR M. JAMILLA JR.</v>
      </c>
      <c r="I1931" s="164" t="str">
        <f ca="1">IFERROR(__xludf.DUMMYFUNCTION("""COMPUTED_VALUE"""),"OIC-CARPO")</f>
        <v>OIC-CARPO</v>
      </c>
      <c r="J1931" s="164" t="str">
        <f ca="1">IFERROR(__xludf.DUMMYFUNCTION("""COMPUTED_VALUE"""),"2023-08-12")</f>
        <v>2023-08-12</v>
      </c>
      <c r="K1931" s="164" t="str">
        <f ca="1">IFERROR(__xludf.DUMMYFUNCTION("""COMPUTED_VALUE"""),"SALVADOR M. JAMILLA")</f>
        <v>SALVADOR M. JAMILLA</v>
      </c>
      <c r="L1931" s="164" t="str">
        <f ca="1">IFERROR(__xludf.DUMMYFUNCTION("""COMPUTED_VALUE"""),"LTSPD")</f>
        <v>LTSPD</v>
      </c>
      <c r="M1931" s="164" t="str">
        <f ca="1">IFERROR(__xludf.DUMMYFUNCTION("""COMPUTED_VALUE"""),"SERVICEABLE")</f>
        <v>SERVICEABLE</v>
      </c>
      <c r="N1931" s="164"/>
    </row>
    <row r="1932" spans="1:14" ht="13.2" hidden="1">
      <c r="A1932" s="164" t="str">
        <f ca="1">IFERROR(__xludf.DUMMYFUNCTION("""COMPUTED_VALUE"""),"Region IV-B")</f>
        <v>Region IV-B</v>
      </c>
      <c r="B1932" s="164" t="str">
        <f ca="1">IFERROR(__xludf.DUMMYFUNCTION("""COMPUTED_VALUE"""),"Marinduque")</f>
        <v>Marinduque</v>
      </c>
      <c r="C1932" s="164" t="str">
        <f ca="1">IFERROR(__xludf.DUMMYFUNCTION("""COMPUTED_VALUE"""),"Laptop – (ACER EXTENSA EX215-55G i7)")</f>
        <v>Laptop – (ACER EXTENSA EX215-55G i7)</v>
      </c>
      <c r="D1932" s="164" t="str">
        <f ca="1">IFERROR(__xludf.DUMMYFUNCTION("""COMPUTED_VALUE"""),"₱ 59,500.00")</f>
        <v>₱ 59,500.00</v>
      </c>
      <c r="E1932" s="164" t="str">
        <f ca="1">IFERROR(__xludf.DUMMYFUNCTION("""COMPUTED_VALUE"""),"₱-")</f>
        <v>₱-</v>
      </c>
      <c r="F1932" s="164" t="str">
        <f ca="1">IFERROR(__xludf.DUMMYFUNCTION("""COMPUTED_VALUE"""),"2023-05-03-10202SP214-01")</f>
        <v>2023-05-03-10202SP214-01</v>
      </c>
      <c r="G1932" s="164"/>
      <c r="H1932" s="164" t="str">
        <f ca="1">IFERROR(__xludf.DUMMYFUNCTION("""COMPUTED_VALUE"""),"VIRGILIO L. LAGGUI")</f>
        <v>VIRGILIO L. LAGGUI</v>
      </c>
      <c r="I1932" s="164" t="str">
        <f ca="1">IFERROR(__xludf.DUMMYFUNCTION("""COMPUTED_VALUE"""),"OIC-PARPO II")</f>
        <v>OIC-PARPO II</v>
      </c>
      <c r="J1932" s="164" t="str">
        <f ca="1">IFERROR(__xludf.DUMMYFUNCTION("""COMPUTED_VALUE"""),"2023-08-13")</f>
        <v>2023-08-13</v>
      </c>
      <c r="K1932" s="164" t="str">
        <f ca="1">IFERROR(__xludf.DUMMYFUNCTION("""COMPUTED_VALUE"""),"VIRGILIO L. LAGGUI")</f>
        <v>VIRGILIO L. LAGGUI</v>
      </c>
      <c r="L1932" s="164" t="str">
        <f ca="1">IFERROR(__xludf.DUMMYFUNCTION("""COMPUTED_VALUE"""),"PARPO'S OFFICE")</f>
        <v>PARPO'S OFFICE</v>
      </c>
      <c r="M1932" s="164" t="str">
        <f ca="1">IFERROR(__xludf.DUMMYFUNCTION("""COMPUTED_VALUE"""),"SERVICEABLE")</f>
        <v>SERVICEABLE</v>
      </c>
      <c r="N1932" s="164"/>
    </row>
    <row r="1933" spans="1:14" ht="13.2" hidden="1">
      <c r="A1933" s="164" t="str">
        <f ca="1">IFERROR(__xludf.DUMMYFUNCTION("""COMPUTED_VALUE"""),"Region IV-B")</f>
        <v>Region IV-B</v>
      </c>
      <c r="B1933" s="164" t="str">
        <f ca="1">IFERROR(__xludf.DUMMYFUNCTION("""COMPUTED_VALUE"""),"Marinduque")</f>
        <v>Marinduque</v>
      </c>
      <c r="C1933" s="164" t="str">
        <f ca="1">IFERROR(__xludf.DUMMYFUNCTION("""COMPUTED_VALUE"""),"Laptop – (ACER EXTENSA EX215-55G i7)")</f>
        <v>Laptop – (ACER EXTENSA EX215-55G i7)</v>
      </c>
      <c r="D1933" s="164" t="str">
        <f ca="1">IFERROR(__xludf.DUMMYFUNCTION("""COMPUTED_VALUE"""),"₱ 59,500.00")</f>
        <v>₱ 59,500.00</v>
      </c>
      <c r="E1933" s="164" t="str">
        <f ca="1">IFERROR(__xludf.DUMMYFUNCTION("""COMPUTED_VALUE"""),"₱-")</f>
        <v>₱-</v>
      </c>
      <c r="F1933" s="164" t="str">
        <f ca="1">IFERROR(__xludf.DUMMYFUNCTION("""COMPUTED_VALUE"""),"2023-05-03-10202SP213-01")</f>
        <v>2023-05-03-10202SP213-01</v>
      </c>
      <c r="G1933" s="164"/>
      <c r="H1933" s="164" t="str">
        <f ca="1">IFERROR(__xludf.DUMMYFUNCTION("""COMPUTED_VALUE"""),"RAFAELA L. OIRLLA")</f>
        <v>RAFAELA L. OIRLLA</v>
      </c>
      <c r="I1933" s="164" t="str">
        <f ca="1">IFERROR(__xludf.DUMMYFUNCTION("""COMPUTED_VALUE"""),"OIC-CAO")</f>
        <v>OIC-CAO</v>
      </c>
      <c r="J1933" s="164" t="str">
        <f ca="1">IFERROR(__xludf.DUMMYFUNCTION("""COMPUTED_VALUE"""),"2023-08-14")</f>
        <v>2023-08-14</v>
      </c>
      <c r="K1933" s="164" t="str">
        <f ca="1">IFERROR(__xludf.DUMMYFUNCTION("""COMPUTED_VALUE"""),"RAFAELA L. ORILLA")</f>
        <v>RAFAELA L. ORILLA</v>
      </c>
      <c r="L1933" s="164" t="str">
        <f ca="1">IFERROR(__xludf.DUMMYFUNCTION("""COMPUTED_VALUE"""),"STOD")</f>
        <v>STOD</v>
      </c>
      <c r="M1933" s="164" t="str">
        <f ca="1">IFERROR(__xludf.DUMMYFUNCTION("""COMPUTED_VALUE"""),"SERVICEABLE")</f>
        <v>SERVICEABLE</v>
      </c>
      <c r="N1933" s="164"/>
    </row>
    <row r="1934" spans="1:14" ht="13.2" hidden="1">
      <c r="A1934" s="164" t="str">
        <f ca="1">IFERROR(__xludf.DUMMYFUNCTION("""COMPUTED_VALUE"""),"Region IV-B")</f>
        <v>Region IV-B</v>
      </c>
      <c r="B1934" s="164" t="str">
        <f ca="1">IFERROR(__xludf.DUMMYFUNCTION("""COMPUTED_VALUE"""),"Marinduque")</f>
        <v>Marinduque</v>
      </c>
      <c r="C1934" s="164" t="str">
        <f ca="1">IFERROR(__xludf.DUMMYFUNCTION("""COMPUTED_VALUE"""),"Laptop – (ACER EXTENSA EX215-55G i7)")</f>
        <v>Laptop – (ACER EXTENSA EX215-55G i7)</v>
      </c>
      <c r="D1934" s="164" t="str">
        <f ca="1">IFERROR(__xludf.DUMMYFUNCTION("""COMPUTED_VALUE"""),"₱ 59,500.00")</f>
        <v>₱ 59,500.00</v>
      </c>
      <c r="E1934" s="164" t="str">
        <f ca="1">IFERROR(__xludf.DUMMYFUNCTION("""COMPUTED_VALUE"""),"₱-")</f>
        <v>₱-</v>
      </c>
      <c r="F1934" s="164" t="str">
        <f ca="1">IFERROR(__xludf.DUMMYFUNCTION("""COMPUTED_VALUE"""),"2023-05-003-10202SP40-01")</f>
        <v>2023-05-003-10202SP40-01</v>
      </c>
      <c r="G1934" s="164"/>
      <c r="H1934" s="164" t="str">
        <f ca="1">IFERROR(__xludf.DUMMYFUNCTION("""COMPUTED_VALUE"""),"YUNIUKA YSA G. LASIC")</f>
        <v>YUNIUKA YSA G. LASIC</v>
      </c>
      <c r="I1934" s="164" t="str">
        <f ca="1">IFERROR(__xludf.DUMMYFUNCTION("""COMPUTED_VALUE"""),"ARPO I")</f>
        <v>ARPO I</v>
      </c>
      <c r="J1934" s="164" t="str">
        <f ca="1">IFERROR(__xludf.DUMMYFUNCTION("""COMPUTED_VALUE"""),"2023-06-11")</f>
        <v>2023-06-11</v>
      </c>
      <c r="K1934" s="164" t="str">
        <f ca="1">IFERROR(__xludf.DUMMYFUNCTION("""COMPUTED_VALUE"""),"YUNIKA YSA G. LASIC")</f>
        <v>YUNIKA YSA G. LASIC</v>
      </c>
      <c r="L1934" s="164" t="str">
        <f ca="1">IFERROR(__xludf.DUMMYFUNCTION("""COMPUTED_VALUE"""),"LTSPD")</f>
        <v>LTSPD</v>
      </c>
      <c r="M1934" s="164" t="str">
        <f ca="1">IFERROR(__xludf.DUMMYFUNCTION("""COMPUTED_VALUE"""),"SERVICEABLE")</f>
        <v>SERVICEABLE</v>
      </c>
      <c r="N1934" s="164"/>
    </row>
    <row r="1935" spans="1:14" ht="13.2" hidden="1">
      <c r="A1935" s="164" t="str">
        <f ca="1">IFERROR(__xludf.DUMMYFUNCTION("""COMPUTED_VALUE"""),"Region IV-B")</f>
        <v>Region IV-B</v>
      </c>
      <c r="B1935" s="164" t="str">
        <f ca="1">IFERROR(__xludf.DUMMYFUNCTION("""COMPUTED_VALUE"""),"Occidental Mindoro")</f>
        <v>Occidental Mindoro</v>
      </c>
      <c r="C1935" s="164" t="str">
        <f ca="1">IFERROR(__xludf.DUMMYFUNCTION("""COMPUTED_VALUE"""),"Laptop – (ACER EXTENSA EX215-55G i7)")</f>
        <v>Laptop – (ACER EXTENSA EX215-55G i7)</v>
      </c>
      <c r="D1935" s="164" t="str">
        <f ca="1">IFERROR(__xludf.DUMMYFUNCTION("""COMPUTED_VALUE"""),"₱ 59,500.00")</f>
        <v>₱ 59,500.00</v>
      </c>
      <c r="E1935" s="164" t="str">
        <f ca="1">IFERROR(__xludf.DUMMYFUNCTION("""COMPUTED_VALUE"""),"₱-")</f>
        <v>₱-</v>
      </c>
      <c r="F1935" s="164" t="str">
        <f ca="1">IFERROR(__xludf.DUMMYFUNCTION("""COMPUTED_VALUE"""),"2023-05-03-10202SP215-01")</f>
        <v>2023-05-03-10202SP215-01</v>
      </c>
      <c r="G1935" s="164"/>
      <c r="H1935" s="164" t="str">
        <f ca="1">IFERROR(__xludf.DUMMYFUNCTION("""COMPUTED_VALUE"""),"MICHAEL DAGOHOY")</f>
        <v>MICHAEL DAGOHOY</v>
      </c>
      <c r="I1935" s="164" t="str">
        <f ca="1">IFERROR(__xludf.DUMMYFUNCTION("""COMPUTED_VALUE"""),"ARPT")</f>
        <v>ARPT</v>
      </c>
      <c r="J1935" s="164" t="str">
        <f ca="1">IFERROR(__xludf.DUMMYFUNCTION("""COMPUTED_VALUE"""),"2023-10-0003")</f>
        <v>2023-10-0003</v>
      </c>
      <c r="K1935" s="164" t="str">
        <f ca="1">IFERROR(__xludf.DUMMYFUNCTION("""COMPUTED_VALUE"""),"LYDIA S. SARMIENTO")</f>
        <v>LYDIA S. SARMIENTO</v>
      </c>
      <c r="L1935" s="164" t="str">
        <f ca="1">IFERROR(__xludf.DUMMYFUNCTION("""COMPUTED_VALUE"""),"PARPO'S OFFICE")</f>
        <v>PARPO'S OFFICE</v>
      </c>
      <c r="M1935" s="164" t="str">
        <f ca="1">IFERROR(__xludf.DUMMYFUNCTION("""COMPUTED_VALUE"""),"SERVICEABLE")</f>
        <v>SERVICEABLE</v>
      </c>
      <c r="N1935" s="164"/>
    </row>
    <row r="1936" spans="1:14" ht="13.2" hidden="1">
      <c r="A1936" s="164" t="str">
        <f ca="1">IFERROR(__xludf.DUMMYFUNCTION("""COMPUTED_VALUE"""),"Region IV-B")</f>
        <v>Region IV-B</v>
      </c>
      <c r="B1936" s="164" t="str">
        <f ca="1">IFERROR(__xludf.DUMMYFUNCTION("""COMPUTED_VALUE"""),"Occidental Mindoro")</f>
        <v>Occidental Mindoro</v>
      </c>
      <c r="C1936" s="164" t="str">
        <f ca="1">IFERROR(__xludf.DUMMYFUNCTION("""COMPUTED_VALUE"""),"Laptop – (ACER EXTENSA EX215-55G i7)")</f>
        <v>Laptop – (ACER EXTENSA EX215-55G i7)</v>
      </c>
      <c r="D1936" s="164" t="str">
        <f ca="1">IFERROR(__xludf.DUMMYFUNCTION("""COMPUTED_VALUE"""),"₱ 59,500.00")</f>
        <v>₱ 59,500.00</v>
      </c>
      <c r="E1936" s="164" t="str">
        <f ca="1">IFERROR(__xludf.DUMMYFUNCTION("""COMPUTED_VALUE"""),"₱-")</f>
        <v>₱-</v>
      </c>
      <c r="F1936" s="164" t="str">
        <f ca="1">IFERROR(__xludf.DUMMYFUNCTION("""COMPUTED_VALUE"""),"2023-05-03-10202SP38-01")</f>
        <v>2023-05-03-10202SP38-01</v>
      </c>
      <c r="G1936" s="164"/>
      <c r="H1936" s="164" t="str">
        <f ca="1">IFERROR(__xludf.DUMMYFUNCTION("""COMPUTED_VALUE"""),"PAULO PEREZ")</f>
        <v>PAULO PEREZ</v>
      </c>
      <c r="I1936" s="164" t="str">
        <f ca="1">IFERROR(__xludf.DUMMYFUNCTION("""COMPUTED_VALUE"""),"ARPO I/PIO")</f>
        <v>ARPO I/PIO</v>
      </c>
      <c r="J1936" s="164" t="str">
        <f ca="1">IFERROR(__xludf.DUMMYFUNCTION("""COMPUTED_VALUE"""),"2023-10-0004")</f>
        <v>2023-10-0004</v>
      </c>
      <c r="K1936" s="164" t="str">
        <f ca="1">IFERROR(__xludf.DUMMYFUNCTION("""COMPUTED_VALUE"""),"SHERYL CABAGAY")</f>
        <v>SHERYL CABAGAY</v>
      </c>
      <c r="L1936" s="164" t="str">
        <f ca="1">IFERROR(__xludf.DUMMYFUNCTION("""COMPUTED_VALUE"""),"PBDD")</f>
        <v>PBDD</v>
      </c>
      <c r="M1936" s="164" t="str">
        <f ca="1">IFERROR(__xludf.DUMMYFUNCTION("""COMPUTED_VALUE"""),"SERVICEABLE")</f>
        <v>SERVICEABLE</v>
      </c>
      <c r="N1936" s="164"/>
    </row>
    <row r="1937" spans="1:14" ht="13.2" hidden="1">
      <c r="A1937" s="164" t="str">
        <f ca="1">IFERROR(__xludf.DUMMYFUNCTION("""COMPUTED_VALUE"""),"Region IV-B")</f>
        <v>Region IV-B</v>
      </c>
      <c r="B1937" s="164" t="str">
        <f ca="1">IFERROR(__xludf.DUMMYFUNCTION("""COMPUTED_VALUE"""),"Oriental Mindoro")</f>
        <v>Oriental Mindoro</v>
      </c>
      <c r="C1937" s="164" t="str">
        <f ca="1">IFERROR(__xludf.DUMMYFUNCTION("""COMPUTED_VALUE"""),"Laptop – (ACER EXTENSA EX215-55G i7)")</f>
        <v>Laptop – (ACER EXTENSA EX215-55G i7)</v>
      </c>
      <c r="D1937" s="164" t="str">
        <f ca="1">IFERROR(__xludf.DUMMYFUNCTION("""COMPUTED_VALUE"""),"₱ 59,500.00")</f>
        <v>₱ 59,500.00</v>
      </c>
      <c r="E1937" s="164" t="str">
        <f ca="1">IFERROR(__xludf.DUMMYFUNCTION("""COMPUTED_VALUE"""),"₱-")</f>
        <v>₱-</v>
      </c>
      <c r="F1937" s="164" t="str">
        <f ca="1">IFERROR(__xludf.DUMMYFUNCTION("""COMPUTED_VALUE"""),"2023-05-03-10202SP39-01")</f>
        <v>2023-05-03-10202SP39-01</v>
      </c>
      <c r="G1937" s="164"/>
      <c r="H1937" s="164" t="str">
        <f ca="1">IFERROR(__xludf.DUMMYFUNCTION("""COMPUTED_VALUE"""),"DERK LLOYD C. CABUHAL")</f>
        <v>DERK LLOYD C. CABUHAL</v>
      </c>
      <c r="I1937" s="164" t="str">
        <f ca="1">IFERROR(__xludf.DUMMYFUNCTION("""COMPUTED_VALUE"""),"SARPO")</f>
        <v>SARPO</v>
      </c>
      <c r="J1937" s="164" t="str">
        <f ca="1">IFERROR(__xludf.DUMMYFUNCTION("""COMPUTED_VALUE"""),"23-339")</f>
        <v>23-339</v>
      </c>
      <c r="K1937" s="164" t="str">
        <f ca="1">IFERROR(__xludf.DUMMYFUNCTION("""COMPUTED_VALUE"""),"DERK LLOYD C. CABUHAL")</f>
        <v>DERK LLOYD C. CABUHAL</v>
      </c>
      <c r="L1937" s="164" t="str">
        <f ca="1">IFERROR(__xludf.DUMMYFUNCTION("""COMPUTED_VALUE"""),"PBDD")</f>
        <v>PBDD</v>
      </c>
      <c r="M1937" s="164" t="str">
        <f ca="1">IFERROR(__xludf.DUMMYFUNCTION("""COMPUTED_VALUE"""),"SERVICEABLE")</f>
        <v>SERVICEABLE</v>
      </c>
      <c r="N1937" s="164"/>
    </row>
    <row r="1938" spans="1:14" ht="13.2" hidden="1">
      <c r="A1938" s="164" t="str">
        <f ca="1">IFERROR(__xludf.DUMMYFUNCTION("""COMPUTED_VALUE"""),"Region IV-B")</f>
        <v>Region IV-B</v>
      </c>
      <c r="B1938" s="164" t="str">
        <f ca="1">IFERROR(__xludf.DUMMYFUNCTION("""COMPUTED_VALUE"""),"Oriental Mindoro")</f>
        <v>Oriental Mindoro</v>
      </c>
      <c r="C1938" s="164" t="str">
        <f ca="1">IFERROR(__xludf.DUMMYFUNCTION("""COMPUTED_VALUE"""),"Laptop – (ACER EXTENSA EX215-55G i7)")</f>
        <v>Laptop – (ACER EXTENSA EX215-55G i7)</v>
      </c>
      <c r="D1938" s="164" t="str">
        <f ca="1">IFERROR(__xludf.DUMMYFUNCTION("""COMPUTED_VALUE"""),"₱ 59,500.00")</f>
        <v>₱ 59,500.00</v>
      </c>
      <c r="E1938" s="164" t="str">
        <f ca="1">IFERROR(__xludf.DUMMYFUNCTION("""COMPUTED_VALUE"""),"₱-")</f>
        <v>₱-</v>
      </c>
      <c r="F1938" s="164" t="str">
        <f ca="1">IFERROR(__xludf.DUMMYFUNCTION("""COMPUTED_VALUE"""),"2023-05-03-10201SP216-01")</f>
        <v>2023-05-03-10201SP216-01</v>
      </c>
      <c r="G1938" s="164"/>
      <c r="H1938" s="164" t="str">
        <f ca="1">IFERROR(__xludf.DUMMYFUNCTION("""COMPUTED_VALUE"""),"PAGCALIWAGAN, MARIANNE L")</f>
        <v>PAGCALIWAGAN, MARIANNE L</v>
      </c>
      <c r="I1938" s="164" t="str">
        <f ca="1">IFERROR(__xludf.DUMMYFUNCTION("""COMPUTED_VALUE"""),"ARPO I")</f>
        <v>ARPO I</v>
      </c>
      <c r="J1938" s="164" t="str">
        <f ca="1">IFERROR(__xludf.DUMMYFUNCTION("""COMPUTED_VALUE"""),"23-315")</f>
        <v>23-315</v>
      </c>
      <c r="K1938" s="164" t="str">
        <f ca="1">IFERROR(__xludf.DUMMYFUNCTION("""COMPUTED_VALUE"""),"PAGCALIWAGAN, MARIANNE L")</f>
        <v>PAGCALIWAGAN, MARIANNE L</v>
      </c>
      <c r="L1938" s="164" t="str">
        <f ca="1">IFERROR(__xludf.DUMMYFUNCTION("""COMPUTED_VALUE"""),"LTSPD")</f>
        <v>LTSPD</v>
      </c>
      <c r="M1938" s="164" t="str">
        <f ca="1">IFERROR(__xludf.DUMMYFUNCTION("""COMPUTED_VALUE"""),"SERVICEABLE")</f>
        <v>SERVICEABLE</v>
      </c>
      <c r="N1938" s="164"/>
    </row>
    <row r="1939" spans="1:14" ht="13.2" hidden="1">
      <c r="A1939" s="164" t="str">
        <f ca="1">IFERROR(__xludf.DUMMYFUNCTION("""COMPUTED_VALUE"""),"Region IV-B")</f>
        <v>Region IV-B</v>
      </c>
      <c r="B1939" s="164" t="str">
        <f ca="1">IFERROR(__xludf.DUMMYFUNCTION("""COMPUTED_VALUE"""),"Oriental Mindoro")</f>
        <v>Oriental Mindoro</v>
      </c>
      <c r="C1939" s="164" t="str">
        <f ca="1">IFERROR(__xludf.DUMMYFUNCTION("""COMPUTED_VALUE"""),"Laptop – (ACER EXTENSA EX215-55G i7)")</f>
        <v>Laptop – (ACER EXTENSA EX215-55G i7)</v>
      </c>
      <c r="D1939" s="164" t="str">
        <f ca="1">IFERROR(__xludf.DUMMYFUNCTION("""COMPUTED_VALUE"""),"₱ 59,500.00")</f>
        <v>₱ 59,500.00</v>
      </c>
      <c r="E1939" s="164" t="str">
        <f ca="1">IFERROR(__xludf.DUMMYFUNCTION("""COMPUTED_VALUE"""),"₱-")</f>
        <v>₱-</v>
      </c>
      <c r="F1939" s="164" t="str">
        <f ca="1">IFERROR(__xludf.DUMMYFUNCTION("""COMPUTED_VALUE"""),"2023-05-03-10201SP217-01")</f>
        <v>2023-05-03-10201SP217-01</v>
      </c>
      <c r="G1939" s="164"/>
      <c r="H1939" s="164" t="str">
        <f ca="1">IFERROR(__xludf.DUMMYFUNCTION("""COMPUTED_VALUE"""),"ENGR. ROGELIO D. MADARCOS")</f>
        <v>ENGR. ROGELIO D. MADARCOS</v>
      </c>
      <c r="I1939" s="164" t="str">
        <f ca="1">IFERROR(__xludf.DUMMYFUNCTION("""COMPUTED_VALUE"""),"OIC-CARPO")</f>
        <v>OIC-CARPO</v>
      </c>
      <c r="J1939" s="164" t="str">
        <f ca="1">IFERROR(__xludf.DUMMYFUNCTION("""COMPUTED_VALUE"""),"23-316")</f>
        <v>23-316</v>
      </c>
      <c r="K1939" s="164" t="str">
        <f ca="1">IFERROR(__xludf.DUMMYFUNCTION("""COMPUTED_VALUE"""),"ENGR. ROGELIO D. MADARCOS")</f>
        <v>ENGR. ROGELIO D. MADARCOS</v>
      </c>
      <c r="L1939" s="164" t="str">
        <f ca="1">IFERROR(__xludf.DUMMYFUNCTION("""COMPUTED_VALUE"""),"PARPO II")</f>
        <v>PARPO II</v>
      </c>
      <c r="M1939" s="164" t="str">
        <f ca="1">IFERROR(__xludf.DUMMYFUNCTION("""COMPUTED_VALUE"""),"SERVICEABLE")</f>
        <v>SERVICEABLE</v>
      </c>
      <c r="N1939" s="164"/>
    </row>
    <row r="1940" spans="1:14" ht="13.2" hidden="1">
      <c r="A1940" s="164" t="str">
        <f ca="1">IFERROR(__xludf.DUMMYFUNCTION("""COMPUTED_VALUE"""),"Region IV-B")</f>
        <v>Region IV-B</v>
      </c>
      <c r="B1940" s="164" t="str">
        <f ca="1">IFERROR(__xludf.DUMMYFUNCTION("""COMPUTED_VALUE"""),"Palawan")</f>
        <v>Palawan</v>
      </c>
      <c r="C1940" s="164" t="str">
        <f ca="1">IFERROR(__xludf.DUMMYFUNCTION("""COMPUTED_VALUE"""),"Photocopier Machine – Kyocera")</f>
        <v>Photocopier Machine – Kyocera</v>
      </c>
      <c r="D1940" s="164" t="str">
        <f ca="1">IFERROR(__xludf.DUMMYFUNCTION("""COMPUTED_VALUE"""),"₱ 84,500.00")</f>
        <v>₱ 84,500.00</v>
      </c>
      <c r="E1940" s="164" t="str">
        <f ca="1">IFERROR(__xludf.DUMMYFUNCTION("""COMPUTED_VALUE"""),"₱-")</f>
        <v>₱-</v>
      </c>
      <c r="F1940" s="164" t="str">
        <f ca="1">IFERROR(__xludf.DUMMYFUNCTION("""COMPUTED_VALUE"""),"2022-05-02-10202SP37-01")</f>
        <v>2022-05-02-10202SP37-01</v>
      </c>
      <c r="G1940" s="164"/>
      <c r="H1940" s="164" t="str">
        <f ca="1">IFERROR(__xludf.DUMMYFUNCTION("""COMPUTED_VALUE"""),"NOEMI D. SARSAGAT")</f>
        <v>NOEMI D. SARSAGAT</v>
      </c>
      <c r="I1940" s="164" t="str">
        <f ca="1">IFERROR(__xludf.DUMMYFUNCTION("""COMPUTED_VALUE"""),"CARPO")</f>
        <v>CARPO</v>
      </c>
      <c r="J1940" s="164" t="str">
        <f ca="1">IFERROR(__xludf.DUMMYFUNCTION("""COMPUTED_VALUE"""),"2023-08-020")</f>
        <v>2023-08-020</v>
      </c>
      <c r="K1940" s="164" t="str">
        <f ca="1">IFERROR(__xludf.DUMMYFUNCTION("""COMPUTED_VALUE"""),"SPLIT-PPMO")</f>
        <v>SPLIT-PPMO</v>
      </c>
      <c r="L1940" s="164" t="str">
        <f ca="1">IFERROR(__xludf.DUMMYFUNCTION("""COMPUTED_VALUE"""),"LTSPD")</f>
        <v>LTSPD</v>
      </c>
      <c r="M1940" s="164" t="str">
        <f ca="1">IFERROR(__xludf.DUMMYFUNCTION("""COMPUTED_VALUE"""),"SERVICEABLE")</f>
        <v>SERVICEABLE</v>
      </c>
      <c r="N1940" s="164"/>
    </row>
    <row r="1941" spans="1:14" ht="13.2" hidden="1">
      <c r="A1941" s="164" t="str">
        <f ca="1">IFERROR(__xludf.DUMMYFUNCTION("""COMPUTED_VALUE"""),"Region IV-B")</f>
        <v>Region IV-B</v>
      </c>
      <c r="B1941" s="164" t="str">
        <f ca="1">IFERROR(__xludf.DUMMYFUNCTION("""COMPUTED_VALUE"""),"Romblon")</f>
        <v>Romblon</v>
      </c>
      <c r="C1941" s="164" t="str">
        <f ca="1">IFERROR(__xludf.DUMMYFUNCTION("""COMPUTED_VALUE"""),"Desktop Computer – (MSI PRO DP180)")</f>
        <v>Desktop Computer – (MSI PRO DP180)</v>
      </c>
      <c r="D1941" s="164" t="str">
        <f ca="1">IFERROR(__xludf.DUMMYFUNCTION("""COMPUTED_VALUE"""),"₱ 49,300.00")</f>
        <v>₱ 49,300.00</v>
      </c>
      <c r="E1941" s="164"/>
      <c r="F1941" s="164" t="str">
        <f ca="1">IFERROR(__xludf.DUMMYFUNCTION("""COMPUTED_VALUE"""),"HVSPLIT-102-24-05-01-400")</f>
        <v>HVSPLIT-102-24-05-01-400</v>
      </c>
      <c r="G1941" s="164"/>
      <c r="H1941" s="164" t="str">
        <f ca="1">IFERROR(__xludf.DUMMYFUNCTION("""COMPUTED_VALUE"""),"FELINO DAVID MAGALLON")</f>
        <v>FELINO DAVID MAGALLON</v>
      </c>
      <c r="I1941" s="164" t="str">
        <f ca="1">IFERROR(__xludf.DUMMYFUNCTION("""COMPUTED_VALUE"""),"LTS/CARETAKER/SARPO")</f>
        <v>LTS/CARETAKER/SARPO</v>
      </c>
      <c r="J1941" s="164"/>
      <c r="K1941" s="164" t="str">
        <f ca="1">IFERROR(__xludf.DUMMYFUNCTION("""COMPUTED_VALUE"""),"FELINO DAVID MAGALLON")</f>
        <v>FELINO DAVID MAGALLON</v>
      </c>
      <c r="L1941" s="164" t="str">
        <f ca="1">IFERROR(__xludf.DUMMYFUNCTION("""COMPUTED_VALUE"""),"LTSPD")</f>
        <v>LTSPD</v>
      </c>
      <c r="M1941" s="164" t="str">
        <f ca="1">IFERROR(__xludf.DUMMYFUNCTION("""COMPUTED_VALUE"""),"SERVICEABLE")</f>
        <v>SERVICEABLE</v>
      </c>
      <c r="N1941" s="164"/>
    </row>
    <row r="1942" spans="1:14" ht="13.2" hidden="1">
      <c r="A1942" s="164" t="str">
        <f ca="1">IFERROR(__xludf.DUMMYFUNCTION("""COMPUTED_VALUE"""),"Region IV-B")</f>
        <v>Region IV-B</v>
      </c>
      <c r="B1942" s="164" t="str">
        <f ca="1">IFERROR(__xludf.DUMMYFUNCTION("""COMPUTED_VALUE"""),"Romblon")</f>
        <v>Romblon</v>
      </c>
      <c r="C1942" s="164" t="str">
        <f ca="1">IFERROR(__xludf.DUMMYFUNCTION("""COMPUTED_VALUE"""),"Desktop Computer – (MSI PRO DP180)")</f>
        <v>Desktop Computer – (MSI PRO DP180)</v>
      </c>
      <c r="D1942" s="164" t="str">
        <f ca="1">IFERROR(__xludf.DUMMYFUNCTION("""COMPUTED_VALUE"""),"₱ 49,300.00")</f>
        <v>₱ 49,300.00</v>
      </c>
      <c r="E1942" s="164"/>
      <c r="F1942" s="164" t="str">
        <f ca="1">IFERROR(__xludf.DUMMYFUNCTION("""COMPUTED_VALUE"""),"HVSPLIT-102-24-05-01-399")</f>
        <v>HVSPLIT-102-24-05-01-399</v>
      </c>
      <c r="G1942" s="164"/>
      <c r="H1942" s="164" t="str">
        <f ca="1">IFERROR(__xludf.DUMMYFUNCTION("""COMPUTED_VALUE"""),"IRENE B. MAULLON")</f>
        <v>IRENE B. MAULLON</v>
      </c>
      <c r="I1942" s="164" t="str">
        <f ca="1">IFERROR(__xludf.DUMMYFUNCTION("""COMPUTED_VALUE"""),"LEGAL STAFF")</f>
        <v>LEGAL STAFF</v>
      </c>
      <c r="J1942" s="164"/>
      <c r="K1942" s="164" t="str">
        <f ca="1">IFERROR(__xludf.DUMMYFUNCTION("""COMPUTED_VALUE"""),"IRENE B. MAULLON")</f>
        <v>IRENE B. MAULLON</v>
      </c>
      <c r="L1942" s="164" t="str">
        <f ca="1">IFERROR(__xludf.DUMMYFUNCTION("""COMPUTED_VALUE"""),"LEGAL")</f>
        <v>LEGAL</v>
      </c>
      <c r="M1942" s="164" t="str">
        <f ca="1">IFERROR(__xludf.DUMMYFUNCTION("""COMPUTED_VALUE"""),"SERVICEABLE")</f>
        <v>SERVICEABLE</v>
      </c>
      <c r="N1942" s="164"/>
    </row>
    <row r="1943" spans="1:14" ht="13.2" hidden="1">
      <c r="A1943" s="164" t="str">
        <f ca="1">IFERROR(__xludf.DUMMYFUNCTION("""COMPUTED_VALUE"""),"Region IV-B")</f>
        <v>Region IV-B</v>
      </c>
      <c r="B1943" s="164" t="str">
        <f ca="1">IFERROR(__xludf.DUMMYFUNCTION("""COMPUTED_VALUE"""),"Romblon")</f>
        <v>Romblon</v>
      </c>
      <c r="C1943" s="164" t="str">
        <f ca="1">IFERROR(__xludf.DUMMYFUNCTION("""COMPUTED_VALUE"""),"Photocopier Machine – Kyocera")</f>
        <v>Photocopier Machine – Kyocera</v>
      </c>
      <c r="D1943" s="164" t="str">
        <f ca="1">IFERROR(__xludf.DUMMYFUNCTION("""COMPUTED_VALUE"""),"₱ 84,500.00")</f>
        <v>₱ 84,500.00</v>
      </c>
      <c r="E1943" s="164" t="str">
        <f ca="1">IFERROR(__xludf.DUMMYFUNCTION("""COMPUTED_VALUE"""),"₱-")</f>
        <v>₱-</v>
      </c>
      <c r="F1943" s="164" t="str">
        <f ca="1">IFERROR(__xludf.DUMMYFUNCTION("""COMPUTED_VALUE"""),"2022-05-02-10202SP36-01")</f>
        <v>2022-05-02-10202SP36-01</v>
      </c>
      <c r="G1943" s="164"/>
      <c r="H1943" s="164" t="str">
        <f ca="1">IFERROR(__xludf.DUMMYFUNCTION("""COMPUTED_VALUE"""),"FELINO DAVID MAGALLON")</f>
        <v>FELINO DAVID MAGALLON</v>
      </c>
      <c r="I1943" s="164" t="str">
        <f ca="1">IFERROR(__xludf.DUMMYFUNCTION("""COMPUTED_VALUE"""),"LTS/CARETAKER/SARPO")</f>
        <v>LTS/CARETAKER/SARPO</v>
      </c>
      <c r="J1943" s="164" t="str">
        <f ca="1">IFERROR(__xludf.DUMMYFUNCTION("""COMPUTED_VALUE"""),"2022-11-001")</f>
        <v>2022-11-001</v>
      </c>
      <c r="K1943" s="164" t="str">
        <f ca="1">IFERROR(__xludf.DUMMYFUNCTION("""COMPUTED_VALUE"""),"FELINO DAVID MAGALLON")</f>
        <v>FELINO DAVID MAGALLON</v>
      </c>
      <c r="L1943" s="164" t="str">
        <f ca="1">IFERROR(__xludf.DUMMYFUNCTION("""COMPUTED_VALUE"""),"LTSPD")</f>
        <v>LTSPD</v>
      </c>
      <c r="M1943" s="164" t="str">
        <f ca="1">IFERROR(__xludf.DUMMYFUNCTION("""COMPUTED_VALUE"""),"SERVICEABLE")</f>
        <v>SERVICEABLE</v>
      </c>
      <c r="N1943" s="164"/>
    </row>
    <row r="1944" spans="1:14" ht="13.2" hidden="1">
      <c r="A1944" s="164" t="str">
        <f ca="1">IFERROR(__xludf.DUMMYFUNCTION("""COMPUTED_VALUE"""),"Region IV-B")</f>
        <v>Region IV-B</v>
      </c>
      <c r="B1944" s="164" t="str">
        <f ca="1">IFERROR(__xludf.DUMMYFUNCTION("""COMPUTED_VALUE"""),"Marinduque")</f>
        <v>Marinduque</v>
      </c>
      <c r="C1944" s="164" t="str">
        <f ca="1">IFERROR(__xludf.DUMMYFUNCTION("""COMPUTED_VALUE"""),"Photocopier Machine – Kyocera")</f>
        <v>Photocopier Machine – Kyocera</v>
      </c>
      <c r="D1944" s="164" t="str">
        <f ca="1">IFERROR(__xludf.DUMMYFUNCTION("""COMPUTED_VALUE"""),"₱ 84,500.00")</f>
        <v>₱ 84,500.00</v>
      </c>
      <c r="E1944" s="164" t="str">
        <f ca="1">IFERROR(__xludf.DUMMYFUNCTION("""COMPUTED_VALUE"""),"₱-")</f>
        <v>₱-</v>
      </c>
      <c r="F1944" s="164" t="str">
        <f ca="1">IFERROR(__xludf.DUMMYFUNCTION("""COMPUTED_VALUE"""),"2022-05-02-10202SP35-01")</f>
        <v>2022-05-02-10202SP35-01</v>
      </c>
      <c r="G1944" s="164"/>
      <c r="H1944" s="164" t="str">
        <f ca="1">IFERROR(__xludf.DUMMYFUNCTION("""COMPUTED_VALUE"""),"SALVADOR M. JAMILLA JR.")</f>
        <v>SALVADOR M. JAMILLA JR.</v>
      </c>
      <c r="I1944" s="164" t="str">
        <f ca="1">IFERROR(__xludf.DUMMYFUNCTION("""COMPUTED_VALUE"""),"OIC-CARPO")</f>
        <v>OIC-CARPO</v>
      </c>
      <c r="J1944" s="164" t="str">
        <f ca="1">IFERROR(__xludf.DUMMYFUNCTION("""COMPUTED_VALUE"""),"2022-06-01")</f>
        <v>2022-06-01</v>
      </c>
      <c r="K1944" s="164" t="str">
        <f ca="1">IFERROR(__xludf.DUMMYFUNCTION("""COMPUTED_VALUE"""),"SALVADOR M. JAMILLA")</f>
        <v>SALVADOR M. JAMILLA</v>
      </c>
      <c r="L1944" s="164" t="str">
        <f ca="1">IFERROR(__xludf.DUMMYFUNCTION("""COMPUTED_VALUE"""),"LTSPD")</f>
        <v>LTSPD</v>
      </c>
      <c r="M1944" s="164" t="str">
        <f ca="1">IFERROR(__xludf.DUMMYFUNCTION("""COMPUTED_VALUE"""),"SERVICEABLE")</f>
        <v>SERVICEABLE</v>
      </c>
      <c r="N1944" s="164"/>
    </row>
    <row r="1945" spans="1:14" ht="13.2" hidden="1">
      <c r="A1945" s="164" t="str">
        <f ca="1">IFERROR(__xludf.DUMMYFUNCTION("""COMPUTED_VALUE"""),"Region IV-B")</f>
        <v>Region IV-B</v>
      </c>
      <c r="B1945" s="164" t="str">
        <f ca="1">IFERROR(__xludf.DUMMYFUNCTION("""COMPUTED_VALUE"""),"Occidental Mindoro")</f>
        <v>Occidental Mindoro</v>
      </c>
      <c r="C1945" s="164" t="str">
        <f ca="1">IFERROR(__xludf.DUMMYFUNCTION("""COMPUTED_VALUE"""),"Photocopier Machine – Kyocera")</f>
        <v>Photocopier Machine – Kyocera</v>
      </c>
      <c r="D1945" s="164" t="str">
        <f ca="1">IFERROR(__xludf.DUMMYFUNCTION("""COMPUTED_VALUE"""),"₱ 84,500.00")</f>
        <v>₱ 84,500.00</v>
      </c>
      <c r="E1945" s="164" t="str">
        <f ca="1">IFERROR(__xludf.DUMMYFUNCTION("""COMPUTED_VALUE"""),"₱-")</f>
        <v>₱-</v>
      </c>
      <c r="F1945" s="164" t="str">
        <f ca="1">IFERROR(__xludf.DUMMYFUNCTION("""COMPUTED_VALUE"""),"2022-05-02-10202SP33-01")</f>
        <v>2022-05-02-10202SP33-01</v>
      </c>
      <c r="G1945" s="164"/>
      <c r="H1945" s="164" t="str">
        <f ca="1">IFERROR(__xludf.DUMMYFUNCTION("""COMPUTED_VALUE"""),"RODRIGO P. MAZO")</f>
        <v>RODRIGO P. MAZO</v>
      </c>
      <c r="I1945" s="164" t="str">
        <f ca="1">IFERROR(__xludf.DUMMYFUNCTION("""COMPUTED_VALUE"""),"AO IV")</f>
        <v>AO IV</v>
      </c>
      <c r="J1945" s="164" t="str">
        <f ca="1">IFERROR(__xludf.DUMMYFUNCTION("""COMPUTED_VALUE"""),"2022-11-0001")</f>
        <v>2022-11-0001</v>
      </c>
      <c r="K1945" s="164" t="str">
        <f ca="1">IFERROR(__xludf.DUMMYFUNCTION("""COMPUTED_VALUE"""),"RODRIGO P. MAZO")</f>
        <v>RODRIGO P. MAZO</v>
      </c>
      <c r="L1945" s="164" t="str">
        <f ca="1">IFERROR(__xludf.DUMMYFUNCTION("""COMPUTED_VALUE"""),"PARPO'S OFFICE")</f>
        <v>PARPO'S OFFICE</v>
      </c>
      <c r="M1945" s="164" t="str">
        <f ca="1">IFERROR(__xludf.DUMMYFUNCTION("""COMPUTED_VALUE"""),"SERVICEABLE")</f>
        <v>SERVICEABLE</v>
      </c>
      <c r="N1945" s="164"/>
    </row>
    <row r="1946" spans="1:14" ht="13.2" hidden="1">
      <c r="A1946" s="164" t="str">
        <f ca="1">IFERROR(__xludf.DUMMYFUNCTION("""COMPUTED_VALUE"""),"Region IV-B")</f>
        <v>Region IV-B</v>
      </c>
      <c r="B1946" s="164" t="str">
        <f ca="1">IFERROR(__xludf.DUMMYFUNCTION("""COMPUTED_VALUE"""),"Oriental Mindoro")</f>
        <v>Oriental Mindoro</v>
      </c>
      <c r="C1946" s="164" t="str">
        <f ca="1">IFERROR(__xludf.DUMMYFUNCTION("""COMPUTED_VALUE"""),"Photocopier Machine – Kyocera")</f>
        <v>Photocopier Machine – Kyocera</v>
      </c>
      <c r="D1946" s="164" t="str">
        <f ca="1">IFERROR(__xludf.DUMMYFUNCTION("""COMPUTED_VALUE"""),"₱ 84,500.00")</f>
        <v>₱ 84,500.00</v>
      </c>
      <c r="E1946" s="164" t="str">
        <f ca="1">IFERROR(__xludf.DUMMYFUNCTION("""COMPUTED_VALUE"""),"₱-")</f>
        <v>₱-</v>
      </c>
      <c r="F1946" s="164" t="str">
        <f ca="1">IFERROR(__xludf.DUMMYFUNCTION("""COMPUTED_VALUE"""),"2022-05-02-10202SP34-01")</f>
        <v>2022-05-02-10202SP34-01</v>
      </c>
      <c r="G1946" s="164"/>
      <c r="H1946" s="164" t="str">
        <f ca="1">IFERROR(__xludf.DUMMYFUNCTION("""COMPUTED_VALUE"""),"ENGR. ROGELIO D. MADARCOS")</f>
        <v>ENGR. ROGELIO D. MADARCOS</v>
      </c>
      <c r="I1946" s="164" t="str">
        <f ca="1">IFERROR(__xludf.DUMMYFUNCTION("""COMPUTED_VALUE"""),"PARPO II/OIC-CARPO LTID")</f>
        <v>PARPO II/OIC-CARPO LTID</v>
      </c>
      <c r="J1946" s="164" t="str">
        <f ca="1">IFERROR(__xludf.DUMMYFUNCTION("""COMPUTED_VALUE"""),"23-022")</f>
        <v>23-022</v>
      </c>
      <c r="K1946" s="164" t="str">
        <f ca="1">IFERROR(__xludf.DUMMYFUNCTION("""COMPUTED_VALUE"""),"ENGR. ROGELIO D. MADARCOS")</f>
        <v>ENGR. ROGELIO D. MADARCOS</v>
      </c>
      <c r="L1946" s="164" t="str">
        <f ca="1">IFERROR(__xludf.DUMMYFUNCTION("""COMPUTED_VALUE"""),"LTSPD")</f>
        <v>LTSPD</v>
      </c>
      <c r="M1946" s="164" t="str">
        <f ca="1">IFERROR(__xludf.DUMMYFUNCTION("""COMPUTED_VALUE"""),"SERVICEABLE")</f>
        <v>SERVICEABLE</v>
      </c>
      <c r="N1946" s="164"/>
    </row>
    <row r="1947" spans="1:14" ht="13.2" hidden="1">
      <c r="A1947" s="164" t="str">
        <f ca="1">IFERROR(__xludf.DUMMYFUNCTION("""COMPUTED_VALUE"""),"Region IV-B")</f>
        <v>Region IV-B</v>
      </c>
      <c r="B1947" s="164" t="str">
        <f ca="1">IFERROR(__xludf.DUMMYFUNCTION("""COMPUTED_VALUE"""),"Occidental Mindoro")</f>
        <v>Occidental Mindoro</v>
      </c>
      <c r="C1947" s="164" t="str">
        <f ca="1">IFERROR(__xludf.DUMMYFUNCTION("""COMPUTED_VALUE"""),"Desktop Computer – (MSI PRO DP180)")</f>
        <v>Desktop Computer – (MSI PRO DP180)</v>
      </c>
      <c r="D1947" s="164" t="str">
        <f ca="1">IFERROR(__xludf.DUMMYFUNCTION("""COMPUTED_VALUE"""),"₱ 49,300.00")</f>
        <v>₱ 49,300.00</v>
      </c>
      <c r="E1947" s="164"/>
      <c r="F1947" s="164" t="str">
        <f ca="1">IFERROR(__xludf.DUMMYFUNCTION("""COMPUTED_VALUE"""),"HVSPLIT-102-247-05-01-404")</f>
        <v>HVSPLIT-102-247-05-01-404</v>
      </c>
      <c r="G1947" s="164"/>
      <c r="H1947" s="164" t="str">
        <f ca="1">IFERROR(__xludf.DUMMYFUNCTION("""COMPUTED_VALUE"""),"A VICTORIA SANTOS")</f>
        <v>A VICTORIA SANTOS</v>
      </c>
      <c r="I1947" s="164" t="str">
        <f ca="1">IFERROR(__xludf.DUMMYFUNCTION("""COMPUTED_VALUE"""),"ARPT")</f>
        <v>ARPT</v>
      </c>
      <c r="J1947" s="164"/>
      <c r="K1947" s="164" t="str">
        <f ca="1">IFERROR(__xludf.DUMMYFUNCTION("""COMPUTED_VALUE"""),"A VICTORIA SANTOS")</f>
        <v>A VICTORIA SANTOS</v>
      </c>
      <c r="L1947" s="164" t="str">
        <f ca="1">IFERROR(__xludf.DUMMYFUNCTION("""COMPUTED_VALUE"""),"FOD")</f>
        <v>FOD</v>
      </c>
      <c r="M1947" s="164" t="str">
        <f ca="1">IFERROR(__xludf.DUMMYFUNCTION("""COMPUTED_VALUE"""),"SERVICEABLE")</f>
        <v>SERVICEABLE</v>
      </c>
      <c r="N1947" s="164"/>
    </row>
    <row r="1948" spans="1:14" ht="13.2" hidden="1">
      <c r="A1948" s="164" t="str">
        <f ca="1">IFERROR(__xludf.DUMMYFUNCTION("""COMPUTED_VALUE"""),"Region IV-B")</f>
        <v>Region IV-B</v>
      </c>
      <c r="B1948" s="164" t="str">
        <f ca="1">IFERROR(__xludf.DUMMYFUNCTION("""COMPUTED_VALUE"""),"Occidental Mindoro")</f>
        <v>Occidental Mindoro</v>
      </c>
      <c r="C1948" s="164" t="str">
        <f ca="1">IFERROR(__xludf.DUMMYFUNCTION("""COMPUTED_VALUE"""),"Desktop Computer – (MSI PRO DP180)")</f>
        <v>Desktop Computer – (MSI PRO DP180)</v>
      </c>
      <c r="D1948" s="164" t="str">
        <f ca="1">IFERROR(__xludf.DUMMYFUNCTION("""COMPUTED_VALUE"""),"₱ 49,300.00")</f>
        <v>₱ 49,300.00</v>
      </c>
      <c r="E1948" s="164"/>
      <c r="F1948" s="164" t="str">
        <f ca="1">IFERROR(__xludf.DUMMYFUNCTION("""COMPUTED_VALUE"""),"HVSPLIT-102-247-05-01-405")</f>
        <v>HVSPLIT-102-247-05-01-405</v>
      </c>
      <c r="G1948" s="164"/>
      <c r="H1948" s="164" t="str">
        <f ca="1">IFERROR(__xludf.DUMMYFUNCTION("""COMPUTED_VALUE"""),"NANCY ALMINANZA")</f>
        <v>NANCY ALMINANZA</v>
      </c>
      <c r="I1948" s="164" t="str">
        <f ca="1">IFERROR(__xludf.DUMMYFUNCTION("""COMPUTED_VALUE"""),"ARPT")</f>
        <v>ARPT</v>
      </c>
      <c r="J1948" s="164"/>
      <c r="K1948" s="164" t="str">
        <f ca="1">IFERROR(__xludf.DUMMYFUNCTION("""COMPUTED_VALUE"""),"NANCY ALMINANZA")</f>
        <v>NANCY ALMINANZA</v>
      </c>
      <c r="L1948" s="164" t="str">
        <f ca="1">IFERROR(__xludf.DUMMYFUNCTION("""COMPUTED_VALUE"""),"FOD")</f>
        <v>FOD</v>
      </c>
      <c r="M1948" s="164" t="str">
        <f ca="1">IFERROR(__xludf.DUMMYFUNCTION("""COMPUTED_VALUE"""),"SERVICEABLE")</f>
        <v>SERVICEABLE</v>
      </c>
      <c r="N1948" s="164"/>
    </row>
    <row r="1949" spans="1:14" ht="13.2" hidden="1">
      <c r="A1949" s="164" t="str">
        <f ca="1">IFERROR(__xludf.DUMMYFUNCTION("""COMPUTED_VALUE"""),"Region IV-B")</f>
        <v>Region IV-B</v>
      </c>
      <c r="B1949" s="164" t="str">
        <f ca="1">IFERROR(__xludf.DUMMYFUNCTION("""COMPUTED_VALUE"""),"Regional Office")</f>
        <v>Regional Office</v>
      </c>
      <c r="C1949" s="164" t="str">
        <f ca="1">IFERROR(__xludf.DUMMYFUNCTION("""COMPUTED_VALUE"""),"Desktop Computer – (MSI PRO DP180)")</f>
        <v>Desktop Computer – (MSI PRO DP180)</v>
      </c>
      <c r="D1949" s="164" t="str">
        <f ca="1">IFERROR(__xludf.DUMMYFUNCTION("""COMPUTED_VALUE"""),"₱ 49,300.00")</f>
        <v>₱ 49,300.00</v>
      </c>
      <c r="E1949" s="164"/>
      <c r="F1949" s="164" t="str">
        <f ca="1">IFERROR(__xludf.DUMMYFUNCTION("""COMPUTED_VALUE"""),"HVSPLIT-102-247-05-01-406")</f>
        <v>HVSPLIT-102-247-05-01-406</v>
      </c>
      <c r="G1949" s="164"/>
      <c r="H1949" s="164"/>
      <c r="I1949" s="164"/>
      <c r="J1949" s="164"/>
      <c r="K1949" s="164"/>
      <c r="L1949" s="164"/>
      <c r="M1949" s="164"/>
      <c r="N1949" s="164"/>
    </row>
    <row r="1950" spans="1:14" ht="13.2" hidden="1">
      <c r="A1950" s="164" t="str">
        <f ca="1">IFERROR(__xludf.DUMMYFUNCTION("""COMPUTED_VALUE"""),"Region IV-B")</f>
        <v>Region IV-B</v>
      </c>
      <c r="B1950" s="164" t="str">
        <f ca="1">IFERROR(__xludf.DUMMYFUNCTION("""COMPUTED_VALUE"""),"Regional Office")</f>
        <v>Regional Office</v>
      </c>
      <c r="C1950" s="164" t="str">
        <f ca="1">IFERROR(__xludf.DUMMYFUNCTION("""COMPUTED_VALUE"""),"Desktop Computer – (MSI PRO DP180)")</f>
        <v>Desktop Computer – (MSI PRO DP180)</v>
      </c>
      <c r="D1950" s="164" t="str">
        <f ca="1">IFERROR(__xludf.DUMMYFUNCTION("""COMPUTED_VALUE"""),"₱ 49,300.00")</f>
        <v>₱ 49,300.00</v>
      </c>
      <c r="E1950" s="164"/>
      <c r="F1950" s="164" t="str">
        <f ca="1">IFERROR(__xludf.DUMMYFUNCTION("""COMPUTED_VALUE"""),"HVSPLIT-102-247-05-01-407")</f>
        <v>HVSPLIT-102-247-05-01-407</v>
      </c>
      <c r="G1950" s="164"/>
      <c r="H1950" s="164"/>
      <c r="I1950" s="164"/>
      <c r="J1950" s="164"/>
      <c r="K1950" s="164"/>
      <c r="L1950" s="164"/>
      <c r="M1950" s="164"/>
      <c r="N1950" s="164"/>
    </row>
    <row r="1951" spans="1:14" ht="13.2" hidden="1">
      <c r="A1951" s="164" t="str">
        <f ca="1">IFERROR(__xludf.DUMMYFUNCTION("""COMPUTED_VALUE"""),"Region IV-B")</f>
        <v>Region IV-B</v>
      </c>
      <c r="B1951" s="164" t="str">
        <f ca="1">IFERROR(__xludf.DUMMYFUNCTION("""COMPUTED_VALUE"""),"Regional Office")</f>
        <v>Regional Office</v>
      </c>
      <c r="C1951" s="164" t="str">
        <f ca="1">IFERROR(__xludf.DUMMYFUNCTION("""COMPUTED_VALUE"""),"Desktop Computer – (MSI PRO DP180)")</f>
        <v>Desktop Computer – (MSI PRO DP180)</v>
      </c>
      <c r="D1951" s="164" t="str">
        <f ca="1">IFERROR(__xludf.DUMMYFUNCTION("""COMPUTED_VALUE"""),"₱ 49,300.00")</f>
        <v>₱ 49,300.00</v>
      </c>
      <c r="E1951" s="164"/>
      <c r="F1951" s="164" t="str">
        <f ca="1">IFERROR(__xludf.DUMMYFUNCTION("""COMPUTED_VALUE"""),"HVSPLIT-102-247-05-01-408")</f>
        <v>HVSPLIT-102-247-05-01-408</v>
      </c>
      <c r="G1951" s="164"/>
      <c r="H1951" s="164"/>
      <c r="I1951" s="164"/>
      <c r="J1951" s="164"/>
      <c r="K1951" s="164"/>
      <c r="L1951" s="164"/>
      <c r="M1951" s="164"/>
      <c r="N1951" s="164"/>
    </row>
    <row r="1952" spans="1:14" ht="13.2" hidden="1">
      <c r="A1952" s="164" t="str">
        <f ca="1">IFERROR(__xludf.DUMMYFUNCTION("""COMPUTED_VALUE"""),"Region IV-B")</f>
        <v>Region IV-B</v>
      </c>
      <c r="B1952" s="164" t="str">
        <f ca="1">IFERROR(__xludf.DUMMYFUNCTION("""COMPUTED_VALUE"""),"Regional Office")</f>
        <v>Regional Office</v>
      </c>
      <c r="C1952" s="164" t="str">
        <f ca="1">IFERROR(__xludf.DUMMYFUNCTION("""COMPUTED_VALUE"""),"Desktop Computer – (MSI PRO DP180)")</f>
        <v>Desktop Computer – (MSI PRO DP180)</v>
      </c>
      <c r="D1952" s="164" t="str">
        <f ca="1">IFERROR(__xludf.DUMMYFUNCTION("""COMPUTED_VALUE"""),"₱ 49,300.00")</f>
        <v>₱ 49,300.00</v>
      </c>
      <c r="E1952" s="164"/>
      <c r="F1952" s="164" t="str">
        <f ca="1">IFERROR(__xludf.DUMMYFUNCTION("""COMPUTED_VALUE"""),"HVSPLIT-102-247-05-01-055")</f>
        <v>HVSPLIT-102-247-05-01-055</v>
      </c>
      <c r="G1952" s="164"/>
      <c r="H1952" s="164"/>
      <c r="I1952" s="164"/>
      <c r="J1952" s="164"/>
      <c r="K1952" s="164"/>
      <c r="L1952" s="164"/>
      <c r="M1952" s="164"/>
      <c r="N1952" s="164"/>
    </row>
    <row r="1953" spans="1:14" ht="13.2" hidden="1">
      <c r="A1953" s="164" t="str">
        <f ca="1">IFERROR(__xludf.DUMMYFUNCTION("""COMPUTED_VALUE"""),"Region IV-B")</f>
        <v>Region IV-B</v>
      </c>
      <c r="B1953" s="164" t="str">
        <f ca="1">IFERROR(__xludf.DUMMYFUNCTION("""COMPUTED_VALUE"""),"Regional Office")</f>
        <v>Regional Office</v>
      </c>
      <c r="C1953" s="164" t="str">
        <f ca="1">IFERROR(__xludf.DUMMYFUNCTION("""COMPUTED_VALUE"""),"Desktop Computer – (MSI PRO DP180)")</f>
        <v>Desktop Computer – (MSI PRO DP180)</v>
      </c>
      <c r="D1953" s="164" t="str">
        <f ca="1">IFERROR(__xludf.DUMMYFUNCTION("""COMPUTED_VALUE"""),"₱ 49,300.00")</f>
        <v>₱ 49,300.00</v>
      </c>
      <c r="E1953" s="164"/>
      <c r="F1953" s="164" t="str">
        <f ca="1">IFERROR(__xludf.DUMMYFUNCTION("""COMPUTED_VALUE"""),"HVSPLIT-102-247-05-01-054")</f>
        <v>HVSPLIT-102-247-05-01-054</v>
      </c>
      <c r="G1953" s="164"/>
      <c r="H1953" s="164"/>
      <c r="I1953" s="164"/>
      <c r="J1953" s="164"/>
      <c r="K1953" s="164"/>
      <c r="L1953" s="164"/>
      <c r="M1953" s="164"/>
      <c r="N1953" s="164"/>
    </row>
    <row r="1954" spans="1:14" ht="13.2" hidden="1">
      <c r="A1954" s="164" t="str">
        <f ca="1">IFERROR(__xludf.DUMMYFUNCTION("""COMPUTED_VALUE"""),"Region IV-B")</f>
        <v>Region IV-B</v>
      </c>
      <c r="B1954" s="164" t="str">
        <f ca="1">IFERROR(__xludf.DUMMYFUNCTION("""COMPUTED_VALUE"""),"Regional Office")</f>
        <v>Regional Office</v>
      </c>
      <c r="C1954" s="164" t="str">
        <f ca="1">IFERROR(__xludf.DUMMYFUNCTION("""COMPUTED_VALUE"""),"Desktop Computer – (MSI PRO DP180)")</f>
        <v>Desktop Computer – (MSI PRO DP180)</v>
      </c>
      <c r="D1954" s="164" t="str">
        <f ca="1">IFERROR(__xludf.DUMMYFUNCTION("""COMPUTED_VALUE"""),"₱ 49,300.00")</f>
        <v>₱ 49,300.00</v>
      </c>
      <c r="E1954" s="164"/>
      <c r="F1954" s="164" t="str">
        <f ca="1">IFERROR(__xludf.DUMMYFUNCTION("""COMPUTED_VALUE"""),"HVSPLIT-102-247-05-01-172")</f>
        <v>HVSPLIT-102-247-05-01-172</v>
      </c>
      <c r="G1954" s="164"/>
      <c r="H1954" s="164"/>
      <c r="I1954" s="164"/>
      <c r="J1954" s="164"/>
      <c r="K1954" s="164"/>
      <c r="L1954" s="164"/>
      <c r="M1954" s="164"/>
      <c r="N1954" s="164"/>
    </row>
    <row r="1955" spans="1:14" ht="13.2" hidden="1">
      <c r="A1955" s="164" t="str">
        <f ca="1">IFERROR(__xludf.DUMMYFUNCTION("""COMPUTED_VALUE"""),"Region IV-B")</f>
        <v>Region IV-B</v>
      </c>
      <c r="B1955" s="164" t="str">
        <f ca="1">IFERROR(__xludf.DUMMYFUNCTION("""COMPUTED_VALUE"""),"Regional Office")</f>
        <v>Regional Office</v>
      </c>
      <c r="C1955" s="164" t="str">
        <f ca="1">IFERROR(__xludf.DUMMYFUNCTION("""COMPUTED_VALUE"""),"Desktop Computer – (MSI PRO DP180)")</f>
        <v>Desktop Computer – (MSI PRO DP180)</v>
      </c>
      <c r="D1955" s="164" t="str">
        <f ca="1">IFERROR(__xludf.DUMMYFUNCTION("""COMPUTED_VALUE"""),"₱ 49,300.00")</f>
        <v>₱ 49,300.00</v>
      </c>
      <c r="E1955" s="164"/>
      <c r="F1955" s="164" t="str">
        <f ca="1">IFERROR(__xludf.DUMMYFUNCTION("""COMPUTED_VALUE"""),"HVSPLIT-102-247-05-01-393")</f>
        <v>HVSPLIT-102-247-05-01-393</v>
      </c>
      <c r="G1955" s="164"/>
      <c r="H1955" s="164"/>
      <c r="I1955" s="164"/>
      <c r="J1955" s="164"/>
      <c r="K1955" s="164"/>
      <c r="L1955" s="164"/>
      <c r="M1955" s="164"/>
      <c r="N1955" s="164"/>
    </row>
    <row r="1956" spans="1:14" ht="13.2" hidden="1">
      <c r="A1956" s="164" t="str">
        <f ca="1">IFERROR(__xludf.DUMMYFUNCTION("""COMPUTED_VALUE"""),"Region IV-B")</f>
        <v>Region IV-B</v>
      </c>
      <c r="B1956" s="164" t="str">
        <f ca="1">IFERROR(__xludf.DUMMYFUNCTION("""COMPUTED_VALUE"""),"Regional Office")</f>
        <v>Regional Office</v>
      </c>
      <c r="C1956" s="164" t="str">
        <f ca="1">IFERROR(__xludf.DUMMYFUNCTION("""COMPUTED_VALUE"""),"Desktop Computer – (MSI PRO DP180)")</f>
        <v>Desktop Computer – (MSI PRO DP180)</v>
      </c>
      <c r="D1956" s="164" t="str">
        <f ca="1">IFERROR(__xludf.DUMMYFUNCTION("""COMPUTED_VALUE"""),"₱ 49,300.00")</f>
        <v>₱ 49,300.00</v>
      </c>
      <c r="E1956" s="164"/>
      <c r="F1956" s="164" t="str">
        <f ca="1">IFERROR(__xludf.DUMMYFUNCTION("""COMPUTED_VALUE"""),"HVSPLIT-102-247-05-01-394")</f>
        <v>HVSPLIT-102-247-05-01-394</v>
      </c>
      <c r="G1956" s="164"/>
      <c r="H1956" s="164"/>
      <c r="I1956" s="164"/>
      <c r="J1956" s="164"/>
      <c r="K1956" s="164"/>
      <c r="L1956" s="164"/>
      <c r="M1956" s="164"/>
      <c r="N1956" s="164"/>
    </row>
    <row r="1957" spans="1:14" ht="13.2" hidden="1">
      <c r="A1957" s="164" t="str">
        <f ca="1">IFERROR(__xludf.DUMMYFUNCTION("""COMPUTED_VALUE"""),"Region IV-B")</f>
        <v>Region IV-B</v>
      </c>
      <c r="B1957" s="164" t="str">
        <f ca="1">IFERROR(__xludf.DUMMYFUNCTION("""COMPUTED_VALUE"""),"Regional Office")</f>
        <v>Regional Office</v>
      </c>
      <c r="C1957" s="164" t="str">
        <f ca="1">IFERROR(__xludf.DUMMYFUNCTION("""COMPUTED_VALUE"""),"Desktop Computer – (MSI PRO DP180)")</f>
        <v>Desktop Computer – (MSI PRO DP180)</v>
      </c>
      <c r="D1957" s="164" t="str">
        <f ca="1">IFERROR(__xludf.DUMMYFUNCTION("""COMPUTED_VALUE"""),"₱ 49,300.00")</f>
        <v>₱ 49,300.00</v>
      </c>
      <c r="E1957" s="164"/>
      <c r="F1957" s="164" t="str">
        <f ca="1">IFERROR(__xludf.DUMMYFUNCTION("""COMPUTED_VALUE"""),"HVSPLIT-102-247-05-01-395")</f>
        <v>HVSPLIT-102-247-05-01-395</v>
      </c>
      <c r="G1957" s="164"/>
      <c r="H1957" s="164"/>
      <c r="I1957" s="164"/>
      <c r="J1957" s="164"/>
      <c r="K1957" s="164"/>
      <c r="L1957" s="164"/>
      <c r="M1957" s="164"/>
      <c r="N1957" s="164"/>
    </row>
    <row r="1958" spans="1:14" ht="13.2" hidden="1">
      <c r="A1958" s="164" t="str">
        <f ca="1">IFERROR(__xludf.DUMMYFUNCTION("""COMPUTED_VALUE"""),"Region IV-B")</f>
        <v>Region IV-B</v>
      </c>
      <c r="B1958" s="164" t="str">
        <f ca="1">IFERROR(__xludf.DUMMYFUNCTION("""COMPUTED_VALUE"""),"Regional Office")</f>
        <v>Regional Office</v>
      </c>
      <c r="C1958" s="164" t="str">
        <f ca="1">IFERROR(__xludf.DUMMYFUNCTION("""COMPUTED_VALUE"""),"Desktop Computer – (MSI PRO DP180)")</f>
        <v>Desktop Computer – (MSI PRO DP180)</v>
      </c>
      <c r="D1958" s="164" t="str">
        <f ca="1">IFERROR(__xludf.DUMMYFUNCTION("""COMPUTED_VALUE"""),"₱ 49,300.00")</f>
        <v>₱ 49,300.00</v>
      </c>
      <c r="E1958" s="164"/>
      <c r="F1958" s="164" t="str">
        <f ca="1">IFERROR(__xludf.DUMMYFUNCTION("""COMPUTED_VALUE"""),"HVSPLIT-102-247-05-01-396")</f>
        <v>HVSPLIT-102-247-05-01-396</v>
      </c>
      <c r="G1958" s="164"/>
      <c r="H1958" s="164"/>
      <c r="I1958" s="164"/>
      <c r="J1958" s="164"/>
      <c r="K1958" s="164"/>
      <c r="L1958" s="164"/>
      <c r="M1958" s="164"/>
      <c r="N1958" s="164"/>
    </row>
    <row r="1959" spans="1:14" ht="13.2" hidden="1">
      <c r="A1959" s="164" t="str">
        <f ca="1">IFERROR(__xludf.DUMMYFUNCTION("""COMPUTED_VALUE"""),"Region IV-B")</f>
        <v>Region IV-B</v>
      </c>
      <c r="B1959" s="164" t="str">
        <f ca="1">IFERROR(__xludf.DUMMYFUNCTION("""COMPUTED_VALUE"""),"Regional Office")</f>
        <v>Regional Office</v>
      </c>
      <c r="C1959" s="164" t="str">
        <f ca="1">IFERROR(__xludf.DUMMYFUNCTION("""COMPUTED_VALUE"""),"Desktop Computer – (MSI PRO DP180)")</f>
        <v>Desktop Computer – (MSI PRO DP180)</v>
      </c>
      <c r="D1959" s="164" t="str">
        <f ca="1">IFERROR(__xludf.DUMMYFUNCTION("""COMPUTED_VALUE"""),"₱ 49,300.00")</f>
        <v>₱ 49,300.00</v>
      </c>
      <c r="E1959" s="164"/>
      <c r="F1959" s="164" t="str">
        <f ca="1">IFERROR(__xludf.DUMMYFUNCTION("""COMPUTED_VALUE"""),"HVSPLIT-102-247-05-01-397")</f>
        <v>HVSPLIT-102-247-05-01-397</v>
      </c>
      <c r="G1959" s="164"/>
      <c r="H1959" s="164"/>
      <c r="I1959" s="164"/>
      <c r="J1959" s="164"/>
      <c r="K1959" s="164"/>
      <c r="L1959" s="164"/>
      <c r="M1959" s="164"/>
      <c r="N1959" s="164"/>
    </row>
    <row r="1960" spans="1:14" ht="13.2" hidden="1">
      <c r="A1960" s="164" t="str">
        <f ca="1">IFERROR(__xludf.DUMMYFUNCTION("""COMPUTED_VALUE"""),"Region IV-B")</f>
        <v>Region IV-B</v>
      </c>
      <c r="B1960" s="164" t="str">
        <f ca="1">IFERROR(__xludf.DUMMYFUNCTION("""COMPUTED_VALUE"""),"Regional Office")</f>
        <v>Regional Office</v>
      </c>
      <c r="C1960" s="164" t="str">
        <f ca="1">IFERROR(__xludf.DUMMYFUNCTION("""COMPUTED_VALUE"""),"Desktop Computer – (MSI PRO DP180)")</f>
        <v>Desktop Computer – (MSI PRO DP180)</v>
      </c>
      <c r="D1960" s="164" t="str">
        <f ca="1">IFERROR(__xludf.DUMMYFUNCTION("""COMPUTED_VALUE"""),"₱ 49,300.00")</f>
        <v>₱ 49,300.00</v>
      </c>
      <c r="E1960" s="164"/>
      <c r="F1960" s="164" t="str">
        <f ca="1">IFERROR(__xludf.DUMMYFUNCTION("""COMPUTED_VALUE"""),"HVSPLIT-102-247-05-01-398")</f>
        <v>HVSPLIT-102-247-05-01-398</v>
      </c>
      <c r="G1960" s="164"/>
      <c r="H1960" s="164"/>
      <c r="I1960" s="164"/>
      <c r="J1960" s="164"/>
      <c r="K1960" s="164"/>
      <c r="L1960" s="164"/>
      <c r="M1960" s="164"/>
      <c r="N1960" s="164"/>
    </row>
    <row r="1961" spans="1:14" ht="13.2" hidden="1">
      <c r="A1961" s="164" t="str">
        <f ca="1">IFERROR(__xludf.DUMMYFUNCTION("""COMPUTED_VALUE"""),"Region IV-B")</f>
        <v>Region IV-B</v>
      </c>
      <c r="B1961" s="164" t="str">
        <f ca="1">IFERROR(__xludf.DUMMYFUNCTION("""COMPUTED_VALUE"""),"Regional Office")</f>
        <v>Regional Office</v>
      </c>
      <c r="C1961" s="164" t="str">
        <f ca="1">IFERROR(__xludf.DUMMYFUNCTION("""COMPUTED_VALUE"""),"Desktop Computer – (MSI PRO DP180)")</f>
        <v>Desktop Computer – (MSI PRO DP180)</v>
      </c>
      <c r="D1961" s="164" t="str">
        <f ca="1">IFERROR(__xludf.DUMMYFUNCTION("""COMPUTED_VALUE"""),"₱ 49,300.00")</f>
        <v>₱ 49,300.00</v>
      </c>
      <c r="E1961" s="164"/>
      <c r="F1961" s="164" t="str">
        <f ca="1">IFERROR(__xludf.DUMMYFUNCTION("""COMPUTED_VALUE"""),"HVSPLIT-102-247-05-01-403")</f>
        <v>HVSPLIT-102-247-05-01-403</v>
      </c>
      <c r="G1961" s="164"/>
      <c r="H1961" s="164"/>
      <c r="I1961" s="164"/>
      <c r="J1961" s="164"/>
      <c r="K1961" s="164"/>
      <c r="L1961" s="164"/>
      <c r="M1961" s="164"/>
      <c r="N1961" s="164"/>
    </row>
    <row r="1962" spans="1:14" ht="13.2" hidden="1">
      <c r="A1962" s="164" t="str">
        <f ca="1">IFERROR(__xludf.DUMMYFUNCTION("""COMPUTED_VALUE"""),"Region IV-B")</f>
        <v>Region IV-B</v>
      </c>
      <c r="B1962" s="164" t="str">
        <f ca="1">IFERROR(__xludf.DUMMYFUNCTION("""COMPUTED_VALUE"""),"Oriental Mindoro")</f>
        <v>Oriental Mindoro</v>
      </c>
      <c r="C1962" s="164" t="str">
        <f ca="1">IFERROR(__xludf.DUMMYFUNCTION("""COMPUTED_VALUE"""),"Desktop Computer – (MSI PRO DP180)")</f>
        <v>Desktop Computer – (MSI PRO DP180)</v>
      </c>
      <c r="D1962" s="164" t="str">
        <f ca="1">IFERROR(__xludf.DUMMYFUNCTION("""COMPUTED_VALUE"""),"₱ 49,300.00")</f>
        <v>₱ 49,300.00</v>
      </c>
      <c r="E1962" s="164"/>
      <c r="F1962" s="164" t="str">
        <f ca="1">IFERROR(__xludf.DUMMYFUNCTION("""COMPUTED_VALUE"""),"HVSPLIT-102-24-05-01-401")</f>
        <v>HVSPLIT-102-24-05-01-401</v>
      </c>
      <c r="G1962" s="164"/>
      <c r="H1962" s="164" t="str">
        <f ca="1">IFERROR(__xludf.DUMMYFUNCTION("""COMPUTED_VALUE"""),"LALAP, MARICEL P.")</f>
        <v>LALAP, MARICEL P.</v>
      </c>
      <c r="I1962" s="164" t="str">
        <f ca="1">IFERROR(__xludf.DUMMYFUNCTION("""COMPUTED_VALUE"""),"ACTING AO-IV")</f>
        <v>ACTING AO-IV</v>
      </c>
      <c r="J1962" s="164"/>
      <c r="K1962" s="164" t="str">
        <f ca="1">IFERROR(__xludf.DUMMYFUNCTION("""COMPUTED_VALUE"""),"LALAP, MARICEL P.")</f>
        <v>LALAP, MARICEL P.</v>
      </c>
      <c r="L1962" s="164" t="str">
        <f ca="1">IFERROR(__xludf.DUMMYFUNCTION("""COMPUTED_VALUE"""),"STO")</f>
        <v>STO</v>
      </c>
      <c r="M1962" s="164" t="str">
        <f ca="1">IFERROR(__xludf.DUMMYFUNCTION("""COMPUTED_VALUE"""),"SERVICEABLE")</f>
        <v>SERVICEABLE</v>
      </c>
      <c r="N1962" s="164"/>
    </row>
    <row r="1963" spans="1:14" ht="13.2" hidden="1">
      <c r="A1963" s="164" t="str">
        <f ca="1">IFERROR(__xludf.DUMMYFUNCTION("""COMPUTED_VALUE"""),"Region IV-B")</f>
        <v>Region IV-B</v>
      </c>
      <c r="B1963" s="164" t="str">
        <f ca="1">IFERROR(__xludf.DUMMYFUNCTION("""COMPUTED_VALUE"""),"Oriental Mindoro")</f>
        <v>Oriental Mindoro</v>
      </c>
      <c r="C1963" s="164" t="str">
        <f ca="1">IFERROR(__xludf.DUMMYFUNCTION("""COMPUTED_VALUE"""),"Desktop Computer – (MSI PRO DP180)")</f>
        <v>Desktop Computer – (MSI PRO DP180)</v>
      </c>
      <c r="D1963" s="164" t="str">
        <f ca="1">IFERROR(__xludf.DUMMYFUNCTION("""COMPUTED_VALUE"""),"₱ 49,300.00")</f>
        <v>₱ 49,300.00</v>
      </c>
      <c r="E1963" s="164"/>
      <c r="F1963" s="164" t="str">
        <f ca="1">IFERROR(__xludf.DUMMYFUNCTION("""COMPUTED_VALUE"""),"HVSPLIT-102-24-05-01-402")</f>
        <v>HVSPLIT-102-24-05-01-402</v>
      </c>
      <c r="G1963" s="164"/>
      <c r="H1963" s="164" t="str">
        <f ca="1">IFERROR(__xludf.DUMMYFUNCTION("""COMPUTED_VALUE"""),"LASQUITE, JESUS FRANCO B")</f>
        <v>LASQUITE, JESUS FRANCO B</v>
      </c>
      <c r="I1963" s="164" t="str">
        <f ca="1">IFERROR(__xludf.DUMMYFUNCTION("""COMPUTED_VALUE"""),"ATTY. V / CHIEF LEGAL")</f>
        <v>ATTY. V / CHIEF LEGAL</v>
      </c>
      <c r="J1963" s="164"/>
      <c r="K1963" s="164" t="str">
        <f ca="1">IFERROR(__xludf.DUMMYFUNCTION("""COMPUTED_VALUE"""),"LASQUITE, JESUS FRANCO B")</f>
        <v>LASQUITE, JESUS FRANCO B</v>
      </c>
      <c r="L1963" s="164" t="str">
        <f ca="1">IFERROR(__xludf.DUMMYFUNCTION("""COMPUTED_VALUE"""),"LEGAL")</f>
        <v>LEGAL</v>
      </c>
      <c r="M1963" s="164" t="str">
        <f ca="1">IFERROR(__xludf.DUMMYFUNCTION("""COMPUTED_VALUE"""),"SERVICEABLE")</f>
        <v>SERVICEABLE</v>
      </c>
      <c r="N1963" s="164"/>
    </row>
    <row r="1964" spans="1:14" ht="13.2" hidden="1">
      <c r="A1964" s="164" t="str">
        <f ca="1">IFERROR(__xludf.DUMMYFUNCTION("""COMPUTED_VALUE"""),"Region IV-B")</f>
        <v>Region IV-B</v>
      </c>
      <c r="B1964" s="164" t="str">
        <f ca="1">IFERROR(__xludf.DUMMYFUNCTION("""COMPUTED_VALUE"""),"Regional Office")</f>
        <v>Regional Office</v>
      </c>
      <c r="C1964" s="164" t="str">
        <f ca="1">IFERROR(__xludf.DUMMYFUNCTION("""COMPUTED_VALUE"""),"Double Cabin Pick-up Vehicles – Mitsubishi Strada")</f>
        <v>Double Cabin Pick-up Vehicles – Mitsubishi Strada</v>
      </c>
      <c r="D1964" s="164" t="str">
        <f ca="1">IFERROR(__xludf.DUMMYFUNCTION("""COMPUTED_VALUE"""),"₱ 1,752,400.00")</f>
        <v>₱ 1,752,400.00</v>
      </c>
      <c r="E1964" s="164" t="str">
        <f ca="1">IFERROR(__xludf.DUMMYFUNCTION("""COMPUTED_VALUE"""),"₱ -")</f>
        <v>₱ -</v>
      </c>
      <c r="F1964" s="164" t="str">
        <f ca="1">IFERROR(__xludf.DUMMYFUNCTION("""COMPUTED_VALUE"""),"2023-06-01-10201SP71-01")</f>
        <v>2023-06-01-10201SP71-01</v>
      </c>
      <c r="G1964" s="164" t="str">
        <f ca="1">IFERROR(__xludf.DUMMYFUNCTION("""COMPUTED_VALUE"""),"SNC 1126/NFX-1806")</f>
        <v>SNC 1126/NFX-1806</v>
      </c>
      <c r="H1964" s="164" t="str">
        <f ca="1">IFERROR(__xludf.DUMMYFUNCTION("""COMPUTED_VALUE"""),"ATTY. MARVIN V. BERNAL")</f>
        <v>ATTY. MARVIN V. BERNAL</v>
      </c>
      <c r="I1964" s="164" t="str">
        <f ca="1">IFERROR(__xludf.DUMMYFUNCTION("""COMPUTED_VALUE"""),"REGIONAL DIRECTOR")</f>
        <v>REGIONAL DIRECTOR</v>
      </c>
      <c r="J1964" s="164" t="str">
        <f ca="1">IFERROR(__xludf.DUMMYFUNCTION("""COMPUTED_VALUE"""),"23-023-SPLIT")</f>
        <v>23-023-SPLIT</v>
      </c>
      <c r="K1964" s="164" t="str">
        <f ca="1">IFERROR(__xludf.DUMMYFUNCTION("""COMPUTED_VALUE"""),"ATTY. MARVIN V. BERNAL")</f>
        <v>ATTY. MARVIN V. BERNAL</v>
      </c>
      <c r="L1964" s="164" t="str">
        <f ca="1">IFERROR(__xludf.DUMMYFUNCTION("""COMPUTED_VALUE"""),"ORD")</f>
        <v>ORD</v>
      </c>
      <c r="M1964" s="164" t="str">
        <f ca="1">IFERROR(__xludf.DUMMYFUNCTION("""COMPUTED_VALUE"""),"SERVICEABLE")</f>
        <v>SERVICEABLE</v>
      </c>
      <c r="N1964" s="164"/>
    </row>
    <row r="1965" spans="1:14" ht="13.2" hidden="1">
      <c r="A1965" s="164" t="str">
        <f ca="1">IFERROR(__xludf.DUMMYFUNCTION("""COMPUTED_VALUE"""),"Region IV-B")</f>
        <v>Region IV-B</v>
      </c>
      <c r="B1965" s="164" t="str">
        <f ca="1">IFERROR(__xludf.DUMMYFUNCTION("""COMPUTED_VALUE"""),"Regional Office")</f>
        <v>Regional Office</v>
      </c>
      <c r="C1965" s="164" t="str">
        <f ca="1">IFERROR(__xludf.DUMMYFUNCTION("""COMPUTED_VALUE"""),"Double Cabin Pick-up Vehicles – Mitsubishi Strada")</f>
        <v>Double Cabin Pick-up Vehicles – Mitsubishi Strada</v>
      </c>
      <c r="D1965" s="164" t="str">
        <f ca="1">IFERROR(__xludf.DUMMYFUNCTION("""COMPUTED_VALUE"""),"₱ 1,752,400.00")</f>
        <v>₱ 1,752,400.00</v>
      </c>
      <c r="E1965" s="164" t="str">
        <f ca="1">IFERROR(__xludf.DUMMYFUNCTION("""COMPUTED_VALUE"""),"₱ -")</f>
        <v>₱ -</v>
      </c>
      <c r="F1965" s="164" t="str">
        <f ca="1">IFERROR(__xludf.DUMMYFUNCTION("""COMPUTED_VALUE"""),"2023-06-01-10201SP68-01")</f>
        <v>2023-06-01-10201SP68-01</v>
      </c>
      <c r="G1965" s="164" t="str">
        <f ca="1">IFERROR(__xludf.DUMMYFUNCTION("""COMPUTED_VALUE"""),"SNC 1165")</f>
        <v>SNC 1165</v>
      </c>
      <c r="H1965" s="164" t="str">
        <f ca="1">IFERROR(__xludf.DUMMYFUNCTION("""COMPUTED_VALUE"""),"JOSEFINA M. LOPEZ")</f>
        <v>JOSEFINA M. LOPEZ</v>
      </c>
      <c r="I1965" s="164" t="str">
        <f ca="1">IFERROR(__xludf.DUMMYFUNCTION("""COMPUTED_VALUE"""),"OIC-ARDA")</f>
        <v>OIC-ARDA</v>
      </c>
      <c r="J1965" s="164" t="str">
        <f ca="1">IFERROR(__xludf.DUMMYFUNCTION("""COMPUTED_VALUE"""),"23-024-SPLIT")</f>
        <v>23-024-SPLIT</v>
      </c>
      <c r="K1965" s="164" t="str">
        <f ca="1">IFERROR(__xludf.DUMMYFUNCTION("""COMPUTED_VALUE"""),"JOSEFINA M. LOPEZ")</f>
        <v>JOSEFINA M. LOPEZ</v>
      </c>
      <c r="L1965" s="164" t="str">
        <f ca="1">IFERROR(__xludf.DUMMYFUNCTION("""COMPUTED_VALUE"""),"STOD")</f>
        <v>STOD</v>
      </c>
      <c r="M1965" s="164" t="str">
        <f ca="1">IFERROR(__xludf.DUMMYFUNCTION("""COMPUTED_VALUE"""),"SERVICEABLE")</f>
        <v>SERVICEABLE</v>
      </c>
      <c r="N1965" s="164"/>
    </row>
    <row r="1966" spans="1:14" ht="13.2" hidden="1">
      <c r="A1966" s="164" t="str">
        <f ca="1">IFERROR(__xludf.DUMMYFUNCTION("""COMPUTED_VALUE"""),"Region IV-B")</f>
        <v>Region IV-B</v>
      </c>
      <c r="B1966" s="164" t="str">
        <f ca="1">IFERROR(__xludf.DUMMYFUNCTION("""COMPUTED_VALUE"""),"Palawan")</f>
        <v>Palawan</v>
      </c>
      <c r="C1966" s="164" t="str">
        <f ca="1">IFERROR(__xludf.DUMMYFUNCTION("""COMPUTED_VALUE"""),"Double Cabin Pick-up Vehicles – Mitsubishi Strada")</f>
        <v>Double Cabin Pick-up Vehicles – Mitsubishi Strada</v>
      </c>
      <c r="D1966" s="164" t="str">
        <f ca="1">IFERROR(__xludf.DUMMYFUNCTION("""COMPUTED_VALUE"""),"₱ 1,752,400.00")</f>
        <v>₱ 1,752,400.00</v>
      </c>
      <c r="E1966" s="164" t="str">
        <f ca="1">IFERROR(__xludf.DUMMYFUNCTION("""COMPUTED_VALUE"""),"₱ -")</f>
        <v>₱ -</v>
      </c>
      <c r="F1966" s="164" t="str">
        <f ca="1">IFERROR(__xludf.DUMMYFUNCTION("""COMPUTED_VALUE"""),"2023-06-01-10201SP73-01")</f>
        <v>2023-06-01-10201SP73-01</v>
      </c>
      <c r="G1966" s="164" t="str">
        <f ca="1">IFERROR(__xludf.DUMMYFUNCTION("""COMPUTED_VALUE"""),"SNC 1127 ")</f>
        <v xml:space="preserve">SNC 1127 </v>
      </c>
      <c r="H1966" s="164" t="str">
        <f ca="1">IFERROR(__xludf.DUMMYFUNCTION("""COMPUTED_VALUE"""),"CONRADO S. GUEVARRA")</f>
        <v>CONRADO S. GUEVARRA</v>
      </c>
      <c r="I1966" s="164" t="str">
        <f ca="1">IFERROR(__xludf.DUMMYFUNCTION("""COMPUTED_VALUE"""),"PARPO II")</f>
        <v>PARPO II</v>
      </c>
      <c r="J1966" s="164" t="str">
        <f ca="1">IFERROR(__xludf.DUMMYFUNCTION("""COMPUTED_VALUE"""),"2023-10-006")</f>
        <v>2023-10-006</v>
      </c>
      <c r="K1966" s="164" t="str">
        <f ca="1">IFERROR(__xludf.DUMMYFUNCTION("""COMPUTED_VALUE"""),"CONRADO S. GUEVARRA")</f>
        <v>CONRADO S. GUEVARRA</v>
      </c>
      <c r="L1966" s="164" t="str">
        <f ca="1">IFERROR(__xludf.DUMMYFUNCTION("""COMPUTED_VALUE"""),"PARPO'S OFFICE")</f>
        <v>PARPO'S OFFICE</v>
      </c>
      <c r="M1966" s="164" t="str">
        <f ca="1">IFERROR(__xludf.DUMMYFUNCTION("""COMPUTED_VALUE"""),"SERVICEABLE")</f>
        <v>SERVICEABLE</v>
      </c>
      <c r="N1966" s="164"/>
    </row>
    <row r="1967" spans="1:14" ht="13.2" hidden="1">
      <c r="A1967" s="164" t="str">
        <f ca="1">IFERROR(__xludf.DUMMYFUNCTION("""COMPUTED_VALUE"""),"Region IV-B")</f>
        <v>Region IV-B</v>
      </c>
      <c r="B1967" s="164" t="str">
        <f ca="1">IFERROR(__xludf.DUMMYFUNCTION("""COMPUTED_VALUE"""),"Romblon")</f>
        <v>Romblon</v>
      </c>
      <c r="C1967" s="164" t="str">
        <f ca="1">IFERROR(__xludf.DUMMYFUNCTION("""COMPUTED_VALUE"""),"Double Cabin Pick-up Vehicles – Mitsubishi Strada")</f>
        <v>Double Cabin Pick-up Vehicles – Mitsubishi Strada</v>
      </c>
      <c r="D1967" s="164" t="str">
        <f ca="1">IFERROR(__xludf.DUMMYFUNCTION("""COMPUTED_VALUE"""),"₱ 1,752,400.00")</f>
        <v>₱ 1,752,400.00</v>
      </c>
      <c r="E1967" s="164" t="str">
        <f ca="1">IFERROR(__xludf.DUMMYFUNCTION("""COMPUTED_VALUE"""),"₱ -")</f>
        <v>₱ -</v>
      </c>
      <c r="F1967" s="164" t="str">
        <f ca="1">IFERROR(__xludf.DUMMYFUNCTION("""COMPUTED_VALUE"""),"2023-06-01-10201SP72-01")</f>
        <v>2023-06-01-10201SP72-01</v>
      </c>
      <c r="G1967" s="164" t="str">
        <f ca="1">IFERROR(__xludf.DUMMYFUNCTION("""COMPUTED_VALUE"""),"SNC 1100")</f>
        <v>SNC 1100</v>
      </c>
      <c r="H1967" s="164" t="str">
        <f ca="1">IFERROR(__xludf.DUMMYFUNCTION("""COMPUTED_VALUE"""),"ENGR. ROGELIO D. MADARCOS")</f>
        <v>ENGR. ROGELIO D. MADARCOS</v>
      </c>
      <c r="I1967" s="164" t="str">
        <f ca="1">IFERROR(__xludf.DUMMYFUNCTION("""COMPUTED_VALUE"""),"PARPO II")</f>
        <v>PARPO II</v>
      </c>
      <c r="J1967" s="164" t="str">
        <f ca="1">IFERROR(__xludf.DUMMYFUNCTION("""COMPUTED_VALUE"""),"2024-01-001")</f>
        <v>2024-01-001</v>
      </c>
      <c r="K1967" s="164" t="str">
        <f ca="1">IFERROR(__xludf.DUMMYFUNCTION("""COMPUTED_VALUE"""),"DARPO personnel")</f>
        <v>DARPO personnel</v>
      </c>
      <c r="L1967" s="164" t="str">
        <f ca="1">IFERROR(__xludf.DUMMYFUNCTION("""COMPUTED_VALUE"""),"PARPO'S OFFICE")</f>
        <v>PARPO'S OFFICE</v>
      </c>
      <c r="M1967" s="164" t="str">
        <f ca="1">IFERROR(__xludf.DUMMYFUNCTION("""COMPUTED_VALUE"""),"SERVICEABLE")</f>
        <v>SERVICEABLE</v>
      </c>
      <c r="N1967" s="164" t="str">
        <f ca="1">IFERROR(__xludf.DUMMYFUNCTION("""COMPUTED_VALUE"""),"GENERAL DISPATCH")</f>
        <v>GENERAL DISPATCH</v>
      </c>
    </row>
    <row r="1968" spans="1:14" ht="13.2" hidden="1">
      <c r="A1968" s="164" t="str">
        <f ca="1">IFERROR(__xludf.DUMMYFUNCTION("""COMPUTED_VALUE"""),"Region IV-B")</f>
        <v>Region IV-B</v>
      </c>
      <c r="B1968" s="164" t="str">
        <f ca="1">IFERROR(__xludf.DUMMYFUNCTION("""COMPUTED_VALUE"""),"Marinduque")</f>
        <v>Marinduque</v>
      </c>
      <c r="C1968" s="164" t="str">
        <f ca="1">IFERROR(__xludf.DUMMYFUNCTION("""COMPUTED_VALUE"""),"Double Cabin Pick-up Vehicles – Mitsubishi Strada")</f>
        <v>Double Cabin Pick-up Vehicles – Mitsubishi Strada</v>
      </c>
      <c r="D1968" s="164" t="str">
        <f ca="1">IFERROR(__xludf.DUMMYFUNCTION("""COMPUTED_VALUE"""),"₱ 1,752,400.00")</f>
        <v>₱ 1,752,400.00</v>
      </c>
      <c r="E1968" s="164" t="str">
        <f ca="1">IFERROR(__xludf.DUMMYFUNCTION("""COMPUTED_VALUE"""),"₱ -")</f>
        <v>₱ -</v>
      </c>
      <c r="F1968" s="164" t="str">
        <f ca="1">IFERROR(__xludf.DUMMYFUNCTION("""COMPUTED_VALUE"""),"2023-06-01-10201SP67-01")</f>
        <v>2023-06-01-10201SP67-01</v>
      </c>
      <c r="G1968" s="164" t="str">
        <f ca="1">IFERROR(__xludf.DUMMYFUNCTION("""COMPUTED_VALUE"""),"SNC 1204")</f>
        <v>SNC 1204</v>
      </c>
      <c r="H1968" s="164" t="str">
        <f ca="1">IFERROR(__xludf.DUMMYFUNCTION("""COMPUTED_VALUE"""),"AIDALINE M. SEVILLA")</f>
        <v>AIDALINE M. SEVILLA</v>
      </c>
      <c r="I1968" s="164" t="str">
        <f ca="1">IFERROR(__xludf.DUMMYFUNCTION("""COMPUTED_VALUE"""),"AO IV")</f>
        <v>AO IV</v>
      </c>
      <c r="J1968" s="164" t="str">
        <f ca="1">IFERROR(__xludf.DUMMYFUNCTION("""COMPUTED_VALUE"""),"2023-09-027")</f>
        <v>2023-09-027</v>
      </c>
      <c r="K1968" s="164" t="str">
        <f ca="1">IFERROR(__xludf.DUMMYFUNCTION("""COMPUTED_VALUE"""),"AIDALINE M. SEVILLA")</f>
        <v>AIDALINE M. SEVILLA</v>
      </c>
      <c r="L1968" s="164" t="str">
        <f ca="1">IFERROR(__xludf.DUMMYFUNCTION("""COMPUTED_VALUE"""),"STOD")</f>
        <v>STOD</v>
      </c>
      <c r="M1968" s="164" t="str">
        <f ca="1">IFERROR(__xludf.DUMMYFUNCTION("""COMPUTED_VALUE"""),"SERVICEABLE")</f>
        <v>SERVICEABLE</v>
      </c>
      <c r="N1968" s="164"/>
    </row>
    <row r="1969" spans="1:14" ht="13.2" hidden="1">
      <c r="A1969" s="164" t="str">
        <f ca="1">IFERROR(__xludf.DUMMYFUNCTION("""COMPUTED_VALUE"""),"Region IV-B")</f>
        <v>Region IV-B</v>
      </c>
      <c r="B1969" s="164" t="str">
        <f ca="1">IFERROR(__xludf.DUMMYFUNCTION("""COMPUTED_VALUE"""),"Occidental Mindoro")</f>
        <v>Occidental Mindoro</v>
      </c>
      <c r="C1969" s="164" t="str">
        <f ca="1">IFERROR(__xludf.DUMMYFUNCTION("""COMPUTED_VALUE"""),"Double Cabin Pick-up Vehicles – Mitsubishi Strada")</f>
        <v>Double Cabin Pick-up Vehicles – Mitsubishi Strada</v>
      </c>
      <c r="D1969" s="164" t="str">
        <f ca="1">IFERROR(__xludf.DUMMYFUNCTION("""COMPUTED_VALUE"""),"₱ 1,752,400.00")</f>
        <v>₱ 1,752,400.00</v>
      </c>
      <c r="E1969" s="164" t="str">
        <f ca="1">IFERROR(__xludf.DUMMYFUNCTION("""COMPUTED_VALUE"""),"₱ -")</f>
        <v>₱ -</v>
      </c>
      <c r="F1969" s="164" t="str">
        <f ca="1">IFERROR(__xludf.DUMMYFUNCTION("""COMPUTED_VALUE"""),"2023-06-01-10201SP70-01")</f>
        <v>2023-06-01-10201SP70-01</v>
      </c>
      <c r="G1969" s="164" t="str">
        <f ca="1">IFERROR(__xludf.DUMMYFUNCTION("""COMPUTED_VALUE"""),"SNC-1122 ")</f>
        <v xml:space="preserve">SNC-1122 </v>
      </c>
      <c r="H1969" s="164" t="str">
        <f ca="1">IFERROR(__xludf.DUMMYFUNCTION("""COMPUTED_VALUE"""),"Ferdinand M De Gala")</f>
        <v>Ferdinand M De Gala</v>
      </c>
      <c r="I1969" s="164" t="str">
        <f ca="1">IFERROR(__xludf.DUMMYFUNCTION("""COMPUTED_VALUE"""),"OIC PARPO II")</f>
        <v>OIC PARPO II</v>
      </c>
      <c r="J1969" s="164" t="str">
        <f ca="1">IFERROR(__xludf.DUMMYFUNCTION("""COMPUTED_VALUE"""),"2023-10-0005")</f>
        <v>2023-10-0005</v>
      </c>
      <c r="K1969" s="164" t="str">
        <f ca="1">IFERROR(__xludf.DUMMYFUNCTION("""COMPUTED_VALUE"""),"Ferdinand M De Gala")</f>
        <v>Ferdinand M De Gala</v>
      </c>
      <c r="L1969" s="164" t="str">
        <f ca="1">IFERROR(__xludf.DUMMYFUNCTION("""COMPUTED_VALUE"""),"PARPO'S OFFICE")</f>
        <v>PARPO'S OFFICE</v>
      </c>
      <c r="M1969" s="164" t="str">
        <f ca="1">IFERROR(__xludf.DUMMYFUNCTION("""COMPUTED_VALUE"""),"SERVICEABLE")</f>
        <v>SERVICEABLE</v>
      </c>
      <c r="N1969" s="164" t="str">
        <f ca="1">IFERROR(__xludf.DUMMYFUNCTION("""COMPUTED_VALUE"""),"Dispatch vehicle for SPLIT Activities")</f>
        <v>Dispatch vehicle for SPLIT Activities</v>
      </c>
    </row>
    <row r="1970" spans="1:14" ht="13.2" hidden="1">
      <c r="A1970" s="164" t="str">
        <f ca="1">IFERROR(__xludf.DUMMYFUNCTION("""COMPUTED_VALUE"""),"Region IV-B")</f>
        <v>Region IV-B</v>
      </c>
      <c r="B1970" s="164" t="str">
        <f ca="1">IFERROR(__xludf.DUMMYFUNCTION("""COMPUTED_VALUE"""),"Oriental Mindoro")</f>
        <v>Oriental Mindoro</v>
      </c>
      <c r="C1970" s="164" t="str">
        <f ca="1">IFERROR(__xludf.DUMMYFUNCTION("""COMPUTED_VALUE"""),"Double Cabin Pick-up Vehicles – Mitsubishi Strada")</f>
        <v>Double Cabin Pick-up Vehicles – Mitsubishi Strada</v>
      </c>
      <c r="D1970" s="164" t="str">
        <f ca="1">IFERROR(__xludf.DUMMYFUNCTION("""COMPUTED_VALUE"""),"₱ 1,752,400.00")</f>
        <v>₱ 1,752,400.00</v>
      </c>
      <c r="E1970" s="164" t="str">
        <f ca="1">IFERROR(__xludf.DUMMYFUNCTION("""COMPUTED_VALUE"""),"₱ -")</f>
        <v>₱ -</v>
      </c>
      <c r="F1970" s="164" t="str">
        <f ca="1">IFERROR(__xludf.DUMMYFUNCTION("""COMPUTED_VALUE"""),"2023-06-01-10201SP69-01")</f>
        <v>2023-06-01-10201SP69-01</v>
      </c>
      <c r="G1970" s="164" t="str">
        <f ca="1">IFERROR(__xludf.DUMMYFUNCTION("""COMPUTED_VALUE"""),"SNC-1196")</f>
        <v>SNC-1196</v>
      </c>
      <c r="H1970" s="164" t="str">
        <f ca="1">IFERROR(__xludf.DUMMYFUNCTION("""COMPUTED_VALUE"""),"LALAP, MARICEL P.")</f>
        <v>LALAP, MARICEL P.</v>
      </c>
      <c r="I1970" s="164" t="str">
        <f ca="1">IFERROR(__xludf.DUMMYFUNCTION("""COMPUTED_VALUE"""),"ACTING AO-IV")</f>
        <v>ACTING AO-IV</v>
      </c>
      <c r="J1970" s="164" t="str">
        <f ca="1">IFERROR(__xludf.DUMMYFUNCTION("""COMPUTED_VALUE"""),"23-338")</f>
        <v>23-338</v>
      </c>
      <c r="K1970" s="164" t="str">
        <f ca="1">IFERROR(__xludf.DUMMYFUNCTION("""COMPUTED_VALUE"""),"TAPON, JOEL P.")</f>
        <v>TAPON, JOEL P.</v>
      </c>
      <c r="L1970" s="164" t="str">
        <f ca="1">IFERROR(__xludf.DUMMYFUNCTION("""COMPUTED_VALUE"""),"STOD")</f>
        <v>STOD</v>
      </c>
      <c r="M1970" s="164" t="str">
        <f ca="1">IFERROR(__xludf.DUMMYFUNCTION("""COMPUTED_VALUE"""),"SERVICEABLE")</f>
        <v>SERVICEABLE</v>
      </c>
      <c r="N1970" s="164" t="str">
        <f ca="1">IFERROR(__xludf.DUMMYFUNCTION("""COMPUTED_VALUE"""),"Dispatch vehicle for SPLIT Activities")</f>
        <v>Dispatch vehicle for SPLIT Activities</v>
      </c>
    </row>
    <row r="1971" spans="1:14" ht="13.2" hidden="1">
      <c r="A1971" s="164" t="str">
        <f ca="1">IFERROR(__xludf.DUMMYFUNCTION("""COMPUTED_VALUE"""),"Region IV-B")</f>
        <v>Region IV-B</v>
      </c>
      <c r="B1971" s="164" t="str">
        <f ca="1">IFERROR(__xludf.DUMMYFUNCTION("""COMPUTED_VALUE"""),"Palawan")</f>
        <v>Palawan</v>
      </c>
      <c r="C1971" s="164" t="str">
        <f ca="1">IFERROR(__xludf.DUMMYFUNCTION("""COMPUTED_VALUE"""),"Motorcycle – (Honda XRL 150)")</f>
        <v>Motorcycle – (Honda XRL 150)</v>
      </c>
      <c r="D1971" s="164" t="str">
        <f ca="1">IFERROR(__xludf.DUMMYFUNCTION("""COMPUTED_VALUE"""),"₱ 124,900.00")</f>
        <v>₱ 124,900.00</v>
      </c>
      <c r="E1971" s="164" t="str">
        <f ca="1">IFERROR(__xludf.DUMMYFUNCTION("""COMPUTED_VALUE"""),"₱ -")</f>
        <v>₱ -</v>
      </c>
      <c r="F1971" s="164" t="str">
        <f ca="1">IFERROR(__xludf.DUMMYFUNCTION("""COMPUTED_VALUE"""),"2023-06-01-10202SP154-01")</f>
        <v>2023-06-01-10202SP154-01</v>
      </c>
      <c r="G1971" s="164" t="str">
        <f ca="1">IFERROR(__xludf.DUMMYFUNCTION("""COMPUTED_VALUE"""),"no plate available")</f>
        <v>no plate available</v>
      </c>
      <c r="H1971" s="164" t="str">
        <f ca="1">IFERROR(__xludf.DUMMYFUNCTION("""COMPUTED_VALUE"""),"GINA G. GAVINO")</f>
        <v>GINA G. GAVINO</v>
      </c>
      <c r="I1971" s="164" t="str">
        <f ca="1">IFERROR(__xludf.DUMMYFUNCTION("""COMPUTED_VALUE"""),"ACCOUNTANT II/Project Accountant")</f>
        <v>ACCOUNTANT II/Project Accountant</v>
      </c>
      <c r="J1971" s="164" t="str">
        <f ca="1">IFERROR(__xludf.DUMMYFUNCTION("""COMPUTED_VALUE"""),"2023-08-010")</f>
        <v>2023-08-010</v>
      </c>
      <c r="K1971" s="164" t="str">
        <f ca="1">IFERROR(__xludf.DUMMYFUNCTION("""COMPUTED_VALUE"""),"JOHNMARK D. MADARCOS (DARMO-ROXAS)")</f>
        <v>JOHNMARK D. MADARCOS (DARMO-ROXAS)</v>
      </c>
      <c r="L1971" s="164" t="str">
        <f ca="1">IFERROR(__xludf.DUMMYFUNCTION("""COMPUTED_VALUE"""),"STOD")</f>
        <v>STOD</v>
      </c>
      <c r="M1971" s="164" t="str">
        <f ca="1">IFERROR(__xludf.DUMMYFUNCTION("""COMPUTED_VALUE"""),"SERVICEABLE")</f>
        <v>SERVICEABLE</v>
      </c>
      <c r="N1971" s="164"/>
    </row>
    <row r="1972" spans="1:14" ht="13.2" hidden="1">
      <c r="A1972" s="164" t="str">
        <f ca="1">IFERROR(__xludf.DUMMYFUNCTION("""COMPUTED_VALUE"""),"Region IV-B")</f>
        <v>Region IV-B</v>
      </c>
      <c r="B1972" s="164" t="str">
        <f ca="1">IFERROR(__xludf.DUMMYFUNCTION("""COMPUTED_VALUE"""),"Palawan")</f>
        <v>Palawan</v>
      </c>
      <c r="C1972" s="164" t="str">
        <f ca="1">IFERROR(__xludf.DUMMYFUNCTION("""COMPUTED_VALUE"""),"Motorcycle – (Honda XRL 150)")</f>
        <v>Motorcycle – (Honda XRL 150)</v>
      </c>
      <c r="D1972" s="164" t="str">
        <f ca="1">IFERROR(__xludf.DUMMYFUNCTION("""COMPUTED_VALUE"""),"₱ 124,900.00")</f>
        <v>₱ 124,900.00</v>
      </c>
      <c r="E1972" s="164" t="str">
        <f ca="1">IFERROR(__xludf.DUMMYFUNCTION("""COMPUTED_VALUE"""),"₱ -")</f>
        <v>₱ -</v>
      </c>
      <c r="F1972" s="164" t="str">
        <f ca="1">IFERROR(__xludf.DUMMYFUNCTION("""COMPUTED_VALUE"""),"2023-06-01-10202SP155-01")</f>
        <v>2023-06-01-10202SP155-01</v>
      </c>
      <c r="G1972" s="164" t="str">
        <f ca="1">IFERROR(__xludf.DUMMYFUNCTION("""COMPUTED_VALUE"""),"no plate available")</f>
        <v>no plate available</v>
      </c>
      <c r="H1972" s="164" t="str">
        <f ca="1">IFERROR(__xludf.DUMMYFUNCTION("""COMPUTED_VALUE"""),"CARMELA M. MADARCOS")</f>
        <v>CARMELA M. MADARCOS</v>
      </c>
      <c r="I1972" s="164" t="str">
        <f ca="1">IFERROR(__xludf.DUMMYFUNCTION("""COMPUTED_VALUE"""),"BUDGET OFFICER II/Project Budget Officer")</f>
        <v>BUDGET OFFICER II/Project Budget Officer</v>
      </c>
      <c r="J1972" s="164" t="str">
        <f ca="1">IFERROR(__xludf.DUMMYFUNCTION("""COMPUTED_VALUE"""),"2023-06-011")</f>
        <v>2023-06-011</v>
      </c>
      <c r="K1972" s="164" t="str">
        <f ca="1">IFERROR(__xludf.DUMMYFUNCTION("""COMPUTED_VALUE"""),"DARPO-PALAWAN")</f>
        <v>DARPO-PALAWAN</v>
      </c>
      <c r="L1972" s="164" t="str">
        <f ca="1">IFERROR(__xludf.DUMMYFUNCTION("""COMPUTED_VALUE"""),"STOD")</f>
        <v>STOD</v>
      </c>
      <c r="M1972" s="164" t="str">
        <f ca="1">IFERROR(__xludf.DUMMYFUNCTION("""COMPUTED_VALUE"""),"SERVICEABLE")</f>
        <v>SERVICEABLE</v>
      </c>
      <c r="N1972" s="164"/>
    </row>
    <row r="1973" spans="1:14" ht="13.2" hidden="1">
      <c r="A1973" s="164" t="str">
        <f ca="1">IFERROR(__xludf.DUMMYFUNCTION("""COMPUTED_VALUE"""),"Region IV-B")</f>
        <v>Region IV-B</v>
      </c>
      <c r="B1973" s="164" t="str">
        <f ca="1">IFERROR(__xludf.DUMMYFUNCTION("""COMPUTED_VALUE"""),"Palawan")</f>
        <v>Palawan</v>
      </c>
      <c r="C1973" s="164" t="str">
        <f ca="1">IFERROR(__xludf.DUMMYFUNCTION("""COMPUTED_VALUE"""),"Motorcycle – (Honda XRL 150)")</f>
        <v>Motorcycle – (Honda XRL 150)</v>
      </c>
      <c r="D1973" s="164" t="str">
        <f ca="1">IFERROR(__xludf.DUMMYFUNCTION("""COMPUTED_VALUE"""),"₱ 124,900.00")</f>
        <v>₱ 124,900.00</v>
      </c>
      <c r="E1973" s="164" t="str">
        <f ca="1">IFERROR(__xludf.DUMMYFUNCTION("""COMPUTED_VALUE"""),"₱ -")</f>
        <v>₱ -</v>
      </c>
      <c r="F1973" s="164" t="str">
        <f ca="1">IFERROR(__xludf.DUMMYFUNCTION("""COMPUTED_VALUE"""),"2023-06-01-10202SP156-01")</f>
        <v>2023-06-01-10202SP156-01</v>
      </c>
      <c r="G1973" s="164" t="str">
        <f ca="1">IFERROR(__xludf.DUMMYFUNCTION("""COMPUTED_VALUE"""),"no plate available")</f>
        <v>no plate available</v>
      </c>
      <c r="H1973" s="164" t="str">
        <f ca="1">IFERROR(__xludf.DUMMYFUNCTION("""COMPUTED_VALUE"""),"MARLENE P. DOLOROSA")</f>
        <v>MARLENE P. DOLOROSA</v>
      </c>
      <c r="I1973" s="164" t="str">
        <f ca="1">IFERROR(__xludf.DUMMYFUNCTION("""COMPUTED_VALUE"""),"CASHIER II/Project Cashier")</f>
        <v>CASHIER II/Project Cashier</v>
      </c>
      <c r="J1973" s="164" t="str">
        <f ca="1">IFERROR(__xludf.DUMMYFUNCTION("""COMPUTED_VALUE"""),"223-06-012")</f>
        <v>223-06-012</v>
      </c>
      <c r="K1973" s="164" t="str">
        <f ca="1">IFERROR(__xludf.DUMMYFUNCTION("""COMPUTED_VALUE"""),"CRISHARINE T. VENTURILLO (DARMO-ABORLAN)")</f>
        <v>CRISHARINE T. VENTURILLO (DARMO-ABORLAN)</v>
      </c>
      <c r="L1973" s="164" t="str">
        <f ca="1">IFERROR(__xludf.DUMMYFUNCTION("""COMPUTED_VALUE"""),"STOD")</f>
        <v>STOD</v>
      </c>
      <c r="M1973" s="164" t="str">
        <f ca="1">IFERROR(__xludf.DUMMYFUNCTION("""COMPUTED_VALUE"""),"SERVICEABLE")</f>
        <v>SERVICEABLE</v>
      </c>
      <c r="N1973" s="164"/>
    </row>
    <row r="1974" spans="1:14" ht="13.2" hidden="1">
      <c r="A1974" s="164" t="str">
        <f ca="1">IFERROR(__xludf.DUMMYFUNCTION("""COMPUTED_VALUE"""),"Region IV-B")</f>
        <v>Region IV-B</v>
      </c>
      <c r="B1974" s="164" t="str">
        <f ca="1">IFERROR(__xludf.DUMMYFUNCTION("""COMPUTED_VALUE"""),"Palawan")</f>
        <v>Palawan</v>
      </c>
      <c r="C1974" s="164" t="str">
        <f ca="1">IFERROR(__xludf.DUMMYFUNCTION("""COMPUTED_VALUE"""),"Motorcycle – (Honda XRL 150)")</f>
        <v>Motorcycle – (Honda XRL 150)</v>
      </c>
      <c r="D1974" s="164" t="str">
        <f ca="1">IFERROR(__xludf.DUMMYFUNCTION("""COMPUTED_VALUE"""),"₱ 124,900.00")</f>
        <v>₱ 124,900.00</v>
      </c>
      <c r="E1974" s="164" t="str">
        <f ca="1">IFERROR(__xludf.DUMMYFUNCTION("""COMPUTED_VALUE"""),"₱ -")</f>
        <v>₱ -</v>
      </c>
      <c r="F1974" s="164" t="str">
        <f ca="1">IFERROR(__xludf.DUMMYFUNCTION("""COMPUTED_VALUE"""),"2023-06-01-10202SP157-01")</f>
        <v>2023-06-01-10202SP157-01</v>
      </c>
      <c r="G1974" s="164" t="str">
        <f ca="1">IFERROR(__xludf.DUMMYFUNCTION("""COMPUTED_VALUE"""),"no plate available")</f>
        <v>no plate available</v>
      </c>
      <c r="H1974" s="164" t="str">
        <f ca="1">IFERROR(__xludf.DUMMYFUNCTION("""COMPUTED_VALUE"""),"ROSANA Q. BALUYOT")</f>
        <v>ROSANA Q. BALUYOT</v>
      </c>
      <c r="I1974" s="164" t="str">
        <f ca="1">IFERROR(__xludf.DUMMYFUNCTION("""COMPUTED_VALUE"""),"SARPO/DENR/LRA-ROD Survey Coordinator")</f>
        <v>SARPO/DENR/LRA-ROD Survey Coordinator</v>
      </c>
      <c r="J1974" s="164" t="str">
        <f ca="1">IFERROR(__xludf.DUMMYFUNCTION("""COMPUTED_VALUE"""),"2023-06-013")</f>
        <v>2023-06-013</v>
      </c>
      <c r="K1974" s="164" t="str">
        <f ca="1">IFERROR(__xludf.DUMMYFUNCTION("""COMPUTED_VALUE"""),"DARPO-PALAWAN")</f>
        <v>DARPO-PALAWAN</v>
      </c>
      <c r="L1974" s="164" t="str">
        <f ca="1">IFERROR(__xludf.DUMMYFUNCTION("""COMPUTED_VALUE"""),"LTSPD")</f>
        <v>LTSPD</v>
      </c>
      <c r="M1974" s="164" t="str">
        <f ca="1">IFERROR(__xludf.DUMMYFUNCTION("""COMPUTED_VALUE"""),"SERVICEABLE")</f>
        <v>SERVICEABLE</v>
      </c>
      <c r="N1974" s="164"/>
    </row>
    <row r="1975" spans="1:14" ht="13.2" hidden="1">
      <c r="A1975" s="164" t="str">
        <f ca="1">IFERROR(__xludf.DUMMYFUNCTION("""COMPUTED_VALUE"""),"Region IV-B")</f>
        <v>Region IV-B</v>
      </c>
      <c r="B1975" s="164" t="str">
        <f ca="1">IFERROR(__xludf.DUMMYFUNCTION("""COMPUTED_VALUE"""),"Palawan")</f>
        <v>Palawan</v>
      </c>
      <c r="C1975" s="164" t="str">
        <f ca="1">IFERROR(__xludf.DUMMYFUNCTION("""COMPUTED_VALUE"""),"Motorcycle – (Honda XRL 150)")</f>
        <v>Motorcycle – (Honda XRL 150)</v>
      </c>
      <c r="D1975" s="164" t="str">
        <f ca="1">IFERROR(__xludf.DUMMYFUNCTION("""COMPUTED_VALUE"""),"₱ 124,900.00")</f>
        <v>₱ 124,900.00</v>
      </c>
      <c r="E1975" s="164" t="str">
        <f ca="1">IFERROR(__xludf.DUMMYFUNCTION("""COMPUTED_VALUE"""),"₱ -")</f>
        <v>₱ -</v>
      </c>
      <c r="F1975" s="164" t="str">
        <f ca="1">IFERROR(__xludf.DUMMYFUNCTION("""COMPUTED_VALUE"""),"2023-06-01-10202SP158-01")</f>
        <v>2023-06-01-10202SP158-01</v>
      </c>
      <c r="G1975" s="164" t="str">
        <f ca="1">IFERROR(__xludf.DUMMYFUNCTION("""COMPUTED_VALUE"""),"no plate available")</f>
        <v>no plate available</v>
      </c>
      <c r="H1975" s="164" t="str">
        <f ca="1">IFERROR(__xludf.DUMMYFUNCTION("""COMPUTED_VALUE"""),"ROSANA Q. BALUYOT")</f>
        <v>ROSANA Q. BALUYOT</v>
      </c>
      <c r="I1975" s="164" t="str">
        <f ca="1">IFERROR(__xludf.DUMMYFUNCTION("""COMPUTED_VALUE"""),"SARPO/DENR/LRA-ROD Survey Coordinator")</f>
        <v>SARPO/DENR/LRA-ROD Survey Coordinator</v>
      </c>
      <c r="J1975" s="164" t="str">
        <f ca="1">IFERROR(__xludf.DUMMYFUNCTION("""COMPUTED_VALUE"""),"2023-06-014")</f>
        <v>2023-06-014</v>
      </c>
      <c r="K1975" s="164" t="str">
        <f ca="1">IFERROR(__xludf.DUMMYFUNCTION("""COMPUTED_VALUE"""),"DARPO-PALAWAN")</f>
        <v>DARPO-PALAWAN</v>
      </c>
      <c r="L1975" s="164" t="str">
        <f ca="1">IFERROR(__xludf.DUMMYFUNCTION("""COMPUTED_VALUE"""),"LTSPD")</f>
        <v>LTSPD</v>
      </c>
      <c r="M1975" s="164" t="str">
        <f ca="1">IFERROR(__xludf.DUMMYFUNCTION("""COMPUTED_VALUE"""),"SERVICEABLE")</f>
        <v>SERVICEABLE</v>
      </c>
      <c r="N1975" s="164"/>
    </row>
    <row r="1976" spans="1:14" ht="13.2" hidden="1">
      <c r="A1976" s="164" t="str">
        <f ca="1">IFERROR(__xludf.DUMMYFUNCTION("""COMPUTED_VALUE"""),"Region IV-B")</f>
        <v>Region IV-B</v>
      </c>
      <c r="B1976" s="164" t="str">
        <f ca="1">IFERROR(__xludf.DUMMYFUNCTION("""COMPUTED_VALUE"""),"Palawan")</f>
        <v>Palawan</v>
      </c>
      <c r="C1976" s="164" t="str">
        <f ca="1">IFERROR(__xludf.DUMMYFUNCTION("""COMPUTED_VALUE"""),"Motorcycle – (Honda XRL 150)")</f>
        <v>Motorcycle – (Honda XRL 150)</v>
      </c>
      <c r="D1976" s="164" t="str">
        <f ca="1">IFERROR(__xludf.DUMMYFUNCTION("""COMPUTED_VALUE"""),"₱ 124,900.00")</f>
        <v>₱ 124,900.00</v>
      </c>
      <c r="E1976" s="164" t="str">
        <f ca="1">IFERROR(__xludf.DUMMYFUNCTION("""COMPUTED_VALUE"""),"₱ -")</f>
        <v>₱ -</v>
      </c>
      <c r="F1976" s="164" t="str">
        <f ca="1">IFERROR(__xludf.DUMMYFUNCTION("""COMPUTED_VALUE"""),"2023-06-01-10202SP159-01")</f>
        <v>2023-06-01-10202SP159-01</v>
      </c>
      <c r="G1976" s="164" t="str">
        <f ca="1">IFERROR(__xludf.DUMMYFUNCTION("""COMPUTED_VALUE"""),"no plate available")</f>
        <v>no plate available</v>
      </c>
      <c r="H1976" s="164" t="str">
        <f ca="1">IFERROR(__xludf.DUMMYFUNCTION("""COMPUTED_VALUE"""),"JOCELYN J. PACALDO")</f>
        <v>JOCELYN J. PACALDO</v>
      </c>
      <c r="I1976" s="164" t="str">
        <f ca="1">IFERROR(__xludf.DUMMYFUNCTION("""COMPUTED_VALUE"""),"PLANNING OFFICER II/M&amp;E Coordinator")</f>
        <v>PLANNING OFFICER II/M&amp;E Coordinator</v>
      </c>
      <c r="J1976" s="164" t="str">
        <f ca="1">IFERROR(__xludf.DUMMYFUNCTION("""COMPUTED_VALUE"""),"2023-06-015")</f>
        <v>2023-06-015</v>
      </c>
      <c r="K1976" s="164" t="str">
        <f ca="1">IFERROR(__xludf.DUMMYFUNCTION("""COMPUTED_VALUE"""),"DARPO-PALAWAN")</f>
        <v>DARPO-PALAWAN</v>
      </c>
      <c r="L1976" s="164" t="str">
        <f ca="1">IFERROR(__xludf.DUMMYFUNCTION("""COMPUTED_VALUE"""),"STOD")</f>
        <v>STOD</v>
      </c>
      <c r="M1976" s="164" t="str">
        <f ca="1">IFERROR(__xludf.DUMMYFUNCTION("""COMPUTED_VALUE"""),"SERVICEABLE")</f>
        <v>SERVICEABLE</v>
      </c>
      <c r="N1976" s="164"/>
    </row>
    <row r="1977" spans="1:14" ht="13.2" hidden="1">
      <c r="A1977" s="164" t="str">
        <f ca="1">IFERROR(__xludf.DUMMYFUNCTION("""COMPUTED_VALUE"""),"Region IV-B")</f>
        <v>Region IV-B</v>
      </c>
      <c r="B1977" s="164" t="str">
        <f ca="1">IFERROR(__xludf.DUMMYFUNCTION("""COMPUTED_VALUE"""),"Palawan")</f>
        <v>Palawan</v>
      </c>
      <c r="C1977" s="164" t="str">
        <f ca="1">IFERROR(__xludf.DUMMYFUNCTION("""COMPUTED_VALUE"""),"Motorcycle – (Honda XRL 150)")</f>
        <v>Motorcycle – (Honda XRL 150)</v>
      </c>
      <c r="D1977" s="164" t="str">
        <f ca="1">IFERROR(__xludf.DUMMYFUNCTION("""COMPUTED_VALUE"""),"₱ 124,900.00")</f>
        <v>₱ 124,900.00</v>
      </c>
      <c r="E1977" s="164" t="str">
        <f ca="1">IFERROR(__xludf.DUMMYFUNCTION("""COMPUTED_VALUE"""),"₱ -")</f>
        <v>₱ -</v>
      </c>
      <c r="F1977" s="164" t="str">
        <f ca="1">IFERROR(__xludf.DUMMYFUNCTION("""COMPUTED_VALUE"""),"2023-06-01-10202SP160-01")</f>
        <v>2023-06-01-10202SP160-01</v>
      </c>
      <c r="G1977" s="164" t="str">
        <f ca="1">IFERROR(__xludf.DUMMYFUNCTION("""COMPUTED_VALUE"""),"no plate available")</f>
        <v>no plate available</v>
      </c>
      <c r="H1977" s="164" t="str">
        <f ca="1">IFERROR(__xludf.DUMMYFUNCTION("""COMPUTED_VALUE"""),"JOCELYN J. PACALDO")</f>
        <v>JOCELYN J. PACALDO</v>
      </c>
      <c r="I1977" s="164" t="str">
        <f ca="1">IFERROR(__xludf.DUMMYFUNCTION("""COMPUTED_VALUE"""),"PLANNING OFFICER II/M&amp;E Coordinator")</f>
        <v>PLANNING OFFICER II/M&amp;E Coordinator</v>
      </c>
      <c r="J1977" s="164" t="str">
        <f ca="1">IFERROR(__xludf.DUMMYFUNCTION("""COMPUTED_VALUE"""),"2023-06-016")</f>
        <v>2023-06-016</v>
      </c>
      <c r="K1977" s="164" t="str">
        <f ca="1">IFERROR(__xludf.DUMMYFUNCTION("""COMPUTED_VALUE"""),"DARPO-PALAWAN")</f>
        <v>DARPO-PALAWAN</v>
      </c>
      <c r="L1977" s="164" t="str">
        <f ca="1">IFERROR(__xludf.DUMMYFUNCTION("""COMPUTED_VALUE"""),"STOD")</f>
        <v>STOD</v>
      </c>
      <c r="M1977" s="164" t="str">
        <f ca="1">IFERROR(__xludf.DUMMYFUNCTION("""COMPUTED_VALUE"""),"SERVICEABLE")</f>
        <v>SERVICEABLE</v>
      </c>
      <c r="N1977" s="164"/>
    </row>
    <row r="1978" spans="1:14" ht="13.2" hidden="1">
      <c r="A1978" s="164" t="str">
        <f ca="1">IFERROR(__xludf.DUMMYFUNCTION("""COMPUTED_VALUE"""),"Region IV-B")</f>
        <v>Region IV-B</v>
      </c>
      <c r="B1978" s="164" t="str">
        <f ca="1">IFERROR(__xludf.DUMMYFUNCTION("""COMPUTED_VALUE"""),"Palawan")</f>
        <v>Palawan</v>
      </c>
      <c r="C1978" s="164" t="str">
        <f ca="1">IFERROR(__xludf.DUMMYFUNCTION("""COMPUTED_VALUE"""),"Motorcycle – (Honda XRL 150)")</f>
        <v>Motorcycle – (Honda XRL 150)</v>
      </c>
      <c r="D1978" s="164" t="str">
        <f ca="1">IFERROR(__xludf.DUMMYFUNCTION("""COMPUTED_VALUE"""),"₱ 124,900.00")</f>
        <v>₱ 124,900.00</v>
      </c>
      <c r="E1978" s="164" t="str">
        <f ca="1">IFERROR(__xludf.DUMMYFUNCTION("""COMPUTED_VALUE"""),"₱ -")</f>
        <v>₱ -</v>
      </c>
      <c r="F1978" s="164" t="str">
        <f ca="1">IFERROR(__xludf.DUMMYFUNCTION("""COMPUTED_VALUE"""),"2023-06-01-10202SP161-01")</f>
        <v>2023-06-01-10202SP161-01</v>
      </c>
      <c r="G1978" s="164" t="str">
        <f ca="1">IFERROR(__xludf.DUMMYFUNCTION("""COMPUTED_VALUE"""),"no plate available")</f>
        <v>no plate available</v>
      </c>
      <c r="H1978" s="164" t="str">
        <f ca="1">IFERROR(__xludf.DUMMYFUNCTION("""COMPUTED_VALUE"""),"JESFER S. MAPANAO")</f>
        <v>JESFER S. MAPANAO</v>
      </c>
      <c r="I1978" s="164" t="str">
        <f ca="1">IFERROR(__xludf.DUMMYFUNCTION("""COMPUTED_VALUE"""),"ARPT/Documentation/ESS Staff")</f>
        <v>ARPT/Documentation/ESS Staff</v>
      </c>
      <c r="J1978" s="164" t="str">
        <f ca="1">IFERROR(__xludf.DUMMYFUNCTION("""COMPUTED_VALUE"""),"2023-06-017")</f>
        <v>2023-06-017</v>
      </c>
      <c r="K1978" s="164" t="str">
        <f ca="1">IFERROR(__xludf.DUMMYFUNCTION("""COMPUTED_VALUE"""),"JOEL C. CARASIG (DARMO-NARRA)")</f>
        <v>JOEL C. CARASIG (DARMO-NARRA)</v>
      </c>
      <c r="L1978" s="164" t="str">
        <f ca="1">IFERROR(__xludf.DUMMYFUNCTION("""COMPUTED_VALUE"""),"LTSPD")</f>
        <v>LTSPD</v>
      </c>
      <c r="M1978" s="164" t="str">
        <f ca="1">IFERROR(__xludf.DUMMYFUNCTION("""COMPUTED_VALUE"""),"SERVICEABLE")</f>
        <v>SERVICEABLE</v>
      </c>
      <c r="N1978" s="164"/>
    </row>
    <row r="1979" spans="1:14" ht="13.2" hidden="1">
      <c r="A1979" s="164" t="str">
        <f ca="1">IFERROR(__xludf.DUMMYFUNCTION("""COMPUTED_VALUE"""),"Region IV-B")</f>
        <v>Region IV-B</v>
      </c>
      <c r="B1979" s="164" t="str">
        <f ca="1">IFERROR(__xludf.DUMMYFUNCTION("""COMPUTED_VALUE"""),"Palawan")</f>
        <v>Palawan</v>
      </c>
      <c r="C1979" s="164" t="str">
        <f ca="1">IFERROR(__xludf.DUMMYFUNCTION("""COMPUTED_VALUE"""),"Motorcycle – (Honda XRL 150)")</f>
        <v>Motorcycle – (Honda XRL 150)</v>
      </c>
      <c r="D1979" s="164" t="str">
        <f ca="1">IFERROR(__xludf.DUMMYFUNCTION("""COMPUTED_VALUE"""),"₱ 124,900.00")</f>
        <v>₱ 124,900.00</v>
      </c>
      <c r="E1979" s="164" t="str">
        <f ca="1">IFERROR(__xludf.DUMMYFUNCTION("""COMPUTED_VALUE"""),"₱ -")</f>
        <v>₱ -</v>
      </c>
      <c r="F1979" s="164" t="str">
        <f ca="1">IFERROR(__xludf.DUMMYFUNCTION("""COMPUTED_VALUE"""),"2023-06-01-10202SP162-01")</f>
        <v>2023-06-01-10202SP162-01</v>
      </c>
      <c r="G1979" s="164" t="str">
        <f ca="1">IFERROR(__xludf.DUMMYFUNCTION("""COMPUTED_VALUE"""),"no plate available")</f>
        <v>no plate available</v>
      </c>
      <c r="H1979" s="164" t="str">
        <f ca="1">IFERROR(__xludf.DUMMYFUNCTION("""COMPUTED_VALUE"""),"ARLYN B. DORIA")</f>
        <v>ARLYN B. DORIA</v>
      </c>
      <c r="I1979" s="164" t="str">
        <f ca="1">IFERROR(__xludf.DUMMYFUNCTION("""COMPUTED_VALUE"""),"AO IV/Project Procurement Officer")</f>
        <v>AO IV/Project Procurement Officer</v>
      </c>
      <c r="J1979" s="164" t="str">
        <f ca="1">IFERROR(__xludf.DUMMYFUNCTION("""COMPUTED_VALUE"""),"2023-06-018")</f>
        <v>2023-06-018</v>
      </c>
      <c r="K1979" s="164" t="str">
        <f ca="1">IFERROR(__xludf.DUMMYFUNCTION("""COMPUTED_VALUE"""),"SILHOUETTE B. ADOBAS")</f>
        <v>SILHOUETTE B. ADOBAS</v>
      </c>
      <c r="L1979" s="164" t="str">
        <f ca="1">IFERROR(__xludf.DUMMYFUNCTION("""COMPUTED_VALUE"""),"STOD")</f>
        <v>STOD</v>
      </c>
      <c r="M1979" s="164" t="str">
        <f ca="1">IFERROR(__xludf.DUMMYFUNCTION("""COMPUTED_VALUE"""),"SERVICEABLE")</f>
        <v>SERVICEABLE</v>
      </c>
      <c r="N1979" s="164"/>
    </row>
    <row r="1980" spans="1:14" ht="13.2" hidden="1">
      <c r="A1980" s="164" t="str">
        <f ca="1">IFERROR(__xludf.DUMMYFUNCTION("""COMPUTED_VALUE"""),"Region IV-B")</f>
        <v>Region IV-B</v>
      </c>
      <c r="B1980" s="164" t="str">
        <f ca="1">IFERROR(__xludf.DUMMYFUNCTION("""COMPUTED_VALUE"""),"Palawan")</f>
        <v>Palawan</v>
      </c>
      <c r="C1980" s="164" t="str">
        <f ca="1">IFERROR(__xludf.DUMMYFUNCTION("""COMPUTED_VALUE"""),"Motorcycle – (Honda XRL 150)")</f>
        <v>Motorcycle – (Honda XRL 150)</v>
      </c>
      <c r="D1980" s="164" t="str">
        <f ca="1">IFERROR(__xludf.DUMMYFUNCTION("""COMPUTED_VALUE"""),"₱ 124,900.00")</f>
        <v>₱ 124,900.00</v>
      </c>
      <c r="E1980" s="164" t="str">
        <f ca="1">IFERROR(__xludf.DUMMYFUNCTION("""COMPUTED_VALUE"""),"₱ -")</f>
        <v>₱ -</v>
      </c>
      <c r="F1980" s="164" t="str">
        <f ca="1">IFERROR(__xludf.DUMMYFUNCTION("""COMPUTED_VALUE"""),"2023-06-01-10202SP163-01")</f>
        <v>2023-06-01-10202SP163-01</v>
      </c>
      <c r="G1980" s="164" t="str">
        <f ca="1">IFERROR(__xludf.DUMMYFUNCTION("""COMPUTED_VALUE"""),"no plate available")</f>
        <v>no plate available</v>
      </c>
      <c r="H1980" s="164" t="str">
        <f ca="1">IFERROR(__xludf.DUMMYFUNCTION("""COMPUTED_VALUE"""),"MARGIE S. DOFITAS")</f>
        <v>MARGIE S. DOFITAS</v>
      </c>
      <c r="I1980" s="164" t="str">
        <f ca="1">IFERROR(__xludf.DUMMYFUNCTION("""COMPUTED_VALUE"""),"STENOGRAPHIC REPORTER/MIS Coordinator")</f>
        <v>STENOGRAPHIC REPORTER/MIS Coordinator</v>
      </c>
      <c r="J1980" s="164" t="str">
        <f ca="1">IFERROR(__xludf.DUMMYFUNCTION("""COMPUTED_VALUE"""),"2023-06-019")</f>
        <v>2023-06-019</v>
      </c>
      <c r="K1980" s="164" t="str">
        <f ca="1">IFERROR(__xludf.DUMMYFUNCTION("""COMPUTED_VALUE"""),"GENARO G. HERMAN, JR.")</f>
        <v>GENARO G. HERMAN, JR.</v>
      </c>
      <c r="L1980" s="164" t="str">
        <f ca="1">IFERROR(__xludf.DUMMYFUNCTION("""COMPUTED_VALUE"""),"LTSPD")</f>
        <v>LTSPD</v>
      </c>
      <c r="M1980" s="164" t="str">
        <f ca="1">IFERROR(__xludf.DUMMYFUNCTION("""COMPUTED_VALUE"""),"SERVICEABLE")</f>
        <v>SERVICEABLE</v>
      </c>
      <c r="N1980" s="164"/>
    </row>
    <row r="1981" spans="1:14" ht="13.2" hidden="1">
      <c r="A1981" s="164" t="str">
        <f ca="1">IFERROR(__xludf.DUMMYFUNCTION("""COMPUTED_VALUE"""),"Region IV-B")</f>
        <v>Region IV-B</v>
      </c>
      <c r="B1981" s="164" t="str">
        <f ca="1">IFERROR(__xludf.DUMMYFUNCTION("""COMPUTED_VALUE"""),"Romblon")</f>
        <v>Romblon</v>
      </c>
      <c r="C1981" s="164" t="str">
        <f ca="1">IFERROR(__xludf.DUMMYFUNCTION("""COMPUTED_VALUE"""),"Motorcycle – (Honda XRL 150)")</f>
        <v>Motorcycle – (Honda XRL 150)</v>
      </c>
      <c r="D1981" s="164" t="str">
        <f ca="1">IFERROR(__xludf.DUMMYFUNCTION("""COMPUTED_VALUE"""),"₱ 124,900.00")</f>
        <v>₱ 124,900.00</v>
      </c>
      <c r="E1981" s="164" t="str">
        <f ca="1">IFERROR(__xludf.DUMMYFUNCTION("""COMPUTED_VALUE"""),"₱ -")</f>
        <v>₱ -</v>
      </c>
      <c r="F1981" s="164" t="str">
        <f ca="1">IFERROR(__xludf.DUMMYFUNCTION("""COMPUTED_VALUE"""),"2023-06-01-10202SP165-01")</f>
        <v>2023-06-01-10202SP165-01</v>
      </c>
      <c r="G1981" s="164" t="str">
        <f ca="1">IFERROR(__xludf.DUMMYFUNCTION("""COMPUTED_VALUE"""),"765 SNE")</f>
        <v>765 SNE</v>
      </c>
      <c r="H1981" s="164" t="str">
        <f ca="1">IFERROR(__xludf.DUMMYFUNCTION("""COMPUTED_VALUE"""),"WILFRED GABUTERO")</f>
        <v>WILFRED GABUTERO</v>
      </c>
      <c r="I1981" s="164" t="str">
        <f ca="1">IFERROR(__xludf.DUMMYFUNCTION("""COMPUTED_VALUE"""),"SARPT")</f>
        <v>SARPT</v>
      </c>
      <c r="J1981" s="164" t="str">
        <f ca="1">IFERROR(__xludf.DUMMYFUNCTION("""COMPUTED_VALUE"""),"2023-05-001")</f>
        <v>2023-05-001</v>
      </c>
      <c r="K1981" s="164" t="str">
        <f ca="1">IFERROR(__xludf.DUMMYFUNCTION("""COMPUTED_VALUE"""),"WILFRED GABUTERO")</f>
        <v>WILFRED GABUTERO</v>
      </c>
      <c r="L1981" s="164" t="str">
        <f ca="1">IFERROR(__xludf.DUMMYFUNCTION("""COMPUTED_VALUE"""),"LTSPD")</f>
        <v>LTSPD</v>
      </c>
      <c r="M1981" s="164" t="str">
        <f ca="1">IFERROR(__xludf.DUMMYFUNCTION("""COMPUTED_VALUE"""),"SERVICEABLE")</f>
        <v>SERVICEABLE</v>
      </c>
      <c r="N1981" s="164"/>
    </row>
    <row r="1982" spans="1:14" ht="13.2" hidden="1">
      <c r="A1982" s="164" t="str">
        <f ca="1">IFERROR(__xludf.DUMMYFUNCTION("""COMPUTED_VALUE"""),"Region IV-B")</f>
        <v>Region IV-B</v>
      </c>
      <c r="B1982" s="164" t="str">
        <f ca="1">IFERROR(__xludf.DUMMYFUNCTION("""COMPUTED_VALUE"""),"Marinduque")</f>
        <v>Marinduque</v>
      </c>
      <c r="C1982" s="164" t="str">
        <f ca="1">IFERROR(__xludf.DUMMYFUNCTION("""COMPUTED_VALUE"""),"Motorcycle – (Honda XRL 150)")</f>
        <v>Motorcycle – (Honda XRL 150)</v>
      </c>
      <c r="D1982" s="164" t="str">
        <f ca="1">IFERROR(__xludf.DUMMYFUNCTION("""COMPUTED_VALUE"""),"₱ 1,752,400.00")</f>
        <v>₱ 1,752,400.00</v>
      </c>
      <c r="E1982" s="164" t="str">
        <f ca="1">IFERROR(__xludf.DUMMYFUNCTION("""COMPUTED_VALUE"""),"₱ -")</f>
        <v>₱ -</v>
      </c>
      <c r="F1982" s="164" t="str">
        <f ca="1">IFERROR(__xludf.DUMMYFUNCTION("""COMPUTED_VALUE"""),"2023-06-01-10202sp144-01")</f>
        <v>2023-06-01-10202sp144-01</v>
      </c>
      <c r="G1982" s="164"/>
      <c r="H1982" s="164" t="str">
        <f ca="1">IFERROR(__xludf.DUMMYFUNCTION("""COMPUTED_VALUE"""),"NEIL CARLO FABALEÑA")</f>
        <v>NEIL CARLO FABALEÑA</v>
      </c>
      <c r="I1982" s="164" t="str">
        <f ca="1">IFERROR(__xludf.DUMMYFUNCTION("""COMPUTED_VALUE"""),"ARPT")</f>
        <v>ARPT</v>
      </c>
      <c r="J1982" s="164" t="str">
        <f ca="1">IFERROR(__xludf.DUMMYFUNCTION("""COMPUTED_VALUE"""),"2023-06-06")</f>
        <v>2023-06-06</v>
      </c>
      <c r="K1982" s="164" t="str">
        <f ca="1">IFERROR(__xludf.DUMMYFUNCTION("""COMPUTED_VALUE"""),"NEIL CARLO FABALEÑA")</f>
        <v>NEIL CARLO FABALEÑA</v>
      </c>
      <c r="L1982" s="164" t="str">
        <f ca="1">IFERROR(__xludf.DUMMYFUNCTION("""COMPUTED_VALUE"""),"DARMO BOAC")</f>
        <v>DARMO BOAC</v>
      </c>
      <c r="M1982" s="164" t="str">
        <f ca="1">IFERROR(__xludf.DUMMYFUNCTION("""COMPUTED_VALUE"""),"SERVICEABLE")</f>
        <v>SERVICEABLE</v>
      </c>
      <c r="N1982" s="164"/>
    </row>
    <row r="1983" spans="1:14" ht="13.2" hidden="1">
      <c r="A1983" s="164" t="str">
        <f ca="1">IFERROR(__xludf.DUMMYFUNCTION("""COMPUTED_VALUE"""),"Region IV-B")</f>
        <v>Region IV-B</v>
      </c>
      <c r="B1983" s="164" t="str">
        <f ca="1">IFERROR(__xludf.DUMMYFUNCTION("""COMPUTED_VALUE"""),"Marinduque")</f>
        <v>Marinduque</v>
      </c>
      <c r="C1983" s="164" t="str">
        <f ca="1">IFERROR(__xludf.DUMMYFUNCTION("""COMPUTED_VALUE"""),"Motorcycle – (Honda XRL 150)")</f>
        <v>Motorcycle – (Honda XRL 150)</v>
      </c>
      <c r="D1983" s="164" t="str">
        <f ca="1">IFERROR(__xludf.DUMMYFUNCTION("""COMPUTED_VALUE"""),"₱ 1,752,400.00")</f>
        <v>₱ 1,752,400.00</v>
      </c>
      <c r="E1983" s="164" t="str">
        <f ca="1">IFERROR(__xludf.DUMMYFUNCTION("""COMPUTED_VALUE"""),"₱ -")</f>
        <v>₱ -</v>
      </c>
      <c r="F1983" s="164" t="str">
        <f ca="1">IFERROR(__xludf.DUMMYFUNCTION("""COMPUTED_VALUE"""),"2023-06-01-10202SP145-01")</f>
        <v>2023-06-01-10202SP145-01</v>
      </c>
      <c r="G1983" s="164"/>
      <c r="H1983" s="164" t="str">
        <f ca="1">IFERROR(__xludf.DUMMYFUNCTION("""COMPUTED_VALUE"""),"JOHN PAOLO M. LLANES")</f>
        <v>JOHN PAOLO M. LLANES</v>
      </c>
      <c r="I1983" s="164" t="str">
        <f ca="1">IFERROR(__xludf.DUMMYFUNCTION("""COMPUTED_VALUE"""),"ARPO I")</f>
        <v>ARPO I</v>
      </c>
      <c r="J1983" s="164" t="str">
        <f ca="1">IFERROR(__xludf.DUMMYFUNCTION("""COMPUTED_VALUE"""),"2023-03-02")</f>
        <v>2023-03-02</v>
      </c>
      <c r="K1983" s="164" t="str">
        <f ca="1">IFERROR(__xludf.DUMMYFUNCTION("""COMPUTED_VALUE"""),"JOHN PAOLO M. LLANES")</f>
        <v>JOHN PAOLO M. LLANES</v>
      </c>
      <c r="L1983" s="164" t="str">
        <f ca="1">IFERROR(__xludf.DUMMYFUNCTION("""COMPUTED_VALUE"""),"DARMO BOAC")</f>
        <v>DARMO BOAC</v>
      </c>
      <c r="M1983" s="164" t="str">
        <f ca="1">IFERROR(__xludf.DUMMYFUNCTION("""COMPUTED_VALUE"""),"SERVICEABLE")</f>
        <v>SERVICEABLE</v>
      </c>
      <c r="N1983" s="164"/>
    </row>
    <row r="1984" spans="1:14" ht="13.2" hidden="1">
      <c r="A1984" s="164" t="str">
        <f ca="1">IFERROR(__xludf.DUMMYFUNCTION("""COMPUTED_VALUE"""),"Region IV-B")</f>
        <v>Region IV-B</v>
      </c>
      <c r="B1984" s="164" t="str">
        <f ca="1">IFERROR(__xludf.DUMMYFUNCTION("""COMPUTED_VALUE"""),"Marinduque")</f>
        <v>Marinduque</v>
      </c>
      <c r="C1984" s="164" t="str">
        <f ca="1">IFERROR(__xludf.DUMMYFUNCTION("""COMPUTED_VALUE"""),"Motorcycle – (Honda XRL 150)")</f>
        <v>Motorcycle – (Honda XRL 150)</v>
      </c>
      <c r="D1984" s="164" t="str">
        <f ca="1">IFERROR(__xludf.DUMMYFUNCTION("""COMPUTED_VALUE"""),"₱ 1,752,400.00")</f>
        <v>₱ 1,752,400.00</v>
      </c>
      <c r="E1984" s="164" t="str">
        <f ca="1">IFERROR(__xludf.DUMMYFUNCTION("""COMPUTED_VALUE"""),"₱ -")</f>
        <v>₱ -</v>
      </c>
      <c r="F1984" s="164" t="str">
        <f ca="1">IFERROR(__xludf.DUMMYFUNCTION("""COMPUTED_VALUE"""),"2023-06-01-10202SP146-01")</f>
        <v>2023-06-01-10202SP146-01</v>
      </c>
      <c r="G1984" s="164"/>
      <c r="H1984" s="164" t="str">
        <f ca="1">IFERROR(__xludf.DUMMYFUNCTION("""COMPUTED_VALUE"""),"JERRY B. JAYAG")</f>
        <v>JERRY B. JAYAG</v>
      </c>
      <c r="I1984" s="164" t="str">
        <f ca="1">IFERROR(__xludf.DUMMYFUNCTION("""COMPUTED_VALUE"""),"ARPT")</f>
        <v>ARPT</v>
      </c>
      <c r="J1984" s="164" t="str">
        <f ca="1">IFERROR(__xludf.DUMMYFUNCTION("""COMPUTED_VALUE"""),"2023-06-03")</f>
        <v>2023-06-03</v>
      </c>
      <c r="K1984" s="164" t="str">
        <f ca="1">IFERROR(__xludf.DUMMYFUNCTION("""COMPUTED_VALUE"""),"JERRY B. JAYAG")</f>
        <v>JERRY B. JAYAG</v>
      </c>
      <c r="L1984" s="164" t="str">
        <f ca="1">IFERROR(__xludf.DUMMYFUNCTION("""COMPUTED_VALUE"""),"DARMO TORIJOS")</f>
        <v>DARMO TORIJOS</v>
      </c>
      <c r="M1984" s="164" t="str">
        <f ca="1">IFERROR(__xludf.DUMMYFUNCTION("""COMPUTED_VALUE"""),"SERVICEABLE")</f>
        <v>SERVICEABLE</v>
      </c>
      <c r="N1984" s="164"/>
    </row>
    <row r="1985" spans="1:14" ht="13.2" hidden="1">
      <c r="A1985" s="164" t="str">
        <f ca="1">IFERROR(__xludf.DUMMYFUNCTION("""COMPUTED_VALUE"""),"Region IV-B")</f>
        <v>Region IV-B</v>
      </c>
      <c r="B1985" s="164" t="str">
        <f ca="1">IFERROR(__xludf.DUMMYFUNCTION("""COMPUTED_VALUE"""),"Marinduque")</f>
        <v>Marinduque</v>
      </c>
      <c r="C1985" s="164" t="str">
        <f ca="1">IFERROR(__xludf.DUMMYFUNCTION("""COMPUTED_VALUE"""),"Motorcycle – (Honda XRL 150)")</f>
        <v>Motorcycle – (Honda XRL 150)</v>
      </c>
      <c r="D1985" s="164" t="str">
        <f ca="1">IFERROR(__xludf.DUMMYFUNCTION("""COMPUTED_VALUE"""),"₱ 1,752,400.00")</f>
        <v>₱ 1,752,400.00</v>
      </c>
      <c r="E1985" s="164" t="str">
        <f ca="1">IFERROR(__xludf.DUMMYFUNCTION("""COMPUTED_VALUE"""),"₱ -")</f>
        <v>₱ -</v>
      </c>
      <c r="F1985" s="164" t="str">
        <f ca="1">IFERROR(__xludf.DUMMYFUNCTION("""COMPUTED_VALUE"""),"2023-06-01-10202SP147-02")</f>
        <v>2023-06-01-10202SP147-02</v>
      </c>
      <c r="G1985" s="164"/>
      <c r="H1985" s="164" t="str">
        <f ca="1">IFERROR(__xludf.DUMMYFUNCTION("""COMPUTED_VALUE"""),"EMMANUEL M. LLAMAS")</f>
        <v>EMMANUEL M. LLAMAS</v>
      </c>
      <c r="I1985" s="164" t="str">
        <f ca="1">IFERROR(__xludf.DUMMYFUNCTION("""COMPUTED_VALUE"""),"ARPT")</f>
        <v>ARPT</v>
      </c>
      <c r="J1985" s="164" t="str">
        <f ca="1">IFERROR(__xludf.DUMMYFUNCTION("""COMPUTED_VALUE"""),"2023-06-01")</f>
        <v>2023-06-01</v>
      </c>
      <c r="K1985" s="164" t="str">
        <f ca="1">IFERROR(__xludf.DUMMYFUNCTION("""COMPUTED_VALUE"""),"EMMANUEL M. LLANES")</f>
        <v>EMMANUEL M. LLANES</v>
      </c>
      <c r="L1985" s="164" t="str">
        <f ca="1">IFERROR(__xludf.DUMMYFUNCTION("""COMPUTED_VALUE"""),"DARMO SANTA CRUZ")</f>
        <v>DARMO SANTA CRUZ</v>
      </c>
      <c r="M1985" s="164" t="str">
        <f ca="1">IFERROR(__xludf.DUMMYFUNCTION("""COMPUTED_VALUE"""),"SERVICEABLE")</f>
        <v>SERVICEABLE</v>
      </c>
      <c r="N1985" s="164"/>
    </row>
    <row r="1986" spans="1:14" ht="13.2" hidden="1">
      <c r="A1986" s="164" t="str">
        <f ca="1">IFERROR(__xludf.DUMMYFUNCTION("""COMPUTED_VALUE"""),"Region IV-B")</f>
        <v>Region IV-B</v>
      </c>
      <c r="B1986" s="164" t="str">
        <f ca="1">IFERROR(__xludf.DUMMYFUNCTION("""COMPUTED_VALUE"""),"Marinduque")</f>
        <v>Marinduque</v>
      </c>
      <c r="C1986" s="164" t="str">
        <f ca="1">IFERROR(__xludf.DUMMYFUNCTION("""COMPUTED_VALUE"""),"Motorcycle – (Honda XRL 150)")</f>
        <v>Motorcycle – (Honda XRL 150)</v>
      </c>
      <c r="D1986" s="164" t="str">
        <f ca="1">IFERROR(__xludf.DUMMYFUNCTION("""COMPUTED_VALUE"""),"₱ 1,752,400.00")</f>
        <v>₱ 1,752,400.00</v>
      </c>
      <c r="E1986" s="164" t="str">
        <f ca="1">IFERROR(__xludf.DUMMYFUNCTION("""COMPUTED_VALUE"""),"₱ -")</f>
        <v>₱ -</v>
      </c>
      <c r="F1986" s="164" t="str">
        <f ca="1">IFERROR(__xludf.DUMMYFUNCTION("""COMPUTED_VALUE"""),"2023-06-01-10202SP149-01")</f>
        <v>2023-06-01-10202SP149-01</v>
      </c>
      <c r="G1986" s="164"/>
      <c r="H1986" s="164" t="str">
        <f ca="1">IFERROR(__xludf.DUMMYFUNCTION("""COMPUTED_VALUE"""),"DORINA M. MALAPOTE")</f>
        <v>DORINA M. MALAPOTE</v>
      </c>
      <c r="I1986" s="164" t="str">
        <f ca="1">IFERROR(__xludf.DUMMYFUNCTION("""COMPUTED_VALUE"""),"ASST. STATISTICIAN")</f>
        <v>ASST. STATISTICIAN</v>
      </c>
      <c r="J1986" s="164" t="str">
        <f ca="1">IFERROR(__xludf.DUMMYFUNCTION("""COMPUTED_VALUE"""),"2023-12-17")</f>
        <v>2023-12-17</v>
      </c>
      <c r="K1986" s="164" t="str">
        <f ca="1">IFERROR(__xludf.DUMMYFUNCTION("""COMPUTED_VALUE"""),"DARPO MARINDUQUE")</f>
        <v>DARPO MARINDUQUE</v>
      </c>
      <c r="L1986" s="164" t="str">
        <f ca="1">IFERROR(__xludf.DUMMYFUNCTION("""COMPUTED_VALUE"""),"LTSPD")</f>
        <v>LTSPD</v>
      </c>
      <c r="M1986" s="164" t="str">
        <f ca="1">IFERROR(__xludf.DUMMYFUNCTION("""COMPUTED_VALUE"""),"SERVICEABLE")</f>
        <v>SERVICEABLE</v>
      </c>
      <c r="N1986" s="164"/>
    </row>
    <row r="1987" spans="1:14" ht="13.2" hidden="1">
      <c r="A1987" s="164" t="str">
        <f ca="1">IFERROR(__xludf.DUMMYFUNCTION("""COMPUTED_VALUE"""),"Region IV-B")</f>
        <v>Region IV-B</v>
      </c>
      <c r="B1987" s="164" t="str">
        <f ca="1">IFERROR(__xludf.DUMMYFUNCTION("""COMPUTED_VALUE"""),"Marinduque")</f>
        <v>Marinduque</v>
      </c>
      <c r="C1987" s="164" t="str">
        <f ca="1">IFERROR(__xludf.DUMMYFUNCTION("""COMPUTED_VALUE"""),"Motorcycle – (Honda XRL 150)")</f>
        <v>Motorcycle – (Honda XRL 150)</v>
      </c>
      <c r="D1987" s="164" t="str">
        <f ca="1">IFERROR(__xludf.DUMMYFUNCTION("""COMPUTED_VALUE"""),"₱ 1,752,400.00")</f>
        <v>₱ 1,752,400.00</v>
      </c>
      <c r="E1987" s="164" t="str">
        <f ca="1">IFERROR(__xludf.DUMMYFUNCTION("""COMPUTED_VALUE"""),"₱ -")</f>
        <v>₱ -</v>
      </c>
      <c r="F1987" s="164" t="str">
        <f ca="1">IFERROR(__xludf.DUMMYFUNCTION("""COMPUTED_VALUE"""),"2023-06-01-10202SP148-01")</f>
        <v>2023-06-01-10202SP148-01</v>
      </c>
      <c r="G1987" s="164"/>
      <c r="H1987" s="164" t="str">
        <f ca="1">IFERROR(__xludf.DUMMYFUNCTION("""COMPUTED_VALUE"""),"ALMA S.J. SENA")</f>
        <v>ALMA S.J. SENA</v>
      </c>
      <c r="I1987" s="164" t="str">
        <f ca="1">IFERROR(__xludf.DUMMYFUNCTION("""COMPUTED_VALUE"""),"HRM AIDE")</f>
        <v>HRM AIDE</v>
      </c>
      <c r="J1987" s="164" t="str">
        <f ca="1">IFERROR(__xludf.DUMMYFUNCTION("""COMPUTED_VALUE"""),"2023-12-18")</f>
        <v>2023-12-18</v>
      </c>
      <c r="K1987" s="164" t="str">
        <f ca="1">IFERROR(__xludf.DUMMYFUNCTION("""COMPUTED_VALUE"""),"DARPO MARINDUQUE")</f>
        <v>DARPO MARINDUQUE</v>
      </c>
      <c r="L1987" s="164" t="str">
        <f ca="1">IFERROR(__xludf.DUMMYFUNCTION("""COMPUTED_VALUE"""),"LTSPD")</f>
        <v>LTSPD</v>
      </c>
      <c r="M1987" s="164" t="str">
        <f ca="1">IFERROR(__xludf.DUMMYFUNCTION("""COMPUTED_VALUE"""),"SERVICEABLE")</f>
        <v>SERVICEABLE</v>
      </c>
      <c r="N1987" s="164"/>
    </row>
    <row r="1988" spans="1:14" ht="13.2" hidden="1">
      <c r="A1988" s="164" t="str">
        <f ca="1">IFERROR(__xludf.DUMMYFUNCTION("""COMPUTED_VALUE"""),"Region IV-B")</f>
        <v>Region IV-B</v>
      </c>
      <c r="B1988" s="164" t="str">
        <f ca="1">IFERROR(__xludf.DUMMYFUNCTION("""COMPUTED_VALUE"""),"Occidental Mindoro")</f>
        <v>Occidental Mindoro</v>
      </c>
      <c r="C1988" s="164" t="str">
        <f ca="1">IFERROR(__xludf.DUMMYFUNCTION("""COMPUTED_VALUE"""),"Motorcycle – (Honda XRL 150)")</f>
        <v>Motorcycle – (Honda XRL 150)</v>
      </c>
      <c r="D1988" s="164" t="str">
        <f ca="1">IFERROR(__xludf.DUMMYFUNCTION("""COMPUTED_VALUE"""),"₱ 1,752,400.00")</f>
        <v>₱ 1,752,400.00</v>
      </c>
      <c r="E1988" s="164" t="str">
        <f ca="1">IFERROR(__xludf.DUMMYFUNCTION("""COMPUTED_VALUE"""),"₱ -")</f>
        <v>₱ -</v>
      </c>
      <c r="F1988" s="164" t="str">
        <f ca="1">IFERROR(__xludf.DUMMYFUNCTION("""COMPUTED_VALUE"""),"2023-06-01-102022P164-01")</f>
        <v>2023-06-01-102022P164-01</v>
      </c>
      <c r="G1988" s="164"/>
      <c r="H1988" s="164" t="str">
        <f ca="1">IFERROR(__xludf.DUMMYFUNCTION("""COMPUTED_VALUE"""),"Ferdinand M De Gala")</f>
        <v>Ferdinand M De Gala</v>
      </c>
      <c r="I1988" s="164" t="str">
        <f ca="1">IFERROR(__xludf.DUMMYFUNCTION("""COMPUTED_VALUE"""),"OIC PARPO II")</f>
        <v>OIC PARPO II</v>
      </c>
      <c r="J1988" s="164" t="str">
        <f ca="1">IFERROR(__xludf.DUMMYFUNCTION("""COMPUTED_VALUE"""),"2023-10-0005")</f>
        <v>2023-10-0005</v>
      </c>
      <c r="K1988" s="164" t="str">
        <f ca="1">IFERROR(__xludf.DUMMYFUNCTION("""COMPUTED_VALUE"""),"ISAGANI G. PLACIDO")</f>
        <v>ISAGANI G. PLACIDO</v>
      </c>
      <c r="L1988" s="164" t="str">
        <f ca="1">IFERROR(__xludf.DUMMYFUNCTION("""COMPUTED_VALUE"""),"PARPO'S OFFICE")</f>
        <v>PARPO'S OFFICE</v>
      </c>
      <c r="M1988" s="164" t="str">
        <f ca="1">IFERROR(__xludf.DUMMYFUNCTION("""COMPUTED_VALUE"""),"SERVICEABLE")</f>
        <v>SERVICEABLE</v>
      </c>
      <c r="N1988" s="164"/>
    </row>
    <row r="1989" spans="1:14" ht="13.2" hidden="1">
      <c r="A1989" s="164" t="str">
        <f ca="1">IFERROR(__xludf.DUMMYFUNCTION("""COMPUTED_VALUE"""),"Region IV-B")</f>
        <v>Region IV-B</v>
      </c>
      <c r="B1989" s="164" t="str">
        <f ca="1">IFERROR(__xludf.DUMMYFUNCTION("""COMPUTED_VALUE"""),"Occidental Mindoro")</f>
        <v>Occidental Mindoro</v>
      </c>
      <c r="C1989" s="164" t="str">
        <f ca="1">IFERROR(__xludf.DUMMYFUNCTION("""COMPUTED_VALUE"""),"Motorcycle – (Honda XRL 150)")</f>
        <v>Motorcycle – (Honda XRL 150)</v>
      </c>
      <c r="D1989" s="164" t="str">
        <f ca="1">IFERROR(__xludf.DUMMYFUNCTION("""COMPUTED_VALUE"""),"₱ 1,752,400.00")</f>
        <v>₱ 1,752,400.00</v>
      </c>
      <c r="E1989" s="164" t="str">
        <f ca="1">IFERROR(__xludf.DUMMYFUNCTION("""COMPUTED_VALUE"""),"₱ -")</f>
        <v>₱ -</v>
      </c>
      <c r="F1989" s="164" t="str">
        <f ca="1">IFERROR(__xludf.DUMMYFUNCTION("""COMPUTED_VALUE"""),"2023-06-01-102022P150-01")</f>
        <v>2023-06-01-102022P150-01</v>
      </c>
      <c r="G1989" s="164"/>
      <c r="H1989" s="164" t="str">
        <f ca="1">IFERROR(__xludf.DUMMYFUNCTION("""COMPUTED_VALUE"""),"Ferdinand M De Gala")</f>
        <v>Ferdinand M De Gala</v>
      </c>
      <c r="I1989" s="164" t="str">
        <f ca="1">IFERROR(__xludf.DUMMYFUNCTION("""COMPUTED_VALUE"""),"OIC PARPO II")</f>
        <v>OIC PARPO II</v>
      </c>
      <c r="J1989" s="164" t="str">
        <f ca="1">IFERROR(__xludf.DUMMYFUNCTION("""COMPUTED_VALUE"""),"2023-10-0005")</f>
        <v>2023-10-0005</v>
      </c>
      <c r="K1989" s="164" t="str">
        <f ca="1">IFERROR(__xludf.DUMMYFUNCTION("""COMPUTED_VALUE"""),"ISAGANI G. PLACIDO")</f>
        <v>ISAGANI G. PLACIDO</v>
      </c>
      <c r="L1989" s="164" t="str">
        <f ca="1">IFERROR(__xludf.DUMMYFUNCTION("""COMPUTED_VALUE"""),"PARPO'S OFFICE")</f>
        <v>PARPO'S OFFICE</v>
      </c>
      <c r="M1989" s="164" t="str">
        <f ca="1">IFERROR(__xludf.DUMMYFUNCTION("""COMPUTED_VALUE"""),"SERVICEABLE")</f>
        <v>SERVICEABLE</v>
      </c>
      <c r="N1989" s="164"/>
    </row>
    <row r="1990" spans="1:14" ht="13.2" hidden="1">
      <c r="A1990" s="164" t="str">
        <f ca="1">IFERROR(__xludf.DUMMYFUNCTION("""COMPUTED_VALUE"""),"Region IV-B")</f>
        <v>Region IV-B</v>
      </c>
      <c r="B1990" s="164" t="str">
        <f ca="1">IFERROR(__xludf.DUMMYFUNCTION("""COMPUTED_VALUE"""),"Oriental Mindoro")</f>
        <v>Oriental Mindoro</v>
      </c>
      <c r="C1990" s="164" t="str">
        <f ca="1">IFERROR(__xludf.DUMMYFUNCTION("""COMPUTED_VALUE"""),"Motorcycle – (Honda XRL 150)")</f>
        <v>Motorcycle – (Honda XRL 150)</v>
      </c>
      <c r="D1990" s="164" t="str">
        <f ca="1">IFERROR(__xludf.DUMMYFUNCTION("""COMPUTED_VALUE"""),"₱ 1,752,400.00")</f>
        <v>₱ 1,752,400.00</v>
      </c>
      <c r="E1990" s="164" t="str">
        <f ca="1">IFERROR(__xludf.DUMMYFUNCTION("""COMPUTED_VALUE"""),"₱ -")</f>
        <v>₱ -</v>
      </c>
      <c r="F1990" s="164" t="str">
        <f ca="1">IFERROR(__xludf.DUMMYFUNCTION("""COMPUTED_VALUE"""),"2023-06-01-10202SP151-01")</f>
        <v>2023-06-01-10202SP151-01</v>
      </c>
      <c r="G1990" s="164"/>
      <c r="H1990" s="164" t="str">
        <f ca="1">IFERROR(__xludf.DUMMYFUNCTION("""COMPUTED_VALUE"""),"ROCMA MACARASAM")</f>
        <v>ROCMA MACARASAM</v>
      </c>
      <c r="I1990" s="164" t="str">
        <f ca="1">IFERROR(__xludf.DUMMYFUNCTION("""COMPUTED_VALUE"""),"ARPO I")</f>
        <v>ARPO I</v>
      </c>
      <c r="J1990" s="164" t="str">
        <f ca="1">IFERROR(__xludf.DUMMYFUNCTION("""COMPUTED_VALUE"""),"23-023")</f>
        <v>23-023</v>
      </c>
      <c r="K1990" s="164" t="str">
        <f ca="1">IFERROR(__xludf.DUMMYFUNCTION("""COMPUTED_VALUE"""),"MOSES MARISCOTES")</f>
        <v>MOSES MARISCOTES</v>
      </c>
      <c r="L1990" s="164" t="str">
        <f ca="1">IFERROR(__xludf.DUMMYFUNCTION("""COMPUTED_VALUE"""),"DARMO C-2")</f>
        <v>DARMO C-2</v>
      </c>
      <c r="M1990" s="164" t="str">
        <f ca="1">IFERROR(__xludf.DUMMYFUNCTION("""COMPUTED_VALUE"""),"SERVICEABLE")</f>
        <v>SERVICEABLE</v>
      </c>
      <c r="N1990" s="164"/>
    </row>
    <row r="1991" spans="1:14" ht="13.2" hidden="1">
      <c r="A1991" s="164" t="str">
        <f ca="1">IFERROR(__xludf.DUMMYFUNCTION("""COMPUTED_VALUE"""),"Region IV-B")</f>
        <v>Region IV-B</v>
      </c>
      <c r="B1991" s="164" t="str">
        <f ca="1">IFERROR(__xludf.DUMMYFUNCTION("""COMPUTED_VALUE"""),"Oriental Mindoro")</f>
        <v>Oriental Mindoro</v>
      </c>
      <c r="C1991" s="164" t="str">
        <f ca="1">IFERROR(__xludf.DUMMYFUNCTION("""COMPUTED_VALUE"""),"Motorcycle – (Honda XRL 150)")</f>
        <v>Motorcycle – (Honda XRL 150)</v>
      </c>
      <c r="D1991" s="164" t="str">
        <f ca="1">IFERROR(__xludf.DUMMYFUNCTION("""COMPUTED_VALUE"""),"₱ 1,752,400.00")</f>
        <v>₱ 1,752,400.00</v>
      </c>
      <c r="E1991" s="164" t="str">
        <f ca="1">IFERROR(__xludf.DUMMYFUNCTION("""COMPUTED_VALUE"""),"₱ -")</f>
        <v>₱ -</v>
      </c>
      <c r="F1991" s="164" t="str">
        <f ca="1">IFERROR(__xludf.DUMMYFUNCTION("""COMPUTED_VALUE"""),"2023-06-1-10202SP152-01")</f>
        <v>2023-06-1-10202SP152-01</v>
      </c>
      <c r="G1991" s="164"/>
      <c r="H1991" s="164" t="str">
        <f ca="1">IFERROR(__xludf.DUMMYFUNCTION("""COMPUTED_VALUE"""),"LALAP, MARICEL P.")</f>
        <v>LALAP, MARICEL P.</v>
      </c>
      <c r="I1991" s="164" t="str">
        <f ca="1">IFERROR(__xludf.DUMMYFUNCTION("""COMPUTED_VALUE"""),"ACTING AO-IV")</f>
        <v>ACTING AO-IV</v>
      </c>
      <c r="J1991" s="164" t="str">
        <f ca="1">IFERROR(__xludf.DUMMYFUNCTION("""COMPUTED_VALUE"""),"23-024")</f>
        <v>23-024</v>
      </c>
      <c r="K1991" s="164" t="str">
        <f ca="1">IFERROR(__xludf.DUMMYFUNCTION("""COMPUTED_VALUE"""),"ALL DRIVERS")</f>
        <v>ALL DRIVERS</v>
      </c>
      <c r="L1991" s="164" t="str">
        <f ca="1">IFERROR(__xludf.DUMMYFUNCTION("""COMPUTED_VALUE"""),"STOD")</f>
        <v>STOD</v>
      </c>
      <c r="M1991" s="164" t="str">
        <f ca="1">IFERROR(__xludf.DUMMYFUNCTION("""COMPUTED_VALUE"""),"SERVICEABLE")</f>
        <v>SERVICEABLE</v>
      </c>
      <c r="N1991" s="164"/>
    </row>
    <row r="1992" spans="1:14" ht="13.2" hidden="1">
      <c r="A1992" s="164" t="str">
        <f ca="1">IFERROR(__xludf.DUMMYFUNCTION("""COMPUTED_VALUE"""),"Region IV-B")</f>
        <v>Region IV-B</v>
      </c>
      <c r="B1992" s="164" t="str">
        <f ca="1">IFERROR(__xludf.DUMMYFUNCTION("""COMPUTED_VALUE"""),"Oriental Mindoro")</f>
        <v>Oriental Mindoro</v>
      </c>
      <c r="C1992" s="164" t="str">
        <f ca="1">IFERROR(__xludf.DUMMYFUNCTION("""COMPUTED_VALUE"""),"Motorcycle – (Honda XRL 150)")</f>
        <v>Motorcycle – (Honda XRL 150)</v>
      </c>
      <c r="D1992" s="164" t="str">
        <f ca="1">IFERROR(__xludf.DUMMYFUNCTION("""COMPUTED_VALUE"""),"₱ 1,752,400.00")</f>
        <v>₱ 1,752,400.00</v>
      </c>
      <c r="E1992" s="164" t="str">
        <f ca="1">IFERROR(__xludf.DUMMYFUNCTION("""COMPUTED_VALUE"""),"₱ -")</f>
        <v>₱ -</v>
      </c>
      <c r="F1992" s="164" t="str">
        <f ca="1">IFERROR(__xludf.DUMMYFUNCTION("""COMPUTED_VALUE"""),"2023-06-01-10202SP153-01")</f>
        <v>2023-06-01-10202SP153-01</v>
      </c>
      <c r="G1992" s="164"/>
      <c r="H1992" s="164" t="str">
        <f ca="1">IFERROR(__xludf.DUMMYFUNCTION("""COMPUTED_VALUE"""),"JOHN CHRIS CRUZADO")</f>
        <v>JOHN CHRIS CRUZADO</v>
      </c>
      <c r="I1992" s="164" t="str">
        <f ca="1">IFERROR(__xludf.DUMMYFUNCTION("""COMPUTED_VALUE"""),"ARPT")</f>
        <v>ARPT</v>
      </c>
      <c r="J1992" s="164" t="str">
        <f ca="1">IFERROR(__xludf.DUMMYFUNCTION("""COMPUTED_VALUE"""),"23-025")</f>
        <v>23-025</v>
      </c>
      <c r="K1992" s="164" t="str">
        <f ca="1">IFERROR(__xludf.DUMMYFUNCTION("""COMPUTED_VALUE"""),"JOHN CHRIS CRUZADO")</f>
        <v>JOHN CHRIS CRUZADO</v>
      </c>
      <c r="L1992" s="164" t="str">
        <f ca="1">IFERROR(__xludf.DUMMYFUNCTION("""COMPUTED_VALUE"""),"DARMO C-5")</f>
        <v>DARMO C-5</v>
      </c>
      <c r="M1992" s="164" t="str">
        <f ca="1">IFERROR(__xludf.DUMMYFUNCTION("""COMPUTED_VALUE"""),"SERVICEABLE")</f>
        <v>SERVICEABLE</v>
      </c>
      <c r="N1992" s="164"/>
    </row>
    <row r="1993" spans="1:14" ht="13.2" hidden="1">
      <c r="A1993" s="164" t="str">
        <f ca="1">IFERROR(__xludf.DUMMYFUNCTION("""COMPUTED_VALUE"""),"Region IV-B")</f>
        <v>Region IV-B</v>
      </c>
      <c r="B1993" s="164" t="str">
        <f ca="1">IFERROR(__xludf.DUMMYFUNCTION("""COMPUTED_VALUE"""),"Regional Office")</f>
        <v>Regional Office</v>
      </c>
      <c r="C1993" s="164" t="str">
        <f ca="1">IFERROR(__xludf.DUMMYFUNCTION("""COMPUTED_VALUE"""),"Double Cabin Pick-up Vehicles – Mitsubishi Strada")</f>
        <v>Double Cabin Pick-up Vehicles – Mitsubishi Strada</v>
      </c>
      <c r="D1993" s="164" t="str">
        <f ca="1">IFERROR(__xludf.DUMMYFUNCTION("""COMPUTED_VALUE"""),"₱ 1,752,400.00")</f>
        <v>₱ 1,752,400.00</v>
      </c>
      <c r="E1993" s="164"/>
      <c r="F1993" s="164" t="str">
        <f ca="1">IFERROR(__xludf.DUMMYFUNCTION("""COMPUTED_VALUE"""),"2023-06-01-10201SP16-01")</f>
        <v>2023-06-01-10201SP16-01</v>
      </c>
      <c r="G1993" s="164" t="str">
        <f ca="1">IFERROR(__xludf.DUMMYFUNCTION("""COMPUTED_VALUE"""),"Y2-Z510/SNC 1040/NFX 1656")</f>
        <v>Y2-Z510/SNC 1040/NFX 1656</v>
      </c>
      <c r="H1993" s="164" t="str">
        <f ca="1">IFERROR(__xludf.DUMMYFUNCTION("""COMPUTED_VALUE"""),"JAZON COLLADO")</f>
        <v>JAZON COLLADO</v>
      </c>
      <c r="I1993" s="164" t="str">
        <f ca="1">IFERROR(__xludf.DUMMYFUNCTION("""COMPUTED_VALUE"""),"DIRECTOR IV")</f>
        <v>DIRECTOR IV</v>
      </c>
      <c r="J1993" s="164" t="str">
        <f ca="1">IFERROR(__xludf.DUMMYFUNCTION("""COMPUTED_VALUE"""),"2023-09-005MV")</f>
        <v>2023-09-005MV</v>
      </c>
      <c r="K1993" s="164"/>
      <c r="L1993" s="164" t="str">
        <f ca="1">IFERROR(__xludf.DUMMYFUNCTION("""COMPUTED_VALUE"""),"CRS")</f>
        <v>CRS</v>
      </c>
      <c r="M1993" s="164" t="str">
        <f ca="1">IFERROR(__xludf.DUMMYFUNCTION("""COMPUTED_VALUE"""),"SERVICEABLE")</f>
        <v>SERVICEABLE</v>
      </c>
      <c r="N1993" s="164"/>
    </row>
    <row r="1994" spans="1:14" ht="13.2" hidden="1">
      <c r="A1994" s="164" t="str">
        <f ca="1">IFERROR(__xludf.DUMMYFUNCTION("""COMPUTED_VALUE"""),"REGION V")</f>
        <v>REGION V</v>
      </c>
      <c r="B1994" s="164" t="str">
        <f ca="1">IFERROR(__xludf.DUMMYFUNCTION("""COMPUTED_VALUE"""),"DARROV")</f>
        <v>DARROV</v>
      </c>
      <c r="C1994" s="164" t="str">
        <f ca="1">IFERROR(__xludf.DUMMYFUNCTION("""COMPUTED_VALUE"""),"REAL-TIME KINEMATIC – GEOMAX ZENITH60")</f>
        <v>REAL-TIME KINEMATIC – GEOMAX ZENITH60</v>
      </c>
      <c r="D1994" s="164" t="str">
        <f ca="1">IFERROR(__xludf.DUMMYFUNCTION("""COMPUTED_VALUE"""),"₱ 1,849,000.00")</f>
        <v>₱ 1,849,000.00</v>
      </c>
      <c r="E1994" s="164" t="str">
        <f ca="1">IFERROR(__xludf.DUMMYFUNCTION("""COMPUTED_VALUE"""),"₱ -")</f>
        <v>₱ -</v>
      </c>
      <c r="F1994" s="164" t="str">
        <f ca="1">IFERROR(__xludf.DUMMYFUNCTION("""COMPUTED_VALUE"""),"2023-05-14-10201SP07-01")</f>
        <v>2023-05-14-10201SP07-01</v>
      </c>
      <c r="G1994" s="164" t="str">
        <f ca="1">IFERROR(__xludf.DUMMYFUNCTION("""COMPUTED_VALUE"""),"Sn2839856")</f>
        <v>Sn2839856</v>
      </c>
      <c r="H1994" s="164" t="str">
        <f ca="1">IFERROR(__xludf.DUMMYFUNCTION("""COMPUTED_VALUE"""),"MA. TERESA B. BANUA")</f>
        <v>MA. TERESA B. BANUA</v>
      </c>
      <c r="I1994" s="164" t="str">
        <f ca="1">IFERROR(__xludf.DUMMYFUNCTION("""COMPUTED_VALUE"""),"ENGR. III")</f>
        <v>ENGR. III</v>
      </c>
      <c r="J1994" s="164" t="str">
        <f ca="1">IFERROR(__xludf.DUMMYFUNCTION("""COMPUTED_VALUE"""),"PAR No. 2023-S/P-001")</f>
        <v>PAR No. 2023-S/P-001</v>
      </c>
      <c r="K1994" s="164" t="str">
        <f ca="1">IFERROR(__xludf.DUMMYFUNCTION("""COMPUTED_VALUE"""),"MA. TERESA B. BANUA")</f>
        <v>MA. TERESA B. BANUA</v>
      </c>
      <c r="L1994" s="164" t="str">
        <f ca="1">IFERROR(__xludf.DUMMYFUNCTION("""COMPUTED_VALUE"""),"LTID")</f>
        <v>LTID</v>
      </c>
      <c r="M1994" s="164" t="str">
        <f ca="1">IFERROR(__xludf.DUMMYFUNCTION("""COMPUTED_VALUE"""),"Serviceable")</f>
        <v>Serviceable</v>
      </c>
      <c r="N1994" s="164"/>
    </row>
    <row r="1995" spans="1:14" ht="13.2" hidden="1">
      <c r="A1995" s="164" t="str">
        <f ca="1">IFERROR(__xludf.DUMMYFUNCTION("""COMPUTED_VALUE"""),"REGION V")</f>
        <v>REGION V</v>
      </c>
      <c r="B1995" s="164" t="str">
        <f ca="1">IFERROR(__xludf.DUMMYFUNCTION("""COMPUTED_VALUE"""),"DARROV")</f>
        <v>DARROV</v>
      </c>
      <c r="C1995" s="164" t="str">
        <f ca="1">IFERROR(__xludf.DUMMYFUNCTION("""COMPUTED_VALUE"""),"TOTAL STATION – GEOMAX TOTAL STATION ZOOM 50")</f>
        <v>TOTAL STATION – GEOMAX TOTAL STATION ZOOM 50</v>
      </c>
      <c r="D1995" s="164" t="str">
        <f ca="1">IFERROR(__xludf.DUMMYFUNCTION("""COMPUTED_VALUE"""),"₱ 648,000.00")</f>
        <v>₱ 648,000.00</v>
      </c>
      <c r="E1995" s="164" t="str">
        <f ca="1">IFERROR(__xludf.DUMMYFUNCTION("""COMPUTED_VALUE"""),"₱ -")</f>
        <v>₱ -</v>
      </c>
      <c r="F1995" s="164" t="str">
        <f ca="1">IFERROR(__xludf.DUMMYFUNCTION("""COMPUTED_VALUE"""),"2023-05-14-10201SP07-01")</f>
        <v>2023-05-14-10201SP07-01</v>
      </c>
      <c r="G1995" s="164" t="str">
        <f ca="1">IFERROR(__xludf.DUMMYFUNCTION("""COMPUTED_VALUE"""),"Sn 260 ST272200114")</f>
        <v>Sn 260 ST272200114</v>
      </c>
      <c r="H1995" s="164" t="str">
        <f ca="1">IFERROR(__xludf.DUMMYFUNCTION("""COMPUTED_VALUE"""),"MA. TERESA B. BANUA")</f>
        <v>MA. TERESA B. BANUA</v>
      </c>
      <c r="I1995" s="164" t="str">
        <f ca="1">IFERROR(__xludf.DUMMYFUNCTION("""COMPUTED_VALUE"""),"ENGR. III")</f>
        <v>ENGR. III</v>
      </c>
      <c r="J1995" s="164" t="str">
        <f ca="1">IFERROR(__xludf.DUMMYFUNCTION("""COMPUTED_VALUE"""),"PAR No. 2023-S/P-001")</f>
        <v>PAR No. 2023-S/P-001</v>
      </c>
      <c r="K1995" s="164" t="str">
        <f ca="1">IFERROR(__xludf.DUMMYFUNCTION("""COMPUTED_VALUE"""),"MA. TERESA B. BANUA")</f>
        <v>MA. TERESA B. BANUA</v>
      </c>
      <c r="L1995" s="164" t="str">
        <f ca="1">IFERROR(__xludf.DUMMYFUNCTION("""COMPUTED_VALUE"""),"LTID")</f>
        <v>LTID</v>
      </c>
      <c r="M1995" s="164" t="str">
        <f ca="1">IFERROR(__xludf.DUMMYFUNCTION("""COMPUTED_VALUE"""),"Serviceable")</f>
        <v>Serviceable</v>
      </c>
      <c r="N1995" s="164"/>
    </row>
    <row r="1996" spans="1:14" ht="13.2" hidden="1">
      <c r="A1996" s="164" t="str">
        <f ca="1">IFERROR(__xludf.DUMMYFUNCTION("""COMPUTED_VALUE"""),"REGION V")</f>
        <v>REGION V</v>
      </c>
      <c r="B1996" s="164" t="str">
        <f ca="1">IFERROR(__xludf.DUMMYFUNCTION("""COMPUTED_VALUE"""),"DARROV")</f>
        <v>DARROV</v>
      </c>
      <c r="C1996" s="164" t="str">
        <f ca="1">IFERROR(__xludf.DUMMYFUNCTION("""COMPUTED_VALUE"""),"HANDHELD GPS – MODEL P6")</f>
        <v>HANDHELD GPS – MODEL P6</v>
      </c>
      <c r="D1996" s="164" t="str">
        <f ca="1">IFERROR(__xludf.DUMMYFUNCTION("""COMPUTED_VALUE"""),"₱ 79,000.00")</f>
        <v>₱ 79,000.00</v>
      </c>
      <c r="E1996" s="164" t="str">
        <f ca="1">IFERROR(__xludf.DUMMYFUNCTION("""COMPUTED_VALUE"""),"₱ -")</f>
        <v>₱ -</v>
      </c>
      <c r="F1996" s="164" t="str">
        <f ca="1">IFERROR(__xludf.DUMMYFUNCTION("""COMPUTED_VALUE"""),"2023-05-14-10201SP07-01")</f>
        <v>2023-05-14-10201SP07-01</v>
      </c>
      <c r="G1996" s="164" t="str">
        <f ca="1">IFERROR(__xludf.DUMMYFUNCTION("""COMPUTED_VALUE"""),"Sn1073104")</f>
        <v>Sn1073104</v>
      </c>
      <c r="H1996" s="164" t="str">
        <f ca="1">IFERROR(__xludf.DUMMYFUNCTION("""COMPUTED_VALUE"""),"MA. TERESA B. BANUA")</f>
        <v>MA. TERESA B. BANUA</v>
      </c>
      <c r="I1996" s="164" t="str">
        <f ca="1">IFERROR(__xludf.DUMMYFUNCTION("""COMPUTED_VALUE"""),"ENGR. III")</f>
        <v>ENGR. III</v>
      </c>
      <c r="J1996" s="164" t="str">
        <f ca="1">IFERROR(__xludf.DUMMYFUNCTION("""COMPUTED_VALUE"""),"PAR No. 2023-S/P-001")</f>
        <v>PAR No. 2023-S/P-001</v>
      </c>
      <c r="K1996" s="164" t="str">
        <f ca="1">IFERROR(__xludf.DUMMYFUNCTION("""COMPUTED_VALUE"""),"MA. TERESA B. BANUA")</f>
        <v>MA. TERESA B. BANUA</v>
      </c>
      <c r="L1996" s="164" t="str">
        <f ca="1">IFERROR(__xludf.DUMMYFUNCTION("""COMPUTED_VALUE"""),"LTID")</f>
        <v>LTID</v>
      </c>
      <c r="M1996" s="164" t="str">
        <f ca="1">IFERROR(__xludf.DUMMYFUNCTION("""COMPUTED_VALUE"""),"Serviceable")</f>
        <v>Serviceable</v>
      </c>
      <c r="N1996" s="164"/>
    </row>
    <row r="1997" spans="1:14" ht="13.2" hidden="1">
      <c r="A1997" s="164" t="str">
        <f ca="1">IFERROR(__xludf.DUMMYFUNCTION("""COMPUTED_VALUE"""),"REGION V")</f>
        <v>REGION V</v>
      </c>
      <c r="B1997" s="164" t="str">
        <f ca="1">IFERROR(__xludf.DUMMYFUNCTION("""COMPUTED_VALUE"""),"DARROV")</f>
        <v>DARROV</v>
      </c>
      <c r="C1997" s="164" t="str">
        <f ca="1">IFERROR(__xludf.DUMMYFUNCTION("""COMPUTED_VALUE"""),"Desktop Computer – (Lenovo M70T)")</f>
        <v>Desktop Computer – (Lenovo M70T)</v>
      </c>
      <c r="D1997" s="164" t="str">
        <f ca="1">IFERROR(__xludf.DUMMYFUNCTION("""COMPUTED_VALUE"""),"₱ 75,468.00")</f>
        <v>₱ 75,468.00</v>
      </c>
      <c r="E1997" s="164" t="str">
        <f ca="1">IFERROR(__xludf.DUMMYFUNCTION("""COMPUTED_VALUE"""),"₱ -")</f>
        <v>₱ -</v>
      </c>
      <c r="F1997" s="164" t="str">
        <f ca="1">IFERROR(__xludf.DUMMYFUNCTION("""COMPUTED_VALUE"""),"2023-05-03-1021SP1112-01")</f>
        <v>2023-05-03-1021SP1112-01</v>
      </c>
      <c r="G1997" s="164" t="str">
        <f ca="1">IFERROR(__xludf.DUMMYFUNCTION("""COMPUTED_VALUE"""),"Sn 1S11T56200GM041B54")</f>
        <v>Sn 1S11T56200GM041B54</v>
      </c>
      <c r="H1997" s="164" t="str">
        <f ca="1">IFERROR(__xludf.DUMMYFUNCTION("""COMPUTED_VALUE"""),"FLORENTINA R. ESCOLANO")</f>
        <v>FLORENTINA R. ESCOLANO</v>
      </c>
      <c r="I1997" s="164" t="str">
        <f ca="1">IFERROR(__xludf.DUMMYFUNCTION("""COMPUTED_VALUE"""),"OIC -CARPO")</f>
        <v>OIC -CARPO</v>
      </c>
      <c r="J1997" s="164" t="str">
        <f ca="1">IFERROR(__xludf.DUMMYFUNCTION("""COMPUTED_VALUE"""),"PAR No. 2023")</f>
        <v>PAR No. 2023</v>
      </c>
      <c r="K1997" s="164" t="str">
        <f ca="1">IFERROR(__xludf.DUMMYFUNCTION("""COMPUTED_VALUE"""),"Engr. Lady Lyn Perez")</f>
        <v>Engr. Lady Lyn Perez</v>
      </c>
      <c r="L1997" s="164" t="str">
        <f ca="1">IFERROR(__xludf.DUMMYFUNCTION("""COMPUTED_VALUE"""),"LTID")</f>
        <v>LTID</v>
      </c>
      <c r="M1997" s="164" t="str">
        <f ca="1">IFERROR(__xludf.DUMMYFUNCTION("""COMPUTED_VALUE"""),"Serviceable")</f>
        <v>Serviceable</v>
      </c>
      <c r="N1997" s="164"/>
    </row>
    <row r="1998" spans="1:14" ht="13.2" hidden="1">
      <c r="A1998" s="164" t="str">
        <f ca="1">IFERROR(__xludf.DUMMYFUNCTION("""COMPUTED_VALUE"""),"REGION V")</f>
        <v>REGION V</v>
      </c>
      <c r="B1998" s="164" t="str">
        <f ca="1">IFERROR(__xludf.DUMMYFUNCTION("""COMPUTED_VALUE"""),"DARROV")</f>
        <v>DARROV</v>
      </c>
      <c r="C1998" s="164" t="str">
        <f ca="1">IFERROR(__xludf.DUMMYFUNCTION("""COMPUTED_VALUE"""),"Desktop Computer – (Lenovo M70T)")</f>
        <v>Desktop Computer – (Lenovo M70T)</v>
      </c>
      <c r="D1998" s="164" t="str">
        <f ca="1">IFERROR(__xludf.DUMMYFUNCTION("""COMPUTED_VALUE"""),"₱ 75,468.00")</f>
        <v>₱ 75,468.00</v>
      </c>
      <c r="E1998" s="164" t="str">
        <f ca="1">IFERROR(__xludf.DUMMYFUNCTION("""COMPUTED_VALUE"""),"₱ -")</f>
        <v>₱ -</v>
      </c>
      <c r="F1998" s="164" t="str">
        <f ca="1">IFERROR(__xludf.DUMMYFUNCTION("""COMPUTED_VALUE"""),"2023-05-03-1021SP1113-01")</f>
        <v>2023-05-03-1021SP1113-01</v>
      </c>
      <c r="G1998" s="164" t="str">
        <f ca="1">IFERROR(__xludf.DUMMYFUNCTION("""COMPUTED_VALUE"""),"Sn 1S11T56200GM041B5L")</f>
        <v>Sn 1S11T56200GM041B5L</v>
      </c>
      <c r="H1998" s="164" t="str">
        <f ca="1">IFERROR(__xludf.DUMMYFUNCTION("""COMPUTED_VALUE"""),"FLORENTINA R. ESCOLANO")</f>
        <v>FLORENTINA R. ESCOLANO</v>
      </c>
      <c r="I1998" s="164" t="str">
        <f ca="1">IFERROR(__xludf.DUMMYFUNCTION("""COMPUTED_VALUE"""),"OIC -CARPO")</f>
        <v>OIC -CARPO</v>
      </c>
      <c r="J1998" s="164" t="str">
        <f ca="1">IFERROR(__xludf.DUMMYFUNCTION("""COMPUTED_VALUE"""),"PAR No. 2023")</f>
        <v>PAR No. 2023</v>
      </c>
      <c r="K1998" s="164" t="str">
        <f ca="1">IFERROR(__xludf.DUMMYFUNCTION("""COMPUTED_VALUE"""),"Ronnie Baldres")</f>
        <v>Ronnie Baldres</v>
      </c>
      <c r="L1998" s="164" t="str">
        <f ca="1">IFERROR(__xludf.DUMMYFUNCTION("""COMPUTED_VALUE"""),"LTID")</f>
        <v>LTID</v>
      </c>
      <c r="M1998" s="164" t="str">
        <f ca="1">IFERROR(__xludf.DUMMYFUNCTION("""COMPUTED_VALUE"""),"Serviceable")</f>
        <v>Serviceable</v>
      </c>
      <c r="N1998" s="164"/>
    </row>
    <row r="1999" spans="1:14" ht="13.2" hidden="1">
      <c r="A1999" s="164" t="str">
        <f ca="1">IFERROR(__xludf.DUMMYFUNCTION("""COMPUTED_VALUE"""),"REGION V")</f>
        <v>REGION V</v>
      </c>
      <c r="B1999" s="164" t="str">
        <f ca="1">IFERROR(__xludf.DUMMYFUNCTION("""COMPUTED_VALUE"""),"DARROV")</f>
        <v>DARROV</v>
      </c>
      <c r="C1999" s="164" t="str">
        <f ca="1">IFERROR(__xludf.DUMMYFUNCTION("""COMPUTED_VALUE"""),"Desktop Computer – (Lenovo M70T)")</f>
        <v>Desktop Computer – (Lenovo M70T)</v>
      </c>
      <c r="D1999" s="164" t="str">
        <f ca="1">IFERROR(__xludf.DUMMYFUNCTION("""COMPUTED_VALUE"""),"₱ 75,468.00")</f>
        <v>₱ 75,468.00</v>
      </c>
      <c r="E1999" s="164" t="str">
        <f ca="1">IFERROR(__xludf.DUMMYFUNCTION("""COMPUTED_VALUE"""),"₱ -")</f>
        <v>₱ -</v>
      </c>
      <c r="F1999" s="164" t="str">
        <f ca="1">IFERROR(__xludf.DUMMYFUNCTION("""COMPUTED_VALUE"""),"2023-05-03-1021SP1114-01")</f>
        <v>2023-05-03-1021SP1114-01</v>
      </c>
      <c r="G1999" s="164" t="str">
        <f ca="1">IFERROR(__xludf.DUMMYFUNCTION("""COMPUTED_VALUE"""),"Sn 1S11T56200GM041B5N")</f>
        <v>Sn 1S11T56200GM041B5N</v>
      </c>
      <c r="H1999" s="164" t="str">
        <f ca="1">IFERROR(__xludf.DUMMYFUNCTION("""COMPUTED_VALUE"""),"FLORENTINA R. ESCOLANO")</f>
        <v>FLORENTINA R. ESCOLANO</v>
      </c>
      <c r="I1999" s="164" t="str">
        <f ca="1">IFERROR(__xludf.DUMMYFUNCTION("""COMPUTED_VALUE"""),"OIC -CARPO")</f>
        <v>OIC -CARPO</v>
      </c>
      <c r="J1999" s="164" t="str">
        <f ca="1">IFERROR(__xludf.DUMMYFUNCTION("""COMPUTED_VALUE"""),"PAR No. 2023")</f>
        <v>PAR No. 2023</v>
      </c>
      <c r="K1999" s="164" t="str">
        <f ca="1">IFERROR(__xludf.DUMMYFUNCTION("""COMPUTED_VALUE"""),"Kenneth Ante")</f>
        <v>Kenneth Ante</v>
      </c>
      <c r="L1999" s="164" t="str">
        <f ca="1">IFERROR(__xludf.DUMMYFUNCTION("""COMPUTED_VALUE"""),"LTID")</f>
        <v>LTID</v>
      </c>
      <c r="M1999" s="164" t="str">
        <f ca="1">IFERROR(__xludf.DUMMYFUNCTION("""COMPUTED_VALUE"""),"Unserviceable")</f>
        <v>Unserviceable</v>
      </c>
      <c r="N1999" s="164" t="str">
        <f ca="1">IFERROR(__xludf.DUMMYFUNCTION("""COMPUTED_VALUE"""),"Monitor defective")</f>
        <v>Monitor defective</v>
      </c>
    </row>
    <row r="2000" spans="1:14" ht="13.2" hidden="1">
      <c r="A2000" s="164" t="str">
        <f ca="1">IFERROR(__xludf.DUMMYFUNCTION("""COMPUTED_VALUE"""),"REGION V")</f>
        <v>REGION V</v>
      </c>
      <c r="B2000" s="164" t="str">
        <f ca="1">IFERROR(__xludf.DUMMYFUNCTION("""COMPUTED_VALUE"""),"DARROV")</f>
        <v>DARROV</v>
      </c>
      <c r="C2000" s="164" t="str">
        <f ca="1">IFERROR(__xludf.DUMMYFUNCTION("""COMPUTED_VALUE"""),"Desktop Computer – (Lenovo M70T)")</f>
        <v>Desktop Computer – (Lenovo M70T)</v>
      </c>
      <c r="D2000" s="164" t="str">
        <f ca="1">IFERROR(__xludf.DUMMYFUNCTION("""COMPUTED_VALUE"""),"₱ 75,468.00")</f>
        <v>₱ 75,468.00</v>
      </c>
      <c r="E2000" s="164" t="str">
        <f ca="1">IFERROR(__xludf.DUMMYFUNCTION("""COMPUTED_VALUE"""),"₱ -")</f>
        <v>₱ -</v>
      </c>
      <c r="F2000" s="164" t="str">
        <f ca="1">IFERROR(__xludf.DUMMYFUNCTION("""COMPUTED_VALUE"""),"2023-05-03-1021SP1115-01")</f>
        <v>2023-05-03-1021SP1115-01</v>
      </c>
      <c r="G2000" s="164" t="str">
        <f ca="1">IFERROR(__xludf.DUMMYFUNCTION("""COMPUTED_VALUE"""),"Sn 1S11T56200GM041B67")</f>
        <v>Sn 1S11T56200GM041B67</v>
      </c>
      <c r="H2000" s="164" t="str">
        <f ca="1">IFERROR(__xludf.DUMMYFUNCTION("""COMPUTED_VALUE"""),"Atty. LEO MIGUEL A. RAMOS")</f>
        <v>Atty. LEO MIGUEL A. RAMOS</v>
      </c>
      <c r="I2000" s="164" t="str">
        <f ca="1">IFERROR(__xludf.DUMMYFUNCTION("""COMPUTED_VALUE"""),"ATTY. V")</f>
        <v>ATTY. V</v>
      </c>
      <c r="J2000" s="164" t="str">
        <f ca="1">IFERROR(__xludf.DUMMYFUNCTION("""COMPUTED_VALUE"""),"PAR No. 2023")</f>
        <v>PAR No. 2023</v>
      </c>
      <c r="K2000" s="164" t="str">
        <f ca="1">IFERROR(__xludf.DUMMYFUNCTION("""COMPUTED_VALUE"""),"Margarita Z. Rigo")</f>
        <v>Margarita Z. Rigo</v>
      </c>
      <c r="L2000" s="164" t="str">
        <f ca="1">IFERROR(__xludf.DUMMYFUNCTION("""COMPUTED_VALUE"""),"LEGAL")</f>
        <v>LEGAL</v>
      </c>
      <c r="M2000" s="164" t="str">
        <f ca="1">IFERROR(__xludf.DUMMYFUNCTION("""COMPUTED_VALUE"""),"Serviceable")</f>
        <v>Serviceable</v>
      </c>
      <c r="N2000" s="164"/>
    </row>
    <row r="2001" spans="1:14" ht="13.2" hidden="1">
      <c r="A2001" s="164" t="str">
        <f ca="1">IFERROR(__xludf.DUMMYFUNCTION("""COMPUTED_VALUE"""),"REGION V")</f>
        <v>REGION V</v>
      </c>
      <c r="B2001" s="164" t="str">
        <f ca="1">IFERROR(__xludf.DUMMYFUNCTION("""COMPUTED_VALUE"""),"DARROV")</f>
        <v>DARROV</v>
      </c>
      <c r="C2001" s="164" t="str">
        <f ca="1">IFERROR(__xludf.DUMMYFUNCTION("""COMPUTED_VALUE"""),"Desktop Computer – (Lenovo M70T)")</f>
        <v>Desktop Computer – (Lenovo M70T)</v>
      </c>
      <c r="D2001" s="164" t="str">
        <f ca="1">IFERROR(__xludf.DUMMYFUNCTION("""COMPUTED_VALUE"""),"₱ 75,468.00")</f>
        <v>₱ 75,468.00</v>
      </c>
      <c r="E2001" s="164" t="str">
        <f ca="1">IFERROR(__xludf.DUMMYFUNCTION("""COMPUTED_VALUE"""),"₱ -")</f>
        <v>₱ -</v>
      </c>
      <c r="F2001" s="164" t="str">
        <f ca="1">IFERROR(__xludf.DUMMYFUNCTION("""COMPUTED_VALUE"""),"2023-05-03-1021SP1116-01")</f>
        <v>2023-05-03-1021SP1116-01</v>
      </c>
      <c r="G2001" s="164" t="str">
        <f ca="1">IFERROR(__xludf.DUMMYFUNCTION("""COMPUTED_VALUE"""),"Sn 1S11T56200GM041B6T")</f>
        <v>Sn 1S11T56200GM041B6T</v>
      </c>
      <c r="H2001" s="164" t="str">
        <f ca="1">IFERROR(__xludf.DUMMYFUNCTION("""COMPUTED_VALUE"""),"LERMA B. DINO")</f>
        <v>LERMA B. DINO</v>
      </c>
      <c r="I2001" s="164" t="str">
        <f ca="1">IFERROR(__xludf.DUMMYFUNCTION("""COMPUTED_VALUE"""),"CARPO")</f>
        <v>CARPO</v>
      </c>
      <c r="J2001" s="164" t="str">
        <f ca="1">IFERROR(__xludf.DUMMYFUNCTION("""COMPUTED_VALUE"""),"PAR No. 2023")</f>
        <v>PAR No. 2023</v>
      </c>
      <c r="K2001" s="164" t="str">
        <f ca="1">IFERROR(__xludf.DUMMYFUNCTION("""COMPUTED_VALUE"""),"Sarah Fulleros")</f>
        <v>Sarah Fulleros</v>
      </c>
      <c r="L2001" s="164" t="str">
        <f ca="1">IFERROR(__xludf.DUMMYFUNCTION("""COMPUTED_VALUE"""),"RPBD")</f>
        <v>RPBD</v>
      </c>
      <c r="M2001" s="164" t="str">
        <f ca="1">IFERROR(__xludf.DUMMYFUNCTION("""COMPUTED_VALUE"""),"Serviceable")</f>
        <v>Serviceable</v>
      </c>
      <c r="N2001" s="164"/>
    </row>
    <row r="2002" spans="1:14" ht="13.2" hidden="1">
      <c r="A2002" s="164" t="str">
        <f ca="1">IFERROR(__xludf.DUMMYFUNCTION("""COMPUTED_VALUE"""),"REGION V")</f>
        <v>REGION V</v>
      </c>
      <c r="B2002" s="164" t="str">
        <f ca="1">IFERROR(__xludf.DUMMYFUNCTION("""COMPUTED_VALUE"""),"DARROV")</f>
        <v>DARROV</v>
      </c>
      <c r="C2002" s="164" t="str">
        <f ca="1">IFERROR(__xludf.DUMMYFUNCTION("""COMPUTED_VALUE"""),"Desktop Computer – (Lenovo M70T)")</f>
        <v>Desktop Computer – (Lenovo M70T)</v>
      </c>
      <c r="D2002" s="164" t="str">
        <f ca="1">IFERROR(__xludf.DUMMYFUNCTION("""COMPUTED_VALUE"""),"₱ 75,468.00")</f>
        <v>₱ 75,468.00</v>
      </c>
      <c r="E2002" s="164" t="str">
        <f ca="1">IFERROR(__xludf.DUMMYFUNCTION("""COMPUTED_VALUE"""),"₱ -")</f>
        <v>₱ -</v>
      </c>
      <c r="F2002" s="164" t="str">
        <f ca="1">IFERROR(__xludf.DUMMYFUNCTION("""COMPUTED_VALUE"""),"2023-05-03-1021SP1117-01")</f>
        <v>2023-05-03-1021SP1117-01</v>
      </c>
      <c r="G2002" s="164" t="str">
        <f ca="1">IFERROR(__xludf.DUMMYFUNCTION("""COMPUTED_VALUE"""),"Sn 1S11T56200GM041B6V")</f>
        <v>Sn 1S11T56200GM041B6V</v>
      </c>
      <c r="H2002" s="164" t="str">
        <f ca="1">IFERROR(__xludf.DUMMYFUNCTION("""COMPUTED_VALUE"""),"LORELIE L. AYTONA")</f>
        <v>LORELIE L. AYTONA</v>
      </c>
      <c r="I2002" s="164" t="str">
        <f ca="1">IFERROR(__xludf.DUMMYFUNCTION("""COMPUTED_VALUE"""),"SAO")</f>
        <v>SAO</v>
      </c>
      <c r="J2002" s="164" t="str">
        <f ca="1">IFERROR(__xludf.DUMMYFUNCTION("""COMPUTED_VALUE"""),"PAR No. 2023")</f>
        <v>PAR No. 2023</v>
      </c>
      <c r="K2002" s="164" t="str">
        <f ca="1">IFERROR(__xludf.DUMMYFUNCTION("""COMPUTED_VALUE"""),"Alfred B.Medrano")</f>
        <v>Alfred B.Medrano</v>
      </c>
      <c r="L2002" s="164" t="str">
        <f ca="1">IFERROR(__xludf.DUMMYFUNCTION("""COMPUTED_VALUE"""),"LTID")</f>
        <v>LTID</v>
      </c>
      <c r="M2002" s="164" t="str">
        <f ca="1">IFERROR(__xludf.DUMMYFUNCTION("""COMPUTED_VALUE"""),"Serviceable")</f>
        <v>Serviceable</v>
      </c>
      <c r="N2002" s="164"/>
    </row>
    <row r="2003" spans="1:14" ht="13.2" hidden="1">
      <c r="A2003" s="164" t="str">
        <f ca="1">IFERROR(__xludf.DUMMYFUNCTION("""COMPUTED_VALUE"""),"REGION V")</f>
        <v>REGION V</v>
      </c>
      <c r="B2003" s="164" t="str">
        <f ca="1">IFERROR(__xludf.DUMMYFUNCTION("""COMPUTED_VALUE"""),"DARROV")</f>
        <v>DARROV</v>
      </c>
      <c r="C2003" s="164" t="str">
        <f ca="1">IFERROR(__xludf.DUMMYFUNCTION("""COMPUTED_VALUE"""),"Desktop Computer – (Lenovo M70T)")</f>
        <v>Desktop Computer – (Lenovo M70T)</v>
      </c>
      <c r="D2003" s="164" t="str">
        <f ca="1">IFERROR(__xludf.DUMMYFUNCTION("""COMPUTED_VALUE"""),"₱ 75,468.00")</f>
        <v>₱ 75,468.00</v>
      </c>
      <c r="E2003" s="164" t="str">
        <f ca="1">IFERROR(__xludf.DUMMYFUNCTION("""COMPUTED_VALUE"""),"₱ -")</f>
        <v>₱ -</v>
      </c>
      <c r="F2003" s="164" t="str">
        <f ca="1">IFERROR(__xludf.DUMMYFUNCTION("""COMPUTED_VALUE"""),"2023-05-03-1021SP1118-01")</f>
        <v>2023-05-03-1021SP1118-01</v>
      </c>
      <c r="G2003" s="164" t="str">
        <f ca="1">IFERROR(__xludf.DUMMYFUNCTION("""COMPUTED_VALUE"""),"Sn 1S11T56200GM041B6W")</f>
        <v>Sn 1S11T56200GM041B6W</v>
      </c>
      <c r="H2003" s="164" t="str">
        <f ca="1">IFERROR(__xludf.DUMMYFUNCTION("""COMPUTED_VALUE"""),"RENE B. BACHO")</f>
        <v>RENE B. BACHO</v>
      </c>
      <c r="I2003" s="164" t="str">
        <f ca="1">IFERROR(__xludf.DUMMYFUNCTION("""COMPUTED_VALUE"""),"OIC - RCAO")</f>
        <v>OIC - RCAO</v>
      </c>
      <c r="J2003" s="164" t="str">
        <f ca="1">IFERROR(__xludf.DUMMYFUNCTION("""COMPUTED_VALUE"""),"PAR No. 2023")</f>
        <v>PAR No. 2023</v>
      </c>
      <c r="K2003" s="164" t="str">
        <f ca="1">IFERROR(__xludf.DUMMYFUNCTION("""COMPUTED_VALUE"""),"Mary Joy V. Castillo")</f>
        <v>Mary Joy V. Castillo</v>
      </c>
      <c r="L2003" s="164" t="str">
        <f ca="1">IFERROR(__xludf.DUMMYFUNCTION("""COMPUTED_VALUE"""),"STOD")</f>
        <v>STOD</v>
      </c>
      <c r="M2003" s="164" t="str">
        <f ca="1">IFERROR(__xludf.DUMMYFUNCTION("""COMPUTED_VALUE"""),"Serviceable")</f>
        <v>Serviceable</v>
      </c>
      <c r="N2003" s="164"/>
    </row>
    <row r="2004" spans="1:14" ht="13.2" hidden="1">
      <c r="A2004" s="164" t="str">
        <f ca="1">IFERROR(__xludf.DUMMYFUNCTION("""COMPUTED_VALUE"""),"REGION V")</f>
        <v>REGION V</v>
      </c>
      <c r="B2004" s="164" t="str">
        <f ca="1">IFERROR(__xludf.DUMMYFUNCTION("""COMPUTED_VALUE"""),"DARROV")</f>
        <v>DARROV</v>
      </c>
      <c r="C2004" s="164" t="str">
        <f ca="1">IFERROR(__xludf.DUMMYFUNCTION("""COMPUTED_VALUE"""),"Desktop Computer – (Lenovo M70T)")</f>
        <v>Desktop Computer – (Lenovo M70T)</v>
      </c>
      <c r="D2004" s="164" t="str">
        <f ca="1">IFERROR(__xludf.DUMMYFUNCTION("""COMPUTED_VALUE"""),"₱ 75,468.00")</f>
        <v>₱ 75,468.00</v>
      </c>
      <c r="E2004" s="164" t="str">
        <f ca="1">IFERROR(__xludf.DUMMYFUNCTION("""COMPUTED_VALUE"""),"₱ -")</f>
        <v>₱ -</v>
      </c>
      <c r="F2004" s="164" t="str">
        <f ca="1">IFERROR(__xludf.DUMMYFUNCTION("""COMPUTED_VALUE"""),"2023-05-03-1021SP1119-01")</f>
        <v>2023-05-03-1021SP1119-01</v>
      </c>
      <c r="G2004" s="164" t="str">
        <f ca="1">IFERROR(__xludf.DUMMYFUNCTION("""COMPUTED_VALUE"""),"Sn 1S11T56200GM041B74")</f>
        <v>Sn 1S11T56200GM041B74</v>
      </c>
      <c r="H2004" s="164" t="str">
        <f ca="1">IFERROR(__xludf.DUMMYFUNCTION("""COMPUTED_VALUE"""),"RENE B. BACHO")</f>
        <v>RENE B. BACHO</v>
      </c>
      <c r="I2004" s="164" t="str">
        <f ca="1">IFERROR(__xludf.DUMMYFUNCTION("""COMPUTED_VALUE"""),"OIC - RCAO")</f>
        <v>OIC - RCAO</v>
      </c>
      <c r="J2004" s="164" t="str">
        <f ca="1">IFERROR(__xludf.DUMMYFUNCTION("""COMPUTED_VALUE"""),"PAR No. 2023")</f>
        <v>PAR No. 2023</v>
      </c>
      <c r="K2004" s="164" t="str">
        <f ca="1">IFERROR(__xludf.DUMMYFUNCTION("""COMPUTED_VALUE"""),"Annie Lee S. Muni")</f>
        <v>Annie Lee S. Muni</v>
      </c>
      <c r="L2004" s="164" t="str">
        <f ca="1">IFERROR(__xludf.DUMMYFUNCTION("""COMPUTED_VALUE"""),"STOD")</f>
        <v>STOD</v>
      </c>
      <c r="M2004" s="164" t="str">
        <f ca="1">IFERROR(__xludf.DUMMYFUNCTION("""COMPUTED_VALUE"""),"Serviceable")</f>
        <v>Serviceable</v>
      </c>
      <c r="N2004" s="164"/>
    </row>
    <row r="2005" spans="1:14" ht="13.2" hidden="1">
      <c r="A2005" s="164" t="str">
        <f ca="1">IFERROR(__xludf.DUMMYFUNCTION("""COMPUTED_VALUE"""),"REGION V")</f>
        <v>REGION V</v>
      </c>
      <c r="B2005" s="164" t="str">
        <f ca="1">IFERROR(__xludf.DUMMYFUNCTION("""COMPUTED_VALUE"""),"DARROV")</f>
        <v>DARROV</v>
      </c>
      <c r="C2005" s="164" t="str">
        <f ca="1">IFERROR(__xludf.DUMMYFUNCTION("""COMPUTED_VALUE"""),"Desktop Computer – (Lenovo M70T)")</f>
        <v>Desktop Computer – (Lenovo M70T)</v>
      </c>
      <c r="D2005" s="164" t="str">
        <f ca="1">IFERROR(__xludf.DUMMYFUNCTION("""COMPUTED_VALUE"""),"₱ 75,468.00")</f>
        <v>₱ 75,468.00</v>
      </c>
      <c r="E2005" s="164" t="str">
        <f ca="1">IFERROR(__xludf.DUMMYFUNCTION("""COMPUTED_VALUE"""),"₱ -")</f>
        <v>₱ -</v>
      </c>
      <c r="F2005" s="164" t="str">
        <f ca="1">IFERROR(__xludf.DUMMYFUNCTION("""COMPUTED_VALUE"""),"2023-05-03-1021SP1120-01")</f>
        <v>2023-05-03-1021SP1120-01</v>
      </c>
      <c r="G2005" s="164" t="str">
        <f ca="1">IFERROR(__xludf.DUMMYFUNCTION("""COMPUTED_VALUE"""),"Sn 1S11T56200GM041B7G")</f>
        <v>Sn 1S11T56200GM041B7G</v>
      </c>
      <c r="H2005" s="164" t="str">
        <f ca="1">IFERROR(__xludf.DUMMYFUNCTION("""COMPUTED_VALUE"""),"CHARMAINE B. BONCODIN")</f>
        <v>CHARMAINE B. BONCODIN</v>
      </c>
      <c r="I2005" s="164" t="str">
        <f ca="1">IFERROR(__xludf.DUMMYFUNCTION("""COMPUTED_VALUE"""),"ACCOUNTANT III")</f>
        <v>ACCOUNTANT III</v>
      </c>
      <c r="J2005" s="164" t="str">
        <f ca="1">IFERROR(__xludf.DUMMYFUNCTION("""COMPUTED_VALUE"""),"PAR No. 2023")</f>
        <v>PAR No. 2023</v>
      </c>
      <c r="K2005" s="164" t="str">
        <f ca="1">IFERROR(__xludf.DUMMYFUNCTION("""COMPUTED_VALUE"""),"Regine Moraleda")</f>
        <v>Regine Moraleda</v>
      </c>
      <c r="L2005" s="164" t="str">
        <f ca="1">IFERROR(__xludf.DUMMYFUNCTION("""COMPUTED_VALUE"""),"STOD")</f>
        <v>STOD</v>
      </c>
      <c r="M2005" s="164" t="str">
        <f ca="1">IFERROR(__xludf.DUMMYFUNCTION("""COMPUTED_VALUE"""),"Serviceable")</f>
        <v>Serviceable</v>
      </c>
      <c r="N2005" s="164"/>
    </row>
    <row r="2006" spans="1:14" ht="13.2" hidden="1">
      <c r="A2006" s="164" t="str">
        <f ca="1">IFERROR(__xludf.DUMMYFUNCTION("""COMPUTED_VALUE"""),"REGION V")</f>
        <v>REGION V</v>
      </c>
      <c r="B2006" s="164" t="str">
        <f ca="1">IFERROR(__xludf.DUMMYFUNCTION("""COMPUTED_VALUE"""),"DARROV")</f>
        <v>DARROV</v>
      </c>
      <c r="C2006" s="164" t="str">
        <f ca="1">IFERROR(__xludf.DUMMYFUNCTION("""COMPUTED_VALUE"""),"Desktop Computer – (Lenovo M70T)")</f>
        <v>Desktop Computer – (Lenovo M70T)</v>
      </c>
      <c r="D2006" s="164" t="str">
        <f ca="1">IFERROR(__xludf.DUMMYFUNCTION("""COMPUTED_VALUE"""),"₱ 75,468.00")</f>
        <v>₱ 75,468.00</v>
      </c>
      <c r="E2006" s="164" t="str">
        <f ca="1">IFERROR(__xludf.DUMMYFUNCTION("""COMPUTED_VALUE"""),"₱ -")</f>
        <v>₱ -</v>
      </c>
      <c r="F2006" s="164" t="str">
        <f ca="1">IFERROR(__xludf.DUMMYFUNCTION("""COMPUTED_VALUE"""),"2023-05-03-1021SP1121-01")</f>
        <v>2023-05-03-1021SP1121-01</v>
      </c>
      <c r="G2006" s="164" t="str">
        <f ca="1">IFERROR(__xludf.DUMMYFUNCTION("""COMPUTED_VALUE"""),"Sn 1S11T56200GM041B7K")</f>
        <v>Sn 1S11T56200GM041B7K</v>
      </c>
      <c r="H2006" s="164" t="str">
        <f ca="1">IFERROR(__xludf.DUMMYFUNCTION("""COMPUTED_VALUE"""),"ANNIE DANDOY")</f>
        <v>ANNIE DANDOY</v>
      </c>
      <c r="I2006" s="164" t="str">
        <f ca="1">IFERROR(__xludf.DUMMYFUNCTION("""COMPUTED_VALUE"""),"RECORDS OFFICER")</f>
        <v>RECORDS OFFICER</v>
      </c>
      <c r="J2006" s="164" t="str">
        <f ca="1">IFERROR(__xludf.DUMMYFUNCTION("""COMPUTED_VALUE"""),"PAR No. 2023")</f>
        <v>PAR No. 2023</v>
      </c>
      <c r="K2006" s="164" t="str">
        <f ca="1">IFERROR(__xludf.DUMMYFUNCTION("""COMPUTED_VALUE"""),"RECORDS OFFICE")</f>
        <v>RECORDS OFFICE</v>
      </c>
      <c r="L2006" s="164" t="str">
        <f ca="1">IFERROR(__xludf.DUMMYFUNCTION("""COMPUTED_VALUE"""),"STOD")</f>
        <v>STOD</v>
      </c>
      <c r="M2006" s="164" t="str">
        <f ca="1">IFERROR(__xludf.DUMMYFUNCTION("""COMPUTED_VALUE"""),"Serviceable")</f>
        <v>Serviceable</v>
      </c>
      <c r="N2006" s="164"/>
    </row>
    <row r="2007" spans="1:14" ht="13.2" hidden="1">
      <c r="A2007" s="164" t="str">
        <f ca="1">IFERROR(__xludf.DUMMYFUNCTION("""COMPUTED_VALUE"""),"REGION V")</f>
        <v>REGION V</v>
      </c>
      <c r="B2007" s="164" t="str">
        <f ca="1">IFERROR(__xludf.DUMMYFUNCTION("""COMPUTED_VALUE"""),"DARROV")</f>
        <v>DARROV</v>
      </c>
      <c r="C2007" s="164" t="str">
        <f ca="1">IFERROR(__xludf.DUMMYFUNCTION("""COMPUTED_VALUE"""),"Desktop Computer – (Lenovo M70T)")</f>
        <v>Desktop Computer – (Lenovo M70T)</v>
      </c>
      <c r="D2007" s="164" t="str">
        <f ca="1">IFERROR(__xludf.DUMMYFUNCTION("""COMPUTED_VALUE"""),"₱ 75,468.00")</f>
        <v>₱ 75,468.00</v>
      </c>
      <c r="E2007" s="164" t="str">
        <f ca="1">IFERROR(__xludf.DUMMYFUNCTION("""COMPUTED_VALUE"""),"₱ -")</f>
        <v>₱ -</v>
      </c>
      <c r="F2007" s="164" t="str">
        <f ca="1">IFERROR(__xludf.DUMMYFUNCTION("""COMPUTED_VALUE"""),"2023-05-03-1021SP1122-01")</f>
        <v>2023-05-03-1021SP1122-01</v>
      </c>
      <c r="G2007" s="164" t="str">
        <f ca="1">IFERROR(__xludf.DUMMYFUNCTION("""COMPUTED_VALUE"""),"Sn 1S11T56200GM041B7L")</f>
        <v>Sn 1S11T56200GM041B7L</v>
      </c>
      <c r="H2007" s="164" t="str">
        <f ca="1">IFERROR(__xludf.DUMMYFUNCTION("""COMPUTED_VALUE"""),"BONNY E. JESALVA")</f>
        <v>BONNY E. JESALVA</v>
      </c>
      <c r="I2007" s="164" t="str">
        <f ca="1">IFERROR(__xludf.DUMMYFUNCTION("""COMPUTED_VALUE"""),"SARPO")</f>
        <v>SARPO</v>
      </c>
      <c r="J2007" s="164" t="str">
        <f ca="1">IFERROR(__xludf.DUMMYFUNCTION("""COMPUTED_VALUE"""),"PAR No. 2023")</f>
        <v>PAR No. 2023</v>
      </c>
      <c r="K2007" s="164" t="str">
        <f ca="1">IFERROR(__xludf.DUMMYFUNCTION("""COMPUTED_VALUE"""),"OARDA's OFFICE")</f>
        <v>OARDA's OFFICE</v>
      </c>
      <c r="L2007" s="164" t="str">
        <f ca="1">IFERROR(__xludf.DUMMYFUNCTION("""COMPUTED_VALUE"""),"OARDA's OFFICE")</f>
        <v>OARDA's OFFICE</v>
      </c>
      <c r="M2007" s="164" t="str">
        <f ca="1">IFERROR(__xludf.DUMMYFUNCTION("""COMPUTED_VALUE"""),"Serviceable")</f>
        <v>Serviceable</v>
      </c>
      <c r="N2007" s="164"/>
    </row>
    <row r="2008" spans="1:14" ht="13.2" hidden="1">
      <c r="A2008" s="164" t="str">
        <f ca="1">IFERROR(__xludf.DUMMYFUNCTION("""COMPUTED_VALUE"""),"REGION V")</f>
        <v>REGION V</v>
      </c>
      <c r="B2008" s="164" t="str">
        <f ca="1">IFERROR(__xludf.DUMMYFUNCTION("""COMPUTED_VALUE"""),"DARROV")</f>
        <v>DARROV</v>
      </c>
      <c r="C2008" s="164" t="str">
        <f ca="1">IFERROR(__xludf.DUMMYFUNCTION("""COMPUTED_VALUE"""),"Desktop Computer – (HP Pro SFF 280G9)")</f>
        <v>Desktop Computer – (HP Pro SFF 280G9)</v>
      </c>
      <c r="D2008" s="164" t="str">
        <f ca="1">IFERROR(__xludf.DUMMYFUNCTION("""COMPUTED_VALUE"""),"₱ 78,898.00")</f>
        <v>₱ 78,898.00</v>
      </c>
      <c r="E2008" s="164" t="str">
        <f ca="1">IFERROR(__xludf.DUMMYFUNCTION("""COMPUTED_VALUE"""),"₱ -")</f>
        <v>₱ -</v>
      </c>
      <c r="F2008" s="164" t="str">
        <f ca="1">IFERROR(__xludf.DUMMYFUNCTION("""COMPUTED_VALUE"""),"2023-05-03-1021SP134-01")</f>
        <v>2023-05-03-1021SP134-01</v>
      </c>
      <c r="G2008" s="164" t="str">
        <f ca="1">IFERROR(__xludf.DUMMYFUNCTION("""COMPUTED_VALUE"""),"Sn C4E301DSK7")</f>
        <v>Sn C4E301DSK7</v>
      </c>
      <c r="H2008" s="164" t="str">
        <f ca="1">IFERROR(__xludf.DUMMYFUNCTION("""COMPUTED_VALUE"""),"Atty. LEO MIGUEL A. RAMOS")</f>
        <v>Atty. LEO MIGUEL A. RAMOS</v>
      </c>
      <c r="I2008" s="164" t="str">
        <f ca="1">IFERROR(__xludf.DUMMYFUNCTION("""COMPUTED_VALUE"""),"ATTY. V")</f>
        <v>ATTY. V</v>
      </c>
      <c r="J2008" s="164" t="str">
        <f ca="1">IFERROR(__xludf.DUMMYFUNCTION("""COMPUTED_VALUE"""),"PAR No. 2023")</f>
        <v>PAR No. 2023</v>
      </c>
      <c r="K2008" s="164" t="str">
        <f ca="1">IFERROR(__xludf.DUMMYFUNCTION("""COMPUTED_VALUE"""),"REMY CHARME ATUTUBO")</f>
        <v>REMY CHARME ATUTUBO</v>
      </c>
      <c r="L2008" s="164" t="str">
        <f ca="1">IFERROR(__xludf.DUMMYFUNCTION("""COMPUTED_VALUE"""),"LEGAL")</f>
        <v>LEGAL</v>
      </c>
      <c r="M2008" s="164" t="str">
        <f ca="1">IFERROR(__xludf.DUMMYFUNCTION("""COMPUTED_VALUE"""),"Serviceable")</f>
        <v>Serviceable</v>
      </c>
      <c r="N2008" s="164" t="str">
        <f ca="1">IFERROR(__xludf.DUMMYFUNCTION("""COMPUTED_VALUE"""),"Printer defective")</f>
        <v>Printer defective</v>
      </c>
    </row>
    <row r="2009" spans="1:14" ht="13.2" hidden="1">
      <c r="A2009" s="164" t="str">
        <f ca="1">IFERROR(__xludf.DUMMYFUNCTION("""COMPUTED_VALUE"""),"REGION V")</f>
        <v>REGION V</v>
      </c>
      <c r="B2009" s="164" t="str">
        <f ca="1">IFERROR(__xludf.DUMMYFUNCTION("""COMPUTED_VALUE"""),"DARROV")</f>
        <v>DARROV</v>
      </c>
      <c r="C2009" s="164" t="str">
        <f ca="1">IFERROR(__xludf.DUMMYFUNCTION("""COMPUTED_VALUE"""),"Desktop Computer – (HP Pro SFF 280G9)")</f>
        <v>Desktop Computer – (HP Pro SFF 280G9)</v>
      </c>
      <c r="D2009" s="164" t="str">
        <f ca="1">IFERROR(__xludf.DUMMYFUNCTION("""COMPUTED_VALUE"""),"₱ 78,898.00")</f>
        <v>₱ 78,898.00</v>
      </c>
      <c r="E2009" s="164" t="str">
        <f ca="1">IFERROR(__xludf.DUMMYFUNCTION("""COMPUTED_VALUE"""),"₱ -")</f>
        <v>₱ -</v>
      </c>
      <c r="F2009" s="164" t="str">
        <f ca="1">IFERROR(__xludf.DUMMYFUNCTION("""COMPUTED_VALUE"""),"2023-05-03-1021SP135-01")</f>
        <v>2023-05-03-1021SP135-01</v>
      </c>
      <c r="G2009" s="164" t="str">
        <f ca="1">IFERROR(__xludf.DUMMYFUNCTION("""COMPUTED_VALUE"""),"Sn C4E301DSMK")</f>
        <v>Sn C4E301DSMK</v>
      </c>
      <c r="H2009" s="164" t="str">
        <f ca="1">IFERROR(__xludf.DUMMYFUNCTION("""COMPUTED_VALUE"""),"Atty. LEO MIGUEL A. RAMOS")</f>
        <v>Atty. LEO MIGUEL A. RAMOS</v>
      </c>
      <c r="I2009" s="164" t="str">
        <f ca="1">IFERROR(__xludf.DUMMYFUNCTION("""COMPUTED_VALUE"""),"ATTY. V")</f>
        <v>ATTY. V</v>
      </c>
      <c r="J2009" s="164" t="str">
        <f ca="1">IFERROR(__xludf.DUMMYFUNCTION("""COMPUTED_VALUE"""),"PAR No. 2023")</f>
        <v>PAR No. 2023</v>
      </c>
      <c r="K2009" s="164" t="str">
        <f ca="1">IFERROR(__xludf.DUMMYFUNCTION("""COMPUTED_VALUE"""),"Budget Office")</f>
        <v>Budget Office</v>
      </c>
      <c r="L2009" s="164" t="str">
        <f ca="1">IFERROR(__xludf.DUMMYFUNCTION("""COMPUTED_VALUE"""),"LEGAL")</f>
        <v>LEGAL</v>
      </c>
      <c r="M2009" s="164" t="str">
        <f ca="1">IFERROR(__xludf.DUMMYFUNCTION("""COMPUTED_VALUE"""),"Serviceable")</f>
        <v>Serviceable</v>
      </c>
      <c r="N2009" s="164"/>
    </row>
    <row r="2010" spans="1:14" ht="13.2" hidden="1">
      <c r="A2010" s="164" t="str">
        <f ca="1">IFERROR(__xludf.DUMMYFUNCTION("""COMPUTED_VALUE"""),"REGION V")</f>
        <v>REGION V</v>
      </c>
      <c r="B2010" s="164" t="str">
        <f ca="1">IFERROR(__xludf.DUMMYFUNCTION("""COMPUTED_VALUE"""),"DARROV")</f>
        <v>DARROV</v>
      </c>
      <c r="C2010" s="164" t="str">
        <f ca="1">IFERROR(__xludf.DUMMYFUNCTION("""COMPUTED_VALUE"""),"Desktop Computer – (HP Pro SFF 280G9)")</f>
        <v>Desktop Computer – (HP Pro SFF 280G9)</v>
      </c>
      <c r="D2010" s="164" t="str">
        <f ca="1">IFERROR(__xludf.DUMMYFUNCTION("""COMPUTED_VALUE"""),"₱ 78,898.00")</f>
        <v>₱ 78,898.00</v>
      </c>
      <c r="E2010" s="164" t="str">
        <f ca="1">IFERROR(__xludf.DUMMYFUNCTION("""COMPUTED_VALUE"""),"₱ -")</f>
        <v>₱ -</v>
      </c>
      <c r="F2010" s="164" t="str">
        <f ca="1">IFERROR(__xludf.DUMMYFUNCTION("""COMPUTED_VALUE"""),"2023-05-03-1021SP136-01")</f>
        <v>2023-05-03-1021SP136-01</v>
      </c>
      <c r="G2010" s="164" t="str">
        <f ca="1">IFERROR(__xludf.DUMMYFUNCTION("""COMPUTED_VALUE"""),"Sn C4E301DSPK")</f>
        <v>Sn C4E301DSPK</v>
      </c>
      <c r="H2010" s="164" t="str">
        <f ca="1">IFERROR(__xludf.DUMMYFUNCTION("""COMPUTED_VALUE"""),"JULIE M. NOLASCO")</f>
        <v>JULIE M. NOLASCO</v>
      </c>
      <c r="I2010" s="164" t="str">
        <f ca="1">IFERROR(__xludf.DUMMYFUNCTION("""COMPUTED_VALUE"""),"BUDGET OFFICER")</f>
        <v>BUDGET OFFICER</v>
      </c>
      <c r="J2010" s="164" t="str">
        <f ca="1">IFERROR(__xludf.DUMMYFUNCTION("""COMPUTED_VALUE"""),"PAR No. 2023")</f>
        <v>PAR No. 2023</v>
      </c>
      <c r="K2010" s="164" t="str">
        <f ca="1">IFERROR(__xludf.DUMMYFUNCTION("""COMPUTED_VALUE"""),"COS SPLIT")</f>
        <v>COS SPLIT</v>
      </c>
      <c r="L2010" s="164" t="str">
        <f ca="1">IFERROR(__xludf.DUMMYFUNCTION("""COMPUTED_VALUE"""),"STOD")</f>
        <v>STOD</v>
      </c>
      <c r="M2010" s="164" t="str">
        <f ca="1">IFERROR(__xludf.DUMMYFUNCTION("""COMPUTED_VALUE"""),"Serviceable")</f>
        <v>Serviceable</v>
      </c>
      <c r="N2010" s="164"/>
    </row>
    <row r="2011" spans="1:14" ht="13.2" hidden="1">
      <c r="A2011" s="164" t="str">
        <f ca="1">IFERROR(__xludf.DUMMYFUNCTION("""COMPUTED_VALUE"""),"REGION V")</f>
        <v>REGION V</v>
      </c>
      <c r="B2011" s="164" t="str">
        <f ca="1">IFERROR(__xludf.DUMMYFUNCTION("""COMPUTED_VALUE"""),"DARROV")</f>
        <v>DARROV</v>
      </c>
      <c r="C2011" s="164" t="str">
        <f ca="1">IFERROR(__xludf.DUMMYFUNCTION("""COMPUTED_VALUE"""),"Desktop Computer – (HP Pro SFF 280G9)")</f>
        <v>Desktop Computer – (HP Pro SFF 280G9)</v>
      </c>
      <c r="D2011" s="164" t="str">
        <f ca="1">IFERROR(__xludf.DUMMYFUNCTION("""COMPUTED_VALUE"""),"₱ 78,898.00")</f>
        <v>₱ 78,898.00</v>
      </c>
      <c r="E2011" s="164" t="str">
        <f ca="1">IFERROR(__xludf.DUMMYFUNCTION("""COMPUTED_VALUE"""),"₱ -")</f>
        <v>₱ -</v>
      </c>
      <c r="F2011" s="164" t="str">
        <f ca="1">IFERROR(__xludf.DUMMYFUNCTION("""COMPUTED_VALUE"""),"2023-05-03-1021SP137-01")</f>
        <v>2023-05-03-1021SP137-01</v>
      </c>
      <c r="G2011" s="164" t="str">
        <f ca="1">IFERROR(__xludf.DUMMYFUNCTION("""COMPUTED_VALUE"""),"Sn C4E301DH7N")</f>
        <v>Sn C4E301DH7N</v>
      </c>
      <c r="H2011" s="164" t="str">
        <f ca="1">IFERROR(__xludf.DUMMYFUNCTION("""COMPUTED_VALUE"""),"Atty. LEO MIGUEL A. RAMOS")</f>
        <v>Atty. LEO MIGUEL A. RAMOS</v>
      </c>
      <c r="I2011" s="164" t="str">
        <f ca="1">IFERROR(__xludf.DUMMYFUNCTION("""COMPUTED_VALUE"""),"ATTY. V")</f>
        <v>ATTY. V</v>
      </c>
      <c r="J2011" s="164" t="str">
        <f ca="1">IFERROR(__xludf.DUMMYFUNCTION("""COMPUTED_VALUE"""),"PAR No. 2023")</f>
        <v>PAR No. 2023</v>
      </c>
      <c r="K2011" s="164" t="str">
        <f ca="1">IFERROR(__xludf.DUMMYFUNCTION("""COMPUTED_VALUE"""),"DAYANARA ROM")</f>
        <v>DAYANARA ROM</v>
      </c>
      <c r="L2011" s="164" t="str">
        <f ca="1">IFERROR(__xludf.DUMMYFUNCTION("""COMPUTED_VALUE"""),"LEGAL")</f>
        <v>LEGAL</v>
      </c>
      <c r="M2011" s="164" t="str">
        <f ca="1">IFERROR(__xludf.DUMMYFUNCTION("""COMPUTED_VALUE"""),"Serviceable")</f>
        <v>Serviceable</v>
      </c>
      <c r="N2011" s="164"/>
    </row>
    <row r="2012" spans="1:14" ht="13.2" hidden="1">
      <c r="A2012" s="164" t="str">
        <f ca="1">IFERROR(__xludf.DUMMYFUNCTION("""COMPUTED_VALUE"""),"REGION V")</f>
        <v>REGION V</v>
      </c>
      <c r="B2012" s="164" t="str">
        <f ca="1">IFERROR(__xludf.DUMMYFUNCTION("""COMPUTED_VALUE"""),"DARROV")</f>
        <v>DARROV</v>
      </c>
      <c r="C2012" s="164" t="str">
        <f ca="1">IFERROR(__xludf.DUMMYFUNCTION("""COMPUTED_VALUE"""),"Desktop Computer – (HP Pro SFF 280G9)")</f>
        <v>Desktop Computer – (HP Pro SFF 280G9)</v>
      </c>
      <c r="D2012" s="164" t="str">
        <f ca="1">IFERROR(__xludf.DUMMYFUNCTION("""COMPUTED_VALUE"""),"₱ 78,898.00")</f>
        <v>₱ 78,898.00</v>
      </c>
      <c r="E2012" s="164" t="str">
        <f ca="1">IFERROR(__xludf.DUMMYFUNCTION("""COMPUTED_VALUE"""),"₱ -")</f>
        <v>₱ -</v>
      </c>
      <c r="F2012" s="164" t="str">
        <f ca="1">IFERROR(__xludf.DUMMYFUNCTION("""COMPUTED_VALUE"""),"2023-05-03-1021SP138-01")</f>
        <v>2023-05-03-1021SP138-01</v>
      </c>
      <c r="G2012" s="164" t="str">
        <f ca="1">IFERROR(__xludf.DUMMYFUNCTION("""COMPUTED_VALUE"""),"Sn C4E301DSRS")</f>
        <v>Sn C4E301DSRS</v>
      </c>
      <c r="H2012" s="164" t="str">
        <f ca="1">IFERROR(__xludf.DUMMYFUNCTION("""COMPUTED_VALUE"""),"Atty. LEO MIGUEL A. RAMOS")</f>
        <v>Atty. LEO MIGUEL A. RAMOS</v>
      </c>
      <c r="I2012" s="164" t="str">
        <f ca="1">IFERROR(__xludf.DUMMYFUNCTION("""COMPUTED_VALUE"""),"ATTY. V")</f>
        <v>ATTY. V</v>
      </c>
      <c r="J2012" s="164" t="str">
        <f ca="1">IFERROR(__xludf.DUMMYFUNCTION("""COMPUTED_VALUE"""),"PAR No. 2023")</f>
        <v>PAR No. 2023</v>
      </c>
      <c r="K2012" s="164" t="str">
        <f ca="1">IFERROR(__xludf.DUMMYFUNCTION("""COMPUTED_VALUE"""),"DYANE BONCODIN")</f>
        <v>DYANE BONCODIN</v>
      </c>
      <c r="L2012" s="164" t="str">
        <f ca="1">IFERROR(__xludf.DUMMYFUNCTION("""COMPUTED_VALUE"""),"LEGAL")</f>
        <v>LEGAL</v>
      </c>
      <c r="M2012" s="164" t="str">
        <f ca="1">IFERROR(__xludf.DUMMYFUNCTION("""COMPUTED_VALUE"""),"Serviceable")</f>
        <v>Serviceable</v>
      </c>
      <c r="N2012" s="164"/>
    </row>
    <row r="2013" spans="1:14" ht="13.2" hidden="1">
      <c r="A2013" s="164" t="str">
        <f ca="1">IFERROR(__xludf.DUMMYFUNCTION("""COMPUTED_VALUE"""),"REGION V")</f>
        <v>REGION V</v>
      </c>
      <c r="B2013" s="164" t="str">
        <f ca="1">IFERROR(__xludf.DUMMYFUNCTION("""COMPUTED_VALUE"""),"DARROV")</f>
        <v>DARROV</v>
      </c>
      <c r="C2013" s="164" t="str">
        <f ca="1">IFERROR(__xludf.DUMMYFUNCTION("""COMPUTED_VALUE"""),"Laptop – (ACER EXTENSA EX215-55G i7)")</f>
        <v>Laptop – (ACER EXTENSA EX215-55G i7)</v>
      </c>
      <c r="D2013" s="164" t="str">
        <f ca="1">IFERROR(__xludf.DUMMYFUNCTION("""COMPUTED_VALUE"""),"₱ 59,500.00")</f>
        <v>₱ 59,500.00</v>
      </c>
      <c r="E2013" s="164" t="str">
        <f ca="1">IFERROR(__xludf.DUMMYFUNCTION("""COMPUTED_VALUE"""),"₱ -")</f>
        <v>₱ -</v>
      </c>
      <c r="F2013" s="164" t="str">
        <f ca="1">IFERROR(__xludf.DUMMYFUNCTION("""COMPUTED_VALUE"""),"2023-05-03-10202SP42-01")</f>
        <v>2023-05-03-10202SP42-01</v>
      </c>
      <c r="G2013" s="164" t="str">
        <f ca="1">IFERROR(__xludf.DUMMYFUNCTION("""COMPUTED_VALUE"""),"Sn: NXEGZSP00330801BE83400")</f>
        <v>Sn: NXEGZSP00330801BE83400</v>
      </c>
      <c r="H2013" s="164" t="str">
        <f ca="1">IFERROR(__xludf.DUMMYFUNCTION("""COMPUTED_VALUE"""),"ANNIE DANDOY")</f>
        <v>ANNIE DANDOY</v>
      </c>
      <c r="I2013" s="164" t="str">
        <f ca="1">IFERROR(__xludf.DUMMYFUNCTION("""COMPUTED_VALUE"""),"RECORDS OFFICER")</f>
        <v>RECORDS OFFICER</v>
      </c>
      <c r="J2013" s="164" t="str">
        <f ca="1">IFERROR(__xludf.DUMMYFUNCTION("""COMPUTED_VALUE"""),"PAR No. 2023")</f>
        <v>PAR No. 2023</v>
      </c>
      <c r="K2013" s="164" t="str">
        <f ca="1">IFERROR(__xludf.DUMMYFUNCTION("""COMPUTED_VALUE"""),"ANNIE DANDOY")</f>
        <v>ANNIE DANDOY</v>
      </c>
      <c r="L2013" s="164" t="str">
        <f ca="1">IFERROR(__xludf.DUMMYFUNCTION("""COMPUTED_VALUE"""),"RECORDS")</f>
        <v>RECORDS</v>
      </c>
      <c r="M2013" s="164" t="str">
        <f ca="1">IFERROR(__xludf.DUMMYFUNCTION("""COMPUTED_VALUE"""),"Serviceable")</f>
        <v>Serviceable</v>
      </c>
      <c r="N2013" s="164"/>
    </row>
    <row r="2014" spans="1:14" ht="13.2" hidden="1">
      <c r="A2014" s="164" t="str">
        <f ca="1">IFERROR(__xludf.DUMMYFUNCTION("""COMPUTED_VALUE"""),"REGION V")</f>
        <v>REGION V</v>
      </c>
      <c r="B2014" s="164" t="str">
        <f ca="1">IFERROR(__xludf.DUMMYFUNCTION("""COMPUTED_VALUE"""),"DARROV")</f>
        <v>DARROV</v>
      </c>
      <c r="C2014" s="164" t="str">
        <f ca="1">IFERROR(__xludf.DUMMYFUNCTION("""COMPUTED_VALUE"""),"Laptop – (ACER EXTENSA EX215-55G i7)")</f>
        <v>Laptop – (ACER EXTENSA EX215-55G i7)</v>
      </c>
      <c r="D2014" s="164" t="str">
        <f ca="1">IFERROR(__xludf.DUMMYFUNCTION("""COMPUTED_VALUE"""),"₱ 59,500.00")</f>
        <v>₱ 59,500.00</v>
      </c>
      <c r="E2014" s="164" t="str">
        <f ca="1">IFERROR(__xludf.DUMMYFUNCTION("""COMPUTED_VALUE"""),"₱ -")</f>
        <v>₱ -</v>
      </c>
      <c r="F2014" s="164" t="str">
        <f ca="1">IFERROR(__xludf.DUMMYFUNCTION("""COMPUTED_VALUE"""),"2023-05-03-10202SP242-01")</f>
        <v>2023-05-03-10202SP242-01</v>
      </c>
      <c r="G2014" s="164" t="str">
        <f ca="1">IFERROR(__xludf.DUMMYFUNCTION("""COMPUTED_VALUE"""),"Sn: NXEGZSP00330801BE23400")</f>
        <v>Sn: NXEGZSP00330801BE23400</v>
      </c>
      <c r="H2014" s="164" t="str">
        <f ca="1">IFERROR(__xludf.DUMMYFUNCTION("""COMPUTED_VALUE"""),"RODRIGO O.REALUBIT")</f>
        <v>RODRIGO O.REALUBIT</v>
      </c>
      <c r="I2014" s="164" t="str">
        <f ca="1">IFERROR(__xludf.DUMMYFUNCTION("""COMPUTED_VALUE"""),"DIRECTOR IV")</f>
        <v>DIRECTOR IV</v>
      </c>
      <c r="J2014" s="164" t="str">
        <f ca="1">IFERROR(__xludf.DUMMYFUNCTION("""COMPUTED_VALUE"""),"PAR No. 2023")</f>
        <v>PAR No. 2023</v>
      </c>
      <c r="K2014" s="164" t="str">
        <f ca="1">IFERROR(__xludf.DUMMYFUNCTION("""COMPUTED_VALUE"""),"RODRIGO O.REALUBIT")</f>
        <v>RODRIGO O.REALUBIT</v>
      </c>
      <c r="L2014" s="164" t="str">
        <f ca="1">IFERROR(__xludf.DUMMYFUNCTION("""COMPUTED_VALUE"""),"ORDA")</f>
        <v>ORDA</v>
      </c>
      <c r="M2014" s="164" t="str">
        <f ca="1">IFERROR(__xludf.DUMMYFUNCTION("""COMPUTED_VALUE"""),"Serviceable")</f>
        <v>Serviceable</v>
      </c>
      <c r="N2014" s="164"/>
    </row>
    <row r="2015" spans="1:14" ht="13.2" hidden="1">
      <c r="A2015" s="164" t="str">
        <f ca="1">IFERROR(__xludf.DUMMYFUNCTION("""COMPUTED_VALUE"""),"REGION V")</f>
        <v>REGION V</v>
      </c>
      <c r="B2015" s="164" t="str">
        <f ca="1">IFERROR(__xludf.DUMMYFUNCTION("""COMPUTED_VALUE"""),"DARROV")</f>
        <v>DARROV</v>
      </c>
      <c r="C2015" s="164" t="str">
        <f ca="1">IFERROR(__xludf.DUMMYFUNCTION("""COMPUTED_VALUE"""),"Laptop – (ACER EXTENSA EX215-55G i7)")</f>
        <v>Laptop – (ACER EXTENSA EX215-55G i7)</v>
      </c>
      <c r="D2015" s="164" t="str">
        <f ca="1">IFERROR(__xludf.DUMMYFUNCTION("""COMPUTED_VALUE"""),"₱ 59,500.00")</f>
        <v>₱ 59,500.00</v>
      </c>
      <c r="E2015" s="164" t="str">
        <f ca="1">IFERROR(__xludf.DUMMYFUNCTION("""COMPUTED_VALUE"""),"₱ -")</f>
        <v>₱ -</v>
      </c>
      <c r="F2015" s="164" t="str">
        <f ca="1">IFERROR(__xludf.DUMMYFUNCTION("""COMPUTED_VALUE"""),"2023-05-03-10202SP243-01")</f>
        <v>2023-05-03-10202SP243-01</v>
      </c>
      <c r="G2015" s="164" t="str">
        <f ca="1">IFERROR(__xludf.DUMMYFUNCTION("""COMPUTED_VALUE"""),"Sn: NXEGZSP00330801C903400")</f>
        <v>Sn: NXEGZSP00330801C903400</v>
      </c>
      <c r="H2015" s="164" t="str">
        <f ca="1">IFERROR(__xludf.DUMMYFUNCTION("""COMPUTED_VALUE"""),"LORELIE L. AYTONA")</f>
        <v>LORELIE L. AYTONA</v>
      </c>
      <c r="I2015" s="164" t="str">
        <f ca="1">IFERROR(__xludf.DUMMYFUNCTION("""COMPUTED_VALUE"""),"SAO")</f>
        <v>SAO</v>
      </c>
      <c r="J2015" s="164" t="str">
        <f ca="1">IFERROR(__xludf.DUMMYFUNCTION("""COMPUTED_VALUE"""),"PAR No. 2023")</f>
        <v>PAR No. 2023</v>
      </c>
      <c r="K2015" s="164" t="str">
        <f ca="1">IFERROR(__xludf.DUMMYFUNCTION("""COMPUTED_VALUE"""),"LORELIE L. AYTONA")</f>
        <v>LORELIE L. AYTONA</v>
      </c>
      <c r="L2015" s="164" t="str">
        <f ca="1">IFERROR(__xludf.DUMMYFUNCTION("""COMPUTED_VALUE"""),"STOD")</f>
        <v>STOD</v>
      </c>
      <c r="M2015" s="164" t="str">
        <f ca="1">IFERROR(__xludf.DUMMYFUNCTION("""COMPUTED_VALUE"""),"Serviceable")</f>
        <v>Serviceable</v>
      </c>
      <c r="N2015" s="164"/>
    </row>
    <row r="2016" spans="1:14" ht="13.2" hidden="1">
      <c r="A2016" s="164" t="str">
        <f ca="1">IFERROR(__xludf.DUMMYFUNCTION("""COMPUTED_VALUE"""),"REGION V")</f>
        <v>REGION V</v>
      </c>
      <c r="B2016" s="164" t="str">
        <f ca="1">IFERROR(__xludf.DUMMYFUNCTION("""COMPUTED_VALUE"""),"DARROV")</f>
        <v>DARROV</v>
      </c>
      <c r="C2016" s="164" t="str">
        <f ca="1">IFERROR(__xludf.DUMMYFUNCTION("""COMPUTED_VALUE"""),"Laptop – (ACER EXTENSA EX215-55G i7)")</f>
        <v>Laptop – (ACER EXTENSA EX215-55G i7)</v>
      </c>
      <c r="D2016" s="164" t="str">
        <f ca="1">IFERROR(__xludf.DUMMYFUNCTION("""COMPUTED_VALUE"""),"₱ 59,500.00")</f>
        <v>₱ 59,500.00</v>
      </c>
      <c r="E2016" s="164" t="str">
        <f ca="1">IFERROR(__xludf.DUMMYFUNCTION("""COMPUTED_VALUE"""),"₱ -")</f>
        <v>₱ -</v>
      </c>
      <c r="F2016" s="164" t="str">
        <f ca="1">IFERROR(__xludf.DUMMYFUNCTION("""COMPUTED_VALUE"""),"2023-05-03-10202SP244-01")</f>
        <v>2023-05-03-10202SP244-01</v>
      </c>
      <c r="G2016" s="164" t="str">
        <f ca="1">IFERROR(__xludf.DUMMYFUNCTION("""COMPUTED_VALUE"""),"Sn: NXEGZSP00330801B963400")</f>
        <v>Sn: NXEGZSP00330801B963400</v>
      </c>
      <c r="H2016" s="164" t="str">
        <f ca="1">IFERROR(__xludf.DUMMYFUNCTION("""COMPUTED_VALUE"""),"ATTY NANETTE QUE")</f>
        <v>ATTY NANETTE QUE</v>
      </c>
      <c r="I2016" s="164" t="str">
        <f ca="1">IFERROR(__xludf.DUMMYFUNCTION("""COMPUTED_VALUE"""),"RARAD")</f>
        <v>RARAD</v>
      </c>
      <c r="J2016" s="164" t="str">
        <f ca="1">IFERROR(__xludf.DUMMYFUNCTION("""COMPUTED_VALUE"""),"PAR No. 2023")</f>
        <v>PAR No. 2023</v>
      </c>
      <c r="K2016" s="164" t="str">
        <f ca="1">IFERROR(__xludf.DUMMYFUNCTION("""COMPUTED_VALUE"""),"ATTY NANETTE QUE")</f>
        <v>ATTY NANETTE QUE</v>
      </c>
      <c r="L2016" s="164" t="str">
        <f ca="1">IFERROR(__xludf.DUMMYFUNCTION("""COMPUTED_VALUE"""),"RARAD")</f>
        <v>RARAD</v>
      </c>
      <c r="M2016" s="164" t="str">
        <f ca="1">IFERROR(__xludf.DUMMYFUNCTION("""COMPUTED_VALUE"""),"Serviceable")</f>
        <v>Serviceable</v>
      </c>
      <c r="N2016" s="164"/>
    </row>
    <row r="2017" spans="1:14" ht="13.2" hidden="1">
      <c r="A2017" s="164" t="str">
        <f ca="1">IFERROR(__xludf.DUMMYFUNCTION("""COMPUTED_VALUE"""),"REGION V")</f>
        <v>REGION V</v>
      </c>
      <c r="B2017" s="164" t="str">
        <f ca="1">IFERROR(__xludf.DUMMYFUNCTION("""COMPUTED_VALUE"""),"DARROV")</f>
        <v>DARROV</v>
      </c>
      <c r="C2017" s="164" t="str">
        <f ca="1">IFERROR(__xludf.DUMMYFUNCTION("""COMPUTED_VALUE"""),"ACER TRAVELMATE")</f>
        <v>ACER TRAVELMATE</v>
      </c>
      <c r="D2017" s="164" t="str">
        <f ca="1">IFERROR(__xludf.DUMMYFUNCTION("""COMPUTED_VALUE"""),"₱ 46,580.00")</f>
        <v>₱ 46,580.00</v>
      </c>
      <c r="E2017" s="164" t="str">
        <f ca="1">IFERROR(__xludf.DUMMYFUNCTION("""COMPUTED_VALUE"""),"₱ -")</f>
        <v>₱ -</v>
      </c>
      <c r="F2017" s="164" t="str">
        <f ca="1">IFERROR(__xludf.DUMMYFUNCTION("""COMPUTED_VALUE"""),"2024-05-03-10202SP-251-01")</f>
        <v>2024-05-03-10202SP-251-01</v>
      </c>
      <c r="G2017" s="164" t="str">
        <f ca="1">IFERROR(__xludf.DUMMYFUNCTION("""COMPUTED_VALUE"""),"S/N NXVXKSP0034193C3D7600")</f>
        <v>S/N NXVXKSP0034193C3D7600</v>
      </c>
      <c r="H2017" s="164" t="str">
        <f ca="1">IFERROR(__xludf.DUMMYFUNCTION("""COMPUTED_VALUE"""),"LERMA B. DINO")</f>
        <v>LERMA B. DINO</v>
      </c>
      <c r="I2017" s="164" t="str">
        <f ca="1">IFERROR(__xludf.DUMMYFUNCTION("""COMPUTED_VALUE"""),"CARPO")</f>
        <v>CARPO</v>
      </c>
      <c r="J2017" s="164" t="str">
        <f ca="1">IFERROR(__xludf.DUMMYFUNCTION("""COMPUTED_VALUE"""),"ICS No. 2024-10")</f>
        <v>ICS No. 2024-10</v>
      </c>
      <c r="K2017" s="164" t="str">
        <f ca="1">IFERROR(__xludf.DUMMYFUNCTION("""COMPUTED_VALUE"""),"Sarah Mae Fulleros")</f>
        <v>Sarah Mae Fulleros</v>
      </c>
      <c r="L2017" s="164" t="str">
        <f ca="1">IFERROR(__xludf.DUMMYFUNCTION("""COMPUTED_VALUE"""),"RPBD")</f>
        <v>RPBD</v>
      </c>
      <c r="M2017" s="164" t="str">
        <f ca="1">IFERROR(__xludf.DUMMYFUNCTION("""COMPUTED_VALUE"""),"Serviceable")</f>
        <v>Serviceable</v>
      </c>
      <c r="N2017" s="164"/>
    </row>
    <row r="2018" spans="1:14" ht="13.2" hidden="1">
      <c r="A2018" s="164" t="str">
        <f ca="1">IFERROR(__xludf.DUMMYFUNCTION("""COMPUTED_VALUE"""),"REGION V")</f>
        <v>REGION V</v>
      </c>
      <c r="B2018" s="164" t="str">
        <f ca="1">IFERROR(__xludf.DUMMYFUNCTION("""COMPUTED_VALUE"""),"DARROV")</f>
        <v>DARROV</v>
      </c>
      <c r="C2018" s="164" t="str">
        <f ca="1">IFERROR(__xludf.DUMMYFUNCTION("""COMPUTED_VALUE"""),"PLOTTER (3IN1)")</f>
        <v>PLOTTER (3IN1)</v>
      </c>
      <c r="D2018" s="164" t="str">
        <f ca="1">IFERROR(__xludf.DUMMYFUNCTION("""COMPUTED_VALUE"""),"₱ 648,000.00")</f>
        <v>₱ 648,000.00</v>
      </c>
      <c r="E2018" s="164" t="str">
        <f ca="1">IFERROR(__xludf.DUMMYFUNCTION("""COMPUTED_VALUE"""),"₱ -")</f>
        <v>₱ -</v>
      </c>
      <c r="F2018" s="164" t="str">
        <f ca="1">IFERROR(__xludf.DUMMYFUNCTION("""COMPUTED_VALUE"""),"2024-05-14-10201SP02-01")</f>
        <v>2024-05-14-10201SP02-01</v>
      </c>
      <c r="G2018" s="164" t="str">
        <f ca="1">IFERROR(__xludf.DUMMYFUNCTION("""COMPUTED_VALUE"""),"Sn BBAK00033")</f>
        <v>Sn BBAK00033</v>
      </c>
      <c r="H2018" s="164" t="str">
        <f ca="1">IFERROR(__xludf.DUMMYFUNCTION("""COMPUTED_VALUE"""),"MA. TERESA B. BANUA")</f>
        <v>MA. TERESA B. BANUA</v>
      </c>
      <c r="I2018" s="164" t="str">
        <f ca="1">IFERROR(__xludf.DUMMYFUNCTION("""COMPUTED_VALUE"""),"ENGR. III")</f>
        <v>ENGR. III</v>
      </c>
      <c r="J2018" s="164" t="str">
        <f ca="1">IFERROR(__xludf.DUMMYFUNCTION("""COMPUTED_VALUE"""),"PTR No. 2024-04-001PL")</f>
        <v>PTR No. 2024-04-001PL</v>
      </c>
      <c r="K2018" s="164" t="str">
        <f ca="1">IFERROR(__xludf.DUMMYFUNCTION("""COMPUTED_VALUE"""),"MA. TERESA B. BANUA")</f>
        <v>MA. TERESA B. BANUA</v>
      </c>
      <c r="L2018" s="164" t="str">
        <f ca="1">IFERROR(__xludf.DUMMYFUNCTION("""COMPUTED_VALUE"""),"LTID")</f>
        <v>LTID</v>
      </c>
      <c r="M2018" s="164" t="str">
        <f ca="1">IFERROR(__xludf.DUMMYFUNCTION("""COMPUTED_VALUE"""),"Serviceable")</f>
        <v>Serviceable</v>
      </c>
      <c r="N2018" s="164"/>
    </row>
    <row r="2019" spans="1:14" ht="13.2" hidden="1">
      <c r="A2019" s="164" t="str">
        <f ca="1">IFERROR(__xludf.DUMMYFUNCTION("""COMPUTED_VALUE"""),"REGION V")</f>
        <v>REGION V</v>
      </c>
      <c r="B2019" s="164" t="str">
        <f ca="1">IFERROR(__xludf.DUMMYFUNCTION("""COMPUTED_VALUE"""),"DARROV")</f>
        <v>DARROV</v>
      </c>
      <c r="C2019" s="164" t="str">
        <f ca="1">IFERROR(__xludf.DUMMYFUNCTION("""COMPUTED_VALUE"""),"ACER TRAVELMATE")</f>
        <v>ACER TRAVELMATE</v>
      </c>
      <c r="D2019" s="164" t="str">
        <f ca="1">IFERROR(__xludf.DUMMYFUNCTION("""COMPUTED_VALUE"""),"₱ 46,580.00")</f>
        <v>₱ 46,580.00</v>
      </c>
      <c r="E2019" s="164" t="str">
        <f ca="1">IFERROR(__xludf.DUMMYFUNCTION("""COMPUTED_VALUE"""),"₱ -")</f>
        <v>₱ -</v>
      </c>
      <c r="F2019" s="164" t="str">
        <f ca="1">IFERROR(__xludf.DUMMYFUNCTION("""COMPUTED_VALUE"""),"2024-05-03-10202SP-311-01")</f>
        <v>2024-05-03-10202SP-311-01</v>
      </c>
      <c r="G2019" s="164"/>
      <c r="H2019" s="164" t="str">
        <f ca="1">IFERROR(__xludf.DUMMYFUNCTION("""COMPUTED_VALUE"""),"TRISHA KAYLE F FRIVALDO")</f>
        <v>TRISHA KAYLE F FRIVALDO</v>
      </c>
      <c r="I2019" s="164" t="str">
        <f ca="1">IFERROR(__xludf.DUMMYFUNCTION("""COMPUTED_VALUE"""),"INFO OFFICER III")</f>
        <v>INFO OFFICER III</v>
      </c>
      <c r="J2019" s="164"/>
      <c r="K2019" s="164" t="str">
        <f ca="1">IFERROR(__xludf.DUMMYFUNCTION("""COMPUTED_VALUE"""),"TRISHA KAYLE F FRIVALDO")</f>
        <v>TRISHA KAYLE F FRIVALDO</v>
      </c>
      <c r="L2019" s="164" t="str">
        <f ca="1">IFERROR(__xludf.DUMMYFUNCTION("""COMPUTED_VALUE"""),"DARRO V")</f>
        <v>DARRO V</v>
      </c>
      <c r="M2019" s="164" t="str">
        <f ca="1">IFERROR(__xludf.DUMMYFUNCTION("""COMPUTED_VALUE"""),"Serviceable")</f>
        <v>Serviceable</v>
      </c>
      <c r="N2019" s="164"/>
    </row>
    <row r="2020" spans="1:14" ht="13.2" hidden="1">
      <c r="A2020" s="164" t="str">
        <f ca="1">IFERROR(__xludf.DUMMYFUNCTION("""COMPUTED_VALUE"""),"REGION V")</f>
        <v>REGION V</v>
      </c>
      <c r="B2020" s="164" t="str">
        <f ca="1">IFERROR(__xludf.DUMMYFUNCTION("""COMPUTED_VALUE"""),"DARROV")</f>
        <v>DARROV</v>
      </c>
      <c r="C2020" s="164" t="str">
        <f ca="1">IFERROR(__xludf.DUMMYFUNCTION("""COMPUTED_VALUE"""),"ACER TRAVELMATE")</f>
        <v>ACER TRAVELMATE</v>
      </c>
      <c r="D2020" s="164" t="str">
        <f ca="1">IFERROR(__xludf.DUMMYFUNCTION("""COMPUTED_VALUE"""),"₱ 46,580.00")</f>
        <v>₱ 46,580.00</v>
      </c>
      <c r="E2020" s="164" t="str">
        <f ca="1">IFERROR(__xludf.DUMMYFUNCTION("""COMPUTED_VALUE"""),"₱ -")</f>
        <v>₱ -</v>
      </c>
      <c r="F2020" s="164" t="str">
        <f ca="1">IFERROR(__xludf.DUMMYFUNCTION("""COMPUTED_VALUE"""),"2024-05-03-10202SP-320-01")</f>
        <v>2024-05-03-10202SP-320-01</v>
      </c>
      <c r="G2020" s="164"/>
      <c r="H2020" s="164" t="str">
        <f ca="1">IFERROR(__xludf.DUMMYFUNCTION("""COMPUTED_VALUE"""),"LERMA DINO")</f>
        <v>LERMA DINO</v>
      </c>
      <c r="I2020" s="164" t="str">
        <f ca="1">IFERROR(__xludf.DUMMYFUNCTION("""COMPUTED_VALUE"""),"CARPO")</f>
        <v>CARPO</v>
      </c>
      <c r="J2020" s="164" t="str">
        <f ca="1">IFERROR(__xludf.DUMMYFUNCTION("""COMPUTED_VALUE"""),"ICS # 2024-10")</f>
        <v>ICS # 2024-10</v>
      </c>
      <c r="K2020" s="164" t="str">
        <f ca="1">IFERROR(__xludf.DUMMYFUNCTION("""COMPUTED_VALUE"""),"SARAH MAE FULLETOS")</f>
        <v>SARAH MAE FULLETOS</v>
      </c>
      <c r="L2020" s="164" t="str">
        <f ca="1">IFERROR(__xludf.DUMMYFUNCTION("""COMPUTED_VALUE"""),"RPBD")</f>
        <v>RPBD</v>
      </c>
      <c r="M2020" s="164" t="str">
        <f ca="1">IFERROR(__xludf.DUMMYFUNCTION("""COMPUTED_VALUE"""),"Serviceable")</f>
        <v>Serviceable</v>
      </c>
      <c r="N2020" s="164"/>
    </row>
    <row r="2021" spans="1:14" ht="13.2" hidden="1">
      <c r="A2021" s="164" t="str">
        <f ca="1">IFERROR(__xludf.DUMMYFUNCTION("""COMPUTED_VALUE"""),"REGION V")</f>
        <v>REGION V</v>
      </c>
      <c r="B2021" s="164" t="str">
        <f ca="1">IFERROR(__xludf.DUMMYFUNCTION("""COMPUTED_VALUE"""),"DARROV")</f>
        <v>DARROV</v>
      </c>
      <c r="C2021" s="164" t="str">
        <f ca="1">IFERROR(__xludf.DUMMYFUNCTION("""COMPUTED_VALUE"""),"A3 PRINTER (BROTHER)")</f>
        <v>A3 PRINTER (BROTHER)</v>
      </c>
      <c r="D2021" s="164" t="str">
        <f ca="1">IFERROR(__xludf.DUMMYFUNCTION("""COMPUTED_VALUE"""),"₱ 33,508.00")</f>
        <v>₱ 33,508.00</v>
      </c>
      <c r="E2021" s="164" t="str">
        <f ca="1">IFERROR(__xludf.DUMMYFUNCTION("""COMPUTED_VALUE"""),"₱ -")</f>
        <v>₱ -</v>
      </c>
      <c r="F2021" s="164" t="str">
        <f ca="1">IFERROR(__xludf.DUMMYFUNCTION("""COMPUTED_VALUE"""),"HV-SPLIT-102-24-05-04-30")</f>
        <v>HV-SPLIT-102-24-05-04-30</v>
      </c>
      <c r="G2021" s="164" t="str">
        <f ca="1">IFERROR(__xludf.DUMMYFUNCTION("""COMPUTED_VALUE"""),"Sn E78947L3H871397")</f>
        <v>Sn E78947L3H871397</v>
      </c>
      <c r="H2021" s="164" t="str">
        <f ca="1">IFERROR(__xludf.DUMMYFUNCTION("""COMPUTED_VALUE"""),"FLORENTINA R. ESCOLANO")</f>
        <v>FLORENTINA R. ESCOLANO</v>
      </c>
      <c r="I2021" s="164" t="str">
        <f ca="1">IFERROR(__xludf.DUMMYFUNCTION("""COMPUTED_VALUE"""),"OIC -CARPO")</f>
        <v>OIC -CARPO</v>
      </c>
      <c r="J2021" s="164" t="str">
        <f ca="1">IFERROR(__xludf.DUMMYFUNCTION("""COMPUTED_VALUE"""),"PAR No. 2024")</f>
        <v>PAR No. 2024</v>
      </c>
      <c r="K2021" s="164" t="str">
        <f ca="1">IFERROR(__xludf.DUMMYFUNCTION("""COMPUTED_VALUE"""),"FLORENTINA R. ESCOLANO")</f>
        <v>FLORENTINA R. ESCOLANO</v>
      </c>
      <c r="L2021" s="164" t="str">
        <f ca="1">IFERROR(__xludf.DUMMYFUNCTION("""COMPUTED_VALUE"""),"LTID")</f>
        <v>LTID</v>
      </c>
      <c r="M2021" s="164" t="str">
        <f ca="1">IFERROR(__xludf.DUMMYFUNCTION("""COMPUTED_VALUE"""),"Serviceable")</f>
        <v>Serviceable</v>
      </c>
      <c r="N2021" s="164"/>
    </row>
    <row r="2022" spans="1:14" ht="13.2" hidden="1">
      <c r="A2022" s="164" t="str">
        <f ca="1">IFERROR(__xludf.DUMMYFUNCTION("""COMPUTED_VALUE"""),"REGION V")</f>
        <v>REGION V</v>
      </c>
      <c r="B2022" s="164" t="str">
        <f ca="1">IFERROR(__xludf.DUMMYFUNCTION("""COMPUTED_VALUE"""),"ALBAY")</f>
        <v>ALBAY</v>
      </c>
      <c r="C2022" s="164" t="str">
        <f ca="1">IFERROR(__xludf.DUMMYFUNCTION("""COMPUTED_VALUE"""),"REAL-TIME KINEMATIC – GEOMAX ZENITH60")</f>
        <v>REAL-TIME KINEMATIC – GEOMAX ZENITH60</v>
      </c>
      <c r="D2022" s="164" t="str">
        <f ca="1">IFERROR(__xludf.DUMMYFUNCTION("""COMPUTED_VALUE"""),"₱ 1,849,000.00")</f>
        <v>₱ 1,849,000.00</v>
      </c>
      <c r="E2022" s="164" t="str">
        <f ca="1">IFERROR(__xludf.DUMMYFUNCTION("""COMPUTED_VALUE"""),"₱ -")</f>
        <v>₱ -</v>
      </c>
      <c r="F2022" s="164" t="str">
        <f ca="1">IFERROR(__xludf.DUMMYFUNCTION("""COMPUTED_VALUE"""),"2023-05-14-10201SP02-01")</f>
        <v>2023-05-14-10201SP02-01</v>
      </c>
      <c r="G2022" s="164" t="str">
        <f ca="1">IFERROR(__xludf.DUMMYFUNCTION("""COMPUTED_VALUE"""),"Base: Z60 272200361
 Rover: Z60 ST272200431")</f>
        <v>Base: Z60 272200361
 Rover: Z60 ST272200431</v>
      </c>
      <c r="H2022" s="164" t="str">
        <f ca="1">IFERROR(__xludf.DUMMYFUNCTION("""COMPUTED_VALUE"""),"ZYRA JOY D. BERNAS")</f>
        <v>ZYRA JOY D. BERNAS</v>
      </c>
      <c r="I2022" s="164" t="str">
        <f ca="1">IFERROR(__xludf.DUMMYFUNCTION("""COMPUTED_VALUE"""),"ACCTG. PROPERTY CUSTUDIAN")</f>
        <v>ACCTG. PROPERTY CUSTUDIAN</v>
      </c>
      <c r="J2022" s="164" t="str">
        <f ca="1">IFERROR(__xludf.DUMMYFUNCTION("""COMPUTED_VALUE"""),"PTR:2023-SPLIT-003
 PAR:SPLIT-23-01-001")</f>
        <v>PTR:2023-SPLIT-003
 PAR:SPLIT-23-01-001</v>
      </c>
      <c r="K2022" s="164" t="str">
        <f ca="1">IFERROR(__xludf.DUMMYFUNCTION("""COMPUTED_VALUE"""),"ENGR. ALYSSA JOANA ARO")</f>
        <v>ENGR. ALYSSA JOANA ARO</v>
      </c>
      <c r="L2022" s="164" t="str">
        <f ca="1">IFERROR(__xludf.DUMMYFUNCTION("""COMPUTED_VALUE"""),"DARPO")</f>
        <v>DARPO</v>
      </c>
      <c r="M2022" s="164" t="str">
        <f ca="1">IFERROR(__xludf.DUMMYFUNCTION("""COMPUTED_VALUE"""),"SERVICEABLE")</f>
        <v>SERVICEABLE</v>
      </c>
      <c r="N2022" s="164"/>
    </row>
    <row r="2023" spans="1:14" ht="13.2" hidden="1">
      <c r="A2023" s="164" t="str">
        <f ca="1">IFERROR(__xludf.DUMMYFUNCTION("""COMPUTED_VALUE"""),"REGION V")</f>
        <v>REGION V</v>
      </c>
      <c r="B2023" s="164" t="str">
        <f ca="1">IFERROR(__xludf.DUMMYFUNCTION("""COMPUTED_VALUE"""),"ALBAY")</f>
        <v>ALBAY</v>
      </c>
      <c r="C2023" s="164" t="str">
        <f ca="1">IFERROR(__xludf.DUMMYFUNCTION("""COMPUTED_VALUE"""),"TOTAL STATION – GEOMAX TOTAL STATION ZOOM 50")</f>
        <v>TOTAL STATION – GEOMAX TOTAL STATION ZOOM 50</v>
      </c>
      <c r="D2023" s="164" t="str">
        <f ca="1">IFERROR(__xludf.DUMMYFUNCTION("""COMPUTED_VALUE"""),"₱ 648,000.00")</f>
        <v>₱ 648,000.00</v>
      </c>
      <c r="E2023" s="164" t="str">
        <f ca="1">IFERROR(__xludf.DUMMYFUNCTION("""COMPUTED_VALUE"""),"₱ -")</f>
        <v>₱ -</v>
      </c>
      <c r="F2023" s="164" t="str">
        <f ca="1">IFERROR(__xludf.DUMMYFUNCTION("""COMPUTED_VALUE"""),"2023-05-14-10201SPO2-01")</f>
        <v>2023-05-14-10201SPO2-01</v>
      </c>
      <c r="G2023" s="164" t="str">
        <f ca="1">IFERROR(__xludf.DUMMYFUNCTION("""COMPUTED_VALUE"""),"SN2839787")</f>
        <v>SN2839787</v>
      </c>
      <c r="H2023" s="164" t="str">
        <f ca="1">IFERROR(__xludf.DUMMYFUNCTION("""COMPUTED_VALUE"""),"ZYRA JOY D. BERNAS")</f>
        <v>ZYRA JOY D. BERNAS</v>
      </c>
      <c r="I2023" s="164" t="str">
        <f ca="1">IFERROR(__xludf.DUMMYFUNCTION("""COMPUTED_VALUE"""),"ACCTG. PROPERTY CUSTUDIAN")</f>
        <v>ACCTG. PROPERTY CUSTUDIAN</v>
      </c>
      <c r="J2023" s="164" t="str">
        <f ca="1">IFERROR(__xludf.DUMMYFUNCTION("""COMPUTED_VALUE"""),"PTR:2023-SPLIT-003
 PAR:SPLIT-23-01-001")</f>
        <v>PTR:2023-SPLIT-003
 PAR:SPLIT-23-01-001</v>
      </c>
      <c r="K2023" s="164" t="str">
        <f ca="1">IFERROR(__xludf.DUMMYFUNCTION("""COMPUTED_VALUE"""),"ENGR. ALYSSA JOANA ARO")</f>
        <v>ENGR. ALYSSA JOANA ARO</v>
      </c>
      <c r="L2023" s="164" t="str">
        <f ca="1">IFERROR(__xludf.DUMMYFUNCTION("""COMPUTED_VALUE"""),"DARPO")</f>
        <v>DARPO</v>
      </c>
      <c r="M2023" s="164" t="str">
        <f ca="1">IFERROR(__xludf.DUMMYFUNCTION("""COMPUTED_VALUE"""),"SERVICEABLE")</f>
        <v>SERVICEABLE</v>
      </c>
      <c r="N2023" s="164"/>
    </row>
    <row r="2024" spans="1:14" ht="13.2" hidden="1">
      <c r="A2024" s="164" t="str">
        <f ca="1">IFERROR(__xludf.DUMMYFUNCTION("""COMPUTED_VALUE"""),"REGION V")</f>
        <v>REGION V</v>
      </c>
      <c r="B2024" s="164" t="str">
        <f ca="1">IFERROR(__xludf.DUMMYFUNCTION("""COMPUTED_VALUE"""),"ALBAY")</f>
        <v>ALBAY</v>
      </c>
      <c r="C2024" s="164" t="str">
        <f ca="1">IFERROR(__xludf.DUMMYFUNCTION("""COMPUTED_VALUE"""),"HANDHELD GPS – MODEL P6")</f>
        <v>HANDHELD GPS – MODEL P6</v>
      </c>
      <c r="D2024" s="164" t="str">
        <f ca="1">IFERROR(__xludf.DUMMYFUNCTION("""COMPUTED_VALUE"""),"₱ 79,000.00")</f>
        <v>₱ 79,000.00</v>
      </c>
      <c r="E2024" s="164" t="str">
        <f ca="1">IFERROR(__xludf.DUMMYFUNCTION("""COMPUTED_VALUE"""),"₱ -")</f>
        <v>₱ -</v>
      </c>
      <c r="F2024" s="164" t="str">
        <f ca="1">IFERROR(__xludf.DUMMYFUNCTION("""COMPUTED_VALUE"""),"2023-05-14-10202SP02-01")</f>
        <v>2023-05-14-10202SP02-01</v>
      </c>
      <c r="G2024" s="164" t="str">
        <f ca="1">IFERROR(__xludf.DUMMYFUNCTION("""COMPUTED_VALUE"""),"Sp 10730097")</f>
        <v>Sp 10730097</v>
      </c>
      <c r="H2024" s="164" t="str">
        <f ca="1">IFERROR(__xludf.DUMMYFUNCTION("""COMPUTED_VALUE"""),"ZYRA JOY D. BERNAS")</f>
        <v>ZYRA JOY D. BERNAS</v>
      </c>
      <c r="I2024" s="164" t="str">
        <f ca="1">IFERROR(__xludf.DUMMYFUNCTION("""COMPUTED_VALUE"""),"ACCTG. PROPERTY CUSTUDIAN")</f>
        <v>ACCTG. PROPERTY CUSTUDIAN</v>
      </c>
      <c r="J2024" s="164" t="str">
        <f ca="1">IFERROR(__xludf.DUMMYFUNCTION("""COMPUTED_VALUE"""),"PTR:2023-SPLIT-003
 PAR:SPLIT-23-01-001")</f>
        <v>PTR:2023-SPLIT-003
 PAR:SPLIT-23-01-001</v>
      </c>
      <c r="K2024" s="164" t="str">
        <f ca="1">IFERROR(__xludf.DUMMYFUNCTION("""COMPUTED_VALUE"""),"ENGR. ALYSSA JOANA ARO")</f>
        <v>ENGR. ALYSSA JOANA ARO</v>
      </c>
      <c r="L2024" s="164" t="str">
        <f ca="1">IFERROR(__xludf.DUMMYFUNCTION("""COMPUTED_VALUE"""),"DARPO")</f>
        <v>DARPO</v>
      </c>
      <c r="M2024" s="164" t="str">
        <f ca="1">IFERROR(__xludf.DUMMYFUNCTION("""COMPUTED_VALUE"""),"SERVICEABLE")</f>
        <v>SERVICEABLE</v>
      </c>
      <c r="N2024" s="164"/>
    </row>
    <row r="2025" spans="1:14" ht="13.2" hidden="1">
      <c r="A2025" s="164" t="str">
        <f ca="1">IFERROR(__xludf.DUMMYFUNCTION("""COMPUTED_VALUE"""),"REGION V")</f>
        <v>REGION V</v>
      </c>
      <c r="B2025" s="164" t="str">
        <f ca="1">IFERROR(__xludf.DUMMYFUNCTION("""COMPUTED_VALUE"""),"ALBAY")</f>
        <v>ALBAY</v>
      </c>
      <c r="C2025" s="164" t="str">
        <f ca="1">IFERROR(__xludf.DUMMYFUNCTION("""COMPUTED_VALUE"""),"Desktop Computer – (Lenovo M70T)")</f>
        <v>Desktop Computer – (Lenovo M70T)</v>
      </c>
      <c r="D2025" s="164" t="str">
        <f ca="1">IFERROR(__xludf.DUMMYFUNCTION("""COMPUTED_VALUE"""),"₱ 75,468.00")</f>
        <v>₱ 75,468.00</v>
      </c>
      <c r="E2025" s="164" t="str">
        <f ca="1">IFERROR(__xludf.DUMMYFUNCTION("""COMPUTED_VALUE"""),"₱ -")</f>
        <v>₱ -</v>
      </c>
      <c r="F2025" s="164" t="str">
        <f ca="1">IFERROR(__xludf.DUMMYFUNCTION("""COMPUTED_VALUE"""),"2023-05-03-10201SP1014-01")</f>
        <v>2023-05-03-10201SP1014-01</v>
      </c>
      <c r="G2025" s="164" t="str">
        <f ca="1">IFERROR(__xludf.DUMMYFUNCTION("""COMPUTED_VALUE"""),"1S11T5S16200GM0415T4")</f>
        <v>1S11T5S16200GM0415T4</v>
      </c>
      <c r="H2025" s="164" t="str">
        <f ca="1">IFERROR(__xludf.DUMMYFUNCTION("""COMPUTED_VALUE"""),"ZYRA JOY D. BERNAS")</f>
        <v>ZYRA JOY D. BERNAS</v>
      </c>
      <c r="I2025" s="164" t="str">
        <f ca="1">IFERROR(__xludf.DUMMYFUNCTION("""COMPUTED_VALUE"""),"ACCTG. PROPERTY CUSTUDIAN")</f>
        <v>ACCTG. PROPERTY CUSTUDIAN</v>
      </c>
      <c r="J2025" s="164" t="str">
        <f ca="1">IFERROR(__xludf.DUMMYFUNCTION("""COMPUTED_VALUE"""),"PTR:2023-SPLIT-005
 PAR:23-05-011")</f>
        <v>PTR:2023-SPLIT-005
 PAR:23-05-011</v>
      </c>
      <c r="K2025" s="164" t="str">
        <f ca="1">IFERROR(__xludf.DUMMYFUNCTION("""COMPUTED_VALUE"""),"J. OROPESA
 C. SALES")</f>
        <v>J. OROPESA
 C. SALES</v>
      </c>
      <c r="L2025" s="164" t="str">
        <f ca="1">IFERROR(__xludf.DUMMYFUNCTION("""COMPUTED_VALUE"""),"DARPO")</f>
        <v>DARPO</v>
      </c>
      <c r="M2025" s="164" t="str">
        <f ca="1">IFERROR(__xludf.DUMMYFUNCTION("""COMPUTED_VALUE"""),"SERVICEABLE")</f>
        <v>SERVICEABLE</v>
      </c>
      <c r="N2025" s="164" t="str">
        <f ca="1">IFERROR(__xludf.DUMMYFUNCTION("""COMPUTED_VALUE"""),"PRINTER FOR REPAIR")</f>
        <v>PRINTER FOR REPAIR</v>
      </c>
    </row>
    <row r="2026" spans="1:14" ht="13.2" hidden="1">
      <c r="A2026" s="164" t="str">
        <f ca="1">IFERROR(__xludf.DUMMYFUNCTION("""COMPUTED_VALUE"""),"REGION V")</f>
        <v>REGION V</v>
      </c>
      <c r="B2026" s="164" t="str">
        <f ca="1">IFERROR(__xludf.DUMMYFUNCTION("""COMPUTED_VALUE"""),"ALBAY")</f>
        <v>ALBAY</v>
      </c>
      <c r="C2026" s="164" t="str">
        <f ca="1">IFERROR(__xludf.DUMMYFUNCTION("""COMPUTED_VALUE"""),"Desktop Computer – (Lenovo M70T)")</f>
        <v>Desktop Computer – (Lenovo M70T)</v>
      </c>
      <c r="D2026" s="164" t="str">
        <f ca="1">IFERROR(__xludf.DUMMYFUNCTION("""COMPUTED_VALUE"""),"₱ 75,468.00")</f>
        <v>₱ 75,468.00</v>
      </c>
      <c r="E2026" s="164" t="str">
        <f ca="1">IFERROR(__xludf.DUMMYFUNCTION("""COMPUTED_VALUE"""),"₱ -")</f>
        <v>₱ -</v>
      </c>
      <c r="F2026" s="164" t="str">
        <f ca="1">IFERROR(__xludf.DUMMYFUNCTION("""COMPUTED_VALUE"""),"2023-05-03-10201SP1015-01")</f>
        <v>2023-05-03-10201SP1015-01</v>
      </c>
      <c r="G2026" s="164" t="str">
        <f ca="1">IFERROR(__xludf.DUMMYFUNCTION("""COMPUTED_VALUE"""),"1S11T5S16200GM0415VY")</f>
        <v>1S11T5S16200GM0415VY</v>
      </c>
      <c r="H2026" s="164" t="str">
        <f ca="1">IFERROR(__xludf.DUMMYFUNCTION("""COMPUTED_VALUE"""),"ZYRA JOY D. BERNAS")</f>
        <v>ZYRA JOY D. BERNAS</v>
      </c>
      <c r="I2026" s="164" t="str">
        <f ca="1">IFERROR(__xludf.DUMMYFUNCTION("""COMPUTED_VALUE"""),"ACCTG. PROPERTY CUSTUDIAN")</f>
        <v>ACCTG. PROPERTY CUSTUDIAN</v>
      </c>
      <c r="J2026" s="164" t="str">
        <f ca="1">IFERROR(__xludf.DUMMYFUNCTION("""COMPUTED_VALUE"""),"PTR:2023-SPLIT-005
 PAR:23-05-003")</f>
        <v>PTR:2023-SPLIT-005
 PAR:23-05-003</v>
      </c>
      <c r="K2026" s="164" t="str">
        <f ca="1">IFERROR(__xludf.DUMMYFUNCTION("""COMPUTED_VALUE"""),"J. DELOS REYES
 J. GODOY")</f>
        <v>J. DELOS REYES
 J. GODOY</v>
      </c>
      <c r="L2026" s="164" t="str">
        <f ca="1">IFERROR(__xludf.DUMMYFUNCTION("""COMPUTED_VALUE"""),"DARPO")</f>
        <v>DARPO</v>
      </c>
      <c r="M2026" s="164" t="str">
        <f ca="1">IFERROR(__xludf.DUMMYFUNCTION("""COMPUTED_VALUE"""),"SERVICEABLE")</f>
        <v>SERVICEABLE</v>
      </c>
      <c r="N2026" s="164" t="str">
        <f ca="1">IFERROR(__xludf.DUMMYFUNCTION("""COMPUTED_VALUE"""),"UPS - UNSERVICEABLE")</f>
        <v>UPS - UNSERVICEABLE</v>
      </c>
    </row>
    <row r="2027" spans="1:14" ht="13.2" hidden="1">
      <c r="A2027" s="164" t="str">
        <f ca="1">IFERROR(__xludf.DUMMYFUNCTION("""COMPUTED_VALUE"""),"REGION V")</f>
        <v>REGION V</v>
      </c>
      <c r="B2027" s="164" t="str">
        <f ca="1">IFERROR(__xludf.DUMMYFUNCTION("""COMPUTED_VALUE"""),"ALBAY")</f>
        <v>ALBAY</v>
      </c>
      <c r="C2027" s="164" t="str">
        <f ca="1">IFERROR(__xludf.DUMMYFUNCTION("""COMPUTED_VALUE"""),"Desktop Computer – (Lenovo M70T)")</f>
        <v>Desktop Computer – (Lenovo M70T)</v>
      </c>
      <c r="D2027" s="164" t="str">
        <f ca="1">IFERROR(__xludf.DUMMYFUNCTION("""COMPUTED_VALUE"""),"₱ 75,468.00")</f>
        <v>₱ 75,468.00</v>
      </c>
      <c r="E2027" s="164" t="str">
        <f ca="1">IFERROR(__xludf.DUMMYFUNCTION("""COMPUTED_VALUE"""),"₱ -")</f>
        <v>₱ -</v>
      </c>
      <c r="F2027" s="164" t="str">
        <f ca="1">IFERROR(__xludf.DUMMYFUNCTION("""COMPUTED_VALUE"""),"2023-05-03-10201SP1016-01")</f>
        <v>2023-05-03-10201SP1016-01</v>
      </c>
      <c r="G2027" s="164" t="str">
        <f ca="1">IFERROR(__xludf.DUMMYFUNCTION("""COMPUTED_VALUE"""),"1S11T5S16200GM0415WO")</f>
        <v>1S11T5S16200GM0415WO</v>
      </c>
      <c r="H2027" s="164" t="str">
        <f ca="1">IFERROR(__xludf.DUMMYFUNCTION("""COMPUTED_VALUE"""),"ZYRA JOY D. BERNAS")</f>
        <v>ZYRA JOY D. BERNAS</v>
      </c>
      <c r="I2027" s="164" t="str">
        <f ca="1">IFERROR(__xludf.DUMMYFUNCTION("""COMPUTED_VALUE"""),"ACCTG. PROPERTY CUSTUDIAN")</f>
        <v>ACCTG. PROPERTY CUSTUDIAN</v>
      </c>
      <c r="J2027" s="164" t="str">
        <f ca="1">IFERROR(__xludf.DUMMYFUNCTION("""COMPUTED_VALUE"""),"PTR:2023-SPLIT-005
 PAR:23-05-010")</f>
        <v>PTR:2023-SPLIT-005
 PAR:23-05-010</v>
      </c>
      <c r="K2027" s="164" t="str">
        <f ca="1">IFERROR(__xludf.DUMMYFUNCTION("""COMPUTED_VALUE"""),"C. ORPIADA
 M. JOPIA")</f>
        <v>C. ORPIADA
 M. JOPIA</v>
      </c>
      <c r="L2027" s="164" t="str">
        <f ca="1">IFERROR(__xludf.DUMMYFUNCTION("""COMPUTED_VALUE"""),"DARPO")</f>
        <v>DARPO</v>
      </c>
      <c r="M2027" s="164" t="str">
        <f ca="1">IFERROR(__xludf.DUMMYFUNCTION("""COMPUTED_VALUE"""),"SERVICEABLE")</f>
        <v>SERVICEABLE</v>
      </c>
      <c r="N2027" s="164"/>
    </row>
    <row r="2028" spans="1:14" ht="13.2" hidden="1">
      <c r="A2028" s="164" t="str">
        <f ca="1">IFERROR(__xludf.DUMMYFUNCTION("""COMPUTED_VALUE"""),"REGION V")</f>
        <v>REGION V</v>
      </c>
      <c r="B2028" s="164" t="str">
        <f ca="1">IFERROR(__xludf.DUMMYFUNCTION("""COMPUTED_VALUE"""),"ALBAY")</f>
        <v>ALBAY</v>
      </c>
      <c r="C2028" s="164" t="str">
        <f ca="1">IFERROR(__xludf.DUMMYFUNCTION("""COMPUTED_VALUE"""),"Desktop Computer – (Lenovo M70T)")</f>
        <v>Desktop Computer – (Lenovo M70T)</v>
      </c>
      <c r="D2028" s="164" t="str">
        <f ca="1">IFERROR(__xludf.DUMMYFUNCTION("""COMPUTED_VALUE"""),"₱ 75,468.00")</f>
        <v>₱ 75,468.00</v>
      </c>
      <c r="E2028" s="164" t="str">
        <f ca="1">IFERROR(__xludf.DUMMYFUNCTION("""COMPUTED_VALUE"""),"₱ -")</f>
        <v>₱ -</v>
      </c>
      <c r="F2028" s="164" t="str">
        <f ca="1">IFERROR(__xludf.DUMMYFUNCTION("""COMPUTED_VALUE"""),"2023-05-03-10201SP1017-01")</f>
        <v>2023-05-03-10201SP1017-01</v>
      </c>
      <c r="G2028" s="164" t="str">
        <f ca="1">IFERROR(__xludf.DUMMYFUNCTION("""COMPUTED_VALUE"""),"1S11T5S16200GM0415W3")</f>
        <v>1S11T5S16200GM0415W3</v>
      </c>
      <c r="H2028" s="164" t="str">
        <f ca="1">IFERROR(__xludf.DUMMYFUNCTION("""COMPUTED_VALUE"""),"ZYRA JOY D. BERNAS")</f>
        <v>ZYRA JOY D. BERNAS</v>
      </c>
      <c r="I2028" s="164" t="str">
        <f ca="1">IFERROR(__xludf.DUMMYFUNCTION("""COMPUTED_VALUE"""),"ACCTG. PROPERTY CUSTUDIAN")</f>
        <v>ACCTG. PROPERTY CUSTUDIAN</v>
      </c>
      <c r="J2028" s="164" t="str">
        <f ca="1">IFERROR(__xludf.DUMMYFUNCTION("""COMPUTED_VALUE"""),"PTR:2023-SPLIT-005
 PAR:23-05-008")</f>
        <v>PTR:2023-SPLIT-005
 PAR:23-05-008</v>
      </c>
      <c r="K2028" s="164" t="str">
        <f ca="1">IFERROR(__xludf.DUMMYFUNCTION("""COMPUTED_VALUE"""),"R. PALENCIA")</f>
        <v>R. PALENCIA</v>
      </c>
      <c r="L2028" s="164" t="str">
        <f ca="1">IFERROR(__xludf.DUMMYFUNCTION("""COMPUTED_VALUE"""),"DARPO")</f>
        <v>DARPO</v>
      </c>
      <c r="M2028" s="164" t="str">
        <f ca="1">IFERROR(__xludf.DUMMYFUNCTION("""COMPUTED_VALUE"""),"SERVICEABLE")</f>
        <v>SERVICEABLE</v>
      </c>
      <c r="N2028" s="164"/>
    </row>
    <row r="2029" spans="1:14" ht="13.2" hidden="1">
      <c r="A2029" s="164" t="str">
        <f ca="1">IFERROR(__xludf.DUMMYFUNCTION("""COMPUTED_VALUE"""),"REGION V")</f>
        <v>REGION V</v>
      </c>
      <c r="B2029" s="164" t="str">
        <f ca="1">IFERROR(__xludf.DUMMYFUNCTION("""COMPUTED_VALUE"""),"ALBAY")</f>
        <v>ALBAY</v>
      </c>
      <c r="C2029" s="164" t="str">
        <f ca="1">IFERROR(__xludf.DUMMYFUNCTION("""COMPUTED_VALUE"""),"Desktop Computer – (Lenovo M70T)")</f>
        <v>Desktop Computer – (Lenovo M70T)</v>
      </c>
      <c r="D2029" s="164" t="str">
        <f ca="1">IFERROR(__xludf.DUMMYFUNCTION("""COMPUTED_VALUE"""),"₱ 75,468.00")</f>
        <v>₱ 75,468.00</v>
      </c>
      <c r="E2029" s="164" t="str">
        <f ca="1">IFERROR(__xludf.DUMMYFUNCTION("""COMPUTED_VALUE"""),"₱ -")</f>
        <v>₱ -</v>
      </c>
      <c r="F2029" s="164" t="str">
        <f ca="1">IFERROR(__xludf.DUMMYFUNCTION("""COMPUTED_VALUE"""),"2023-05-03-10201SP1018-01")</f>
        <v>2023-05-03-10201SP1018-01</v>
      </c>
      <c r="G2029" s="164" t="str">
        <f ca="1">IFERROR(__xludf.DUMMYFUNCTION("""COMPUTED_VALUE"""),"1S11T5S16200GM0415WA")</f>
        <v>1S11T5S16200GM0415WA</v>
      </c>
      <c r="H2029" s="164" t="str">
        <f ca="1">IFERROR(__xludf.DUMMYFUNCTION("""COMPUTED_VALUE"""),"ZYRA JOY D. BERNAS")</f>
        <v>ZYRA JOY D. BERNAS</v>
      </c>
      <c r="I2029" s="164" t="str">
        <f ca="1">IFERROR(__xludf.DUMMYFUNCTION("""COMPUTED_VALUE"""),"ACCTG. PROPERTY CUSTUDIAN")</f>
        <v>ACCTG. PROPERTY CUSTUDIAN</v>
      </c>
      <c r="J2029" s="164" t="str">
        <f ca="1">IFERROR(__xludf.DUMMYFUNCTION("""COMPUTED_VALUE"""),"PTR:2023-SPLIT-005
 PAR:23-05-005")</f>
        <v>PTR:2023-SPLIT-005
 PAR:23-05-005</v>
      </c>
      <c r="K2029" s="164" t="str">
        <f ca="1">IFERROR(__xludf.DUMMYFUNCTION("""COMPUTED_VALUE"""),"N. OLITIN
 R. BOLANTE")</f>
        <v>N. OLITIN
 R. BOLANTE</v>
      </c>
      <c r="L2029" s="164" t="str">
        <f ca="1">IFERROR(__xludf.DUMMYFUNCTION("""COMPUTED_VALUE"""),"DARPO")</f>
        <v>DARPO</v>
      </c>
      <c r="M2029" s="164" t="str">
        <f ca="1">IFERROR(__xludf.DUMMYFUNCTION("""COMPUTED_VALUE"""),"SERVICEABLE")</f>
        <v>SERVICEABLE</v>
      </c>
      <c r="N2029" s="164" t="str">
        <f ca="1">IFERROR(__xludf.DUMMYFUNCTION("""COMPUTED_VALUE"""),"UPS - UNSERVICEABLE, PRINTER - FOR REPAIR")</f>
        <v>UPS - UNSERVICEABLE, PRINTER - FOR REPAIR</v>
      </c>
    </row>
    <row r="2030" spans="1:14" ht="13.2" hidden="1">
      <c r="A2030" s="164" t="str">
        <f ca="1">IFERROR(__xludf.DUMMYFUNCTION("""COMPUTED_VALUE"""),"REGION V")</f>
        <v>REGION V</v>
      </c>
      <c r="B2030" s="164" t="str">
        <f ca="1">IFERROR(__xludf.DUMMYFUNCTION("""COMPUTED_VALUE"""),"ALBAY")</f>
        <v>ALBAY</v>
      </c>
      <c r="C2030" s="164" t="str">
        <f ca="1">IFERROR(__xludf.DUMMYFUNCTION("""COMPUTED_VALUE"""),"Desktop Computer – (Lenovo M70T)")</f>
        <v>Desktop Computer – (Lenovo M70T)</v>
      </c>
      <c r="D2030" s="164" t="str">
        <f ca="1">IFERROR(__xludf.DUMMYFUNCTION("""COMPUTED_VALUE"""),"₱ 75,468.00")</f>
        <v>₱ 75,468.00</v>
      </c>
      <c r="E2030" s="164" t="str">
        <f ca="1">IFERROR(__xludf.DUMMYFUNCTION("""COMPUTED_VALUE"""),"₱ -")</f>
        <v>₱ -</v>
      </c>
      <c r="F2030" s="164" t="str">
        <f ca="1">IFERROR(__xludf.DUMMYFUNCTION("""COMPUTED_VALUE"""),"2023-05-03-10201SP1019-01")</f>
        <v>2023-05-03-10201SP1019-01</v>
      </c>
      <c r="G2030" s="164" t="str">
        <f ca="1">IFERROR(__xludf.DUMMYFUNCTION("""COMPUTED_VALUE"""),"1S11T5S16200GM0415WB")</f>
        <v>1S11T5S16200GM0415WB</v>
      </c>
      <c r="H2030" s="164" t="str">
        <f ca="1">IFERROR(__xludf.DUMMYFUNCTION("""COMPUTED_VALUE"""),"ZYRA JOY D. BERNAS")</f>
        <v>ZYRA JOY D. BERNAS</v>
      </c>
      <c r="I2030" s="164" t="str">
        <f ca="1">IFERROR(__xludf.DUMMYFUNCTION("""COMPUTED_VALUE"""),"ACCTG. PROPERTY CUSTUDIAN")</f>
        <v>ACCTG. PROPERTY CUSTUDIAN</v>
      </c>
      <c r="J2030" s="164" t="str">
        <f ca="1">IFERROR(__xludf.DUMMYFUNCTION("""COMPUTED_VALUE"""),"PTR:2023-SPLIT-005
 PAR:23-05-005")</f>
        <v>PTR:2023-SPLIT-005
 PAR:23-05-005</v>
      </c>
      <c r="K2030" s="164" t="str">
        <f ca="1">IFERROR(__xludf.DUMMYFUNCTION("""COMPUTED_VALUE"""),"C. ATIVOL
 JR. APULI")</f>
        <v>C. ATIVOL
 JR. APULI</v>
      </c>
      <c r="L2030" s="164" t="str">
        <f ca="1">IFERROR(__xludf.DUMMYFUNCTION("""COMPUTED_VALUE"""),"DARPO")</f>
        <v>DARPO</v>
      </c>
      <c r="M2030" s="164" t="str">
        <f ca="1">IFERROR(__xludf.DUMMYFUNCTION("""COMPUTED_VALUE"""),"SERVICEABLE")</f>
        <v>SERVICEABLE</v>
      </c>
      <c r="N2030" s="164" t="str">
        <f ca="1">IFERROR(__xludf.DUMMYFUNCTION("""COMPUTED_VALUE"""),"PRINTER FOR REPAIR")</f>
        <v>PRINTER FOR REPAIR</v>
      </c>
    </row>
    <row r="2031" spans="1:14" ht="13.2" hidden="1">
      <c r="A2031" s="164" t="str">
        <f ca="1">IFERROR(__xludf.DUMMYFUNCTION("""COMPUTED_VALUE"""),"REGION V")</f>
        <v>REGION V</v>
      </c>
      <c r="B2031" s="164" t="str">
        <f ca="1">IFERROR(__xludf.DUMMYFUNCTION("""COMPUTED_VALUE"""),"ALBAY")</f>
        <v>ALBAY</v>
      </c>
      <c r="C2031" s="164" t="str">
        <f ca="1">IFERROR(__xludf.DUMMYFUNCTION("""COMPUTED_VALUE"""),"Desktop Computer – (Lenovo M70T)")</f>
        <v>Desktop Computer – (Lenovo M70T)</v>
      </c>
      <c r="D2031" s="164" t="str">
        <f ca="1">IFERROR(__xludf.DUMMYFUNCTION("""COMPUTED_VALUE"""),"₱ 75,468.00")</f>
        <v>₱ 75,468.00</v>
      </c>
      <c r="E2031" s="164" t="str">
        <f ca="1">IFERROR(__xludf.DUMMYFUNCTION("""COMPUTED_VALUE"""),"₱ -")</f>
        <v>₱ -</v>
      </c>
      <c r="F2031" s="164" t="str">
        <f ca="1">IFERROR(__xludf.DUMMYFUNCTION("""COMPUTED_VALUE"""),"2023-05-03-10201SP1020-01")</f>
        <v>2023-05-03-10201SP1020-01</v>
      </c>
      <c r="G2031" s="164" t="str">
        <f ca="1">IFERROR(__xludf.DUMMYFUNCTION("""COMPUTED_VALUE"""),"1S11T5S16200GM0415WE")</f>
        <v>1S11T5S16200GM0415WE</v>
      </c>
      <c r="H2031" s="164" t="str">
        <f ca="1">IFERROR(__xludf.DUMMYFUNCTION("""COMPUTED_VALUE"""),"ZYRA JOY D. BERNAS")</f>
        <v>ZYRA JOY D. BERNAS</v>
      </c>
      <c r="I2031" s="164" t="str">
        <f ca="1">IFERROR(__xludf.DUMMYFUNCTION("""COMPUTED_VALUE"""),"ACCTG. PROPERTY CUSTUDIAN")</f>
        <v>ACCTG. PROPERTY CUSTUDIAN</v>
      </c>
      <c r="J2031" s="164" t="str">
        <f ca="1">IFERROR(__xludf.DUMMYFUNCTION("""COMPUTED_VALUE"""),"PTR:2023-SPLIT-005
 PAR:23-05-007")</f>
        <v>PTR:2023-SPLIT-005
 PAR:23-05-007</v>
      </c>
      <c r="K2031" s="164" t="str">
        <f ca="1">IFERROR(__xludf.DUMMYFUNCTION("""COMPUTED_VALUE"""),"N. OLITIN
 J. ORTICIO")</f>
        <v>N. OLITIN
 J. ORTICIO</v>
      </c>
      <c r="L2031" s="164" t="str">
        <f ca="1">IFERROR(__xludf.DUMMYFUNCTION("""COMPUTED_VALUE"""),"DARPO")</f>
        <v>DARPO</v>
      </c>
      <c r="M2031" s="164" t="str">
        <f ca="1">IFERROR(__xludf.DUMMYFUNCTION("""COMPUTED_VALUE"""),"SERVICEABLE")</f>
        <v>SERVICEABLE</v>
      </c>
      <c r="N2031" s="164"/>
    </row>
    <row r="2032" spans="1:14" ht="13.2" hidden="1">
      <c r="A2032" s="164" t="str">
        <f ca="1">IFERROR(__xludf.DUMMYFUNCTION("""COMPUTED_VALUE"""),"REGION V")</f>
        <v>REGION V</v>
      </c>
      <c r="B2032" s="164" t="str">
        <f ca="1">IFERROR(__xludf.DUMMYFUNCTION("""COMPUTED_VALUE"""),"ALBAY")</f>
        <v>ALBAY</v>
      </c>
      <c r="C2032" s="164" t="str">
        <f ca="1">IFERROR(__xludf.DUMMYFUNCTION("""COMPUTED_VALUE"""),"Desktop Computer – (Lenovo M70T)")</f>
        <v>Desktop Computer – (Lenovo M70T)</v>
      </c>
      <c r="D2032" s="164" t="str">
        <f ca="1">IFERROR(__xludf.DUMMYFUNCTION("""COMPUTED_VALUE"""),"₱ 75,468.00")</f>
        <v>₱ 75,468.00</v>
      </c>
      <c r="E2032" s="164" t="str">
        <f ca="1">IFERROR(__xludf.DUMMYFUNCTION("""COMPUTED_VALUE"""),"₱ -")</f>
        <v>₱ -</v>
      </c>
      <c r="F2032" s="164" t="str">
        <f ca="1">IFERROR(__xludf.DUMMYFUNCTION("""COMPUTED_VALUE"""),"2023-05-03-10201SP1021-01")</f>
        <v>2023-05-03-10201SP1021-01</v>
      </c>
      <c r="G2032" s="164" t="str">
        <f ca="1">IFERROR(__xludf.DUMMYFUNCTION("""COMPUTED_VALUE"""),"1S11T5S16200GM0415WJ")</f>
        <v>1S11T5S16200GM0415WJ</v>
      </c>
      <c r="H2032" s="164" t="str">
        <f ca="1">IFERROR(__xludf.DUMMYFUNCTION("""COMPUTED_VALUE"""),"ZYRA JOY D. BERNAS")</f>
        <v>ZYRA JOY D. BERNAS</v>
      </c>
      <c r="I2032" s="164" t="str">
        <f ca="1">IFERROR(__xludf.DUMMYFUNCTION("""COMPUTED_VALUE"""),"ACCTG. PROPERTY CUSTUDIAN")</f>
        <v>ACCTG. PROPERTY CUSTUDIAN</v>
      </c>
      <c r="J2032" s="164" t="str">
        <f ca="1">IFERROR(__xludf.DUMMYFUNCTION("""COMPUTED_VALUE"""),"PTR:2023-SPLIT-005
 PAR:23-05-002")</f>
        <v>PTR:2023-SPLIT-005
 PAR:23-05-002</v>
      </c>
      <c r="K2032" s="164" t="str">
        <f ca="1">IFERROR(__xludf.DUMMYFUNCTION("""COMPUTED_VALUE"""),"W. BARRA-BUAMA
 J. ELAURZA")</f>
        <v>W. BARRA-BUAMA
 J. ELAURZA</v>
      </c>
      <c r="L2032" s="164" t="str">
        <f ca="1">IFERROR(__xludf.DUMMYFUNCTION("""COMPUTED_VALUE"""),"DARPO")</f>
        <v>DARPO</v>
      </c>
      <c r="M2032" s="164" t="str">
        <f ca="1">IFERROR(__xludf.DUMMYFUNCTION("""COMPUTED_VALUE"""),"SERVICEABLE")</f>
        <v>SERVICEABLE</v>
      </c>
      <c r="N2032" s="164"/>
    </row>
    <row r="2033" spans="1:14" ht="13.2" hidden="1">
      <c r="A2033" s="164" t="str">
        <f ca="1">IFERROR(__xludf.DUMMYFUNCTION("""COMPUTED_VALUE"""),"REGION V")</f>
        <v>REGION V</v>
      </c>
      <c r="B2033" s="164" t="str">
        <f ca="1">IFERROR(__xludf.DUMMYFUNCTION("""COMPUTED_VALUE"""),"ALBAY")</f>
        <v>ALBAY</v>
      </c>
      <c r="C2033" s="164" t="str">
        <f ca="1">IFERROR(__xludf.DUMMYFUNCTION("""COMPUTED_VALUE"""),"Desktop Computer – (Lenovo M70T)")</f>
        <v>Desktop Computer – (Lenovo M70T)</v>
      </c>
      <c r="D2033" s="164" t="str">
        <f ca="1">IFERROR(__xludf.DUMMYFUNCTION("""COMPUTED_VALUE"""),"₱ 75,468.00")</f>
        <v>₱ 75,468.00</v>
      </c>
      <c r="E2033" s="164" t="str">
        <f ca="1">IFERROR(__xludf.DUMMYFUNCTION("""COMPUTED_VALUE"""),"₱ -")</f>
        <v>₱ -</v>
      </c>
      <c r="F2033" s="164" t="str">
        <f ca="1">IFERROR(__xludf.DUMMYFUNCTION("""COMPUTED_VALUE"""),"2023-05-03-10201SP1022-01")</f>
        <v>2023-05-03-10201SP1022-01</v>
      </c>
      <c r="G2033" s="164" t="str">
        <f ca="1">IFERROR(__xludf.DUMMYFUNCTION("""COMPUTED_VALUE"""),"1S11T5S16200GM0415YF")</f>
        <v>1S11T5S16200GM0415YF</v>
      </c>
      <c r="H2033" s="164" t="str">
        <f ca="1">IFERROR(__xludf.DUMMYFUNCTION("""COMPUTED_VALUE"""),"ZYRA JOY D. BERNAS")</f>
        <v>ZYRA JOY D. BERNAS</v>
      </c>
      <c r="I2033" s="164" t="str">
        <f ca="1">IFERROR(__xludf.DUMMYFUNCTION("""COMPUTED_VALUE"""),"ACCTG. PROPERTY CUSTUDIAN")</f>
        <v>ACCTG. PROPERTY CUSTUDIAN</v>
      </c>
      <c r="J2033" s="164" t="str">
        <f ca="1">IFERROR(__xludf.DUMMYFUNCTION("""COMPUTED_VALUE"""),"PTR:2023-SPLIT-005
 PAR:23-05-004")</f>
        <v>PTR:2023-SPLIT-005
 PAR:23-05-004</v>
      </c>
      <c r="K2033" s="164" t="str">
        <f ca="1">IFERROR(__xludf.DUMMYFUNCTION("""COMPUTED_VALUE"""),"JOAN ATUTUBO")</f>
        <v>JOAN ATUTUBO</v>
      </c>
      <c r="L2033" s="164" t="str">
        <f ca="1">IFERROR(__xludf.DUMMYFUNCTION("""COMPUTED_VALUE"""),"DARPO")</f>
        <v>DARPO</v>
      </c>
      <c r="M2033" s="164" t="str">
        <f ca="1">IFERROR(__xludf.DUMMYFUNCTION("""COMPUTED_VALUE"""),"SERVICEABLE")</f>
        <v>SERVICEABLE</v>
      </c>
      <c r="N2033" s="164"/>
    </row>
    <row r="2034" spans="1:14" ht="13.2" hidden="1">
      <c r="A2034" s="164" t="str">
        <f ca="1">IFERROR(__xludf.DUMMYFUNCTION("""COMPUTED_VALUE"""),"REGION V")</f>
        <v>REGION V</v>
      </c>
      <c r="B2034" s="164" t="str">
        <f ca="1">IFERROR(__xludf.DUMMYFUNCTION("""COMPUTED_VALUE"""),"ALBAY")</f>
        <v>ALBAY</v>
      </c>
      <c r="C2034" s="164" t="str">
        <f ca="1">IFERROR(__xludf.DUMMYFUNCTION("""COMPUTED_VALUE"""),"Desktop Computer – (Lenovo M70T)")</f>
        <v>Desktop Computer – (Lenovo M70T)</v>
      </c>
      <c r="D2034" s="164" t="str">
        <f ca="1">IFERROR(__xludf.DUMMYFUNCTION("""COMPUTED_VALUE"""),"₱ 75,468.00")</f>
        <v>₱ 75,468.00</v>
      </c>
      <c r="E2034" s="164" t="str">
        <f ca="1">IFERROR(__xludf.DUMMYFUNCTION("""COMPUTED_VALUE"""),"₱ -")</f>
        <v>₱ -</v>
      </c>
      <c r="F2034" s="164" t="str">
        <f ca="1">IFERROR(__xludf.DUMMYFUNCTION("""COMPUTED_VALUE"""),"2023-05-03-10201SP1023-01")</f>
        <v>2023-05-03-10201SP1023-01</v>
      </c>
      <c r="G2034" s="164" t="str">
        <f ca="1">IFERROR(__xludf.DUMMYFUNCTION("""COMPUTED_VALUE"""),"1S11T5S16200GM0415YH")</f>
        <v>1S11T5S16200GM0415YH</v>
      </c>
      <c r="H2034" s="164" t="str">
        <f ca="1">IFERROR(__xludf.DUMMYFUNCTION("""COMPUTED_VALUE"""),"ZYRA JOY D. BERNAS")</f>
        <v>ZYRA JOY D. BERNAS</v>
      </c>
      <c r="I2034" s="164" t="str">
        <f ca="1">IFERROR(__xludf.DUMMYFUNCTION("""COMPUTED_VALUE"""),"ACCTG. PROPERTY CUSTUDIAN")</f>
        <v>ACCTG. PROPERTY CUSTUDIAN</v>
      </c>
      <c r="J2034" s="164" t="str">
        <f ca="1">IFERROR(__xludf.DUMMYFUNCTION("""COMPUTED_VALUE"""),"PTR:2023-SPLIT-005
 PAR:23-05-014")</f>
        <v>PTR:2023-SPLIT-005
 PAR:23-05-014</v>
      </c>
      <c r="K2034" s="164" t="str">
        <f ca="1">IFERROR(__xludf.DUMMYFUNCTION("""COMPUTED_VALUE"""),"N. OLITIN
 G. BALINSAYO")</f>
        <v>N. OLITIN
 G. BALINSAYO</v>
      </c>
      <c r="L2034" s="164" t="str">
        <f ca="1">IFERROR(__xludf.DUMMYFUNCTION("""COMPUTED_VALUE"""),"DARPO")</f>
        <v>DARPO</v>
      </c>
      <c r="M2034" s="164" t="str">
        <f ca="1">IFERROR(__xludf.DUMMYFUNCTION("""COMPUTED_VALUE"""),"SERVICEABLE")</f>
        <v>SERVICEABLE</v>
      </c>
      <c r="N2034" s="164" t="str">
        <f ca="1">IFERROR(__xludf.DUMMYFUNCTION("""COMPUTED_VALUE"""),"PRINTER UNSERVICEABLE")</f>
        <v>PRINTER UNSERVICEABLE</v>
      </c>
    </row>
    <row r="2035" spans="1:14" ht="13.2" hidden="1">
      <c r="A2035" s="164" t="str">
        <f ca="1">IFERROR(__xludf.DUMMYFUNCTION("""COMPUTED_VALUE"""),"REGION V")</f>
        <v>REGION V</v>
      </c>
      <c r="B2035" s="164" t="str">
        <f ca="1">IFERROR(__xludf.DUMMYFUNCTION("""COMPUTED_VALUE"""),"ALBAY")</f>
        <v>ALBAY</v>
      </c>
      <c r="C2035" s="164" t="str">
        <f ca="1">IFERROR(__xludf.DUMMYFUNCTION("""COMPUTED_VALUE"""),"Desktop Computer – (Lenovo M70T)")</f>
        <v>Desktop Computer – (Lenovo M70T)</v>
      </c>
      <c r="D2035" s="164" t="str">
        <f ca="1">IFERROR(__xludf.DUMMYFUNCTION("""COMPUTED_VALUE"""),"₱ 75,468.00")</f>
        <v>₱ 75,468.00</v>
      </c>
      <c r="E2035" s="164" t="str">
        <f ca="1">IFERROR(__xludf.DUMMYFUNCTION("""COMPUTED_VALUE"""),"₱ -")</f>
        <v>₱ -</v>
      </c>
      <c r="F2035" s="164" t="str">
        <f ca="1">IFERROR(__xludf.DUMMYFUNCTION("""COMPUTED_VALUE"""),"2023-05-03-10201SP1024-01")</f>
        <v>2023-05-03-10201SP1024-01</v>
      </c>
      <c r="G2035" s="164" t="str">
        <f ca="1">IFERROR(__xludf.DUMMYFUNCTION("""COMPUTED_VALUE"""),"1S11T5S16200GM0415YM")</f>
        <v>1S11T5S16200GM0415YM</v>
      </c>
      <c r="H2035" s="164" t="str">
        <f ca="1">IFERROR(__xludf.DUMMYFUNCTION("""COMPUTED_VALUE"""),"ZYRA JOY D. BERNAS")</f>
        <v>ZYRA JOY D. BERNAS</v>
      </c>
      <c r="I2035" s="164" t="str">
        <f ca="1">IFERROR(__xludf.DUMMYFUNCTION("""COMPUTED_VALUE"""),"ACCTG. PROPERTY CUSTUDIAN")</f>
        <v>ACCTG. PROPERTY CUSTUDIAN</v>
      </c>
      <c r="J2035" s="164" t="str">
        <f ca="1">IFERROR(__xludf.DUMMYFUNCTION("""COMPUTED_VALUE"""),"PTR:2023-SPLIT-005
 PAR:23-05-009")</f>
        <v>PTR:2023-SPLIT-005
 PAR:23-05-009</v>
      </c>
      <c r="K2035" s="164" t="str">
        <f ca="1">IFERROR(__xludf.DUMMYFUNCTION("""COMPUTED_VALUE"""),"J. PEPITO")</f>
        <v>J. PEPITO</v>
      </c>
      <c r="L2035" s="164" t="str">
        <f ca="1">IFERROR(__xludf.DUMMYFUNCTION("""COMPUTED_VALUE"""),"DARPO")</f>
        <v>DARPO</v>
      </c>
      <c r="M2035" s="164" t="str">
        <f ca="1">IFERROR(__xludf.DUMMYFUNCTION("""COMPUTED_VALUE"""),"SERVICEABLE")</f>
        <v>SERVICEABLE</v>
      </c>
      <c r="N2035" s="164"/>
    </row>
    <row r="2036" spans="1:14" ht="13.2" hidden="1">
      <c r="A2036" s="164" t="str">
        <f ca="1">IFERROR(__xludf.DUMMYFUNCTION("""COMPUTED_VALUE"""),"REGION V")</f>
        <v>REGION V</v>
      </c>
      <c r="B2036" s="164" t="str">
        <f ca="1">IFERROR(__xludf.DUMMYFUNCTION("""COMPUTED_VALUE"""),"ALBAY")</f>
        <v>ALBAY</v>
      </c>
      <c r="C2036" s="164" t="str">
        <f ca="1">IFERROR(__xludf.DUMMYFUNCTION("""COMPUTED_VALUE"""),"Desktop Computer – (Lenovo M70T)")</f>
        <v>Desktop Computer – (Lenovo M70T)</v>
      </c>
      <c r="D2036" s="164" t="str">
        <f ca="1">IFERROR(__xludf.DUMMYFUNCTION("""COMPUTED_VALUE"""),"₱ 75,468.00")</f>
        <v>₱ 75,468.00</v>
      </c>
      <c r="E2036" s="164" t="str">
        <f ca="1">IFERROR(__xludf.DUMMYFUNCTION("""COMPUTED_VALUE"""),"₱ -")</f>
        <v>₱ -</v>
      </c>
      <c r="F2036" s="164" t="str">
        <f ca="1">IFERROR(__xludf.DUMMYFUNCTION("""COMPUTED_VALUE"""),"2023-05-03-10201SP1025-01")</f>
        <v>2023-05-03-10201SP1025-01</v>
      </c>
      <c r="G2036" s="164" t="str">
        <f ca="1">IFERROR(__xludf.DUMMYFUNCTION("""COMPUTED_VALUE"""),"1S11T5S16200GM0415Z4")</f>
        <v>1S11T5S16200GM0415Z4</v>
      </c>
      <c r="H2036" s="164" t="str">
        <f ca="1">IFERROR(__xludf.DUMMYFUNCTION("""COMPUTED_VALUE"""),"ZYRA JOY D. BERNAS")</f>
        <v>ZYRA JOY D. BERNAS</v>
      </c>
      <c r="I2036" s="164" t="str">
        <f ca="1">IFERROR(__xludf.DUMMYFUNCTION("""COMPUTED_VALUE"""),"ACCTG. PROPERTY CUSTUDIAN")</f>
        <v>ACCTG. PROPERTY CUSTUDIAN</v>
      </c>
      <c r="J2036" s="164" t="str">
        <f ca="1">IFERROR(__xludf.DUMMYFUNCTION("""COMPUTED_VALUE"""),"PTR:2023-SPLIT-005
 PAR:23-05-012")</f>
        <v>PTR:2023-SPLIT-005
 PAR:23-05-012</v>
      </c>
      <c r="K2036" s="164" t="str">
        <f ca="1">IFERROR(__xludf.DUMMYFUNCTION("""COMPUTED_VALUE"""),"S. ARCIGA")</f>
        <v>S. ARCIGA</v>
      </c>
      <c r="L2036" s="164" t="str">
        <f ca="1">IFERROR(__xludf.DUMMYFUNCTION("""COMPUTED_VALUE"""),"DARPO")</f>
        <v>DARPO</v>
      </c>
      <c r="M2036" s="164" t="str">
        <f ca="1">IFERROR(__xludf.DUMMYFUNCTION("""COMPUTED_VALUE"""),"SERVICEABLE")</f>
        <v>SERVICEABLE</v>
      </c>
      <c r="N2036" s="164" t="str">
        <f ca="1">IFERROR(__xludf.DUMMYFUNCTION("""COMPUTED_VALUE"""),"UPS UNSERVICEABLE")</f>
        <v>UPS UNSERVICEABLE</v>
      </c>
    </row>
    <row r="2037" spans="1:14" ht="13.2" hidden="1">
      <c r="A2037" s="164" t="str">
        <f ca="1">IFERROR(__xludf.DUMMYFUNCTION("""COMPUTED_VALUE"""),"REGION V")</f>
        <v>REGION V</v>
      </c>
      <c r="B2037" s="164" t="str">
        <f ca="1">IFERROR(__xludf.DUMMYFUNCTION("""COMPUTED_VALUE"""),"ALBAY")</f>
        <v>ALBAY</v>
      </c>
      <c r="C2037" s="164" t="str">
        <f ca="1">IFERROR(__xludf.DUMMYFUNCTION("""COMPUTED_VALUE"""),"Desktop Computer – (Lenovo M70T)")</f>
        <v>Desktop Computer – (Lenovo M70T)</v>
      </c>
      <c r="D2037" s="164" t="str">
        <f ca="1">IFERROR(__xludf.DUMMYFUNCTION("""COMPUTED_VALUE"""),"₱ 75,468.00")</f>
        <v>₱ 75,468.00</v>
      </c>
      <c r="E2037" s="164" t="str">
        <f ca="1">IFERROR(__xludf.DUMMYFUNCTION("""COMPUTED_VALUE"""),"₱ -")</f>
        <v>₱ -</v>
      </c>
      <c r="F2037" s="164" t="str">
        <f ca="1">IFERROR(__xludf.DUMMYFUNCTION("""COMPUTED_VALUE"""),"2023-05-03-10201SP1026-01")</f>
        <v>2023-05-03-10201SP1026-01</v>
      </c>
      <c r="G2037" s="164" t="str">
        <f ca="1">IFERROR(__xludf.DUMMYFUNCTION("""COMPUTED_VALUE"""),"1S11T5S16200GM0415Z5")</f>
        <v>1S11T5S16200GM0415Z5</v>
      </c>
      <c r="H2037" s="164" t="str">
        <f ca="1">IFERROR(__xludf.DUMMYFUNCTION("""COMPUTED_VALUE"""),"ZYRA JOY D. BERNAS")</f>
        <v>ZYRA JOY D. BERNAS</v>
      </c>
      <c r="I2037" s="164" t="str">
        <f ca="1">IFERROR(__xludf.DUMMYFUNCTION("""COMPUTED_VALUE"""),"ACCTG. PROPERTY CUSTUDIAN")</f>
        <v>ACCTG. PROPERTY CUSTUDIAN</v>
      </c>
      <c r="J2037" s="164" t="str">
        <f ca="1">IFERROR(__xludf.DUMMYFUNCTION("""COMPUTED_VALUE"""),"23-05-013")</f>
        <v>23-05-013</v>
      </c>
      <c r="K2037" s="164" t="str">
        <f ca="1">IFERROR(__xludf.DUMMYFUNCTION("""COMPUTED_VALUE"""),"A. ARO
 D. SAEENZ")</f>
        <v>A. ARO
 D. SAEENZ</v>
      </c>
      <c r="L2037" s="164" t="str">
        <f ca="1">IFERROR(__xludf.DUMMYFUNCTION("""COMPUTED_VALUE"""),"DARPO")</f>
        <v>DARPO</v>
      </c>
      <c r="M2037" s="164" t="str">
        <f ca="1">IFERROR(__xludf.DUMMYFUNCTION("""COMPUTED_VALUE"""),"SERVICEABLE")</f>
        <v>SERVICEABLE</v>
      </c>
      <c r="N2037" s="164" t="str">
        <f ca="1">IFERROR(__xludf.DUMMYFUNCTION("""COMPUTED_VALUE"""),"UPS UNSERVICEABLE")</f>
        <v>UPS UNSERVICEABLE</v>
      </c>
    </row>
    <row r="2038" spans="1:14" ht="13.2" hidden="1">
      <c r="A2038" s="164" t="str">
        <f ca="1">IFERROR(__xludf.DUMMYFUNCTION("""COMPUTED_VALUE"""),"REGION V")</f>
        <v>REGION V</v>
      </c>
      <c r="B2038" s="164" t="str">
        <f ca="1">IFERROR(__xludf.DUMMYFUNCTION("""COMPUTED_VALUE"""),"ALBAY")</f>
        <v>ALBAY</v>
      </c>
      <c r="C2038" s="164" t="str">
        <f ca="1">IFERROR(__xludf.DUMMYFUNCTION("""COMPUTED_VALUE"""),"Desktop Computer – (Lenovo M70T)")</f>
        <v>Desktop Computer – (Lenovo M70T)</v>
      </c>
      <c r="D2038" s="164" t="str">
        <f ca="1">IFERROR(__xludf.DUMMYFUNCTION("""COMPUTED_VALUE"""),"₱ 75,468.00")</f>
        <v>₱ 75,468.00</v>
      </c>
      <c r="E2038" s="164" t="str">
        <f ca="1">IFERROR(__xludf.DUMMYFUNCTION("""COMPUTED_VALUE"""),"₱ -")</f>
        <v>₱ -</v>
      </c>
      <c r="F2038" s="164" t="str">
        <f ca="1">IFERROR(__xludf.DUMMYFUNCTION("""COMPUTED_VALUE"""),"2023-05-03-10201SP1027-01")</f>
        <v>2023-05-03-10201SP1027-01</v>
      </c>
      <c r="G2038" s="164" t="str">
        <f ca="1">IFERROR(__xludf.DUMMYFUNCTION("""COMPUTED_VALUE"""),"1S11T5S16200GM0415ZN")</f>
        <v>1S11T5S16200GM0415ZN</v>
      </c>
      <c r="H2038" s="164" t="str">
        <f ca="1">IFERROR(__xludf.DUMMYFUNCTION("""COMPUTED_VALUE"""),"ZYRA JOY D. BERNAS")</f>
        <v>ZYRA JOY D. BERNAS</v>
      </c>
      <c r="I2038" s="164" t="str">
        <f ca="1">IFERROR(__xludf.DUMMYFUNCTION("""COMPUTED_VALUE"""),"ACCTG. PROPERTY CUSTUDIAN")</f>
        <v>ACCTG. PROPERTY CUSTUDIAN</v>
      </c>
      <c r="J2038" s="164" t="str">
        <f ca="1">IFERROR(__xludf.DUMMYFUNCTION("""COMPUTED_VALUE"""),"PTR:2023-SPLIT-005
 PAR:23-05-007")</f>
        <v>PTR:2023-SPLIT-005
 PAR:23-05-007</v>
      </c>
      <c r="K2038" s="164" t="str">
        <f ca="1">IFERROR(__xludf.DUMMYFUNCTION("""COMPUTED_VALUE"""),"N.OLITIN
 J. GASCA")</f>
        <v>N.OLITIN
 J. GASCA</v>
      </c>
      <c r="L2038" s="164" t="str">
        <f ca="1">IFERROR(__xludf.DUMMYFUNCTION("""COMPUTED_VALUE"""),"DARPO")</f>
        <v>DARPO</v>
      </c>
      <c r="M2038" s="164" t="str">
        <f ca="1">IFERROR(__xludf.DUMMYFUNCTION("""COMPUTED_VALUE"""),"SERVICEABLE")</f>
        <v>SERVICEABLE</v>
      </c>
      <c r="N2038" s="164" t="str">
        <f ca="1">IFERROR(__xludf.DUMMYFUNCTION("""COMPUTED_VALUE"""),"PRINTER UNSERVICEABLE")</f>
        <v>PRINTER UNSERVICEABLE</v>
      </c>
    </row>
    <row r="2039" spans="1:14" ht="13.2" hidden="1">
      <c r="A2039" s="164" t="str">
        <f ca="1">IFERROR(__xludf.DUMMYFUNCTION("""COMPUTED_VALUE"""),"REGION V")</f>
        <v>REGION V</v>
      </c>
      <c r="B2039" s="164" t="str">
        <f ca="1">IFERROR(__xludf.DUMMYFUNCTION("""COMPUTED_VALUE"""),"ALBAY")</f>
        <v>ALBAY</v>
      </c>
      <c r="C2039" s="164" t="str">
        <f ca="1">IFERROR(__xludf.DUMMYFUNCTION("""COMPUTED_VALUE"""),"Desktop Computer – (HP Pro SFF 280G9)")</f>
        <v>Desktop Computer – (HP Pro SFF 280G9)</v>
      </c>
      <c r="D2039" s="164" t="str">
        <f ca="1">IFERROR(__xludf.DUMMYFUNCTION("""COMPUTED_VALUE"""),"₱ 78,898.00")</f>
        <v>₱ 78,898.00</v>
      </c>
      <c r="E2039" s="164" t="str">
        <f ca="1">IFERROR(__xludf.DUMMYFUNCTION("""COMPUTED_VALUE"""),"₱ -")</f>
        <v>₱ -</v>
      </c>
      <c r="F2039" s="164" t="str">
        <f ca="1">IFERROR(__xludf.DUMMYFUNCTION("""COMPUTED_VALUE"""),"2023-05-03-10202SP98-01")</f>
        <v>2023-05-03-10202SP98-01</v>
      </c>
      <c r="G2039" s="164" t="str">
        <f ca="1">IFERROR(__xludf.DUMMYFUNCTION("""COMPUTED_VALUE"""),"4CE301DSPP")</f>
        <v>4CE301DSPP</v>
      </c>
      <c r="H2039" s="164" t="str">
        <f ca="1">IFERROR(__xludf.DUMMYFUNCTION("""COMPUTED_VALUE"""),"ZYRA JOY D. BERNAS")</f>
        <v>ZYRA JOY D. BERNAS</v>
      </c>
      <c r="I2039" s="164" t="str">
        <f ca="1">IFERROR(__xludf.DUMMYFUNCTION("""COMPUTED_VALUE"""),"ACCTG. PROPERTY CUSTUDIAN")</f>
        <v>ACCTG. PROPERTY CUSTUDIAN</v>
      </c>
      <c r="J2039" s="164" t="str">
        <f ca="1">IFERROR(__xludf.DUMMYFUNCTION("""COMPUTED_VALUE"""),"PTR:2023-SPLIT-006
 PAR:23-09-028")</f>
        <v>PTR:2023-SPLIT-006
 PAR:23-09-028</v>
      </c>
      <c r="K2039" s="164" t="str">
        <f ca="1">IFERROR(__xludf.DUMMYFUNCTION("""COMPUTED_VALUE"""),"Z. RABE")</f>
        <v>Z. RABE</v>
      </c>
      <c r="L2039" s="164" t="str">
        <f ca="1">IFERROR(__xludf.DUMMYFUNCTION("""COMPUTED_VALUE"""),"DARMO")</f>
        <v>DARMO</v>
      </c>
      <c r="M2039" s="164" t="str">
        <f ca="1">IFERROR(__xludf.DUMMYFUNCTION("""COMPUTED_VALUE"""),"SERVICEABLE")</f>
        <v>SERVICEABLE</v>
      </c>
      <c r="N2039" s="164"/>
    </row>
    <row r="2040" spans="1:14" ht="13.2" hidden="1">
      <c r="A2040" s="164" t="str">
        <f ca="1">IFERROR(__xludf.DUMMYFUNCTION("""COMPUTED_VALUE"""),"REGION V")</f>
        <v>REGION V</v>
      </c>
      <c r="B2040" s="164" t="str">
        <f ca="1">IFERROR(__xludf.DUMMYFUNCTION("""COMPUTED_VALUE"""),"ALBAY")</f>
        <v>ALBAY</v>
      </c>
      <c r="C2040" s="164" t="str">
        <f ca="1">IFERROR(__xludf.DUMMYFUNCTION("""COMPUTED_VALUE"""),"Desktop Computer – (HP Pro SFF 280G9)")</f>
        <v>Desktop Computer – (HP Pro SFF 280G9)</v>
      </c>
      <c r="D2040" s="164" t="str">
        <f ca="1">IFERROR(__xludf.DUMMYFUNCTION("""COMPUTED_VALUE"""),"₱ 78,898.00")</f>
        <v>₱ 78,898.00</v>
      </c>
      <c r="E2040" s="164" t="str">
        <f ca="1">IFERROR(__xludf.DUMMYFUNCTION("""COMPUTED_VALUE"""),"₱ -")</f>
        <v>₱ -</v>
      </c>
      <c r="F2040" s="164" t="str">
        <f ca="1">IFERROR(__xludf.DUMMYFUNCTION("""COMPUTED_VALUE"""),"2023-05-03-10202SP99-01")</f>
        <v>2023-05-03-10202SP99-01</v>
      </c>
      <c r="G2040" s="164" t="str">
        <f ca="1">IFERROR(__xludf.DUMMYFUNCTION("""COMPUTED_VALUE"""),"4CE301DSN2")</f>
        <v>4CE301DSN2</v>
      </c>
      <c r="H2040" s="164" t="str">
        <f ca="1">IFERROR(__xludf.DUMMYFUNCTION("""COMPUTED_VALUE"""),"ZYRA JOY D. BERNAS")</f>
        <v>ZYRA JOY D. BERNAS</v>
      </c>
      <c r="I2040" s="164" t="str">
        <f ca="1">IFERROR(__xludf.DUMMYFUNCTION("""COMPUTED_VALUE"""),"ACCTG. PROPERTY CUSTUDIAN")</f>
        <v>ACCTG. PROPERTY CUSTUDIAN</v>
      </c>
      <c r="J2040" s="164" t="str">
        <f ca="1">IFERROR(__xludf.DUMMYFUNCTION("""COMPUTED_VALUE"""),"PTR:2023-SPLIT-006
 PAR:23-09-026")</f>
        <v>PTR:2023-SPLIT-006
 PAR:23-09-026</v>
      </c>
      <c r="K2040" s="164" t="str">
        <f ca="1">IFERROR(__xludf.DUMMYFUNCTION("""COMPUTED_VALUE"""),"M. NEGRILLO")</f>
        <v>M. NEGRILLO</v>
      </c>
      <c r="L2040" s="164" t="str">
        <f ca="1">IFERROR(__xludf.DUMMYFUNCTION("""COMPUTED_VALUE"""),"DARPO")</f>
        <v>DARPO</v>
      </c>
      <c r="M2040" s="164" t="str">
        <f ca="1">IFERROR(__xludf.DUMMYFUNCTION("""COMPUTED_VALUE"""),"SERVICEABLE")</f>
        <v>SERVICEABLE</v>
      </c>
      <c r="N2040" s="164"/>
    </row>
    <row r="2041" spans="1:14" ht="13.2" hidden="1">
      <c r="A2041" s="164" t="str">
        <f ca="1">IFERROR(__xludf.DUMMYFUNCTION("""COMPUTED_VALUE"""),"REGION V")</f>
        <v>REGION V</v>
      </c>
      <c r="B2041" s="164" t="str">
        <f ca="1">IFERROR(__xludf.DUMMYFUNCTION("""COMPUTED_VALUE"""),"ALBAY")</f>
        <v>ALBAY</v>
      </c>
      <c r="C2041" s="164" t="str">
        <f ca="1">IFERROR(__xludf.DUMMYFUNCTION("""COMPUTED_VALUE"""),"Desktop Computer – (HP Pro SFF 280G9)")</f>
        <v>Desktop Computer – (HP Pro SFF 280G9)</v>
      </c>
      <c r="D2041" s="164" t="str">
        <f ca="1">IFERROR(__xludf.DUMMYFUNCTION("""COMPUTED_VALUE"""),"₱ 78,898.00")</f>
        <v>₱ 78,898.00</v>
      </c>
      <c r="E2041" s="164" t="str">
        <f ca="1">IFERROR(__xludf.DUMMYFUNCTION("""COMPUTED_VALUE"""),"₱ -")</f>
        <v>₱ -</v>
      </c>
      <c r="F2041" s="164" t="str">
        <f ca="1">IFERROR(__xludf.DUMMYFUNCTION("""COMPUTED_VALUE"""),"2023-05-03-10202SP100-01")</f>
        <v>2023-05-03-10202SP100-01</v>
      </c>
      <c r="G2041" s="164" t="str">
        <f ca="1">IFERROR(__xludf.DUMMYFUNCTION("""COMPUTED_VALUE"""),"4CE301DSRO")</f>
        <v>4CE301DSRO</v>
      </c>
      <c r="H2041" s="164" t="str">
        <f ca="1">IFERROR(__xludf.DUMMYFUNCTION("""COMPUTED_VALUE"""),"ZYRA JOY D. BERNAS")</f>
        <v>ZYRA JOY D. BERNAS</v>
      </c>
      <c r="I2041" s="164" t="str">
        <f ca="1">IFERROR(__xludf.DUMMYFUNCTION("""COMPUTED_VALUE"""),"ACCTG. PROPERTY CUSTUDIAN")</f>
        <v>ACCTG. PROPERTY CUSTUDIAN</v>
      </c>
      <c r="J2041" s="164" t="str">
        <f ca="1">IFERROR(__xludf.DUMMYFUNCTION("""COMPUTED_VALUE"""),"PTR:2023-SPLIT-006
 PAR:23-09-027")</f>
        <v>PTR:2023-SPLIT-006
 PAR:23-09-027</v>
      </c>
      <c r="K2041" s="164" t="str">
        <f ca="1">IFERROR(__xludf.DUMMYFUNCTION("""COMPUTED_VALUE"""),"K. OLAYRES
 A. BOLANTE")</f>
        <v>K. OLAYRES
 A. BOLANTE</v>
      </c>
      <c r="L2041" s="164" t="str">
        <f ca="1">IFERROR(__xludf.DUMMYFUNCTION("""COMPUTED_VALUE"""),"DARPO")</f>
        <v>DARPO</v>
      </c>
      <c r="M2041" s="164" t="str">
        <f ca="1">IFERROR(__xludf.DUMMYFUNCTION("""COMPUTED_VALUE"""),"SERVICEABLE")</f>
        <v>SERVICEABLE</v>
      </c>
      <c r="N2041" s="164"/>
    </row>
    <row r="2042" spans="1:14" ht="13.2" hidden="1">
      <c r="A2042" s="164" t="str">
        <f ca="1">IFERROR(__xludf.DUMMYFUNCTION("""COMPUTED_VALUE"""),"REGION V")</f>
        <v>REGION V</v>
      </c>
      <c r="B2042" s="164" t="str">
        <f ca="1">IFERROR(__xludf.DUMMYFUNCTION("""COMPUTED_VALUE"""),"ALBAY")</f>
        <v>ALBAY</v>
      </c>
      <c r="C2042" s="164" t="str">
        <f ca="1">IFERROR(__xludf.DUMMYFUNCTION("""COMPUTED_VALUE"""),"Desktop Computer – (HP Pro SFF 280G9)")</f>
        <v>Desktop Computer – (HP Pro SFF 280G9)</v>
      </c>
      <c r="D2042" s="164" t="str">
        <f ca="1">IFERROR(__xludf.DUMMYFUNCTION("""COMPUTED_VALUE"""),"₱ 78,898.00")</f>
        <v>₱ 78,898.00</v>
      </c>
      <c r="E2042" s="164" t="str">
        <f ca="1">IFERROR(__xludf.DUMMYFUNCTION("""COMPUTED_VALUE"""),"₱ -")</f>
        <v>₱ -</v>
      </c>
      <c r="F2042" s="164" t="str">
        <f ca="1">IFERROR(__xludf.DUMMYFUNCTION("""COMPUTED_VALUE"""),"2023-05-03-10202SP101-01")</f>
        <v>2023-05-03-10202SP101-01</v>
      </c>
      <c r="G2042" s="164" t="str">
        <f ca="1">IFERROR(__xludf.DUMMYFUNCTION("""COMPUTED_VALUE"""),"4CE301DSNN")</f>
        <v>4CE301DSNN</v>
      </c>
      <c r="H2042" s="164" t="str">
        <f ca="1">IFERROR(__xludf.DUMMYFUNCTION("""COMPUTED_VALUE"""),"ZYRA JOY D. BERNAS")</f>
        <v>ZYRA JOY D. BERNAS</v>
      </c>
      <c r="I2042" s="164" t="str">
        <f ca="1">IFERROR(__xludf.DUMMYFUNCTION("""COMPUTED_VALUE"""),"ACCTG. PROPERTY CUSTUDIAN")</f>
        <v>ACCTG. PROPERTY CUSTUDIAN</v>
      </c>
      <c r="J2042" s="164" t="str">
        <f ca="1">IFERROR(__xludf.DUMMYFUNCTION("""COMPUTED_VALUE"""),"PTR:2023-SPLIT-006
 PAR:23-09-029")</f>
        <v>PTR:2023-SPLIT-006
 PAR:23-09-029</v>
      </c>
      <c r="K2042" s="164" t="str">
        <f ca="1">IFERROR(__xludf.DUMMYFUNCTION("""COMPUTED_VALUE"""),"N. OLITIN
 J. RODRIGUEZA")</f>
        <v>N. OLITIN
 J. RODRIGUEZA</v>
      </c>
      <c r="L2042" s="164" t="str">
        <f ca="1">IFERROR(__xludf.DUMMYFUNCTION("""COMPUTED_VALUE"""),"DARPO")</f>
        <v>DARPO</v>
      </c>
      <c r="M2042" s="164" t="str">
        <f ca="1">IFERROR(__xludf.DUMMYFUNCTION("""COMPUTED_VALUE"""),"SERVICEABLE")</f>
        <v>SERVICEABLE</v>
      </c>
      <c r="N2042" s="164"/>
    </row>
    <row r="2043" spans="1:14" ht="13.2" hidden="1">
      <c r="A2043" s="164" t="str">
        <f ca="1">IFERROR(__xludf.DUMMYFUNCTION("""COMPUTED_VALUE"""),"REGION V")</f>
        <v>REGION V</v>
      </c>
      <c r="B2043" s="164" t="str">
        <f ca="1">IFERROR(__xludf.DUMMYFUNCTION("""COMPUTED_VALUE"""),"ALBAY")</f>
        <v>ALBAY</v>
      </c>
      <c r="C2043" s="164" t="str">
        <f ca="1">IFERROR(__xludf.DUMMYFUNCTION("""COMPUTED_VALUE"""),"Desktop Computer – (HP Pro SFF 280G9)")</f>
        <v>Desktop Computer – (HP Pro SFF 280G9)</v>
      </c>
      <c r="D2043" s="164" t="str">
        <f ca="1">IFERROR(__xludf.DUMMYFUNCTION("""COMPUTED_VALUE"""),"₱ 78,898.00")</f>
        <v>₱ 78,898.00</v>
      </c>
      <c r="E2043" s="164" t="str">
        <f ca="1">IFERROR(__xludf.DUMMYFUNCTION("""COMPUTED_VALUE"""),"₱ -")</f>
        <v>₱ -</v>
      </c>
      <c r="F2043" s="164" t="str">
        <f ca="1">IFERROR(__xludf.DUMMYFUNCTION("""COMPUTED_VALUE"""),"2023-05-03-10202SP102-01")</f>
        <v>2023-05-03-10202SP102-01</v>
      </c>
      <c r="G2043" s="164" t="str">
        <f ca="1">IFERROR(__xludf.DUMMYFUNCTION("""COMPUTED_VALUE"""),"4CE301DSR6")</f>
        <v>4CE301DSR6</v>
      </c>
      <c r="H2043" s="164" t="str">
        <f ca="1">IFERROR(__xludf.DUMMYFUNCTION("""COMPUTED_VALUE"""),"ZYRA JOY D. BERNAS")</f>
        <v>ZYRA JOY D. BERNAS</v>
      </c>
      <c r="I2043" s="164" t="str">
        <f ca="1">IFERROR(__xludf.DUMMYFUNCTION("""COMPUTED_VALUE"""),"ACCTG. PROPERTY CUSTUDIAN")</f>
        <v>ACCTG. PROPERTY CUSTUDIAN</v>
      </c>
      <c r="J2043" s="164" t="str">
        <f ca="1">IFERROR(__xludf.DUMMYFUNCTION("""COMPUTED_VALUE"""),"PTR:2023-SPLIT-006
 PAR:23-09-029")</f>
        <v>PTR:2023-SPLIT-006
 PAR:23-09-029</v>
      </c>
      <c r="K2043" s="164" t="str">
        <f ca="1">IFERROR(__xludf.DUMMYFUNCTION("""COMPUTED_VALUE"""),"N. OLITIN
 L. ORENCIADA")</f>
        <v>N. OLITIN
 L. ORENCIADA</v>
      </c>
      <c r="L2043" s="164" t="str">
        <f ca="1">IFERROR(__xludf.DUMMYFUNCTION("""COMPUTED_VALUE"""),"DARPO")</f>
        <v>DARPO</v>
      </c>
      <c r="M2043" s="164" t="str">
        <f ca="1">IFERROR(__xludf.DUMMYFUNCTION("""COMPUTED_VALUE"""),"SERVICEABLE")</f>
        <v>SERVICEABLE</v>
      </c>
      <c r="N2043" s="164"/>
    </row>
    <row r="2044" spans="1:14" ht="13.2" hidden="1">
      <c r="A2044" s="164" t="str">
        <f ca="1">IFERROR(__xludf.DUMMYFUNCTION("""COMPUTED_VALUE"""),"REGION V")</f>
        <v>REGION V</v>
      </c>
      <c r="B2044" s="164" t="str">
        <f ca="1">IFERROR(__xludf.DUMMYFUNCTION("""COMPUTED_VALUE"""),"ALBAY")</f>
        <v>ALBAY</v>
      </c>
      <c r="C2044" s="164" t="str">
        <f ca="1">IFERROR(__xludf.DUMMYFUNCTION("""COMPUTED_VALUE"""),"Laptop – (ACER EXTENSA EX215-55G i7)")</f>
        <v>Laptop – (ACER EXTENSA EX215-55G i7)</v>
      </c>
      <c r="D2044" s="164" t="str">
        <f ca="1">IFERROR(__xludf.DUMMYFUNCTION("""COMPUTED_VALUE"""),"₱ 59,500.00")</f>
        <v>₱ 59,500.00</v>
      </c>
      <c r="E2044" s="164" t="str">
        <f ca="1">IFERROR(__xludf.DUMMYFUNCTION("""COMPUTED_VALUE"""),"₱ -")</f>
        <v>₱ -</v>
      </c>
      <c r="F2044" s="164" t="str">
        <f ca="1">IFERROR(__xludf.DUMMYFUNCTION("""COMPUTED_VALUE"""),"2023-05-03-10202SP222-01")</f>
        <v>2023-05-03-10202SP222-01</v>
      </c>
      <c r="G2044" s="164" t="str">
        <f ca="1">IFERROR(__xludf.DUMMYFUNCTION("""COMPUTED_VALUE"""),"NXEGZSP00330801ED53400")</f>
        <v>NXEGZSP00330801ED53400</v>
      </c>
      <c r="H2044" s="164" t="str">
        <f ca="1">IFERROR(__xludf.DUMMYFUNCTION("""COMPUTED_VALUE"""),"ZYRA JOY D. BERNAS")</f>
        <v>ZYRA JOY D. BERNAS</v>
      </c>
      <c r="I2044" s="164" t="str">
        <f ca="1">IFERROR(__xludf.DUMMYFUNCTION("""COMPUTED_VALUE"""),"ACCTG. PROPERTY CUSTUDIAN")</f>
        <v>ACCTG. PROPERTY CUSTUDIAN</v>
      </c>
      <c r="J2044" s="164" t="str">
        <f ca="1">IFERROR(__xludf.DUMMYFUNCTION("""COMPUTED_VALUE"""),"PTR:2023-SPLIT-006
 PAR:23-09-024")</f>
        <v>PTR:2023-SPLIT-006
 PAR:23-09-024</v>
      </c>
      <c r="K2044" s="164" t="str">
        <f ca="1">IFERROR(__xludf.DUMMYFUNCTION("""COMPUTED_VALUE"""),"H. MILLENA")</f>
        <v>H. MILLENA</v>
      </c>
      <c r="L2044" s="164" t="str">
        <f ca="1">IFERROR(__xludf.DUMMYFUNCTION("""COMPUTED_VALUE"""),"DARMO")</f>
        <v>DARMO</v>
      </c>
      <c r="M2044" s="164" t="str">
        <f ca="1">IFERROR(__xludf.DUMMYFUNCTION("""COMPUTED_VALUE"""),"SERVICEABLE")</f>
        <v>SERVICEABLE</v>
      </c>
      <c r="N2044" s="164"/>
    </row>
    <row r="2045" spans="1:14" ht="13.2" hidden="1">
      <c r="A2045" s="164" t="str">
        <f ca="1">IFERROR(__xludf.DUMMYFUNCTION("""COMPUTED_VALUE"""),"REGION V")</f>
        <v>REGION V</v>
      </c>
      <c r="B2045" s="164" t="str">
        <f ca="1">IFERROR(__xludf.DUMMYFUNCTION("""COMPUTED_VALUE"""),"ALBAY")</f>
        <v>ALBAY</v>
      </c>
      <c r="C2045" s="164" t="str">
        <f ca="1">IFERROR(__xludf.DUMMYFUNCTION("""COMPUTED_VALUE"""),"Laptop – (ACER EXTENSA EX215-55G i7)")</f>
        <v>Laptop – (ACER EXTENSA EX215-55G i7)</v>
      </c>
      <c r="D2045" s="164" t="str">
        <f ca="1">IFERROR(__xludf.DUMMYFUNCTION("""COMPUTED_VALUE"""),"₱ 59,500.00")</f>
        <v>₱ 59,500.00</v>
      </c>
      <c r="E2045" s="164" t="str">
        <f ca="1">IFERROR(__xludf.DUMMYFUNCTION("""COMPUTED_VALUE"""),"₱ -")</f>
        <v>₱ -</v>
      </c>
      <c r="F2045" s="164" t="str">
        <f ca="1">IFERROR(__xludf.DUMMYFUNCTION("""COMPUTED_VALUE"""),"2023-05-03-10202SP223-01")</f>
        <v>2023-05-03-10202SP223-01</v>
      </c>
      <c r="G2045" s="164" t="str">
        <f ca="1">IFERROR(__xludf.DUMMYFUNCTION("""COMPUTED_VALUE"""),"NXEGZSP00330801AC13400")</f>
        <v>NXEGZSP00330801AC13400</v>
      </c>
      <c r="H2045" s="164" t="str">
        <f ca="1">IFERROR(__xludf.DUMMYFUNCTION("""COMPUTED_VALUE"""),"ZYRA JOY D. BERNAS")</f>
        <v>ZYRA JOY D. BERNAS</v>
      </c>
      <c r="I2045" s="164" t="str">
        <f ca="1">IFERROR(__xludf.DUMMYFUNCTION("""COMPUTED_VALUE"""),"ACCTG. PROPERTY CUSTUDIAN")</f>
        <v>ACCTG. PROPERTY CUSTUDIAN</v>
      </c>
      <c r="J2045" s="164" t="str">
        <f ca="1">IFERROR(__xludf.DUMMYFUNCTION("""COMPUTED_VALUE"""),"PTR:2023-SPLIT-006
 PAR:2023-09-023")</f>
        <v>PTR:2023-SPLIT-006
 PAR:2023-09-023</v>
      </c>
      <c r="K2045" s="164" t="str">
        <f ca="1">IFERROR(__xludf.DUMMYFUNCTION("""COMPUTED_VALUE"""),"D. ANDALIS")</f>
        <v>D. ANDALIS</v>
      </c>
      <c r="L2045" s="164" t="str">
        <f ca="1">IFERROR(__xludf.DUMMYFUNCTION("""COMPUTED_VALUE"""),"DARPO")</f>
        <v>DARPO</v>
      </c>
      <c r="M2045" s="164" t="str">
        <f ca="1">IFERROR(__xludf.DUMMYFUNCTION("""COMPUTED_VALUE"""),"SERVICEABLE")</f>
        <v>SERVICEABLE</v>
      </c>
      <c r="N2045" s="164"/>
    </row>
    <row r="2046" spans="1:14" ht="13.2" hidden="1">
      <c r="A2046" s="164" t="str">
        <f ca="1">IFERROR(__xludf.DUMMYFUNCTION("""COMPUTED_VALUE"""),"REGION V")</f>
        <v>REGION V</v>
      </c>
      <c r="B2046" s="164" t="str">
        <f ca="1">IFERROR(__xludf.DUMMYFUNCTION("""COMPUTED_VALUE"""),"ALBAY")</f>
        <v>ALBAY</v>
      </c>
      <c r="C2046" s="164" t="str">
        <f ca="1">IFERROR(__xludf.DUMMYFUNCTION("""COMPUTED_VALUE"""),"Laptop – (ACER EXTENSA EX215-55G i7)")</f>
        <v>Laptop – (ACER EXTENSA EX215-55G i7)</v>
      </c>
      <c r="D2046" s="164" t="str">
        <f ca="1">IFERROR(__xludf.DUMMYFUNCTION("""COMPUTED_VALUE"""),"₱ 59,500.00")</f>
        <v>₱ 59,500.00</v>
      </c>
      <c r="E2046" s="164" t="str">
        <f ca="1">IFERROR(__xludf.DUMMYFUNCTION("""COMPUTED_VALUE"""),"₱ -")</f>
        <v>₱ -</v>
      </c>
      <c r="F2046" s="164" t="str">
        <f ca="1">IFERROR(__xludf.DUMMYFUNCTION("""COMPUTED_VALUE"""),"2023-05-03-10202SP224-01")</f>
        <v>2023-05-03-10202SP224-01</v>
      </c>
      <c r="G2046" s="164" t="str">
        <f ca="1">IFERROR(__xludf.DUMMYFUNCTION("""COMPUTED_VALUE"""),"NXEGZSP00330801AA63400")</f>
        <v>NXEGZSP00330801AA63400</v>
      </c>
      <c r="H2046" s="164" t="str">
        <f ca="1">IFERROR(__xludf.DUMMYFUNCTION("""COMPUTED_VALUE"""),"ZYRA JOY D. BERNAS")</f>
        <v>ZYRA JOY D. BERNAS</v>
      </c>
      <c r="I2046" s="164" t="str">
        <f ca="1">IFERROR(__xludf.DUMMYFUNCTION("""COMPUTED_VALUE"""),"ACCTG. PROPERTY CUSTUDIAN")</f>
        <v>ACCTG. PROPERTY CUSTUDIAN</v>
      </c>
      <c r="J2046" s="164" t="str">
        <f ca="1">IFERROR(__xludf.DUMMYFUNCTION("""COMPUTED_VALUE"""),"PTR:2023-SPLIT-006
 PAR:23-09-022")</f>
        <v>PTR:2023-SPLIT-006
 PAR:23-09-022</v>
      </c>
      <c r="K2046" s="164" t="str">
        <f ca="1">IFERROR(__xludf.DUMMYFUNCTION("""COMPUTED_VALUE"""),"K. DEONA
 C.LACOSTE")</f>
        <v>K. DEONA
 C.LACOSTE</v>
      </c>
      <c r="L2046" s="164" t="str">
        <f ca="1">IFERROR(__xludf.DUMMYFUNCTION("""COMPUTED_VALUE"""),"DARPO")</f>
        <v>DARPO</v>
      </c>
      <c r="M2046" s="164" t="str">
        <f ca="1">IFERROR(__xludf.DUMMYFUNCTION("""COMPUTED_VALUE"""),"SERVICEABLE")</f>
        <v>SERVICEABLE</v>
      </c>
      <c r="N2046" s="164"/>
    </row>
    <row r="2047" spans="1:14" ht="13.2" hidden="1">
      <c r="A2047" s="164" t="str">
        <f ca="1">IFERROR(__xludf.DUMMYFUNCTION("""COMPUTED_VALUE"""),"REGION V")</f>
        <v>REGION V</v>
      </c>
      <c r="B2047" s="164" t="str">
        <f ca="1">IFERROR(__xludf.DUMMYFUNCTION("""COMPUTED_VALUE"""),"ALBAY")</f>
        <v>ALBAY</v>
      </c>
      <c r="C2047" s="164" t="str">
        <f ca="1">IFERROR(__xludf.DUMMYFUNCTION("""COMPUTED_VALUE"""),"Laptop – (ACER EXTENSA EX215-55G i7)")</f>
        <v>Laptop – (ACER EXTENSA EX215-55G i7)</v>
      </c>
      <c r="D2047" s="164" t="str">
        <f ca="1">IFERROR(__xludf.DUMMYFUNCTION("""COMPUTED_VALUE"""),"₱ 59,500.00")</f>
        <v>₱ 59,500.00</v>
      </c>
      <c r="E2047" s="164" t="str">
        <f ca="1">IFERROR(__xludf.DUMMYFUNCTION("""COMPUTED_VALUE"""),"₱ -")</f>
        <v>₱ -</v>
      </c>
      <c r="F2047" s="164" t="str">
        <f ca="1">IFERROR(__xludf.DUMMYFUNCTION("""COMPUTED_VALUE"""),"2023-05-03-10202SP225-01")</f>
        <v>2023-05-03-10202SP225-01</v>
      </c>
      <c r="G2047" s="164" t="str">
        <f ca="1">IFERROR(__xludf.DUMMYFUNCTION("""COMPUTED_VALUE"""),"NXEGZSP00330801AAB3400")</f>
        <v>NXEGZSP00330801AAB3400</v>
      </c>
      <c r="H2047" s="164" t="str">
        <f ca="1">IFERROR(__xludf.DUMMYFUNCTION("""COMPUTED_VALUE"""),"ZYRA JOY D. BERNAS")</f>
        <v>ZYRA JOY D. BERNAS</v>
      </c>
      <c r="I2047" s="164" t="str">
        <f ca="1">IFERROR(__xludf.DUMMYFUNCTION("""COMPUTED_VALUE"""),"ACCTG. PROPERTY CUSTUDIAN")</f>
        <v>ACCTG. PROPERTY CUSTUDIAN</v>
      </c>
      <c r="J2047" s="164" t="str">
        <f ca="1">IFERROR(__xludf.DUMMYFUNCTION("""COMPUTED_VALUE"""),"PTR:2023-SPLIT-006
 PAR:23-05-011")</f>
        <v>PTR:2023-SPLIT-006
 PAR:23-05-011</v>
      </c>
      <c r="K2047" s="164" t="str">
        <f ca="1">IFERROR(__xludf.DUMMYFUNCTION("""COMPUTED_VALUE"""),"N. OLITIN")</f>
        <v>N. OLITIN</v>
      </c>
      <c r="L2047" s="164" t="str">
        <f ca="1">IFERROR(__xludf.DUMMYFUNCTION("""COMPUTED_VALUE"""),"DARPO")</f>
        <v>DARPO</v>
      </c>
      <c r="M2047" s="164" t="str">
        <f ca="1">IFERROR(__xludf.DUMMYFUNCTION("""COMPUTED_VALUE"""),"SERVICEABLE")</f>
        <v>SERVICEABLE</v>
      </c>
      <c r="N2047" s="164"/>
    </row>
    <row r="2048" spans="1:14" ht="13.2" hidden="1">
      <c r="A2048" s="164" t="str">
        <f ca="1">IFERROR(__xludf.DUMMYFUNCTION("""COMPUTED_VALUE"""),"REGION V")</f>
        <v>REGION V</v>
      </c>
      <c r="B2048" s="164" t="str">
        <f ca="1">IFERROR(__xludf.DUMMYFUNCTION("""COMPUTED_VALUE"""),"ALBAY")</f>
        <v>ALBAY</v>
      </c>
      <c r="C2048" s="164" t="str">
        <f ca="1">IFERROR(__xludf.DUMMYFUNCTION("""COMPUTED_VALUE"""),"Photocopier Machine – Kyocera")</f>
        <v>Photocopier Machine – Kyocera</v>
      </c>
      <c r="D2048" s="164" t="str">
        <f ca="1">IFERROR(__xludf.DUMMYFUNCTION("""COMPUTED_VALUE"""),"₱ 84,500.00")</f>
        <v>₱ 84,500.00</v>
      </c>
      <c r="E2048" s="164" t="str">
        <f ca="1">IFERROR(__xludf.DUMMYFUNCTION("""COMPUTED_VALUE"""),"₱ -")</f>
        <v>₱ -</v>
      </c>
      <c r="F2048" s="164" t="str">
        <f ca="1">IFERROR(__xludf.DUMMYFUNCTION("""COMPUTED_VALUE"""),"2022-05-02-10202SP38-01")</f>
        <v>2022-05-02-10202SP38-01</v>
      </c>
      <c r="G2048" s="164" t="str">
        <f ca="1">IFERROR(__xludf.DUMMYFUNCTION("""COMPUTED_VALUE"""),"RNK2700206")</f>
        <v>RNK2700206</v>
      </c>
      <c r="H2048" s="164" t="str">
        <f ca="1">IFERROR(__xludf.DUMMYFUNCTION("""COMPUTED_VALUE"""),"ZYRA JOY D. BERNAS")</f>
        <v>ZYRA JOY D. BERNAS</v>
      </c>
      <c r="I2048" s="164" t="str">
        <f ca="1">IFERROR(__xludf.DUMMYFUNCTION("""COMPUTED_VALUE"""),"CARPO-LTID")</f>
        <v>CARPO-LTID</v>
      </c>
      <c r="J2048" s="164" t="str">
        <f ca="1">IFERROR(__xludf.DUMMYFUNCTION("""COMPUTED_VALUE"""),"2022-12-001")</f>
        <v>2022-12-001</v>
      </c>
      <c r="K2048" s="164" t="str">
        <f ca="1">IFERROR(__xludf.DUMMYFUNCTION("""COMPUTED_VALUE"""),"CARPO N. OLITIN")</f>
        <v>CARPO N. OLITIN</v>
      </c>
      <c r="L2048" s="164" t="str">
        <f ca="1">IFERROR(__xludf.DUMMYFUNCTION("""COMPUTED_VALUE"""),"DARPO")</f>
        <v>DARPO</v>
      </c>
      <c r="M2048" s="164" t="str">
        <f ca="1">IFERROR(__xludf.DUMMYFUNCTION("""COMPUTED_VALUE"""),"SERVICEABLE")</f>
        <v>SERVICEABLE</v>
      </c>
      <c r="N2048" s="164"/>
    </row>
    <row r="2049" spans="1:14" ht="13.2" hidden="1">
      <c r="A2049" s="164" t="str">
        <f ca="1">IFERROR(__xludf.DUMMYFUNCTION("""COMPUTED_VALUE"""),"REGION V")</f>
        <v>REGION V</v>
      </c>
      <c r="B2049" s="164" t="str">
        <f ca="1">IFERROR(__xludf.DUMMYFUNCTION("""COMPUTED_VALUE"""),"ALBAY")</f>
        <v>ALBAY</v>
      </c>
      <c r="C2049" s="164" t="str">
        <f ca="1">IFERROR(__xludf.DUMMYFUNCTION("""COMPUTED_VALUE"""),"A3 PRINTER (BROTHER)")</f>
        <v>A3 PRINTER (BROTHER)</v>
      </c>
      <c r="D2049" s="164" t="str">
        <f ca="1">IFERROR(__xludf.DUMMYFUNCTION("""COMPUTED_VALUE"""),"₱ 33,508.00")</f>
        <v>₱ 33,508.00</v>
      </c>
      <c r="E2049" s="164" t="str">
        <f ca="1">IFERROR(__xludf.DUMMYFUNCTION("""COMPUTED_VALUE"""),"₱ -")</f>
        <v>₱ -</v>
      </c>
      <c r="F2049" s="164" t="str">
        <f ca="1">IFERROR(__xludf.DUMMYFUNCTION("""COMPUTED_VALUE"""),"HV-SPLIT-102-24-05-04-31")</f>
        <v>HV-SPLIT-102-24-05-04-31</v>
      </c>
      <c r="G2049" s="164" t="str">
        <f ca="1">IFERROR(__xludf.DUMMYFUNCTION("""COMPUTED_VALUE"""),"E78947L3H871169")</f>
        <v>E78947L3H871169</v>
      </c>
      <c r="H2049" s="164" t="str">
        <f ca="1">IFERROR(__xludf.DUMMYFUNCTION("""COMPUTED_VALUE"""),"ENGR. MARIA EUGENIA M. ALTEZA")</f>
        <v>ENGR. MARIA EUGENIA M. ALTEZA</v>
      </c>
      <c r="I2049" s="164" t="str">
        <f ca="1">IFERROR(__xludf.DUMMYFUNCTION("""COMPUTED_VALUE"""),"PARPO II")</f>
        <v>PARPO II</v>
      </c>
      <c r="J2049" s="164" t="str">
        <f ca="1">IFERROR(__xludf.DUMMYFUNCTION("""COMPUTED_VALUE"""),"ITR NO. 2024-03")</f>
        <v>ITR NO. 2024-03</v>
      </c>
      <c r="K2049" s="164" t="str">
        <f ca="1">IFERROR(__xludf.DUMMYFUNCTION("""COMPUTED_VALUE"""),"ENGR. MARIA EUGENIA M. ALTEZA")</f>
        <v>ENGR. MARIA EUGENIA M. ALTEZA</v>
      </c>
      <c r="L2049" s="164" t="str">
        <f ca="1">IFERROR(__xludf.DUMMYFUNCTION("""COMPUTED_VALUE"""),"DARPO")</f>
        <v>DARPO</v>
      </c>
      <c r="M2049" s="164" t="str">
        <f ca="1">IFERROR(__xludf.DUMMYFUNCTION("""COMPUTED_VALUE"""),"SERVICEABLE")</f>
        <v>SERVICEABLE</v>
      </c>
      <c r="N2049" s="164"/>
    </row>
    <row r="2050" spans="1:14" ht="13.2" hidden="1">
      <c r="A2050" s="164" t="str">
        <f ca="1">IFERROR(__xludf.DUMMYFUNCTION("""COMPUTED_VALUE"""),"REGION V")</f>
        <v>REGION V</v>
      </c>
      <c r="B2050" s="164" t="str">
        <f ca="1">IFERROR(__xludf.DUMMYFUNCTION("""COMPUTED_VALUE"""),"CAMARINES NORTE")</f>
        <v>CAMARINES NORTE</v>
      </c>
      <c r="C2050" s="164" t="str">
        <f ca="1">IFERROR(__xludf.DUMMYFUNCTION("""COMPUTED_VALUE"""),"REAL-TIME KINEMATIC – GEOMAX ZENITH60")</f>
        <v>REAL-TIME KINEMATIC – GEOMAX ZENITH60</v>
      </c>
      <c r="D2050" s="164" t="str">
        <f ca="1">IFERROR(__xludf.DUMMYFUNCTION("""COMPUTED_VALUE"""),"₱ 1,849,000.00")</f>
        <v>₱ 1,849,000.00</v>
      </c>
      <c r="E2050" s="164" t="str">
        <f ca="1">IFERROR(__xludf.DUMMYFUNCTION("""COMPUTED_VALUE"""),"₱ -")</f>
        <v>₱ -</v>
      </c>
      <c r="F2050" s="164" t="str">
        <f ca="1">IFERROR(__xludf.DUMMYFUNCTION("""COMPUTED_VALUE"""),"2023-05-14-10201SP03-01")</f>
        <v>2023-05-14-10201SP03-01</v>
      </c>
      <c r="G2050" s="164" t="str">
        <f ca="1">IFERROR(__xludf.DUMMYFUNCTION("""COMPUTED_VALUE"""),"B: Z60ST272200418 R: Z60SN272200113")</f>
        <v>B: Z60ST272200418 R: Z60SN272200113</v>
      </c>
      <c r="H2050" s="164" t="str">
        <f ca="1">IFERROR(__xludf.DUMMYFUNCTION("""COMPUTED_VALUE"""),"GILBERT D. LOMEDA")</f>
        <v>GILBERT D. LOMEDA</v>
      </c>
      <c r="I2050" s="164" t="str">
        <f ca="1">IFERROR(__xludf.DUMMYFUNCTION("""COMPUTED_VALUE"""),"SARPO")</f>
        <v>SARPO</v>
      </c>
      <c r="J2050" s="164" t="str">
        <f ca="1">IFERROR(__xludf.DUMMYFUNCTION("""COMPUTED_VALUE"""),"PAR No.: 2023-003/ PTR No.: 2023-SPLIT-003")</f>
        <v>PAR No.: 2023-003/ PTR No.: 2023-SPLIT-003</v>
      </c>
      <c r="K2050" s="164" t="str">
        <f ca="1">IFERROR(__xludf.DUMMYFUNCTION("""COMPUTED_VALUE"""),"GILBERT D. LOMEDA")</f>
        <v>GILBERT D. LOMEDA</v>
      </c>
      <c r="L2050" s="164" t="str">
        <f ca="1">IFERROR(__xludf.DUMMYFUNCTION("""COMPUTED_VALUE"""),"SARPO")</f>
        <v>SARPO</v>
      </c>
      <c r="M2050" s="164" t="str">
        <f ca="1">IFERROR(__xludf.DUMMYFUNCTION("""COMPUTED_VALUE"""),"SERVICEABLE")</f>
        <v>SERVICEABLE</v>
      </c>
      <c r="N2050" s="164"/>
    </row>
    <row r="2051" spans="1:14" ht="13.2" hidden="1">
      <c r="A2051" s="164" t="str">
        <f ca="1">IFERROR(__xludf.DUMMYFUNCTION("""COMPUTED_VALUE"""),"REGION V")</f>
        <v>REGION V</v>
      </c>
      <c r="B2051" s="164" t="str">
        <f ca="1">IFERROR(__xludf.DUMMYFUNCTION("""COMPUTED_VALUE"""),"CAMARINES NORTE")</f>
        <v>CAMARINES NORTE</v>
      </c>
      <c r="C2051" s="164" t="str">
        <f ca="1">IFERROR(__xludf.DUMMYFUNCTION("""COMPUTED_VALUE"""),"TOTAL STATION – GEOMAX TOTAL STATION ZOOM 50")</f>
        <v>TOTAL STATION – GEOMAX TOTAL STATION ZOOM 50</v>
      </c>
      <c r="D2051" s="164" t="str">
        <f ca="1">IFERROR(__xludf.DUMMYFUNCTION("""COMPUTED_VALUE"""),"₱ 648,000.00")</f>
        <v>₱ 648,000.00</v>
      </c>
      <c r="E2051" s="164" t="str">
        <f ca="1">IFERROR(__xludf.DUMMYFUNCTION("""COMPUTED_VALUE"""),"₱ -")</f>
        <v>₱ -</v>
      </c>
      <c r="F2051" s="164" t="str">
        <f ca="1">IFERROR(__xludf.DUMMYFUNCTION("""COMPUTED_VALUE"""),"2023-05-14-10201SP03-01")</f>
        <v>2023-05-14-10201SP03-01</v>
      </c>
      <c r="G2051" s="164" t="str">
        <f ca="1">IFERROR(__xludf.DUMMYFUNCTION("""COMPUTED_VALUE"""),"SN2839963")</f>
        <v>SN2839963</v>
      </c>
      <c r="H2051" s="164" t="str">
        <f ca="1">IFERROR(__xludf.DUMMYFUNCTION("""COMPUTED_VALUE"""),"HARVIE D. BANALNAL")</f>
        <v>HARVIE D. BANALNAL</v>
      </c>
      <c r="I2051" s="164" t="str">
        <f ca="1">IFERROR(__xludf.DUMMYFUNCTION("""COMPUTED_VALUE"""),"ARPT/GE")</f>
        <v>ARPT/GE</v>
      </c>
      <c r="J2051" s="164" t="str">
        <f ca="1">IFERROR(__xludf.DUMMYFUNCTION("""COMPUTED_VALUE"""),"PAR No.: 2023-002/ PTR No.: 2023-SPLIT-003")</f>
        <v>PAR No.: 2023-002/ PTR No.: 2023-SPLIT-003</v>
      </c>
      <c r="K2051" s="164" t="str">
        <f ca="1">IFERROR(__xludf.DUMMYFUNCTION("""COMPUTED_VALUE"""),"HARVIE D. BANALNAL")</f>
        <v>HARVIE D. BANALNAL</v>
      </c>
      <c r="L2051" s="164" t="str">
        <f ca="1">IFERROR(__xludf.DUMMYFUNCTION("""COMPUTED_VALUE"""),"ARPT/GE")</f>
        <v>ARPT/GE</v>
      </c>
      <c r="M2051" s="164" t="str">
        <f ca="1">IFERROR(__xludf.DUMMYFUNCTION("""COMPUTED_VALUE"""),"SERVICEABLE")</f>
        <v>SERVICEABLE</v>
      </c>
      <c r="N2051" s="164"/>
    </row>
    <row r="2052" spans="1:14" ht="13.2" hidden="1">
      <c r="A2052" s="164" t="str">
        <f ca="1">IFERROR(__xludf.DUMMYFUNCTION("""COMPUTED_VALUE"""),"REGION V")</f>
        <v>REGION V</v>
      </c>
      <c r="B2052" s="164" t="str">
        <f ca="1">IFERROR(__xludf.DUMMYFUNCTION("""COMPUTED_VALUE"""),"CAMARINES NORTE")</f>
        <v>CAMARINES NORTE</v>
      </c>
      <c r="C2052" s="164" t="str">
        <f ca="1">IFERROR(__xludf.DUMMYFUNCTION("""COMPUTED_VALUE"""),"HANDHELD GPS – MODEL P6")</f>
        <v>HANDHELD GPS – MODEL P6</v>
      </c>
      <c r="D2052" s="164" t="str">
        <f ca="1">IFERROR(__xludf.DUMMYFUNCTION("""COMPUTED_VALUE"""),"₱ 79,000.00")</f>
        <v>₱ 79,000.00</v>
      </c>
      <c r="E2052" s="164" t="str">
        <f ca="1">IFERROR(__xludf.DUMMYFUNCTION("""COMPUTED_VALUE"""),"₱ -")</f>
        <v>₱ -</v>
      </c>
      <c r="F2052" s="164" t="str">
        <f ca="1">IFERROR(__xludf.DUMMYFUNCTION("""COMPUTED_VALUE"""),"2023-05-14-10202SP03-01")</f>
        <v>2023-05-14-10202SP03-01</v>
      </c>
      <c r="G2052" s="164" t="str">
        <f ca="1">IFERROR(__xludf.DUMMYFUNCTION("""COMPUTED_VALUE"""),"SP10730022")</f>
        <v>SP10730022</v>
      </c>
      <c r="H2052" s="164" t="str">
        <f ca="1">IFERROR(__xludf.DUMMYFUNCTION("""COMPUTED_VALUE"""),"GILBERT D. LOMEDA")</f>
        <v>GILBERT D. LOMEDA</v>
      </c>
      <c r="I2052" s="164" t="str">
        <f ca="1">IFERROR(__xludf.DUMMYFUNCTION("""COMPUTED_VALUE"""),"SARPO")</f>
        <v>SARPO</v>
      </c>
      <c r="J2052" s="164" t="str">
        <f ca="1">IFERROR(__xludf.DUMMYFUNCTION("""COMPUTED_VALUE"""),"PAR No.: 2023-004/ PTR No.: 2023-SPLIT-003")</f>
        <v>PAR No.: 2023-004/ PTR No.: 2023-SPLIT-003</v>
      </c>
      <c r="K2052" s="164" t="str">
        <f ca="1">IFERROR(__xludf.DUMMYFUNCTION("""COMPUTED_VALUE"""),"GILBERT D. LOMEDA")</f>
        <v>GILBERT D. LOMEDA</v>
      </c>
      <c r="L2052" s="164" t="str">
        <f ca="1">IFERROR(__xludf.DUMMYFUNCTION("""COMPUTED_VALUE"""),"SARPO")</f>
        <v>SARPO</v>
      </c>
      <c r="M2052" s="164" t="str">
        <f ca="1">IFERROR(__xludf.DUMMYFUNCTION("""COMPUTED_VALUE"""),"SERVICEABLE")</f>
        <v>SERVICEABLE</v>
      </c>
      <c r="N2052" s="164"/>
    </row>
    <row r="2053" spans="1:14" ht="13.2" hidden="1">
      <c r="A2053" s="164" t="str">
        <f ca="1">IFERROR(__xludf.DUMMYFUNCTION("""COMPUTED_VALUE"""),"REGION V")</f>
        <v>REGION V</v>
      </c>
      <c r="B2053" s="164" t="str">
        <f ca="1">IFERROR(__xludf.DUMMYFUNCTION("""COMPUTED_VALUE"""),"CAMARINES NORTE")</f>
        <v>CAMARINES NORTE</v>
      </c>
      <c r="C2053" s="164" t="str">
        <f ca="1">IFERROR(__xludf.DUMMYFUNCTION("""COMPUTED_VALUE"""),"Desktop Computer – (Lenovo M70T)")</f>
        <v>Desktop Computer – (Lenovo M70T)</v>
      </c>
      <c r="D2053" s="164" t="str">
        <f ca="1">IFERROR(__xludf.DUMMYFUNCTION("""COMPUTED_VALUE"""),"₱ 75,468.00")</f>
        <v>₱ 75,468.00</v>
      </c>
      <c r="E2053" s="164" t="str">
        <f ca="1">IFERROR(__xludf.DUMMYFUNCTION("""COMPUTED_VALUE"""),"₱ -")</f>
        <v>₱ -</v>
      </c>
      <c r="F2053" s="164" t="str">
        <f ca="1">IFERROR(__xludf.DUMMYFUNCTION("""COMPUTED_VALUE"""),"2023-05-03-1020ISP1028-01")</f>
        <v>2023-05-03-1020ISP1028-01</v>
      </c>
      <c r="G2053" s="164" t="str">
        <f ca="1">IFERROR(__xludf.DUMMYFUNCTION("""COMPUTED_VALUE"""),"1S11T5S6200GM0415ZZ")</f>
        <v>1S11T5S6200GM0415ZZ</v>
      </c>
      <c r="H2053" s="164" t="str">
        <f ca="1">IFERROR(__xludf.DUMMYFUNCTION("""COMPUTED_VALUE"""),"MARIA ELENA A. DEL ROSARIO")</f>
        <v>MARIA ELENA A. DEL ROSARIO</v>
      </c>
      <c r="I2053" s="164" t="str">
        <f ca="1">IFERROR(__xludf.DUMMYFUNCTION("""COMPUTED_VALUE"""),"OIC-PCAO")</f>
        <v>OIC-PCAO</v>
      </c>
      <c r="J2053" s="164" t="str">
        <f ca="1">IFERROR(__xludf.DUMMYFUNCTION("""COMPUTED_VALUE"""),"PAR No.: 2023-006/ PTR No.: 2023-SPLIT-005")</f>
        <v>PAR No.: 2023-006/ PTR No.: 2023-SPLIT-005</v>
      </c>
      <c r="K2053" s="164" t="str">
        <f ca="1">IFERROR(__xludf.DUMMYFUNCTION("""COMPUTED_VALUE"""),"LALAINE ZACHARY ANACAY")</f>
        <v>LALAINE ZACHARY ANACAY</v>
      </c>
      <c r="L2053" s="164" t="str">
        <f ca="1">IFERROR(__xludf.DUMMYFUNCTION("""COMPUTED_VALUE"""),"SPLIT STAFF AT PARCCOM, LTID, FVT, STOD &amp; LEGAL")</f>
        <v>SPLIT STAFF AT PARCCOM, LTID, FVT, STOD &amp; LEGAL</v>
      </c>
      <c r="M2053" s="164" t="str">
        <f ca="1">IFERROR(__xludf.DUMMYFUNCTION("""COMPUTED_VALUE"""),"SERVICEABLE")</f>
        <v>SERVICEABLE</v>
      </c>
      <c r="N2053" s="164"/>
    </row>
    <row r="2054" spans="1:14" ht="13.2" hidden="1">
      <c r="A2054" s="164" t="str">
        <f ca="1">IFERROR(__xludf.DUMMYFUNCTION("""COMPUTED_VALUE"""),"REGION V")</f>
        <v>REGION V</v>
      </c>
      <c r="B2054" s="164" t="str">
        <f ca="1">IFERROR(__xludf.DUMMYFUNCTION("""COMPUTED_VALUE"""),"CAMARINES NORTE")</f>
        <v>CAMARINES NORTE</v>
      </c>
      <c r="C2054" s="164" t="str">
        <f ca="1">IFERROR(__xludf.DUMMYFUNCTION("""COMPUTED_VALUE"""),"Desktop Computer – (Lenovo M70T)")</f>
        <v>Desktop Computer – (Lenovo M70T)</v>
      </c>
      <c r="D2054" s="164" t="str">
        <f ca="1">IFERROR(__xludf.DUMMYFUNCTION("""COMPUTED_VALUE"""),"₱ 75,468.00")</f>
        <v>₱ 75,468.00</v>
      </c>
      <c r="E2054" s="164" t="str">
        <f ca="1">IFERROR(__xludf.DUMMYFUNCTION("""COMPUTED_VALUE"""),"₱ -")</f>
        <v>₱ -</v>
      </c>
      <c r="F2054" s="164" t="str">
        <f ca="1">IFERROR(__xludf.DUMMYFUNCTION("""COMPUTED_VALUE"""),"2023-05-03-1020ISP1029-01")</f>
        <v>2023-05-03-1020ISP1029-01</v>
      </c>
      <c r="G2054" s="164" t="str">
        <f ca="1">IFERROR(__xludf.DUMMYFUNCTION("""COMPUTED_VALUE"""),"1S11T5S6200GM04161C")</f>
        <v>1S11T5S6200GM04161C</v>
      </c>
      <c r="H2054" s="164" t="str">
        <f ca="1">IFERROR(__xludf.DUMMYFUNCTION("""COMPUTED_VALUE"""),"MARIA ELENA A. DEL ROSARIO")</f>
        <v>MARIA ELENA A. DEL ROSARIO</v>
      </c>
      <c r="I2054" s="164" t="str">
        <f ca="1">IFERROR(__xludf.DUMMYFUNCTION("""COMPUTED_VALUE"""),"OIC-PCAO")</f>
        <v>OIC-PCAO</v>
      </c>
      <c r="J2054" s="164" t="str">
        <f ca="1">IFERROR(__xludf.DUMMYFUNCTION("""COMPUTED_VALUE"""),"PAR No.: 2023-006/ PTR No.: 2023-SPLIT-005")</f>
        <v>PAR No.: 2023-006/ PTR No.: 2023-SPLIT-005</v>
      </c>
      <c r="K2054" s="164" t="str">
        <f ca="1">IFERROR(__xludf.DUMMYFUNCTION("""COMPUTED_VALUE"""),"ORLAN C. BACUÑO")</f>
        <v>ORLAN C. BACUÑO</v>
      </c>
      <c r="L2054" s="164" t="str">
        <f ca="1">IFERROR(__xludf.DUMMYFUNCTION("""COMPUTED_VALUE"""),"SPLIT STAFF AT PARCCOM, LTID, FVT, STOD &amp; LEGAL")</f>
        <v>SPLIT STAFF AT PARCCOM, LTID, FVT, STOD &amp; LEGAL</v>
      </c>
      <c r="M2054" s="164" t="str">
        <f ca="1">IFERROR(__xludf.DUMMYFUNCTION("""COMPUTED_VALUE"""),"SERVICEABLE")</f>
        <v>SERVICEABLE</v>
      </c>
      <c r="N2054" s="164"/>
    </row>
    <row r="2055" spans="1:14" ht="13.2" hidden="1">
      <c r="A2055" s="164" t="str">
        <f ca="1">IFERROR(__xludf.DUMMYFUNCTION("""COMPUTED_VALUE"""),"REGION V")</f>
        <v>REGION V</v>
      </c>
      <c r="B2055" s="164" t="str">
        <f ca="1">IFERROR(__xludf.DUMMYFUNCTION("""COMPUTED_VALUE"""),"CAMARINES NORTE")</f>
        <v>CAMARINES NORTE</v>
      </c>
      <c r="C2055" s="164" t="str">
        <f ca="1">IFERROR(__xludf.DUMMYFUNCTION("""COMPUTED_VALUE"""),"Desktop Computer – (Lenovo M70T)")</f>
        <v>Desktop Computer – (Lenovo M70T)</v>
      </c>
      <c r="D2055" s="164" t="str">
        <f ca="1">IFERROR(__xludf.DUMMYFUNCTION("""COMPUTED_VALUE"""),"₱ 75,468.00")</f>
        <v>₱ 75,468.00</v>
      </c>
      <c r="E2055" s="164" t="str">
        <f ca="1">IFERROR(__xludf.DUMMYFUNCTION("""COMPUTED_VALUE"""),"₱ -")</f>
        <v>₱ -</v>
      </c>
      <c r="F2055" s="164" t="str">
        <f ca="1">IFERROR(__xludf.DUMMYFUNCTION("""COMPUTED_VALUE"""),"2023-05-03-1020ISP1030-01")</f>
        <v>2023-05-03-1020ISP1030-01</v>
      </c>
      <c r="G2055" s="164" t="str">
        <f ca="1">IFERROR(__xludf.DUMMYFUNCTION("""COMPUTED_VALUE"""),"1S11T5S6200GM0418JP")</f>
        <v>1S11T5S6200GM0418JP</v>
      </c>
      <c r="H2055" s="164" t="str">
        <f ca="1">IFERROR(__xludf.DUMMYFUNCTION("""COMPUTED_VALUE"""),"MARIA ELENA A. DEL ROSARIO")</f>
        <v>MARIA ELENA A. DEL ROSARIO</v>
      </c>
      <c r="I2055" s="164" t="str">
        <f ca="1">IFERROR(__xludf.DUMMYFUNCTION("""COMPUTED_VALUE"""),"OIC-PCAO")</f>
        <v>OIC-PCAO</v>
      </c>
      <c r="J2055" s="164" t="str">
        <f ca="1">IFERROR(__xludf.DUMMYFUNCTION("""COMPUTED_VALUE"""),"PAR No.: 2023-006/ PTR No.: 2023-SPLIT-005")</f>
        <v>PAR No.: 2023-006/ PTR No.: 2023-SPLIT-005</v>
      </c>
      <c r="K2055" s="164" t="str">
        <f ca="1">IFERROR(__xludf.DUMMYFUNCTION("""COMPUTED_VALUE"""),"ALTHEA MARIE LOPEZ")</f>
        <v>ALTHEA MARIE LOPEZ</v>
      </c>
      <c r="L2055" s="164" t="str">
        <f ca="1">IFERROR(__xludf.DUMMYFUNCTION("""COMPUTED_VALUE"""),"SPLIT STAFF AT PARCCOM, LTID, FVT, STOD &amp; LEGAL")</f>
        <v>SPLIT STAFF AT PARCCOM, LTID, FVT, STOD &amp; LEGAL</v>
      </c>
      <c r="M2055" s="164" t="str">
        <f ca="1">IFERROR(__xludf.DUMMYFUNCTION("""COMPUTED_VALUE"""),"SERVICEABLE")</f>
        <v>SERVICEABLE</v>
      </c>
      <c r="N2055" s="164"/>
    </row>
    <row r="2056" spans="1:14" ht="13.2" hidden="1">
      <c r="A2056" s="164" t="str">
        <f ca="1">IFERROR(__xludf.DUMMYFUNCTION("""COMPUTED_VALUE"""),"REGION V")</f>
        <v>REGION V</v>
      </c>
      <c r="B2056" s="164" t="str">
        <f ca="1">IFERROR(__xludf.DUMMYFUNCTION("""COMPUTED_VALUE"""),"CAMARINES NORTE")</f>
        <v>CAMARINES NORTE</v>
      </c>
      <c r="C2056" s="164" t="str">
        <f ca="1">IFERROR(__xludf.DUMMYFUNCTION("""COMPUTED_VALUE"""),"Desktop Computer – (Lenovo M70T)")</f>
        <v>Desktop Computer – (Lenovo M70T)</v>
      </c>
      <c r="D2056" s="164" t="str">
        <f ca="1">IFERROR(__xludf.DUMMYFUNCTION("""COMPUTED_VALUE"""),"₱ 75,468.00")</f>
        <v>₱ 75,468.00</v>
      </c>
      <c r="E2056" s="164" t="str">
        <f ca="1">IFERROR(__xludf.DUMMYFUNCTION("""COMPUTED_VALUE"""),"₱ -")</f>
        <v>₱ -</v>
      </c>
      <c r="F2056" s="164" t="str">
        <f ca="1">IFERROR(__xludf.DUMMYFUNCTION("""COMPUTED_VALUE"""),"2023-05-03-1020ISP1031-01")</f>
        <v>2023-05-03-1020ISP1031-01</v>
      </c>
      <c r="G2056" s="164" t="str">
        <f ca="1">IFERROR(__xludf.DUMMYFUNCTION("""COMPUTED_VALUE"""),"1S11T5S6200GM041ANG")</f>
        <v>1S11T5S6200GM041ANG</v>
      </c>
      <c r="H2056" s="164" t="str">
        <f ca="1">IFERROR(__xludf.DUMMYFUNCTION("""COMPUTED_VALUE"""),"MARIA ELENA A. DEL ROSARIO")</f>
        <v>MARIA ELENA A. DEL ROSARIO</v>
      </c>
      <c r="I2056" s="164" t="str">
        <f ca="1">IFERROR(__xludf.DUMMYFUNCTION("""COMPUTED_VALUE"""),"OIC-PCAO")</f>
        <v>OIC-PCAO</v>
      </c>
      <c r="J2056" s="164" t="str">
        <f ca="1">IFERROR(__xludf.DUMMYFUNCTION("""COMPUTED_VALUE"""),"PAR No.: 2023-006/ PTR No.: 2023-SPLIT-005")</f>
        <v>PAR No.: 2023-006/ PTR No.: 2023-SPLIT-005</v>
      </c>
      <c r="K2056" s="164" t="str">
        <f ca="1">IFERROR(__xludf.DUMMYFUNCTION("""COMPUTED_VALUE"""),"JOANNE E. LOPEZ")</f>
        <v>JOANNE E. LOPEZ</v>
      </c>
      <c r="L2056" s="164" t="str">
        <f ca="1">IFERROR(__xludf.DUMMYFUNCTION("""COMPUTED_VALUE"""),"SPLIT STAFF AT PARCCOM, LTID, FVT, STOD &amp; LEGAL")</f>
        <v>SPLIT STAFF AT PARCCOM, LTID, FVT, STOD &amp; LEGAL</v>
      </c>
      <c r="M2056" s="164" t="str">
        <f ca="1">IFERROR(__xludf.DUMMYFUNCTION("""COMPUTED_VALUE"""),"SERVICEABLE")</f>
        <v>SERVICEABLE</v>
      </c>
      <c r="N2056" s="164"/>
    </row>
    <row r="2057" spans="1:14" ht="13.2" hidden="1">
      <c r="A2057" s="164" t="str">
        <f ca="1">IFERROR(__xludf.DUMMYFUNCTION("""COMPUTED_VALUE"""),"REGION V")</f>
        <v>REGION V</v>
      </c>
      <c r="B2057" s="164" t="str">
        <f ca="1">IFERROR(__xludf.DUMMYFUNCTION("""COMPUTED_VALUE"""),"CAMARINES NORTE")</f>
        <v>CAMARINES NORTE</v>
      </c>
      <c r="C2057" s="164" t="str">
        <f ca="1">IFERROR(__xludf.DUMMYFUNCTION("""COMPUTED_VALUE"""),"Desktop Computer – (Lenovo M70T)")</f>
        <v>Desktop Computer – (Lenovo M70T)</v>
      </c>
      <c r="D2057" s="164" t="str">
        <f ca="1">IFERROR(__xludf.DUMMYFUNCTION("""COMPUTED_VALUE"""),"₱ 75,468.00")</f>
        <v>₱ 75,468.00</v>
      </c>
      <c r="E2057" s="164" t="str">
        <f ca="1">IFERROR(__xludf.DUMMYFUNCTION("""COMPUTED_VALUE"""),"₱ -")</f>
        <v>₱ -</v>
      </c>
      <c r="F2057" s="164" t="str">
        <f ca="1">IFERROR(__xludf.DUMMYFUNCTION("""COMPUTED_VALUE"""),"2023-05-03-1020ISP1032-01")</f>
        <v>2023-05-03-1020ISP1032-01</v>
      </c>
      <c r="G2057" s="164" t="str">
        <f ca="1">IFERROR(__xludf.DUMMYFUNCTION("""COMPUTED_VALUE"""),"1S11T5S6200GM041ANL")</f>
        <v>1S11T5S6200GM041ANL</v>
      </c>
      <c r="H2057" s="164" t="str">
        <f ca="1">IFERROR(__xludf.DUMMYFUNCTION("""COMPUTED_VALUE"""),"MARIA ELENA A. DEL ROSARIO")</f>
        <v>MARIA ELENA A. DEL ROSARIO</v>
      </c>
      <c r="I2057" s="164" t="str">
        <f ca="1">IFERROR(__xludf.DUMMYFUNCTION("""COMPUTED_VALUE"""),"OIC-PCAO")</f>
        <v>OIC-PCAO</v>
      </c>
      <c r="J2057" s="164" t="str">
        <f ca="1">IFERROR(__xludf.DUMMYFUNCTION("""COMPUTED_VALUE"""),"PAR No.: 2023-006/ PTR No.: 2023-SPLIT-005")</f>
        <v>PAR No.: 2023-006/ PTR No.: 2023-SPLIT-005</v>
      </c>
      <c r="K2057" s="164" t="str">
        <f ca="1">IFERROR(__xludf.DUMMYFUNCTION("""COMPUTED_VALUE"""),"LORNA B. QUIOZON")</f>
        <v>LORNA B. QUIOZON</v>
      </c>
      <c r="L2057" s="164" t="str">
        <f ca="1">IFERROR(__xludf.DUMMYFUNCTION("""COMPUTED_VALUE"""),"SPLIT STAFF AT PARCCOM, LTID, FVT, STOD &amp; LEGAL")</f>
        <v>SPLIT STAFF AT PARCCOM, LTID, FVT, STOD &amp; LEGAL</v>
      </c>
      <c r="M2057" s="164" t="str">
        <f ca="1">IFERROR(__xludf.DUMMYFUNCTION("""COMPUTED_VALUE"""),"SERVICEABLE")</f>
        <v>SERVICEABLE</v>
      </c>
      <c r="N2057" s="164"/>
    </row>
    <row r="2058" spans="1:14" ht="13.2" hidden="1">
      <c r="A2058" s="164" t="str">
        <f ca="1">IFERROR(__xludf.DUMMYFUNCTION("""COMPUTED_VALUE"""),"REGION V")</f>
        <v>REGION V</v>
      </c>
      <c r="B2058" s="164" t="str">
        <f ca="1">IFERROR(__xludf.DUMMYFUNCTION("""COMPUTED_VALUE"""),"CAMARINES NORTE")</f>
        <v>CAMARINES NORTE</v>
      </c>
      <c r="C2058" s="164" t="str">
        <f ca="1">IFERROR(__xludf.DUMMYFUNCTION("""COMPUTED_VALUE"""),"Desktop Computer – (Lenovo M70T)")</f>
        <v>Desktop Computer – (Lenovo M70T)</v>
      </c>
      <c r="D2058" s="164" t="str">
        <f ca="1">IFERROR(__xludf.DUMMYFUNCTION("""COMPUTED_VALUE"""),"₱ 75,468.00")</f>
        <v>₱ 75,468.00</v>
      </c>
      <c r="E2058" s="164" t="str">
        <f ca="1">IFERROR(__xludf.DUMMYFUNCTION("""COMPUTED_VALUE"""),"₱ -")</f>
        <v>₱ -</v>
      </c>
      <c r="F2058" s="164" t="str">
        <f ca="1">IFERROR(__xludf.DUMMYFUNCTION("""COMPUTED_VALUE"""),"2023-05-03-1020ISP1033-01")</f>
        <v>2023-05-03-1020ISP1033-01</v>
      </c>
      <c r="G2058" s="164" t="str">
        <f ca="1">IFERROR(__xludf.DUMMYFUNCTION("""COMPUTED_VALUE"""),"1S11T5S6200GM041ANM")</f>
        <v>1S11T5S6200GM041ANM</v>
      </c>
      <c r="H2058" s="164" t="str">
        <f ca="1">IFERROR(__xludf.DUMMYFUNCTION("""COMPUTED_VALUE"""),"MARIA ELENA A. DEL ROSARIO")</f>
        <v>MARIA ELENA A. DEL ROSARIO</v>
      </c>
      <c r="I2058" s="164" t="str">
        <f ca="1">IFERROR(__xludf.DUMMYFUNCTION("""COMPUTED_VALUE"""),"OIC-PCAO")</f>
        <v>OIC-PCAO</v>
      </c>
      <c r="J2058" s="164" t="str">
        <f ca="1">IFERROR(__xludf.DUMMYFUNCTION("""COMPUTED_VALUE"""),"PAR No.: 2023-006/ PTR No.: 2023-SPLIT-005")</f>
        <v>PAR No.: 2023-006/ PTR No.: 2023-SPLIT-005</v>
      </c>
      <c r="K2058" s="164" t="str">
        <f ca="1">IFERROR(__xludf.DUMMYFUNCTION("""COMPUTED_VALUE"""),"JAYPEE A. ABRERA")</f>
        <v>JAYPEE A. ABRERA</v>
      </c>
      <c r="L2058" s="164" t="str">
        <f ca="1">IFERROR(__xludf.DUMMYFUNCTION("""COMPUTED_VALUE"""),"SPLIT STAFF AT PARCCOM, LTID, FVT, STOD &amp; LEGAL")</f>
        <v>SPLIT STAFF AT PARCCOM, LTID, FVT, STOD &amp; LEGAL</v>
      </c>
      <c r="M2058" s="164" t="str">
        <f ca="1">IFERROR(__xludf.DUMMYFUNCTION("""COMPUTED_VALUE"""),"SERVICEABLE")</f>
        <v>SERVICEABLE</v>
      </c>
      <c r="N2058" s="164"/>
    </row>
    <row r="2059" spans="1:14" ht="13.2" hidden="1">
      <c r="A2059" s="164" t="str">
        <f ca="1">IFERROR(__xludf.DUMMYFUNCTION("""COMPUTED_VALUE"""),"REGION V")</f>
        <v>REGION V</v>
      </c>
      <c r="B2059" s="164" t="str">
        <f ca="1">IFERROR(__xludf.DUMMYFUNCTION("""COMPUTED_VALUE"""),"CAMARINES NORTE")</f>
        <v>CAMARINES NORTE</v>
      </c>
      <c r="C2059" s="164" t="str">
        <f ca="1">IFERROR(__xludf.DUMMYFUNCTION("""COMPUTED_VALUE"""),"Desktop Computer – (Lenovo M70T)")</f>
        <v>Desktop Computer – (Lenovo M70T)</v>
      </c>
      <c r="D2059" s="164" t="str">
        <f ca="1">IFERROR(__xludf.DUMMYFUNCTION("""COMPUTED_VALUE"""),"₱ 75,468.00")</f>
        <v>₱ 75,468.00</v>
      </c>
      <c r="E2059" s="164" t="str">
        <f ca="1">IFERROR(__xludf.DUMMYFUNCTION("""COMPUTED_VALUE"""),"₱ -")</f>
        <v>₱ -</v>
      </c>
      <c r="F2059" s="164" t="str">
        <f ca="1">IFERROR(__xludf.DUMMYFUNCTION("""COMPUTED_VALUE"""),"2023-05-03-1020ISP1034-01")</f>
        <v>2023-05-03-1020ISP1034-01</v>
      </c>
      <c r="G2059" s="164" t="str">
        <f ca="1">IFERROR(__xludf.DUMMYFUNCTION("""COMPUTED_VALUE"""),"1S11T5S6200GM041ANN")</f>
        <v>1S11T5S6200GM041ANN</v>
      </c>
      <c r="H2059" s="164" t="str">
        <f ca="1">IFERROR(__xludf.DUMMYFUNCTION("""COMPUTED_VALUE"""),"MARIA ELENA A. DEL ROSARIO")</f>
        <v>MARIA ELENA A. DEL ROSARIO</v>
      </c>
      <c r="I2059" s="164" t="str">
        <f ca="1">IFERROR(__xludf.DUMMYFUNCTION("""COMPUTED_VALUE"""),"OIC-PCAO")</f>
        <v>OIC-PCAO</v>
      </c>
      <c r="J2059" s="164" t="str">
        <f ca="1">IFERROR(__xludf.DUMMYFUNCTION("""COMPUTED_VALUE"""),"PAR No.: 2023-006/ PTR No.: 2023-SPLIT-005")</f>
        <v>PAR No.: 2023-006/ PTR No.: 2023-SPLIT-005</v>
      </c>
      <c r="K2059" s="164" t="str">
        <f ca="1">IFERROR(__xludf.DUMMYFUNCTION("""COMPUTED_VALUE"""),"ALJOHN CLACIO")</f>
        <v>ALJOHN CLACIO</v>
      </c>
      <c r="L2059" s="164" t="str">
        <f ca="1">IFERROR(__xludf.DUMMYFUNCTION("""COMPUTED_VALUE"""),"SPLIT STAFF AT PARCCOM, LTID, FVT, STOD &amp; LEGAL")</f>
        <v>SPLIT STAFF AT PARCCOM, LTID, FVT, STOD &amp; LEGAL</v>
      </c>
      <c r="M2059" s="164" t="str">
        <f ca="1">IFERROR(__xludf.DUMMYFUNCTION("""COMPUTED_VALUE"""),"SERVICEABLE")</f>
        <v>SERVICEABLE</v>
      </c>
      <c r="N2059" s="164"/>
    </row>
    <row r="2060" spans="1:14" ht="13.2" hidden="1">
      <c r="A2060" s="164" t="str">
        <f ca="1">IFERROR(__xludf.DUMMYFUNCTION("""COMPUTED_VALUE"""),"REGION V")</f>
        <v>REGION V</v>
      </c>
      <c r="B2060" s="164" t="str">
        <f ca="1">IFERROR(__xludf.DUMMYFUNCTION("""COMPUTED_VALUE"""),"CAMARINES NORTE")</f>
        <v>CAMARINES NORTE</v>
      </c>
      <c r="C2060" s="164" t="str">
        <f ca="1">IFERROR(__xludf.DUMMYFUNCTION("""COMPUTED_VALUE"""),"Desktop Computer – (Lenovo M70T)")</f>
        <v>Desktop Computer – (Lenovo M70T)</v>
      </c>
      <c r="D2060" s="164" t="str">
        <f ca="1">IFERROR(__xludf.DUMMYFUNCTION("""COMPUTED_VALUE"""),"₱ 75,468.00")</f>
        <v>₱ 75,468.00</v>
      </c>
      <c r="E2060" s="164" t="str">
        <f ca="1">IFERROR(__xludf.DUMMYFUNCTION("""COMPUTED_VALUE"""),"₱ -")</f>
        <v>₱ -</v>
      </c>
      <c r="F2060" s="164" t="str">
        <f ca="1">IFERROR(__xludf.DUMMYFUNCTION("""COMPUTED_VALUE"""),"2023-05-03-1020ISP1035-01")</f>
        <v>2023-05-03-1020ISP1035-01</v>
      </c>
      <c r="G2060" s="164" t="str">
        <f ca="1">IFERROR(__xludf.DUMMYFUNCTION("""COMPUTED_VALUE"""),"1S11T5S6200GM041AQ3")</f>
        <v>1S11T5S6200GM041AQ3</v>
      </c>
      <c r="H2060" s="164" t="str">
        <f ca="1">IFERROR(__xludf.DUMMYFUNCTION("""COMPUTED_VALUE"""),"MARIA ELENA A. DEL ROSARIO")</f>
        <v>MARIA ELENA A. DEL ROSARIO</v>
      </c>
      <c r="I2060" s="164" t="str">
        <f ca="1">IFERROR(__xludf.DUMMYFUNCTION("""COMPUTED_VALUE"""),"OIC-PCAO")</f>
        <v>OIC-PCAO</v>
      </c>
      <c r="J2060" s="164" t="str">
        <f ca="1">IFERROR(__xludf.DUMMYFUNCTION("""COMPUTED_VALUE"""),"PAR No.: 2023-006/ PTR No.: 2023-SPLIT-005")</f>
        <v>PAR No.: 2023-006/ PTR No.: 2023-SPLIT-005</v>
      </c>
      <c r="K2060" s="164" t="str">
        <f ca="1">IFERROR(__xludf.DUMMYFUNCTION("""COMPUTED_VALUE"""),"ARLENE E. ELLA")</f>
        <v>ARLENE E. ELLA</v>
      </c>
      <c r="L2060" s="164" t="str">
        <f ca="1">IFERROR(__xludf.DUMMYFUNCTION("""COMPUTED_VALUE"""),"SPLIT STAFF AT PARCCOM, LTID, FVT, STOD &amp; LEGAL")</f>
        <v>SPLIT STAFF AT PARCCOM, LTID, FVT, STOD &amp; LEGAL</v>
      </c>
      <c r="M2060" s="164" t="str">
        <f ca="1">IFERROR(__xludf.DUMMYFUNCTION("""COMPUTED_VALUE"""),"SERVICEABLE")</f>
        <v>SERVICEABLE</v>
      </c>
      <c r="N2060" s="164"/>
    </row>
    <row r="2061" spans="1:14" ht="13.2" hidden="1">
      <c r="A2061" s="164" t="str">
        <f ca="1">IFERROR(__xludf.DUMMYFUNCTION("""COMPUTED_VALUE"""),"REGION V")</f>
        <v>REGION V</v>
      </c>
      <c r="B2061" s="164" t="str">
        <f ca="1">IFERROR(__xludf.DUMMYFUNCTION("""COMPUTED_VALUE"""),"CAMARINES NORTE")</f>
        <v>CAMARINES NORTE</v>
      </c>
      <c r="C2061" s="164" t="str">
        <f ca="1">IFERROR(__xludf.DUMMYFUNCTION("""COMPUTED_VALUE"""),"Desktop Computer – (Lenovo M70T)")</f>
        <v>Desktop Computer – (Lenovo M70T)</v>
      </c>
      <c r="D2061" s="164" t="str">
        <f ca="1">IFERROR(__xludf.DUMMYFUNCTION("""COMPUTED_VALUE"""),"₱ 75,468.00")</f>
        <v>₱ 75,468.00</v>
      </c>
      <c r="E2061" s="164" t="str">
        <f ca="1">IFERROR(__xludf.DUMMYFUNCTION("""COMPUTED_VALUE"""),"₱ -")</f>
        <v>₱ -</v>
      </c>
      <c r="F2061" s="164" t="str">
        <f ca="1">IFERROR(__xludf.DUMMYFUNCTION("""COMPUTED_VALUE"""),"2023-05-03-1020ISP1036-01")</f>
        <v>2023-05-03-1020ISP1036-01</v>
      </c>
      <c r="G2061" s="164" t="str">
        <f ca="1">IFERROR(__xludf.DUMMYFUNCTION("""COMPUTED_VALUE"""),"1S11T5S6200GM041AQE")</f>
        <v>1S11T5S6200GM041AQE</v>
      </c>
      <c r="H2061" s="164" t="str">
        <f ca="1">IFERROR(__xludf.DUMMYFUNCTION("""COMPUTED_VALUE"""),"MARIA ELENA A. DEL ROSARIO")</f>
        <v>MARIA ELENA A. DEL ROSARIO</v>
      </c>
      <c r="I2061" s="164" t="str">
        <f ca="1">IFERROR(__xludf.DUMMYFUNCTION("""COMPUTED_VALUE"""),"OIC-PCAO")</f>
        <v>OIC-PCAO</v>
      </c>
      <c r="J2061" s="164" t="str">
        <f ca="1">IFERROR(__xludf.DUMMYFUNCTION("""COMPUTED_VALUE"""),"PAR No.: 2023-006/ PTR No.: 2023-SPLIT-005")</f>
        <v>PAR No.: 2023-006/ PTR No.: 2023-SPLIT-005</v>
      </c>
      <c r="K2061" s="164" t="str">
        <f ca="1">IFERROR(__xludf.DUMMYFUNCTION("""COMPUTED_VALUE"""),"KATE LOI ACERON")</f>
        <v>KATE LOI ACERON</v>
      </c>
      <c r="L2061" s="164" t="str">
        <f ca="1">IFERROR(__xludf.DUMMYFUNCTION("""COMPUTED_VALUE"""),"SPLIT STAFF AT PARCCOM, LTID, FVT, STOD &amp; LEGAL")</f>
        <v>SPLIT STAFF AT PARCCOM, LTID, FVT, STOD &amp; LEGAL</v>
      </c>
      <c r="M2061" s="164" t="str">
        <f ca="1">IFERROR(__xludf.DUMMYFUNCTION("""COMPUTED_VALUE"""),"SERVICEABLE")</f>
        <v>SERVICEABLE</v>
      </c>
      <c r="N2061" s="164"/>
    </row>
    <row r="2062" spans="1:14" ht="13.2" hidden="1">
      <c r="A2062" s="164" t="str">
        <f ca="1">IFERROR(__xludf.DUMMYFUNCTION("""COMPUTED_VALUE"""),"REGION V")</f>
        <v>REGION V</v>
      </c>
      <c r="B2062" s="164" t="str">
        <f ca="1">IFERROR(__xludf.DUMMYFUNCTION("""COMPUTED_VALUE"""),"CAMARINES NORTE")</f>
        <v>CAMARINES NORTE</v>
      </c>
      <c r="C2062" s="164" t="str">
        <f ca="1">IFERROR(__xludf.DUMMYFUNCTION("""COMPUTED_VALUE"""),"Desktop Computer – (Lenovo M70T)")</f>
        <v>Desktop Computer – (Lenovo M70T)</v>
      </c>
      <c r="D2062" s="164" t="str">
        <f ca="1">IFERROR(__xludf.DUMMYFUNCTION("""COMPUTED_VALUE"""),"₱ 75,468.00")</f>
        <v>₱ 75,468.00</v>
      </c>
      <c r="E2062" s="164" t="str">
        <f ca="1">IFERROR(__xludf.DUMMYFUNCTION("""COMPUTED_VALUE"""),"₱ -")</f>
        <v>₱ -</v>
      </c>
      <c r="F2062" s="164" t="str">
        <f ca="1">IFERROR(__xludf.DUMMYFUNCTION("""COMPUTED_VALUE"""),"2023-05-03-1020ISP1037-01")</f>
        <v>2023-05-03-1020ISP1037-01</v>
      </c>
      <c r="G2062" s="164" t="str">
        <f ca="1">IFERROR(__xludf.DUMMYFUNCTION("""COMPUTED_VALUE"""),"1S11T5S6200GM041ARF")</f>
        <v>1S11T5S6200GM041ARF</v>
      </c>
      <c r="H2062" s="164" t="str">
        <f ca="1">IFERROR(__xludf.DUMMYFUNCTION("""COMPUTED_VALUE"""),"MARIA ELENA A. DEL ROSARIO")</f>
        <v>MARIA ELENA A. DEL ROSARIO</v>
      </c>
      <c r="I2062" s="164" t="str">
        <f ca="1">IFERROR(__xludf.DUMMYFUNCTION("""COMPUTED_VALUE"""),"OIC-PCAO")</f>
        <v>OIC-PCAO</v>
      </c>
      <c r="J2062" s="164" t="str">
        <f ca="1">IFERROR(__xludf.DUMMYFUNCTION("""COMPUTED_VALUE"""),"PAR No.: 2023-006/ PTR No.: 2023-SPLIT-005")</f>
        <v>PAR No.: 2023-006/ PTR No.: 2023-SPLIT-005</v>
      </c>
      <c r="K2062" s="164" t="str">
        <f ca="1">IFERROR(__xludf.DUMMYFUNCTION("""COMPUTED_VALUE"""),"KARLA MAE I. DATING")</f>
        <v>KARLA MAE I. DATING</v>
      </c>
      <c r="L2062" s="164" t="str">
        <f ca="1">IFERROR(__xludf.DUMMYFUNCTION("""COMPUTED_VALUE"""),"SPLIT STAFF AT PARCCOM, LTID, FVT, STOD &amp; LEGAL")</f>
        <v>SPLIT STAFF AT PARCCOM, LTID, FVT, STOD &amp; LEGAL</v>
      </c>
      <c r="M2062" s="164" t="str">
        <f ca="1">IFERROR(__xludf.DUMMYFUNCTION("""COMPUTED_VALUE"""),"SERVICEABLE")</f>
        <v>SERVICEABLE</v>
      </c>
      <c r="N2062" s="164"/>
    </row>
    <row r="2063" spans="1:14" ht="13.2" hidden="1">
      <c r="A2063" s="164" t="str">
        <f ca="1">IFERROR(__xludf.DUMMYFUNCTION("""COMPUTED_VALUE"""),"REGION V")</f>
        <v>REGION V</v>
      </c>
      <c r="B2063" s="164" t="str">
        <f ca="1">IFERROR(__xludf.DUMMYFUNCTION("""COMPUTED_VALUE"""),"CAMARINES NORTE")</f>
        <v>CAMARINES NORTE</v>
      </c>
      <c r="C2063" s="164" t="str">
        <f ca="1">IFERROR(__xludf.DUMMYFUNCTION("""COMPUTED_VALUE"""),"Desktop Computer – (Lenovo M70T)")</f>
        <v>Desktop Computer – (Lenovo M70T)</v>
      </c>
      <c r="D2063" s="164" t="str">
        <f ca="1">IFERROR(__xludf.DUMMYFUNCTION("""COMPUTED_VALUE"""),"₱ 75,468.00")</f>
        <v>₱ 75,468.00</v>
      </c>
      <c r="E2063" s="164" t="str">
        <f ca="1">IFERROR(__xludf.DUMMYFUNCTION("""COMPUTED_VALUE"""),"₱ -")</f>
        <v>₱ -</v>
      </c>
      <c r="F2063" s="164" t="str">
        <f ca="1">IFERROR(__xludf.DUMMYFUNCTION("""COMPUTED_VALUE"""),"2023-05-03-1020ISP1038-01")</f>
        <v>2023-05-03-1020ISP1038-01</v>
      </c>
      <c r="G2063" s="164" t="str">
        <f ca="1">IFERROR(__xludf.DUMMYFUNCTION("""COMPUTED_VALUE"""),"1S11T5S6200GM041ARG")</f>
        <v>1S11T5S6200GM041ARG</v>
      </c>
      <c r="H2063" s="164" t="str">
        <f ca="1">IFERROR(__xludf.DUMMYFUNCTION("""COMPUTED_VALUE"""),"MARIA ELENA A. DEL ROSARIO")</f>
        <v>MARIA ELENA A. DEL ROSARIO</v>
      </c>
      <c r="I2063" s="164" t="str">
        <f ca="1">IFERROR(__xludf.DUMMYFUNCTION("""COMPUTED_VALUE"""),"OIC-PCAO")</f>
        <v>OIC-PCAO</v>
      </c>
      <c r="J2063" s="164" t="str">
        <f ca="1">IFERROR(__xludf.DUMMYFUNCTION("""COMPUTED_VALUE"""),"PAR No.: 2023-006/ PTR No.: 2023-SPLIT-005")</f>
        <v>PAR No.: 2023-006/ PTR No.: 2023-SPLIT-005</v>
      </c>
      <c r="K2063" s="164" t="str">
        <f ca="1">IFERROR(__xludf.DUMMYFUNCTION("""COMPUTED_VALUE"""),"RONA MAE BELLEN")</f>
        <v>RONA MAE BELLEN</v>
      </c>
      <c r="L2063" s="164" t="str">
        <f ca="1">IFERROR(__xludf.DUMMYFUNCTION("""COMPUTED_VALUE"""),"SPLIT STAFF AT PARCCOM, LTID, FVT, STOD &amp; LEGAL")</f>
        <v>SPLIT STAFF AT PARCCOM, LTID, FVT, STOD &amp; LEGAL</v>
      </c>
      <c r="M2063" s="164" t="str">
        <f ca="1">IFERROR(__xludf.DUMMYFUNCTION("""COMPUTED_VALUE"""),"SERVICEABLE")</f>
        <v>SERVICEABLE</v>
      </c>
      <c r="N2063" s="164"/>
    </row>
    <row r="2064" spans="1:14" ht="13.2" hidden="1">
      <c r="A2064" s="164" t="str">
        <f ca="1">IFERROR(__xludf.DUMMYFUNCTION("""COMPUTED_VALUE"""),"REGION V")</f>
        <v>REGION V</v>
      </c>
      <c r="B2064" s="164" t="str">
        <f ca="1">IFERROR(__xludf.DUMMYFUNCTION("""COMPUTED_VALUE"""),"CAMARINES NORTE")</f>
        <v>CAMARINES NORTE</v>
      </c>
      <c r="C2064" s="164" t="str">
        <f ca="1">IFERROR(__xludf.DUMMYFUNCTION("""COMPUTED_VALUE"""),"Desktop Computer – (Lenovo M70T)")</f>
        <v>Desktop Computer – (Lenovo M70T)</v>
      </c>
      <c r="D2064" s="164" t="str">
        <f ca="1">IFERROR(__xludf.DUMMYFUNCTION("""COMPUTED_VALUE"""),"₱ 75,468.00")</f>
        <v>₱ 75,468.00</v>
      </c>
      <c r="E2064" s="164" t="str">
        <f ca="1">IFERROR(__xludf.DUMMYFUNCTION("""COMPUTED_VALUE"""),"₱ -")</f>
        <v>₱ -</v>
      </c>
      <c r="F2064" s="164" t="str">
        <f ca="1">IFERROR(__xludf.DUMMYFUNCTION("""COMPUTED_VALUE"""),"2023-05-03-1020ISP1039-01")</f>
        <v>2023-05-03-1020ISP1039-01</v>
      </c>
      <c r="G2064" s="164" t="str">
        <f ca="1">IFERROR(__xludf.DUMMYFUNCTION("""COMPUTED_VALUE"""),"1S11T5S6200GM041ARH")</f>
        <v>1S11T5S6200GM041ARH</v>
      </c>
      <c r="H2064" s="164" t="str">
        <f ca="1">IFERROR(__xludf.DUMMYFUNCTION("""COMPUTED_VALUE"""),"MARIA ELENA A. DEL ROSARIO")</f>
        <v>MARIA ELENA A. DEL ROSARIO</v>
      </c>
      <c r="I2064" s="164" t="str">
        <f ca="1">IFERROR(__xludf.DUMMYFUNCTION("""COMPUTED_VALUE"""),"OIC-PCAO")</f>
        <v>OIC-PCAO</v>
      </c>
      <c r="J2064" s="164" t="str">
        <f ca="1">IFERROR(__xludf.DUMMYFUNCTION("""COMPUTED_VALUE"""),"PAR No.: 2023-006/ PTR No.: 2023-SPLIT-005")</f>
        <v>PAR No.: 2023-006/ PTR No.: 2023-SPLIT-005</v>
      </c>
      <c r="K2064" s="164" t="str">
        <f ca="1">IFERROR(__xludf.DUMMYFUNCTION("""COMPUTED_VALUE"""),"CHRISTINE V. AGUILA")</f>
        <v>CHRISTINE V. AGUILA</v>
      </c>
      <c r="L2064" s="164" t="str">
        <f ca="1">IFERROR(__xludf.DUMMYFUNCTION("""COMPUTED_VALUE"""),"SPLIT STAFF AT PARCCOM, LTID, FVT, STOD &amp; LEGAL")</f>
        <v>SPLIT STAFF AT PARCCOM, LTID, FVT, STOD &amp; LEGAL</v>
      </c>
      <c r="M2064" s="164" t="str">
        <f ca="1">IFERROR(__xludf.DUMMYFUNCTION("""COMPUTED_VALUE"""),"SERVICEABLE")</f>
        <v>SERVICEABLE</v>
      </c>
      <c r="N2064" s="164"/>
    </row>
    <row r="2065" spans="1:14" ht="13.2" hidden="1">
      <c r="A2065" s="164" t="str">
        <f ca="1">IFERROR(__xludf.DUMMYFUNCTION("""COMPUTED_VALUE"""),"REGION V")</f>
        <v>REGION V</v>
      </c>
      <c r="B2065" s="164" t="str">
        <f ca="1">IFERROR(__xludf.DUMMYFUNCTION("""COMPUTED_VALUE"""),"CAMARINES NORTE")</f>
        <v>CAMARINES NORTE</v>
      </c>
      <c r="C2065" s="164" t="str">
        <f ca="1">IFERROR(__xludf.DUMMYFUNCTION("""COMPUTED_VALUE"""),"Desktop Computer – (Lenovo M70T)")</f>
        <v>Desktop Computer – (Lenovo M70T)</v>
      </c>
      <c r="D2065" s="164" t="str">
        <f ca="1">IFERROR(__xludf.DUMMYFUNCTION("""COMPUTED_VALUE"""),"₱ 75,468.00")</f>
        <v>₱ 75,468.00</v>
      </c>
      <c r="E2065" s="164" t="str">
        <f ca="1">IFERROR(__xludf.DUMMYFUNCTION("""COMPUTED_VALUE"""),"₱ -")</f>
        <v>₱ -</v>
      </c>
      <c r="F2065" s="164" t="str">
        <f ca="1">IFERROR(__xludf.DUMMYFUNCTION("""COMPUTED_VALUE"""),"2023-05-03-1020ISP1040-01")</f>
        <v>2023-05-03-1020ISP1040-01</v>
      </c>
      <c r="G2065" s="164" t="str">
        <f ca="1">IFERROR(__xludf.DUMMYFUNCTION("""COMPUTED_VALUE"""),"1S11T5S6200GM041ARJ")</f>
        <v>1S11T5S6200GM041ARJ</v>
      </c>
      <c r="H2065" s="164" t="str">
        <f ca="1">IFERROR(__xludf.DUMMYFUNCTION("""COMPUTED_VALUE"""),"MARIA ELENA A. DEL ROSARIO")</f>
        <v>MARIA ELENA A. DEL ROSARIO</v>
      </c>
      <c r="I2065" s="164" t="str">
        <f ca="1">IFERROR(__xludf.DUMMYFUNCTION("""COMPUTED_VALUE"""),"OIC-PCAO")</f>
        <v>OIC-PCAO</v>
      </c>
      <c r="J2065" s="164" t="str">
        <f ca="1">IFERROR(__xludf.DUMMYFUNCTION("""COMPUTED_VALUE"""),"PAR No.: 2023-006/ PTR No.: 2023-SPLIT-005")</f>
        <v>PAR No.: 2023-006/ PTR No.: 2023-SPLIT-005</v>
      </c>
      <c r="K2065" s="164" t="str">
        <f ca="1">IFERROR(__xludf.DUMMYFUNCTION("""COMPUTED_VALUE"""),"MICHELLE MARQUEZ")</f>
        <v>MICHELLE MARQUEZ</v>
      </c>
      <c r="L2065" s="164" t="str">
        <f ca="1">IFERROR(__xludf.DUMMYFUNCTION("""COMPUTED_VALUE"""),"SPLIT STAFF AT PARCCOM, LTID, FVT, STOD &amp; LEGAL")</f>
        <v>SPLIT STAFF AT PARCCOM, LTID, FVT, STOD &amp; LEGAL</v>
      </c>
      <c r="M2065" s="164" t="str">
        <f ca="1">IFERROR(__xludf.DUMMYFUNCTION("""COMPUTED_VALUE"""),"SERVICEABLE")</f>
        <v>SERVICEABLE</v>
      </c>
      <c r="N2065" s="164"/>
    </row>
    <row r="2066" spans="1:14" ht="13.2" hidden="1">
      <c r="A2066" s="164" t="str">
        <f ca="1">IFERROR(__xludf.DUMMYFUNCTION("""COMPUTED_VALUE"""),"REGION V")</f>
        <v>REGION V</v>
      </c>
      <c r="B2066" s="164" t="str">
        <f ca="1">IFERROR(__xludf.DUMMYFUNCTION("""COMPUTED_VALUE"""),"CAMARINES NORTE")</f>
        <v>CAMARINES NORTE</v>
      </c>
      <c r="C2066" s="164" t="str">
        <f ca="1">IFERROR(__xludf.DUMMYFUNCTION("""COMPUTED_VALUE"""),"Desktop Computer – (Lenovo M70T)")</f>
        <v>Desktop Computer – (Lenovo M70T)</v>
      </c>
      <c r="D2066" s="164"/>
      <c r="E2066" s="164" t="str">
        <f ca="1">IFERROR(__xludf.DUMMYFUNCTION("""COMPUTED_VALUE"""),"₱ -")</f>
        <v>₱ -</v>
      </c>
      <c r="F2066" s="164" t="str">
        <f ca="1">IFERROR(__xludf.DUMMYFUNCTION("""COMPUTED_VALUE"""),"2023-05-03-1020ISP1041-01")</f>
        <v>2023-05-03-1020ISP1041-01</v>
      </c>
      <c r="G2066" s="164" t="str">
        <f ca="1">IFERROR(__xludf.DUMMYFUNCTION("""COMPUTED_VALUE"""),"1S11T5S6200GM041ARK")</f>
        <v>1S11T5S6200GM041ARK</v>
      </c>
      <c r="H2066" s="164" t="str">
        <f ca="1">IFERROR(__xludf.DUMMYFUNCTION("""COMPUTED_VALUE"""),"MARIA ELENA A. DEL ROSARIO")</f>
        <v>MARIA ELENA A. DEL ROSARIO</v>
      </c>
      <c r="I2066" s="164" t="str">
        <f ca="1">IFERROR(__xludf.DUMMYFUNCTION("""COMPUTED_VALUE"""),"OIC-PCAO")</f>
        <v>OIC-PCAO</v>
      </c>
      <c r="J2066" s="164" t="str">
        <f ca="1">IFERROR(__xludf.DUMMYFUNCTION("""COMPUTED_VALUE"""),"PAR No.: 2023-006/ PTR No.: 2023-SPLIT-005")</f>
        <v>PAR No.: 2023-006/ PTR No.: 2023-SPLIT-005</v>
      </c>
      <c r="K2066" s="164" t="str">
        <f ca="1">IFERROR(__xludf.DUMMYFUNCTION("""COMPUTED_VALUE"""),"KIM ALBERT D. OCAMPO")</f>
        <v>KIM ALBERT D. OCAMPO</v>
      </c>
      <c r="L2066" s="164" t="str">
        <f ca="1">IFERROR(__xludf.DUMMYFUNCTION("""COMPUTED_VALUE"""),"SPLIT STAFF AT PARCCOM, LTID, FVT, STOD &amp; LEGAL")</f>
        <v>SPLIT STAFF AT PARCCOM, LTID, FVT, STOD &amp; LEGAL</v>
      </c>
      <c r="M2066" s="164" t="str">
        <f ca="1">IFERROR(__xludf.DUMMYFUNCTION("""COMPUTED_VALUE"""),"SERVICEABLE")</f>
        <v>SERVICEABLE</v>
      </c>
      <c r="N2066" s="164"/>
    </row>
    <row r="2067" spans="1:14" ht="13.2" hidden="1">
      <c r="A2067" s="164" t="str">
        <f ca="1">IFERROR(__xludf.DUMMYFUNCTION("""COMPUTED_VALUE"""),"REGION V")</f>
        <v>REGION V</v>
      </c>
      <c r="B2067" s="164" t="str">
        <f ca="1">IFERROR(__xludf.DUMMYFUNCTION("""COMPUTED_VALUE"""),"CAMARINES NORTE")</f>
        <v>CAMARINES NORTE</v>
      </c>
      <c r="C2067" s="164" t="str">
        <f ca="1">IFERROR(__xludf.DUMMYFUNCTION("""COMPUTED_VALUE"""),"Desktop Computer – (HP Pro SFF 280G9)")</f>
        <v>Desktop Computer – (HP Pro SFF 280G9)</v>
      </c>
      <c r="D2067" s="164" t="str">
        <f ca="1">IFERROR(__xludf.DUMMYFUNCTION("""COMPUTED_VALUE"""),"₱ 78,898.00")</f>
        <v>₱ 78,898.00</v>
      </c>
      <c r="E2067" s="164" t="str">
        <f ca="1">IFERROR(__xludf.DUMMYFUNCTION("""COMPUTED_VALUE"""),"₱ -")</f>
        <v>₱ -</v>
      </c>
      <c r="F2067" s="164" t="str">
        <f ca="1">IFERROR(__xludf.DUMMYFUNCTION("""COMPUTED_VALUE"""),"2023-05-03-10201SP103-01")</f>
        <v>2023-05-03-10201SP103-01</v>
      </c>
      <c r="G2067" s="164" t="str">
        <f ca="1">IFERROR(__xludf.DUMMYFUNCTION("""COMPUTED_VALUE"""),"4CE301DH4Z")</f>
        <v>4CE301DH4Z</v>
      </c>
      <c r="H2067" s="164" t="str">
        <f ca="1">IFERROR(__xludf.DUMMYFUNCTION("""COMPUTED_VALUE"""),"ODESSA A. CABEZUDO")</f>
        <v>ODESSA A. CABEZUDO</v>
      </c>
      <c r="I2067" s="164" t="str">
        <f ca="1">IFERROR(__xludf.DUMMYFUNCTION("""COMPUTED_VALUE"""),"CARPO LTID/OIC-PARPO II")</f>
        <v>CARPO LTID/OIC-PARPO II</v>
      </c>
      <c r="J2067" s="164" t="str">
        <f ca="1">IFERROR(__xludf.DUMMYFUNCTION("""COMPUTED_VALUE"""),"PAR No.: 2023-008/ PTR No.: 2022-SPLIT-006")</f>
        <v>PAR No.: 2023-008/ PTR No.: 2022-SPLIT-006</v>
      </c>
      <c r="K2067" s="164" t="str">
        <f ca="1">IFERROR(__xludf.DUMMYFUNCTION("""COMPUTED_VALUE"""),"AMIHAN CLACIO")</f>
        <v>AMIHAN CLACIO</v>
      </c>
      <c r="L2067" s="164" t="str">
        <f ca="1">IFERROR(__xludf.DUMMYFUNCTION("""COMPUTED_VALUE"""),"SPLIT PROJECT")</f>
        <v>SPLIT PROJECT</v>
      </c>
      <c r="M2067" s="164" t="str">
        <f ca="1">IFERROR(__xludf.DUMMYFUNCTION("""COMPUTED_VALUE"""),"SERVICEABLE")</f>
        <v>SERVICEABLE</v>
      </c>
      <c r="N2067" s="164"/>
    </row>
    <row r="2068" spans="1:14" ht="13.2" hidden="1">
      <c r="A2068" s="164" t="str">
        <f ca="1">IFERROR(__xludf.DUMMYFUNCTION("""COMPUTED_VALUE"""),"REGION V")</f>
        <v>REGION V</v>
      </c>
      <c r="B2068" s="164" t="str">
        <f ca="1">IFERROR(__xludf.DUMMYFUNCTION("""COMPUTED_VALUE"""),"CAMARINES NORTE")</f>
        <v>CAMARINES NORTE</v>
      </c>
      <c r="C2068" s="164" t="str">
        <f ca="1">IFERROR(__xludf.DUMMYFUNCTION("""COMPUTED_VALUE"""),"Desktop Computer – (HP Pro SFF 280G9)")</f>
        <v>Desktop Computer – (HP Pro SFF 280G9)</v>
      </c>
      <c r="D2068" s="164" t="str">
        <f ca="1">IFERROR(__xludf.DUMMYFUNCTION("""COMPUTED_VALUE"""),"₱ 78,898.00")</f>
        <v>₱ 78,898.00</v>
      </c>
      <c r="E2068" s="164" t="str">
        <f ca="1">IFERROR(__xludf.DUMMYFUNCTION("""COMPUTED_VALUE"""),"₱ -")</f>
        <v>₱ -</v>
      </c>
      <c r="F2068" s="164" t="str">
        <f ca="1">IFERROR(__xludf.DUMMYFUNCTION("""COMPUTED_VALUE"""),"2023-05-03-10201SP104-01")</f>
        <v>2023-05-03-10201SP104-01</v>
      </c>
      <c r="G2068" s="164" t="str">
        <f ca="1">IFERROR(__xludf.DUMMYFUNCTION("""COMPUTED_VALUE"""),"4CE301DH7R")</f>
        <v>4CE301DH7R</v>
      </c>
      <c r="H2068" s="164" t="str">
        <f ca="1">IFERROR(__xludf.DUMMYFUNCTION("""COMPUTED_VALUE"""),"ODESSA A. CABEZUDO")</f>
        <v>ODESSA A. CABEZUDO</v>
      </c>
      <c r="I2068" s="164" t="str">
        <f ca="1">IFERROR(__xludf.DUMMYFUNCTION("""COMPUTED_VALUE"""),"CARPO LTID/OIC-PARPO II")</f>
        <v>CARPO LTID/OIC-PARPO II</v>
      </c>
      <c r="J2068" s="164" t="str">
        <f ca="1">IFERROR(__xludf.DUMMYFUNCTION("""COMPUTED_VALUE"""),"PAR No.: 2023-008/ PTR No.: 2022-SPLIT-006")</f>
        <v>PAR No.: 2023-008/ PTR No.: 2022-SPLIT-006</v>
      </c>
      <c r="K2068" s="164" t="str">
        <f ca="1">IFERROR(__xludf.DUMMYFUNCTION("""COMPUTED_VALUE"""),"THESSA ANN CALDITO")</f>
        <v>THESSA ANN CALDITO</v>
      </c>
      <c r="L2068" s="164" t="str">
        <f ca="1">IFERROR(__xludf.DUMMYFUNCTION("""COMPUTED_VALUE"""),"SPLIT PROJECT")</f>
        <v>SPLIT PROJECT</v>
      </c>
      <c r="M2068" s="164" t="str">
        <f ca="1">IFERROR(__xludf.DUMMYFUNCTION("""COMPUTED_VALUE"""),"SERVICEABLE")</f>
        <v>SERVICEABLE</v>
      </c>
      <c r="N2068" s="164"/>
    </row>
    <row r="2069" spans="1:14" ht="13.2" hidden="1">
      <c r="A2069" s="164" t="str">
        <f ca="1">IFERROR(__xludf.DUMMYFUNCTION("""COMPUTED_VALUE"""),"REGION V")</f>
        <v>REGION V</v>
      </c>
      <c r="B2069" s="164" t="str">
        <f ca="1">IFERROR(__xludf.DUMMYFUNCTION("""COMPUTED_VALUE"""),"CAMARINES NORTE")</f>
        <v>CAMARINES NORTE</v>
      </c>
      <c r="C2069" s="164" t="str">
        <f ca="1">IFERROR(__xludf.DUMMYFUNCTION("""COMPUTED_VALUE"""),"Desktop Computer – (HP Pro SFF 280G9)")</f>
        <v>Desktop Computer – (HP Pro SFF 280G9)</v>
      </c>
      <c r="D2069" s="164" t="str">
        <f ca="1">IFERROR(__xludf.DUMMYFUNCTION("""COMPUTED_VALUE"""),"₱ 78,898.00")</f>
        <v>₱ 78,898.00</v>
      </c>
      <c r="E2069" s="164" t="str">
        <f ca="1">IFERROR(__xludf.DUMMYFUNCTION("""COMPUTED_VALUE"""),"₱ -")</f>
        <v>₱ -</v>
      </c>
      <c r="F2069" s="164" t="str">
        <f ca="1">IFERROR(__xludf.DUMMYFUNCTION("""COMPUTED_VALUE"""),"2023-05-03-10201SP105-01")</f>
        <v>2023-05-03-10201SP105-01</v>
      </c>
      <c r="G2069" s="164" t="str">
        <f ca="1">IFERROR(__xludf.DUMMYFUNCTION("""COMPUTED_VALUE"""),"4CE301DSQ5")</f>
        <v>4CE301DSQ5</v>
      </c>
      <c r="H2069" s="164" t="str">
        <f ca="1">IFERROR(__xludf.DUMMYFUNCTION("""COMPUTED_VALUE"""),"ODESSA A. CABEZUDO")</f>
        <v>ODESSA A. CABEZUDO</v>
      </c>
      <c r="I2069" s="164" t="str">
        <f ca="1">IFERROR(__xludf.DUMMYFUNCTION("""COMPUTED_VALUE"""),"CARPO LTID/OIC-PARPO II")</f>
        <v>CARPO LTID/OIC-PARPO II</v>
      </c>
      <c r="J2069" s="164" t="str">
        <f ca="1">IFERROR(__xludf.DUMMYFUNCTION("""COMPUTED_VALUE"""),"PAR No.: 2023-008/ PTR No.: 2022-SPLIT-006")</f>
        <v>PAR No.: 2023-008/ PTR No.: 2022-SPLIT-006</v>
      </c>
      <c r="K2069" s="164" t="str">
        <f ca="1">IFERROR(__xludf.DUMMYFUNCTION("""COMPUTED_VALUE"""),"RIJANE CANTANILLA")</f>
        <v>RIJANE CANTANILLA</v>
      </c>
      <c r="L2069" s="164" t="str">
        <f ca="1">IFERROR(__xludf.DUMMYFUNCTION("""COMPUTED_VALUE"""),"SPLIT PROJECT")</f>
        <v>SPLIT PROJECT</v>
      </c>
      <c r="M2069" s="164" t="str">
        <f ca="1">IFERROR(__xludf.DUMMYFUNCTION("""COMPUTED_VALUE"""),"SERVICEABLE")</f>
        <v>SERVICEABLE</v>
      </c>
      <c r="N2069" s="164"/>
    </row>
    <row r="2070" spans="1:14" ht="13.2" hidden="1">
      <c r="A2070" s="164" t="str">
        <f ca="1">IFERROR(__xludf.DUMMYFUNCTION("""COMPUTED_VALUE"""),"REGION V")</f>
        <v>REGION V</v>
      </c>
      <c r="B2070" s="164" t="str">
        <f ca="1">IFERROR(__xludf.DUMMYFUNCTION("""COMPUTED_VALUE"""),"CAMARINES NORTE")</f>
        <v>CAMARINES NORTE</v>
      </c>
      <c r="C2070" s="164" t="str">
        <f ca="1">IFERROR(__xludf.DUMMYFUNCTION("""COMPUTED_VALUE"""),"Desktop Computer – (HP Pro SFF 280G9)")</f>
        <v>Desktop Computer – (HP Pro SFF 280G9)</v>
      </c>
      <c r="D2070" s="164" t="str">
        <f ca="1">IFERROR(__xludf.DUMMYFUNCTION("""COMPUTED_VALUE"""),"₱ 78,898.00")</f>
        <v>₱ 78,898.00</v>
      </c>
      <c r="E2070" s="164" t="str">
        <f ca="1">IFERROR(__xludf.DUMMYFUNCTION("""COMPUTED_VALUE"""),"₱ -")</f>
        <v>₱ -</v>
      </c>
      <c r="F2070" s="164" t="str">
        <f ca="1">IFERROR(__xludf.DUMMYFUNCTION("""COMPUTED_VALUE"""),"2023-05-03-10201SP106-01")</f>
        <v>2023-05-03-10201SP106-01</v>
      </c>
      <c r="G2070" s="164" t="str">
        <f ca="1">IFERROR(__xludf.DUMMYFUNCTION("""COMPUTED_VALUE"""),"4CE301DSR4")</f>
        <v>4CE301DSR4</v>
      </c>
      <c r="H2070" s="164" t="str">
        <f ca="1">IFERROR(__xludf.DUMMYFUNCTION("""COMPUTED_VALUE"""),"ODESSA A. CABEZUDO")</f>
        <v>ODESSA A. CABEZUDO</v>
      </c>
      <c r="I2070" s="164" t="str">
        <f ca="1">IFERROR(__xludf.DUMMYFUNCTION("""COMPUTED_VALUE"""),"CARPO LTID/OIC-PARPO II")</f>
        <v>CARPO LTID/OIC-PARPO II</v>
      </c>
      <c r="J2070" s="164" t="str">
        <f ca="1">IFERROR(__xludf.DUMMYFUNCTION("""COMPUTED_VALUE"""),"PAR No.: 2023-008/ PTR No.: 2022-SPLIT-006")</f>
        <v>PAR No.: 2023-008/ PTR No.: 2022-SPLIT-006</v>
      </c>
      <c r="K2070" s="164" t="str">
        <f ca="1">IFERROR(__xludf.DUMMYFUNCTION("""COMPUTED_VALUE"""),"MARY LOU ABAD")</f>
        <v>MARY LOU ABAD</v>
      </c>
      <c r="L2070" s="164" t="str">
        <f ca="1">IFERROR(__xludf.DUMMYFUNCTION("""COMPUTED_VALUE"""),"SPLIT PROJECT")</f>
        <v>SPLIT PROJECT</v>
      </c>
      <c r="M2070" s="164" t="str">
        <f ca="1">IFERROR(__xludf.DUMMYFUNCTION("""COMPUTED_VALUE"""),"SERVICEABLE")</f>
        <v>SERVICEABLE</v>
      </c>
      <c r="N2070" s="164"/>
    </row>
    <row r="2071" spans="1:14" ht="13.2" hidden="1">
      <c r="A2071" s="164" t="str">
        <f ca="1">IFERROR(__xludf.DUMMYFUNCTION("""COMPUTED_VALUE"""),"REGION V")</f>
        <v>REGION V</v>
      </c>
      <c r="B2071" s="164" t="str">
        <f ca="1">IFERROR(__xludf.DUMMYFUNCTION("""COMPUTED_VALUE"""),"CAMARINES NORTE")</f>
        <v>CAMARINES NORTE</v>
      </c>
      <c r="C2071" s="164" t="str">
        <f ca="1">IFERROR(__xludf.DUMMYFUNCTION("""COMPUTED_VALUE"""),"Laptop – (ACER EXTENSA EX215-55G i7)")</f>
        <v>Laptop – (ACER EXTENSA EX215-55G i7)</v>
      </c>
      <c r="D2071" s="164" t="str">
        <f ca="1">IFERROR(__xludf.DUMMYFUNCTION("""COMPUTED_VALUE"""),"₱ 59,500.00")</f>
        <v>₱ 59,500.00</v>
      </c>
      <c r="E2071" s="164" t="str">
        <f ca="1">IFERROR(__xludf.DUMMYFUNCTION("""COMPUTED_VALUE"""),"₱ -")</f>
        <v>₱ -</v>
      </c>
      <c r="F2071" s="164" t="str">
        <f ca="1">IFERROR(__xludf.DUMMYFUNCTION("""COMPUTED_VALUE"""),"2023-05-03-10202SP226-01")</f>
        <v>2023-05-03-10202SP226-01</v>
      </c>
      <c r="G2071" s="164" t="str">
        <f ca="1">IFERROR(__xludf.DUMMYFUNCTION("""COMPUTED_VALUE"""),"SN: NXEGZSP00330801C2A3400")</f>
        <v>SN: NXEGZSP00330801C2A3400</v>
      </c>
      <c r="H2071" s="164" t="str">
        <f ca="1">IFERROR(__xludf.DUMMYFUNCTION("""COMPUTED_VALUE"""),"HARVIE D. BANALNAL")</f>
        <v>HARVIE D. BANALNAL</v>
      </c>
      <c r="I2071" s="164" t="str">
        <f ca="1">IFERROR(__xludf.DUMMYFUNCTION("""COMPUTED_VALUE"""),"ARPT/GE CARPO LTID/OIC-PARPO II")</f>
        <v>ARPT/GE CARPO LTID/OIC-PARPO II</v>
      </c>
      <c r="J2071" s="164" t="str">
        <f ca="1">IFERROR(__xludf.DUMMYFUNCTION("""COMPUTED_VALUE"""),"PAR No.: 2023-009/ PTR No.: 2022-SPLIT-006")</f>
        <v>PAR No.: 2023-009/ PTR No.: 2022-SPLIT-006</v>
      </c>
      <c r="K2071" s="164" t="str">
        <f ca="1">IFERROR(__xludf.DUMMYFUNCTION("""COMPUTED_VALUE"""),"PRINCESS JOY ENCINAS")</f>
        <v>PRINCESS JOY ENCINAS</v>
      </c>
      <c r="L2071" s="164" t="str">
        <f ca="1">IFERROR(__xludf.DUMMYFUNCTION("""COMPUTED_VALUE"""),"LTID")</f>
        <v>LTID</v>
      </c>
      <c r="M2071" s="164" t="str">
        <f ca="1">IFERROR(__xludf.DUMMYFUNCTION("""COMPUTED_VALUE"""),"SERVICEABLE")</f>
        <v>SERVICEABLE</v>
      </c>
      <c r="N2071" s="164"/>
    </row>
    <row r="2072" spans="1:14" ht="13.2" hidden="1">
      <c r="A2072" s="164" t="str">
        <f ca="1">IFERROR(__xludf.DUMMYFUNCTION("""COMPUTED_VALUE"""),"REGION V")</f>
        <v>REGION V</v>
      </c>
      <c r="B2072" s="164" t="str">
        <f ca="1">IFERROR(__xludf.DUMMYFUNCTION("""COMPUTED_VALUE"""),"CAMARINES NORTE")</f>
        <v>CAMARINES NORTE</v>
      </c>
      <c r="C2072" s="164" t="str">
        <f ca="1">IFERROR(__xludf.DUMMYFUNCTION("""COMPUTED_VALUE"""),"Laptop – (ACER EXTENSA EX215-55G i7)")</f>
        <v>Laptop – (ACER EXTENSA EX215-55G i7)</v>
      </c>
      <c r="D2072" s="164" t="str">
        <f ca="1">IFERROR(__xludf.DUMMYFUNCTION("""COMPUTED_VALUE"""),"₱ 59,500.00")</f>
        <v>₱ 59,500.00</v>
      </c>
      <c r="E2072" s="164" t="str">
        <f ca="1">IFERROR(__xludf.DUMMYFUNCTION("""COMPUTED_VALUE"""),"₱ -")</f>
        <v>₱ -</v>
      </c>
      <c r="F2072" s="164" t="str">
        <f ca="1">IFERROR(__xludf.DUMMYFUNCTION("""COMPUTED_VALUE"""),"2023-05-03-10202SP227-01")</f>
        <v>2023-05-03-10202SP227-01</v>
      </c>
      <c r="G2072" s="164" t="str">
        <f ca="1">IFERROR(__xludf.DUMMYFUNCTION("""COMPUTED_VALUE"""),"SN: NXEGZSP00330801E3D3400")</f>
        <v>SN: NXEGZSP00330801E3D3400</v>
      </c>
      <c r="H2072" s="164" t="str">
        <f ca="1">IFERROR(__xludf.DUMMYFUNCTION("""COMPUTED_VALUE"""),"ODESSA A. CABEZUDO")</f>
        <v>ODESSA A. CABEZUDO</v>
      </c>
      <c r="I2072" s="164" t="str">
        <f ca="1">IFERROR(__xludf.DUMMYFUNCTION("""COMPUTED_VALUE"""),"ARPT/GE CARPO LTID/OIC-PARPO II")</f>
        <v>ARPT/GE CARPO LTID/OIC-PARPO II</v>
      </c>
      <c r="J2072" s="164" t="str">
        <f ca="1">IFERROR(__xludf.DUMMYFUNCTION("""COMPUTED_VALUE"""),"PAR No.: 2023-009/ PTR No.: 2022-SPLIT-006")</f>
        <v>PAR No.: 2023-009/ PTR No.: 2022-SPLIT-006</v>
      </c>
      <c r="K2072" s="164" t="str">
        <f ca="1">IFERROR(__xludf.DUMMYFUNCTION("""COMPUTED_VALUE"""),"PRINCESS JOY ENCINAS")</f>
        <v>PRINCESS JOY ENCINAS</v>
      </c>
      <c r="L2072" s="164" t="str">
        <f ca="1">IFERROR(__xludf.DUMMYFUNCTION("""COMPUTED_VALUE"""),"LTID")</f>
        <v>LTID</v>
      </c>
      <c r="M2072" s="164" t="str">
        <f ca="1">IFERROR(__xludf.DUMMYFUNCTION("""COMPUTED_VALUE"""),"SERVICEABLE")</f>
        <v>SERVICEABLE</v>
      </c>
      <c r="N2072" s="164"/>
    </row>
    <row r="2073" spans="1:14" ht="13.2" hidden="1">
      <c r="A2073" s="164" t="str">
        <f ca="1">IFERROR(__xludf.DUMMYFUNCTION("""COMPUTED_VALUE"""),"REGION V")</f>
        <v>REGION V</v>
      </c>
      <c r="B2073" s="164" t="str">
        <f ca="1">IFERROR(__xludf.DUMMYFUNCTION("""COMPUTED_VALUE"""),"CAMARINES NORTE")</f>
        <v>CAMARINES NORTE</v>
      </c>
      <c r="C2073" s="164" t="str">
        <f ca="1">IFERROR(__xludf.DUMMYFUNCTION("""COMPUTED_VALUE"""),"Photocopier Machine – Kyocera")</f>
        <v>Photocopier Machine – Kyocera</v>
      </c>
      <c r="D2073" s="164" t="str">
        <f ca="1">IFERROR(__xludf.DUMMYFUNCTION("""COMPUTED_VALUE"""),"₱ 84,500.00")</f>
        <v>₱ 84,500.00</v>
      </c>
      <c r="E2073" s="164" t="str">
        <f ca="1">IFERROR(__xludf.DUMMYFUNCTION("""COMPUTED_VALUE"""),"₱ -")</f>
        <v>₱ -</v>
      </c>
      <c r="F2073" s="164" t="str">
        <f ca="1">IFERROR(__xludf.DUMMYFUNCTION("""COMPUTED_VALUE"""),"2022-05-02-10202SP39-01")</f>
        <v>2022-05-02-10202SP39-01</v>
      </c>
      <c r="G2073" s="164" t="str">
        <f ca="1">IFERROR(__xludf.DUMMYFUNCTION("""COMPUTED_VALUE"""),"RNK2700204")</f>
        <v>RNK2700204</v>
      </c>
      <c r="H2073" s="164" t="str">
        <f ca="1">IFERROR(__xludf.DUMMYFUNCTION("""COMPUTED_VALUE"""),"ODESSA A. CABEZUDO")</f>
        <v>ODESSA A. CABEZUDO</v>
      </c>
      <c r="I2073" s="164" t="str">
        <f ca="1">IFERROR(__xludf.DUMMYFUNCTION("""COMPUTED_VALUE"""),"CARPO LTID/OIC-PARPO II")</f>
        <v>CARPO LTID/OIC-PARPO II</v>
      </c>
      <c r="J2073" s="164" t="str">
        <f ca="1">IFERROR(__xludf.DUMMYFUNCTION("""COMPUTED_VALUE"""),"PAR No.: 2023-001/ PTR No.: 2022-SPLIT-003")</f>
        <v>PAR No.: 2023-001/ PTR No.: 2022-SPLIT-003</v>
      </c>
      <c r="K2073" s="164" t="str">
        <f ca="1">IFERROR(__xludf.DUMMYFUNCTION("""COMPUTED_VALUE"""),"ODESSA A. CABEZUDO")</f>
        <v>ODESSA A. CABEZUDO</v>
      </c>
      <c r="L2073" s="164" t="str">
        <f ca="1">IFERROR(__xludf.DUMMYFUNCTION("""COMPUTED_VALUE"""),"CARPO LTID/OIC-PARPO II")</f>
        <v>CARPO LTID/OIC-PARPO II</v>
      </c>
      <c r="M2073" s="164" t="str">
        <f ca="1">IFERROR(__xludf.DUMMYFUNCTION("""COMPUTED_VALUE"""),"SERVICEABLE")</f>
        <v>SERVICEABLE</v>
      </c>
      <c r="N2073" s="164"/>
    </row>
    <row r="2074" spans="1:14" ht="13.2" hidden="1">
      <c r="A2074" s="164" t="str">
        <f ca="1">IFERROR(__xludf.DUMMYFUNCTION("""COMPUTED_VALUE"""),"REGION V")</f>
        <v>REGION V</v>
      </c>
      <c r="B2074" s="164" t="str">
        <f ca="1">IFERROR(__xludf.DUMMYFUNCTION("""COMPUTED_VALUE"""),"CAMARINES NORTE")</f>
        <v>CAMARINES NORTE</v>
      </c>
      <c r="C2074" s="164" t="str">
        <f ca="1">IFERROR(__xludf.DUMMYFUNCTION("""COMPUTED_VALUE"""),"Desktop Computer – (MSI PRO DP180)")</f>
        <v>Desktop Computer – (MSI PRO DP180)</v>
      </c>
      <c r="D2074" s="164" t="str">
        <f ca="1">IFERROR(__xludf.DUMMYFUNCTION("""COMPUTED_VALUE"""),"₱ 49,300.00")</f>
        <v>₱ 49,300.00</v>
      </c>
      <c r="E2074" s="164" t="str">
        <f ca="1">IFERROR(__xludf.DUMMYFUNCTION("""COMPUTED_VALUE"""),"₱ -")</f>
        <v>₱ -</v>
      </c>
      <c r="F2074" s="164" t="str">
        <f ca="1">IFERROR(__xludf.DUMMYFUNCTION("""COMPUTED_VALUE"""),"HVSPLIT-102-24-05-01-375")</f>
        <v>HVSPLIT-102-24-05-01-375</v>
      </c>
      <c r="G2074" s="164"/>
      <c r="H2074" s="164" t="str">
        <f ca="1">IFERROR(__xludf.DUMMYFUNCTION("""COMPUTED_VALUE"""),"LOVELLE S. CABEZUDO")</f>
        <v>LOVELLE S. CABEZUDO</v>
      </c>
      <c r="I2074" s="164" t="str">
        <f ca="1">IFERROR(__xludf.DUMMYFUNCTION("""COMPUTED_VALUE"""),"ARPO I")</f>
        <v>ARPO I</v>
      </c>
      <c r="J2074" s="164"/>
      <c r="K2074" s="164" t="str">
        <f ca="1">IFERROR(__xludf.DUMMYFUNCTION("""COMPUTED_VALUE"""),"LOVELLE S. CABEZUDO")</f>
        <v>LOVELLE S. CABEZUDO</v>
      </c>
      <c r="L2074" s="164" t="str">
        <f ca="1">IFERROR(__xludf.DUMMYFUNCTION("""COMPUTED_VALUE"""),"LTID")</f>
        <v>LTID</v>
      </c>
      <c r="M2074" s="164" t="str">
        <f ca="1">IFERROR(__xludf.DUMMYFUNCTION("""COMPUTED_VALUE"""),"SERVICEABLE")</f>
        <v>SERVICEABLE</v>
      </c>
      <c r="N2074" s="164"/>
    </row>
    <row r="2075" spans="1:14" ht="13.2" hidden="1">
      <c r="A2075" s="164" t="str">
        <f ca="1">IFERROR(__xludf.DUMMYFUNCTION("""COMPUTED_VALUE"""),"REGION V")</f>
        <v>REGION V</v>
      </c>
      <c r="B2075" s="164" t="str">
        <f ca="1">IFERROR(__xludf.DUMMYFUNCTION("""COMPUTED_VALUE"""),"CAMARINES NORTE")</f>
        <v>CAMARINES NORTE</v>
      </c>
      <c r="C2075" s="164" t="str">
        <f ca="1">IFERROR(__xludf.DUMMYFUNCTION("""COMPUTED_VALUE"""),"Desktop Computer – (MSI PRO DP180)")</f>
        <v>Desktop Computer – (MSI PRO DP180)</v>
      </c>
      <c r="D2075" s="164" t="str">
        <f ca="1">IFERROR(__xludf.DUMMYFUNCTION("""COMPUTED_VALUE"""),"₱ 49,300.00")</f>
        <v>₱ 49,300.00</v>
      </c>
      <c r="E2075" s="164" t="str">
        <f ca="1">IFERROR(__xludf.DUMMYFUNCTION("""COMPUTED_VALUE"""),"₱ -")</f>
        <v>₱ -</v>
      </c>
      <c r="F2075" s="164" t="str">
        <f ca="1">IFERROR(__xludf.DUMMYFUNCTION("""COMPUTED_VALUE"""),"HVSPLIT-102-24-05-01-376")</f>
        <v>HVSPLIT-102-24-05-01-376</v>
      </c>
      <c r="G2075" s="164"/>
      <c r="H2075" s="164" t="str">
        <f ca="1">IFERROR(__xludf.DUMMYFUNCTION("""COMPUTED_VALUE"""),"RONA MAE Z. BELLEN")</f>
        <v>RONA MAE Z. BELLEN</v>
      </c>
      <c r="I2075" s="164" t="str">
        <f ca="1">IFERROR(__xludf.DUMMYFUNCTION("""COMPUTED_VALUE"""),"AA IV")</f>
        <v>AA IV</v>
      </c>
      <c r="J2075" s="164"/>
      <c r="K2075" s="164"/>
      <c r="L2075" s="164" t="str">
        <f ca="1">IFERROR(__xludf.DUMMYFUNCTION("""COMPUTED_VALUE"""),"OFFICE OF THE PARPO")</f>
        <v>OFFICE OF THE PARPO</v>
      </c>
      <c r="M2075" s="164" t="str">
        <f ca="1">IFERROR(__xludf.DUMMYFUNCTION("""COMPUTED_VALUE"""),"SERVICEABLE")</f>
        <v>SERVICEABLE</v>
      </c>
      <c r="N2075" s="164"/>
    </row>
    <row r="2076" spans="1:14" ht="13.2" hidden="1">
      <c r="A2076" s="164" t="str">
        <f ca="1">IFERROR(__xludf.DUMMYFUNCTION("""COMPUTED_VALUE"""),"REGION V")</f>
        <v>REGION V</v>
      </c>
      <c r="B2076" s="164" t="str">
        <f ca="1">IFERROR(__xludf.DUMMYFUNCTION("""COMPUTED_VALUE"""),"CAMARINES NORTE")</f>
        <v>CAMARINES NORTE</v>
      </c>
      <c r="C2076" s="164" t="str">
        <f ca="1">IFERROR(__xludf.DUMMYFUNCTION("""COMPUTED_VALUE"""),"Desktop Computer – (MSI PRO DP180)")</f>
        <v>Desktop Computer – (MSI PRO DP180)</v>
      </c>
      <c r="D2076" s="164" t="str">
        <f ca="1">IFERROR(__xludf.DUMMYFUNCTION("""COMPUTED_VALUE"""),"₱ 49,300.00")</f>
        <v>₱ 49,300.00</v>
      </c>
      <c r="E2076" s="164" t="str">
        <f ca="1">IFERROR(__xludf.DUMMYFUNCTION("""COMPUTED_VALUE"""),"₱ -")</f>
        <v>₱ -</v>
      </c>
      <c r="F2076" s="164" t="str">
        <f ca="1">IFERROR(__xludf.DUMMYFUNCTION("""COMPUTED_VALUE"""),"HVSPLIT-102-24-05-01-377")</f>
        <v>HVSPLIT-102-24-05-01-377</v>
      </c>
      <c r="G2076" s="164"/>
      <c r="H2076" s="164" t="str">
        <f ca="1">IFERROR(__xludf.DUMMYFUNCTION("""COMPUTED_VALUE"""),"CATTLEYA T. PENALOSA")</f>
        <v>CATTLEYA T. PENALOSA</v>
      </c>
      <c r="I2076" s="164" t="str">
        <f ca="1">IFERROR(__xludf.DUMMYFUNCTION("""COMPUTED_VALUE"""),"ARPT")</f>
        <v>ARPT</v>
      </c>
      <c r="J2076" s="164"/>
      <c r="K2076" s="164"/>
      <c r="L2076" s="164" t="str">
        <f ca="1">IFERROR(__xludf.DUMMYFUNCTION("""COMPUTED_VALUE"""),"LTID")</f>
        <v>LTID</v>
      </c>
      <c r="M2076" s="164" t="str">
        <f ca="1">IFERROR(__xludf.DUMMYFUNCTION("""COMPUTED_VALUE"""),"SERVICEABLE")</f>
        <v>SERVICEABLE</v>
      </c>
      <c r="N2076" s="164"/>
    </row>
    <row r="2077" spans="1:14" ht="13.2" hidden="1">
      <c r="A2077" s="164" t="str">
        <f ca="1">IFERROR(__xludf.DUMMYFUNCTION("""COMPUTED_VALUE"""),"REGION V")</f>
        <v>REGION V</v>
      </c>
      <c r="B2077" s="164" t="str">
        <f ca="1">IFERROR(__xludf.DUMMYFUNCTION("""COMPUTED_VALUE"""),"CAMARINES NORTE")</f>
        <v>CAMARINES NORTE</v>
      </c>
      <c r="C2077" s="164" t="str">
        <f ca="1">IFERROR(__xludf.DUMMYFUNCTION("""COMPUTED_VALUE"""),"A3 PRINTER (BROTHER)")</f>
        <v>A3 PRINTER (BROTHER)</v>
      </c>
      <c r="D2077" s="164" t="str">
        <f ca="1">IFERROR(__xludf.DUMMYFUNCTION("""COMPUTED_VALUE"""),"₱ 33,508.00")</f>
        <v>₱ 33,508.00</v>
      </c>
      <c r="E2077" s="164" t="str">
        <f ca="1">IFERROR(__xludf.DUMMYFUNCTION("""COMPUTED_VALUE"""),"₱ -")</f>
        <v>₱ -</v>
      </c>
      <c r="F2077" s="164" t="str">
        <f ca="1">IFERROR(__xludf.DUMMYFUNCTION("""COMPUTED_VALUE"""),"HV-SPLIT-102-24- 05-04-32")</f>
        <v>HV-SPLIT-102-24- 05-04-32</v>
      </c>
      <c r="G2077" s="164" t="str">
        <f ca="1">IFERROR(__xludf.DUMMYFUNCTION("""COMPUTED_VALUE"""),"SN: E78947L3H871374")</f>
        <v>SN: E78947L3H871374</v>
      </c>
      <c r="H2077" s="164" t="str">
        <f ca="1">IFERROR(__xludf.DUMMYFUNCTION("""COMPUTED_VALUE"""),"ODESSA A. CABEZUDO")</f>
        <v>ODESSA A. CABEZUDO</v>
      </c>
      <c r="I2077" s="164" t="str">
        <f ca="1">IFERROR(__xludf.DUMMYFUNCTION("""COMPUTED_VALUE"""),"CARPO LTID/OIC-PARPO II")</f>
        <v>CARPO LTID/OIC-PARPO II</v>
      </c>
      <c r="J2077" s="164" t="str">
        <f ca="1">IFERROR(__xludf.DUMMYFUNCTION("""COMPUTED_VALUE"""),"ICS No.: 2024-028/ ITR No.: 2024-03")</f>
        <v>ICS No.: 2024-028/ ITR No.: 2024-03</v>
      </c>
      <c r="K2077" s="164" t="str">
        <f ca="1">IFERROR(__xludf.DUMMYFUNCTION("""COMPUTED_VALUE"""),"ODESSA A. CABEZUDO")</f>
        <v>ODESSA A. CABEZUDO</v>
      </c>
      <c r="L2077" s="164" t="str">
        <f ca="1">IFERROR(__xludf.DUMMYFUNCTION("""COMPUTED_VALUE"""),"CARPO LTID/OIC-PARPO II")</f>
        <v>CARPO LTID/OIC-PARPO II</v>
      </c>
      <c r="M2077" s="164" t="str">
        <f ca="1">IFERROR(__xludf.DUMMYFUNCTION("""COMPUTED_VALUE"""),"SERVICEABLE")</f>
        <v>SERVICEABLE</v>
      </c>
      <c r="N2077" s="164"/>
    </row>
    <row r="2078" spans="1:14" ht="13.2" hidden="1">
      <c r="A2078" s="164" t="str">
        <f ca="1">IFERROR(__xludf.DUMMYFUNCTION("""COMPUTED_VALUE"""),"REGION V")</f>
        <v>REGION V</v>
      </c>
      <c r="B2078" s="164" t="str">
        <f ca="1">IFERROR(__xludf.DUMMYFUNCTION("""COMPUTED_VALUE"""),"CAM. SUR 1")</f>
        <v>CAM. SUR 1</v>
      </c>
      <c r="C2078" s="164" t="str">
        <f ca="1">IFERROR(__xludf.DUMMYFUNCTION("""COMPUTED_VALUE"""),"Laptop – (ACER EXTENSA EX215-55G i7)")</f>
        <v>Laptop – (ACER EXTENSA EX215-55G i7)</v>
      </c>
      <c r="D2078" s="164" t="str">
        <f ca="1">IFERROR(__xludf.DUMMYFUNCTION("""COMPUTED_VALUE"""),"₱ 59,500.00")</f>
        <v>₱ 59,500.00</v>
      </c>
      <c r="E2078" s="164" t="str">
        <f ca="1">IFERROR(__xludf.DUMMYFUNCTION("""COMPUTED_VALUE"""),"₱ -")</f>
        <v>₱ -</v>
      </c>
      <c r="F2078" s="164" t="str">
        <f ca="1">IFERROR(__xludf.DUMMYFUNCTION("""COMPUTED_VALUE"""),"2023-05-03-10202SP45-01")</f>
        <v>2023-05-03-10202SP45-01</v>
      </c>
      <c r="G2078" s="164" t="str">
        <f ca="1">IFERROR(__xludf.DUMMYFUNCTION("""COMPUTED_VALUE"""),"NXEGZSP00330801EBA3400")</f>
        <v>NXEGZSP00330801EBA3400</v>
      </c>
      <c r="H2078" s="164" t="str">
        <f ca="1">IFERROR(__xludf.DUMMYFUNCTION("""COMPUTED_VALUE"""),"MA. NOREEN SALVACION M. EVALLA")</f>
        <v>MA. NOREEN SALVACION M. EVALLA</v>
      </c>
      <c r="I2078" s="164" t="str">
        <f ca="1">IFERROR(__xludf.DUMMYFUNCTION("""COMPUTED_VALUE"""),"ARPO I/CS1 PIO")</f>
        <v>ARPO I/CS1 PIO</v>
      </c>
      <c r="J2078" s="164" t="str">
        <f ca="1">IFERROR(__xludf.DUMMYFUNCTION("""COMPUTED_VALUE"""),"PAR NO: 2023-10-015(PS)")</f>
        <v>PAR NO: 2023-10-015(PS)</v>
      </c>
      <c r="K2078" s="164" t="str">
        <f ca="1">IFERROR(__xludf.DUMMYFUNCTION("""COMPUTED_VALUE"""),"MA. NOREEN SALVACION M. EVALLA")</f>
        <v>MA. NOREEN SALVACION M. EVALLA</v>
      </c>
      <c r="L2078" s="164" t="str">
        <f ca="1">IFERROR(__xludf.DUMMYFUNCTION("""COMPUTED_VALUE"""),"ARPO I/CS1 PIO")</f>
        <v>ARPO I/CS1 PIO</v>
      </c>
      <c r="M2078" s="164" t="str">
        <f ca="1">IFERROR(__xludf.DUMMYFUNCTION("""COMPUTED_VALUE"""),"SERVICEABLE")</f>
        <v>SERVICEABLE</v>
      </c>
      <c r="N2078" s="164" t="str">
        <f ca="1">IFERROR(__xludf.DUMMYFUNCTION("""COMPUTED_VALUE"""),"FIELD")</f>
        <v>FIELD</v>
      </c>
    </row>
    <row r="2079" spans="1:14" ht="13.2" hidden="1">
      <c r="A2079" s="164" t="str">
        <f ca="1">IFERROR(__xludf.DUMMYFUNCTION("""COMPUTED_VALUE"""),"REGION V")</f>
        <v>REGION V</v>
      </c>
      <c r="B2079" s="164" t="str">
        <f ca="1">IFERROR(__xludf.DUMMYFUNCTION("""COMPUTED_VALUE"""),"CAM. SUR 1")</f>
        <v>CAM. SUR 1</v>
      </c>
      <c r="C2079" s="164" t="str">
        <f ca="1">IFERROR(__xludf.DUMMYFUNCTION("""COMPUTED_VALUE"""),"Desktop Computer – (Lenovo M70T)")</f>
        <v>Desktop Computer – (Lenovo M70T)</v>
      </c>
      <c r="D2079" s="164" t="str">
        <f ca="1">IFERROR(__xludf.DUMMYFUNCTION("""COMPUTED_VALUE"""),"₱ 75,468.00")</f>
        <v>₱ 75,468.00</v>
      </c>
      <c r="E2079" s="164" t="str">
        <f ca="1">IFERROR(__xludf.DUMMYFUNCTION("""COMPUTED_VALUE"""),"₱ -")</f>
        <v>₱ -</v>
      </c>
      <c r="F2079" s="164" t="str">
        <f ca="1">IFERROR(__xludf.DUMMYFUNCTION("""COMPUTED_VALUE"""),"2023-05-03-1020ISP1042-01")</f>
        <v>2023-05-03-1020ISP1042-01</v>
      </c>
      <c r="G2079" s="164" t="str">
        <f ca="1">IFERROR(__xludf.DUMMYFUNCTION("""COMPUTED_VALUE"""),"1S11T5S16200GM041ARL")</f>
        <v>1S11T5S16200GM041ARL</v>
      </c>
      <c r="H2079" s="164" t="str">
        <f ca="1">IFERROR(__xludf.DUMMYFUNCTION("""COMPUTED_VALUE"""),"MARIA REBECCA R. TAROG")</f>
        <v>MARIA REBECCA R. TAROG</v>
      </c>
      <c r="I2079" s="164" t="str">
        <f ca="1">IFERROR(__xludf.DUMMYFUNCTION("""COMPUTED_VALUE"""),"OIC CARPO-LTSP /CS1 PROJECT SPLIT")</f>
        <v>OIC CARPO-LTSP /CS1 PROJECT SPLIT</v>
      </c>
      <c r="J2079" s="164" t="str">
        <f ca="1">IFERROR(__xludf.DUMMYFUNCTION("""COMPUTED_VALUE"""),"PAR NO: 2023-10-016(PS)")</f>
        <v>PAR NO: 2023-10-016(PS)</v>
      </c>
      <c r="K2079" s="164" t="str">
        <f ca="1">IFERROR(__xludf.DUMMYFUNCTION("""COMPUTED_VALUE"""),"JEFF QUIÑONES")</f>
        <v>JEFF QUIÑONES</v>
      </c>
      <c r="L2079" s="164" t="str">
        <f ca="1">IFERROR(__xludf.DUMMYFUNCTION("""COMPUTED_VALUE"""),"PROCUREMENT STAFF - PROJECT SPLIT)")</f>
        <v>PROCUREMENT STAFF - PROJECT SPLIT)</v>
      </c>
      <c r="M2079" s="164" t="str">
        <f ca="1">IFERROR(__xludf.DUMMYFUNCTION("""COMPUTED_VALUE"""),"SERVICEABLE")</f>
        <v>SERVICEABLE</v>
      </c>
      <c r="N2079" s="164"/>
    </row>
    <row r="2080" spans="1:14" ht="13.2" hidden="1">
      <c r="A2080" s="164" t="str">
        <f ca="1">IFERROR(__xludf.DUMMYFUNCTION("""COMPUTED_VALUE"""),"REGION V")</f>
        <v>REGION V</v>
      </c>
      <c r="B2080" s="164" t="str">
        <f ca="1">IFERROR(__xludf.DUMMYFUNCTION("""COMPUTED_VALUE"""),"CAM. SUR 1")</f>
        <v>CAM. SUR 1</v>
      </c>
      <c r="C2080" s="164" t="str">
        <f ca="1">IFERROR(__xludf.DUMMYFUNCTION("""COMPUTED_VALUE"""),"Desktop Computer – (Lenovo M70T)")</f>
        <v>Desktop Computer – (Lenovo M70T)</v>
      </c>
      <c r="D2080" s="164" t="str">
        <f ca="1">IFERROR(__xludf.DUMMYFUNCTION("""COMPUTED_VALUE"""),"₱ 75,468.00")</f>
        <v>₱ 75,468.00</v>
      </c>
      <c r="E2080" s="164" t="str">
        <f ca="1">IFERROR(__xludf.DUMMYFUNCTION("""COMPUTED_VALUE"""),"₱ -")</f>
        <v>₱ -</v>
      </c>
      <c r="F2080" s="164" t="str">
        <f ca="1">IFERROR(__xludf.DUMMYFUNCTION("""COMPUTED_VALUE"""),"2023-05-03-1020ISP1043-01")</f>
        <v>2023-05-03-1020ISP1043-01</v>
      </c>
      <c r="G2080" s="164" t="str">
        <f ca="1">IFERROR(__xludf.DUMMYFUNCTION("""COMPUTED_VALUE"""),"1S11T5S16200GM041ARP")</f>
        <v>1S11T5S16200GM041ARP</v>
      </c>
      <c r="H2080" s="164" t="str">
        <f ca="1">IFERROR(__xludf.DUMMYFUNCTION("""COMPUTED_VALUE"""),"MARIA REBECCA R. TAROG")</f>
        <v>MARIA REBECCA R. TAROG</v>
      </c>
      <c r="I2080" s="164" t="str">
        <f ca="1">IFERROR(__xludf.DUMMYFUNCTION("""COMPUTED_VALUE"""),"OIC CARPO-LTSP /CS1 PROJECT SPLIT")</f>
        <v>OIC CARPO-LTSP /CS1 PROJECT SPLIT</v>
      </c>
      <c r="J2080" s="164" t="str">
        <f ca="1">IFERROR(__xludf.DUMMYFUNCTION("""COMPUTED_VALUE"""),"PAR NO: 2023-10-017(PS)")</f>
        <v>PAR NO: 2023-10-017(PS)</v>
      </c>
      <c r="K2080" s="164" t="str">
        <f ca="1">IFERROR(__xludf.DUMMYFUNCTION("""COMPUTED_VALUE"""),"ELMO CLEMENTE P. PILAPIL")</f>
        <v>ELMO CLEMENTE P. PILAPIL</v>
      </c>
      <c r="L2080" s="164" t="str">
        <f ca="1">IFERROR(__xludf.DUMMYFUNCTION("""COMPUTED_VALUE"""),"FINANCE STAFF - PROJECT SPLIT")</f>
        <v>FINANCE STAFF - PROJECT SPLIT</v>
      </c>
      <c r="M2080" s="164" t="str">
        <f ca="1">IFERROR(__xludf.DUMMYFUNCTION("""COMPUTED_VALUE"""),"SERVICEABLE")</f>
        <v>SERVICEABLE</v>
      </c>
      <c r="N2080" s="164"/>
    </row>
    <row r="2081" spans="1:14" ht="13.2" hidden="1">
      <c r="A2081" s="164" t="str">
        <f ca="1">IFERROR(__xludf.DUMMYFUNCTION("""COMPUTED_VALUE"""),"REGION V")</f>
        <v>REGION V</v>
      </c>
      <c r="B2081" s="164" t="str">
        <f ca="1">IFERROR(__xludf.DUMMYFUNCTION("""COMPUTED_VALUE"""),"CAM. SUR 1")</f>
        <v>CAM. SUR 1</v>
      </c>
      <c r="C2081" s="164" t="str">
        <f ca="1">IFERROR(__xludf.DUMMYFUNCTION("""COMPUTED_VALUE"""),"Desktop Computer – (Lenovo M70T)")</f>
        <v>Desktop Computer – (Lenovo M70T)</v>
      </c>
      <c r="D2081" s="164" t="str">
        <f ca="1">IFERROR(__xludf.DUMMYFUNCTION("""COMPUTED_VALUE"""),"₱ 75,468.00")</f>
        <v>₱ 75,468.00</v>
      </c>
      <c r="E2081" s="164" t="str">
        <f ca="1">IFERROR(__xludf.DUMMYFUNCTION("""COMPUTED_VALUE"""),"₱ -")</f>
        <v>₱ -</v>
      </c>
      <c r="F2081" s="164" t="str">
        <f ca="1">IFERROR(__xludf.DUMMYFUNCTION("""COMPUTED_VALUE"""),"2023-05-03-1020ISP1044-01")</f>
        <v>2023-05-03-1020ISP1044-01</v>
      </c>
      <c r="G2081" s="164" t="str">
        <f ca="1">IFERROR(__xludf.DUMMYFUNCTION("""COMPUTED_VALUE"""),"1S11T5S16200GM041ARQ")</f>
        <v>1S11T5S16200GM041ARQ</v>
      </c>
      <c r="H2081" s="164" t="str">
        <f ca="1">IFERROR(__xludf.DUMMYFUNCTION("""COMPUTED_VALUE"""),"ADONIS H. DOLANAS")</f>
        <v>ADONIS H. DOLANAS</v>
      </c>
      <c r="I2081" s="164" t="str">
        <f ca="1">IFERROR(__xludf.DUMMYFUNCTION("""COMPUTED_VALUE"""),"OIC-PCAO")</f>
        <v>OIC-PCAO</v>
      </c>
      <c r="J2081" s="164" t="str">
        <f ca="1">IFERROR(__xludf.DUMMYFUNCTION("""COMPUTED_VALUE"""),"PAR NO: 2023-10-018(PS)")</f>
        <v>PAR NO: 2023-10-018(PS)</v>
      </c>
      <c r="K2081" s="164" t="str">
        <f ca="1">IFERROR(__xludf.DUMMYFUNCTION("""COMPUTED_VALUE"""),"ADONIS H. DOLANAS")</f>
        <v>ADONIS H. DOLANAS</v>
      </c>
      <c r="L2081" s="164" t="str">
        <f ca="1">IFERROR(__xludf.DUMMYFUNCTION("""COMPUTED_VALUE"""),"STOD")</f>
        <v>STOD</v>
      </c>
      <c r="M2081" s="164" t="str">
        <f ca="1">IFERROR(__xludf.DUMMYFUNCTION("""COMPUTED_VALUE"""),"SERVICEABLE")</f>
        <v>SERVICEABLE</v>
      </c>
      <c r="N2081" s="164" t="str">
        <f ca="1">IFERROR(__xludf.DUMMYFUNCTION("""COMPUTED_VALUE"""),"UPS DEFECTIVE PRINTER UNSERVICEABLE")</f>
        <v>UPS DEFECTIVE PRINTER UNSERVICEABLE</v>
      </c>
    </row>
    <row r="2082" spans="1:14" ht="13.2" hidden="1">
      <c r="A2082" s="164" t="str">
        <f ca="1">IFERROR(__xludf.DUMMYFUNCTION("""COMPUTED_VALUE"""),"REGION V")</f>
        <v>REGION V</v>
      </c>
      <c r="B2082" s="164" t="str">
        <f ca="1">IFERROR(__xludf.DUMMYFUNCTION("""COMPUTED_VALUE"""),"CAM. SUR 1")</f>
        <v>CAM. SUR 1</v>
      </c>
      <c r="C2082" s="164" t="str">
        <f ca="1">IFERROR(__xludf.DUMMYFUNCTION("""COMPUTED_VALUE"""),"Desktop Computer – (Lenovo M70T)")</f>
        <v>Desktop Computer – (Lenovo M70T)</v>
      </c>
      <c r="D2082" s="164" t="str">
        <f ca="1">IFERROR(__xludf.DUMMYFUNCTION("""COMPUTED_VALUE"""),"₱ 75,468.00")</f>
        <v>₱ 75,468.00</v>
      </c>
      <c r="E2082" s="164" t="str">
        <f ca="1">IFERROR(__xludf.DUMMYFUNCTION("""COMPUTED_VALUE"""),"₱ -")</f>
        <v>₱ -</v>
      </c>
      <c r="F2082" s="164" t="str">
        <f ca="1">IFERROR(__xludf.DUMMYFUNCTION("""COMPUTED_VALUE"""),"2023-05-03-1020ISP1045-01")</f>
        <v>2023-05-03-1020ISP1045-01</v>
      </c>
      <c r="G2082" s="164" t="str">
        <f ca="1">IFERROR(__xludf.DUMMYFUNCTION("""COMPUTED_VALUE"""),"1S11T5S16200GM041ARR")</f>
        <v>1S11T5S16200GM041ARR</v>
      </c>
      <c r="H2082" s="164" t="str">
        <f ca="1">IFERROR(__xludf.DUMMYFUNCTION("""COMPUTED_VALUE"""),"MARIA REBECCA R. TAROG")</f>
        <v>MARIA REBECCA R. TAROG</v>
      </c>
      <c r="I2082" s="164" t="str">
        <f ca="1">IFERROR(__xludf.DUMMYFUNCTION("""COMPUTED_VALUE"""),"OIC CARPO-LTSP /CS1 PROJECT SPLIT")</f>
        <v>OIC CARPO-LTSP /CS1 PROJECT SPLIT</v>
      </c>
      <c r="J2082" s="164" t="str">
        <f ca="1">IFERROR(__xludf.DUMMYFUNCTION("""COMPUTED_VALUE"""),"PAR NO: 2023-10-019(PS)")</f>
        <v>PAR NO: 2023-10-019(PS)</v>
      </c>
      <c r="K2082" s="164" t="str">
        <f ca="1">IFERROR(__xludf.DUMMYFUNCTION("""COMPUTED_VALUE"""),"ROMEL J. AZUL")</f>
        <v>ROMEL J. AZUL</v>
      </c>
      <c r="L2082" s="164" t="str">
        <f ca="1">IFERROR(__xludf.DUMMYFUNCTION("""COMPUTED_VALUE"""),"MIS SUPPORT STAFF - PROJECT SPLIT")</f>
        <v>MIS SUPPORT STAFF - PROJECT SPLIT</v>
      </c>
      <c r="M2082" s="164" t="str">
        <f ca="1">IFERROR(__xludf.DUMMYFUNCTION("""COMPUTED_VALUE"""),"SERVICEABLE")</f>
        <v>SERVICEABLE</v>
      </c>
      <c r="N2082" s="164"/>
    </row>
    <row r="2083" spans="1:14" ht="13.2" hidden="1">
      <c r="A2083" s="164" t="str">
        <f ca="1">IFERROR(__xludf.DUMMYFUNCTION("""COMPUTED_VALUE"""),"REGION V")</f>
        <v>REGION V</v>
      </c>
      <c r="B2083" s="164" t="str">
        <f ca="1">IFERROR(__xludf.DUMMYFUNCTION("""COMPUTED_VALUE"""),"CAM. SUR 1")</f>
        <v>CAM. SUR 1</v>
      </c>
      <c r="C2083" s="164" t="str">
        <f ca="1">IFERROR(__xludf.DUMMYFUNCTION("""COMPUTED_VALUE"""),"Desktop Computer – (Lenovo M70T)")</f>
        <v>Desktop Computer – (Lenovo M70T)</v>
      </c>
      <c r="D2083" s="164" t="str">
        <f ca="1">IFERROR(__xludf.DUMMYFUNCTION("""COMPUTED_VALUE"""),"₱ 75,468.00")</f>
        <v>₱ 75,468.00</v>
      </c>
      <c r="E2083" s="164" t="str">
        <f ca="1">IFERROR(__xludf.DUMMYFUNCTION("""COMPUTED_VALUE"""),"₱ -")</f>
        <v>₱ -</v>
      </c>
      <c r="F2083" s="164" t="str">
        <f ca="1">IFERROR(__xludf.DUMMYFUNCTION("""COMPUTED_VALUE"""),"2023-05-03-1020ISP1046-01")</f>
        <v>2023-05-03-1020ISP1046-01</v>
      </c>
      <c r="G2083" s="164" t="str">
        <f ca="1">IFERROR(__xludf.DUMMYFUNCTION("""COMPUTED_VALUE"""),"1S11T5S16200GM041ART")</f>
        <v>1S11T5S16200GM041ART</v>
      </c>
      <c r="H2083" s="164" t="str">
        <f ca="1">IFERROR(__xludf.DUMMYFUNCTION("""COMPUTED_VALUE"""),"MARIA REBECCA R. TAROG")</f>
        <v>MARIA REBECCA R. TAROG</v>
      </c>
      <c r="I2083" s="164" t="str">
        <f ca="1">IFERROR(__xludf.DUMMYFUNCTION("""COMPUTED_VALUE"""),"OIC CARPO-LTSP /CS1 PROJECT SPLIT")</f>
        <v>OIC CARPO-LTSP /CS1 PROJECT SPLIT</v>
      </c>
      <c r="J2083" s="164" t="str">
        <f ca="1">IFERROR(__xludf.DUMMYFUNCTION("""COMPUTED_VALUE"""),"PAR NO: 2023-10-020(PS)")</f>
        <v>PAR NO: 2023-10-020(PS)</v>
      </c>
      <c r="K2083" s="164" t="str">
        <f ca="1">IFERROR(__xludf.DUMMYFUNCTION("""COMPUTED_VALUE"""),"KAREN S. MAMANSAG")</f>
        <v>KAREN S. MAMANSAG</v>
      </c>
      <c r="L2083" s="164" t="str">
        <f ca="1">IFERROR(__xludf.DUMMYFUNCTION("""COMPUTED_VALUE"""),"ARPT")</f>
        <v>ARPT</v>
      </c>
      <c r="M2083" s="164" t="str">
        <f ca="1">IFERROR(__xludf.DUMMYFUNCTION("""COMPUTED_VALUE"""),"SERVICEABLE")</f>
        <v>SERVICEABLE</v>
      </c>
      <c r="N2083" s="164"/>
    </row>
    <row r="2084" spans="1:14" ht="13.2" hidden="1">
      <c r="A2084" s="164" t="str">
        <f ca="1">IFERROR(__xludf.DUMMYFUNCTION("""COMPUTED_VALUE"""),"REGION V")</f>
        <v>REGION V</v>
      </c>
      <c r="B2084" s="164" t="str">
        <f ca="1">IFERROR(__xludf.DUMMYFUNCTION("""COMPUTED_VALUE"""),"CAM. SUR 1")</f>
        <v>CAM. SUR 1</v>
      </c>
      <c r="C2084" s="164" t="str">
        <f ca="1">IFERROR(__xludf.DUMMYFUNCTION("""COMPUTED_VALUE"""),"Desktop Computer – (Lenovo M70T)")</f>
        <v>Desktop Computer – (Lenovo M70T)</v>
      </c>
      <c r="D2084" s="164" t="str">
        <f ca="1">IFERROR(__xludf.DUMMYFUNCTION("""COMPUTED_VALUE"""),"₱ 75,468.00")</f>
        <v>₱ 75,468.00</v>
      </c>
      <c r="E2084" s="164" t="str">
        <f ca="1">IFERROR(__xludf.DUMMYFUNCTION("""COMPUTED_VALUE"""),"₱ -")</f>
        <v>₱ -</v>
      </c>
      <c r="F2084" s="164" t="str">
        <f ca="1">IFERROR(__xludf.DUMMYFUNCTION("""COMPUTED_VALUE"""),"2023-05-03-1020ISP1047-01")</f>
        <v>2023-05-03-1020ISP1047-01</v>
      </c>
      <c r="G2084" s="164" t="str">
        <f ca="1">IFERROR(__xludf.DUMMYFUNCTION("""COMPUTED_VALUE"""),"1S11T5S16200GM041ARV")</f>
        <v>1S11T5S16200GM041ARV</v>
      </c>
      <c r="H2084" s="164" t="str">
        <f ca="1">IFERROR(__xludf.DUMMYFUNCTION("""COMPUTED_VALUE"""),"MARIA REBECCA R. TAROG")</f>
        <v>MARIA REBECCA R. TAROG</v>
      </c>
      <c r="I2084" s="164" t="str">
        <f ca="1">IFERROR(__xludf.DUMMYFUNCTION("""COMPUTED_VALUE"""),"OIC CARPO-LTSP /CS1 PROJECT SPLIT")</f>
        <v>OIC CARPO-LTSP /CS1 PROJECT SPLIT</v>
      </c>
      <c r="J2084" s="164" t="str">
        <f ca="1">IFERROR(__xludf.DUMMYFUNCTION("""COMPUTED_VALUE"""),"PAR NO: 2023-10-021(PS)")</f>
        <v>PAR NO: 2023-10-021(PS)</v>
      </c>
      <c r="K2084" s="164" t="str">
        <f ca="1">IFERROR(__xludf.DUMMYFUNCTION("""COMPUTED_VALUE"""),"MARIAN L. NOBLE")</f>
        <v>MARIAN L. NOBLE</v>
      </c>
      <c r="L2084" s="164" t="str">
        <f ca="1">IFERROR(__xludf.DUMMYFUNCTION("""COMPUTED_VALUE"""),"ARPT")</f>
        <v>ARPT</v>
      </c>
      <c r="M2084" s="164" t="str">
        <f ca="1">IFERROR(__xludf.DUMMYFUNCTION("""COMPUTED_VALUE"""),"SERVICEABLE")</f>
        <v>SERVICEABLE</v>
      </c>
      <c r="N2084" s="164" t="str">
        <f ca="1">IFERROR(__xludf.DUMMYFUNCTION("""COMPUTED_VALUE"""),"UPS UNSERVICEABLE")</f>
        <v>UPS UNSERVICEABLE</v>
      </c>
    </row>
    <row r="2085" spans="1:14" ht="13.2" hidden="1">
      <c r="A2085" s="164" t="str">
        <f ca="1">IFERROR(__xludf.DUMMYFUNCTION("""COMPUTED_VALUE"""),"REGION V")</f>
        <v>REGION V</v>
      </c>
      <c r="B2085" s="164" t="str">
        <f ca="1">IFERROR(__xludf.DUMMYFUNCTION("""COMPUTED_VALUE"""),"CAM. SUR 1")</f>
        <v>CAM. SUR 1</v>
      </c>
      <c r="C2085" s="164" t="str">
        <f ca="1">IFERROR(__xludf.DUMMYFUNCTION("""COMPUTED_VALUE"""),"Desktop Computer – (Lenovo M70T)")</f>
        <v>Desktop Computer – (Lenovo M70T)</v>
      </c>
      <c r="D2085" s="164" t="str">
        <f ca="1">IFERROR(__xludf.DUMMYFUNCTION("""COMPUTED_VALUE"""),"₱ 75,468.00")</f>
        <v>₱ 75,468.00</v>
      </c>
      <c r="E2085" s="164" t="str">
        <f ca="1">IFERROR(__xludf.DUMMYFUNCTION("""COMPUTED_VALUE"""),"₱ -")</f>
        <v>₱ -</v>
      </c>
      <c r="F2085" s="164" t="str">
        <f ca="1">IFERROR(__xludf.DUMMYFUNCTION("""COMPUTED_VALUE"""),"2023-05-03-1020ISP1048-01")</f>
        <v>2023-05-03-1020ISP1048-01</v>
      </c>
      <c r="G2085" s="164" t="str">
        <f ca="1">IFERROR(__xludf.DUMMYFUNCTION("""COMPUTED_VALUE"""),"1S11T5S16200GM041ARW")</f>
        <v>1S11T5S16200GM041ARW</v>
      </c>
      <c r="H2085" s="164" t="str">
        <f ca="1">IFERROR(__xludf.DUMMYFUNCTION("""COMPUTED_VALUE"""),"MARIA REBECCA R. TAROG")</f>
        <v>MARIA REBECCA R. TAROG</v>
      </c>
      <c r="I2085" s="164" t="str">
        <f ca="1">IFERROR(__xludf.DUMMYFUNCTION("""COMPUTED_VALUE"""),"OIC CARPO-LTSP /CS1 PROJECT SPLIT")</f>
        <v>OIC CARPO-LTSP /CS1 PROJECT SPLIT</v>
      </c>
      <c r="J2085" s="164" t="str">
        <f ca="1">IFERROR(__xludf.DUMMYFUNCTION("""COMPUTED_VALUE"""),"PAR NO: 2023-10-022(PS)")</f>
        <v>PAR NO: 2023-10-022(PS)</v>
      </c>
      <c r="K2085" s="164" t="str">
        <f ca="1">IFERROR(__xludf.DUMMYFUNCTION("""COMPUTED_VALUE"""),"MARIEL JOY B. ZAMUDIO")</f>
        <v>MARIEL JOY B. ZAMUDIO</v>
      </c>
      <c r="L2085" s="164" t="str">
        <f ca="1">IFERROR(__xludf.DUMMYFUNCTION("""COMPUTED_VALUE"""),"TECHNICAL SUPPORT STAFF - PROJECT SPLIT")</f>
        <v>TECHNICAL SUPPORT STAFF - PROJECT SPLIT</v>
      </c>
      <c r="M2085" s="164" t="str">
        <f ca="1">IFERROR(__xludf.DUMMYFUNCTION("""COMPUTED_VALUE"""),"SERVICEABLE")</f>
        <v>SERVICEABLE</v>
      </c>
      <c r="N2085" s="164"/>
    </row>
    <row r="2086" spans="1:14" ht="13.2" hidden="1">
      <c r="A2086" s="164" t="str">
        <f ca="1">IFERROR(__xludf.DUMMYFUNCTION("""COMPUTED_VALUE"""),"REGION V")</f>
        <v>REGION V</v>
      </c>
      <c r="B2086" s="164" t="str">
        <f ca="1">IFERROR(__xludf.DUMMYFUNCTION("""COMPUTED_VALUE"""),"CAM. SUR 1")</f>
        <v>CAM. SUR 1</v>
      </c>
      <c r="C2086" s="164" t="str">
        <f ca="1">IFERROR(__xludf.DUMMYFUNCTION("""COMPUTED_VALUE"""),"Desktop Computer – (Lenovo M70T)")</f>
        <v>Desktop Computer – (Lenovo M70T)</v>
      </c>
      <c r="D2086" s="164" t="str">
        <f ca="1">IFERROR(__xludf.DUMMYFUNCTION("""COMPUTED_VALUE"""),"₱ 75,468.00")</f>
        <v>₱ 75,468.00</v>
      </c>
      <c r="E2086" s="164" t="str">
        <f ca="1">IFERROR(__xludf.DUMMYFUNCTION("""COMPUTED_VALUE"""),"₱ -")</f>
        <v>₱ -</v>
      </c>
      <c r="F2086" s="164" t="str">
        <f ca="1">IFERROR(__xludf.DUMMYFUNCTION("""COMPUTED_VALUE"""),"2023-05-03-1020ISP1049-01")</f>
        <v>2023-05-03-1020ISP1049-01</v>
      </c>
      <c r="G2086" s="164" t="str">
        <f ca="1">IFERROR(__xludf.DUMMYFUNCTION("""COMPUTED_VALUE"""),"1S11T5S16200GM041ARX")</f>
        <v>1S11T5S16200GM041ARX</v>
      </c>
      <c r="H2086" s="164" t="str">
        <f ca="1">IFERROR(__xludf.DUMMYFUNCTION("""COMPUTED_VALUE"""),"MARIA REBECCA R. TAROG")</f>
        <v>MARIA REBECCA R. TAROG</v>
      </c>
      <c r="I2086" s="164" t="str">
        <f ca="1">IFERROR(__xludf.DUMMYFUNCTION("""COMPUTED_VALUE"""),"OIC CARPO-LTSP /CS1 PROJECT SPLIT")</f>
        <v>OIC CARPO-LTSP /CS1 PROJECT SPLIT</v>
      </c>
      <c r="J2086" s="164" t="str">
        <f ca="1">IFERROR(__xludf.DUMMYFUNCTION("""COMPUTED_VALUE"""),"PAR NO: 2023-10-023(PS)")</f>
        <v>PAR NO: 2023-10-023(PS)</v>
      </c>
      <c r="K2086" s="164" t="str">
        <f ca="1">IFERROR(__xludf.DUMMYFUNCTION("""COMPUTED_VALUE"""),"JAMES A. BELARMINO")</f>
        <v>JAMES A. BELARMINO</v>
      </c>
      <c r="L2086" s="164" t="str">
        <f ca="1">IFERROR(__xludf.DUMMYFUNCTION("""COMPUTED_VALUE"""),"PROVINCIAL ENCODER - PROJECT SPLIT")</f>
        <v>PROVINCIAL ENCODER - PROJECT SPLIT</v>
      </c>
      <c r="M2086" s="164" t="str">
        <f ca="1">IFERROR(__xludf.DUMMYFUNCTION("""COMPUTED_VALUE"""),"SERVICEABLE")</f>
        <v>SERVICEABLE</v>
      </c>
      <c r="N2086" s="164"/>
    </row>
    <row r="2087" spans="1:14" ht="13.2" hidden="1">
      <c r="A2087" s="164" t="str">
        <f ca="1">IFERROR(__xludf.DUMMYFUNCTION("""COMPUTED_VALUE"""),"REGION V")</f>
        <v>REGION V</v>
      </c>
      <c r="B2087" s="164" t="str">
        <f ca="1">IFERROR(__xludf.DUMMYFUNCTION("""COMPUTED_VALUE"""),"CAM. SUR 1")</f>
        <v>CAM. SUR 1</v>
      </c>
      <c r="C2087" s="164" t="str">
        <f ca="1">IFERROR(__xludf.DUMMYFUNCTION("""COMPUTED_VALUE"""),"Desktop Computer – (Lenovo M70T)")</f>
        <v>Desktop Computer – (Lenovo M70T)</v>
      </c>
      <c r="D2087" s="164" t="str">
        <f ca="1">IFERROR(__xludf.DUMMYFUNCTION("""COMPUTED_VALUE"""),"₱ 75,468.00")</f>
        <v>₱ 75,468.00</v>
      </c>
      <c r="E2087" s="164" t="str">
        <f ca="1">IFERROR(__xludf.DUMMYFUNCTION("""COMPUTED_VALUE"""),"₱ -")</f>
        <v>₱ -</v>
      </c>
      <c r="F2087" s="164" t="str">
        <f ca="1">IFERROR(__xludf.DUMMYFUNCTION("""COMPUTED_VALUE"""),"2023-05-03-1020ISP1050-01")</f>
        <v>2023-05-03-1020ISP1050-01</v>
      </c>
      <c r="G2087" s="164" t="str">
        <f ca="1">IFERROR(__xludf.DUMMYFUNCTION("""COMPUTED_VALUE"""),"1S11T5S16200GM041ARY")</f>
        <v>1S11T5S16200GM041ARY</v>
      </c>
      <c r="H2087" s="164" t="str">
        <f ca="1">IFERROR(__xludf.DUMMYFUNCTION("""COMPUTED_VALUE"""),"MARIA REBECCA R. TAROG")</f>
        <v>MARIA REBECCA R. TAROG</v>
      </c>
      <c r="I2087" s="164" t="str">
        <f ca="1">IFERROR(__xludf.DUMMYFUNCTION("""COMPUTED_VALUE"""),"OIC CARPO-LTSP /CS1 PROJECT SPLIT")</f>
        <v>OIC CARPO-LTSP /CS1 PROJECT SPLIT</v>
      </c>
      <c r="J2087" s="164" t="str">
        <f ca="1">IFERROR(__xludf.DUMMYFUNCTION("""COMPUTED_VALUE"""),"PAR NO: 2023-10-024(PS)")</f>
        <v>PAR NO: 2023-10-024(PS)</v>
      </c>
      <c r="K2087" s="164" t="str">
        <f ca="1">IFERROR(__xludf.DUMMYFUNCTION("""COMPUTED_VALUE"""),"FRANCES JOY D. DE SILVA")</f>
        <v>FRANCES JOY D. DE SILVA</v>
      </c>
      <c r="L2087" s="164" t="str">
        <f ca="1">IFERROR(__xludf.DUMMYFUNCTION("""COMPUTED_VALUE"""),"PROVINCIAL PROCESSOR - PROJECT SPLIT")</f>
        <v>PROVINCIAL PROCESSOR - PROJECT SPLIT</v>
      </c>
      <c r="M2087" s="164" t="str">
        <f ca="1">IFERROR(__xludf.DUMMYFUNCTION("""COMPUTED_VALUE"""),"SERVICEABLE")</f>
        <v>SERVICEABLE</v>
      </c>
      <c r="N2087" s="164"/>
    </row>
    <row r="2088" spans="1:14" ht="13.2" hidden="1">
      <c r="A2088" s="164" t="str">
        <f ca="1">IFERROR(__xludf.DUMMYFUNCTION("""COMPUTED_VALUE"""),"REGION V")</f>
        <v>REGION V</v>
      </c>
      <c r="B2088" s="164" t="str">
        <f ca="1">IFERROR(__xludf.DUMMYFUNCTION("""COMPUTED_VALUE"""),"CAM. SUR 1")</f>
        <v>CAM. SUR 1</v>
      </c>
      <c r="C2088" s="164" t="str">
        <f ca="1">IFERROR(__xludf.DUMMYFUNCTION("""COMPUTED_VALUE"""),"Desktop Computer – (Lenovo M70T)")</f>
        <v>Desktop Computer – (Lenovo M70T)</v>
      </c>
      <c r="D2088" s="164" t="str">
        <f ca="1">IFERROR(__xludf.DUMMYFUNCTION("""COMPUTED_VALUE"""),"₱ 75,468.00")</f>
        <v>₱ 75,468.00</v>
      </c>
      <c r="E2088" s="164" t="str">
        <f ca="1">IFERROR(__xludf.DUMMYFUNCTION("""COMPUTED_VALUE"""),"₱ -")</f>
        <v>₱ -</v>
      </c>
      <c r="F2088" s="164" t="str">
        <f ca="1">IFERROR(__xludf.DUMMYFUNCTION("""COMPUTED_VALUE"""),"2023-05-03-1020ISP1051-01")</f>
        <v>2023-05-03-1020ISP1051-01</v>
      </c>
      <c r="G2088" s="164" t="str">
        <f ca="1">IFERROR(__xludf.DUMMYFUNCTION("""COMPUTED_VALUE"""),"1S11T5S16200GM041ARZ")</f>
        <v>1S11T5S16200GM041ARZ</v>
      </c>
      <c r="H2088" s="164" t="str">
        <f ca="1">IFERROR(__xludf.DUMMYFUNCTION("""COMPUTED_VALUE"""),"MARIA REBECCA R. TAROG")</f>
        <v>MARIA REBECCA R. TAROG</v>
      </c>
      <c r="I2088" s="164" t="str">
        <f ca="1">IFERROR(__xludf.DUMMYFUNCTION("""COMPUTED_VALUE"""),"OIC CARPO-LTSP /CS1 PROJECT SPLIT")</f>
        <v>OIC CARPO-LTSP /CS1 PROJECT SPLIT</v>
      </c>
      <c r="J2088" s="164" t="str">
        <f ca="1">IFERROR(__xludf.DUMMYFUNCTION("""COMPUTED_VALUE"""),"PAR NO: 2023-10-025(PS)")</f>
        <v>PAR NO: 2023-10-025(PS)</v>
      </c>
      <c r="K2088" s="164" t="str">
        <f ca="1">IFERROR(__xludf.DUMMYFUNCTION("""COMPUTED_VALUE"""),"KEITH ANNE N. NASE")</f>
        <v>KEITH ANNE N. NASE</v>
      </c>
      <c r="L2088" s="164" t="str">
        <f ca="1">IFERROR(__xludf.DUMMYFUNCTION("""COMPUTED_VALUE"""),"CBTA SUPPORT STAFF")</f>
        <v>CBTA SUPPORT STAFF</v>
      </c>
      <c r="M2088" s="164" t="str">
        <f ca="1">IFERROR(__xludf.DUMMYFUNCTION("""COMPUTED_VALUE"""),"SERVICEABLE")</f>
        <v>SERVICEABLE</v>
      </c>
      <c r="N2088" s="164"/>
    </row>
    <row r="2089" spans="1:14" ht="13.2" hidden="1">
      <c r="A2089" s="164" t="str">
        <f ca="1">IFERROR(__xludf.DUMMYFUNCTION("""COMPUTED_VALUE"""),"REGION V")</f>
        <v>REGION V</v>
      </c>
      <c r="B2089" s="164" t="str">
        <f ca="1">IFERROR(__xludf.DUMMYFUNCTION("""COMPUTED_VALUE"""),"CAM. SUR 1")</f>
        <v>CAM. SUR 1</v>
      </c>
      <c r="C2089" s="164" t="str">
        <f ca="1">IFERROR(__xludf.DUMMYFUNCTION("""COMPUTED_VALUE"""),"Desktop Computer – (Lenovo M70T)")</f>
        <v>Desktop Computer – (Lenovo M70T)</v>
      </c>
      <c r="D2089" s="164" t="str">
        <f ca="1">IFERROR(__xludf.DUMMYFUNCTION("""COMPUTED_VALUE"""),"₱ 75,468.00")</f>
        <v>₱ 75,468.00</v>
      </c>
      <c r="E2089" s="164" t="str">
        <f ca="1">IFERROR(__xludf.DUMMYFUNCTION("""COMPUTED_VALUE"""),"₱ -")</f>
        <v>₱ -</v>
      </c>
      <c r="F2089" s="164" t="str">
        <f ca="1">IFERROR(__xludf.DUMMYFUNCTION("""COMPUTED_VALUE"""),"2023-05-03-1020ISP1052-01")</f>
        <v>2023-05-03-1020ISP1052-01</v>
      </c>
      <c r="G2089" s="164" t="str">
        <f ca="1">IFERROR(__xludf.DUMMYFUNCTION("""COMPUTED_VALUE"""),"1S11T5S16200GM041ARS0")</f>
        <v>1S11T5S16200GM041ARS0</v>
      </c>
      <c r="H2089" s="164" t="str">
        <f ca="1">IFERROR(__xludf.DUMMYFUNCTION("""COMPUTED_VALUE"""),"MARIA REBECCA R. TAROG")</f>
        <v>MARIA REBECCA R. TAROG</v>
      </c>
      <c r="I2089" s="164" t="str">
        <f ca="1">IFERROR(__xludf.DUMMYFUNCTION("""COMPUTED_VALUE"""),"OIC CARPO-LTSP /CS1 PROJECT SPLIT")</f>
        <v>OIC CARPO-LTSP /CS1 PROJECT SPLIT</v>
      </c>
      <c r="J2089" s="164" t="str">
        <f ca="1">IFERROR(__xludf.DUMMYFUNCTION("""COMPUTED_VALUE"""),"PAR NO: 2023-10-026(PS)")</f>
        <v>PAR NO: 2023-10-026(PS)</v>
      </c>
      <c r="K2089" s="164" t="str">
        <f ca="1">IFERROR(__xludf.DUMMYFUNCTION("""COMPUTED_VALUE"""),"MARIA REBECCA R. TAROG")</f>
        <v>MARIA REBECCA R. TAROG</v>
      </c>
      <c r="L2089" s="164" t="str">
        <f ca="1">IFERROR(__xludf.DUMMYFUNCTION("""COMPUTED_VALUE"""),"OIC CARPO-LTSP /CS1 PROJECT SPLIT")</f>
        <v>OIC CARPO-LTSP /CS1 PROJECT SPLIT</v>
      </c>
      <c r="M2089" s="164" t="str">
        <f ca="1">IFERROR(__xludf.DUMMYFUNCTION("""COMPUTED_VALUE"""),"SERVICEABLE")</f>
        <v>SERVICEABLE</v>
      </c>
      <c r="N2089" s="164"/>
    </row>
    <row r="2090" spans="1:14" ht="13.2" hidden="1">
      <c r="A2090" s="164" t="str">
        <f ca="1">IFERROR(__xludf.DUMMYFUNCTION("""COMPUTED_VALUE"""),"REGION V")</f>
        <v>REGION V</v>
      </c>
      <c r="B2090" s="164" t="str">
        <f ca="1">IFERROR(__xludf.DUMMYFUNCTION("""COMPUTED_VALUE"""),"CAM. SUR 1")</f>
        <v>CAM. SUR 1</v>
      </c>
      <c r="C2090" s="164" t="str">
        <f ca="1">IFERROR(__xludf.DUMMYFUNCTION("""COMPUTED_VALUE"""),"Desktop Computer – (Lenovo M70T)")</f>
        <v>Desktop Computer – (Lenovo M70T)</v>
      </c>
      <c r="D2090" s="164" t="str">
        <f ca="1">IFERROR(__xludf.DUMMYFUNCTION("""COMPUTED_VALUE"""),"₱ 75,468.00")</f>
        <v>₱ 75,468.00</v>
      </c>
      <c r="E2090" s="164" t="str">
        <f ca="1">IFERROR(__xludf.DUMMYFUNCTION("""COMPUTED_VALUE"""),"₱ -")</f>
        <v>₱ -</v>
      </c>
      <c r="F2090" s="164" t="str">
        <f ca="1">IFERROR(__xludf.DUMMYFUNCTION("""COMPUTED_VALUE"""),"2023-05-03-1020ISP1053-01")</f>
        <v>2023-05-03-1020ISP1053-01</v>
      </c>
      <c r="G2090" s="164" t="str">
        <f ca="1">IFERROR(__xludf.DUMMYFUNCTION("""COMPUTED_VALUE"""),"1S11T5S16200GM041ARS2")</f>
        <v>1S11T5S16200GM041ARS2</v>
      </c>
      <c r="H2090" s="164" t="str">
        <f ca="1">IFERROR(__xludf.DUMMYFUNCTION("""COMPUTED_VALUE"""),"AUGUSTO SA. MEDINA, JR.")</f>
        <v>AUGUSTO SA. MEDINA, JR.</v>
      </c>
      <c r="I2090" s="164" t="str">
        <f ca="1">IFERROR(__xludf.DUMMYFUNCTION("""COMPUTED_VALUE"""),"OIC PARPO I-DAR CSI PROJECT SPLIT")</f>
        <v>OIC PARPO I-DAR CSI PROJECT SPLIT</v>
      </c>
      <c r="J2090" s="164" t="str">
        <f ca="1">IFERROR(__xludf.DUMMYFUNCTION("""COMPUTED_VALUE"""),"PAR NO: 2023-10-027(PS)")</f>
        <v>PAR NO: 2023-10-027(PS)</v>
      </c>
      <c r="K2090" s="164" t="str">
        <f ca="1">IFERROR(__xludf.DUMMYFUNCTION("""COMPUTED_VALUE"""),"AUGUSTO SA. MEDINA, JR.")</f>
        <v>AUGUSTO SA. MEDINA, JR.</v>
      </c>
      <c r="L2090" s="164" t="str">
        <f ca="1">IFERROR(__xludf.DUMMYFUNCTION("""COMPUTED_VALUE"""),"OIC PARPO I")</f>
        <v>OIC PARPO I</v>
      </c>
      <c r="M2090" s="164" t="str">
        <f ca="1">IFERROR(__xludf.DUMMYFUNCTION("""COMPUTED_VALUE"""),"SERVICEABLE")</f>
        <v>SERVICEABLE</v>
      </c>
      <c r="N2090" s="164"/>
    </row>
    <row r="2091" spans="1:14" ht="13.2" hidden="1">
      <c r="A2091" s="164" t="str">
        <f ca="1">IFERROR(__xludf.DUMMYFUNCTION("""COMPUTED_VALUE"""),"REGION V")</f>
        <v>REGION V</v>
      </c>
      <c r="B2091" s="164" t="str">
        <f ca="1">IFERROR(__xludf.DUMMYFUNCTION("""COMPUTED_VALUE"""),"CAM. SUR 1")</f>
        <v>CAM. SUR 1</v>
      </c>
      <c r="C2091" s="164" t="str">
        <f ca="1">IFERROR(__xludf.DUMMYFUNCTION("""COMPUTED_VALUE"""),"Desktop Computer – (Lenovo M70T)")</f>
        <v>Desktop Computer – (Lenovo M70T)</v>
      </c>
      <c r="D2091" s="164" t="str">
        <f ca="1">IFERROR(__xludf.DUMMYFUNCTION("""COMPUTED_VALUE"""),"₱ 75,468.00")</f>
        <v>₱ 75,468.00</v>
      </c>
      <c r="E2091" s="164" t="str">
        <f ca="1">IFERROR(__xludf.DUMMYFUNCTION("""COMPUTED_VALUE"""),"₱ -")</f>
        <v>₱ -</v>
      </c>
      <c r="F2091" s="164" t="str">
        <f ca="1">IFERROR(__xludf.DUMMYFUNCTION("""COMPUTED_VALUE"""),"2023-05-03-1020ISP1054-01")</f>
        <v>2023-05-03-1020ISP1054-01</v>
      </c>
      <c r="G2091" s="164" t="str">
        <f ca="1">IFERROR(__xludf.DUMMYFUNCTION("""COMPUTED_VALUE"""),"1S11T5S16200GM041ARS6")</f>
        <v>1S11T5S16200GM041ARS6</v>
      </c>
      <c r="H2091" s="164" t="str">
        <f ca="1">IFERROR(__xludf.DUMMYFUNCTION("""COMPUTED_VALUE"""),"LUCKY RONEL I F. AGUENZA")</f>
        <v>LUCKY RONEL I F. AGUENZA</v>
      </c>
      <c r="I2091" s="164" t="str">
        <f ca="1">IFERROR(__xludf.DUMMYFUNCTION("""COMPUTED_VALUE"""),"ARPO I")</f>
        <v>ARPO I</v>
      </c>
      <c r="J2091" s="164" t="str">
        <f ca="1">IFERROR(__xludf.DUMMYFUNCTION("""COMPUTED_VALUE"""),"PAR NO: 2023-10-028(PS)")</f>
        <v>PAR NO: 2023-10-028(PS)</v>
      </c>
      <c r="K2091" s="164" t="str">
        <f ca="1">IFERROR(__xludf.DUMMYFUNCTION("""COMPUTED_VALUE"""),"LUCKY RONEL I F. AGUENZA")</f>
        <v>LUCKY RONEL I F. AGUENZA</v>
      </c>
      <c r="L2091" s="164" t="str">
        <f ca="1">IFERROR(__xludf.DUMMYFUNCTION("""COMPUTED_VALUE"""),"ARPO I")</f>
        <v>ARPO I</v>
      </c>
      <c r="M2091" s="164" t="str">
        <f ca="1">IFERROR(__xludf.DUMMYFUNCTION("""COMPUTED_VALUE"""),"SERVICEABLE")</f>
        <v>SERVICEABLE</v>
      </c>
      <c r="N2091" s="164"/>
    </row>
    <row r="2092" spans="1:14" ht="13.2" hidden="1">
      <c r="A2092" s="164" t="str">
        <f ca="1">IFERROR(__xludf.DUMMYFUNCTION("""COMPUTED_VALUE"""),"REGION V")</f>
        <v>REGION V</v>
      </c>
      <c r="B2092" s="164" t="str">
        <f ca="1">IFERROR(__xludf.DUMMYFUNCTION("""COMPUTED_VALUE"""),"CAM. SUR 1")</f>
        <v>CAM. SUR 1</v>
      </c>
      <c r="C2092" s="164" t="str">
        <f ca="1">IFERROR(__xludf.DUMMYFUNCTION("""COMPUTED_VALUE"""),"Desktop Computer – (Lenovo M70T)")</f>
        <v>Desktop Computer – (Lenovo M70T)</v>
      </c>
      <c r="D2092" s="164" t="str">
        <f ca="1">IFERROR(__xludf.DUMMYFUNCTION("""COMPUTED_VALUE"""),"₱ 75,468.00")</f>
        <v>₱ 75,468.00</v>
      </c>
      <c r="E2092" s="164" t="str">
        <f ca="1">IFERROR(__xludf.DUMMYFUNCTION("""COMPUTED_VALUE"""),"₱ -")</f>
        <v>₱ -</v>
      </c>
      <c r="F2092" s="164" t="str">
        <f ca="1">IFERROR(__xludf.DUMMYFUNCTION("""COMPUTED_VALUE"""),"2023-05-03-1020ISP1055-01")</f>
        <v>2023-05-03-1020ISP1055-01</v>
      </c>
      <c r="G2092" s="164" t="str">
        <f ca="1">IFERROR(__xludf.DUMMYFUNCTION("""COMPUTED_VALUE"""),"1S11T5S16200GM041ARS7")</f>
        <v>1S11T5S16200GM041ARS7</v>
      </c>
      <c r="H2092" s="164" t="str">
        <f ca="1">IFERROR(__xludf.DUMMYFUNCTION("""COMPUTED_VALUE"""),"ANDREW LAURENCE G. SABALDICA")</f>
        <v>ANDREW LAURENCE G. SABALDICA</v>
      </c>
      <c r="I2092" s="164" t="str">
        <f ca="1">IFERROR(__xludf.DUMMYFUNCTION("""COMPUTED_VALUE"""),"ARPT")</f>
        <v>ARPT</v>
      </c>
      <c r="J2092" s="164" t="str">
        <f ca="1">IFERROR(__xludf.DUMMYFUNCTION("""COMPUTED_VALUE"""),"PAR NO: 2023-10-029(PS)")</f>
        <v>PAR NO: 2023-10-029(PS)</v>
      </c>
      <c r="K2092" s="164" t="str">
        <f ca="1">IFERROR(__xludf.DUMMYFUNCTION("""COMPUTED_VALUE"""),"ANDREW LAURENCE G. SABALDICA")</f>
        <v>ANDREW LAURENCE G. SABALDICA</v>
      </c>
      <c r="L2092" s="164" t="str">
        <f ca="1">IFERROR(__xludf.DUMMYFUNCTION("""COMPUTED_VALUE"""),"ARPT")</f>
        <v>ARPT</v>
      </c>
      <c r="M2092" s="164" t="str">
        <f ca="1">IFERROR(__xludf.DUMMYFUNCTION("""COMPUTED_VALUE"""),"SERVICEABLE")</f>
        <v>SERVICEABLE</v>
      </c>
      <c r="N2092" s="164" t="str">
        <f ca="1">IFERROR(__xludf.DUMMYFUNCTION("""COMPUTED_VALUE"""),"UPS UNSERVICEABLE")</f>
        <v>UPS UNSERVICEABLE</v>
      </c>
    </row>
    <row r="2093" spans="1:14" ht="13.2" hidden="1">
      <c r="A2093" s="164" t="str">
        <f ca="1">IFERROR(__xludf.DUMMYFUNCTION("""COMPUTED_VALUE"""),"REGION V")</f>
        <v>REGION V</v>
      </c>
      <c r="B2093" s="164" t="str">
        <f ca="1">IFERROR(__xludf.DUMMYFUNCTION("""COMPUTED_VALUE"""),"CAM. SUR 1")</f>
        <v>CAM. SUR 1</v>
      </c>
      <c r="C2093" s="164" t="str">
        <f ca="1">IFERROR(__xludf.DUMMYFUNCTION("""COMPUTED_VALUE"""),"Laptop – (ACER EXTENSA EX215-55G i7)")</f>
        <v>Laptop – (ACER EXTENSA EX215-55G i7)</v>
      </c>
      <c r="D2093" s="164" t="str">
        <f ca="1">IFERROR(__xludf.DUMMYFUNCTION("""COMPUTED_VALUE"""),"₱ 59,500.00")</f>
        <v>₱ 59,500.00</v>
      </c>
      <c r="E2093" s="164" t="str">
        <f ca="1">IFERROR(__xludf.DUMMYFUNCTION("""COMPUTED_VALUE"""),"₱ -")</f>
        <v>₱ -</v>
      </c>
      <c r="F2093" s="164" t="str">
        <f ca="1">IFERROR(__xludf.DUMMYFUNCTION("""COMPUTED_VALUE"""),"2023-05-03-1020SP228-01")</f>
        <v>2023-05-03-1020SP228-01</v>
      </c>
      <c r="G2093" s="164" t="str">
        <f ca="1">IFERROR(__xludf.DUMMYFUNCTION("""COMPUTED_VALUE"""),"NXEGZSP00330801AF23400")</f>
        <v>NXEGZSP00330801AF23400</v>
      </c>
      <c r="H2093" s="164" t="str">
        <f ca="1">IFERROR(__xludf.DUMMYFUNCTION("""COMPUTED_VALUE"""),"MARIA REBECCA R. TAROG")</f>
        <v>MARIA REBECCA R. TAROG</v>
      </c>
      <c r="I2093" s="164" t="str">
        <f ca="1">IFERROR(__xludf.DUMMYFUNCTION("""COMPUTED_VALUE"""),"OIC CARPO-LTSP /CS1 PROJECT SPLIT")</f>
        <v>OIC CARPO-LTSP /CS1 PROJECT SPLIT</v>
      </c>
      <c r="J2093" s="164" t="str">
        <f ca="1">IFERROR(__xludf.DUMMYFUNCTION("""COMPUTED_VALUE"""),"PAR NO: 2023-10-030(PS)")</f>
        <v>PAR NO: 2023-10-030(PS)</v>
      </c>
      <c r="K2093" s="164" t="str">
        <f ca="1">IFERROR(__xludf.DUMMYFUNCTION("""COMPUTED_VALUE"""),"VONNS SWEDAN ADOREMOS")</f>
        <v>VONNS SWEDAN ADOREMOS</v>
      </c>
      <c r="L2093" s="164" t="str">
        <f ca="1">IFERROR(__xludf.DUMMYFUNCTION("""COMPUTED_VALUE"""),"M&amp;E SUPPORT STAFF")</f>
        <v>M&amp;E SUPPORT STAFF</v>
      </c>
      <c r="M2093" s="164" t="str">
        <f ca="1">IFERROR(__xludf.DUMMYFUNCTION("""COMPUTED_VALUE"""),"SERVICEABLE")</f>
        <v>SERVICEABLE</v>
      </c>
      <c r="N2093" s="164"/>
    </row>
    <row r="2094" spans="1:14" ht="13.2" hidden="1">
      <c r="A2094" s="164" t="str">
        <f ca="1">IFERROR(__xludf.DUMMYFUNCTION("""COMPUTED_VALUE"""),"REGION V")</f>
        <v>REGION V</v>
      </c>
      <c r="B2094" s="164" t="str">
        <f ca="1">IFERROR(__xludf.DUMMYFUNCTION("""COMPUTED_VALUE"""),"CAM. SUR 1")</f>
        <v>CAM. SUR 1</v>
      </c>
      <c r="C2094" s="164" t="str">
        <f ca="1">IFERROR(__xludf.DUMMYFUNCTION("""COMPUTED_VALUE"""),"Laptop – (ACER EXTENSA EX215-55G i7)")</f>
        <v>Laptop – (ACER EXTENSA EX215-55G i7)</v>
      </c>
      <c r="D2094" s="164" t="str">
        <f ca="1">IFERROR(__xludf.DUMMYFUNCTION("""COMPUTED_VALUE"""),"₱ 59,500.00")</f>
        <v>₱ 59,500.00</v>
      </c>
      <c r="E2094" s="164" t="str">
        <f ca="1">IFERROR(__xludf.DUMMYFUNCTION("""COMPUTED_VALUE"""),"₱ -")</f>
        <v>₱ -</v>
      </c>
      <c r="F2094" s="164" t="str">
        <f ca="1">IFERROR(__xludf.DUMMYFUNCTION("""COMPUTED_VALUE"""),"2023-05-03-1020SP229-01")</f>
        <v>2023-05-03-1020SP229-01</v>
      </c>
      <c r="G2094" s="164" t="str">
        <f ca="1">IFERROR(__xludf.DUMMYFUNCTION("""COMPUTED_VALUE"""),"NXEGZSP00330801D9B3400")</f>
        <v>NXEGZSP00330801D9B3400</v>
      </c>
      <c r="H2094" s="164" t="str">
        <f ca="1">IFERROR(__xludf.DUMMYFUNCTION("""COMPUTED_VALUE"""),"ADONIS H. DOLANAS")</f>
        <v>ADONIS H. DOLANAS</v>
      </c>
      <c r="I2094" s="164" t="str">
        <f ca="1">IFERROR(__xludf.DUMMYFUNCTION("""COMPUTED_VALUE"""),"OIC-PCAO")</f>
        <v>OIC-PCAO</v>
      </c>
      <c r="J2094" s="164" t="str">
        <f ca="1">IFERROR(__xludf.DUMMYFUNCTION("""COMPUTED_VALUE"""),"PAR NO: 2023-10-031(PS)")</f>
        <v>PAR NO: 2023-10-031(PS)</v>
      </c>
      <c r="K2094" s="164" t="str">
        <f ca="1">IFERROR(__xludf.DUMMYFUNCTION("""COMPUTED_VALUE"""),"ANGELICA F. ABAD")</f>
        <v>ANGELICA F. ABAD</v>
      </c>
      <c r="L2094" s="164" t="str">
        <f ca="1">IFERROR(__xludf.DUMMYFUNCTION("""COMPUTED_VALUE"""),"ADMINISTRATIVE SUPPORT STAFF-SPLIT")</f>
        <v>ADMINISTRATIVE SUPPORT STAFF-SPLIT</v>
      </c>
      <c r="M2094" s="164" t="str">
        <f ca="1">IFERROR(__xludf.DUMMYFUNCTION("""COMPUTED_VALUE"""),"SERVICEABLE")</f>
        <v>SERVICEABLE</v>
      </c>
      <c r="N2094" s="164"/>
    </row>
    <row r="2095" spans="1:14" ht="13.2" hidden="1">
      <c r="A2095" s="164" t="str">
        <f ca="1">IFERROR(__xludf.DUMMYFUNCTION("""COMPUTED_VALUE"""),"REGION V")</f>
        <v>REGION V</v>
      </c>
      <c r="B2095" s="164" t="str">
        <f ca="1">IFERROR(__xludf.DUMMYFUNCTION("""COMPUTED_VALUE"""),"CAM. SUR 1")</f>
        <v>CAM. SUR 1</v>
      </c>
      <c r="C2095" s="164" t="str">
        <f ca="1">IFERROR(__xludf.DUMMYFUNCTION("""COMPUTED_VALUE"""),"Laptop – (ACER EXTENSA EX215-55G i7)")</f>
        <v>Laptop – (ACER EXTENSA EX215-55G i7)</v>
      </c>
      <c r="D2095" s="164" t="str">
        <f ca="1">IFERROR(__xludf.DUMMYFUNCTION("""COMPUTED_VALUE"""),"₱ 59,500.00")</f>
        <v>₱ 59,500.00</v>
      </c>
      <c r="E2095" s="164" t="str">
        <f ca="1">IFERROR(__xludf.DUMMYFUNCTION("""COMPUTED_VALUE"""),"₱ -")</f>
        <v>₱ -</v>
      </c>
      <c r="F2095" s="164" t="str">
        <f ca="1">IFERROR(__xludf.DUMMYFUNCTION("""COMPUTED_VALUE"""),"2023-05-03-1020SP230-01")</f>
        <v>2023-05-03-1020SP230-01</v>
      </c>
      <c r="G2095" s="164" t="str">
        <f ca="1">IFERROR(__xludf.DUMMYFUNCTION("""COMPUTED_VALUE"""),"NXEGZSP00330801E523400")</f>
        <v>NXEGZSP00330801E523400</v>
      </c>
      <c r="H2095" s="164" t="str">
        <f ca="1">IFERROR(__xludf.DUMMYFUNCTION("""COMPUTED_VALUE"""),"MARIA REBECCA R. TAROG")</f>
        <v>MARIA REBECCA R. TAROG</v>
      </c>
      <c r="I2095" s="164" t="str">
        <f ca="1">IFERROR(__xludf.DUMMYFUNCTION("""COMPUTED_VALUE"""),"OIC CARPO-LTSP /CS1 PROJECT SPLIT")</f>
        <v>OIC CARPO-LTSP /CS1 PROJECT SPLIT</v>
      </c>
      <c r="J2095" s="164" t="str">
        <f ca="1">IFERROR(__xludf.DUMMYFUNCTION("""COMPUTED_VALUE"""),"PAR NO: 2023-10-032(PS)")</f>
        <v>PAR NO: 2023-10-032(PS)</v>
      </c>
      <c r="K2095" s="164" t="str">
        <f ca="1">IFERROR(__xludf.DUMMYFUNCTION("""COMPUTED_VALUE"""),"ROMEL J. AZUL")</f>
        <v>ROMEL J. AZUL</v>
      </c>
      <c r="L2095" s="164" t="str">
        <f ca="1">IFERROR(__xludf.DUMMYFUNCTION("""COMPUTED_VALUE"""),"MIS SUPPORT STAFF - PROJECT SPLIT")</f>
        <v>MIS SUPPORT STAFF - PROJECT SPLIT</v>
      </c>
      <c r="M2095" s="164" t="str">
        <f ca="1">IFERROR(__xludf.DUMMYFUNCTION("""COMPUTED_VALUE"""),"SERVICEABLE")</f>
        <v>SERVICEABLE</v>
      </c>
      <c r="N2095" s="164"/>
    </row>
    <row r="2096" spans="1:14" ht="13.2" hidden="1">
      <c r="A2096" s="164" t="str">
        <f ca="1">IFERROR(__xludf.DUMMYFUNCTION("""COMPUTED_VALUE"""),"REGION V")</f>
        <v>REGION V</v>
      </c>
      <c r="B2096" s="164" t="str">
        <f ca="1">IFERROR(__xludf.DUMMYFUNCTION("""COMPUTED_VALUE"""),"CAM. SUR 1")</f>
        <v>CAM. SUR 1</v>
      </c>
      <c r="C2096" s="164" t="str">
        <f ca="1">IFERROR(__xludf.DUMMYFUNCTION("""COMPUTED_VALUE"""),"Desktop Computer – (HP Pro SFF 280G9)")</f>
        <v>Desktop Computer – (HP Pro SFF 280G9)</v>
      </c>
      <c r="D2096" s="164" t="str">
        <f ca="1">IFERROR(__xludf.DUMMYFUNCTION("""COMPUTED_VALUE"""),"₱ 78,898.00")</f>
        <v>₱ 78,898.00</v>
      </c>
      <c r="E2096" s="164" t="str">
        <f ca="1">IFERROR(__xludf.DUMMYFUNCTION("""COMPUTED_VALUE"""),"₱ -")</f>
        <v>₱ -</v>
      </c>
      <c r="F2096" s="164" t="str">
        <f ca="1">IFERROR(__xludf.DUMMYFUNCTION("""COMPUTED_VALUE"""),"2023-05-03-1020SP107-01")</f>
        <v>2023-05-03-1020SP107-01</v>
      </c>
      <c r="G2096" s="164" t="str">
        <f ca="1">IFERROR(__xludf.DUMMYFUNCTION("""COMPUTED_VALUE"""),"4CE301DH65")</f>
        <v>4CE301DH65</v>
      </c>
      <c r="H2096" s="164" t="str">
        <f ca="1">IFERROR(__xludf.DUMMYFUNCTION("""COMPUTED_VALUE"""),"MARIA REBECCA R. TAROG")</f>
        <v>MARIA REBECCA R. TAROG</v>
      </c>
      <c r="I2096" s="164" t="str">
        <f ca="1">IFERROR(__xludf.DUMMYFUNCTION("""COMPUTED_VALUE"""),"OIC CARPO-LTSP /CS1 PROJECT SPLIT")</f>
        <v>OIC CARPO-LTSP /CS1 PROJECT SPLIT</v>
      </c>
      <c r="J2096" s="164" t="str">
        <f ca="1">IFERROR(__xludf.DUMMYFUNCTION("""COMPUTED_VALUE"""),"PAR NO: 2023-10-033(PS)")</f>
        <v>PAR NO: 2023-10-033(PS)</v>
      </c>
      <c r="K2096" s="164" t="str">
        <f ca="1">IFERROR(__xludf.DUMMYFUNCTION("""COMPUTED_VALUE"""),"ALDRIN S. DIAZ")</f>
        <v>ALDRIN S. DIAZ</v>
      </c>
      <c r="L2096" s="164" t="str">
        <f ca="1">IFERROR(__xludf.DUMMYFUNCTION("""COMPUTED_VALUE"""),"PROVINCIAL VALIDATOR - PROJECT SPLIT")</f>
        <v>PROVINCIAL VALIDATOR - PROJECT SPLIT</v>
      </c>
      <c r="M2096" s="164" t="str">
        <f ca="1">IFERROR(__xludf.DUMMYFUNCTION("""COMPUTED_VALUE"""),"SERVICEABLE")</f>
        <v>SERVICEABLE</v>
      </c>
      <c r="N2096" s="164"/>
    </row>
    <row r="2097" spans="1:14" ht="13.2" hidden="1">
      <c r="A2097" s="164" t="str">
        <f ca="1">IFERROR(__xludf.DUMMYFUNCTION("""COMPUTED_VALUE"""),"REGION V")</f>
        <v>REGION V</v>
      </c>
      <c r="B2097" s="164" t="str">
        <f ca="1">IFERROR(__xludf.DUMMYFUNCTION("""COMPUTED_VALUE"""),"CAM. SUR 1")</f>
        <v>CAM. SUR 1</v>
      </c>
      <c r="C2097" s="164" t="str">
        <f ca="1">IFERROR(__xludf.DUMMYFUNCTION("""COMPUTED_VALUE"""),"Desktop Computer – (HP Pro SFF 280G9)")</f>
        <v>Desktop Computer – (HP Pro SFF 280G9)</v>
      </c>
      <c r="D2097" s="164" t="str">
        <f ca="1">IFERROR(__xludf.DUMMYFUNCTION("""COMPUTED_VALUE"""),"₱ 78,898.00")</f>
        <v>₱ 78,898.00</v>
      </c>
      <c r="E2097" s="164" t="str">
        <f ca="1">IFERROR(__xludf.DUMMYFUNCTION("""COMPUTED_VALUE"""),"₱ -")</f>
        <v>₱ -</v>
      </c>
      <c r="F2097" s="164" t="str">
        <f ca="1">IFERROR(__xludf.DUMMYFUNCTION("""COMPUTED_VALUE"""),"2023-05-03-1020SP108-01")</f>
        <v>2023-05-03-1020SP108-01</v>
      </c>
      <c r="G2097" s="164" t="str">
        <f ca="1">IFERROR(__xludf.DUMMYFUNCTION("""COMPUTED_VALUE"""),"4CE301DSNH")</f>
        <v>4CE301DSNH</v>
      </c>
      <c r="H2097" s="164" t="str">
        <f ca="1">IFERROR(__xludf.DUMMYFUNCTION("""COMPUTED_VALUE"""),"MARIA REBECCA R. TAROG")</f>
        <v>MARIA REBECCA R. TAROG</v>
      </c>
      <c r="I2097" s="164" t="str">
        <f ca="1">IFERROR(__xludf.DUMMYFUNCTION("""COMPUTED_VALUE"""),"OIC CARPO-LTSP /CS1 PROJECT SPLIT")</f>
        <v>OIC CARPO-LTSP /CS1 PROJECT SPLIT</v>
      </c>
      <c r="J2097" s="164" t="str">
        <f ca="1">IFERROR(__xludf.DUMMYFUNCTION("""COMPUTED_VALUE"""),"PAR NO: 2023-10-034(PS)")</f>
        <v>PAR NO: 2023-10-034(PS)</v>
      </c>
      <c r="K2097" s="164" t="str">
        <f ca="1">IFERROR(__xludf.DUMMYFUNCTION("""COMPUTED_VALUE"""),"MIKE ANGELOW G. ESPERA")</f>
        <v>MIKE ANGELOW G. ESPERA</v>
      </c>
      <c r="L2097" s="164" t="str">
        <f ca="1">IFERROR(__xludf.DUMMYFUNCTION("""COMPUTED_VALUE"""),"PROVINCIAL PROCESSOR - PROJECT SPLIT")</f>
        <v>PROVINCIAL PROCESSOR - PROJECT SPLIT</v>
      </c>
      <c r="M2097" s="164" t="str">
        <f ca="1">IFERROR(__xludf.DUMMYFUNCTION("""COMPUTED_VALUE"""),"SERVICEABLE")</f>
        <v>SERVICEABLE</v>
      </c>
      <c r="N2097" s="164"/>
    </row>
    <row r="2098" spans="1:14" ht="13.2" hidden="1">
      <c r="A2098" s="164" t="str">
        <f ca="1">IFERROR(__xludf.DUMMYFUNCTION("""COMPUTED_VALUE"""),"REGION V")</f>
        <v>REGION V</v>
      </c>
      <c r="B2098" s="164" t="str">
        <f ca="1">IFERROR(__xludf.DUMMYFUNCTION("""COMPUTED_VALUE"""),"CAM. SUR 1")</f>
        <v>CAM. SUR 1</v>
      </c>
      <c r="C2098" s="164" t="str">
        <f ca="1">IFERROR(__xludf.DUMMYFUNCTION("""COMPUTED_VALUE"""),"Desktop Computer – (HP Pro SFF 280G9)")</f>
        <v>Desktop Computer – (HP Pro SFF 280G9)</v>
      </c>
      <c r="D2098" s="164" t="str">
        <f ca="1">IFERROR(__xludf.DUMMYFUNCTION("""COMPUTED_VALUE"""),"₱ 78,898.00")</f>
        <v>₱ 78,898.00</v>
      </c>
      <c r="E2098" s="164" t="str">
        <f ca="1">IFERROR(__xludf.DUMMYFUNCTION("""COMPUTED_VALUE"""),"₱ -")</f>
        <v>₱ -</v>
      </c>
      <c r="F2098" s="164" t="str">
        <f ca="1">IFERROR(__xludf.DUMMYFUNCTION("""COMPUTED_VALUE"""),"2023-05-03-1020SP109-01")</f>
        <v>2023-05-03-1020SP109-01</v>
      </c>
      <c r="G2098" s="164" t="str">
        <f ca="1">IFERROR(__xludf.DUMMYFUNCTION("""COMPUTED_VALUE"""),"4CE301DSK0")</f>
        <v>4CE301DSK0</v>
      </c>
      <c r="H2098" s="164" t="str">
        <f ca="1">IFERROR(__xludf.DUMMYFUNCTION("""COMPUTED_VALUE"""),"MARIA REBECCA R. TAROG")</f>
        <v>MARIA REBECCA R. TAROG</v>
      </c>
      <c r="I2098" s="164" t="str">
        <f ca="1">IFERROR(__xludf.DUMMYFUNCTION("""COMPUTED_VALUE"""),"OIC CARPO-LTSP /CS1 PROJECT SPLIT")</f>
        <v>OIC CARPO-LTSP /CS1 PROJECT SPLIT</v>
      </c>
      <c r="J2098" s="164" t="str">
        <f ca="1">IFERROR(__xludf.DUMMYFUNCTION("""COMPUTED_VALUE"""),"PAR NO: 2023-10-035(PS)")</f>
        <v>PAR NO: 2023-10-035(PS)</v>
      </c>
      <c r="K2098" s="164" t="str">
        <f ca="1">IFERROR(__xludf.DUMMYFUNCTION("""COMPUTED_VALUE"""),"STEFFANY ANNE M. RINGANATE")</f>
        <v>STEFFANY ANNE M. RINGANATE</v>
      </c>
      <c r="L2098" s="164" t="str">
        <f ca="1">IFERROR(__xludf.DUMMYFUNCTION("""COMPUTED_VALUE"""),"PROVINCIAL PROCESSOR - PROJECT SPLIT")</f>
        <v>PROVINCIAL PROCESSOR - PROJECT SPLIT</v>
      </c>
      <c r="M2098" s="164" t="str">
        <f ca="1">IFERROR(__xludf.DUMMYFUNCTION("""COMPUTED_VALUE"""),"SERVICEABLE")</f>
        <v>SERVICEABLE</v>
      </c>
      <c r="N2098" s="164"/>
    </row>
    <row r="2099" spans="1:14" ht="13.2" hidden="1">
      <c r="A2099" s="164" t="str">
        <f ca="1">IFERROR(__xludf.DUMMYFUNCTION("""COMPUTED_VALUE"""),"REGION V")</f>
        <v>REGION V</v>
      </c>
      <c r="B2099" s="164" t="str">
        <f ca="1">IFERROR(__xludf.DUMMYFUNCTION("""COMPUTED_VALUE"""),"CAM. SUR 1")</f>
        <v>CAM. SUR 1</v>
      </c>
      <c r="C2099" s="164" t="str">
        <f ca="1">IFERROR(__xludf.DUMMYFUNCTION("""COMPUTED_VALUE"""),"Desktop Computer – (HP Pro SFF 280G9)")</f>
        <v>Desktop Computer – (HP Pro SFF 280G9)</v>
      </c>
      <c r="D2099" s="164" t="str">
        <f ca="1">IFERROR(__xludf.DUMMYFUNCTION("""COMPUTED_VALUE"""),"₱ 78,898.00")</f>
        <v>₱ 78,898.00</v>
      </c>
      <c r="E2099" s="164" t="str">
        <f ca="1">IFERROR(__xludf.DUMMYFUNCTION("""COMPUTED_VALUE"""),"₱ -")</f>
        <v>₱ -</v>
      </c>
      <c r="F2099" s="164" t="str">
        <f ca="1">IFERROR(__xludf.DUMMYFUNCTION("""COMPUTED_VALUE"""),"2023-05-03-1020SP114-01")</f>
        <v>2023-05-03-1020SP114-01</v>
      </c>
      <c r="G2099" s="164" t="str">
        <f ca="1">IFERROR(__xludf.DUMMYFUNCTION("""COMPUTED_VALUE"""),"4CE301DSM6")</f>
        <v>4CE301DSM6</v>
      </c>
      <c r="H2099" s="164" t="str">
        <f ca="1">IFERROR(__xludf.DUMMYFUNCTION("""COMPUTED_VALUE"""),"MARIA REBECCA R. TAROG")</f>
        <v>MARIA REBECCA R. TAROG</v>
      </c>
      <c r="I2099" s="164" t="str">
        <f ca="1">IFERROR(__xludf.DUMMYFUNCTION("""COMPUTED_VALUE"""),"OIC CARPO-LTSP /CS1 PROJECT SPLIT")</f>
        <v>OIC CARPO-LTSP /CS1 PROJECT SPLIT</v>
      </c>
      <c r="J2099" s="164" t="str">
        <f ca="1">IFERROR(__xludf.DUMMYFUNCTION("""COMPUTED_VALUE"""),"PAR NO: 2023-10-036(PS)")</f>
        <v>PAR NO: 2023-10-036(PS)</v>
      </c>
      <c r="K2099" s="164" t="str">
        <f ca="1">IFERROR(__xludf.DUMMYFUNCTION("""COMPUTED_VALUE"""),"HYLENE ROSE D. BARNEDO")</f>
        <v>HYLENE ROSE D. BARNEDO</v>
      </c>
      <c r="L2099" s="164" t="str">
        <f ca="1">IFERROR(__xludf.DUMMYFUNCTION("""COMPUTED_VALUE"""),"PROVINCIAL PROCESSOR - PROJECT SPLIT")</f>
        <v>PROVINCIAL PROCESSOR - PROJECT SPLIT</v>
      </c>
      <c r="M2099" s="164" t="str">
        <f ca="1">IFERROR(__xludf.DUMMYFUNCTION("""COMPUTED_VALUE"""),"SERVICEABLE")</f>
        <v>SERVICEABLE</v>
      </c>
      <c r="N2099" s="164"/>
    </row>
    <row r="2100" spans="1:14" ht="13.2" hidden="1">
      <c r="A2100" s="164" t="str">
        <f ca="1">IFERROR(__xludf.DUMMYFUNCTION("""COMPUTED_VALUE"""),"REGION V")</f>
        <v>REGION V</v>
      </c>
      <c r="B2100" s="164" t="str">
        <f ca="1">IFERROR(__xludf.DUMMYFUNCTION("""COMPUTED_VALUE"""),"CAM. SUR 1")</f>
        <v>CAM. SUR 1</v>
      </c>
      <c r="C2100" s="164" t="str">
        <f ca="1">IFERROR(__xludf.DUMMYFUNCTION("""COMPUTED_VALUE"""),"Desktop Computer – (HP Pro SFF 280G9)")</f>
        <v>Desktop Computer – (HP Pro SFF 280G9)</v>
      </c>
      <c r="D2100" s="164" t="str">
        <f ca="1">IFERROR(__xludf.DUMMYFUNCTION("""COMPUTED_VALUE"""),"₱ 78,898.00")</f>
        <v>₱ 78,898.00</v>
      </c>
      <c r="E2100" s="164" t="str">
        <f ca="1">IFERROR(__xludf.DUMMYFUNCTION("""COMPUTED_VALUE"""),"₱ -")</f>
        <v>₱ -</v>
      </c>
      <c r="F2100" s="164" t="str">
        <f ca="1">IFERROR(__xludf.DUMMYFUNCTION("""COMPUTED_VALUE"""),"2023-05-03-1020SP115-01")</f>
        <v>2023-05-03-1020SP115-01</v>
      </c>
      <c r="G2100" s="164" t="str">
        <f ca="1">IFERROR(__xludf.DUMMYFUNCTION("""COMPUTED_VALUE"""),"4CE301DH5G")</f>
        <v>4CE301DH5G</v>
      </c>
      <c r="H2100" s="164" t="str">
        <f ca="1">IFERROR(__xludf.DUMMYFUNCTION("""COMPUTED_VALUE"""),"MARIA REBECCA R. TAROG")</f>
        <v>MARIA REBECCA R. TAROG</v>
      </c>
      <c r="I2100" s="164" t="str">
        <f ca="1">IFERROR(__xludf.DUMMYFUNCTION("""COMPUTED_VALUE"""),"OIC CARPO-LTSP /CS1 PROJECT SPLIT")</f>
        <v>OIC CARPO-LTSP /CS1 PROJECT SPLIT</v>
      </c>
      <c r="J2100" s="164" t="str">
        <f ca="1">IFERROR(__xludf.DUMMYFUNCTION("""COMPUTED_VALUE"""),"PAR NO: 2023-10-037(PS)")</f>
        <v>PAR NO: 2023-10-037(PS)</v>
      </c>
      <c r="K2100" s="164" t="str">
        <f ca="1">IFERROR(__xludf.DUMMYFUNCTION("""COMPUTED_VALUE"""),"MA. ANGELICA S. MANALO")</f>
        <v>MA. ANGELICA S. MANALO</v>
      </c>
      <c r="L2100" s="164" t="str">
        <f ca="1">IFERROR(__xludf.DUMMYFUNCTION("""COMPUTED_VALUE"""),"PROVINCIAL VALIDATOR - PROJECT SPLIT")</f>
        <v>PROVINCIAL VALIDATOR - PROJECT SPLIT</v>
      </c>
      <c r="M2100" s="164" t="str">
        <f ca="1">IFERROR(__xludf.DUMMYFUNCTION("""COMPUTED_VALUE"""),"SERVICEABLE")</f>
        <v>SERVICEABLE</v>
      </c>
      <c r="N2100" s="164"/>
    </row>
    <row r="2101" spans="1:14" ht="13.2" hidden="1">
      <c r="A2101" s="164" t="str">
        <f ca="1">IFERROR(__xludf.DUMMYFUNCTION("""COMPUTED_VALUE"""),"REGION V")</f>
        <v>REGION V</v>
      </c>
      <c r="B2101" s="164" t="str">
        <f ca="1">IFERROR(__xludf.DUMMYFUNCTION("""COMPUTED_VALUE"""),"CAM. SUR 1")</f>
        <v>CAM. SUR 1</v>
      </c>
      <c r="C2101" s="164" t="str">
        <f ca="1">IFERROR(__xludf.DUMMYFUNCTION("""COMPUTED_VALUE"""),"A3 PRINTER (BROTHER)")</f>
        <v>A3 PRINTER (BROTHER)</v>
      </c>
      <c r="D2101" s="164" t="str">
        <f ca="1">IFERROR(__xludf.DUMMYFUNCTION("""COMPUTED_VALUE"""),"₱ 33,508.00")</f>
        <v>₱ 33,508.00</v>
      </c>
      <c r="E2101" s="164" t="str">
        <f ca="1">IFERROR(__xludf.DUMMYFUNCTION("""COMPUTED_VALUE"""),"₱ -")</f>
        <v>₱ -</v>
      </c>
      <c r="F2101" s="164" t="str">
        <f ca="1">IFERROR(__xludf.DUMMYFUNCTION("""COMPUTED_VALUE"""),"HV-SPLIT-10224-05-04-33")</f>
        <v>HV-SPLIT-10224-05-04-33</v>
      </c>
      <c r="G2101" s="164" t="str">
        <f ca="1">IFERROR(__xludf.DUMMYFUNCTION("""COMPUTED_VALUE"""),"E78947L3H871387")</f>
        <v>E78947L3H871387</v>
      </c>
      <c r="H2101" s="164" t="str">
        <f ca="1">IFERROR(__xludf.DUMMYFUNCTION("""COMPUTED_VALUE"""),"MARIA REBECCA R. TAROG")</f>
        <v>MARIA REBECCA R. TAROG</v>
      </c>
      <c r="I2101" s="164" t="str">
        <f ca="1">IFERROR(__xludf.DUMMYFUNCTION("""COMPUTED_VALUE"""),"OIC CARPO-LTSP /CS1 PROJECT SPLIT")</f>
        <v>OIC CARPO-LTSP /CS1 PROJECT SPLIT</v>
      </c>
      <c r="J2101" s="164" t="str">
        <f ca="1">IFERROR(__xludf.DUMMYFUNCTION("""COMPUTED_VALUE"""),"ICS NO: 2024-03-005(PS)")</f>
        <v>ICS NO: 2024-03-005(PS)</v>
      </c>
      <c r="K2101" s="164" t="str">
        <f ca="1">IFERROR(__xludf.DUMMYFUNCTION("""COMPUTED_VALUE"""),"TED LAWRENCE B. TUY")</f>
        <v>TED LAWRENCE B. TUY</v>
      </c>
      <c r="L2101" s="164" t="str">
        <f ca="1">IFERROR(__xludf.DUMMYFUNCTION("""COMPUTED_VALUE"""),"LEGAL OFFICER")</f>
        <v>LEGAL OFFICER</v>
      </c>
      <c r="M2101" s="164" t="str">
        <f ca="1">IFERROR(__xludf.DUMMYFUNCTION("""COMPUTED_VALUE"""),"SERVICEABLE")</f>
        <v>SERVICEABLE</v>
      </c>
      <c r="N2101" s="164"/>
    </row>
    <row r="2102" spans="1:14" ht="13.2" hidden="1">
      <c r="A2102" s="164" t="str">
        <f ca="1">IFERROR(__xludf.DUMMYFUNCTION("""COMPUTED_VALUE"""),"REGION V")</f>
        <v>REGION V</v>
      </c>
      <c r="B2102" s="164" t="str">
        <f ca="1">IFERROR(__xludf.DUMMYFUNCTION("""COMPUTED_VALUE"""),"CAM. SUR 1")</f>
        <v>CAM. SUR 1</v>
      </c>
      <c r="C2102" s="164" t="str">
        <f ca="1">IFERROR(__xludf.DUMMYFUNCTION("""COMPUTED_VALUE"""),"Photocopier Machine – Kyocera")</f>
        <v>Photocopier Machine – Kyocera</v>
      </c>
      <c r="D2102" s="164" t="str">
        <f ca="1">IFERROR(__xludf.DUMMYFUNCTION("""COMPUTED_VALUE"""),"₱ 84,500.00")</f>
        <v>₱ 84,500.00</v>
      </c>
      <c r="E2102" s="164" t="str">
        <f ca="1">IFERROR(__xludf.DUMMYFUNCTION("""COMPUTED_VALUE"""),"₱ -")</f>
        <v>₱ -</v>
      </c>
      <c r="F2102" s="164" t="str">
        <f ca="1">IFERROR(__xludf.DUMMYFUNCTION("""COMPUTED_VALUE"""),"2022-05-02-10202SP40-02")</f>
        <v>2022-05-02-10202SP40-02</v>
      </c>
      <c r="G2102" s="164" t="str">
        <f ca="1">IFERROR(__xludf.DUMMYFUNCTION("""COMPUTED_VALUE"""),"RNK2700196")</f>
        <v>RNK2700196</v>
      </c>
      <c r="H2102" s="164" t="str">
        <f ca="1">IFERROR(__xludf.DUMMYFUNCTION("""COMPUTED_VALUE"""),"MARIA REBECCA R. TAROG")</f>
        <v>MARIA REBECCA R. TAROG</v>
      </c>
      <c r="I2102" s="164" t="str">
        <f ca="1">IFERROR(__xludf.DUMMYFUNCTION("""COMPUTED_VALUE"""),"OIC CARPO-LTSP /CS1 PROJECT SPLIT")</f>
        <v>OIC CARPO-LTSP /CS1 PROJECT SPLIT</v>
      </c>
      <c r="J2102" s="164" t="str">
        <f ca="1">IFERROR(__xludf.DUMMYFUNCTION("""COMPUTED_VALUE"""),"PAR NO: 2023-10-001 (PS)")</f>
        <v>PAR NO: 2023-10-001 (PS)</v>
      </c>
      <c r="K2102" s="164" t="str">
        <f ca="1">IFERROR(__xludf.DUMMYFUNCTION("""COMPUTED_VALUE"""),"MARIA REBECCA R. TAROG")</f>
        <v>MARIA REBECCA R. TAROG</v>
      </c>
      <c r="L2102" s="164" t="str">
        <f ca="1">IFERROR(__xludf.DUMMYFUNCTION("""COMPUTED_VALUE"""),"OIC CARPO-LTSP /CS1 PROJECT SPLIT")</f>
        <v>OIC CARPO-LTSP /CS1 PROJECT SPLIT</v>
      </c>
      <c r="M2102" s="164" t="str">
        <f ca="1">IFERROR(__xludf.DUMMYFUNCTION("""COMPUTED_VALUE"""),"SERVICEABLE")</f>
        <v>SERVICEABLE</v>
      </c>
      <c r="N2102" s="164"/>
    </row>
    <row r="2103" spans="1:14" ht="13.2" hidden="1">
      <c r="A2103" s="164" t="str">
        <f ca="1">IFERROR(__xludf.DUMMYFUNCTION("""COMPUTED_VALUE"""),"REGION V")</f>
        <v>REGION V</v>
      </c>
      <c r="B2103" s="164" t="str">
        <f ca="1">IFERROR(__xludf.DUMMYFUNCTION("""COMPUTED_VALUE"""),"CAM. SUR 1")</f>
        <v>CAM. SUR 1</v>
      </c>
      <c r="C2103" s="164" t="str">
        <f ca="1">IFERROR(__xludf.DUMMYFUNCTION("""COMPUTED_VALUE"""),"HANDHELD GPS – MODEL P6")</f>
        <v>HANDHELD GPS – MODEL P6</v>
      </c>
      <c r="D2103" s="164" t="str">
        <f ca="1">IFERROR(__xludf.DUMMYFUNCTION("""COMPUTED_VALUE"""),"₱ 79,000.00")</f>
        <v>₱ 79,000.00</v>
      </c>
      <c r="E2103" s="164" t="str">
        <f ca="1">IFERROR(__xludf.DUMMYFUNCTION("""COMPUTED_VALUE"""),"₱ -")</f>
        <v>₱ -</v>
      </c>
      <c r="F2103" s="164" t="str">
        <f ca="1">IFERROR(__xludf.DUMMYFUNCTION("""COMPUTED_VALUE"""),"2023-05-014-10201SP04-01")</f>
        <v>2023-05-014-10201SP04-01</v>
      </c>
      <c r="G2103" s="164" t="str">
        <f ca="1">IFERROR(__xludf.DUMMYFUNCTION("""COMPUTED_VALUE"""),"SERIAL NO. - 10730085")</f>
        <v>SERIAL NO. - 10730085</v>
      </c>
      <c r="H2103" s="164" t="str">
        <f ca="1">IFERROR(__xludf.DUMMYFUNCTION("""COMPUTED_VALUE"""),"MA. ELIZABETH N. ARCILLA")</f>
        <v>MA. ELIZABETH N. ARCILLA</v>
      </c>
      <c r="I2103" s="164" t="str">
        <f ca="1">IFERROR(__xludf.DUMMYFUNCTION("""COMPUTED_VALUE"""),"SARPO - LTSP/CHIEF, SURVEY")</f>
        <v>SARPO - LTSP/CHIEF, SURVEY</v>
      </c>
      <c r="J2103" s="164" t="str">
        <f ca="1">IFERROR(__xludf.DUMMYFUNCTION("""COMPUTED_VALUE"""),"PAR NO: 2023-10-12(PS)")</f>
        <v>PAR NO: 2023-10-12(PS)</v>
      </c>
      <c r="K2103" s="164" t="str">
        <f ca="1">IFERROR(__xludf.DUMMYFUNCTION("""COMPUTED_VALUE"""),"MA. ELIZABETH N. ARCILLA")</f>
        <v>MA. ELIZABETH N. ARCILLA</v>
      </c>
      <c r="L2103" s="164" t="str">
        <f ca="1">IFERROR(__xludf.DUMMYFUNCTION("""COMPUTED_VALUE"""),"SARPO - LTSP/CHIEF, SURVEY")</f>
        <v>SARPO - LTSP/CHIEF, SURVEY</v>
      </c>
      <c r="M2103" s="164" t="str">
        <f ca="1">IFERROR(__xludf.DUMMYFUNCTION("""COMPUTED_VALUE"""),"SERVICEABLE")</f>
        <v>SERVICEABLE</v>
      </c>
      <c r="N2103" s="164"/>
    </row>
    <row r="2104" spans="1:14" ht="13.2" hidden="1">
      <c r="A2104" s="164" t="str">
        <f ca="1">IFERROR(__xludf.DUMMYFUNCTION("""COMPUTED_VALUE"""),"REGION V")</f>
        <v>REGION V</v>
      </c>
      <c r="B2104" s="164" t="str">
        <f ca="1">IFERROR(__xludf.DUMMYFUNCTION("""COMPUTED_VALUE"""),"CAM. SUR 1")</f>
        <v>CAM. SUR 1</v>
      </c>
      <c r="C2104" s="164" t="str">
        <f ca="1">IFERROR(__xludf.DUMMYFUNCTION("""COMPUTED_VALUE"""),"TOTAL STATION – GEOMAX TOTAL STATION ZOOM 50")</f>
        <v>TOTAL STATION – GEOMAX TOTAL STATION ZOOM 50</v>
      </c>
      <c r="D2104" s="164" t="str">
        <f ca="1">IFERROR(__xludf.DUMMYFUNCTION("""COMPUTED_VALUE"""),"₱ 648,000.00")</f>
        <v>₱ 648,000.00</v>
      </c>
      <c r="E2104" s="164" t="str">
        <f ca="1">IFERROR(__xludf.DUMMYFUNCTION("""COMPUTED_VALUE"""),"₱ -")</f>
        <v>₱ -</v>
      </c>
      <c r="F2104" s="164" t="str">
        <f ca="1">IFERROR(__xludf.DUMMYFUNCTION("""COMPUTED_VALUE"""),"2023-05-14- 10201SP04-01")</f>
        <v>2023-05-14- 10201SP04-01</v>
      </c>
      <c r="G2104" s="164" t="str">
        <f ca="1">IFERROR(__xludf.DUMMYFUNCTION("""COMPUTED_VALUE"""),"SN2839786")</f>
        <v>SN2839786</v>
      </c>
      <c r="H2104" s="164" t="str">
        <f ca="1">IFERROR(__xludf.DUMMYFUNCTION("""COMPUTED_VALUE"""),"MA. ELIZABETH N. ARCILLA")</f>
        <v>MA. ELIZABETH N. ARCILLA</v>
      </c>
      <c r="I2104" s="164" t="str">
        <f ca="1">IFERROR(__xludf.DUMMYFUNCTION("""COMPUTED_VALUE"""),"SARPO - LTSP/CHIEF, SURVEY")</f>
        <v>SARPO - LTSP/CHIEF, SURVEY</v>
      </c>
      <c r="J2104" s="164" t="str">
        <f ca="1">IFERROR(__xludf.DUMMYFUNCTION("""COMPUTED_VALUE"""),"PAR NO: 2023-10-13(PS)")</f>
        <v>PAR NO: 2023-10-13(PS)</v>
      </c>
      <c r="K2104" s="164" t="str">
        <f ca="1">IFERROR(__xludf.DUMMYFUNCTION("""COMPUTED_VALUE"""),"MA. ELIZABETH N. ARCILLA")</f>
        <v>MA. ELIZABETH N. ARCILLA</v>
      </c>
      <c r="L2104" s="164" t="str">
        <f ca="1">IFERROR(__xludf.DUMMYFUNCTION("""COMPUTED_VALUE"""),"SARPO - LTSP/CHIEF, SURVEY")</f>
        <v>SARPO - LTSP/CHIEF, SURVEY</v>
      </c>
      <c r="M2104" s="164" t="str">
        <f ca="1">IFERROR(__xludf.DUMMYFUNCTION("""COMPUTED_VALUE"""),"SERVICEABLE")</f>
        <v>SERVICEABLE</v>
      </c>
      <c r="N2104" s="164"/>
    </row>
    <row r="2105" spans="1:14" ht="13.2" hidden="1">
      <c r="A2105" s="164" t="str">
        <f ca="1">IFERROR(__xludf.DUMMYFUNCTION("""COMPUTED_VALUE"""),"REGION V")</f>
        <v>REGION V</v>
      </c>
      <c r="B2105" s="164" t="str">
        <f ca="1">IFERROR(__xludf.DUMMYFUNCTION("""COMPUTED_VALUE"""),"CAM. SUR 1")</f>
        <v>CAM. SUR 1</v>
      </c>
      <c r="C2105" s="164" t="str">
        <f ca="1">IFERROR(__xludf.DUMMYFUNCTION("""COMPUTED_VALUE"""),"REAL-TIME KINEMATIC – GEOMAX ZENITH60")</f>
        <v>REAL-TIME KINEMATIC – GEOMAX ZENITH60</v>
      </c>
      <c r="D2105" s="164" t="str">
        <f ca="1">IFERROR(__xludf.DUMMYFUNCTION("""COMPUTED_VALUE"""),"₱ 1,849,000.00")</f>
        <v>₱ 1,849,000.00</v>
      </c>
      <c r="E2105" s="164" t="str">
        <f ca="1">IFERROR(__xludf.DUMMYFUNCTION("""COMPUTED_VALUE"""),"₱ -")</f>
        <v>₱ -</v>
      </c>
      <c r="F2105" s="164" t="str">
        <f ca="1">IFERROR(__xludf.DUMMYFUNCTION("""COMPUTED_VALUE"""),"2023-05-14-10201SP04-01")</f>
        <v>2023-05-14-10201SP04-01</v>
      </c>
      <c r="G2105" s="164" t="str">
        <f ca="1">IFERROR(__xludf.DUMMYFUNCTION("""COMPUTED_VALUE"""),"260ST272200445")</f>
        <v>260ST272200445</v>
      </c>
      <c r="H2105" s="164" t="str">
        <f ca="1">IFERROR(__xludf.DUMMYFUNCTION("""COMPUTED_VALUE"""),"MA. ELIZABETH N. ARCILLA")</f>
        <v>MA. ELIZABETH N. ARCILLA</v>
      </c>
      <c r="I2105" s="164" t="str">
        <f ca="1">IFERROR(__xludf.DUMMYFUNCTION("""COMPUTED_VALUE"""),"SARPO - LTSP/CHIEF, SURVEY")</f>
        <v>SARPO - LTSP/CHIEF, SURVEY</v>
      </c>
      <c r="J2105" s="164" t="str">
        <f ca="1">IFERROR(__xludf.DUMMYFUNCTION("""COMPUTED_VALUE"""),"PAR NO: 2023-10-14(PS)")</f>
        <v>PAR NO: 2023-10-14(PS)</v>
      </c>
      <c r="K2105" s="164" t="str">
        <f ca="1">IFERROR(__xludf.DUMMYFUNCTION("""COMPUTED_VALUE"""),"MA. ELIZABETH N. ARCILLA")</f>
        <v>MA. ELIZABETH N. ARCILLA</v>
      </c>
      <c r="L2105" s="164" t="str">
        <f ca="1">IFERROR(__xludf.DUMMYFUNCTION("""COMPUTED_VALUE"""),"SARPO - LTSP/CHIEF, SURVEY")</f>
        <v>SARPO - LTSP/CHIEF, SURVEY</v>
      </c>
      <c r="M2105" s="164" t="str">
        <f ca="1">IFERROR(__xludf.DUMMYFUNCTION("""COMPUTED_VALUE"""),"SERVICEABLE")</f>
        <v>SERVICEABLE</v>
      </c>
      <c r="N2105" s="164"/>
    </row>
    <row r="2106" spans="1:14" ht="13.2" hidden="1">
      <c r="A2106" s="164" t="str">
        <f ca="1">IFERROR(__xludf.DUMMYFUNCTION("""COMPUTED_VALUE"""),"REGION V")</f>
        <v>REGION V</v>
      </c>
      <c r="B2106" s="164" t="str">
        <f ca="1">IFERROR(__xludf.DUMMYFUNCTION("""COMPUTED_VALUE"""),"CAMRINES SUR II")</f>
        <v>CAMRINES SUR II</v>
      </c>
      <c r="C2106" s="164" t="str">
        <f ca="1">IFERROR(__xludf.DUMMYFUNCTION("""COMPUTED_VALUE"""),"REAL-TIME KINEMATIC – GEOMAX ZENITH60")</f>
        <v>REAL-TIME KINEMATIC – GEOMAX ZENITH60</v>
      </c>
      <c r="D2106" s="164" t="str">
        <f ca="1">IFERROR(__xludf.DUMMYFUNCTION("""COMPUTED_VALUE"""),"₱ 1,849,000.00")</f>
        <v>₱ 1,849,000.00</v>
      </c>
      <c r="E2106" s="164" t="str">
        <f ca="1">IFERROR(__xludf.DUMMYFUNCTION("""COMPUTED_VALUE"""),"₱ -")</f>
        <v>₱ -</v>
      </c>
      <c r="F2106" s="164" t="str">
        <f ca="1">IFERROR(__xludf.DUMMYFUNCTION("""COMPUTED_VALUE"""),"2023-05-14-10201SP05-01")</f>
        <v>2023-05-14-10201SP05-01</v>
      </c>
      <c r="G2106" s="164" t="str">
        <f ca="1">IFERROR(__xludf.DUMMYFUNCTION("""COMPUTED_VALUE"""),"SN-Z6OST272200435")</f>
        <v>SN-Z6OST272200435</v>
      </c>
      <c r="H2106" s="164" t="str">
        <f ca="1">IFERROR(__xludf.DUMMYFUNCTION("""COMPUTED_VALUE"""),"ENGR. RENATO C. BEQUILLO")</f>
        <v>ENGR. RENATO C. BEQUILLO</v>
      </c>
      <c r="I2106" s="164" t="str">
        <f ca="1">IFERROR(__xludf.DUMMYFUNCTION("""COMPUTED_VALUE"""),"PARPO II")</f>
        <v>PARPO II</v>
      </c>
      <c r="J2106" s="164" t="str">
        <f ca="1">IFERROR(__xludf.DUMMYFUNCTION("""COMPUTED_VALUE"""),"LTID SPLIT-2023-044")</f>
        <v>LTID SPLIT-2023-044</v>
      </c>
      <c r="K2106" s="164" t="str">
        <f ca="1">IFERROR(__xludf.DUMMYFUNCTION("""COMPUTED_VALUE"""),"ENGR. MARIBEL TEODONES")</f>
        <v>ENGR. MARIBEL TEODONES</v>
      </c>
      <c r="L2106" s="164" t="str">
        <f ca="1">IFERROR(__xludf.DUMMYFUNCTION("""COMPUTED_VALUE"""),"SURVEY OFFICE")</f>
        <v>SURVEY OFFICE</v>
      </c>
      <c r="M2106" s="164" t="str">
        <f ca="1">IFERROR(__xludf.DUMMYFUNCTION("""COMPUTED_VALUE"""),"SERVICEABLE")</f>
        <v>SERVICEABLE</v>
      </c>
      <c r="N2106" s="164"/>
    </row>
    <row r="2107" spans="1:14" ht="13.2" hidden="1">
      <c r="A2107" s="164" t="str">
        <f ca="1">IFERROR(__xludf.DUMMYFUNCTION("""COMPUTED_VALUE"""),"REGION V")</f>
        <v>REGION V</v>
      </c>
      <c r="B2107" s="164" t="str">
        <f ca="1">IFERROR(__xludf.DUMMYFUNCTION("""COMPUTED_VALUE"""),"CAMRINES SUR II")</f>
        <v>CAMRINES SUR II</v>
      </c>
      <c r="C2107" s="164" t="str">
        <f ca="1">IFERROR(__xludf.DUMMYFUNCTION("""COMPUTED_VALUE"""),"TOTAL STATION – GEOMAX TOTAL STATION ZOOM 50")</f>
        <v>TOTAL STATION – GEOMAX TOTAL STATION ZOOM 50</v>
      </c>
      <c r="D2107" s="164" t="str">
        <f ca="1">IFERROR(__xludf.DUMMYFUNCTION("""COMPUTED_VALUE"""),"₱ 648,000.00")</f>
        <v>₱ 648,000.00</v>
      </c>
      <c r="E2107" s="164" t="str">
        <f ca="1">IFERROR(__xludf.DUMMYFUNCTION("""COMPUTED_VALUE"""),"₱ -")</f>
        <v>₱ -</v>
      </c>
      <c r="F2107" s="164" t="str">
        <f ca="1">IFERROR(__xludf.DUMMYFUNCTION("""COMPUTED_VALUE"""),"2023-05-14-10201SP05-01")</f>
        <v>2023-05-14-10201SP05-01</v>
      </c>
      <c r="G2107" s="164" t="str">
        <f ca="1">IFERROR(__xludf.DUMMYFUNCTION("""COMPUTED_VALUE"""),"SN-28396866")</f>
        <v>SN-28396866</v>
      </c>
      <c r="H2107" s="164" t="str">
        <f ca="1">IFERROR(__xludf.DUMMYFUNCTION("""COMPUTED_VALUE"""),"ENGR. RENATO C. BEQUILLO")</f>
        <v>ENGR. RENATO C. BEQUILLO</v>
      </c>
      <c r="I2107" s="164" t="str">
        <f ca="1">IFERROR(__xludf.DUMMYFUNCTION("""COMPUTED_VALUE"""),"PARPO II")</f>
        <v>PARPO II</v>
      </c>
      <c r="J2107" s="164" t="str">
        <f ca="1">IFERROR(__xludf.DUMMYFUNCTION("""COMPUTED_VALUE"""),"LTID SPLIT-2023-045")</f>
        <v>LTID SPLIT-2023-045</v>
      </c>
      <c r="K2107" s="164" t="str">
        <f ca="1">IFERROR(__xludf.DUMMYFUNCTION("""COMPUTED_VALUE"""),"ENGR. MARIBEL TEODONES")</f>
        <v>ENGR. MARIBEL TEODONES</v>
      </c>
      <c r="L2107" s="164" t="str">
        <f ca="1">IFERROR(__xludf.DUMMYFUNCTION("""COMPUTED_VALUE"""),"SURVEY OFFICE")</f>
        <v>SURVEY OFFICE</v>
      </c>
      <c r="M2107" s="164" t="str">
        <f ca="1">IFERROR(__xludf.DUMMYFUNCTION("""COMPUTED_VALUE"""),"SERVICEABLE")</f>
        <v>SERVICEABLE</v>
      </c>
      <c r="N2107" s="164"/>
    </row>
    <row r="2108" spans="1:14" ht="13.2" hidden="1">
      <c r="A2108" s="164" t="str">
        <f ca="1">IFERROR(__xludf.DUMMYFUNCTION("""COMPUTED_VALUE"""),"REGION V")</f>
        <v>REGION V</v>
      </c>
      <c r="B2108" s="164" t="str">
        <f ca="1">IFERROR(__xludf.DUMMYFUNCTION("""COMPUTED_VALUE"""),"CAMRINES SUR II")</f>
        <v>CAMRINES SUR II</v>
      </c>
      <c r="C2108" s="164" t="str">
        <f ca="1">IFERROR(__xludf.DUMMYFUNCTION("""COMPUTED_VALUE"""),"HANDHELD GPS – MODEL P6")</f>
        <v>HANDHELD GPS – MODEL P6</v>
      </c>
      <c r="D2108" s="164" t="str">
        <f ca="1">IFERROR(__xludf.DUMMYFUNCTION("""COMPUTED_VALUE"""),"₱ 79,000.00")</f>
        <v>₱ 79,000.00</v>
      </c>
      <c r="E2108" s="164" t="str">
        <f ca="1">IFERROR(__xludf.DUMMYFUNCTION("""COMPUTED_VALUE"""),"₱ -")</f>
        <v>₱ -</v>
      </c>
      <c r="F2108" s="164" t="str">
        <f ca="1">IFERROR(__xludf.DUMMYFUNCTION("""COMPUTED_VALUE"""),"2023-05-14-10201SP05-01")</f>
        <v>2023-05-14-10201SP05-01</v>
      </c>
      <c r="G2108" s="164" t="str">
        <f ca="1">IFERROR(__xludf.DUMMYFUNCTION("""COMPUTED_VALUE"""),"SN-SP10730028")</f>
        <v>SN-SP10730028</v>
      </c>
      <c r="H2108" s="164" t="str">
        <f ca="1">IFERROR(__xludf.DUMMYFUNCTION("""COMPUTED_VALUE"""),"ENGR. RENATO C. BEQUILLO")</f>
        <v>ENGR. RENATO C. BEQUILLO</v>
      </c>
      <c r="I2108" s="164" t="str">
        <f ca="1">IFERROR(__xludf.DUMMYFUNCTION("""COMPUTED_VALUE"""),"PARPO II")</f>
        <v>PARPO II</v>
      </c>
      <c r="J2108" s="164" t="str">
        <f ca="1">IFERROR(__xludf.DUMMYFUNCTION("""COMPUTED_VALUE"""),"LTID SPLIT-2023-046")</f>
        <v>LTID SPLIT-2023-046</v>
      </c>
      <c r="K2108" s="164" t="str">
        <f ca="1">IFERROR(__xludf.DUMMYFUNCTION("""COMPUTED_VALUE"""),"ENGR. MARIBEL TEODONES")</f>
        <v>ENGR. MARIBEL TEODONES</v>
      </c>
      <c r="L2108" s="164" t="str">
        <f ca="1">IFERROR(__xludf.DUMMYFUNCTION("""COMPUTED_VALUE"""),"SURVEY OFFICE")</f>
        <v>SURVEY OFFICE</v>
      </c>
      <c r="M2108" s="164" t="str">
        <f ca="1">IFERROR(__xludf.DUMMYFUNCTION("""COMPUTED_VALUE"""),"SERVICEABLE")</f>
        <v>SERVICEABLE</v>
      </c>
      <c r="N2108" s="164"/>
    </row>
    <row r="2109" spans="1:14" ht="13.2" hidden="1">
      <c r="A2109" s="164" t="str">
        <f ca="1">IFERROR(__xludf.DUMMYFUNCTION("""COMPUTED_VALUE"""),"REGION V")</f>
        <v>REGION V</v>
      </c>
      <c r="B2109" s="164" t="str">
        <f ca="1">IFERROR(__xludf.DUMMYFUNCTION("""COMPUTED_VALUE"""),"CAMRINES SUR II")</f>
        <v>CAMRINES SUR II</v>
      </c>
      <c r="C2109" s="164" t="str">
        <f ca="1">IFERROR(__xludf.DUMMYFUNCTION("""COMPUTED_VALUE"""),"Desktop Computer – (Lenovo M70T)")</f>
        <v>Desktop Computer – (Lenovo M70T)</v>
      </c>
      <c r="D2109" s="164" t="str">
        <f ca="1">IFERROR(__xludf.DUMMYFUNCTION("""COMPUTED_VALUE"""),"₱ 75,468.00")</f>
        <v>₱ 75,468.00</v>
      </c>
      <c r="E2109" s="164" t="str">
        <f ca="1">IFERROR(__xludf.DUMMYFUNCTION("""COMPUTED_VALUE"""),"₱ -")</f>
        <v>₱ -</v>
      </c>
      <c r="F2109" s="164" t="str">
        <f ca="1">IFERROR(__xludf.DUMMYFUNCTION("""COMPUTED_VALUE"""),"2023-05-03-10202SP1056-01")</f>
        <v>2023-05-03-10202SP1056-01</v>
      </c>
      <c r="G2109" s="164" t="str">
        <f ca="1">IFERROR(__xludf.DUMMYFUNCTION("""COMPUTED_VALUE"""),"SN-EL4322C02255")</f>
        <v>SN-EL4322C02255</v>
      </c>
      <c r="H2109" s="164" t="str">
        <f ca="1">IFERROR(__xludf.DUMMYFUNCTION("""COMPUTED_VALUE"""),"ADONIS H. DOLANAS")</f>
        <v>ADONIS H. DOLANAS</v>
      </c>
      <c r="I2109" s="164" t="str">
        <f ca="1">IFERROR(__xludf.DUMMYFUNCTION("""COMPUTED_VALUE"""),"OIC - CARPO, LTID")</f>
        <v>OIC - CARPO, LTID</v>
      </c>
      <c r="J2109" s="164" t="str">
        <f ca="1">IFERROR(__xludf.DUMMYFUNCTION("""COMPUTED_VALUE"""),"PTR No.: 2023-SPLIT-005")</f>
        <v>PTR No.: 2023-SPLIT-005</v>
      </c>
      <c r="K2109" s="164" t="str">
        <f ca="1">IFERROR(__xludf.DUMMYFUNCTION("""COMPUTED_VALUE"""),"DENZEL ETHAN A. CEA")</f>
        <v>DENZEL ETHAN A. CEA</v>
      </c>
      <c r="L2109" s="164" t="str">
        <f ca="1">IFERROR(__xludf.DUMMYFUNCTION("""COMPUTED_VALUE"""),"PROJECTSPLIT")</f>
        <v>PROJECTSPLIT</v>
      </c>
      <c r="M2109" s="164" t="str">
        <f ca="1">IFERROR(__xludf.DUMMYFUNCTION("""COMPUTED_VALUE"""),"SERVICEABLE")</f>
        <v>SERVICEABLE</v>
      </c>
      <c r="N2109" s="164"/>
    </row>
    <row r="2110" spans="1:14" ht="13.2" hidden="1">
      <c r="A2110" s="164" t="str">
        <f ca="1">IFERROR(__xludf.DUMMYFUNCTION("""COMPUTED_VALUE"""),"REGION V")</f>
        <v>REGION V</v>
      </c>
      <c r="B2110" s="164" t="str">
        <f ca="1">IFERROR(__xludf.DUMMYFUNCTION("""COMPUTED_VALUE"""),"CAMRINES SUR II")</f>
        <v>CAMRINES SUR II</v>
      </c>
      <c r="C2110" s="164" t="str">
        <f ca="1">IFERROR(__xludf.DUMMYFUNCTION("""COMPUTED_VALUE"""),"Desktop Computer – (Lenovo M70T)")</f>
        <v>Desktop Computer – (Lenovo M70T)</v>
      </c>
      <c r="D2110" s="164" t="str">
        <f ca="1">IFERROR(__xludf.DUMMYFUNCTION("""COMPUTED_VALUE"""),"₱ 75,468.00")</f>
        <v>₱ 75,468.00</v>
      </c>
      <c r="E2110" s="164" t="str">
        <f ca="1">IFERROR(__xludf.DUMMYFUNCTION("""COMPUTED_VALUE"""),"₱ -")</f>
        <v>₱ -</v>
      </c>
      <c r="F2110" s="164" t="str">
        <f ca="1">IFERROR(__xludf.DUMMYFUNCTION("""COMPUTED_VALUE"""),"2023-05-03-10202SP1057-01")</f>
        <v>2023-05-03-10202SP1057-01</v>
      </c>
      <c r="G2110" s="164" t="str">
        <f ca="1">IFERROR(__xludf.DUMMYFUNCTION("""COMPUTED_VALUE"""),"SN-EL4322C02256")</f>
        <v>SN-EL4322C02256</v>
      </c>
      <c r="H2110" s="164" t="str">
        <f ca="1">IFERROR(__xludf.DUMMYFUNCTION("""COMPUTED_VALUE"""),"ADONIS H. DOLANAS")</f>
        <v>ADONIS H. DOLANAS</v>
      </c>
      <c r="I2110" s="164" t="str">
        <f ca="1">IFERROR(__xludf.DUMMYFUNCTION("""COMPUTED_VALUE"""),"OIC - CARPO, LTID")</f>
        <v>OIC - CARPO, LTID</v>
      </c>
      <c r="J2110" s="164" t="str">
        <f ca="1">IFERROR(__xludf.DUMMYFUNCTION("""COMPUTED_VALUE"""),"PTR No.: 2023-SPLIT-005")</f>
        <v>PTR No.: 2023-SPLIT-005</v>
      </c>
      <c r="K2110" s="164" t="str">
        <f ca="1">IFERROR(__xludf.DUMMYFUNCTION("""COMPUTED_VALUE"""),"RICO FRONIE B. AMADOR")</f>
        <v>RICO FRONIE B. AMADOR</v>
      </c>
      <c r="L2110" s="164" t="str">
        <f ca="1">IFERROR(__xludf.DUMMYFUNCTION("""COMPUTED_VALUE"""),"PROJECTSPLIT")</f>
        <v>PROJECTSPLIT</v>
      </c>
      <c r="M2110" s="164" t="str">
        <f ca="1">IFERROR(__xludf.DUMMYFUNCTION("""COMPUTED_VALUE"""),"SERVICEABLE")</f>
        <v>SERVICEABLE</v>
      </c>
      <c r="N2110" s="164"/>
    </row>
    <row r="2111" spans="1:14" ht="13.2" hidden="1">
      <c r="A2111" s="164" t="str">
        <f ca="1">IFERROR(__xludf.DUMMYFUNCTION("""COMPUTED_VALUE"""),"REGION V")</f>
        <v>REGION V</v>
      </c>
      <c r="B2111" s="164" t="str">
        <f ca="1">IFERROR(__xludf.DUMMYFUNCTION("""COMPUTED_VALUE"""),"CAMRINES SUR II")</f>
        <v>CAMRINES SUR II</v>
      </c>
      <c r="C2111" s="164" t="str">
        <f ca="1">IFERROR(__xludf.DUMMYFUNCTION("""COMPUTED_VALUE"""),"Desktop Computer – (Lenovo M70T)")</f>
        <v>Desktop Computer – (Lenovo M70T)</v>
      </c>
      <c r="D2111" s="164" t="str">
        <f ca="1">IFERROR(__xludf.DUMMYFUNCTION("""COMPUTED_VALUE"""),"₱ 75,468.00")</f>
        <v>₱ 75,468.00</v>
      </c>
      <c r="E2111" s="164" t="str">
        <f ca="1">IFERROR(__xludf.DUMMYFUNCTION("""COMPUTED_VALUE"""),"₱ -")</f>
        <v>₱ -</v>
      </c>
      <c r="F2111" s="164" t="str">
        <f ca="1">IFERROR(__xludf.DUMMYFUNCTION("""COMPUTED_VALUE"""),"2023-05-03-10202SP1058-01")</f>
        <v>2023-05-03-10202SP1058-01</v>
      </c>
      <c r="G2111" s="164" t="str">
        <f ca="1">IFERROR(__xludf.DUMMYFUNCTION("""COMPUTED_VALUE"""),"SN-EL4322C01049")</f>
        <v>SN-EL4322C01049</v>
      </c>
      <c r="H2111" s="164" t="str">
        <f ca="1">IFERROR(__xludf.DUMMYFUNCTION("""COMPUTED_VALUE"""),"ADONIS H. DOLANAS")</f>
        <v>ADONIS H. DOLANAS</v>
      </c>
      <c r="I2111" s="164" t="str">
        <f ca="1">IFERROR(__xludf.DUMMYFUNCTION("""COMPUTED_VALUE"""),"OIC - CARPO, LTID")</f>
        <v>OIC - CARPO, LTID</v>
      </c>
      <c r="J2111" s="164" t="str">
        <f ca="1">IFERROR(__xludf.DUMMYFUNCTION("""COMPUTED_VALUE"""),"PTR No.: 2023-SPLIT-005")</f>
        <v>PTR No.: 2023-SPLIT-005</v>
      </c>
      <c r="K2111" s="164" t="str">
        <f ca="1">IFERROR(__xludf.DUMMYFUNCTION("""COMPUTED_VALUE"""),"REGINA SABALLEGUE")</f>
        <v>REGINA SABALLEGUE</v>
      </c>
      <c r="L2111" s="164" t="str">
        <f ca="1">IFERROR(__xludf.DUMMYFUNCTION("""COMPUTED_VALUE"""),"PROJECTSPLIT")</f>
        <v>PROJECTSPLIT</v>
      </c>
      <c r="M2111" s="164" t="str">
        <f ca="1">IFERROR(__xludf.DUMMYFUNCTION("""COMPUTED_VALUE"""),"SERVICEABLE")</f>
        <v>SERVICEABLE</v>
      </c>
      <c r="N2111" s="164" t="str">
        <f ca="1">IFERROR(__xludf.DUMMYFUNCTION("""COMPUTED_VALUE"""),"PRINTER UNSERVICEABLE")</f>
        <v>PRINTER UNSERVICEABLE</v>
      </c>
    </row>
    <row r="2112" spans="1:14" ht="13.2" hidden="1">
      <c r="A2112" s="164" t="str">
        <f ca="1">IFERROR(__xludf.DUMMYFUNCTION("""COMPUTED_VALUE"""),"REGION V")</f>
        <v>REGION V</v>
      </c>
      <c r="B2112" s="164" t="str">
        <f ca="1">IFERROR(__xludf.DUMMYFUNCTION("""COMPUTED_VALUE"""),"CAMRINES SUR II")</f>
        <v>CAMRINES SUR II</v>
      </c>
      <c r="C2112" s="164" t="str">
        <f ca="1">IFERROR(__xludf.DUMMYFUNCTION("""COMPUTED_VALUE"""),"Desktop Computer – (Lenovo M70T)")</f>
        <v>Desktop Computer – (Lenovo M70T)</v>
      </c>
      <c r="D2112" s="164" t="str">
        <f ca="1">IFERROR(__xludf.DUMMYFUNCTION("""COMPUTED_VALUE"""),"₱ 75,468.00")</f>
        <v>₱ 75,468.00</v>
      </c>
      <c r="E2112" s="164" t="str">
        <f ca="1">IFERROR(__xludf.DUMMYFUNCTION("""COMPUTED_VALUE"""),"₱ -")</f>
        <v>₱ -</v>
      </c>
      <c r="F2112" s="164" t="str">
        <f ca="1">IFERROR(__xludf.DUMMYFUNCTION("""COMPUTED_VALUE"""),"2023-05-03-10202SP1059-01")</f>
        <v>2023-05-03-10202SP1059-01</v>
      </c>
      <c r="G2112" s="164" t="str">
        <f ca="1">IFERROR(__xludf.DUMMYFUNCTION("""COMPUTED_VALUE"""),"SN-EL4322C01050")</f>
        <v>SN-EL4322C01050</v>
      </c>
      <c r="H2112" s="164" t="str">
        <f ca="1">IFERROR(__xludf.DUMMYFUNCTION("""COMPUTED_VALUE"""),"EMELINDA R. CACERS")</f>
        <v>EMELINDA R. CACERS</v>
      </c>
      <c r="I2112" s="164" t="str">
        <f ca="1">IFERROR(__xludf.DUMMYFUNCTION("""COMPUTED_VALUE"""),"MARPO")</f>
        <v>MARPO</v>
      </c>
      <c r="J2112" s="164" t="str">
        <f ca="1">IFERROR(__xludf.DUMMYFUNCTION("""COMPUTED_VALUE"""),"PTR No.: 2023-SPLIT-005")</f>
        <v>PTR No.: 2023-SPLIT-005</v>
      </c>
      <c r="K2112" s="164" t="str">
        <f ca="1">IFERROR(__xludf.DUMMYFUNCTION("""COMPUTED_VALUE"""),"DARMO PILI")</f>
        <v>DARMO PILI</v>
      </c>
      <c r="L2112" s="164" t="str">
        <f ca="1">IFERROR(__xludf.DUMMYFUNCTION("""COMPUTED_VALUE"""),"DARMO - PILI")</f>
        <v>DARMO - PILI</v>
      </c>
      <c r="M2112" s="164" t="str">
        <f ca="1">IFERROR(__xludf.DUMMYFUNCTION("""COMPUTED_VALUE"""),"SERVICEABLE")</f>
        <v>SERVICEABLE</v>
      </c>
      <c r="N2112" s="164"/>
    </row>
    <row r="2113" spans="1:14" ht="13.2" hidden="1">
      <c r="A2113" s="164" t="str">
        <f ca="1">IFERROR(__xludf.DUMMYFUNCTION("""COMPUTED_VALUE"""),"REGION V")</f>
        <v>REGION V</v>
      </c>
      <c r="B2113" s="164" t="str">
        <f ca="1">IFERROR(__xludf.DUMMYFUNCTION("""COMPUTED_VALUE"""),"CAMRINES SUR II")</f>
        <v>CAMRINES SUR II</v>
      </c>
      <c r="C2113" s="164" t="str">
        <f ca="1">IFERROR(__xludf.DUMMYFUNCTION("""COMPUTED_VALUE"""),"Desktop Computer – (Lenovo M70T)")</f>
        <v>Desktop Computer – (Lenovo M70T)</v>
      </c>
      <c r="D2113" s="164" t="str">
        <f ca="1">IFERROR(__xludf.DUMMYFUNCTION("""COMPUTED_VALUE"""),"₱ 75,468.00")</f>
        <v>₱ 75,468.00</v>
      </c>
      <c r="E2113" s="164" t="str">
        <f ca="1">IFERROR(__xludf.DUMMYFUNCTION("""COMPUTED_VALUE"""),"₱ -")</f>
        <v>₱ -</v>
      </c>
      <c r="F2113" s="164" t="str">
        <f ca="1">IFERROR(__xludf.DUMMYFUNCTION("""COMPUTED_VALUE"""),"2023-05-03-10202SP1060-01")</f>
        <v>2023-05-03-10202SP1060-01</v>
      </c>
      <c r="G2113" s="164" t="str">
        <f ca="1">IFERROR(__xludf.DUMMYFUNCTION("""COMPUTED_VALUE"""),"SN-EL4322C01051")</f>
        <v>SN-EL4322C01051</v>
      </c>
      <c r="H2113" s="164" t="str">
        <f ca="1">IFERROR(__xludf.DUMMYFUNCTION("""COMPUTED_VALUE"""),"ADONIS H. DOLANAS")</f>
        <v>ADONIS H. DOLANAS</v>
      </c>
      <c r="I2113" s="164" t="str">
        <f ca="1">IFERROR(__xludf.DUMMYFUNCTION("""COMPUTED_VALUE"""),"OIC - CARPO, LTID")</f>
        <v>OIC - CARPO, LTID</v>
      </c>
      <c r="J2113" s="164" t="str">
        <f ca="1">IFERROR(__xludf.DUMMYFUNCTION("""COMPUTED_VALUE"""),"PTR No.: 2023-SPLIT-005")</f>
        <v>PTR No.: 2023-SPLIT-005</v>
      </c>
      <c r="K2113" s="164" t="str">
        <f ca="1">IFERROR(__xludf.DUMMYFUNCTION("""COMPUTED_VALUE"""),"ENGR. KARL ANGELO A. BIAG")</f>
        <v>ENGR. KARL ANGELO A. BIAG</v>
      </c>
      <c r="L2113" s="164" t="str">
        <f ca="1">IFERROR(__xludf.DUMMYFUNCTION("""COMPUTED_VALUE"""),"PROJECTSPLIT")</f>
        <v>PROJECTSPLIT</v>
      </c>
      <c r="M2113" s="164" t="str">
        <f ca="1">IFERROR(__xludf.DUMMYFUNCTION("""COMPUTED_VALUE"""),"SERVICEABLE")</f>
        <v>SERVICEABLE</v>
      </c>
      <c r="N2113" s="164"/>
    </row>
    <row r="2114" spans="1:14" ht="13.2" hidden="1">
      <c r="A2114" s="164" t="str">
        <f ca="1">IFERROR(__xludf.DUMMYFUNCTION("""COMPUTED_VALUE"""),"REGION V")</f>
        <v>REGION V</v>
      </c>
      <c r="B2114" s="164" t="str">
        <f ca="1">IFERROR(__xludf.DUMMYFUNCTION("""COMPUTED_VALUE"""),"CAMRINES SUR II")</f>
        <v>CAMRINES SUR II</v>
      </c>
      <c r="C2114" s="164" t="str">
        <f ca="1">IFERROR(__xludf.DUMMYFUNCTION("""COMPUTED_VALUE"""),"Desktop Computer – (Lenovo M70T)")</f>
        <v>Desktop Computer – (Lenovo M70T)</v>
      </c>
      <c r="D2114" s="164" t="str">
        <f ca="1">IFERROR(__xludf.DUMMYFUNCTION("""COMPUTED_VALUE"""),"₱ 75,468.00")</f>
        <v>₱ 75,468.00</v>
      </c>
      <c r="E2114" s="164" t="str">
        <f ca="1">IFERROR(__xludf.DUMMYFUNCTION("""COMPUTED_VALUE"""),"₱ -")</f>
        <v>₱ -</v>
      </c>
      <c r="F2114" s="164" t="str">
        <f ca="1">IFERROR(__xludf.DUMMYFUNCTION("""COMPUTED_VALUE"""),"2023-05-03-10202SP1061-01")</f>
        <v>2023-05-03-10202SP1061-01</v>
      </c>
      <c r="G2114" s="164" t="str">
        <f ca="1">IFERROR(__xludf.DUMMYFUNCTION("""COMPUTED_VALUE"""),"SN-EL4322C01052")</f>
        <v>SN-EL4322C01052</v>
      </c>
      <c r="H2114" s="164" t="str">
        <f ca="1">IFERROR(__xludf.DUMMYFUNCTION("""COMPUTED_VALUE"""),"IMELDA ANI")</f>
        <v>IMELDA ANI</v>
      </c>
      <c r="I2114" s="164" t="str">
        <f ca="1">IFERROR(__xludf.DUMMYFUNCTION("""COMPUTED_VALUE"""),"SARPT")</f>
        <v>SARPT</v>
      </c>
      <c r="J2114" s="164" t="str">
        <f ca="1">IFERROR(__xludf.DUMMYFUNCTION("""COMPUTED_VALUE"""),"PTR No.: 2023-SPLIT-005")</f>
        <v>PTR No.: 2023-SPLIT-005</v>
      </c>
      <c r="K2114" s="164" t="str">
        <f ca="1">IFERROR(__xludf.DUMMYFUNCTION("""COMPUTED_VALUE"""),"DARMO -TINAMBAC A")</f>
        <v>DARMO -TINAMBAC A</v>
      </c>
      <c r="L2114" s="164" t="str">
        <f ca="1">IFERROR(__xludf.DUMMYFUNCTION("""COMPUTED_VALUE"""),"DARMO -TINAMBAC A")</f>
        <v>DARMO -TINAMBAC A</v>
      </c>
      <c r="M2114" s="164" t="str">
        <f ca="1">IFERROR(__xludf.DUMMYFUNCTION("""COMPUTED_VALUE"""),"SERVICEABLE")</f>
        <v>SERVICEABLE</v>
      </c>
      <c r="N2114" s="164" t="str">
        <f ca="1">IFERROR(__xludf.DUMMYFUNCTION("""COMPUTED_VALUE"""),"UPS UNSERVICEABLE")</f>
        <v>UPS UNSERVICEABLE</v>
      </c>
    </row>
    <row r="2115" spans="1:14" ht="13.2" hidden="1">
      <c r="A2115" s="164" t="str">
        <f ca="1">IFERROR(__xludf.DUMMYFUNCTION("""COMPUTED_VALUE"""),"REGION V")</f>
        <v>REGION V</v>
      </c>
      <c r="B2115" s="164" t="str">
        <f ca="1">IFERROR(__xludf.DUMMYFUNCTION("""COMPUTED_VALUE"""),"CAMRINES SUR II")</f>
        <v>CAMRINES SUR II</v>
      </c>
      <c r="C2115" s="164" t="str">
        <f ca="1">IFERROR(__xludf.DUMMYFUNCTION("""COMPUTED_VALUE"""),"Desktop Computer – (Lenovo M70T)")</f>
        <v>Desktop Computer – (Lenovo M70T)</v>
      </c>
      <c r="D2115" s="164" t="str">
        <f ca="1">IFERROR(__xludf.DUMMYFUNCTION("""COMPUTED_VALUE"""),"₱ 75,468.00")</f>
        <v>₱ 75,468.00</v>
      </c>
      <c r="E2115" s="164" t="str">
        <f ca="1">IFERROR(__xludf.DUMMYFUNCTION("""COMPUTED_VALUE"""),"₱ -")</f>
        <v>₱ -</v>
      </c>
      <c r="F2115" s="164" t="str">
        <f ca="1">IFERROR(__xludf.DUMMYFUNCTION("""COMPUTED_VALUE"""),"2023-05-03-10202SP1062-01")</f>
        <v>2023-05-03-10202SP1062-01</v>
      </c>
      <c r="G2115" s="164" t="str">
        <f ca="1">IFERROR(__xludf.DUMMYFUNCTION("""COMPUTED_VALUE"""),"SN-EL4322C01785")</f>
        <v>SN-EL4322C01785</v>
      </c>
      <c r="H2115" s="164" t="str">
        <f ca="1">IFERROR(__xludf.DUMMYFUNCTION("""COMPUTED_VALUE"""),"ROWELL GERARD A. ZAPATA")</f>
        <v>ROWELL GERARD A. ZAPATA</v>
      </c>
      <c r="I2115" s="164" t="str">
        <f ca="1">IFERROR(__xludf.DUMMYFUNCTION("""COMPUTED_VALUE"""),"SARPT")</f>
        <v>SARPT</v>
      </c>
      <c r="J2115" s="164" t="str">
        <f ca="1">IFERROR(__xludf.DUMMYFUNCTION("""COMPUTED_VALUE"""),"PTR No.: 2023-SPLIT-005")</f>
        <v>PTR No.: 2023-SPLIT-005</v>
      </c>
      <c r="K2115" s="164" t="str">
        <f ca="1">IFERROR(__xludf.DUMMYFUNCTION("""COMPUTED_VALUE"""),"ROWELL GERARD A. ZAPATA")</f>
        <v>ROWELL GERARD A. ZAPATA</v>
      </c>
      <c r="L2115" s="164" t="str">
        <f ca="1">IFERROR(__xludf.DUMMYFUNCTION("""COMPUTED_VALUE"""),"DARMO-TINAMBAC B")</f>
        <v>DARMO-TINAMBAC B</v>
      </c>
      <c r="M2115" s="164" t="str">
        <f ca="1">IFERROR(__xludf.DUMMYFUNCTION("""COMPUTED_VALUE"""),"SERVICEABLE")</f>
        <v>SERVICEABLE</v>
      </c>
      <c r="N2115" s="164"/>
    </row>
    <row r="2116" spans="1:14" ht="13.2" hidden="1">
      <c r="A2116" s="164" t="str">
        <f ca="1">IFERROR(__xludf.DUMMYFUNCTION("""COMPUTED_VALUE"""),"REGION V")</f>
        <v>REGION V</v>
      </c>
      <c r="B2116" s="164" t="str">
        <f ca="1">IFERROR(__xludf.DUMMYFUNCTION("""COMPUTED_VALUE"""),"CAMRINES SUR II")</f>
        <v>CAMRINES SUR II</v>
      </c>
      <c r="C2116" s="164" t="str">
        <f ca="1">IFERROR(__xludf.DUMMYFUNCTION("""COMPUTED_VALUE"""),"Desktop Computer – (Lenovo M70T)")</f>
        <v>Desktop Computer – (Lenovo M70T)</v>
      </c>
      <c r="D2116" s="164" t="str">
        <f ca="1">IFERROR(__xludf.DUMMYFUNCTION("""COMPUTED_VALUE"""),"₱ 75,468.00")</f>
        <v>₱ 75,468.00</v>
      </c>
      <c r="E2116" s="164" t="str">
        <f ca="1">IFERROR(__xludf.DUMMYFUNCTION("""COMPUTED_VALUE"""),"₱ -")</f>
        <v>₱ -</v>
      </c>
      <c r="F2116" s="164" t="str">
        <f ca="1">IFERROR(__xludf.DUMMYFUNCTION("""COMPUTED_VALUE"""),"2023-05-03-10202SP1063-01")</f>
        <v>2023-05-03-10202SP1063-01</v>
      </c>
      <c r="G2116" s="164" t="str">
        <f ca="1">IFERROR(__xludf.DUMMYFUNCTION("""COMPUTED_VALUE"""),"SN-EL4322C01786")</f>
        <v>SN-EL4322C01786</v>
      </c>
      <c r="H2116" s="164" t="str">
        <f ca="1">IFERROR(__xludf.DUMMYFUNCTION("""COMPUTED_VALUE"""),"ADONIS H. DOLANAS")</f>
        <v>ADONIS H. DOLANAS</v>
      </c>
      <c r="I2116" s="164" t="str">
        <f ca="1">IFERROR(__xludf.DUMMYFUNCTION("""COMPUTED_VALUE"""),"OIC - CARPO, LTID")</f>
        <v>OIC - CARPO, LTID</v>
      </c>
      <c r="J2116" s="164" t="str">
        <f ca="1">IFERROR(__xludf.DUMMYFUNCTION("""COMPUTED_VALUE"""),"PTR No.: 2023-SPLIT-005")</f>
        <v>PTR No.: 2023-SPLIT-005</v>
      </c>
      <c r="K2116" s="164" t="str">
        <f ca="1">IFERROR(__xludf.DUMMYFUNCTION("""COMPUTED_VALUE"""),"JAN C. CEA")</f>
        <v>JAN C. CEA</v>
      </c>
      <c r="L2116" s="164" t="str">
        <f ca="1">IFERROR(__xludf.DUMMYFUNCTION("""COMPUTED_VALUE"""),"PROJECTSPLIT")</f>
        <v>PROJECTSPLIT</v>
      </c>
      <c r="M2116" s="164" t="str">
        <f ca="1">IFERROR(__xludf.DUMMYFUNCTION("""COMPUTED_VALUE"""),"SERVICEABLE")</f>
        <v>SERVICEABLE</v>
      </c>
      <c r="N2116" s="164"/>
    </row>
    <row r="2117" spans="1:14" ht="13.2" hidden="1">
      <c r="A2117" s="164" t="str">
        <f ca="1">IFERROR(__xludf.DUMMYFUNCTION("""COMPUTED_VALUE"""),"REGION V")</f>
        <v>REGION V</v>
      </c>
      <c r="B2117" s="164" t="str">
        <f ca="1">IFERROR(__xludf.DUMMYFUNCTION("""COMPUTED_VALUE"""),"CAMRINES SUR II")</f>
        <v>CAMRINES SUR II</v>
      </c>
      <c r="C2117" s="164" t="str">
        <f ca="1">IFERROR(__xludf.DUMMYFUNCTION("""COMPUTED_VALUE"""),"Desktop Computer – (Lenovo M70T)")</f>
        <v>Desktop Computer – (Lenovo M70T)</v>
      </c>
      <c r="D2117" s="164" t="str">
        <f ca="1">IFERROR(__xludf.DUMMYFUNCTION("""COMPUTED_VALUE"""),"₱ 75,468.00")</f>
        <v>₱ 75,468.00</v>
      </c>
      <c r="E2117" s="164" t="str">
        <f ca="1">IFERROR(__xludf.DUMMYFUNCTION("""COMPUTED_VALUE"""),"₱ -")</f>
        <v>₱ -</v>
      </c>
      <c r="F2117" s="164" t="str">
        <f ca="1">IFERROR(__xludf.DUMMYFUNCTION("""COMPUTED_VALUE"""),"2023-05-03-10202SP1064-01")</f>
        <v>2023-05-03-10202SP1064-01</v>
      </c>
      <c r="G2117" s="164" t="str">
        <f ca="1">IFERROR(__xludf.DUMMYFUNCTION("""COMPUTED_VALUE"""),"SN-EL4322C01787")</f>
        <v>SN-EL4322C01787</v>
      </c>
      <c r="H2117" s="164" t="str">
        <f ca="1">IFERROR(__xludf.DUMMYFUNCTION("""COMPUTED_VALUE"""),"NORBERTO BELMONTE")</f>
        <v>NORBERTO BELMONTE</v>
      </c>
      <c r="I2117" s="164" t="str">
        <f ca="1">IFERROR(__xludf.DUMMYFUNCTION("""COMPUTED_VALUE"""),"MARPO")</f>
        <v>MARPO</v>
      </c>
      <c r="J2117" s="164" t="str">
        <f ca="1">IFERROR(__xludf.DUMMYFUNCTION("""COMPUTED_VALUE"""),"PTR No.: 2023-SPLIT-005")</f>
        <v>PTR No.: 2023-SPLIT-005</v>
      </c>
      <c r="K2117" s="164" t="str">
        <f ca="1">IFERROR(__xludf.DUMMYFUNCTION("""COMPUTED_VALUE"""),"DARMO - LAGONOY")</f>
        <v>DARMO - LAGONOY</v>
      </c>
      <c r="L2117" s="164" t="str">
        <f ca="1">IFERROR(__xludf.DUMMYFUNCTION("""COMPUTED_VALUE"""),"DARMO - LAGONOY")</f>
        <v>DARMO - LAGONOY</v>
      </c>
      <c r="M2117" s="164" t="str">
        <f ca="1">IFERROR(__xludf.DUMMYFUNCTION("""COMPUTED_VALUE"""),"SERVICEABLE")</f>
        <v>SERVICEABLE</v>
      </c>
      <c r="N2117" s="164" t="str">
        <f ca="1">IFERROR(__xludf.DUMMYFUNCTION("""COMPUTED_VALUE"""),"PRINTER UNSERVICEABLE")</f>
        <v>PRINTER UNSERVICEABLE</v>
      </c>
    </row>
    <row r="2118" spans="1:14" ht="13.2" hidden="1">
      <c r="A2118" s="164" t="str">
        <f ca="1">IFERROR(__xludf.DUMMYFUNCTION("""COMPUTED_VALUE"""),"REGION V")</f>
        <v>REGION V</v>
      </c>
      <c r="B2118" s="164" t="str">
        <f ca="1">IFERROR(__xludf.DUMMYFUNCTION("""COMPUTED_VALUE"""),"CAMRINES SUR II")</f>
        <v>CAMRINES SUR II</v>
      </c>
      <c r="C2118" s="164" t="str">
        <f ca="1">IFERROR(__xludf.DUMMYFUNCTION("""COMPUTED_VALUE"""),"Desktop Computer – (Lenovo M70T)")</f>
        <v>Desktop Computer – (Lenovo M70T)</v>
      </c>
      <c r="D2118" s="164" t="str">
        <f ca="1">IFERROR(__xludf.DUMMYFUNCTION("""COMPUTED_VALUE"""),"₱ 75,468.00")</f>
        <v>₱ 75,468.00</v>
      </c>
      <c r="E2118" s="164" t="str">
        <f ca="1">IFERROR(__xludf.DUMMYFUNCTION("""COMPUTED_VALUE"""),"₱ -")</f>
        <v>₱ -</v>
      </c>
      <c r="F2118" s="164" t="str">
        <f ca="1">IFERROR(__xludf.DUMMYFUNCTION("""COMPUTED_VALUE"""),"2023-05-03-10202SP1065-01")</f>
        <v>2023-05-03-10202SP1065-01</v>
      </c>
      <c r="G2118" s="164" t="str">
        <f ca="1">IFERROR(__xludf.DUMMYFUNCTION("""COMPUTED_VALUE"""),"SN-EL4322C01788")</f>
        <v>SN-EL4322C01788</v>
      </c>
      <c r="H2118" s="164" t="str">
        <f ca="1">IFERROR(__xludf.DUMMYFUNCTION("""COMPUTED_VALUE"""),"MARIA CLEOFE O. PAGA")</f>
        <v>MARIA CLEOFE O. PAGA</v>
      </c>
      <c r="I2118" s="164" t="str">
        <f ca="1">IFERROR(__xludf.DUMMYFUNCTION("""COMPUTED_VALUE"""),"MARPO")</f>
        <v>MARPO</v>
      </c>
      <c r="J2118" s="164" t="str">
        <f ca="1">IFERROR(__xludf.DUMMYFUNCTION("""COMPUTED_VALUE"""),"PTR No.: 2023-SPLIT-005")</f>
        <v>PTR No.: 2023-SPLIT-005</v>
      </c>
      <c r="K2118" s="164" t="str">
        <f ca="1">IFERROR(__xludf.DUMMYFUNCTION("""COMPUTED_VALUE"""),"DARMO - SAGÑAY")</f>
        <v>DARMO - SAGÑAY</v>
      </c>
      <c r="L2118" s="164" t="str">
        <f ca="1">IFERROR(__xludf.DUMMYFUNCTION("""COMPUTED_VALUE"""),"DARMO - SAGÑAY")</f>
        <v>DARMO - SAGÑAY</v>
      </c>
      <c r="M2118" s="164" t="str">
        <f ca="1">IFERROR(__xludf.DUMMYFUNCTION("""COMPUTED_VALUE"""),"SERVICEABLE")</f>
        <v>SERVICEABLE</v>
      </c>
      <c r="N2118" s="164"/>
    </row>
    <row r="2119" spans="1:14" ht="13.2" hidden="1">
      <c r="A2119" s="164" t="str">
        <f ca="1">IFERROR(__xludf.DUMMYFUNCTION("""COMPUTED_VALUE"""),"REGION V")</f>
        <v>REGION V</v>
      </c>
      <c r="B2119" s="164" t="str">
        <f ca="1">IFERROR(__xludf.DUMMYFUNCTION("""COMPUTED_VALUE"""),"CAMRINES SUR II")</f>
        <v>CAMRINES SUR II</v>
      </c>
      <c r="C2119" s="164" t="str">
        <f ca="1">IFERROR(__xludf.DUMMYFUNCTION("""COMPUTED_VALUE"""),"Desktop Computer – (Lenovo M70T)")</f>
        <v>Desktop Computer – (Lenovo M70T)</v>
      </c>
      <c r="D2119" s="164" t="str">
        <f ca="1">IFERROR(__xludf.DUMMYFUNCTION("""COMPUTED_VALUE"""),"₱ 75,468.00")</f>
        <v>₱ 75,468.00</v>
      </c>
      <c r="E2119" s="164" t="str">
        <f ca="1">IFERROR(__xludf.DUMMYFUNCTION("""COMPUTED_VALUE"""),"₱ -")</f>
        <v>₱ -</v>
      </c>
      <c r="F2119" s="164" t="str">
        <f ca="1">IFERROR(__xludf.DUMMYFUNCTION("""COMPUTED_VALUE"""),"2023-05-03-10202SP1066-01")</f>
        <v>2023-05-03-10202SP1066-01</v>
      </c>
      <c r="G2119" s="164" t="str">
        <f ca="1">IFERROR(__xludf.DUMMYFUNCTION("""COMPUTED_VALUE"""),"SN-EL4322C02021")</f>
        <v>SN-EL4322C02021</v>
      </c>
      <c r="H2119" s="164" t="str">
        <f ca="1">IFERROR(__xludf.DUMMYFUNCTION("""COMPUTED_VALUE"""),"ERLINDA F. VERGARA")</f>
        <v>ERLINDA F. VERGARA</v>
      </c>
      <c r="I2119" s="164" t="str">
        <f ca="1">IFERROR(__xludf.DUMMYFUNCTION("""COMPUTED_VALUE"""),"MARPO")</f>
        <v>MARPO</v>
      </c>
      <c r="J2119" s="164" t="str">
        <f ca="1">IFERROR(__xludf.DUMMYFUNCTION("""COMPUTED_VALUE"""),"PTR No.: 2023-SPLIT-005")</f>
        <v>PTR No.: 2023-SPLIT-005</v>
      </c>
      <c r="K2119" s="164" t="str">
        <f ca="1">IFERROR(__xludf.DUMMYFUNCTION("""COMPUTED_VALUE"""),"DARMO - TIGAON")</f>
        <v>DARMO - TIGAON</v>
      </c>
      <c r="L2119" s="164" t="str">
        <f ca="1">IFERROR(__xludf.DUMMYFUNCTION("""COMPUTED_VALUE"""),"DARMO - TIGAON")</f>
        <v>DARMO - TIGAON</v>
      </c>
      <c r="M2119" s="164" t="str">
        <f ca="1">IFERROR(__xludf.DUMMYFUNCTION("""COMPUTED_VALUE"""),"SERVICEABLE")</f>
        <v>SERVICEABLE</v>
      </c>
      <c r="N2119" s="164"/>
    </row>
    <row r="2120" spans="1:14" ht="13.2" hidden="1">
      <c r="A2120" s="164" t="str">
        <f ca="1">IFERROR(__xludf.DUMMYFUNCTION("""COMPUTED_VALUE"""),"REGION V")</f>
        <v>REGION V</v>
      </c>
      <c r="B2120" s="164" t="str">
        <f ca="1">IFERROR(__xludf.DUMMYFUNCTION("""COMPUTED_VALUE"""),"CAMRINES SUR II")</f>
        <v>CAMRINES SUR II</v>
      </c>
      <c r="C2120" s="164" t="str">
        <f ca="1">IFERROR(__xludf.DUMMYFUNCTION("""COMPUTED_VALUE"""),"Desktop Computer – (Lenovo M70T)")</f>
        <v>Desktop Computer – (Lenovo M70T)</v>
      </c>
      <c r="D2120" s="164" t="str">
        <f ca="1">IFERROR(__xludf.DUMMYFUNCTION("""COMPUTED_VALUE"""),"₱ 75,468.00")</f>
        <v>₱ 75,468.00</v>
      </c>
      <c r="E2120" s="164" t="str">
        <f ca="1">IFERROR(__xludf.DUMMYFUNCTION("""COMPUTED_VALUE"""),"₱ -")</f>
        <v>₱ -</v>
      </c>
      <c r="F2120" s="164" t="str">
        <f ca="1">IFERROR(__xludf.DUMMYFUNCTION("""COMPUTED_VALUE"""),"2023-05-03-10202SP1067-01")</f>
        <v>2023-05-03-10202SP1067-01</v>
      </c>
      <c r="G2120" s="164" t="str">
        <f ca="1">IFERROR(__xludf.DUMMYFUNCTION("""COMPUTED_VALUE"""),"SN-EL4322C01053")</f>
        <v>SN-EL4322C01053</v>
      </c>
      <c r="H2120" s="164" t="str">
        <f ca="1">IFERROR(__xludf.DUMMYFUNCTION("""COMPUTED_VALUE"""),"CARMEN LITA ESTEFANI")</f>
        <v>CARMEN LITA ESTEFANI</v>
      </c>
      <c r="I2120" s="164" t="str">
        <f ca="1">IFERROR(__xludf.DUMMYFUNCTION("""COMPUTED_VALUE"""),"SARPT")</f>
        <v>SARPT</v>
      </c>
      <c r="J2120" s="164" t="str">
        <f ca="1">IFERROR(__xludf.DUMMYFUNCTION("""COMPUTED_VALUE"""),"PTR No.: 2023-SPLIT-005")</f>
        <v>PTR No.: 2023-SPLIT-005</v>
      </c>
      <c r="K2120" s="164" t="str">
        <f ca="1">IFERROR(__xludf.DUMMYFUNCTION("""COMPUTED_VALUE"""),"DARMO - BOMBON")</f>
        <v>DARMO - BOMBON</v>
      </c>
      <c r="L2120" s="164" t="str">
        <f ca="1">IFERROR(__xludf.DUMMYFUNCTION("""COMPUTED_VALUE"""),"DARMO - BOMBON")</f>
        <v>DARMO - BOMBON</v>
      </c>
      <c r="M2120" s="164" t="str">
        <f ca="1">IFERROR(__xludf.DUMMYFUNCTION("""COMPUTED_VALUE"""),"SERVICEABLE")</f>
        <v>SERVICEABLE</v>
      </c>
      <c r="N2120" s="164"/>
    </row>
    <row r="2121" spans="1:14" ht="13.2" hidden="1">
      <c r="A2121" s="164" t="str">
        <f ca="1">IFERROR(__xludf.DUMMYFUNCTION("""COMPUTED_VALUE"""),"REGION V")</f>
        <v>REGION V</v>
      </c>
      <c r="B2121" s="164" t="str">
        <f ca="1">IFERROR(__xludf.DUMMYFUNCTION("""COMPUTED_VALUE"""),"CAMRINES SUR II")</f>
        <v>CAMRINES SUR II</v>
      </c>
      <c r="C2121" s="164" t="str">
        <f ca="1">IFERROR(__xludf.DUMMYFUNCTION("""COMPUTED_VALUE"""),"Desktop Computer – (Lenovo M70T)")</f>
        <v>Desktop Computer – (Lenovo M70T)</v>
      </c>
      <c r="D2121" s="164" t="str">
        <f ca="1">IFERROR(__xludf.DUMMYFUNCTION("""COMPUTED_VALUE"""),"₱ 75,468.00")</f>
        <v>₱ 75,468.00</v>
      </c>
      <c r="E2121" s="164" t="str">
        <f ca="1">IFERROR(__xludf.DUMMYFUNCTION("""COMPUTED_VALUE"""),"₱ -")</f>
        <v>₱ -</v>
      </c>
      <c r="F2121" s="164" t="str">
        <f ca="1">IFERROR(__xludf.DUMMYFUNCTION("""COMPUTED_VALUE"""),"2023-05-03-10202SP1068-01")</f>
        <v>2023-05-03-10202SP1068-01</v>
      </c>
      <c r="G2121" s="164" t="str">
        <f ca="1">IFERROR(__xludf.DUMMYFUNCTION("""COMPUTED_VALUE"""),"SN-EL4322C01054")</f>
        <v>SN-EL4322C01054</v>
      </c>
      <c r="H2121" s="164" t="str">
        <f ca="1">IFERROR(__xludf.DUMMYFUNCTION("""COMPUTED_VALUE"""),"ERLINDA C. ABLES")</f>
        <v>ERLINDA C. ABLES</v>
      </c>
      <c r="I2121" s="164" t="str">
        <f ca="1">IFERROR(__xludf.DUMMYFUNCTION("""COMPUTED_VALUE"""),"MARPO")</f>
        <v>MARPO</v>
      </c>
      <c r="J2121" s="164" t="str">
        <f ca="1">IFERROR(__xludf.DUMMYFUNCTION("""COMPUTED_VALUE"""),"PTR No.: 2023-SPLIT-005")</f>
        <v>PTR No.: 2023-SPLIT-005</v>
      </c>
      <c r="K2121" s="164" t="str">
        <f ca="1">IFERROR(__xludf.DUMMYFUNCTION("""COMPUTED_VALUE"""),"DARMO - MAGARAO")</f>
        <v>DARMO - MAGARAO</v>
      </c>
      <c r="L2121" s="164" t="str">
        <f ca="1">IFERROR(__xludf.DUMMYFUNCTION("""COMPUTED_VALUE"""),"DARMO - MAGARAO")</f>
        <v>DARMO - MAGARAO</v>
      </c>
      <c r="M2121" s="164" t="str">
        <f ca="1">IFERROR(__xludf.DUMMYFUNCTION("""COMPUTED_VALUE"""),"SERVICEABLE")</f>
        <v>SERVICEABLE</v>
      </c>
      <c r="N2121" s="164"/>
    </row>
    <row r="2122" spans="1:14" ht="13.2" hidden="1">
      <c r="A2122" s="164" t="str">
        <f ca="1">IFERROR(__xludf.DUMMYFUNCTION("""COMPUTED_VALUE"""),"REGION V")</f>
        <v>REGION V</v>
      </c>
      <c r="B2122" s="164" t="str">
        <f ca="1">IFERROR(__xludf.DUMMYFUNCTION("""COMPUTED_VALUE"""),"CAMRINES SUR II")</f>
        <v>CAMRINES SUR II</v>
      </c>
      <c r="C2122" s="164" t="str">
        <f ca="1">IFERROR(__xludf.DUMMYFUNCTION("""COMPUTED_VALUE"""),"Desktop Computer – (Lenovo M70T)")</f>
        <v>Desktop Computer – (Lenovo M70T)</v>
      </c>
      <c r="D2122" s="164" t="str">
        <f ca="1">IFERROR(__xludf.DUMMYFUNCTION("""COMPUTED_VALUE"""),"₱ 75,468.00")</f>
        <v>₱ 75,468.00</v>
      </c>
      <c r="E2122" s="164" t="str">
        <f ca="1">IFERROR(__xludf.DUMMYFUNCTION("""COMPUTED_VALUE"""),"₱ -")</f>
        <v>₱ -</v>
      </c>
      <c r="F2122" s="164" t="str">
        <f ca="1">IFERROR(__xludf.DUMMYFUNCTION("""COMPUTED_VALUE"""),"2023-05-03-10202SP1069-01")</f>
        <v>2023-05-03-10202SP1069-01</v>
      </c>
      <c r="G2122" s="164" t="str">
        <f ca="1">IFERROR(__xludf.DUMMYFUNCTION("""COMPUTED_VALUE"""),"SN-EL4322C01055")</f>
        <v>SN-EL4322C01055</v>
      </c>
      <c r="H2122" s="164" t="str">
        <f ca="1">IFERROR(__xludf.DUMMYFUNCTION("""COMPUTED_VALUE"""),"EDGAR T. AMOPRANTO")</f>
        <v>EDGAR T. AMOPRANTO</v>
      </c>
      <c r="I2122" s="164" t="str">
        <f ca="1">IFERROR(__xludf.DUMMYFUNCTION("""COMPUTED_VALUE"""),"MARPO")</f>
        <v>MARPO</v>
      </c>
      <c r="J2122" s="164" t="str">
        <f ca="1">IFERROR(__xludf.DUMMYFUNCTION("""COMPUTED_VALUE"""),"PTR No.: 2023-SPLIT-005")</f>
        <v>PTR No.: 2023-SPLIT-005</v>
      </c>
      <c r="K2122" s="164" t="str">
        <f ca="1">IFERROR(__xludf.DUMMYFUNCTION("""COMPUTED_VALUE"""),"DARMO - GOA")</f>
        <v>DARMO - GOA</v>
      </c>
      <c r="L2122" s="164" t="str">
        <f ca="1">IFERROR(__xludf.DUMMYFUNCTION("""COMPUTED_VALUE"""),"DARMO - GOA")</f>
        <v>DARMO - GOA</v>
      </c>
      <c r="M2122" s="164" t="str">
        <f ca="1">IFERROR(__xludf.DUMMYFUNCTION("""COMPUTED_VALUE"""),"SERVICEABLE")</f>
        <v>SERVICEABLE</v>
      </c>
      <c r="N2122" s="164"/>
    </row>
    <row r="2123" spans="1:14" ht="13.2" hidden="1">
      <c r="A2123" s="164" t="str">
        <f ca="1">IFERROR(__xludf.DUMMYFUNCTION("""COMPUTED_VALUE"""),"REGION V")</f>
        <v>REGION V</v>
      </c>
      <c r="B2123" s="164" t="str">
        <f ca="1">IFERROR(__xludf.DUMMYFUNCTION("""COMPUTED_VALUE"""),"CAMRINES SUR II")</f>
        <v>CAMRINES SUR II</v>
      </c>
      <c r="C2123" s="164" t="str">
        <f ca="1">IFERROR(__xludf.DUMMYFUNCTION("""COMPUTED_VALUE"""),"Desktop Computer – (HP Pro SFF 280G9)")</f>
        <v>Desktop Computer – (HP Pro SFF 280G9)</v>
      </c>
      <c r="D2123" s="164" t="str">
        <f ca="1">IFERROR(__xludf.DUMMYFUNCTION("""COMPUTED_VALUE"""),"₱ 78,898.00")</f>
        <v>₱ 78,898.00</v>
      </c>
      <c r="E2123" s="164" t="str">
        <f ca="1">IFERROR(__xludf.DUMMYFUNCTION("""COMPUTED_VALUE"""),"₱ -")</f>
        <v>₱ -</v>
      </c>
      <c r="F2123" s="164" t="str">
        <f ca="1">IFERROR(__xludf.DUMMYFUNCTION("""COMPUTED_VALUE"""),"2023-05-03-10202SP116-01")</f>
        <v>2023-05-03-10202SP116-01</v>
      </c>
      <c r="G2123" s="164" t="str">
        <f ca="1">IFERROR(__xludf.DUMMYFUNCTION("""COMPUTED_VALUE"""),"SN-320225BQ30000313")</f>
        <v>SN-320225BQ30000313</v>
      </c>
      <c r="H2123" s="164" t="str">
        <f ca="1">IFERROR(__xludf.DUMMYFUNCTION("""COMPUTED_VALUE"""),"ADONIS H. DOLANAS")</f>
        <v>ADONIS H. DOLANAS</v>
      </c>
      <c r="I2123" s="164" t="str">
        <f ca="1">IFERROR(__xludf.DUMMYFUNCTION("""COMPUTED_VALUE"""),"OIC - CARPO, LTID")</f>
        <v>OIC - CARPO, LTID</v>
      </c>
      <c r="J2123" s="164" t="str">
        <f ca="1">IFERROR(__xludf.DUMMYFUNCTION("""COMPUTED_VALUE"""),"PTR No.: 2023-SPLIT-006")</f>
        <v>PTR No.: 2023-SPLIT-006</v>
      </c>
      <c r="K2123" s="164" t="str">
        <f ca="1">IFERROR(__xludf.DUMMYFUNCTION("""COMPUTED_VALUE"""),"SOPHIA ANN O. ONGOG")</f>
        <v>SOPHIA ANN O. ONGOG</v>
      </c>
      <c r="L2123" s="164" t="str">
        <f ca="1">IFERROR(__xludf.DUMMYFUNCTION("""COMPUTED_VALUE"""),"PROJECT SPLIT")</f>
        <v>PROJECT SPLIT</v>
      </c>
      <c r="M2123" s="164" t="str">
        <f ca="1">IFERROR(__xludf.DUMMYFUNCTION("""COMPUTED_VALUE"""),"SERVICEABLE")</f>
        <v>SERVICEABLE</v>
      </c>
      <c r="N2123" s="164"/>
    </row>
    <row r="2124" spans="1:14" ht="13.2" hidden="1">
      <c r="A2124" s="164" t="str">
        <f ca="1">IFERROR(__xludf.DUMMYFUNCTION("""COMPUTED_VALUE"""),"REGION V")</f>
        <v>REGION V</v>
      </c>
      <c r="B2124" s="164" t="str">
        <f ca="1">IFERROR(__xludf.DUMMYFUNCTION("""COMPUTED_VALUE"""),"CAMRINES SUR II")</f>
        <v>CAMRINES SUR II</v>
      </c>
      <c r="C2124" s="164" t="str">
        <f ca="1">IFERROR(__xludf.DUMMYFUNCTION("""COMPUTED_VALUE"""),"Desktop Computer – (HP Pro SFF 280G9)")</f>
        <v>Desktop Computer – (HP Pro SFF 280G9)</v>
      </c>
      <c r="D2124" s="164" t="str">
        <f ca="1">IFERROR(__xludf.DUMMYFUNCTION("""COMPUTED_VALUE"""),"₱ 78,898.00")</f>
        <v>₱ 78,898.00</v>
      </c>
      <c r="E2124" s="164" t="str">
        <f ca="1">IFERROR(__xludf.DUMMYFUNCTION("""COMPUTED_VALUE"""),"₱ -")</f>
        <v>₱ -</v>
      </c>
      <c r="F2124" s="164" t="str">
        <f ca="1">IFERROR(__xludf.DUMMYFUNCTION("""COMPUTED_VALUE"""),"2023-05-03-10202SP117-01")</f>
        <v>2023-05-03-10202SP117-01</v>
      </c>
      <c r="G2124" s="164" t="str">
        <f ca="1">IFERROR(__xludf.DUMMYFUNCTION("""COMPUTED_VALUE"""),"SN-320225BQ30000308")</f>
        <v>SN-320225BQ30000308</v>
      </c>
      <c r="H2124" s="164" t="str">
        <f ca="1">IFERROR(__xludf.DUMMYFUNCTION("""COMPUTED_VALUE"""),"ADONIS H. DOLANAS")</f>
        <v>ADONIS H. DOLANAS</v>
      </c>
      <c r="I2124" s="164" t="str">
        <f ca="1">IFERROR(__xludf.DUMMYFUNCTION("""COMPUTED_VALUE"""),"OIC - CARPO, LTID")</f>
        <v>OIC - CARPO, LTID</v>
      </c>
      <c r="J2124" s="164" t="str">
        <f ca="1">IFERROR(__xludf.DUMMYFUNCTION("""COMPUTED_VALUE"""),"PTR No.: 2023-SPLIT-006")</f>
        <v>PTR No.: 2023-SPLIT-006</v>
      </c>
      <c r="K2124" s="164" t="str">
        <f ca="1">IFERROR(__xludf.DUMMYFUNCTION("""COMPUTED_VALUE"""),"JEMMABEL B. FAVOR")</f>
        <v>JEMMABEL B. FAVOR</v>
      </c>
      <c r="L2124" s="164" t="str">
        <f ca="1">IFERROR(__xludf.DUMMYFUNCTION("""COMPUTED_VALUE"""),"PROJECT SPLIT")</f>
        <v>PROJECT SPLIT</v>
      </c>
      <c r="M2124" s="164" t="str">
        <f ca="1">IFERROR(__xludf.DUMMYFUNCTION("""COMPUTED_VALUE"""),"SERVICEABLE")</f>
        <v>SERVICEABLE</v>
      </c>
      <c r="N2124" s="164"/>
    </row>
    <row r="2125" spans="1:14" ht="13.2" hidden="1">
      <c r="A2125" s="164" t="str">
        <f ca="1">IFERROR(__xludf.DUMMYFUNCTION("""COMPUTED_VALUE"""),"REGION V")</f>
        <v>REGION V</v>
      </c>
      <c r="B2125" s="164" t="str">
        <f ca="1">IFERROR(__xludf.DUMMYFUNCTION("""COMPUTED_VALUE"""),"CAMRINES SUR II")</f>
        <v>CAMRINES SUR II</v>
      </c>
      <c r="C2125" s="164" t="str">
        <f ca="1">IFERROR(__xludf.DUMMYFUNCTION("""COMPUTED_VALUE"""),"Desktop Computer – (HP Pro SFF 280G9)")</f>
        <v>Desktop Computer – (HP Pro SFF 280G9)</v>
      </c>
      <c r="D2125" s="164" t="str">
        <f ca="1">IFERROR(__xludf.DUMMYFUNCTION("""COMPUTED_VALUE"""),"₱ 78,898.00")</f>
        <v>₱ 78,898.00</v>
      </c>
      <c r="E2125" s="164" t="str">
        <f ca="1">IFERROR(__xludf.DUMMYFUNCTION("""COMPUTED_VALUE"""),"₱ -")</f>
        <v>₱ -</v>
      </c>
      <c r="F2125" s="164" t="str">
        <f ca="1">IFERROR(__xludf.DUMMYFUNCTION("""COMPUTED_VALUE"""),"2023-05-03-10202SP118-01")</f>
        <v>2023-05-03-10202SP118-01</v>
      </c>
      <c r="G2125" s="164" t="str">
        <f ca="1">IFERROR(__xludf.DUMMYFUNCTION("""COMPUTED_VALUE"""),"SN-320225BQ30000307")</f>
        <v>SN-320225BQ30000307</v>
      </c>
      <c r="H2125" s="164" t="str">
        <f ca="1">IFERROR(__xludf.DUMMYFUNCTION("""COMPUTED_VALUE"""),"ADONIS H. DOLANAS")</f>
        <v>ADONIS H. DOLANAS</v>
      </c>
      <c r="I2125" s="164" t="str">
        <f ca="1">IFERROR(__xludf.DUMMYFUNCTION("""COMPUTED_VALUE"""),"OIC - CARPO, LTID")</f>
        <v>OIC - CARPO, LTID</v>
      </c>
      <c r="J2125" s="164" t="str">
        <f ca="1">IFERROR(__xludf.DUMMYFUNCTION("""COMPUTED_VALUE"""),"PTR No.: 2023-SPLIT-006")</f>
        <v>PTR No.: 2023-SPLIT-006</v>
      </c>
      <c r="K2125" s="164" t="str">
        <f ca="1">IFERROR(__xludf.DUMMYFUNCTION("""COMPUTED_VALUE"""),"ATTY. MELANIE AURE AREVALO")</f>
        <v>ATTY. MELANIE AURE AREVALO</v>
      </c>
      <c r="L2125" s="164" t="str">
        <f ca="1">IFERROR(__xludf.DUMMYFUNCTION("""COMPUTED_VALUE"""),"PROJECT SPLIT")</f>
        <v>PROJECT SPLIT</v>
      </c>
      <c r="M2125" s="164" t="str">
        <f ca="1">IFERROR(__xludf.DUMMYFUNCTION("""COMPUTED_VALUE"""),"SERVICEABLE")</f>
        <v>SERVICEABLE</v>
      </c>
      <c r="N2125" s="164"/>
    </row>
    <row r="2126" spans="1:14" ht="13.2" hidden="1">
      <c r="A2126" s="164" t="str">
        <f ca="1">IFERROR(__xludf.DUMMYFUNCTION("""COMPUTED_VALUE"""),"REGION V")</f>
        <v>REGION V</v>
      </c>
      <c r="B2126" s="164" t="str">
        <f ca="1">IFERROR(__xludf.DUMMYFUNCTION("""COMPUTED_VALUE"""),"CAMRINES SUR II")</f>
        <v>CAMRINES SUR II</v>
      </c>
      <c r="C2126" s="164" t="str">
        <f ca="1">IFERROR(__xludf.DUMMYFUNCTION("""COMPUTED_VALUE"""),"Desktop Computer – (HP Pro SFF 280G9)")</f>
        <v>Desktop Computer – (HP Pro SFF 280G9)</v>
      </c>
      <c r="D2126" s="164" t="str">
        <f ca="1">IFERROR(__xludf.DUMMYFUNCTION("""COMPUTED_VALUE"""),"₱ 78,898.00")</f>
        <v>₱ 78,898.00</v>
      </c>
      <c r="E2126" s="164" t="str">
        <f ca="1">IFERROR(__xludf.DUMMYFUNCTION("""COMPUTED_VALUE"""),"₱ -")</f>
        <v>₱ -</v>
      </c>
      <c r="F2126" s="164" t="str">
        <f ca="1">IFERROR(__xludf.DUMMYFUNCTION("""COMPUTED_VALUE"""),"2023-05-03-10202SP119-01")</f>
        <v>2023-05-03-10202SP119-01</v>
      </c>
      <c r="G2126" s="164" t="str">
        <f ca="1">IFERROR(__xludf.DUMMYFUNCTION("""COMPUTED_VALUE"""),"SN-320225BQ30000306")</f>
        <v>SN-320225BQ30000306</v>
      </c>
      <c r="H2126" s="164" t="str">
        <f ca="1">IFERROR(__xludf.DUMMYFUNCTION("""COMPUTED_VALUE"""),"ADONIS H. DOLANAS")</f>
        <v>ADONIS H. DOLANAS</v>
      </c>
      <c r="I2126" s="164" t="str">
        <f ca="1">IFERROR(__xludf.DUMMYFUNCTION("""COMPUTED_VALUE"""),"OIC - CARPO, LTID")</f>
        <v>OIC - CARPO, LTID</v>
      </c>
      <c r="J2126" s="164" t="str">
        <f ca="1">IFERROR(__xludf.DUMMYFUNCTION("""COMPUTED_VALUE"""),"PTR No.: 2023-SPLIT-006")</f>
        <v>PTR No.: 2023-SPLIT-006</v>
      </c>
      <c r="K2126" s="164" t="str">
        <f ca="1">IFERROR(__xludf.DUMMYFUNCTION("""COMPUTED_VALUE"""),"ELLA ANDREA A. PALOMIANO")</f>
        <v>ELLA ANDREA A. PALOMIANO</v>
      </c>
      <c r="L2126" s="164" t="str">
        <f ca="1">IFERROR(__xludf.DUMMYFUNCTION("""COMPUTED_VALUE"""),"PROJECT SPLIT")</f>
        <v>PROJECT SPLIT</v>
      </c>
      <c r="M2126" s="164" t="str">
        <f ca="1">IFERROR(__xludf.DUMMYFUNCTION("""COMPUTED_VALUE"""),"SERVICEABLE")</f>
        <v>SERVICEABLE</v>
      </c>
      <c r="N2126" s="164"/>
    </row>
    <row r="2127" spans="1:14" ht="13.2" hidden="1">
      <c r="A2127" s="164" t="str">
        <f ca="1">IFERROR(__xludf.DUMMYFUNCTION("""COMPUTED_VALUE"""),"REGION V")</f>
        <v>REGION V</v>
      </c>
      <c r="B2127" s="164" t="str">
        <f ca="1">IFERROR(__xludf.DUMMYFUNCTION("""COMPUTED_VALUE"""),"CAMRINES SUR II")</f>
        <v>CAMRINES SUR II</v>
      </c>
      <c r="C2127" s="164" t="str">
        <f ca="1">IFERROR(__xludf.DUMMYFUNCTION("""COMPUTED_VALUE"""),"Desktop Computer – (HP Pro SFF 280G9)")</f>
        <v>Desktop Computer – (HP Pro SFF 280G9)</v>
      </c>
      <c r="D2127" s="164" t="str">
        <f ca="1">IFERROR(__xludf.DUMMYFUNCTION("""COMPUTED_VALUE"""),"₱ 78,898.00")</f>
        <v>₱ 78,898.00</v>
      </c>
      <c r="E2127" s="164" t="str">
        <f ca="1">IFERROR(__xludf.DUMMYFUNCTION("""COMPUTED_VALUE"""),"₱ -")</f>
        <v>₱ -</v>
      </c>
      <c r="F2127" s="164" t="str">
        <f ca="1">IFERROR(__xludf.DUMMYFUNCTION("""COMPUTED_VALUE"""),"2023-05-03-10202SP120-01")</f>
        <v>2023-05-03-10202SP120-01</v>
      </c>
      <c r="G2127" s="164" t="str">
        <f ca="1">IFERROR(__xludf.DUMMYFUNCTION("""COMPUTED_VALUE"""),"SN-320225BQ30000305")</f>
        <v>SN-320225BQ30000305</v>
      </c>
      <c r="H2127" s="164" t="str">
        <f ca="1">IFERROR(__xludf.DUMMYFUNCTION("""COMPUTED_VALUE"""),"ADONIS H. DOLANAS")</f>
        <v>ADONIS H. DOLANAS</v>
      </c>
      <c r="I2127" s="164" t="str">
        <f ca="1">IFERROR(__xludf.DUMMYFUNCTION("""COMPUTED_VALUE"""),"OIC - CARPO, LTID")</f>
        <v>OIC - CARPO, LTID</v>
      </c>
      <c r="J2127" s="164" t="str">
        <f ca="1">IFERROR(__xludf.DUMMYFUNCTION("""COMPUTED_VALUE"""),"PTR No.: 2023-SPLIT-006")</f>
        <v>PTR No.: 2023-SPLIT-006</v>
      </c>
      <c r="K2127" s="164" t="str">
        <f ca="1">IFERROR(__xludf.DUMMYFUNCTION("""COMPUTED_VALUE"""),"CHARLEY MAINE VENUS")</f>
        <v>CHARLEY MAINE VENUS</v>
      </c>
      <c r="L2127" s="164" t="str">
        <f ca="1">IFERROR(__xludf.DUMMYFUNCTION("""COMPUTED_VALUE"""),"LTID")</f>
        <v>LTID</v>
      </c>
      <c r="M2127" s="164" t="str">
        <f ca="1">IFERROR(__xludf.DUMMYFUNCTION("""COMPUTED_VALUE"""),"SERVICEABLE")</f>
        <v>SERVICEABLE</v>
      </c>
      <c r="N2127" s="164"/>
    </row>
    <row r="2128" spans="1:14" ht="13.2" hidden="1">
      <c r="A2128" s="164" t="str">
        <f ca="1">IFERROR(__xludf.DUMMYFUNCTION("""COMPUTED_VALUE"""),"REGION V")</f>
        <v>REGION V</v>
      </c>
      <c r="B2128" s="164" t="str">
        <f ca="1">IFERROR(__xludf.DUMMYFUNCTION("""COMPUTED_VALUE"""),"CAMRINES SUR II")</f>
        <v>CAMRINES SUR II</v>
      </c>
      <c r="C2128" s="164" t="str">
        <f ca="1">IFERROR(__xludf.DUMMYFUNCTION("""COMPUTED_VALUE"""),"Laptop – (ACER EXTENSA EX215-55G i7)")</f>
        <v>Laptop – (ACER EXTENSA EX215-55G i7)</v>
      </c>
      <c r="D2128" s="164" t="str">
        <f ca="1">IFERROR(__xludf.DUMMYFUNCTION("""COMPUTED_VALUE"""),"₱ 59,500.00")</f>
        <v>₱ 59,500.00</v>
      </c>
      <c r="E2128" s="164" t="str">
        <f ca="1">IFERROR(__xludf.DUMMYFUNCTION("""COMPUTED_VALUE"""),"₱ -")</f>
        <v>₱ -</v>
      </c>
      <c r="F2128" s="164" t="str">
        <f ca="1">IFERROR(__xludf.DUMMYFUNCTION("""COMPUTED_VALUE"""),"2023-05-03-10202SP231-01")</f>
        <v>2023-05-03-10202SP231-01</v>
      </c>
      <c r="G2128" s="164" t="str">
        <f ca="1">IFERROR(__xludf.DUMMYFUNCTION("""COMPUTED_VALUE"""),"SN-NXEGZSP00330801B893400")</f>
        <v>SN-NXEGZSP00330801B893400</v>
      </c>
      <c r="H2128" s="164" t="str">
        <f ca="1">IFERROR(__xludf.DUMMYFUNCTION("""COMPUTED_VALUE"""),"ADONIS H. DOLANAS")</f>
        <v>ADONIS H. DOLANAS</v>
      </c>
      <c r="I2128" s="164" t="str">
        <f ca="1">IFERROR(__xludf.DUMMYFUNCTION("""COMPUTED_VALUE"""),"OIC - CARPO, LTID")</f>
        <v>OIC - CARPO, LTID</v>
      </c>
      <c r="J2128" s="164" t="str">
        <f ca="1">IFERROR(__xludf.DUMMYFUNCTION("""COMPUTED_VALUE"""),"PTR No.: 2023-SPLIT-006")</f>
        <v>PTR No.: 2023-SPLIT-006</v>
      </c>
      <c r="K2128" s="164" t="str">
        <f ca="1">IFERROR(__xludf.DUMMYFUNCTION("""COMPUTED_VALUE"""),"FIEL CEDRIC POPRTUGAL")</f>
        <v>FIEL CEDRIC POPRTUGAL</v>
      </c>
      <c r="L2128" s="164" t="str">
        <f ca="1">IFERROR(__xludf.DUMMYFUNCTION("""COMPUTED_VALUE"""),"LTID")</f>
        <v>LTID</v>
      </c>
      <c r="M2128" s="164" t="str">
        <f ca="1">IFERROR(__xludf.DUMMYFUNCTION("""COMPUTED_VALUE"""),"SERVICEABLE")</f>
        <v>SERVICEABLE</v>
      </c>
      <c r="N2128" s="164"/>
    </row>
    <row r="2129" spans="1:14" ht="13.2" hidden="1">
      <c r="A2129" s="164" t="str">
        <f ca="1">IFERROR(__xludf.DUMMYFUNCTION("""COMPUTED_VALUE"""),"REGION V")</f>
        <v>REGION V</v>
      </c>
      <c r="B2129" s="164" t="str">
        <f ca="1">IFERROR(__xludf.DUMMYFUNCTION("""COMPUTED_VALUE"""),"CAMRINES SUR II")</f>
        <v>CAMRINES SUR II</v>
      </c>
      <c r="C2129" s="164" t="str">
        <f ca="1">IFERROR(__xludf.DUMMYFUNCTION("""COMPUTED_VALUE"""),"Laptop – (ACER EXTENSA EX215-55G i7)")</f>
        <v>Laptop – (ACER EXTENSA EX215-55G i7)</v>
      </c>
      <c r="D2129" s="164" t="str">
        <f ca="1">IFERROR(__xludf.DUMMYFUNCTION("""COMPUTED_VALUE"""),"₱ 59,500.00")</f>
        <v>₱ 59,500.00</v>
      </c>
      <c r="E2129" s="164" t="str">
        <f ca="1">IFERROR(__xludf.DUMMYFUNCTION("""COMPUTED_VALUE"""),"₱ -")</f>
        <v>₱ -</v>
      </c>
      <c r="F2129" s="164" t="str">
        <f ca="1">IFERROR(__xludf.DUMMYFUNCTION("""COMPUTED_VALUE"""),"2023-05-03-10202SP232-01")</f>
        <v>2023-05-03-10202SP232-01</v>
      </c>
      <c r="G2129" s="164" t="str">
        <f ca="1">IFERROR(__xludf.DUMMYFUNCTION("""COMPUTED_VALUE"""),"SN-NXEGZSP00330801B0C3400")</f>
        <v>SN-NXEGZSP00330801B0C3400</v>
      </c>
      <c r="H2129" s="164" t="str">
        <f ca="1">IFERROR(__xludf.DUMMYFUNCTION("""COMPUTED_VALUE"""),"ADONIS H. DOLANAS")</f>
        <v>ADONIS H. DOLANAS</v>
      </c>
      <c r="I2129" s="164" t="str">
        <f ca="1">IFERROR(__xludf.DUMMYFUNCTION("""COMPUTED_VALUE"""),"OIC - CARPO, LTID")</f>
        <v>OIC - CARPO, LTID</v>
      </c>
      <c r="J2129" s="164" t="str">
        <f ca="1">IFERROR(__xludf.DUMMYFUNCTION("""COMPUTED_VALUE"""),"PTR No.: 2023-SPLIT-006")</f>
        <v>PTR No.: 2023-SPLIT-006</v>
      </c>
      <c r="K2129" s="164" t="str">
        <f ca="1">IFERROR(__xludf.DUMMYFUNCTION("""COMPUTED_VALUE"""),"ADONIS H. DOLANAS")</f>
        <v>ADONIS H. DOLANAS</v>
      </c>
      <c r="L2129" s="164" t="str">
        <f ca="1">IFERROR(__xludf.DUMMYFUNCTION("""COMPUTED_VALUE"""),"PROJECT SPLIT")</f>
        <v>PROJECT SPLIT</v>
      </c>
      <c r="M2129" s="164" t="str">
        <f ca="1">IFERROR(__xludf.DUMMYFUNCTION("""COMPUTED_VALUE"""),"SERVICEABLE")</f>
        <v>SERVICEABLE</v>
      </c>
      <c r="N2129" s="164"/>
    </row>
    <row r="2130" spans="1:14" ht="13.2" hidden="1">
      <c r="A2130" s="164" t="str">
        <f ca="1">IFERROR(__xludf.DUMMYFUNCTION("""COMPUTED_VALUE"""),"REGION V")</f>
        <v>REGION V</v>
      </c>
      <c r="B2130" s="164" t="str">
        <f ca="1">IFERROR(__xludf.DUMMYFUNCTION("""COMPUTED_VALUE"""),"CAMRINES SUR II")</f>
        <v>CAMRINES SUR II</v>
      </c>
      <c r="C2130" s="164" t="str">
        <f ca="1">IFERROR(__xludf.DUMMYFUNCTION("""COMPUTED_VALUE"""),"Laptop – (ACER EXTENSA EX215-55G i7)")</f>
        <v>Laptop – (ACER EXTENSA EX215-55G i7)</v>
      </c>
      <c r="D2130" s="164" t="str">
        <f ca="1">IFERROR(__xludf.DUMMYFUNCTION("""COMPUTED_VALUE"""),"₱ 59,500.00")</f>
        <v>₱ 59,500.00</v>
      </c>
      <c r="E2130" s="164" t="str">
        <f ca="1">IFERROR(__xludf.DUMMYFUNCTION("""COMPUTED_VALUE"""),"₱ -")</f>
        <v>₱ -</v>
      </c>
      <c r="F2130" s="164" t="str">
        <f ca="1">IFERROR(__xludf.DUMMYFUNCTION("""COMPUTED_VALUE"""),"2023-05-03-10202SP233-01")</f>
        <v>2023-05-03-10202SP233-01</v>
      </c>
      <c r="G2130" s="164" t="str">
        <f ca="1">IFERROR(__xludf.DUMMYFUNCTION("""COMPUTED_VALUE"""),"SN-NXEGZSP00330801BCE3400")</f>
        <v>SN-NXEGZSP00330801BCE3400</v>
      </c>
      <c r="H2130" s="164" t="str">
        <f ca="1">IFERROR(__xludf.DUMMYFUNCTION("""COMPUTED_VALUE"""),"ADONIS H. DOLANAS")</f>
        <v>ADONIS H. DOLANAS</v>
      </c>
      <c r="I2130" s="164" t="str">
        <f ca="1">IFERROR(__xludf.DUMMYFUNCTION("""COMPUTED_VALUE"""),"OIC - CARPO, LTID")</f>
        <v>OIC - CARPO, LTID</v>
      </c>
      <c r="J2130" s="164" t="str">
        <f ca="1">IFERROR(__xludf.DUMMYFUNCTION("""COMPUTED_VALUE"""),"PTR No.: 2023-SPLIT-006")</f>
        <v>PTR No.: 2023-SPLIT-006</v>
      </c>
      <c r="K2130" s="164" t="str">
        <f ca="1">IFERROR(__xludf.DUMMYFUNCTION("""COMPUTED_VALUE"""),"NORBERTO BELMONTE")</f>
        <v>NORBERTO BELMONTE</v>
      </c>
      <c r="L2130" s="164" t="str">
        <f ca="1">IFERROR(__xludf.DUMMYFUNCTION("""COMPUTED_VALUE"""),"PROJECT SPLIT")</f>
        <v>PROJECT SPLIT</v>
      </c>
      <c r="M2130" s="164" t="str">
        <f ca="1">IFERROR(__xludf.DUMMYFUNCTION("""COMPUTED_VALUE"""),"SERVICEABLE")</f>
        <v>SERVICEABLE</v>
      </c>
      <c r="N2130" s="164"/>
    </row>
    <row r="2131" spans="1:14" ht="13.2" hidden="1">
      <c r="A2131" s="164" t="str">
        <f ca="1">IFERROR(__xludf.DUMMYFUNCTION("""COMPUTED_VALUE"""),"REGION V")</f>
        <v>REGION V</v>
      </c>
      <c r="B2131" s="164" t="str">
        <f ca="1">IFERROR(__xludf.DUMMYFUNCTION("""COMPUTED_VALUE"""),"CAMRINES SUR II")</f>
        <v>CAMRINES SUR II</v>
      </c>
      <c r="C2131" s="164" t="str">
        <f ca="1">IFERROR(__xludf.DUMMYFUNCTION("""COMPUTED_VALUE"""),"Photocopier Machine – Kyocera")</f>
        <v>Photocopier Machine – Kyocera</v>
      </c>
      <c r="D2131" s="164" t="str">
        <f ca="1">IFERROR(__xludf.DUMMYFUNCTION("""COMPUTED_VALUE"""),"₱ 84,500.00")</f>
        <v>₱ 84,500.00</v>
      </c>
      <c r="E2131" s="164" t="str">
        <f ca="1">IFERROR(__xludf.DUMMYFUNCTION("""COMPUTED_VALUE"""),"₱ -")</f>
        <v>₱ -</v>
      </c>
      <c r="F2131" s="164" t="str">
        <f ca="1">IFERROR(__xludf.DUMMYFUNCTION("""COMPUTED_VALUE"""),"2022-05-02-10202SP41-01")</f>
        <v>2022-05-02-10202SP41-01</v>
      </c>
      <c r="G2131" s="164" t="str">
        <f ca="1">IFERROR(__xludf.DUMMYFUNCTION("""COMPUTED_VALUE"""),"SN-RNK2700191")</f>
        <v>SN-RNK2700191</v>
      </c>
      <c r="H2131" s="164" t="str">
        <f ca="1">IFERROR(__xludf.DUMMYFUNCTION("""COMPUTED_VALUE"""),"ENGR. RENATO C. BEQUILLO")</f>
        <v>ENGR. RENATO C. BEQUILLO</v>
      </c>
      <c r="I2131" s="164" t="str">
        <f ca="1">IFERROR(__xludf.DUMMYFUNCTION("""COMPUTED_VALUE"""),"PARPO II")</f>
        <v>PARPO II</v>
      </c>
      <c r="J2131" s="164" t="str">
        <f ca="1">IFERROR(__xludf.DUMMYFUNCTION("""COMPUTED_VALUE"""),"LTID-SPLIT -2022-007")</f>
        <v>LTID-SPLIT -2022-007</v>
      </c>
      <c r="K2131" s="164" t="str">
        <f ca="1">IFERROR(__xludf.DUMMYFUNCTION("""COMPUTED_VALUE"""),"PROJECT SPLIT")</f>
        <v>PROJECT SPLIT</v>
      </c>
      <c r="L2131" s="164" t="str">
        <f ca="1">IFERROR(__xludf.DUMMYFUNCTION("""COMPUTED_VALUE"""),"PROJECT SPLIT")</f>
        <v>PROJECT SPLIT</v>
      </c>
      <c r="M2131" s="164" t="str">
        <f ca="1">IFERROR(__xludf.DUMMYFUNCTION("""COMPUTED_VALUE"""),"SERVICEABLE")</f>
        <v>SERVICEABLE</v>
      </c>
      <c r="N2131" s="164"/>
    </row>
    <row r="2132" spans="1:14" ht="13.2" hidden="1">
      <c r="A2132" s="164" t="str">
        <f ca="1">IFERROR(__xludf.DUMMYFUNCTION("""COMPUTED_VALUE"""),"REGION V")</f>
        <v>REGION V</v>
      </c>
      <c r="B2132" s="164" t="str">
        <f ca="1">IFERROR(__xludf.DUMMYFUNCTION("""COMPUTED_VALUE"""),"CATANDUANES")</f>
        <v>CATANDUANES</v>
      </c>
      <c r="C2132" s="164" t="str">
        <f ca="1">IFERROR(__xludf.DUMMYFUNCTION("""COMPUTED_VALUE"""),"Desktop Computer – (Lenovo M70T)")</f>
        <v>Desktop Computer – (Lenovo M70T)</v>
      </c>
      <c r="D2132" s="164" t="str">
        <f ca="1">IFERROR(__xludf.DUMMYFUNCTION("""COMPUTED_VALUE"""),"₱ 75,468.00")</f>
        <v>₱ 75,468.00</v>
      </c>
      <c r="E2132" s="164" t="str">
        <f ca="1">IFERROR(__xludf.DUMMYFUNCTION("""COMPUTED_VALUE"""),"₱ -")</f>
        <v>₱ -</v>
      </c>
      <c r="F2132" s="164" t="str">
        <f ca="1">IFERROR(__xludf.DUMMYFUNCTION("""COMPUTED_VALUE"""),"DAR-SPLIT-2023-05-0001")</f>
        <v>DAR-SPLIT-2023-05-0001</v>
      </c>
      <c r="G2132" s="164" t="str">
        <f ca="1">IFERROR(__xludf.DUMMYFUNCTION("""COMPUTED_VALUE"""),"GM041ATS")</f>
        <v>GM041ATS</v>
      </c>
      <c r="H2132" s="164" t="str">
        <f ca="1">IFERROR(__xludf.DUMMYFUNCTION("""COMPUTED_VALUE"""),"NERISA B. ALDEA")</f>
        <v>NERISA B. ALDEA</v>
      </c>
      <c r="I2132" s="164" t="str">
        <f ca="1">IFERROR(__xludf.DUMMYFUNCTION("""COMPUTED_VALUE"""),"OIC-PARPO II")</f>
        <v>OIC-PARPO II</v>
      </c>
      <c r="J2132" s="164" t="str">
        <f ca="1">IFERROR(__xludf.DUMMYFUNCTION("""COMPUTED_VALUE"""),"SPLIT 2023-05-0001")</f>
        <v>SPLIT 2023-05-0001</v>
      </c>
      <c r="K2132" s="164" t="str">
        <f ca="1">IFERROR(__xludf.DUMMYFUNCTION("""COMPUTED_VALUE"""),"NERISA B. ALDEA")</f>
        <v>NERISA B. ALDEA</v>
      </c>
      <c r="L2132" s="164" t="str">
        <f ca="1">IFERROR(__xludf.DUMMYFUNCTION("""COMPUTED_VALUE"""),"PARPO's Office")</f>
        <v>PARPO's Office</v>
      </c>
      <c r="M2132" s="164" t="str">
        <f ca="1">IFERROR(__xludf.DUMMYFUNCTION("""COMPUTED_VALUE"""),"SERVICEABLE")</f>
        <v>SERVICEABLE</v>
      </c>
      <c r="N2132" s="164"/>
    </row>
    <row r="2133" spans="1:14" ht="13.2" hidden="1">
      <c r="A2133" s="164" t="str">
        <f ca="1">IFERROR(__xludf.DUMMYFUNCTION("""COMPUTED_VALUE"""),"REGION V")</f>
        <v>REGION V</v>
      </c>
      <c r="B2133" s="164" t="str">
        <f ca="1">IFERROR(__xludf.DUMMYFUNCTION("""COMPUTED_VALUE"""),"CATANDUANES")</f>
        <v>CATANDUANES</v>
      </c>
      <c r="C2133" s="164" t="str">
        <f ca="1">IFERROR(__xludf.DUMMYFUNCTION("""COMPUTED_VALUE"""),"Desktop Computer – (Lenovo M70T)")</f>
        <v>Desktop Computer – (Lenovo M70T)</v>
      </c>
      <c r="D2133" s="164" t="str">
        <f ca="1">IFERROR(__xludf.DUMMYFUNCTION("""COMPUTED_VALUE"""),"₱ 75,468.00")</f>
        <v>₱ 75,468.00</v>
      </c>
      <c r="E2133" s="164" t="str">
        <f ca="1">IFERROR(__xludf.DUMMYFUNCTION("""COMPUTED_VALUE"""),"₱ -")</f>
        <v>₱ -</v>
      </c>
      <c r="F2133" s="164" t="str">
        <f ca="1">IFERROR(__xludf.DUMMYFUNCTION("""COMPUTED_VALUE"""),"DAR-SPLIT-2023-05-0002")</f>
        <v>DAR-SPLIT-2023-05-0002</v>
      </c>
      <c r="G2133" s="164" t="str">
        <f ca="1">IFERROR(__xludf.DUMMYFUNCTION("""COMPUTED_VALUE"""),"GM041ATT")</f>
        <v>GM041ATT</v>
      </c>
      <c r="H2133" s="164" t="str">
        <f ca="1">IFERROR(__xludf.DUMMYFUNCTION("""COMPUTED_VALUE"""),"ATTY. CHERRY A. AGMATA")</f>
        <v>ATTY. CHERRY A. AGMATA</v>
      </c>
      <c r="I2133" s="164" t="str">
        <f ca="1">IFERROR(__xludf.DUMMYFUNCTION("""COMPUTED_VALUE"""),"Attorney V")</f>
        <v>Attorney V</v>
      </c>
      <c r="J2133" s="164" t="str">
        <f ca="1">IFERROR(__xludf.DUMMYFUNCTION("""COMPUTED_VALUE"""),"SPLIT 2023-05-0002")</f>
        <v>SPLIT 2023-05-0002</v>
      </c>
      <c r="K2133" s="164" t="str">
        <f ca="1">IFERROR(__xludf.DUMMYFUNCTION("""COMPUTED_VALUE"""),"JOEMARIE C. PEÑA")</f>
        <v>JOEMARIE C. PEÑA</v>
      </c>
      <c r="L2133" s="164" t="str">
        <f ca="1">IFERROR(__xludf.DUMMYFUNCTION("""COMPUTED_VALUE"""),"Legal Office")</f>
        <v>Legal Office</v>
      </c>
      <c r="M2133" s="164" t="str">
        <f ca="1">IFERROR(__xludf.DUMMYFUNCTION("""COMPUTED_VALUE"""),"SERVICEABLE")</f>
        <v>SERVICEABLE</v>
      </c>
      <c r="N2133" s="164"/>
    </row>
    <row r="2134" spans="1:14" ht="13.2" hidden="1">
      <c r="A2134" s="164" t="str">
        <f ca="1">IFERROR(__xludf.DUMMYFUNCTION("""COMPUTED_VALUE"""),"REGION V")</f>
        <v>REGION V</v>
      </c>
      <c r="B2134" s="164" t="str">
        <f ca="1">IFERROR(__xludf.DUMMYFUNCTION("""COMPUTED_VALUE"""),"CATANDUANES")</f>
        <v>CATANDUANES</v>
      </c>
      <c r="C2134" s="164" t="str">
        <f ca="1">IFERROR(__xludf.DUMMYFUNCTION("""COMPUTED_VALUE"""),"Desktop Computer – (Lenovo M70T)")</f>
        <v>Desktop Computer – (Lenovo M70T)</v>
      </c>
      <c r="D2134" s="164" t="str">
        <f ca="1">IFERROR(__xludf.DUMMYFUNCTION("""COMPUTED_VALUE"""),"₱ 75,468.00")</f>
        <v>₱ 75,468.00</v>
      </c>
      <c r="E2134" s="164" t="str">
        <f ca="1">IFERROR(__xludf.DUMMYFUNCTION("""COMPUTED_VALUE"""),"₱ -")</f>
        <v>₱ -</v>
      </c>
      <c r="F2134" s="164" t="str">
        <f ca="1">IFERROR(__xludf.DUMMYFUNCTION("""COMPUTED_VALUE"""),"DAR-SPLIT-2023-05-0003")</f>
        <v>DAR-SPLIT-2023-05-0003</v>
      </c>
      <c r="G2134" s="164" t="str">
        <f ca="1">IFERROR(__xludf.DUMMYFUNCTION("""COMPUTED_VALUE"""),"GM041ATV")</f>
        <v>GM041ATV</v>
      </c>
      <c r="H2134" s="164" t="str">
        <f ca="1">IFERROR(__xludf.DUMMYFUNCTION("""COMPUTED_VALUE"""),"ANGELEE M. BERNAL")</f>
        <v>ANGELEE M. BERNAL</v>
      </c>
      <c r="I2134" s="164" t="str">
        <f ca="1">IFERROR(__xludf.DUMMYFUNCTION("""COMPUTED_VALUE"""),"ARPO II")</f>
        <v>ARPO II</v>
      </c>
      <c r="J2134" s="164" t="str">
        <f ca="1">IFERROR(__xludf.DUMMYFUNCTION("""COMPUTED_VALUE"""),"SPLIT 2023-05-0003")</f>
        <v>SPLIT 2023-05-0003</v>
      </c>
      <c r="K2134" s="164" t="str">
        <f ca="1">IFERROR(__xludf.DUMMYFUNCTION("""COMPUTED_VALUE"""),"ANGELEE M. BERNAL")</f>
        <v>ANGELEE M. BERNAL</v>
      </c>
      <c r="L2134" s="164" t="str">
        <f ca="1">IFERROR(__xludf.DUMMYFUNCTION("""COMPUTED_VALUE"""),"LTID Office")</f>
        <v>LTID Office</v>
      </c>
      <c r="M2134" s="164" t="str">
        <f ca="1">IFERROR(__xludf.DUMMYFUNCTION("""COMPUTED_VALUE"""),"SERVICEABLE")</f>
        <v>SERVICEABLE</v>
      </c>
      <c r="N2134" s="164"/>
    </row>
    <row r="2135" spans="1:14" ht="13.2" hidden="1">
      <c r="A2135" s="164" t="str">
        <f ca="1">IFERROR(__xludf.DUMMYFUNCTION("""COMPUTED_VALUE"""),"REGION V")</f>
        <v>REGION V</v>
      </c>
      <c r="B2135" s="164" t="str">
        <f ca="1">IFERROR(__xludf.DUMMYFUNCTION("""COMPUTED_VALUE"""),"CATANDUANES")</f>
        <v>CATANDUANES</v>
      </c>
      <c r="C2135" s="164" t="str">
        <f ca="1">IFERROR(__xludf.DUMMYFUNCTION("""COMPUTED_VALUE"""),"Desktop Computer – (Lenovo M70T)")</f>
        <v>Desktop Computer – (Lenovo M70T)</v>
      </c>
      <c r="D2135" s="164" t="str">
        <f ca="1">IFERROR(__xludf.DUMMYFUNCTION("""COMPUTED_VALUE"""),"₱ 75,468.00")</f>
        <v>₱ 75,468.00</v>
      </c>
      <c r="E2135" s="164" t="str">
        <f ca="1">IFERROR(__xludf.DUMMYFUNCTION("""COMPUTED_VALUE"""),"₱ -")</f>
        <v>₱ -</v>
      </c>
      <c r="F2135" s="164" t="str">
        <f ca="1">IFERROR(__xludf.DUMMYFUNCTION("""COMPUTED_VALUE"""),"DAR-SPLIT-2023-05-0004")</f>
        <v>DAR-SPLIT-2023-05-0004</v>
      </c>
      <c r="G2135" s="164" t="str">
        <f ca="1">IFERROR(__xludf.DUMMYFUNCTION("""COMPUTED_VALUE"""),"GM041ATW")</f>
        <v>GM041ATW</v>
      </c>
      <c r="H2135" s="164" t="str">
        <f ca="1">IFERROR(__xludf.DUMMYFUNCTION("""COMPUTED_VALUE"""),"ANGELEE M. BERNAL")</f>
        <v>ANGELEE M. BERNAL</v>
      </c>
      <c r="I2135" s="164" t="str">
        <f ca="1">IFERROR(__xludf.DUMMYFUNCTION("""COMPUTED_VALUE"""),"ARPO II")</f>
        <v>ARPO II</v>
      </c>
      <c r="J2135" s="164" t="str">
        <f ca="1">IFERROR(__xludf.DUMMYFUNCTION("""COMPUTED_VALUE"""),"SPLIT 2023-05-0004")</f>
        <v>SPLIT 2023-05-0004</v>
      </c>
      <c r="K2135" s="164" t="str">
        <f ca="1">IFERROR(__xludf.DUMMYFUNCTION("""COMPUTED_VALUE"""),"MARA FINESSA P. DE GUZMAN")</f>
        <v>MARA FINESSA P. DE GUZMAN</v>
      </c>
      <c r="L2135" s="164" t="str">
        <f ca="1">IFERROR(__xludf.DUMMYFUNCTION("""COMPUTED_VALUE"""),"LTID Office")</f>
        <v>LTID Office</v>
      </c>
      <c r="M2135" s="164" t="str">
        <f ca="1">IFERROR(__xludf.DUMMYFUNCTION("""COMPUTED_VALUE"""),"SERVICEABLE")</f>
        <v>SERVICEABLE</v>
      </c>
      <c r="N2135" s="164"/>
    </row>
    <row r="2136" spans="1:14" ht="13.2" hidden="1">
      <c r="A2136" s="164" t="str">
        <f ca="1">IFERROR(__xludf.DUMMYFUNCTION("""COMPUTED_VALUE"""),"REGION V")</f>
        <v>REGION V</v>
      </c>
      <c r="B2136" s="164" t="str">
        <f ca="1">IFERROR(__xludf.DUMMYFUNCTION("""COMPUTED_VALUE"""),"CATANDUANES")</f>
        <v>CATANDUANES</v>
      </c>
      <c r="C2136" s="164" t="str">
        <f ca="1">IFERROR(__xludf.DUMMYFUNCTION("""COMPUTED_VALUE"""),"Desktop Computer – (Lenovo M70T)")</f>
        <v>Desktop Computer – (Lenovo M70T)</v>
      </c>
      <c r="D2136" s="164" t="str">
        <f ca="1">IFERROR(__xludf.DUMMYFUNCTION("""COMPUTED_VALUE"""),"₱ 75,468.00")</f>
        <v>₱ 75,468.00</v>
      </c>
      <c r="E2136" s="164" t="str">
        <f ca="1">IFERROR(__xludf.DUMMYFUNCTION("""COMPUTED_VALUE"""),"₱ -")</f>
        <v>₱ -</v>
      </c>
      <c r="F2136" s="164" t="str">
        <f ca="1">IFERROR(__xludf.DUMMYFUNCTION("""COMPUTED_VALUE"""),"DAR-SPLIT-2023-05-0005")</f>
        <v>DAR-SPLIT-2023-05-0005</v>
      </c>
      <c r="G2136" s="164" t="str">
        <f ca="1">IFERROR(__xludf.DUMMYFUNCTION("""COMPUTED_VALUE"""),"GM041ATX")</f>
        <v>GM041ATX</v>
      </c>
      <c r="H2136" s="164" t="str">
        <f ca="1">IFERROR(__xludf.DUMMYFUNCTION("""COMPUTED_VALUE"""),"SARAH C. TITO")</f>
        <v>SARAH C. TITO</v>
      </c>
      <c r="I2136" s="164" t="str">
        <f ca="1">IFERROR(__xludf.DUMMYFUNCTION("""COMPUTED_VALUE"""),"PCAO")</f>
        <v>PCAO</v>
      </c>
      <c r="J2136" s="164" t="str">
        <f ca="1">IFERROR(__xludf.DUMMYFUNCTION("""COMPUTED_VALUE"""),"SPLIT 2023-05-0005")</f>
        <v>SPLIT 2023-05-0005</v>
      </c>
      <c r="K2136" s="164" t="str">
        <f ca="1">IFERROR(__xludf.DUMMYFUNCTION("""COMPUTED_VALUE"""),"ARIES P. BOBIER")</f>
        <v>ARIES P. BOBIER</v>
      </c>
      <c r="L2136" s="164" t="str">
        <f ca="1">IFERROR(__xludf.DUMMYFUNCTION("""COMPUTED_VALUE"""),"STOD")</f>
        <v>STOD</v>
      </c>
      <c r="M2136" s="164" t="str">
        <f ca="1">IFERROR(__xludf.DUMMYFUNCTION("""COMPUTED_VALUE"""),"SERVICEABLE")</f>
        <v>SERVICEABLE</v>
      </c>
      <c r="N2136" s="164"/>
    </row>
    <row r="2137" spans="1:14" ht="13.2" hidden="1">
      <c r="A2137" s="164" t="str">
        <f ca="1">IFERROR(__xludf.DUMMYFUNCTION("""COMPUTED_VALUE"""),"REGION V")</f>
        <v>REGION V</v>
      </c>
      <c r="B2137" s="164" t="str">
        <f ca="1">IFERROR(__xludf.DUMMYFUNCTION("""COMPUTED_VALUE"""),"CATANDUANES")</f>
        <v>CATANDUANES</v>
      </c>
      <c r="C2137" s="164" t="str">
        <f ca="1">IFERROR(__xludf.DUMMYFUNCTION("""COMPUTED_VALUE"""),"Desktop Computer – (Lenovo M70T)")</f>
        <v>Desktop Computer – (Lenovo M70T)</v>
      </c>
      <c r="D2137" s="164" t="str">
        <f ca="1">IFERROR(__xludf.DUMMYFUNCTION("""COMPUTED_VALUE"""),"₱ 75,468.00")</f>
        <v>₱ 75,468.00</v>
      </c>
      <c r="E2137" s="164" t="str">
        <f ca="1">IFERROR(__xludf.DUMMYFUNCTION("""COMPUTED_VALUE"""),"₱ -")</f>
        <v>₱ -</v>
      </c>
      <c r="F2137" s="164" t="str">
        <f ca="1">IFERROR(__xludf.DUMMYFUNCTION("""COMPUTED_VALUE"""),"DAR-SPLIT-2023-05-0006")</f>
        <v>DAR-SPLIT-2023-05-0006</v>
      </c>
      <c r="G2137" s="164" t="str">
        <f ca="1">IFERROR(__xludf.DUMMYFUNCTION("""COMPUTED_VALUE"""),"GM041ATZ")</f>
        <v>GM041ATZ</v>
      </c>
      <c r="H2137" s="164" t="str">
        <f ca="1">IFERROR(__xludf.DUMMYFUNCTION("""COMPUTED_VALUE"""),"SARAH C. TITO")</f>
        <v>SARAH C. TITO</v>
      </c>
      <c r="I2137" s="164" t="str">
        <f ca="1">IFERROR(__xludf.DUMMYFUNCTION("""COMPUTED_VALUE"""),"PCAO")</f>
        <v>PCAO</v>
      </c>
      <c r="J2137" s="164" t="str">
        <f ca="1">IFERROR(__xludf.DUMMYFUNCTION("""COMPUTED_VALUE"""),"SPLIT 2023-05-0006")</f>
        <v>SPLIT 2023-05-0006</v>
      </c>
      <c r="K2137" s="164" t="str">
        <f ca="1">IFERROR(__xludf.DUMMYFUNCTION("""COMPUTED_VALUE"""),"ROXANNE D. TRINIDAD")</f>
        <v>ROXANNE D. TRINIDAD</v>
      </c>
      <c r="L2137" s="164" t="str">
        <f ca="1">IFERROR(__xludf.DUMMYFUNCTION("""COMPUTED_VALUE"""),"STOD")</f>
        <v>STOD</v>
      </c>
      <c r="M2137" s="164" t="str">
        <f ca="1">IFERROR(__xludf.DUMMYFUNCTION("""COMPUTED_VALUE"""),"SERVICEABLE")</f>
        <v>SERVICEABLE</v>
      </c>
      <c r="N2137" s="164"/>
    </row>
    <row r="2138" spans="1:14" ht="13.2" hidden="1">
      <c r="A2138" s="164" t="str">
        <f ca="1">IFERROR(__xludf.DUMMYFUNCTION("""COMPUTED_VALUE"""),"REGION V")</f>
        <v>REGION V</v>
      </c>
      <c r="B2138" s="164" t="str">
        <f ca="1">IFERROR(__xludf.DUMMYFUNCTION("""COMPUTED_VALUE"""),"CATANDUANES")</f>
        <v>CATANDUANES</v>
      </c>
      <c r="C2138" s="164" t="str">
        <f ca="1">IFERROR(__xludf.DUMMYFUNCTION("""COMPUTED_VALUE"""),"Desktop Computer – (Lenovo M70T)")</f>
        <v>Desktop Computer – (Lenovo M70T)</v>
      </c>
      <c r="D2138" s="164" t="str">
        <f ca="1">IFERROR(__xludf.DUMMYFUNCTION("""COMPUTED_VALUE"""),"₱ 75,468.00")</f>
        <v>₱ 75,468.00</v>
      </c>
      <c r="E2138" s="164" t="str">
        <f ca="1">IFERROR(__xludf.DUMMYFUNCTION("""COMPUTED_VALUE"""),"₱ -")</f>
        <v>₱ -</v>
      </c>
      <c r="F2138" s="164" t="str">
        <f ca="1">IFERROR(__xludf.DUMMYFUNCTION("""COMPUTED_VALUE"""),"DAR-SPLIT-2023-05-0007")</f>
        <v>DAR-SPLIT-2023-05-0007</v>
      </c>
      <c r="G2138" s="164" t="str">
        <f ca="1">IFERROR(__xludf.DUMMYFUNCTION("""COMPUTED_VALUE"""),"GM041AV0")</f>
        <v>GM041AV0</v>
      </c>
      <c r="H2138" s="164" t="str">
        <f ca="1">IFERROR(__xludf.DUMMYFUNCTION("""COMPUTED_VALUE"""),"NEMIA P. BEO")</f>
        <v>NEMIA P. BEO</v>
      </c>
      <c r="I2138" s="164" t="str">
        <f ca="1">IFERROR(__xludf.DUMMYFUNCTION("""COMPUTED_VALUE"""),"OIC-CARPO")</f>
        <v>OIC-CARPO</v>
      </c>
      <c r="J2138" s="164" t="str">
        <f ca="1">IFERROR(__xludf.DUMMYFUNCTION("""COMPUTED_VALUE"""),"SPLIT 2023-05-0007")</f>
        <v>SPLIT 2023-05-0007</v>
      </c>
      <c r="K2138" s="164" t="str">
        <f ca="1">IFERROR(__xludf.DUMMYFUNCTION("""COMPUTED_VALUE"""),"JOHN HERRY V. BONA")</f>
        <v>JOHN HERRY V. BONA</v>
      </c>
      <c r="L2138" s="164" t="str">
        <f ca="1">IFERROR(__xludf.DUMMYFUNCTION("""COMPUTED_VALUE"""),"PBDD")</f>
        <v>PBDD</v>
      </c>
      <c r="M2138" s="164" t="str">
        <f ca="1">IFERROR(__xludf.DUMMYFUNCTION("""COMPUTED_VALUE"""),"SERVICEABLE")</f>
        <v>SERVICEABLE</v>
      </c>
      <c r="N2138" s="164"/>
    </row>
    <row r="2139" spans="1:14" ht="13.2" hidden="1">
      <c r="A2139" s="164" t="str">
        <f ca="1">IFERROR(__xludf.DUMMYFUNCTION("""COMPUTED_VALUE"""),"REGION V")</f>
        <v>REGION V</v>
      </c>
      <c r="B2139" s="164" t="str">
        <f ca="1">IFERROR(__xludf.DUMMYFUNCTION("""COMPUTED_VALUE"""),"CATANDUANES")</f>
        <v>CATANDUANES</v>
      </c>
      <c r="C2139" s="164" t="str">
        <f ca="1">IFERROR(__xludf.DUMMYFUNCTION("""COMPUTED_VALUE"""),"Desktop Computer – (Lenovo M70T)")</f>
        <v>Desktop Computer – (Lenovo M70T)</v>
      </c>
      <c r="D2139" s="164" t="str">
        <f ca="1">IFERROR(__xludf.DUMMYFUNCTION("""COMPUTED_VALUE"""),"₱ 75,468.00")</f>
        <v>₱ 75,468.00</v>
      </c>
      <c r="E2139" s="164" t="str">
        <f ca="1">IFERROR(__xludf.DUMMYFUNCTION("""COMPUTED_VALUE"""),"₱ -")</f>
        <v>₱ -</v>
      </c>
      <c r="F2139" s="164" t="str">
        <f ca="1">IFERROR(__xludf.DUMMYFUNCTION("""COMPUTED_VALUE"""),"DAR-SPLIT-2023-05-0008")</f>
        <v>DAR-SPLIT-2023-05-0008</v>
      </c>
      <c r="G2139" s="164" t="str">
        <f ca="1">IFERROR(__xludf.DUMMYFUNCTION("""COMPUTED_VALUE"""),"GM041AV1")</f>
        <v>GM041AV1</v>
      </c>
      <c r="H2139" s="164" t="str">
        <f ca="1">IFERROR(__xludf.DUMMYFUNCTION("""COMPUTED_VALUE"""),"ANSELMO T. VARGAS JR.")</f>
        <v>ANSELMO T. VARGAS JR.</v>
      </c>
      <c r="I2139" s="164" t="str">
        <f ca="1">IFERROR(__xludf.DUMMYFUNCTION("""COMPUTED_VALUE"""),"MARPO")</f>
        <v>MARPO</v>
      </c>
      <c r="J2139" s="164" t="str">
        <f ca="1">IFERROR(__xludf.DUMMYFUNCTION("""COMPUTED_VALUE"""),"SPLIT 2023-05-0008")</f>
        <v>SPLIT 2023-05-0008</v>
      </c>
      <c r="K2139" s="164" t="str">
        <f ca="1">IFERROR(__xludf.DUMMYFUNCTION("""COMPUTED_VALUE"""),"ANSELMO T. VARGAS JR.")</f>
        <v>ANSELMO T. VARGAS JR.</v>
      </c>
      <c r="L2139" s="164" t="str">
        <f ca="1">IFERROR(__xludf.DUMMYFUNCTION("""COMPUTED_VALUE"""),"LTID Office")</f>
        <v>LTID Office</v>
      </c>
      <c r="M2139" s="164" t="str">
        <f ca="1">IFERROR(__xludf.DUMMYFUNCTION("""COMPUTED_VALUE"""),"SERVICEABLE")</f>
        <v>SERVICEABLE</v>
      </c>
      <c r="N2139" s="164"/>
    </row>
    <row r="2140" spans="1:14" ht="13.2" hidden="1">
      <c r="A2140" s="164" t="str">
        <f ca="1">IFERROR(__xludf.DUMMYFUNCTION("""COMPUTED_VALUE"""),"REGION V")</f>
        <v>REGION V</v>
      </c>
      <c r="B2140" s="164" t="str">
        <f ca="1">IFERROR(__xludf.DUMMYFUNCTION("""COMPUTED_VALUE"""),"CATANDUANES")</f>
        <v>CATANDUANES</v>
      </c>
      <c r="C2140" s="164" t="str">
        <f ca="1">IFERROR(__xludf.DUMMYFUNCTION("""COMPUTED_VALUE"""),"Desktop Computer – (Lenovo M70T)")</f>
        <v>Desktop Computer – (Lenovo M70T)</v>
      </c>
      <c r="D2140" s="164" t="str">
        <f ca="1">IFERROR(__xludf.DUMMYFUNCTION("""COMPUTED_VALUE"""),"₱ 75,468.00")</f>
        <v>₱ 75,468.00</v>
      </c>
      <c r="E2140" s="164" t="str">
        <f ca="1">IFERROR(__xludf.DUMMYFUNCTION("""COMPUTED_VALUE"""),"₱ -")</f>
        <v>₱ -</v>
      </c>
      <c r="F2140" s="164" t="str">
        <f ca="1">IFERROR(__xludf.DUMMYFUNCTION("""COMPUTED_VALUE"""),"DAR-SPLIT-2023-05-0009")</f>
        <v>DAR-SPLIT-2023-05-0009</v>
      </c>
      <c r="G2140" s="164" t="str">
        <f ca="1">IFERROR(__xludf.DUMMYFUNCTION("""COMPUTED_VALUE"""),"GM041AV2")</f>
        <v>GM041AV2</v>
      </c>
      <c r="H2140" s="164" t="str">
        <f ca="1">IFERROR(__xludf.DUMMYFUNCTION("""COMPUTED_VALUE"""),"ANSELMO T. VARGAS JR.")</f>
        <v>ANSELMO T. VARGAS JR.</v>
      </c>
      <c r="I2140" s="164" t="str">
        <f ca="1">IFERROR(__xludf.DUMMYFUNCTION("""COMPUTED_VALUE"""),"MARPO")</f>
        <v>MARPO</v>
      </c>
      <c r="J2140" s="164" t="str">
        <f ca="1">IFERROR(__xludf.DUMMYFUNCTION("""COMPUTED_VALUE"""),"SPLIT 2023-05-0009")</f>
        <v>SPLIT 2023-05-0009</v>
      </c>
      <c r="K2140" s="164" t="str">
        <f ca="1">IFERROR(__xludf.DUMMYFUNCTION("""COMPUTED_VALUE"""),"HANILYN T. BAÑARES")</f>
        <v>HANILYN T. BAÑARES</v>
      </c>
      <c r="L2140" s="164" t="str">
        <f ca="1">IFERROR(__xludf.DUMMYFUNCTION("""COMPUTED_VALUE"""),"LTID Office")</f>
        <v>LTID Office</v>
      </c>
      <c r="M2140" s="164" t="str">
        <f ca="1">IFERROR(__xludf.DUMMYFUNCTION("""COMPUTED_VALUE"""),"SERVICEABLE")</f>
        <v>SERVICEABLE</v>
      </c>
      <c r="N2140" s="164"/>
    </row>
    <row r="2141" spans="1:14" ht="13.2" hidden="1">
      <c r="A2141" s="164" t="str">
        <f ca="1">IFERROR(__xludf.DUMMYFUNCTION("""COMPUTED_VALUE"""),"REGION V")</f>
        <v>REGION V</v>
      </c>
      <c r="B2141" s="164" t="str">
        <f ca="1">IFERROR(__xludf.DUMMYFUNCTION("""COMPUTED_VALUE"""),"CATANDUANES")</f>
        <v>CATANDUANES</v>
      </c>
      <c r="C2141" s="164" t="str">
        <f ca="1">IFERROR(__xludf.DUMMYFUNCTION("""COMPUTED_VALUE"""),"Desktop Computer – (Lenovo M70T)")</f>
        <v>Desktop Computer – (Lenovo M70T)</v>
      </c>
      <c r="D2141" s="164" t="str">
        <f ca="1">IFERROR(__xludf.DUMMYFUNCTION("""COMPUTED_VALUE"""),"₱ 75,468.00")</f>
        <v>₱ 75,468.00</v>
      </c>
      <c r="E2141" s="164" t="str">
        <f ca="1">IFERROR(__xludf.DUMMYFUNCTION("""COMPUTED_VALUE"""),"₱ -")</f>
        <v>₱ -</v>
      </c>
      <c r="F2141" s="164" t="str">
        <f ca="1">IFERROR(__xludf.DUMMYFUNCTION("""COMPUTED_VALUE"""),"DAR-SPLIT-2023-05-0010")</f>
        <v>DAR-SPLIT-2023-05-0010</v>
      </c>
      <c r="G2141" s="164" t="str">
        <f ca="1">IFERROR(__xludf.DUMMYFUNCTION("""COMPUTED_VALUE"""),"GM041AV4")</f>
        <v>GM041AV4</v>
      </c>
      <c r="H2141" s="164" t="str">
        <f ca="1">IFERROR(__xludf.DUMMYFUNCTION("""COMPUTED_VALUE"""),"ROWEL CLEMENTE P. BENITEZ")</f>
        <v>ROWEL CLEMENTE P. BENITEZ</v>
      </c>
      <c r="I2141" s="164" t="str">
        <f ca="1">IFERROR(__xludf.DUMMYFUNCTION("""COMPUTED_VALUE"""),"PO")</f>
        <v>PO</v>
      </c>
      <c r="J2141" s="164" t="str">
        <f ca="1">IFERROR(__xludf.DUMMYFUNCTION("""COMPUTED_VALUE"""),"SPLIT 2023-05-0010")</f>
        <v>SPLIT 2023-05-0010</v>
      </c>
      <c r="K2141" s="164" t="str">
        <f ca="1">IFERROR(__xludf.DUMMYFUNCTION("""COMPUTED_VALUE"""),"JAMES M. TAPALES")</f>
        <v>JAMES M. TAPALES</v>
      </c>
      <c r="L2141" s="164" t="str">
        <f ca="1">IFERROR(__xludf.DUMMYFUNCTION("""COMPUTED_VALUE"""),"STOD")</f>
        <v>STOD</v>
      </c>
      <c r="M2141" s="164" t="str">
        <f ca="1">IFERROR(__xludf.DUMMYFUNCTION("""COMPUTED_VALUE"""),"SERVICEABLE")</f>
        <v>SERVICEABLE</v>
      </c>
      <c r="N2141" s="164"/>
    </row>
    <row r="2142" spans="1:14" ht="13.2" hidden="1">
      <c r="A2142" s="164" t="str">
        <f ca="1">IFERROR(__xludf.DUMMYFUNCTION("""COMPUTED_VALUE"""),"REGION V")</f>
        <v>REGION V</v>
      </c>
      <c r="B2142" s="164" t="str">
        <f ca="1">IFERROR(__xludf.DUMMYFUNCTION("""COMPUTED_VALUE"""),"CATANDUANES")</f>
        <v>CATANDUANES</v>
      </c>
      <c r="C2142" s="164" t="str">
        <f ca="1">IFERROR(__xludf.DUMMYFUNCTION("""COMPUTED_VALUE"""),"Desktop Computer – (Lenovo M70T)")</f>
        <v>Desktop Computer – (Lenovo M70T)</v>
      </c>
      <c r="D2142" s="164" t="str">
        <f ca="1">IFERROR(__xludf.DUMMYFUNCTION("""COMPUTED_VALUE"""),"₱ 75,468.00")</f>
        <v>₱ 75,468.00</v>
      </c>
      <c r="E2142" s="164" t="str">
        <f ca="1">IFERROR(__xludf.DUMMYFUNCTION("""COMPUTED_VALUE"""),"₱ -")</f>
        <v>₱ -</v>
      </c>
      <c r="F2142" s="164" t="str">
        <f ca="1">IFERROR(__xludf.DUMMYFUNCTION("""COMPUTED_VALUE"""),"DAR-SPLIT-2023-05-0011")</f>
        <v>DAR-SPLIT-2023-05-0011</v>
      </c>
      <c r="G2142" s="164" t="str">
        <f ca="1">IFERROR(__xludf.DUMMYFUNCTION("""COMPUTED_VALUE"""),"GM041AV5")</f>
        <v>GM041AV5</v>
      </c>
      <c r="H2142" s="164" t="str">
        <f ca="1">IFERROR(__xludf.DUMMYFUNCTION("""COMPUTED_VALUE"""),"GLYNISE L. BRILLANTE")</f>
        <v>GLYNISE L. BRILLANTE</v>
      </c>
      <c r="I2142" s="164" t="str">
        <f ca="1">IFERROR(__xludf.DUMMYFUNCTION("""COMPUTED_VALUE"""),"ARPO II")</f>
        <v>ARPO II</v>
      </c>
      <c r="J2142" s="164" t="str">
        <f ca="1">IFERROR(__xludf.DUMMYFUNCTION("""COMPUTED_VALUE"""),"SPLIT 2023-05-0011")</f>
        <v>SPLIT 2023-05-0011</v>
      </c>
      <c r="K2142" s="164" t="str">
        <f ca="1">IFERROR(__xludf.DUMMYFUNCTION("""COMPUTED_VALUE"""),"PRINCESS DIANNE S. RODRIGUEZ")</f>
        <v>PRINCESS DIANNE S. RODRIGUEZ</v>
      </c>
      <c r="L2142" s="164" t="str">
        <f ca="1">IFERROR(__xludf.DUMMYFUNCTION("""COMPUTED_VALUE"""),"LTID Office")</f>
        <v>LTID Office</v>
      </c>
      <c r="M2142" s="164" t="str">
        <f ca="1">IFERROR(__xludf.DUMMYFUNCTION("""COMPUTED_VALUE"""),"SERVICEABLE")</f>
        <v>SERVICEABLE</v>
      </c>
      <c r="N2142" s="164"/>
    </row>
    <row r="2143" spans="1:14" ht="13.2" hidden="1">
      <c r="A2143" s="164" t="str">
        <f ca="1">IFERROR(__xludf.DUMMYFUNCTION("""COMPUTED_VALUE"""),"REGION V")</f>
        <v>REGION V</v>
      </c>
      <c r="B2143" s="164" t="str">
        <f ca="1">IFERROR(__xludf.DUMMYFUNCTION("""COMPUTED_VALUE"""),"CATANDUANES")</f>
        <v>CATANDUANES</v>
      </c>
      <c r="C2143" s="164" t="str">
        <f ca="1">IFERROR(__xludf.DUMMYFUNCTION("""COMPUTED_VALUE"""),"Desktop Computer – (Lenovo M70T)")</f>
        <v>Desktop Computer – (Lenovo M70T)</v>
      </c>
      <c r="D2143" s="164" t="str">
        <f ca="1">IFERROR(__xludf.DUMMYFUNCTION("""COMPUTED_VALUE"""),"₱ 75,468.00")</f>
        <v>₱ 75,468.00</v>
      </c>
      <c r="E2143" s="164" t="str">
        <f ca="1">IFERROR(__xludf.DUMMYFUNCTION("""COMPUTED_VALUE"""),"₱ -")</f>
        <v>₱ -</v>
      </c>
      <c r="F2143" s="164" t="str">
        <f ca="1">IFERROR(__xludf.DUMMYFUNCTION("""COMPUTED_VALUE"""),"DAR-SPLIT-2023-05-0012")</f>
        <v>DAR-SPLIT-2023-05-0012</v>
      </c>
      <c r="G2143" s="164" t="str">
        <f ca="1">IFERROR(__xludf.DUMMYFUNCTION("""COMPUTED_VALUE"""),"GM041AW3")</f>
        <v>GM041AW3</v>
      </c>
      <c r="H2143" s="164" t="str">
        <f ca="1">IFERROR(__xludf.DUMMYFUNCTION("""COMPUTED_VALUE"""),"YVETTE JOY T. TAYAMORA")</f>
        <v>YVETTE JOY T. TAYAMORA</v>
      </c>
      <c r="I2143" s="164" t="str">
        <f ca="1">IFERROR(__xludf.DUMMYFUNCTION("""COMPUTED_VALUE"""),"Budget Officer")</f>
        <v>Budget Officer</v>
      </c>
      <c r="J2143" s="164" t="str">
        <f ca="1">IFERROR(__xludf.DUMMYFUNCTION("""COMPUTED_VALUE"""),"SPLIT 2023-05-0012")</f>
        <v>SPLIT 2023-05-0012</v>
      </c>
      <c r="K2143" s="164" t="str">
        <f ca="1">IFERROR(__xludf.DUMMYFUNCTION("""COMPUTED_VALUE"""),"ZEEJAY TOMAGAN")</f>
        <v>ZEEJAY TOMAGAN</v>
      </c>
      <c r="L2143" s="164" t="str">
        <f ca="1">IFERROR(__xludf.DUMMYFUNCTION("""COMPUTED_VALUE"""),"STOD")</f>
        <v>STOD</v>
      </c>
      <c r="M2143" s="164" t="str">
        <f ca="1">IFERROR(__xludf.DUMMYFUNCTION("""COMPUTED_VALUE"""),"SERVICEABLE")</f>
        <v>SERVICEABLE</v>
      </c>
      <c r="N2143" s="164"/>
    </row>
    <row r="2144" spans="1:14" ht="13.2" hidden="1">
      <c r="A2144" s="164" t="str">
        <f ca="1">IFERROR(__xludf.DUMMYFUNCTION("""COMPUTED_VALUE"""),"REGION V")</f>
        <v>REGION V</v>
      </c>
      <c r="B2144" s="164" t="str">
        <f ca="1">IFERROR(__xludf.DUMMYFUNCTION("""COMPUTED_VALUE"""),"CATANDUANES")</f>
        <v>CATANDUANES</v>
      </c>
      <c r="C2144" s="164" t="str">
        <f ca="1">IFERROR(__xludf.DUMMYFUNCTION("""COMPUTED_VALUE"""),"Desktop Computer – (Lenovo M70T)")</f>
        <v>Desktop Computer – (Lenovo M70T)</v>
      </c>
      <c r="D2144" s="164" t="str">
        <f ca="1">IFERROR(__xludf.DUMMYFUNCTION("""COMPUTED_VALUE"""),"₱ 75,468.00")</f>
        <v>₱ 75,468.00</v>
      </c>
      <c r="E2144" s="164" t="str">
        <f ca="1">IFERROR(__xludf.DUMMYFUNCTION("""COMPUTED_VALUE"""),"₱ -")</f>
        <v>₱ -</v>
      </c>
      <c r="F2144" s="164" t="str">
        <f ca="1">IFERROR(__xludf.DUMMYFUNCTION("""COMPUTED_VALUE"""),"DAR-SPLIT-2023-05-0013")</f>
        <v>DAR-SPLIT-2023-05-0013</v>
      </c>
      <c r="G2144" s="164" t="str">
        <f ca="1">IFERROR(__xludf.DUMMYFUNCTION("""COMPUTED_VALUE"""),"GM041AW4")</f>
        <v>GM041AW4</v>
      </c>
      <c r="H2144" s="164" t="str">
        <f ca="1">IFERROR(__xludf.DUMMYFUNCTION("""COMPUTED_VALUE"""),"LANI L. LOVENDINO")</f>
        <v>LANI L. LOVENDINO</v>
      </c>
      <c r="I2144" s="164" t="str">
        <f ca="1">IFERROR(__xludf.DUMMYFUNCTION("""COMPUTED_VALUE"""),"Cashier")</f>
        <v>Cashier</v>
      </c>
      <c r="J2144" s="164" t="str">
        <f ca="1">IFERROR(__xludf.DUMMYFUNCTION("""COMPUTED_VALUE"""),"SPLIT 2023-05-0013")</f>
        <v>SPLIT 2023-05-0013</v>
      </c>
      <c r="K2144" s="164" t="str">
        <f ca="1">IFERROR(__xludf.DUMMYFUNCTION("""COMPUTED_VALUE"""),"LANI L. LOVENDINO")</f>
        <v>LANI L. LOVENDINO</v>
      </c>
      <c r="L2144" s="164" t="str">
        <f ca="1">IFERROR(__xludf.DUMMYFUNCTION("""COMPUTED_VALUE"""),"STOD")</f>
        <v>STOD</v>
      </c>
      <c r="M2144" s="164" t="str">
        <f ca="1">IFERROR(__xludf.DUMMYFUNCTION("""COMPUTED_VALUE"""),"SERVICEABLE")</f>
        <v>SERVICEABLE</v>
      </c>
      <c r="N2144" s="164"/>
    </row>
    <row r="2145" spans="1:14" ht="13.2" hidden="1">
      <c r="A2145" s="164" t="str">
        <f ca="1">IFERROR(__xludf.DUMMYFUNCTION("""COMPUTED_VALUE"""),"REGION V")</f>
        <v>REGION V</v>
      </c>
      <c r="B2145" s="164" t="str">
        <f ca="1">IFERROR(__xludf.DUMMYFUNCTION("""COMPUTED_VALUE"""),"CATANDUANES")</f>
        <v>CATANDUANES</v>
      </c>
      <c r="C2145" s="164" t="str">
        <f ca="1">IFERROR(__xludf.DUMMYFUNCTION("""COMPUTED_VALUE"""),"Desktop Computer – (Lenovo M70T)")</f>
        <v>Desktop Computer – (Lenovo M70T)</v>
      </c>
      <c r="D2145" s="164" t="str">
        <f ca="1">IFERROR(__xludf.DUMMYFUNCTION("""COMPUTED_VALUE"""),"₱ 75,468.00")</f>
        <v>₱ 75,468.00</v>
      </c>
      <c r="E2145" s="164" t="str">
        <f ca="1">IFERROR(__xludf.DUMMYFUNCTION("""COMPUTED_VALUE"""),"₱ -")</f>
        <v>₱ -</v>
      </c>
      <c r="F2145" s="164" t="str">
        <f ca="1">IFERROR(__xludf.DUMMYFUNCTION("""COMPUTED_VALUE"""),"DAR-SPLIT-2023-05-0014")</f>
        <v>DAR-SPLIT-2023-05-0014</v>
      </c>
      <c r="G2145" s="164" t="str">
        <f ca="1">IFERROR(__xludf.DUMMYFUNCTION("""COMPUTED_VALUE"""),"GM041AW6")</f>
        <v>GM041AW6</v>
      </c>
      <c r="H2145" s="164" t="str">
        <f ca="1">IFERROR(__xludf.DUMMYFUNCTION("""COMPUTED_VALUE"""),"MA. KATRINA M. SARAUSA")</f>
        <v>MA. KATRINA M. SARAUSA</v>
      </c>
      <c r="I2145" s="164" t="str">
        <f ca="1">IFERROR(__xludf.DUMMYFUNCTION("""COMPUTED_VALUE"""),"ARPO I")</f>
        <v>ARPO I</v>
      </c>
      <c r="J2145" s="164" t="str">
        <f ca="1">IFERROR(__xludf.DUMMYFUNCTION("""COMPUTED_VALUE"""),"SPLIT 2023-05-0014")</f>
        <v>SPLIT 2023-05-0014</v>
      </c>
      <c r="K2145" s="164" t="str">
        <f ca="1">IFERROR(__xludf.DUMMYFUNCTION("""COMPUTED_VALUE"""),"ZENETH A. SOLMIANO")</f>
        <v>ZENETH A. SOLMIANO</v>
      </c>
      <c r="L2145" s="164" t="str">
        <f ca="1">IFERROR(__xludf.DUMMYFUNCTION("""COMPUTED_VALUE"""),"PBDD")</f>
        <v>PBDD</v>
      </c>
      <c r="M2145" s="164" t="str">
        <f ca="1">IFERROR(__xludf.DUMMYFUNCTION("""COMPUTED_VALUE"""),"SERVICEABLE")</f>
        <v>SERVICEABLE</v>
      </c>
      <c r="N2145" s="164"/>
    </row>
    <row r="2146" spans="1:14" ht="13.2" hidden="1">
      <c r="A2146" s="164" t="str">
        <f ca="1">IFERROR(__xludf.DUMMYFUNCTION("""COMPUTED_VALUE"""),"REGION V")</f>
        <v>REGION V</v>
      </c>
      <c r="B2146" s="164" t="str">
        <f ca="1">IFERROR(__xludf.DUMMYFUNCTION("""COMPUTED_VALUE"""),"CATANDUANES")</f>
        <v>CATANDUANES</v>
      </c>
      <c r="C2146" s="164" t="str">
        <f ca="1">IFERROR(__xludf.DUMMYFUNCTION("""COMPUTED_VALUE"""),"Desktop Computer – (HP Pro SFF 280G9)")</f>
        <v>Desktop Computer – (HP Pro SFF 280G9)</v>
      </c>
      <c r="D2146" s="164" t="str">
        <f ca="1">IFERROR(__xludf.DUMMYFUNCTION("""COMPUTED_VALUE"""),"₱ 78,898.00")</f>
        <v>₱ 78,898.00</v>
      </c>
      <c r="E2146" s="164" t="str">
        <f ca="1">IFERROR(__xludf.DUMMYFUNCTION("""COMPUTED_VALUE"""),"₱ -")</f>
        <v>₱ -</v>
      </c>
      <c r="F2146" s="164" t="str">
        <f ca="1">IFERROR(__xludf.DUMMYFUNCTION("""COMPUTED_VALUE"""),"2023-05-03-10202SP121-01")</f>
        <v>2023-05-03-10202SP121-01</v>
      </c>
      <c r="G2146" s="164" t="str">
        <f ca="1">IFERROR(__xludf.DUMMYFUNCTION("""COMPUTED_VALUE"""),"4CE301DSP2")</f>
        <v>4CE301DSP2</v>
      </c>
      <c r="H2146" s="164" t="str">
        <f ca="1">IFERROR(__xludf.DUMMYFUNCTION("""COMPUTED_VALUE"""),"GLYNISE L. BRILLANTE")</f>
        <v>GLYNISE L. BRILLANTE</v>
      </c>
      <c r="I2146" s="164" t="str">
        <f ca="1">IFERROR(__xludf.DUMMYFUNCTION("""COMPUTED_VALUE"""),"ARPO II")</f>
        <v>ARPO II</v>
      </c>
      <c r="J2146" s="164" t="str">
        <f ca="1">IFERROR(__xludf.DUMMYFUNCTION("""COMPUTED_VALUE"""),"SPLIT 2023-08-0015")</f>
        <v>SPLIT 2023-08-0015</v>
      </c>
      <c r="K2146" s="164" t="str">
        <f ca="1">IFERROR(__xludf.DUMMYFUNCTION("""COMPUTED_VALUE"""),"NEESON L. PAHUYO")</f>
        <v>NEESON L. PAHUYO</v>
      </c>
      <c r="L2146" s="164" t="str">
        <f ca="1">IFERROR(__xludf.DUMMYFUNCTION("""COMPUTED_VALUE"""),"LTID Office")</f>
        <v>LTID Office</v>
      </c>
      <c r="M2146" s="164" t="str">
        <f ca="1">IFERROR(__xludf.DUMMYFUNCTION("""COMPUTED_VALUE"""),"SERVICEABLE")</f>
        <v>SERVICEABLE</v>
      </c>
      <c r="N2146" s="164"/>
    </row>
    <row r="2147" spans="1:14" ht="13.2" hidden="1">
      <c r="A2147" s="164" t="str">
        <f ca="1">IFERROR(__xludf.DUMMYFUNCTION("""COMPUTED_VALUE"""),"REGION V")</f>
        <v>REGION V</v>
      </c>
      <c r="B2147" s="164" t="str">
        <f ca="1">IFERROR(__xludf.DUMMYFUNCTION("""COMPUTED_VALUE"""),"CATANDUANES")</f>
        <v>CATANDUANES</v>
      </c>
      <c r="C2147" s="164" t="str">
        <f ca="1">IFERROR(__xludf.DUMMYFUNCTION("""COMPUTED_VALUE"""),"Desktop Computer – (HP Pro SFF 280G9)")</f>
        <v>Desktop Computer – (HP Pro SFF 280G9)</v>
      </c>
      <c r="D2147" s="164" t="str">
        <f ca="1">IFERROR(__xludf.DUMMYFUNCTION("""COMPUTED_VALUE"""),"₱ 78,898.00")</f>
        <v>₱ 78,898.00</v>
      </c>
      <c r="E2147" s="164" t="str">
        <f ca="1">IFERROR(__xludf.DUMMYFUNCTION("""COMPUTED_VALUE"""),"₱ -")</f>
        <v>₱ -</v>
      </c>
      <c r="F2147" s="164" t="str">
        <f ca="1">IFERROR(__xludf.DUMMYFUNCTION("""COMPUTED_VALUE"""),"2023-05-03-10202SP122-01")</f>
        <v>2023-05-03-10202SP122-01</v>
      </c>
      <c r="G2147" s="164" t="str">
        <f ca="1">IFERROR(__xludf.DUMMYFUNCTION("""COMPUTED_VALUE"""),"4CE301DSP0")</f>
        <v>4CE301DSP0</v>
      </c>
      <c r="H2147" s="164" t="str">
        <f ca="1">IFERROR(__xludf.DUMMYFUNCTION("""COMPUTED_VALUE"""),"GLYNISE L. BRILLANTE")</f>
        <v>GLYNISE L. BRILLANTE</v>
      </c>
      <c r="I2147" s="164" t="str">
        <f ca="1">IFERROR(__xludf.DUMMYFUNCTION("""COMPUTED_VALUE"""),"ARPO II")</f>
        <v>ARPO II</v>
      </c>
      <c r="J2147" s="164" t="str">
        <f ca="1">IFERROR(__xludf.DUMMYFUNCTION("""COMPUTED_VALUE"""),"SPLIT 2023-08-0016")</f>
        <v>SPLIT 2023-08-0016</v>
      </c>
      <c r="K2147" s="164" t="str">
        <f ca="1">IFERROR(__xludf.DUMMYFUNCTION("""COMPUTED_VALUE"""),"SHERLYN S. LEE")</f>
        <v>SHERLYN S. LEE</v>
      </c>
      <c r="L2147" s="164" t="str">
        <f ca="1">IFERROR(__xludf.DUMMYFUNCTION("""COMPUTED_VALUE"""),"LTID Office")</f>
        <v>LTID Office</v>
      </c>
      <c r="M2147" s="164" t="str">
        <f ca="1">IFERROR(__xludf.DUMMYFUNCTION("""COMPUTED_VALUE"""),"SERVICEABLE")</f>
        <v>SERVICEABLE</v>
      </c>
      <c r="N2147" s="164"/>
    </row>
    <row r="2148" spans="1:14" ht="13.2" hidden="1">
      <c r="A2148" s="164" t="str">
        <f ca="1">IFERROR(__xludf.DUMMYFUNCTION("""COMPUTED_VALUE"""),"REGION V")</f>
        <v>REGION V</v>
      </c>
      <c r="B2148" s="164" t="str">
        <f ca="1">IFERROR(__xludf.DUMMYFUNCTION("""COMPUTED_VALUE"""),"CATANDUANES")</f>
        <v>CATANDUANES</v>
      </c>
      <c r="C2148" s="164" t="str">
        <f ca="1">IFERROR(__xludf.DUMMYFUNCTION("""COMPUTED_VALUE"""),"Desktop Computer – (HP Pro SFF 280G9)")</f>
        <v>Desktop Computer – (HP Pro SFF 280G9)</v>
      </c>
      <c r="D2148" s="164" t="str">
        <f ca="1">IFERROR(__xludf.DUMMYFUNCTION("""COMPUTED_VALUE"""),"₱ 78,898.00")</f>
        <v>₱ 78,898.00</v>
      </c>
      <c r="E2148" s="164" t="str">
        <f ca="1">IFERROR(__xludf.DUMMYFUNCTION("""COMPUTED_VALUE"""),"₱ -")</f>
        <v>₱ -</v>
      </c>
      <c r="F2148" s="164" t="str">
        <f ca="1">IFERROR(__xludf.DUMMYFUNCTION("""COMPUTED_VALUE"""),"2023-05-03-10202SP123-01")</f>
        <v>2023-05-03-10202SP123-01</v>
      </c>
      <c r="G2148" s="164" t="str">
        <f ca="1">IFERROR(__xludf.DUMMYFUNCTION("""COMPUTED_VALUE"""),"4CE301DH9N")</f>
        <v>4CE301DH9N</v>
      </c>
      <c r="H2148" s="164" t="str">
        <f ca="1">IFERROR(__xludf.DUMMYFUNCTION("""COMPUTED_VALUE"""),"NIEL MIG GAMANA")</f>
        <v>NIEL MIG GAMANA</v>
      </c>
      <c r="I2148" s="164" t="str">
        <f ca="1">IFERROR(__xludf.DUMMYFUNCTION("""COMPUTED_VALUE"""),"ARPT")</f>
        <v>ARPT</v>
      </c>
      <c r="J2148" s="164" t="str">
        <f ca="1">IFERROR(__xludf.DUMMYFUNCTION("""COMPUTED_VALUE"""),"SPLIT 2023-08-0017")</f>
        <v>SPLIT 2023-08-0017</v>
      </c>
      <c r="K2148" s="164" t="str">
        <f ca="1">IFERROR(__xludf.DUMMYFUNCTION("""COMPUTED_VALUE"""),"NIEL MIG GAMANA")</f>
        <v>NIEL MIG GAMANA</v>
      </c>
      <c r="L2148" s="164" t="str">
        <f ca="1">IFERROR(__xludf.DUMMYFUNCTION("""COMPUTED_VALUE"""),"LTID Office")</f>
        <v>LTID Office</v>
      </c>
      <c r="M2148" s="164" t="str">
        <f ca="1">IFERROR(__xludf.DUMMYFUNCTION("""COMPUTED_VALUE"""),"SERVICEABLE")</f>
        <v>SERVICEABLE</v>
      </c>
      <c r="N2148" s="164"/>
    </row>
    <row r="2149" spans="1:14" ht="13.2" hidden="1">
      <c r="A2149" s="164" t="str">
        <f ca="1">IFERROR(__xludf.DUMMYFUNCTION("""COMPUTED_VALUE"""),"REGION V")</f>
        <v>REGION V</v>
      </c>
      <c r="B2149" s="164" t="str">
        <f ca="1">IFERROR(__xludf.DUMMYFUNCTION("""COMPUTED_VALUE"""),"CATANDUANES")</f>
        <v>CATANDUANES</v>
      </c>
      <c r="C2149" s="164" t="str">
        <f ca="1">IFERROR(__xludf.DUMMYFUNCTION("""COMPUTED_VALUE"""),"Laptop – (ACER EXTENSA EX215-55G i7)")</f>
        <v>Laptop – (ACER EXTENSA EX215-55G i7)</v>
      </c>
      <c r="D2149" s="164" t="str">
        <f ca="1">IFERROR(__xludf.DUMMYFUNCTION("""COMPUTED_VALUE"""),"₱ 59,500.00")</f>
        <v>₱ 59,500.00</v>
      </c>
      <c r="E2149" s="164" t="str">
        <f ca="1">IFERROR(__xludf.DUMMYFUNCTION("""COMPUTED_VALUE"""),"₱ -")</f>
        <v>₱ -</v>
      </c>
      <c r="F2149" s="164" t="str">
        <f ca="1">IFERROR(__xludf.DUMMYFUNCTION("""COMPUTED_VALUE"""),"2023-05-03-10202SP234-01")</f>
        <v>2023-05-03-10202SP234-01</v>
      </c>
      <c r="G2149" s="164" t="str">
        <f ca="1">IFERROR(__xludf.DUMMYFUNCTION("""COMPUTED_VALUE"""),"NXEGZSP00330801DF13400")</f>
        <v>NXEGZSP00330801DF13400</v>
      </c>
      <c r="H2149" s="164" t="str">
        <f ca="1">IFERROR(__xludf.DUMMYFUNCTION("""COMPUTED_VALUE"""),"ATTY. CHERRY A. AGMATA")</f>
        <v>ATTY. CHERRY A. AGMATA</v>
      </c>
      <c r="I2149" s="164" t="str">
        <f ca="1">IFERROR(__xludf.DUMMYFUNCTION("""COMPUTED_VALUE"""),"Attorney V")</f>
        <v>Attorney V</v>
      </c>
      <c r="J2149" s="164" t="str">
        <f ca="1">IFERROR(__xludf.DUMMYFUNCTION("""COMPUTED_VALUE"""),"2023-05-03-10202SP234-0")</f>
        <v>2023-05-03-10202SP234-0</v>
      </c>
      <c r="K2149" s="164" t="str">
        <f ca="1">IFERROR(__xludf.DUMMYFUNCTION("""COMPUTED_VALUE"""),"ATTY. CHERRY A. AGMATA")</f>
        <v>ATTY. CHERRY A. AGMATA</v>
      </c>
      <c r="L2149" s="164" t="str">
        <f ca="1">IFERROR(__xludf.DUMMYFUNCTION("""COMPUTED_VALUE"""),"Legal Office")</f>
        <v>Legal Office</v>
      </c>
      <c r="M2149" s="164" t="str">
        <f ca="1">IFERROR(__xludf.DUMMYFUNCTION("""COMPUTED_VALUE"""),"SERVICEABLE")</f>
        <v>SERVICEABLE</v>
      </c>
      <c r="N2149" s="164"/>
    </row>
    <row r="2150" spans="1:14" ht="13.2" hidden="1">
      <c r="A2150" s="164" t="str">
        <f ca="1">IFERROR(__xludf.DUMMYFUNCTION("""COMPUTED_VALUE"""),"REGION V")</f>
        <v>REGION V</v>
      </c>
      <c r="B2150" s="164" t="str">
        <f ca="1">IFERROR(__xludf.DUMMYFUNCTION("""COMPUTED_VALUE"""),"CATANDUANES")</f>
        <v>CATANDUANES</v>
      </c>
      <c r="C2150" s="164" t="str">
        <f ca="1">IFERROR(__xludf.DUMMYFUNCTION("""COMPUTED_VALUE"""),"Laptop – (ACER EXTENSA EX215-55G i7)")</f>
        <v>Laptop – (ACER EXTENSA EX215-55G i7)</v>
      </c>
      <c r="D2150" s="164" t="str">
        <f ca="1">IFERROR(__xludf.DUMMYFUNCTION("""COMPUTED_VALUE"""),"₱ 59,500.00")</f>
        <v>₱ 59,500.00</v>
      </c>
      <c r="E2150" s="164" t="str">
        <f ca="1">IFERROR(__xludf.DUMMYFUNCTION("""COMPUTED_VALUE"""),"₱ -")</f>
        <v>₱ -</v>
      </c>
      <c r="F2150" s="164" t="str">
        <f ca="1">IFERROR(__xludf.DUMMYFUNCTION("""COMPUTED_VALUE"""),"2023-05-03-10202SP235-01")</f>
        <v>2023-05-03-10202SP235-01</v>
      </c>
      <c r="G2150" s="164" t="str">
        <f ca="1">IFERROR(__xludf.DUMMYFUNCTION("""COMPUTED_VALUE"""),"NXEGZSP00330801AC83400")</f>
        <v>NXEGZSP00330801AC83400</v>
      </c>
      <c r="H2150" s="164" t="str">
        <f ca="1">IFERROR(__xludf.DUMMYFUNCTION("""COMPUTED_VALUE"""),"SARAH C. TITO")</f>
        <v>SARAH C. TITO</v>
      </c>
      <c r="I2150" s="164" t="str">
        <f ca="1">IFERROR(__xludf.DUMMYFUNCTION("""COMPUTED_VALUE"""),"PCAO")</f>
        <v>PCAO</v>
      </c>
      <c r="J2150" s="164" t="str">
        <f ca="1">IFERROR(__xludf.DUMMYFUNCTION("""COMPUTED_VALUE"""),"2023-05-03-10202SP235-01")</f>
        <v>2023-05-03-10202SP235-01</v>
      </c>
      <c r="K2150" s="164" t="str">
        <f ca="1">IFERROR(__xludf.DUMMYFUNCTION("""COMPUTED_VALUE"""),"SARAH C. TITO")</f>
        <v>SARAH C. TITO</v>
      </c>
      <c r="L2150" s="164" t="str">
        <f ca="1">IFERROR(__xludf.DUMMYFUNCTION("""COMPUTED_VALUE"""),"STOD")</f>
        <v>STOD</v>
      </c>
      <c r="M2150" s="164" t="str">
        <f ca="1">IFERROR(__xludf.DUMMYFUNCTION("""COMPUTED_VALUE"""),"SERVICEABLE")</f>
        <v>SERVICEABLE</v>
      </c>
      <c r="N2150" s="164"/>
    </row>
    <row r="2151" spans="1:14" ht="13.2" hidden="1">
      <c r="A2151" s="164" t="str">
        <f ca="1">IFERROR(__xludf.DUMMYFUNCTION("""COMPUTED_VALUE"""),"REGION V")</f>
        <v>REGION V</v>
      </c>
      <c r="B2151" s="164" t="str">
        <f ca="1">IFERROR(__xludf.DUMMYFUNCTION("""COMPUTED_VALUE"""),"CATANDUANES")</f>
        <v>CATANDUANES</v>
      </c>
      <c r="C2151" s="164" t="str">
        <f ca="1">IFERROR(__xludf.DUMMYFUNCTION("""COMPUTED_VALUE"""),"Photocopier Machine – Kyocera")</f>
        <v>Photocopier Machine – Kyocera</v>
      </c>
      <c r="D2151" s="164" t="str">
        <f ca="1">IFERROR(__xludf.DUMMYFUNCTION("""COMPUTED_VALUE"""),"₱ 84,500.00")</f>
        <v>₱ 84,500.00</v>
      </c>
      <c r="E2151" s="164" t="str">
        <f ca="1">IFERROR(__xludf.DUMMYFUNCTION("""COMPUTED_VALUE"""),"₱ -")</f>
        <v>₱ -</v>
      </c>
      <c r="F2151" s="164" t="str">
        <f ca="1">IFERROR(__xludf.DUMMYFUNCTION("""COMPUTED_VALUE"""),"2022-05-02-10202SP42-01")</f>
        <v>2022-05-02-10202SP42-01</v>
      </c>
      <c r="G2151" s="164" t="str">
        <f ca="1">IFERROR(__xludf.DUMMYFUNCTION("""COMPUTED_VALUE"""),"RNK2700188")</f>
        <v>RNK2700188</v>
      </c>
      <c r="H2151" s="164" t="str">
        <f ca="1">IFERROR(__xludf.DUMMYFUNCTION("""COMPUTED_VALUE"""),"SARAH C. TITO")</f>
        <v>SARAH C. TITO</v>
      </c>
      <c r="I2151" s="164" t="str">
        <f ca="1">IFERROR(__xludf.DUMMYFUNCTION("""COMPUTED_VALUE"""),"PCAO")</f>
        <v>PCAO</v>
      </c>
      <c r="J2151" s="164" t="str">
        <f ca="1">IFERROR(__xludf.DUMMYFUNCTION("""COMPUTED_VALUE"""),"2022-05-001")</f>
        <v>2022-05-001</v>
      </c>
      <c r="K2151" s="164" t="str">
        <f ca="1">IFERROR(__xludf.DUMMYFUNCTION("""COMPUTED_VALUE"""),"SARAH C. TITO")</f>
        <v>SARAH C. TITO</v>
      </c>
      <c r="L2151" s="164" t="str">
        <f ca="1">IFERROR(__xludf.DUMMYFUNCTION("""COMPUTED_VALUE"""),"Conference Room")</f>
        <v>Conference Room</v>
      </c>
      <c r="M2151" s="164" t="str">
        <f ca="1">IFERROR(__xludf.DUMMYFUNCTION("""COMPUTED_VALUE"""),"SERVICEABLE")</f>
        <v>SERVICEABLE</v>
      </c>
      <c r="N2151" s="164"/>
    </row>
    <row r="2152" spans="1:14" ht="13.2" hidden="1">
      <c r="A2152" s="164" t="str">
        <f ca="1">IFERROR(__xludf.DUMMYFUNCTION("""COMPUTED_VALUE"""),"REGION V")</f>
        <v>REGION V</v>
      </c>
      <c r="B2152" s="164" t="str">
        <f ca="1">IFERROR(__xludf.DUMMYFUNCTION("""COMPUTED_VALUE"""),"CATANDUANES")</f>
        <v>CATANDUANES</v>
      </c>
      <c r="C2152" s="164" t="str">
        <f ca="1">IFERROR(__xludf.DUMMYFUNCTION("""COMPUTED_VALUE"""),"A3 PRINTER (BROTHER)")</f>
        <v>A3 PRINTER (BROTHER)</v>
      </c>
      <c r="D2152" s="164" t="str">
        <f ca="1">IFERROR(__xludf.DUMMYFUNCTION("""COMPUTED_VALUE"""),"₱ 33,508.00")</f>
        <v>₱ 33,508.00</v>
      </c>
      <c r="E2152" s="164" t="str">
        <f ca="1">IFERROR(__xludf.DUMMYFUNCTION("""COMPUTED_VALUE"""),"₱ -")</f>
        <v>₱ -</v>
      </c>
      <c r="F2152" s="164" t="str">
        <f ca="1">IFERROR(__xludf.DUMMYFUNCTION("""COMPUTED_VALUE"""),"HV-SPLIT-102-24-05-04-035")</f>
        <v>HV-SPLIT-102-24-05-04-035</v>
      </c>
      <c r="G2152" s="164" t="str">
        <f ca="1">IFERROR(__xludf.DUMMYFUNCTION("""COMPUTED_VALUE"""),"E78947L3H871165")</f>
        <v>E78947L3H871165</v>
      </c>
      <c r="H2152" s="164" t="str">
        <f ca="1">IFERROR(__xludf.DUMMYFUNCTION("""COMPUTED_VALUE"""),"NERISA B. ALDEA")</f>
        <v>NERISA B. ALDEA</v>
      </c>
      <c r="I2152" s="164" t="str">
        <f ca="1">IFERROR(__xludf.DUMMYFUNCTION("""COMPUTED_VALUE"""),"OIC-PARPO II")</f>
        <v>OIC-PARPO II</v>
      </c>
      <c r="J2152" s="164" t="str">
        <f ca="1">IFERROR(__xludf.DUMMYFUNCTION("""COMPUTED_VALUE"""),"SPLIT-2024-03-0001")</f>
        <v>SPLIT-2024-03-0001</v>
      </c>
      <c r="K2152" s="164" t="str">
        <f ca="1">IFERROR(__xludf.DUMMYFUNCTION("""COMPUTED_VALUE"""),"NERISA B. ALDEA")</f>
        <v>NERISA B. ALDEA</v>
      </c>
      <c r="L2152" s="164" t="str">
        <f ca="1">IFERROR(__xludf.DUMMYFUNCTION("""COMPUTED_VALUE"""),"PARPO's Office")</f>
        <v>PARPO's Office</v>
      </c>
      <c r="M2152" s="164" t="str">
        <f ca="1">IFERROR(__xludf.DUMMYFUNCTION("""COMPUTED_VALUE"""),"SERVICEABLE")</f>
        <v>SERVICEABLE</v>
      </c>
      <c r="N2152" s="164"/>
    </row>
    <row r="2153" spans="1:14" ht="13.2" hidden="1">
      <c r="A2153" s="164" t="str">
        <f ca="1">IFERROR(__xludf.DUMMYFUNCTION("""COMPUTED_VALUE"""),"REGION V")</f>
        <v>REGION V</v>
      </c>
      <c r="B2153" s="164" t="str">
        <f ca="1">IFERROR(__xludf.DUMMYFUNCTION("""COMPUTED_VALUE"""),"MASBATE")</f>
        <v>MASBATE</v>
      </c>
      <c r="C2153" s="164" t="str">
        <f ca="1">IFERROR(__xludf.DUMMYFUNCTION("""COMPUTED_VALUE"""),"REAL-TIME KINEMATIC – GEOMAX ZENITH60")</f>
        <v>REAL-TIME KINEMATIC – GEOMAX ZENITH60</v>
      </c>
      <c r="D2153" s="164" t="str">
        <f ca="1">IFERROR(__xludf.DUMMYFUNCTION("""COMPUTED_VALUE"""),"₱ 1,849,000.00")</f>
        <v>₱ 1,849,000.00</v>
      </c>
      <c r="E2153" s="164" t="str">
        <f ca="1">IFERROR(__xludf.DUMMYFUNCTION("""COMPUTED_VALUE"""),"₱ -")</f>
        <v>₱ -</v>
      </c>
      <c r="F2153" s="164" t="str">
        <f ca="1">IFERROR(__xludf.DUMMYFUNCTION("""COMPUTED_VALUE"""),"2023-05-1410201SP01-01")</f>
        <v>2023-05-1410201SP01-01</v>
      </c>
      <c r="G2153" s="164" t="str">
        <f ca="1">IFERROR(__xludf.DUMMYFUNCTION("""COMPUTED_VALUE"""),"Z60272200023")</f>
        <v>Z60272200023</v>
      </c>
      <c r="H2153" s="164" t="str">
        <f ca="1">IFERROR(__xludf.DUMMYFUNCTION("""COMPUTED_VALUE"""),"HERALD R. TAMBAL")</f>
        <v>HERALD R. TAMBAL</v>
      </c>
      <c r="I2153" s="164" t="str">
        <f ca="1">IFERROR(__xludf.DUMMYFUNCTION("""COMPUTED_VALUE"""),"OIC-PARPO II")</f>
        <v>OIC-PARPO II</v>
      </c>
      <c r="J2153" s="164" t="str">
        <f ca="1">IFERROR(__xludf.DUMMYFUNCTION("""COMPUTED_VALUE"""),"DAR-MBT-101163-TSE-GPS-001")</f>
        <v>DAR-MBT-101163-TSE-GPS-001</v>
      </c>
      <c r="K2153" s="164" t="str">
        <f ca="1">IFERROR(__xludf.DUMMYFUNCTION("""COMPUTED_VALUE"""),"JOJIE PACHECO")</f>
        <v>JOJIE PACHECO</v>
      </c>
      <c r="L2153" s="164" t="str">
        <f ca="1">IFERROR(__xludf.DUMMYFUNCTION("""COMPUTED_VALUE"""),"DARPO-SURVEY")</f>
        <v>DARPO-SURVEY</v>
      </c>
      <c r="M2153" s="164" t="str">
        <f ca="1">IFERROR(__xludf.DUMMYFUNCTION("""COMPUTED_VALUE"""),"SERVICEABLE")</f>
        <v>SERVICEABLE</v>
      </c>
      <c r="N2153" s="164"/>
    </row>
    <row r="2154" spans="1:14" ht="13.2" hidden="1">
      <c r="A2154" s="164" t="str">
        <f ca="1">IFERROR(__xludf.DUMMYFUNCTION("""COMPUTED_VALUE"""),"REGION V")</f>
        <v>REGION V</v>
      </c>
      <c r="B2154" s="164" t="str">
        <f ca="1">IFERROR(__xludf.DUMMYFUNCTION("""COMPUTED_VALUE"""),"MASBATE")</f>
        <v>MASBATE</v>
      </c>
      <c r="C2154" s="164" t="str">
        <f ca="1">IFERROR(__xludf.DUMMYFUNCTION("""COMPUTED_VALUE"""),"TOTAL STATION – GEOMAX TOTAL STATION ZOOM 50")</f>
        <v>TOTAL STATION – GEOMAX TOTAL STATION ZOOM 50</v>
      </c>
      <c r="D2154" s="164" t="str">
        <f ca="1">IFERROR(__xludf.DUMMYFUNCTION("""COMPUTED_VALUE"""),"₱ 648,000.00")</f>
        <v>₱ 648,000.00</v>
      </c>
      <c r="E2154" s="164" t="str">
        <f ca="1">IFERROR(__xludf.DUMMYFUNCTION("""COMPUTED_VALUE"""),"₱ -")</f>
        <v>₱ -</v>
      </c>
      <c r="F2154" s="164" t="str">
        <f ca="1">IFERROR(__xludf.DUMMYFUNCTION("""COMPUTED_VALUE"""),"2023-05-14-10201SP01-01")</f>
        <v>2023-05-14-10201SP01-01</v>
      </c>
      <c r="G2154" s="164" t="str">
        <f ca="1">IFERROR(__xludf.DUMMYFUNCTION("""COMPUTED_VALUE"""),"SNB2839979")</f>
        <v>SNB2839979</v>
      </c>
      <c r="H2154" s="164" t="str">
        <f ca="1">IFERROR(__xludf.DUMMYFUNCTION("""COMPUTED_VALUE"""),"HERALD R. TAMBAL")</f>
        <v>HERALD R. TAMBAL</v>
      </c>
      <c r="I2154" s="164" t="str">
        <f ca="1">IFERROR(__xludf.DUMMYFUNCTION("""COMPUTED_VALUE"""),"OIC-PARPO II")</f>
        <v>OIC-PARPO II</v>
      </c>
      <c r="J2154" s="164" t="str">
        <f ca="1">IFERROR(__xludf.DUMMYFUNCTION("""COMPUTED_VALUE"""),"DAR-MBT-101163-TSE-TT-001")</f>
        <v>DAR-MBT-101163-TSE-TT-001</v>
      </c>
      <c r="K2154" s="164" t="str">
        <f ca="1">IFERROR(__xludf.DUMMYFUNCTION("""COMPUTED_VALUE"""),"JOJIE PACHECO")</f>
        <v>JOJIE PACHECO</v>
      </c>
      <c r="L2154" s="164" t="str">
        <f ca="1">IFERROR(__xludf.DUMMYFUNCTION("""COMPUTED_VALUE"""),"DARPO-SURVEY")</f>
        <v>DARPO-SURVEY</v>
      </c>
      <c r="M2154" s="164" t="str">
        <f ca="1">IFERROR(__xludf.DUMMYFUNCTION("""COMPUTED_VALUE"""),"SERVICEABLE")</f>
        <v>SERVICEABLE</v>
      </c>
      <c r="N2154" s="164"/>
    </row>
    <row r="2155" spans="1:14" ht="13.2" hidden="1">
      <c r="A2155" s="164" t="str">
        <f ca="1">IFERROR(__xludf.DUMMYFUNCTION("""COMPUTED_VALUE"""),"REGION V")</f>
        <v>REGION V</v>
      </c>
      <c r="B2155" s="164" t="str">
        <f ca="1">IFERROR(__xludf.DUMMYFUNCTION("""COMPUTED_VALUE"""),"MASBATE")</f>
        <v>MASBATE</v>
      </c>
      <c r="C2155" s="164" t="str">
        <f ca="1">IFERROR(__xludf.DUMMYFUNCTION("""COMPUTED_VALUE"""),"HANDHELD GPS – MODEL P6")</f>
        <v>HANDHELD GPS – MODEL P6</v>
      </c>
      <c r="D2155" s="164" t="str">
        <f ca="1">IFERROR(__xludf.DUMMYFUNCTION("""COMPUTED_VALUE"""),"₱ 79,000.00")</f>
        <v>₱ 79,000.00</v>
      </c>
      <c r="E2155" s="164" t="str">
        <f ca="1">IFERROR(__xludf.DUMMYFUNCTION("""COMPUTED_VALUE"""),"₱ -")</f>
        <v>₱ -</v>
      </c>
      <c r="F2155" s="164" t="str">
        <f ca="1">IFERROR(__xludf.DUMMYFUNCTION("""COMPUTED_VALUE"""),"2023-05-14-10201SP01-01")</f>
        <v>2023-05-14-10201SP01-01</v>
      </c>
      <c r="G2155" s="164" t="str">
        <f ca="1">IFERROR(__xludf.DUMMYFUNCTION("""COMPUTED_VALUE"""),"10730070")</f>
        <v>10730070</v>
      </c>
      <c r="H2155" s="164" t="str">
        <f ca="1">IFERROR(__xludf.DUMMYFUNCTION("""COMPUTED_VALUE"""),"HERALD R. TAMBAL")</f>
        <v>HERALD R. TAMBAL</v>
      </c>
      <c r="I2155" s="164" t="str">
        <f ca="1">IFERROR(__xludf.DUMMYFUNCTION("""COMPUTED_VALUE"""),"OIC-PARPO II")</f>
        <v>OIC-PARPO II</v>
      </c>
      <c r="J2155" s="164" t="str">
        <f ca="1">IFERROR(__xludf.DUMMYFUNCTION("""COMPUTED_VALUE"""),"DAR-MBT-101163-TSE-GPS-001")</f>
        <v>DAR-MBT-101163-TSE-GPS-001</v>
      </c>
      <c r="K2155" s="164" t="str">
        <f ca="1">IFERROR(__xludf.DUMMYFUNCTION("""COMPUTED_VALUE"""),"JOJIE PACHECO")</f>
        <v>JOJIE PACHECO</v>
      </c>
      <c r="L2155" s="164" t="str">
        <f ca="1">IFERROR(__xludf.DUMMYFUNCTION("""COMPUTED_VALUE"""),"DARPO")</f>
        <v>DARPO</v>
      </c>
      <c r="M2155" s="164" t="str">
        <f ca="1">IFERROR(__xludf.DUMMYFUNCTION("""COMPUTED_VALUE"""),"SERVICEABLE")</f>
        <v>SERVICEABLE</v>
      </c>
      <c r="N2155" s="164"/>
    </row>
    <row r="2156" spans="1:14" ht="13.2" hidden="1">
      <c r="A2156" s="164" t="str">
        <f ca="1">IFERROR(__xludf.DUMMYFUNCTION("""COMPUTED_VALUE"""),"REGION V")</f>
        <v>REGION V</v>
      </c>
      <c r="B2156" s="164" t="str">
        <f ca="1">IFERROR(__xludf.DUMMYFUNCTION("""COMPUTED_VALUE"""),"MASBATE")</f>
        <v>MASBATE</v>
      </c>
      <c r="C2156" s="164" t="str">
        <f ca="1">IFERROR(__xludf.DUMMYFUNCTION("""COMPUTED_VALUE"""),"Desktop Computer – (Lenovo M70T)")</f>
        <v>Desktop Computer – (Lenovo M70T)</v>
      </c>
      <c r="D2156" s="164" t="str">
        <f ca="1">IFERROR(__xludf.DUMMYFUNCTION("""COMPUTED_VALUE"""),"₱ 75,468.00")</f>
        <v>₱ 75,468.00</v>
      </c>
      <c r="E2156" s="164" t="str">
        <f ca="1">IFERROR(__xludf.DUMMYFUNCTION("""COMPUTED_VALUE"""),"₱ -")</f>
        <v>₱ -</v>
      </c>
      <c r="F2156" s="164" t="str">
        <f ca="1">IFERROR(__xludf.DUMMYFUNCTION("""COMPUTED_VALUE"""),"2023-05-SPCOM001
 2023-05-03-10201SP1084-01")</f>
        <v>2023-05-SPCOM001
 2023-05-03-10201SP1084-01</v>
      </c>
      <c r="G2156" s="164" t="str">
        <f ca="1">IFERROR(__xludf.DUMMYFUNCTION("""COMPUTED_VALUE"""),"1562AFAR2WWVA985G8")</f>
        <v>1562AFAR2WWVA985G8</v>
      </c>
      <c r="H2156" s="164" t="str">
        <f ca="1">IFERROR(__xludf.DUMMYFUNCTION("""COMPUTED_VALUE"""),"HERALD R. TAMBAL")</f>
        <v>HERALD R. TAMBAL</v>
      </c>
      <c r="I2156" s="164" t="str">
        <f ca="1">IFERROR(__xludf.DUMMYFUNCTION("""COMPUTED_VALUE"""),"PARPO II")</f>
        <v>PARPO II</v>
      </c>
      <c r="J2156" s="164" t="str">
        <f ca="1">IFERROR(__xludf.DUMMYFUNCTION("""COMPUTED_VALUE"""),"DAR-MBT-101163-IT-COM-001")</f>
        <v>DAR-MBT-101163-IT-COM-001</v>
      </c>
      <c r="K2156" s="164" t="str">
        <f ca="1">IFERROR(__xludf.DUMMYFUNCTION("""COMPUTED_VALUE"""),"GIGI CANDELEJA")</f>
        <v>GIGI CANDELEJA</v>
      </c>
      <c r="L2156" s="164" t="str">
        <f ca="1">IFERROR(__xludf.DUMMYFUNCTION("""COMPUTED_VALUE"""),"LTID")</f>
        <v>LTID</v>
      </c>
      <c r="M2156" s="164" t="str">
        <f ca="1">IFERROR(__xludf.DUMMYFUNCTION("""COMPUTED_VALUE"""),"SERVICEABLE")</f>
        <v>SERVICEABLE</v>
      </c>
      <c r="N2156" s="164"/>
    </row>
    <row r="2157" spans="1:14" ht="13.2" hidden="1">
      <c r="A2157" s="164" t="str">
        <f ca="1">IFERROR(__xludf.DUMMYFUNCTION("""COMPUTED_VALUE"""),"REGION V")</f>
        <v>REGION V</v>
      </c>
      <c r="B2157" s="164" t="str">
        <f ca="1">IFERROR(__xludf.DUMMYFUNCTION("""COMPUTED_VALUE"""),"MASBATE")</f>
        <v>MASBATE</v>
      </c>
      <c r="C2157" s="164" t="str">
        <f ca="1">IFERROR(__xludf.DUMMYFUNCTION("""COMPUTED_VALUE"""),"Desktop Computer – (Lenovo M70T)")</f>
        <v>Desktop Computer – (Lenovo M70T)</v>
      </c>
      <c r="D2157" s="164" t="str">
        <f ca="1">IFERROR(__xludf.DUMMYFUNCTION("""COMPUTED_VALUE"""),"₱ 75,468.00")</f>
        <v>₱ 75,468.00</v>
      </c>
      <c r="E2157" s="164" t="str">
        <f ca="1">IFERROR(__xludf.DUMMYFUNCTION("""COMPUTED_VALUE"""),"₱ -")</f>
        <v>₱ -</v>
      </c>
      <c r="F2157" s="164" t="str">
        <f ca="1">IFERROR(__xludf.DUMMYFUNCTION("""COMPUTED_VALUE"""),"2023-05-SPCOM002
 2023-05-03-10201SP1085-01")</f>
        <v>2023-05-SPCOM002
 2023-05-03-10201SP1085-01</v>
      </c>
      <c r="G2157" s="164" t="str">
        <f ca="1">IFERROR(__xludf.DUMMYFUNCTION("""COMPUTED_VALUE"""),"1562AFKAR2WWVA985G5")</f>
        <v>1562AFKAR2WWVA985G5</v>
      </c>
      <c r="H2157" s="164" t="str">
        <f ca="1">IFERROR(__xludf.DUMMYFUNCTION("""COMPUTED_VALUE"""),"HERALD R. TAMBAL")</f>
        <v>HERALD R. TAMBAL</v>
      </c>
      <c r="I2157" s="164" t="str">
        <f ca="1">IFERROR(__xludf.DUMMYFUNCTION("""COMPUTED_VALUE"""),"PARPO II")</f>
        <v>PARPO II</v>
      </c>
      <c r="J2157" s="164" t="str">
        <f ca="1">IFERROR(__xludf.DUMMYFUNCTION("""COMPUTED_VALUE"""),"DAR-MBT-101163-IT-COM-002")</f>
        <v>DAR-MBT-101163-IT-COM-002</v>
      </c>
      <c r="K2157" s="164" t="str">
        <f ca="1">IFERROR(__xludf.DUMMYFUNCTION("""COMPUTED_VALUE"""),"FRANCIA BARRUGA")</f>
        <v>FRANCIA BARRUGA</v>
      </c>
      <c r="L2157" s="164" t="str">
        <f ca="1">IFERROR(__xludf.DUMMYFUNCTION("""COMPUTED_VALUE"""),"LTID")</f>
        <v>LTID</v>
      </c>
      <c r="M2157" s="164" t="str">
        <f ca="1">IFERROR(__xludf.DUMMYFUNCTION("""COMPUTED_VALUE"""),"SERVICEABLE")</f>
        <v>SERVICEABLE</v>
      </c>
      <c r="N2157" s="164"/>
    </row>
    <row r="2158" spans="1:14" ht="13.2" hidden="1">
      <c r="A2158" s="164" t="str">
        <f ca="1">IFERROR(__xludf.DUMMYFUNCTION("""COMPUTED_VALUE"""),"REGION V")</f>
        <v>REGION V</v>
      </c>
      <c r="B2158" s="164" t="str">
        <f ca="1">IFERROR(__xludf.DUMMYFUNCTION("""COMPUTED_VALUE"""),"MASBATE")</f>
        <v>MASBATE</v>
      </c>
      <c r="C2158" s="164" t="str">
        <f ca="1">IFERROR(__xludf.DUMMYFUNCTION("""COMPUTED_VALUE"""),"Desktop Computer – (Lenovo M70T)")</f>
        <v>Desktop Computer – (Lenovo M70T)</v>
      </c>
      <c r="D2158" s="164" t="str">
        <f ca="1">IFERROR(__xludf.DUMMYFUNCTION("""COMPUTED_VALUE"""),"₱ 75,468.00")</f>
        <v>₱ 75,468.00</v>
      </c>
      <c r="E2158" s="164" t="str">
        <f ca="1">IFERROR(__xludf.DUMMYFUNCTION("""COMPUTED_VALUE"""),"₱ -")</f>
        <v>₱ -</v>
      </c>
      <c r="F2158" s="164" t="str">
        <f ca="1">IFERROR(__xludf.DUMMYFUNCTION("""COMPUTED_VALUE"""),"2023-05-SPCOM003
 2023-05-03-10201SP1086-01")</f>
        <v>2023-05-SPCOM003
 2023-05-03-10201SP1086-01</v>
      </c>
      <c r="G2158" s="164" t="str">
        <f ca="1">IFERROR(__xludf.DUMMYFUNCTION("""COMPUTED_VALUE"""),"1562AFKAR2WWVA985G6")</f>
        <v>1562AFKAR2WWVA985G6</v>
      </c>
      <c r="H2158" s="164" t="str">
        <f ca="1">IFERROR(__xludf.DUMMYFUNCTION("""COMPUTED_VALUE"""),"HERALD R. TAMBAL")</f>
        <v>HERALD R. TAMBAL</v>
      </c>
      <c r="I2158" s="164" t="str">
        <f ca="1">IFERROR(__xludf.DUMMYFUNCTION("""COMPUTED_VALUE"""),"PARPO II")</f>
        <v>PARPO II</v>
      </c>
      <c r="J2158" s="164" t="str">
        <f ca="1">IFERROR(__xludf.DUMMYFUNCTION("""COMPUTED_VALUE"""),"DAR-MBT-101163-IT-COM-003")</f>
        <v>DAR-MBT-101163-IT-COM-003</v>
      </c>
      <c r="K2158" s="164" t="str">
        <f ca="1">IFERROR(__xludf.DUMMYFUNCTION("""COMPUTED_VALUE"""),"ELEANOR TORRES")</f>
        <v>ELEANOR TORRES</v>
      </c>
      <c r="L2158" s="164" t="str">
        <f ca="1">IFERROR(__xludf.DUMMYFUNCTION("""COMPUTED_VALUE"""),"LTID")</f>
        <v>LTID</v>
      </c>
      <c r="M2158" s="164" t="str">
        <f ca="1">IFERROR(__xludf.DUMMYFUNCTION("""COMPUTED_VALUE"""),"SERVICEABLE")</f>
        <v>SERVICEABLE</v>
      </c>
      <c r="N2158" s="164"/>
    </row>
    <row r="2159" spans="1:14" ht="13.2" hidden="1">
      <c r="A2159" s="164" t="str">
        <f ca="1">IFERROR(__xludf.DUMMYFUNCTION("""COMPUTED_VALUE"""),"REGION V")</f>
        <v>REGION V</v>
      </c>
      <c r="B2159" s="164" t="str">
        <f ca="1">IFERROR(__xludf.DUMMYFUNCTION("""COMPUTED_VALUE"""),"MASBATE")</f>
        <v>MASBATE</v>
      </c>
      <c r="C2159" s="164" t="str">
        <f ca="1">IFERROR(__xludf.DUMMYFUNCTION("""COMPUTED_VALUE"""),"Desktop Computer – (Lenovo M70T)")</f>
        <v>Desktop Computer – (Lenovo M70T)</v>
      </c>
      <c r="D2159" s="164" t="str">
        <f ca="1">IFERROR(__xludf.DUMMYFUNCTION("""COMPUTED_VALUE"""),"₱ 75,468.00")</f>
        <v>₱ 75,468.00</v>
      </c>
      <c r="E2159" s="164" t="str">
        <f ca="1">IFERROR(__xludf.DUMMYFUNCTION("""COMPUTED_VALUE"""),"₱ -")</f>
        <v>₱ -</v>
      </c>
      <c r="F2159" s="164" t="str">
        <f ca="1">IFERROR(__xludf.DUMMYFUNCTION("""COMPUTED_VALUE"""),"2023-05-SPCOM004
 2023-05-03-10201SP1087-01")</f>
        <v>2023-05-SPCOM004
 2023-05-03-10201SP1087-01</v>
      </c>
      <c r="G2159" s="164" t="str">
        <f ca="1">IFERROR(__xludf.DUMMYFUNCTION("""COMPUTED_VALUE"""),"1562AFKAR2WWVA985G7")</f>
        <v>1562AFKAR2WWVA985G7</v>
      </c>
      <c r="H2159" s="164" t="str">
        <f ca="1">IFERROR(__xludf.DUMMYFUNCTION("""COMPUTED_VALUE"""),"HERALD R. TAMBAL")</f>
        <v>HERALD R. TAMBAL</v>
      </c>
      <c r="I2159" s="164" t="str">
        <f ca="1">IFERROR(__xludf.DUMMYFUNCTION("""COMPUTED_VALUE"""),"PARPO II")</f>
        <v>PARPO II</v>
      </c>
      <c r="J2159" s="164" t="str">
        <f ca="1">IFERROR(__xludf.DUMMYFUNCTION("""COMPUTED_VALUE"""),"DAR-MBT-101163-IT-COM-004")</f>
        <v>DAR-MBT-101163-IT-COM-004</v>
      </c>
      <c r="K2159" s="164" t="str">
        <f ca="1">IFERROR(__xludf.DUMMYFUNCTION("""COMPUTED_VALUE"""),"ELEANOR TORRES")</f>
        <v>ELEANOR TORRES</v>
      </c>
      <c r="L2159" s="164" t="str">
        <f ca="1">IFERROR(__xludf.DUMMYFUNCTION("""COMPUTED_VALUE"""),"SPLIT")</f>
        <v>SPLIT</v>
      </c>
      <c r="M2159" s="164" t="str">
        <f ca="1">IFERROR(__xludf.DUMMYFUNCTION("""COMPUTED_VALUE"""),"SERVICEABLE")</f>
        <v>SERVICEABLE</v>
      </c>
      <c r="N2159" s="164"/>
    </row>
    <row r="2160" spans="1:14" ht="13.2" hidden="1">
      <c r="A2160" s="164" t="str">
        <f ca="1">IFERROR(__xludf.DUMMYFUNCTION("""COMPUTED_VALUE"""),"REGION V")</f>
        <v>REGION V</v>
      </c>
      <c r="B2160" s="164" t="str">
        <f ca="1">IFERROR(__xludf.DUMMYFUNCTION("""COMPUTED_VALUE"""),"MASBATE")</f>
        <v>MASBATE</v>
      </c>
      <c r="C2160" s="164" t="str">
        <f ca="1">IFERROR(__xludf.DUMMYFUNCTION("""COMPUTED_VALUE"""),"Desktop Computer – (Lenovo M70T)")</f>
        <v>Desktop Computer – (Lenovo M70T)</v>
      </c>
      <c r="D2160" s="164" t="str">
        <f ca="1">IFERROR(__xludf.DUMMYFUNCTION("""COMPUTED_VALUE"""),"₱ 75,468.00")</f>
        <v>₱ 75,468.00</v>
      </c>
      <c r="E2160" s="164" t="str">
        <f ca="1">IFERROR(__xludf.DUMMYFUNCTION("""COMPUTED_VALUE"""),"₱ -")</f>
        <v>₱ -</v>
      </c>
      <c r="F2160" s="164" t="str">
        <f ca="1">IFERROR(__xludf.DUMMYFUNCTION("""COMPUTED_VALUE"""),"2023-05-SPCOM005
 2023-05-03-10201SP1088-01")</f>
        <v>2023-05-SPCOM005
 2023-05-03-10201SP1088-01</v>
      </c>
      <c r="G2160" s="164" t="str">
        <f ca="1">IFERROR(__xludf.DUMMYFUNCTION("""COMPUTED_VALUE"""),"1562AFKAR2WWVA985GA")</f>
        <v>1562AFKAR2WWVA985GA</v>
      </c>
      <c r="H2160" s="164" t="str">
        <f ca="1">IFERROR(__xludf.DUMMYFUNCTION("""COMPUTED_VALUE"""),"HERALD R. TAMBAL")</f>
        <v>HERALD R. TAMBAL</v>
      </c>
      <c r="I2160" s="164" t="str">
        <f ca="1">IFERROR(__xludf.DUMMYFUNCTION("""COMPUTED_VALUE"""),"PARPO II")</f>
        <v>PARPO II</v>
      </c>
      <c r="J2160" s="164" t="str">
        <f ca="1">IFERROR(__xludf.DUMMYFUNCTION("""COMPUTED_VALUE"""),"DAR-MBT-101163-IT-COM-005")</f>
        <v>DAR-MBT-101163-IT-COM-005</v>
      </c>
      <c r="K2160" s="164" t="str">
        <f ca="1">IFERROR(__xludf.DUMMYFUNCTION("""COMPUTED_VALUE"""),"RUEL ORBASE")</f>
        <v>RUEL ORBASE</v>
      </c>
      <c r="L2160" s="164" t="str">
        <f ca="1">IFERROR(__xludf.DUMMYFUNCTION("""COMPUTED_VALUE"""),"PLANNING")</f>
        <v>PLANNING</v>
      </c>
      <c r="M2160" s="164" t="str">
        <f ca="1">IFERROR(__xludf.DUMMYFUNCTION("""COMPUTED_VALUE"""),"SERVICEABLE")</f>
        <v>SERVICEABLE</v>
      </c>
      <c r="N2160" s="164"/>
    </row>
    <row r="2161" spans="1:14" ht="13.2" hidden="1">
      <c r="A2161" s="164" t="str">
        <f ca="1">IFERROR(__xludf.DUMMYFUNCTION("""COMPUTED_VALUE"""),"REGION V")</f>
        <v>REGION V</v>
      </c>
      <c r="B2161" s="164" t="str">
        <f ca="1">IFERROR(__xludf.DUMMYFUNCTION("""COMPUTED_VALUE"""),"MASBATE")</f>
        <v>MASBATE</v>
      </c>
      <c r="C2161" s="164" t="str">
        <f ca="1">IFERROR(__xludf.DUMMYFUNCTION("""COMPUTED_VALUE"""),"Desktop Computer – (Lenovo M70T)")</f>
        <v>Desktop Computer – (Lenovo M70T)</v>
      </c>
      <c r="D2161" s="164" t="str">
        <f ca="1">IFERROR(__xludf.DUMMYFUNCTION("""COMPUTED_VALUE"""),"₱ 75,468.00")</f>
        <v>₱ 75,468.00</v>
      </c>
      <c r="E2161" s="164" t="str">
        <f ca="1">IFERROR(__xludf.DUMMYFUNCTION("""COMPUTED_VALUE"""),"₱ -")</f>
        <v>₱ -</v>
      </c>
      <c r="F2161" s="164" t="str">
        <f ca="1">IFERROR(__xludf.DUMMYFUNCTION("""COMPUTED_VALUE"""),"2023-05-SPCOM006
 2023-05-03-10201SP1089-01")</f>
        <v>2023-05-SPCOM006
 2023-05-03-10201SP1089-01</v>
      </c>
      <c r="G2161" s="164" t="str">
        <f ca="1">IFERROR(__xludf.DUMMYFUNCTION("""COMPUTED_VALUE"""),"1562AFKAR2WWVA985GA")</f>
        <v>1562AFKAR2WWVA985GA</v>
      </c>
      <c r="H2161" s="164" t="str">
        <f ca="1">IFERROR(__xludf.DUMMYFUNCTION("""COMPUTED_VALUE"""),"HERALD R. TAMBAL")</f>
        <v>HERALD R. TAMBAL</v>
      </c>
      <c r="I2161" s="164" t="str">
        <f ca="1">IFERROR(__xludf.DUMMYFUNCTION("""COMPUTED_VALUE"""),"PARPO II")</f>
        <v>PARPO II</v>
      </c>
      <c r="J2161" s="164" t="str">
        <f ca="1">IFERROR(__xludf.DUMMYFUNCTION("""COMPUTED_VALUE"""),"DAR-MBT-101163-IT-COM-006")</f>
        <v>DAR-MBT-101163-IT-COM-006</v>
      </c>
      <c r="K2161" s="164" t="str">
        <f ca="1">IFERROR(__xludf.DUMMYFUNCTION("""COMPUTED_VALUE"""),"JOJIE PACHECO")</f>
        <v>JOJIE PACHECO</v>
      </c>
      <c r="L2161" s="164" t="str">
        <f ca="1">IFERROR(__xludf.DUMMYFUNCTION("""COMPUTED_VALUE"""),"SURVEY")</f>
        <v>SURVEY</v>
      </c>
      <c r="M2161" s="164" t="str">
        <f ca="1">IFERROR(__xludf.DUMMYFUNCTION("""COMPUTED_VALUE"""),"SERVICEABLE")</f>
        <v>SERVICEABLE</v>
      </c>
      <c r="N2161" s="164" t="str">
        <f ca="1">IFERROR(__xludf.DUMMYFUNCTION("""COMPUTED_VALUE"""),"UPS - UNSERVICEABLE, PRINTER - FOR REPAIR")</f>
        <v>UPS - UNSERVICEABLE, PRINTER - FOR REPAIR</v>
      </c>
    </row>
    <row r="2162" spans="1:14" ht="13.2" hidden="1">
      <c r="A2162" s="164" t="str">
        <f ca="1">IFERROR(__xludf.DUMMYFUNCTION("""COMPUTED_VALUE"""),"REGION V")</f>
        <v>REGION V</v>
      </c>
      <c r="B2162" s="164" t="str">
        <f ca="1">IFERROR(__xludf.DUMMYFUNCTION("""COMPUTED_VALUE"""),"MASBATE")</f>
        <v>MASBATE</v>
      </c>
      <c r="C2162" s="164" t="str">
        <f ca="1">IFERROR(__xludf.DUMMYFUNCTION("""COMPUTED_VALUE"""),"Desktop Computer – (Lenovo M70T)")</f>
        <v>Desktop Computer – (Lenovo M70T)</v>
      </c>
      <c r="D2162" s="164" t="str">
        <f ca="1">IFERROR(__xludf.DUMMYFUNCTION("""COMPUTED_VALUE"""),"₱ 75,468.00")</f>
        <v>₱ 75,468.00</v>
      </c>
      <c r="E2162" s="164" t="str">
        <f ca="1">IFERROR(__xludf.DUMMYFUNCTION("""COMPUTED_VALUE"""),"₱ -")</f>
        <v>₱ -</v>
      </c>
      <c r="F2162" s="164" t="str">
        <f ca="1">IFERROR(__xludf.DUMMYFUNCTION("""COMPUTED_VALUE"""),"2023-05-SPCOM007
 2023-05-03-10201SP1090-01")</f>
        <v>2023-05-SPCOM007
 2023-05-03-10201SP1090-01</v>
      </c>
      <c r="G2162" s="164" t="str">
        <f ca="1">IFERROR(__xludf.DUMMYFUNCTION("""COMPUTED_VALUE"""),"1562AFKAR2WWVNA985GD")</f>
        <v>1562AFKAR2WWVNA985GD</v>
      </c>
      <c r="H2162" s="164" t="str">
        <f ca="1">IFERROR(__xludf.DUMMYFUNCTION("""COMPUTED_VALUE"""),"HERALD R. TAMBAL")</f>
        <v>HERALD R. TAMBAL</v>
      </c>
      <c r="I2162" s="164" t="str">
        <f ca="1">IFERROR(__xludf.DUMMYFUNCTION("""COMPUTED_VALUE"""),"PARPO II")</f>
        <v>PARPO II</v>
      </c>
      <c r="J2162" s="164" t="str">
        <f ca="1">IFERROR(__xludf.DUMMYFUNCTION("""COMPUTED_VALUE"""),"DAR-MBT-101163-IT-COM-007")</f>
        <v>DAR-MBT-101163-IT-COM-007</v>
      </c>
      <c r="K2162" s="164" t="str">
        <f ca="1">IFERROR(__xludf.DUMMYFUNCTION("""COMPUTED_VALUE"""),"ERMA OCSING")</f>
        <v>ERMA OCSING</v>
      </c>
      <c r="L2162" s="164" t="str">
        <f ca="1">IFERROR(__xludf.DUMMYFUNCTION("""COMPUTED_VALUE"""),"BUDGET")</f>
        <v>BUDGET</v>
      </c>
      <c r="M2162" s="164" t="str">
        <f ca="1">IFERROR(__xludf.DUMMYFUNCTION("""COMPUTED_VALUE"""),"SERVICEABLE")</f>
        <v>SERVICEABLE</v>
      </c>
      <c r="N2162" s="164"/>
    </row>
    <row r="2163" spans="1:14" ht="13.2" hidden="1">
      <c r="A2163" s="164" t="str">
        <f ca="1">IFERROR(__xludf.DUMMYFUNCTION("""COMPUTED_VALUE"""),"REGION V")</f>
        <v>REGION V</v>
      </c>
      <c r="B2163" s="164" t="str">
        <f ca="1">IFERROR(__xludf.DUMMYFUNCTION("""COMPUTED_VALUE"""),"MASBATE")</f>
        <v>MASBATE</v>
      </c>
      <c r="C2163" s="164" t="str">
        <f ca="1">IFERROR(__xludf.DUMMYFUNCTION("""COMPUTED_VALUE"""),"Desktop Computer – (Lenovo M70T)")</f>
        <v>Desktop Computer – (Lenovo M70T)</v>
      </c>
      <c r="D2163" s="164" t="str">
        <f ca="1">IFERROR(__xludf.DUMMYFUNCTION("""COMPUTED_VALUE"""),"₱ 75,468.00")</f>
        <v>₱ 75,468.00</v>
      </c>
      <c r="E2163" s="164" t="str">
        <f ca="1">IFERROR(__xludf.DUMMYFUNCTION("""COMPUTED_VALUE"""),"₱ -")</f>
        <v>₱ -</v>
      </c>
      <c r="F2163" s="164" t="str">
        <f ca="1">IFERROR(__xludf.DUMMYFUNCTION("""COMPUTED_VALUE"""),"2023-05-SPCOM008
 2023-05-03-10201SP1091-01")</f>
        <v>2023-05-SPCOM008
 2023-05-03-10201SP1091-01</v>
      </c>
      <c r="G2163" s="164" t="str">
        <f ca="1">IFERROR(__xludf.DUMMYFUNCTION("""COMPUTED_VALUE"""),"1S62AFKAR2WWNA985GF")</f>
        <v>1S62AFKAR2WWNA985GF</v>
      </c>
      <c r="H2163" s="164" t="str">
        <f ca="1">IFERROR(__xludf.DUMMYFUNCTION("""COMPUTED_VALUE"""),"HERALD R. TAMBAL")</f>
        <v>HERALD R. TAMBAL</v>
      </c>
      <c r="I2163" s="164" t="str">
        <f ca="1">IFERROR(__xludf.DUMMYFUNCTION("""COMPUTED_VALUE"""),"PARPO II")</f>
        <v>PARPO II</v>
      </c>
      <c r="J2163" s="164" t="str">
        <f ca="1">IFERROR(__xludf.DUMMYFUNCTION("""COMPUTED_VALUE"""),"DAR-MBT-101163-IT-COM-008")</f>
        <v>DAR-MBT-101163-IT-COM-008</v>
      </c>
      <c r="K2163" s="164" t="str">
        <f ca="1">IFERROR(__xludf.DUMMYFUNCTION("""COMPUTED_VALUE"""),"ERMA OCSING")</f>
        <v>ERMA OCSING</v>
      </c>
      <c r="L2163" s="164" t="str">
        <f ca="1">IFERROR(__xludf.DUMMYFUNCTION("""COMPUTED_VALUE"""),"BUDGET")</f>
        <v>BUDGET</v>
      </c>
      <c r="M2163" s="164" t="str">
        <f ca="1">IFERROR(__xludf.DUMMYFUNCTION("""COMPUTED_VALUE"""),"SERVICEABLE")</f>
        <v>SERVICEABLE</v>
      </c>
      <c r="N2163" s="164"/>
    </row>
    <row r="2164" spans="1:14" ht="13.2" hidden="1">
      <c r="A2164" s="164" t="str">
        <f ca="1">IFERROR(__xludf.DUMMYFUNCTION("""COMPUTED_VALUE"""),"REGION V")</f>
        <v>REGION V</v>
      </c>
      <c r="B2164" s="164" t="str">
        <f ca="1">IFERROR(__xludf.DUMMYFUNCTION("""COMPUTED_VALUE"""),"MASBATE")</f>
        <v>MASBATE</v>
      </c>
      <c r="C2164" s="164" t="str">
        <f ca="1">IFERROR(__xludf.DUMMYFUNCTION("""COMPUTED_VALUE"""),"Desktop Computer – (Lenovo M70T)")</f>
        <v>Desktop Computer – (Lenovo M70T)</v>
      </c>
      <c r="D2164" s="164" t="str">
        <f ca="1">IFERROR(__xludf.DUMMYFUNCTION("""COMPUTED_VALUE"""),"₱ 75,468.00")</f>
        <v>₱ 75,468.00</v>
      </c>
      <c r="E2164" s="164" t="str">
        <f ca="1">IFERROR(__xludf.DUMMYFUNCTION("""COMPUTED_VALUE"""),"₱ -")</f>
        <v>₱ -</v>
      </c>
      <c r="F2164" s="164" t="str">
        <f ca="1">IFERROR(__xludf.DUMMYFUNCTION("""COMPUTED_VALUE"""),"2023-05-SPCOM009
 2023-05-03-10201SP1092-01")</f>
        <v>2023-05-SPCOM009
 2023-05-03-10201SP1092-01</v>
      </c>
      <c r="G2164" s="164" t="str">
        <f ca="1">IFERROR(__xludf.DUMMYFUNCTION("""COMPUTED_VALUE"""),"1562AFKAR2WWVA985GG")</f>
        <v>1562AFKAR2WWVA985GG</v>
      </c>
      <c r="H2164" s="164" t="str">
        <f ca="1">IFERROR(__xludf.DUMMYFUNCTION("""COMPUTED_VALUE"""),"HERALD R. TAMBAL")</f>
        <v>HERALD R. TAMBAL</v>
      </c>
      <c r="I2164" s="164" t="str">
        <f ca="1">IFERROR(__xludf.DUMMYFUNCTION("""COMPUTED_VALUE"""),"PARPO II")</f>
        <v>PARPO II</v>
      </c>
      <c r="J2164" s="164" t="str">
        <f ca="1">IFERROR(__xludf.DUMMYFUNCTION("""COMPUTED_VALUE"""),"DAR-MBT-101163-IT-COM-009")</f>
        <v>DAR-MBT-101163-IT-COM-009</v>
      </c>
      <c r="K2164" s="164" t="str">
        <f ca="1">IFERROR(__xludf.DUMMYFUNCTION("""COMPUTED_VALUE"""),"ELEANOR TORRES")</f>
        <v>ELEANOR TORRES</v>
      </c>
      <c r="L2164" s="164" t="str">
        <f ca="1">IFERROR(__xludf.DUMMYFUNCTION("""COMPUTED_VALUE"""),"SPLIT")</f>
        <v>SPLIT</v>
      </c>
      <c r="M2164" s="164" t="str">
        <f ca="1">IFERROR(__xludf.DUMMYFUNCTION("""COMPUTED_VALUE"""),"SERVICEABLE")</f>
        <v>SERVICEABLE</v>
      </c>
      <c r="N2164" s="164" t="str">
        <f ca="1">IFERROR(__xludf.DUMMYFUNCTION("""COMPUTED_VALUE"""),"PRINTER - UNSERVICEABLE")</f>
        <v>PRINTER - UNSERVICEABLE</v>
      </c>
    </row>
    <row r="2165" spans="1:14" ht="13.2" hidden="1">
      <c r="A2165" s="164" t="str">
        <f ca="1">IFERROR(__xludf.DUMMYFUNCTION("""COMPUTED_VALUE"""),"REGION V")</f>
        <v>REGION V</v>
      </c>
      <c r="B2165" s="164" t="str">
        <f ca="1">IFERROR(__xludf.DUMMYFUNCTION("""COMPUTED_VALUE"""),"MASBATE")</f>
        <v>MASBATE</v>
      </c>
      <c r="C2165" s="164" t="str">
        <f ca="1">IFERROR(__xludf.DUMMYFUNCTION("""COMPUTED_VALUE"""),"Desktop Computer – (Lenovo M70T)")</f>
        <v>Desktop Computer – (Lenovo M70T)</v>
      </c>
      <c r="D2165" s="164" t="str">
        <f ca="1">IFERROR(__xludf.DUMMYFUNCTION("""COMPUTED_VALUE"""),"₱ 75,468.00")</f>
        <v>₱ 75,468.00</v>
      </c>
      <c r="E2165" s="164" t="str">
        <f ca="1">IFERROR(__xludf.DUMMYFUNCTION("""COMPUTED_VALUE"""),"₱ -")</f>
        <v>₱ -</v>
      </c>
      <c r="F2165" s="164" t="str">
        <f ca="1">IFERROR(__xludf.DUMMYFUNCTION("""COMPUTED_VALUE"""),"2023-05-SPCOM010
 2023-05-03-10201SP1093-01")</f>
        <v>2023-05-SPCOM010
 2023-05-03-10201SP1093-01</v>
      </c>
      <c r="G2165" s="164" t="str">
        <f ca="1">IFERROR(__xludf.DUMMYFUNCTION("""COMPUTED_VALUE"""),"1562AFKAR2WWVA985GH")</f>
        <v>1562AFKAR2WWVA985GH</v>
      </c>
      <c r="H2165" s="164" t="str">
        <f ca="1">IFERROR(__xludf.DUMMYFUNCTION("""COMPUTED_VALUE"""),"HERALD R. TAMBAL")</f>
        <v>HERALD R. TAMBAL</v>
      </c>
      <c r="I2165" s="164" t="str">
        <f ca="1">IFERROR(__xludf.DUMMYFUNCTION("""COMPUTED_VALUE"""),"PARPO II")</f>
        <v>PARPO II</v>
      </c>
      <c r="J2165" s="164" t="str">
        <f ca="1">IFERROR(__xludf.DUMMYFUNCTION("""COMPUTED_VALUE"""),"DAR-MBT-101163-IT-COM-010")</f>
        <v>DAR-MBT-101163-IT-COM-010</v>
      </c>
      <c r="K2165" s="164" t="str">
        <f ca="1">IFERROR(__xludf.DUMMYFUNCTION("""COMPUTED_VALUE"""),"ELEANOR TORRES")</f>
        <v>ELEANOR TORRES</v>
      </c>
      <c r="L2165" s="164" t="str">
        <f ca="1">IFERROR(__xludf.DUMMYFUNCTION("""COMPUTED_VALUE"""),"SPLIT")</f>
        <v>SPLIT</v>
      </c>
      <c r="M2165" s="164" t="str">
        <f ca="1">IFERROR(__xludf.DUMMYFUNCTION("""COMPUTED_VALUE"""),"SERVICEABLE")</f>
        <v>SERVICEABLE</v>
      </c>
      <c r="N2165" s="164"/>
    </row>
    <row r="2166" spans="1:14" ht="13.2" hidden="1">
      <c r="A2166" s="164" t="str">
        <f ca="1">IFERROR(__xludf.DUMMYFUNCTION("""COMPUTED_VALUE"""),"REGION V")</f>
        <v>REGION V</v>
      </c>
      <c r="B2166" s="164" t="str">
        <f ca="1">IFERROR(__xludf.DUMMYFUNCTION("""COMPUTED_VALUE"""),"MASBATE")</f>
        <v>MASBATE</v>
      </c>
      <c r="C2166" s="164" t="str">
        <f ca="1">IFERROR(__xludf.DUMMYFUNCTION("""COMPUTED_VALUE"""),"Desktop Computer – (Lenovo M70T)")</f>
        <v>Desktop Computer – (Lenovo M70T)</v>
      </c>
      <c r="D2166" s="164" t="str">
        <f ca="1">IFERROR(__xludf.DUMMYFUNCTION("""COMPUTED_VALUE"""),"₱ 75,468.00")</f>
        <v>₱ 75,468.00</v>
      </c>
      <c r="E2166" s="164" t="str">
        <f ca="1">IFERROR(__xludf.DUMMYFUNCTION("""COMPUTED_VALUE"""),"₱ -")</f>
        <v>₱ -</v>
      </c>
      <c r="F2166" s="164" t="str">
        <f ca="1">IFERROR(__xludf.DUMMYFUNCTION("""COMPUTED_VALUE"""),"2023-05-SPCOM011
 2023-05-03-10201SP1094-01")</f>
        <v>2023-05-SPCOM011
 2023-05-03-10201SP1094-01</v>
      </c>
      <c r="G2166" s="164" t="str">
        <f ca="1">IFERROR(__xludf.DUMMYFUNCTION("""COMPUTED_VALUE"""),"1562AFKAR2WWVA985GK")</f>
        <v>1562AFKAR2WWVA985GK</v>
      </c>
      <c r="H2166" s="164" t="str">
        <f ca="1">IFERROR(__xludf.DUMMYFUNCTION("""COMPUTED_VALUE"""),"HERALD R. TAMBAL")</f>
        <v>HERALD R. TAMBAL</v>
      </c>
      <c r="I2166" s="164" t="str">
        <f ca="1">IFERROR(__xludf.DUMMYFUNCTION("""COMPUTED_VALUE"""),"PARPO II")</f>
        <v>PARPO II</v>
      </c>
      <c r="J2166" s="164" t="str">
        <f ca="1">IFERROR(__xludf.DUMMYFUNCTION("""COMPUTED_VALUE"""),"DAR-MBT-101163-IT-COM-011")</f>
        <v>DAR-MBT-101163-IT-COM-011</v>
      </c>
      <c r="K2166" s="164" t="str">
        <f ca="1">IFERROR(__xludf.DUMMYFUNCTION("""COMPUTED_VALUE"""),"ELEANOR TORRES")</f>
        <v>ELEANOR TORRES</v>
      </c>
      <c r="L2166" s="164" t="str">
        <f ca="1">IFERROR(__xludf.DUMMYFUNCTION("""COMPUTED_VALUE"""),"SPLIT")</f>
        <v>SPLIT</v>
      </c>
      <c r="M2166" s="164" t="str">
        <f ca="1">IFERROR(__xludf.DUMMYFUNCTION("""COMPUTED_VALUE"""),"SERVICEABLE")</f>
        <v>SERVICEABLE</v>
      </c>
      <c r="N2166" s="164"/>
    </row>
    <row r="2167" spans="1:14" ht="13.2" hidden="1">
      <c r="A2167" s="164" t="str">
        <f ca="1">IFERROR(__xludf.DUMMYFUNCTION("""COMPUTED_VALUE"""),"REGION V")</f>
        <v>REGION V</v>
      </c>
      <c r="B2167" s="164" t="str">
        <f ca="1">IFERROR(__xludf.DUMMYFUNCTION("""COMPUTED_VALUE"""),"MASBATE")</f>
        <v>MASBATE</v>
      </c>
      <c r="C2167" s="164" t="str">
        <f ca="1">IFERROR(__xludf.DUMMYFUNCTION("""COMPUTED_VALUE"""),"Desktop Computer – (Lenovo M70T)")</f>
        <v>Desktop Computer – (Lenovo M70T)</v>
      </c>
      <c r="D2167" s="164" t="str">
        <f ca="1">IFERROR(__xludf.DUMMYFUNCTION("""COMPUTED_VALUE"""),"₱ 75,468.00")</f>
        <v>₱ 75,468.00</v>
      </c>
      <c r="E2167" s="164" t="str">
        <f ca="1">IFERROR(__xludf.DUMMYFUNCTION("""COMPUTED_VALUE"""),"₱ -")</f>
        <v>₱ -</v>
      </c>
      <c r="F2167" s="164" t="str">
        <f ca="1">IFERROR(__xludf.DUMMYFUNCTION("""COMPUTED_VALUE"""),"2023-05-SPCOM012
 2023-05-03-10201SP1095-01")</f>
        <v>2023-05-SPCOM012
 2023-05-03-10201SP1095-01</v>
      </c>
      <c r="G2167" s="164" t="str">
        <f ca="1">IFERROR(__xludf.DUMMYFUNCTION("""COMPUTED_VALUE"""),"1562AFKAR2WWVA985GL")</f>
        <v>1562AFKAR2WWVA985GL</v>
      </c>
      <c r="H2167" s="164" t="str">
        <f ca="1">IFERROR(__xludf.DUMMYFUNCTION("""COMPUTED_VALUE"""),"HERALD R. TAMBAL")</f>
        <v>HERALD R. TAMBAL</v>
      </c>
      <c r="I2167" s="164" t="str">
        <f ca="1">IFERROR(__xludf.DUMMYFUNCTION("""COMPUTED_VALUE"""),"PARPO II")</f>
        <v>PARPO II</v>
      </c>
      <c r="J2167" s="164" t="str">
        <f ca="1">IFERROR(__xludf.DUMMYFUNCTION("""COMPUTED_VALUE"""),"DAR-MBT-101163-IT-COM-012")</f>
        <v>DAR-MBT-101163-IT-COM-012</v>
      </c>
      <c r="K2167" s="164" t="str">
        <f ca="1">IFERROR(__xludf.DUMMYFUNCTION("""COMPUTED_VALUE"""),"ELEANOR TORRES")</f>
        <v>ELEANOR TORRES</v>
      </c>
      <c r="L2167" s="164" t="str">
        <f ca="1">IFERROR(__xludf.DUMMYFUNCTION("""COMPUTED_VALUE"""),"SPLIT")</f>
        <v>SPLIT</v>
      </c>
      <c r="M2167" s="164" t="str">
        <f ca="1">IFERROR(__xludf.DUMMYFUNCTION("""COMPUTED_VALUE"""),"SERVICEABLE")</f>
        <v>SERVICEABLE</v>
      </c>
      <c r="N2167" s="164"/>
    </row>
    <row r="2168" spans="1:14" ht="13.2" hidden="1">
      <c r="A2168" s="164" t="str">
        <f ca="1">IFERROR(__xludf.DUMMYFUNCTION("""COMPUTED_VALUE"""),"REGION V")</f>
        <v>REGION V</v>
      </c>
      <c r="B2168" s="164" t="str">
        <f ca="1">IFERROR(__xludf.DUMMYFUNCTION("""COMPUTED_VALUE"""),"MASBATE")</f>
        <v>MASBATE</v>
      </c>
      <c r="C2168" s="164" t="str">
        <f ca="1">IFERROR(__xludf.DUMMYFUNCTION("""COMPUTED_VALUE"""),"Desktop Computer – (Lenovo M70T)")</f>
        <v>Desktop Computer – (Lenovo M70T)</v>
      </c>
      <c r="D2168" s="164" t="str">
        <f ca="1">IFERROR(__xludf.DUMMYFUNCTION("""COMPUTED_VALUE"""),"₱ 75,468.00")</f>
        <v>₱ 75,468.00</v>
      </c>
      <c r="E2168" s="164" t="str">
        <f ca="1">IFERROR(__xludf.DUMMYFUNCTION("""COMPUTED_VALUE"""),"₱ -")</f>
        <v>₱ -</v>
      </c>
      <c r="F2168" s="164" t="str">
        <f ca="1">IFERROR(__xludf.DUMMYFUNCTION("""COMPUTED_VALUE"""),"2023-05-SPCOM013
 2023-05-03-10201SP1096-01")</f>
        <v>2023-05-SPCOM013
 2023-05-03-10201SP1096-01</v>
      </c>
      <c r="G2168" s="164" t="str">
        <f ca="1">IFERROR(__xludf.DUMMYFUNCTION("""COMPUTED_VALUE"""),"1562AFKAR2WWVA985GM")</f>
        <v>1562AFKAR2WWVA985GM</v>
      </c>
      <c r="H2168" s="164" t="str">
        <f ca="1">IFERROR(__xludf.DUMMYFUNCTION("""COMPUTED_VALUE"""),"HERALD R. TAMBAL")</f>
        <v>HERALD R. TAMBAL</v>
      </c>
      <c r="I2168" s="164" t="str">
        <f ca="1">IFERROR(__xludf.DUMMYFUNCTION("""COMPUTED_VALUE"""),"PARPO II")</f>
        <v>PARPO II</v>
      </c>
      <c r="J2168" s="164" t="str">
        <f ca="1">IFERROR(__xludf.DUMMYFUNCTION("""COMPUTED_VALUE"""),"DAR-MBT-101163-IT-COM-013")</f>
        <v>DAR-MBT-101163-IT-COM-013</v>
      </c>
      <c r="K2168" s="164" t="str">
        <f ca="1">IFERROR(__xludf.DUMMYFUNCTION("""COMPUTED_VALUE"""),"ELEANOR TORRES")</f>
        <v>ELEANOR TORRES</v>
      </c>
      <c r="L2168" s="164" t="str">
        <f ca="1">IFERROR(__xludf.DUMMYFUNCTION("""COMPUTED_VALUE"""),"SPLIT")</f>
        <v>SPLIT</v>
      </c>
      <c r="M2168" s="164" t="str">
        <f ca="1">IFERROR(__xludf.DUMMYFUNCTION("""COMPUTED_VALUE"""),"SERVICEABLE")</f>
        <v>SERVICEABLE</v>
      </c>
      <c r="N2168" s="164" t="str">
        <f ca="1">IFERROR(__xludf.DUMMYFUNCTION("""COMPUTED_VALUE"""),"PRINTER - FOR REPAIR")</f>
        <v>PRINTER - FOR REPAIR</v>
      </c>
    </row>
    <row r="2169" spans="1:14" ht="13.2" hidden="1">
      <c r="A2169" s="164" t="str">
        <f ca="1">IFERROR(__xludf.DUMMYFUNCTION("""COMPUTED_VALUE"""),"REGION V")</f>
        <v>REGION V</v>
      </c>
      <c r="B2169" s="164" t="str">
        <f ca="1">IFERROR(__xludf.DUMMYFUNCTION("""COMPUTED_VALUE"""),"MASBATE")</f>
        <v>MASBATE</v>
      </c>
      <c r="C2169" s="164" t="str">
        <f ca="1">IFERROR(__xludf.DUMMYFUNCTION("""COMPUTED_VALUE"""),"Desktop Computer – (Lenovo M70T)")</f>
        <v>Desktop Computer – (Lenovo M70T)</v>
      </c>
      <c r="D2169" s="164"/>
      <c r="E2169" s="164" t="str">
        <f ca="1">IFERROR(__xludf.DUMMYFUNCTION("""COMPUTED_VALUE"""),"₱ -")</f>
        <v>₱ -</v>
      </c>
      <c r="F2169" s="164" t="str">
        <f ca="1">IFERROR(__xludf.DUMMYFUNCTION("""COMPUTED_VALUE"""),"2023-05-SPCOM014
 2023-05-03-10201SP1097-01")</f>
        <v>2023-05-SPCOM014
 2023-05-03-10201SP1097-01</v>
      </c>
      <c r="G2169" s="164" t="str">
        <f ca="1">IFERROR(__xludf.DUMMYFUNCTION("""COMPUTED_VALUE"""),"1562AFKAR2WWVA985GN")</f>
        <v>1562AFKAR2WWVA985GN</v>
      </c>
      <c r="H2169" s="164" t="str">
        <f ca="1">IFERROR(__xludf.DUMMYFUNCTION("""COMPUTED_VALUE"""),"HERALD R. TAMBAL")</f>
        <v>HERALD R. TAMBAL</v>
      </c>
      <c r="I2169" s="164" t="str">
        <f ca="1">IFERROR(__xludf.DUMMYFUNCTION("""COMPUTED_VALUE"""),"PARPO II")</f>
        <v>PARPO II</v>
      </c>
      <c r="J2169" s="164" t="str">
        <f ca="1">IFERROR(__xludf.DUMMYFUNCTION("""COMPUTED_VALUE"""),"DAR-MBT-101163-IT-COM-014")</f>
        <v>DAR-MBT-101163-IT-COM-014</v>
      </c>
      <c r="K2169" s="164" t="str">
        <f ca="1">IFERROR(__xludf.DUMMYFUNCTION("""COMPUTED_VALUE"""),"ELEANOR TORRES")</f>
        <v>ELEANOR TORRES</v>
      </c>
      <c r="L2169" s="164" t="str">
        <f ca="1">IFERROR(__xludf.DUMMYFUNCTION("""COMPUTED_VALUE"""),"SPLIT")</f>
        <v>SPLIT</v>
      </c>
      <c r="M2169" s="164" t="str">
        <f ca="1">IFERROR(__xludf.DUMMYFUNCTION("""COMPUTED_VALUE"""),"SERVICEABLE")</f>
        <v>SERVICEABLE</v>
      </c>
      <c r="N2169" s="164"/>
    </row>
    <row r="2170" spans="1:14" ht="13.2" hidden="1">
      <c r="A2170" s="164" t="str">
        <f ca="1">IFERROR(__xludf.DUMMYFUNCTION("""COMPUTED_VALUE"""),"REGION V")</f>
        <v>REGION V</v>
      </c>
      <c r="B2170" s="164" t="str">
        <f ca="1">IFERROR(__xludf.DUMMYFUNCTION("""COMPUTED_VALUE"""),"MASBATE")</f>
        <v>MASBATE</v>
      </c>
      <c r="C2170" s="164" t="str">
        <f ca="1">IFERROR(__xludf.DUMMYFUNCTION("""COMPUTED_VALUE"""),"Desktop Computer – (HP Pro SFF 280G9)")</f>
        <v>Desktop Computer – (HP Pro SFF 280G9)</v>
      </c>
      <c r="D2170" s="164" t="str">
        <f ca="1">IFERROR(__xludf.DUMMYFUNCTION("""COMPUTED_VALUE"""),"₱ 78,898.00")</f>
        <v>₱ 78,898.00</v>
      </c>
      <c r="E2170" s="164" t="str">
        <f ca="1">IFERROR(__xludf.DUMMYFUNCTION("""COMPUTED_VALUE"""),"₱ -")</f>
        <v>₱ -</v>
      </c>
      <c r="F2170" s="164" t="str">
        <f ca="1">IFERROR(__xludf.DUMMYFUNCTION("""COMPUTED_VALUE"""),"2023-05-SPCOM015
 2023-05-03-10202SP124-01")</f>
        <v>2023-05-SPCOM015
 2023-05-03-10202SP124-01</v>
      </c>
      <c r="G2170" s="164" t="str">
        <f ca="1">IFERROR(__xludf.DUMMYFUNCTION("""COMPUTED_VALUE"""),"CNC24811GW")</f>
        <v>CNC24811GW</v>
      </c>
      <c r="H2170" s="164" t="str">
        <f ca="1">IFERROR(__xludf.DUMMYFUNCTION("""COMPUTED_VALUE"""),"HERALD R. TAMBAL")</f>
        <v>HERALD R. TAMBAL</v>
      </c>
      <c r="I2170" s="164" t="str">
        <f ca="1">IFERROR(__xludf.DUMMYFUNCTION("""COMPUTED_VALUE"""),"PARPO II")</f>
        <v>PARPO II</v>
      </c>
      <c r="J2170" s="164" t="str">
        <f ca="1">IFERROR(__xludf.DUMMYFUNCTION("""COMPUTED_VALUE"""),"DAR-MBT-101163-IT-COM-015")</f>
        <v>DAR-MBT-101163-IT-COM-015</v>
      </c>
      <c r="K2170" s="164" t="str">
        <f ca="1">IFERROR(__xludf.DUMMYFUNCTION("""COMPUTED_VALUE"""),"ELEANOR TORRES")</f>
        <v>ELEANOR TORRES</v>
      </c>
      <c r="L2170" s="164" t="str">
        <f ca="1">IFERROR(__xludf.DUMMYFUNCTION("""COMPUTED_VALUE"""),"DARPO
 LTID")</f>
        <v>DARPO
 LTID</v>
      </c>
      <c r="M2170" s="164" t="str">
        <f ca="1">IFERROR(__xludf.DUMMYFUNCTION("""COMPUTED_VALUE"""),"SERVICEABLE")</f>
        <v>SERVICEABLE</v>
      </c>
      <c r="N2170" s="164"/>
    </row>
    <row r="2171" spans="1:14" ht="13.2" hidden="1">
      <c r="A2171" s="164" t="str">
        <f ca="1">IFERROR(__xludf.DUMMYFUNCTION("""COMPUTED_VALUE"""),"REGION V")</f>
        <v>REGION V</v>
      </c>
      <c r="B2171" s="164" t="str">
        <f ca="1">IFERROR(__xludf.DUMMYFUNCTION("""COMPUTED_VALUE"""),"MASBATE")</f>
        <v>MASBATE</v>
      </c>
      <c r="C2171" s="164" t="str">
        <f ca="1">IFERROR(__xludf.DUMMYFUNCTION("""COMPUTED_VALUE"""),"Desktop Computer – (HP Pro SFF 280G9)")</f>
        <v>Desktop Computer – (HP Pro SFF 280G9)</v>
      </c>
      <c r="D2171" s="164" t="str">
        <f ca="1">IFERROR(__xludf.DUMMYFUNCTION("""COMPUTED_VALUE"""),"₱ 78,898.00")</f>
        <v>₱ 78,898.00</v>
      </c>
      <c r="E2171" s="164" t="str">
        <f ca="1">IFERROR(__xludf.DUMMYFUNCTION("""COMPUTED_VALUE"""),"₱ -")</f>
        <v>₱ -</v>
      </c>
      <c r="F2171" s="164" t="str">
        <f ca="1">IFERROR(__xludf.DUMMYFUNCTION("""COMPUTED_VALUE"""),"2023-05-SPCOM016
 2023-05-03-10202SP125-01")</f>
        <v>2023-05-SPCOM016
 2023-05-03-10202SP125-01</v>
      </c>
      <c r="G2171" s="164" t="str">
        <f ca="1">IFERROR(__xludf.DUMMYFUNCTION("""COMPUTED_VALUE"""),"CNC24811NC")</f>
        <v>CNC24811NC</v>
      </c>
      <c r="H2171" s="164" t="str">
        <f ca="1">IFERROR(__xludf.DUMMYFUNCTION("""COMPUTED_VALUE"""),"HERALD R. TAMBAL")</f>
        <v>HERALD R. TAMBAL</v>
      </c>
      <c r="I2171" s="164" t="str">
        <f ca="1">IFERROR(__xludf.DUMMYFUNCTION("""COMPUTED_VALUE"""),"PARPO II")</f>
        <v>PARPO II</v>
      </c>
      <c r="J2171" s="164" t="str">
        <f ca="1">IFERROR(__xludf.DUMMYFUNCTION("""COMPUTED_VALUE"""),"DAR-MBT-101163-IT-COM-016")</f>
        <v>DAR-MBT-101163-IT-COM-016</v>
      </c>
      <c r="K2171" s="164" t="str">
        <f ca="1">IFERROR(__xludf.DUMMYFUNCTION("""COMPUTED_VALUE"""),"JOJIE PACHECO")</f>
        <v>JOJIE PACHECO</v>
      </c>
      <c r="L2171" s="164" t="str">
        <f ca="1">IFERROR(__xludf.DUMMYFUNCTION("""COMPUTED_VALUE"""),"DARPO
 SURVEY")</f>
        <v>DARPO
 SURVEY</v>
      </c>
      <c r="M2171" s="164" t="str">
        <f ca="1">IFERROR(__xludf.DUMMYFUNCTION("""COMPUTED_VALUE"""),"SERVICEABLE")</f>
        <v>SERVICEABLE</v>
      </c>
      <c r="N2171" s="164"/>
    </row>
    <row r="2172" spans="1:14" ht="13.2" hidden="1">
      <c r="A2172" s="164" t="str">
        <f ca="1">IFERROR(__xludf.DUMMYFUNCTION("""COMPUTED_VALUE"""),"REGION V")</f>
        <v>REGION V</v>
      </c>
      <c r="B2172" s="164" t="str">
        <f ca="1">IFERROR(__xludf.DUMMYFUNCTION("""COMPUTED_VALUE"""),"MASBATE")</f>
        <v>MASBATE</v>
      </c>
      <c r="C2172" s="164" t="str">
        <f ca="1">IFERROR(__xludf.DUMMYFUNCTION("""COMPUTED_VALUE"""),"Desktop Computer – (HP Pro SFF 280G9)")</f>
        <v>Desktop Computer – (HP Pro SFF 280G9)</v>
      </c>
      <c r="D2172" s="164" t="str">
        <f ca="1">IFERROR(__xludf.DUMMYFUNCTION("""COMPUTED_VALUE"""),"₱ 78,898.00")</f>
        <v>₱ 78,898.00</v>
      </c>
      <c r="E2172" s="164" t="str">
        <f ca="1">IFERROR(__xludf.DUMMYFUNCTION("""COMPUTED_VALUE"""),"₱ -")</f>
        <v>₱ -</v>
      </c>
      <c r="F2172" s="164" t="str">
        <f ca="1">IFERROR(__xludf.DUMMYFUNCTION("""COMPUTED_VALUE"""),"2023-05-SPCOM017
 2023-05-03-10202SP126-01")</f>
        <v>2023-05-SPCOM017
 2023-05-03-10202SP126-01</v>
      </c>
      <c r="G2172" s="164" t="str">
        <f ca="1">IFERROR(__xludf.DUMMYFUNCTION("""COMPUTED_VALUE"""),"CNC24811PC")</f>
        <v>CNC24811PC</v>
      </c>
      <c r="H2172" s="164" t="str">
        <f ca="1">IFERROR(__xludf.DUMMYFUNCTION("""COMPUTED_VALUE"""),"HERALD R. TAMBAL")</f>
        <v>HERALD R. TAMBAL</v>
      </c>
      <c r="I2172" s="164" t="str">
        <f ca="1">IFERROR(__xludf.DUMMYFUNCTION("""COMPUTED_VALUE"""),"PARPO II")</f>
        <v>PARPO II</v>
      </c>
      <c r="J2172" s="164" t="str">
        <f ca="1">IFERROR(__xludf.DUMMYFUNCTION("""COMPUTED_VALUE"""),"DAR-MBT-101163-IT-COM-017")</f>
        <v>DAR-MBT-101163-IT-COM-017</v>
      </c>
      <c r="K2172" s="164" t="str">
        <f ca="1">IFERROR(__xludf.DUMMYFUNCTION("""COMPUTED_VALUE"""),"ELEANOR TORRES")</f>
        <v>ELEANOR TORRES</v>
      </c>
      <c r="L2172" s="164" t="str">
        <f ca="1">IFERROR(__xludf.DUMMYFUNCTION("""COMPUTED_VALUE"""),"DARPO
 LTID")</f>
        <v>DARPO
 LTID</v>
      </c>
      <c r="M2172" s="164" t="str">
        <f ca="1">IFERROR(__xludf.DUMMYFUNCTION("""COMPUTED_VALUE"""),"SERVICEABLE")</f>
        <v>SERVICEABLE</v>
      </c>
      <c r="N2172" s="164" t="str">
        <f ca="1">IFERROR(__xludf.DUMMYFUNCTION("""COMPUTED_VALUE"""),"PRINTER - UNSERVICEABLE")</f>
        <v>PRINTER - UNSERVICEABLE</v>
      </c>
    </row>
    <row r="2173" spans="1:14" ht="13.2" hidden="1">
      <c r="A2173" s="164" t="str">
        <f ca="1">IFERROR(__xludf.DUMMYFUNCTION("""COMPUTED_VALUE"""),"REGION V")</f>
        <v>REGION V</v>
      </c>
      <c r="B2173" s="164" t="str">
        <f ca="1">IFERROR(__xludf.DUMMYFUNCTION("""COMPUTED_VALUE"""),"MASBATE")</f>
        <v>MASBATE</v>
      </c>
      <c r="C2173" s="164" t="str">
        <f ca="1">IFERROR(__xludf.DUMMYFUNCTION("""COMPUTED_VALUE"""),"Desktop Computer – (HP Pro SFF 280G9)")</f>
        <v>Desktop Computer – (HP Pro SFF 280G9)</v>
      </c>
      <c r="D2173" s="164" t="str">
        <f ca="1">IFERROR(__xludf.DUMMYFUNCTION("""COMPUTED_VALUE"""),"₱ 78,898.00")</f>
        <v>₱ 78,898.00</v>
      </c>
      <c r="E2173" s="164" t="str">
        <f ca="1">IFERROR(__xludf.DUMMYFUNCTION("""COMPUTED_VALUE"""),"₱ -")</f>
        <v>₱ -</v>
      </c>
      <c r="F2173" s="164" t="str">
        <f ca="1">IFERROR(__xludf.DUMMYFUNCTION("""COMPUTED_VALUE"""),"2023-05-SPCOM018
 2023-05-03-10202SP127-01")</f>
        <v>2023-05-SPCOM018
 2023-05-03-10202SP127-01</v>
      </c>
      <c r="G2173" s="164" t="str">
        <f ca="1">IFERROR(__xludf.DUMMYFUNCTION("""COMPUTED_VALUE"""),"CNC24811PZ")</f>
        <v>CNC24811PZ</v>
      </c>
      <c r="H2173" s="164" t="str">
        <f ca="1">IFERROR(__xludf.DUMMYFUNCTION("""COMPUTED_VALUE"""),"HERALD R. TAMBAL")</f>
        <v>HERALD R. TAMBAL</v>
      </c>
      <c r="I2173" s="164" t="str">
        <f ca="1">IFERROR(__xludf.DUMMYFUNCTION("""COMPUTED_VALUE"""),"PARPO II")</f>
        <v>PARPO II</v>
      </c>
      <c r="J2173" s="164" t="str">
        <f ca="1">IFERROR(__xludf.DUMMYFUNCTION("""COMPUTED_VALUE"""),"DAR-MBT-101163-IT-COM-018")</f>
        <v>DAR-MBT-101163-IT-COM-018</v>
      </c>
      <c r="K2173" s="164" t="str">
        <f ca="1">IFERROR(__xludf.DUMMYFUNCTION("""COMPUTED_VALUE"""),"GIGI CANDELEJA")</f>
        <v>GIGI CANDELEJA</v>
      </c>
      <c r="L2173" s="164" t="str">
        <f ca="1">IFERROR(__xludf.DUMMYFUNCTION("""COMPUTED_VALUE"""),"DARPO
 LTID")</f>
        <v>DARPO
 LTID</v>
      </c>
      <c r="M2173" s="164" t="str">
        <f ca="1">IFERROR(__xludf.DUMMYFUNCTION("""COMPUTED_VALUE"""),"SERVICEABLE")</f>
        <v>SERVICEABLE</v>
      </c>
      <c r="N2173" s="164" t="str">
        <f ca="1">IFERROR(__xludf.DUMMYFUNCTION("""COMPUTED_VALUE"""),"PRINTER - UNSERVICEABLE")</f>
        <v>PRINTER - UNSERVICEABLE</v>
      </c>
    </row>
    <row r="2174" spans="1:14" ht="13.2" hidden="1">
      <c r="A2174" s="164" t="str">
        <f ca="1">IFERROR(__xludf.DUMMYFUNCTION("""COMPUTED_VALUE"""),"REGION V")</f>
        <v>REGION V</v>
      </c>
      <c r="B2174" s="164" t="str">
        <f ca="1">IFERROR(__xludf.DUMMYFUNCTION("""COMPUTED_VALUE"""),"MASBATE")</f>
        <v>MASBATE</v>
      </c>
      <c r="C2174" s="164" t="str">
        <f ca="1">IFERROR(__xludf.DUMMYFUNCTION("""COMPUTED_VALUE"""),"Desktop Computer – (HP Pro SFF 280G9)")</f>
        <v>Desktop Computer – (HP Pro SFF 280G9)</v>
      </c>
      <c r="D2174" s="164" t="str">
        <f ca="1">IFERROR(__xludf.DUMMYFUNCTION("""COMPUTED_VALUE"""),"₱ 78,898.00")</f>
        <v>₱ 78,898.00</v>
      </c>
      <c r="E2174" s="164" t="str">
        <f ca="1">IFERROR(__xludf.DUMMYFUNCTION("""COMPUTED_VALUE"""),"₱ -")</f>
        <v>₱ -</v>
      </c>
      <c r="F2174" s="164" t="str">
        <f ca="1">IFERROR(__xludf.DUMMYFUNCTION("""COMPUTED_VALUE"""),"2023-05-SPCOM019
 2023-05-03-10202SP129-01")</f>
        <v>2023-05-SPCOM019
 2023-05-03-10202SP129-01</v>
      </c>
      <c r="G2174" s="164" t="str">
        <f ca="1">IFERROR(__xludf.DUMMYFUNCTION("""COMPUTED_VALUE"""),"CNC24719CR")</f>
        <v>CNC24719CR</v>
      </c>
      <c r="H2174" s="164" t="str">
        <f ca="1">IFERROR(__xludf.DUMMYFUNCTION("""COMPUTED_VALUE"""),"HERALD R. TAMBAL")</f>
        <v>HERALD R. TAMBAL</v>
      </c>
      <c r="I2174" s="164" t="str">
        <f ca="1">IFERROR(__xludf.DUMMYFUNCTION("""COMPUTED_VALUE"""),"PARPO II")</f>
        <v>PARPO II</v>
      </c>
      <c r="J2174" s="164" t="str">
        <f ca="1">IFERROR(__xludf.DUMMYFUNCTION("""COMPUTED_VALUE"""),"DAR-MBT-101163-IT-COM-019")</f>
        <v>DAR-MBT-101163-IT-COM-019</v>
      </c>
      <c r="K2174" s="164" t="str">
        <f ca="1">IFERROR(__xludf.DUMMYFUNCTION("""COMPUTED_VALUE"""),"JOJIE PACHECO")</f>
        <v>JOJIE PACHECO</v>
      </c>
      <c r="L2174" s="164" t="str">
        <f ca="1">IFERROR(__xludf.DUMMYFUNCTION("""COMPUTED_VALUE"""),"DARPO
 JOJIE PACHECO")</f>
        <v>DARPO
 JOJIE PACHECO</v>
      </c>
      <c r="M2174" s="164" t="str">
        <f ca="1">IFERROR(__xludf.DUMMYFUNCTION("""COMPUTED_VALUE"""),"SERVICEABLE")</f>
        <v>SERVICEABLE</v>
      </c>
      <c r="N2174" s="164"/>
    </row>
    <row r="2175" spans="1:14" ht="13.2" hidden="1">
      <c r="A2175" s="164" t="str">
        <f ca="1">IFERROR(__xludf.DUMMYFUNCTION("""COMPUTED_VALUE"""),"REGION V")</f>
        <v>REGION V</v>
      </c>
      <c r="B2175" s="164" t="str">
        <f ca="1">IFERROR(__xludf.DUMMYFUNCTION("""COMPUTED_VALUE"""),"MASBATE")</f>
        <v>MASBATE</v>
      </c>
      <c r="C2175" s="164" t="str">
        <f ca="1">IFERROR(__xludf.DUMMYFUNCTION("""COMPUTED_VALUE"""),"Laptop – (ACER EXTENSA EX215-55G i7)")</f>
        <v>Laptop – (ACER EXTENSA EX215-55G i7)</v>
      </c>
      <c r="D2175" s="164" t="str">
        <f ca="1">IFERROR(__xludf.DUMMYFUNCTION("""COMPUTED_VALUE"""),"₱ 59,500.00")</f>
        <v>₱ 59,500.00</v>
      </c>
      <c r="E2175" s="164" t="str">
        <f ca="1">IFERROR(__xludf.DUMMYFUNCTION("""COMPUTED_VALUE"""),"₱ -")</f>
        <v>₱ -</v>
      </c>
      <c r="F2175" s="164" t="str">
        <f ca="1">IFERROR(__xludf.DUMMYFUNCTION("""COMPUTED_VALUE"""),"2023-05-SPLT001
 2023-05-03-10202SP236-01")</f>
        <v>2023-05-SPLT001
 2023-05-03-10202SP236-01</v>
      </c>
      <c r="G2175" s="164" t="str">
        <f ca="1">IFERROR(__xludf.DUMMYFUNCTION("""COMPUTED_VALUE"""),"NXEGZSP00330801C1F3400")</f>
        <v>NXEGZSP00330801C1F3400</v>
      </c>
      <c r="H2175" s="164" t="str">
        <f ca="1">IFERROR(__xludf.DUMMYFUNCTION("""COMPUTED_VALUE"""),"HERALD R. TAMBAL")</f>
        <v>HERALD R. TAMBAL</v>
      </c>
      <c r="I2175" s="164" t="str">
        <f ca="1">IFERROR(__xludf.DUMMYFUNCTION("""COMPUTED_VALUE"""),"PARPO II")</f>
        <v>PARPO II</v>
      </c>
      <c r="J2175" s="164" t="str">
        <f ca="1">IFERROR(__xludf.DUMMYFUNCTION("""COMPUTED_VALUE"""),"DAR-MBT-101163-IT-LT-001")</f>
        <v>DAR-MBT-101163-IT-LT-001</v>
      </c>
      <c r="K2175" s="164" t="str">
        <f ca="1">IFERROR(__xludf.DUMMYFUNCTION("""COMPUTED_VALUE"""),"HERALD R. TAMBAL")</f>
        <v>HERALD R. TAMBAL</v>
      </c>
      <c r="L2175" s="164" t="str">
        <f ca="1">IFERROR(__xludf.DUMMYFUNCTION("""COMPUTED_VALUE"""),"DARPO")</f>
        <v>DARPO</v>
      </c>
      <c r="M2175" s="164" t="str">
        <f ca="1">IFERROR(__xludf.DUMMYFUNCTION("""COMPUTED_VALUE"""),"SERVICEABLE")</f>
        <v>SERVICEABLE</v>
      </c>
      <c r="N2175" s="164"/>
    </row>
    <row r="2176" spans="1:14" ht="13.2" hidden="1">
      <c r="A2176" s="164" t="str">
        <f ca="1">IFERROR(__xludf.DUMMYFUNCTION("""COMPUTED_VALUE"""),"REGION V")</f>
        <v>REGION V</v>
      </c>
      <c r="B2176" s="164" t="str">
        <f ca="1">IFERROR(__xludf.DUMMYFUNCTION("""COMPUTED_VALUE"""),"MASBATE")</f>
        <v>MASBATE</v>
      </c>
      <c r="C2176" s="164" t="str">
        <f ca="1">IFERROR(__xludf.DUMMYFUNCTION("""COMPUTED_VALUE"""),"Laptop – (ACER EXTENSA EX215-55G i7)")</f>
        <v>Laptop – (ACER EXTENSA EX215-55G i7)</v>
      </c>
      <c r="D2176" s="164" t="str">
        <f ca="1">IFERROR(__xludf.DUMMYFUNCTION("""COMPUTED_VALUE"""),"₱ 59,500.00")</f>
        <v>₱ 59,500.00</v>
      </c>
      <c r="E2176" s="164" t="str">
        <f ca="1">IFERROR(__xludf.DUMMYFUNCTION("""COMPUTED_VALUE"""),"₱ -")</f>
        <v>₱ -</v>
      </c>
      <c r="F2176" s="164" t="str">
        <f ca="1">IFERROR(__xludf.DUMMYFUNCTION("""COMPUTED_VALUE"""),"2023-05-SPLT002
 2023-05-03-10202SP237-01")</f>
        <v>2023-05-SPLT002
 2023-05-03-10202SP237-01</v>
      </c>
      <c r="G2176" s="164" t="str">
        <f ca="1">IFERROR(__xludf.DUMMYFUNCTION("""COMPUTED_VALUE"""),"NXEGZSP00330801D633400")</f>
        <v>NXEGZSP00330801D633400</v>
      </c>
      <c r="H2176" s="164" t="str">
        <f ca="1">IFERROR(__xludf.DUMMYFUNCTION("""COMPUTED_VALUE"""),"HERALD R. TAMBAL")</f>
        <v>HERALD R. TAMBAL</v>
      </c>
      <c r="I2176" s="164" t="str">
        <f ca="1">IFERROR(__xludf.DUMMYFUNCTION("""COMPUTED_VALUE"""),"PARPO II")</f>
        <v>PARPO II</v>
      </c>
      <c r="J2176" s="164" t="str">
        <f ca="1">IFERROR(__xludf.DUMMYFUNCTION("""COMPUTED_VALUE"""),"DAR-MBT-101163-IT-LT-002")</f>
        <v>DAR-MBT-101163-IT-LT-002</v>
      </c>
      <c r="K2176" s="164" t="str">
        <f ca="1">IFERROR(__xludf.DUMMYFUNCTION("""COMPUTED_VALUE"""),"MAVIE TEODORO")</f>
        <v>MAVIE TEODORO</v>
      </c>
      <c r="L2176" s="164" t="str">
        <f ca="1">IFERROR(__xludf.DUMMYFUNCTION("""COMPUTED_VALUE"""),"DARPO")</f>
        <v>DARPO</v>
      </c>
      <c r="M2176" s="164" t="str">
        <f ca="1">IFERROR(__xludf.DUMMYFUNCTION("""COMPUTED_VALUE"""),"SERVICEABLE")</f>
        <v>SERVICEABLE</v>
      </c>
      <c r="N2176" s="164"/>
    </row>
    <row r="2177" spans="1:14" ht="13.2" hidden="1">
      <c r="A2177" s="164" t="str">
        <f ca="1">IFERROR(__xludf.DUMMYFUNCTION("""COMPUTED_VALUE"""),"REGION V")</f>
        <v>REGION V</v>
      </c>
      <c r="B2177" s="164" t="str">
        <f ca="1">IFERROR(__xludf.DUMMYFUNCTION("""COMPUTED_VALUE"""),"MASBATE")</f>
        <v>MASBATE</v>
      </c>
      <c r="C2177" s="164" t="str">
        <f ca="1">IFERROR(__xludf.DUMMYFUNCTION("""COMPUTED_VALUE"""),"Laptop – (ACER EXTENSA EX215-55G i7)")</f>
        <v>Laptop – (ACER EXTENSA EX215-55G i7)</v>
      </c>
      <c r="D2177" s="164" t="str">
        <f ca="1">IFERROR(__xludf.DUMMYFUNCTION("""COMPUTED_VALUE"""),"₱ 59,500.00")</f>
        <v>₱ 59,500.00</v>
      </c>
      <c r="E2177" s="164" t="str">
        <f ca="1">IFERROR(__xludf.DUMMYFUNCTION("""COMPUTED_VALUE"""),"₱ -")</f>
        <v>₱ -</v>
      </c>
      <c r="F2177" s="164" t="str">
        <f ca="1">IFERROR(__xludf.DUMMYFUNCTION("""COMPUTED_VALUE"""),"2023-05-SPLT003
 2023-05-03-10202SP238-01")</f>
        <v>2023-05-SPLT003
 2023-05-03-10202SP238-01</v>
      </c>
      <c r="G2177" s="164" t="str">
        <f ca="1">IFERROR(__xludf.DUMMYFUNCTION("""COMPUTED_VALUE"""),"NXEGZSP00330801D953400")</f>
        <v>NXEGZSP00330801D953400</v>
      </c>
      <c r="H2177" s="164" t="str">
        <f ca="1">IFERROR(__xludf.DUMMYFUNCTION("""COMPUTED_VALUE"""),"HERALD R. TAMBAL")</f>
        <v>HERALD R. TAMBAL</v>
      </c>
      <c r="I2177" s="164" t="str">
        <f ca="1">IFERROR(__xludf.DUMMYFUNCTION("""COMPUTED_VALUE"""),"PARPO II")</f>
        <v>PARPO II</v>
      </c>
      <c r="J2177" s="164" t="str">
        <f ca="1">IFERROR(__xludf.DUMMYFUNCTION("""COMPUTED_VALUE"""),"DAR-MBT-101163-IT-LT-003")</f>
        <v>DAR-MBT-101163-IT-LT-003</v>
      </c>
      <c r="K2177" s="164" t="str">
        <f ca="1">IFERROR(__xludf.DUMMYFUNCTION("""COMPUTED_VALUE"""),"RUEL ORBASE")</f>
        <v>RUEL ORBASE</v>
      </c>
      <c r="L2177" s="164" t="str">
        <f ca="1">IFERROR(__xludf.DUMMYFUNCTION("""COMPUTED_VALUE"""),"DARPO")</f>
        <v>DARPO</v>
      </c>
      <c r="M2177" s="164" t="str">
        <f ca="1">IFERROR(__xludf.DUMMYFUNCTION("""COMPUTED_VALUE"""),"SERVICEABLE")</f>
        <v>SERVICEABLE</v>
      </c>
      <c r="N2177" s="164"/>
    </row>
    <row r="2178" spans="1:14" ht="13.2" hidden="1">
      <c r="A2178" s="164" t="str">
        <f ca="1">IFERROR(__xludf.DUMMYFUNCTION("""COMPUTED_VALUE"""),"REGION V")</f>
        <v>REGION V</v>
      </c>
      <c r="B2178" s="164" t="str">
        <f ca="1">IFERROR(__xludf.DUMMYFUNCTION("""COMPUTED_VALUE"""),"MASBATE")</f>
        <v>MASBATE</v>
      </c>
      <c r="C2178" s="164" t="str">
        <f ca="1">IFERROR(__xludf.DUMMYFUNCTION("""COMPUTED_VALUE"""),"Laptop – (ACER EXTENSA EX215-55G i7)")</f>
        <v>Laptop – (ACER EXTENSA EX215-55G i7)</v>
      </c>
      <c r="D2178" s="164" t="str">
        <f ca="1">IFERROR(__xludf.DUMMYFUNCTION("""COMPUTED_VALUE"""),"₱ 59,500.00")</f>
        <v>₱ 59,500.00</v>
      </c>
      <c r="E2178" s="164" t="str">
        <f ca="1">IFERROR(__xludf.DUMMYFUNCTION("""COMPUTED_VALUE"""),"₱ -")</f>
        <v>₱ -</v>
      </c>
      <c r="F2178" s="164" t="str">
        <f ca="1">IFERROR(__xludf.DUMMYFUNCTION("""COMPUTED_VALUE"""),"2023-05-SPLT004
 2023-05-03-10202SP239-01")</f>
        <v>2023-05-SPLT004
 2023-05-03-10202SP239-01</v>
      </c>
      <c r="G2178" s="164" t="str">
        <f ca="1">IFERROR(__xludf.DUMMYFUNCTION("""COMPUTED_VALUE"""),"NXEGZSP00330801C953400")</f>
        <v>NXEGZSP00330801C953400</v>
      </c>
      <c r="H2178" s="164" t="str">
        <f ca="1">IFERROR(__xludf.DUMMYFUNCTION("""COMPUTED_VALUE"""),"HERALD R. TAMBAL")</f>
        <v>HERALD R. TAMBAL</v>
      </c>
      <c r="I2178" s="164" t="str">
        <f ca="1">IFERROR(__xludf.DUMMYFUNCTION("""COMPUTED_VALUE"""),"PARPO II")</f>
        <v>PARPO II</v>
      </c>
      <c r="J2178" s="164" t="str">
        <f ca="1">IFERROR(__xludf.DUMMYFUNCTION("""COMPUTED_VALUE"""),"DAR-MBT-101163-IT-LT-004")</f>
        <v>DAR-MBT-101163-IT-LT-004</v>
      </c>
      <c r="K2178" s="164" t="str">
        <f ca="1">IFERROR(__xludf.DUMMYFUNCTION("""COMPUTED_VALUE"""),"ELEANOR TORRES")</f>
        <v>ELEANOR TORRES</v>
      </c>
      <c r="L2178" s="164" t="str">
        <f ca="1">IFERROR(__xludf.DUMMYFUNCTION("""COMPUTED_VALUE"""),"DARPO")</f>
        <v>DARPO</v>
      </c>
      <c r="M2178" s="164" t="str">
        <f ca="1">IFERROR(__xludf.DUMMYFUNCTION("""COMPUTED_VALUE"""),"SERVICEABLE")</f>
        <v>SERVICEABLE</v>
      </c>
      <c r="N2178" s="164"/>
    </row>
    <row r="2179" spans="1:14" ht="13.2" hidden="1">
      <c r="A2179" s="164" t="str">
        <f ca="1">IFERROR(__xludf.DUMMYFUNCTION("""COMPUTED_VALUE"""),"REGION V")</f>
        <v>REGION V</v>
      </c>
      <c r="B2179" s="164" t="str">
        <f ca="1">IFERROR(__xludf.DUMMYFUNCTION("""COMPUTED_VALUE"""),"MASBATE")</f>
        <v>MASBATE</v>
      </c>
      <c r="C2179" s="164" t="str">
        <f ca="1">IFERROR(__xludf.DUMMYFUNCTION("""COMPUTED_VALUE"""),"Laptop – (ACER EXTENSA EX215-55G i7)")</f>
        <v>Laptop – (ACER EXTENSA EX215-55G i7)</v>
      </c>
      <c r="D2179" s="164" t="str">
        <f ca="1">IFERROR(__xludf.DUMMYFUNCTION("""COMPUTED_VALUE"""),"₱ 59,500.00")</f>
        <v>₱ 59,500.00</v>
      </c>
      <c r="E2179" s="164" t="str">
        <f ca="1">IFERROR(__xludf.DUMMYFUNCTION("""COMPUTED_VALUE"""),"₱ -")</f>
        <v>₱ -</v>
      </c>
      <c r="F2179" s="164" t="str">
        <f ca="1">IFERROR(__xludf.DUMMYFUNCTION("""COMPUTED_VALUE"""),"2023-05-SPLT005
 2023-05-03-10202SP48-01")</f>
        <v>2023-05-SPLT005
 2023-05-03-10202SP48-01</v>
      </c>
      <c r="G2179" s="164" t="str">
        <f ca="1">IFERROR(__xludf.DUMMYFUNCTION("""COMPUTED_VALUE"""),"NXEGZSP00330801C953400")</f>
        <v>NXEGZSP00330801C953400</v>
      </c>
      <c r="H2179" s="164" t="str">
        <f ca="1">IFERROR(__xludf.DUMMYFUNCTION("""COMPUTED_VALUE"""),"ROSANNE ANGEL ZURBITO")</f>
        <v>ROSANNE ANGEL ZURBITO</v>
      </c>
      <c r="I2179" s="164"/>
      <c r="J2179" s="164" t="str">
        <f ca="1">IFERROR(__xludf.DUMMYFUNCTION("""COMPUTED_VALUE"""),"DAR-MBT-101163-IT-LT-004")</f>
        <v>DAR-MBT-101163-IT-LT-004</v>
      </c>
      <c r="K2179" s="164" t="str">
        <f ca="1">IFERROR(__xludf.DUMMYFUNCTION("""COMPUTED_VALUE"""),"ROSANNE ANGEL ZURBITO")</f>
        <v>ROSANNE ANGEL ZURBITO</v>
      </c>
      <c r="L2179" s="164" t="str">
        <f ca="1">IFERROR(__xludf.DUMMYFUNCTION("""COMPUTED_VALUE"""),"DARPO")</f>
        <v>DARPO</v>
      </c>
      <c r="M2179" s="164" t="str">
        <f ca="1">IFERROR(__xludf.DUMMYFUNCTION("""COMPUTED_VALUE"""),"SERVICEABLE")</f>
        <v>SERVICEABLE</v>
      </c>
      <c r="N2179" s="164"/>
    </row>
    <row r="2180" spans="1:14" ht="13.2" hidden="1">
      <c r="A2180" s="164" t="str">
        <f ca="1">IFERROR(__xludf.DUMMYFUNCTION("""COMPUTED_VALUE"""),"REGION V")</f>
        <v>REGION V</v>
      </c>
      <c r="B2180" s="164" t="str">
        <f ca="1">IFERROR(__xludf.DUMMYFUNCTION("""COMPUTED_VALUE"""),"MASBATE")</f>
        <v>MASBATE</v>
      </c>
      <c r="C2180" s="164" t="str">
        <f ca="1">IFERROR(__xludf.DUMMYFUNCTION("""COMPUTED_VALUE"""),"Photocopier Machine – Kyocera")</f>
        <v>Photocopier Machine – Kyocera</v>
      </c>
      <c r="D2180" s="164" t="str">
        <f ca="1">IFERROR(__xludf.DUMMYFUNCTION("""COMPUTED_VALUE"""),"₱ 84,500.00")</f>
        <v>₱ 84,500.00</v>
      </c>
      <c r="E2180" s="164" t="str">
        <f ca="1">IFERROR(__xludf.DUMMYFUNCTION("""COMPUTED_VALUE"""),"₱ -")</f>
        <v>₱ -</v>
      </c>
      <c r="F2180" s="164" t="str">
        <f ca="1">IFERROR(__xludf.DUMMYFUNCTION("""COMPUTED_VALUE"""),"2022-05-02-10202SP43-01")</f>
        <v>2022-05-02-10202SP43-01</v>
      </c>
      <c r="G2180" s="164" t="str">
        <f ca="1">IFERROR(__xludf.DUMMYFUNCTION("""COMPUTED_VALUE"""),"RNK2700179")</f>
        <v>RNK2700179</v>
      </c>
      <c r="H2180" s="164" t="str">
        <f ca="1">IFERROR(__xludf.DUMMYFUNCTION("""COMPUTED_VALUE"""),"HERALD R. TAMBAL")</f>
        <v>HERALD R. TAMBAL</v>
      </c>
      <c r="I2180" s="164" t="str">
        <f ca="1">IFERROR(__xludf.DUMMYFUNCTION("""COMPUTED_VALUE"""),"PARPO II")</f>
        <v>PARPO II</v>
      </c>
      <c r="J2180" s="164" t="str">
        <f ca="1">IFERROR(__xludf.DUMMYFUNCTION("""COMPUTED_VALUE"""),"DAR-MBT-102-OE-DC-OO1")</f>
        <v>DAR-MBT-102-OE-DC-OO1</v>
      </c>
      <c r="K2180" s="164" t="str">
        <f ca="1">IFERROR(__xludf.DUMMYFUNCTION("""COMPUTED_VALUE"""),"ELEANOR TORRES")</f>
        <v>ELEANOR TORRES</v>
      </c>
      <c r="L2180" s="164" t="str">
        <f ca="1">IFERROR(__xludf.DUMMYFUNCTION("""COMPUTED_VALUE"""),"DARPO")</f>
        <v>DARPO</v>
      </c>
      <c r="M2180" s="164" t="str">
        <f ca="1">IFERROR(__xludf.DUMMYFUNCTION("""COMPUTED_VALUE"""),"SERVICEABLE")</f>
        <v>SERVICEABLE</v>
      </c>
      <c r="N2180" s="164"/>
    </row>
    <row r="2181" spans="1:14" ht="13.2" hidden="1">
      <c r="A2181" s="164" t="str">
        <f ca="1">IFERROR(__xludf.DUMMYFUNCTION("""COMPUTED_VALUE"""),"REGION V")</f>
        <v>REGION V</v>
      </c>
      <c r="B2181" s="164" t="str">
        <f ca="1">IFERROR(__xludf.DUMMYFUNCTION("""COMPUTED_VALUE"""),"MASBATE")</f>
        <v>MASBATE</v>
      </c>
      <c r="C2181" s="164" t="str">
        <f ca="1">IFERROR(__xludf.DUMMYFUNCTION("""COMPUTED_VALUE"""),"A3 PRINTER (BROTHER)")</f>
        <v>A3 PRINTER (BROTHER)</v>
      </c>
      <c r="D2181" s="164" t="str">
        <f ca="1">IFERROR(__xludf.DUMMYFUNCTION("""COMPUTED_VALUE"""),"₱ 33,508.00")</f>
        <v>₱ 33,508.00</v>
      </c>
      <c r="E2181" s="164" t="str">
        <f ca="1">IFERROR(__xludf.DUMMYFUNCTION("""COMPUTED_VALUE"""),"₱ -")</f>
        <v>₱ -</v>
      </c>
      <c r="F2181" s="164" t="str">
        <f ca="1">IFERROR(__xludf.DUMMYFUNCTION("""COMPUTED_VALUE"""),"2024-05-SPPTR-001
 HV-SPLIT-102-24-05-04-036")</f>
        <v>2024-05-SPPTR-001
 HV-SPLIT-102-24-05-04-036</v>
      </c>
      <c r="G2181" s="164" t="str">
        <f ca="1">IFERROR(__xludf.DUMMYFUNCTION("""COMPUTED_VALUE"""),"E78947K3H658294")</f>
        <v>E78947K3H658294</v>
      </c>
      <c r="H2181" s="164" t="str">
        <f ca="1">IFERROR(__xludf.DUMMYFUNCTION("""COMPUTED_VALUE"""),"HERALD R. TAMBAL")</f>
        <v>HERALD R. TAMBAL</v>
      </c>
      <c r="I2181" s="164" t="str">
        <f ca="1">IFERROR(__xludf.DUMMYFUNCTION("""COMPUTED_VALUE"""),"PARPO II")</f>
        <v>PARPO II</v>
      </c>
      <c r="J2181" s="164" t="str">
        <f ca="1">IFERROR(__xludf.DUMMYFUNCTION("""COMPUTED_VALUE"""),"DAR-MBT-102-IT-SE-PTR-OOI")</f>
        <v>DAR-MBT-102-IT-SE-PTR-OOI</v>
      </c>
      <c r="K2181" s="164" t="str">
        <f ca="1">IFERROR(__xludf.DUMMYFUNCTION("""COMPUTED_VALUE"""),"HERALD R. TAMBAL")</f>
        <v>HERALD R. TAMBAL</v>
      </c>
      <c r="L2181" s="164" t="str">
        <f ca="1">IFERROR(__xludf.DUMMYFUNCTION("""COMPUTED_VALUE"""),"DARPO")</f>
        <v>DARPO</v>
      </c>
      <c r="M2181" s="164" t="str">
        <f ca="1">IFERROR(__xludf.DUMMYFUNCTION("""COMPUTED_VALUE"""),"SERVICEABLE")</f>
        <v>SERVICEABLE</v>
      </c>
      <c r="N2181" s="164"/>
    </row>
    <row r="2182" spans="1:14" ht="13.2" hidden="1">
      <c r="A2182" s="164" t="str">
        <f ca="1">IFERROR(__xludf.DUMMYFUNCTION("""COMPUTED_VALUE"""),"REGION V")</f>
        <v>REGION V</v>
      </c>
      <c r="B2182" s="164" t="str">
        <f ca="1">IFERROR(__xludf.DUMMYFUNCTION("""COMPUTED_VALUE"""),"SORSOGON")</f>
        <v>SORSOGON</v>
      </c>
      <c r="C2182" s="164" t="str">
        <f ca="1">IFERROR(__xludf.DUMMYFUNCTION("""COMPUTED_VALUE"""),"REAL-TIME KINEMATIC – GEOMAX ZENITH60")</f>
        <v>REAL-TIME KINEMATIC – GEOMAX ZENITH60</v>
      </c>
      <c r="D2182" s="164" t="str">
        <f ca="1">IFERROR(__xludf.DUMMYFUNCTION("""COMPUTED_VALUE"""),"₱ 1,849,000.00")</f>
        <v>₱ 1,849,000.00</v>
      </c>
      <c r="E2182" s="164" t="str">
        <f ca="1">IFERROR(__xludf.DUMMYFUNCTION("""COMPUTED_VALUE"""),"₱ -")</f>
        <v>₱ -</v>
      </c>
      <c r="F2182" s="164" t="str">
        <f ca="1">IFERROR(__xludf.DUMMYFUNCTION("""COMPUTED_VALUE"""),"2023-05-14-1020ISP06-01")</f>
        <v>2023-05-14-1020ISP06-01</v>
      </c>
      <c r="G2182" s="164" t="str">
        <f ca="1">IFERROR(__xludf.DUMMYFUNCTION("""COMPUTED_VALUE"""),"Z60 27272200447")</f>
        <v>Z60 27272200447</v>
      </c>
      <c r="H2182" s="164" t="str">
        <f ca="1">IFERROR(__xludf.DUMMYFUNCTION("""COMPUTED_VALUE"""),"EBUENGA, ANNA MAE A.")</f>
        <v>EBUENGA, ANNA MAE A.</v>
      </c>
      <c r="I2182" s="164"/>
      <c r="J2182" s="164" t="str">
        <f ca="1">IFERROR(__xludf.DUMMYFUNCTION("""COMPUTED_VALUE"""),"2024-039")</f>
        <v>2024-039</v>
      </c>
      <c r="K2182" s="164" t="str">
        <f ca="1">IFERROR(__xludf.DUMMYFUNCTION("""COMPUTED_VALUE"""),"EBUENGA, ANNA MAE A.")</f>
        <v>EBUENGA, ANNA MAE A.</v>
      </c>
      <c r="L2182" s="164" t="str">
        <f ca="1">IFERROR(__xludf.DUMMYFUNCTION("""COMPUTED_VALUE"""),"LTID-SURVEY")</f>
        <v>LTID-SURVEY</v>
      </c>
      <c r="M2182" s="164" t="str">
        <f ca="1">IFERROR(__xludf.DUMMYFUNCTION("""COMPUTED_VALUE"""),"SERVICEABLE")</f>
        <v>SERVICEABLE</v>
      </c>
      <c r="N2182" s="164"/>
    </row>
    <row r="2183" spans="1:14" ht="13.2" hidden="1">
      <c r="A2183" s="164" t="str">
        <f ca="1">IFERROR(__xludf.DUMMYFUNCTION("""COMPUTED_VALUE"""),"REGION V")</f>
        <v>REGION V</v>
      </c>
      <c r="B2183" s="164" t="str">
        <f ca="1">IFERROR(__xludf.DUMMYFUNCTION("""COMPUTED_VALUE"""),"SORSOGON")</f>
        <v>SORSOGON</v>
      </c>
      <c r="C2183" s="164" t="str">
        <f ca="1">IFERROR(__xludf.DUMMYFUNCTION("""COMPUTED_VALUE"""),"TOTAL STATION – GEOMAX TOTAL STATION ZOOM 50")</f>
        <v>TOTAL STATION – GEOMAX TOTAL STATION ZOOM 50</v>
      </c>
      <c r="D2183" s="164" t="str">
        <f ca="1">IFERROR(__xludf.DUMMYFUNCTION("""COMPUTED_VALUE"""),"₱ 648,000.00")</f>
        <v>₱ 648,000.00</v>
      </c>
      <c r="E2183" s="164" t="str">
        <f ca="1">IFERROR(__xludf.DUMMYFUNCTION("""COMPUTED_VALUE"""),"₱ -")</f>
        <v>₱ -</v>
      </c>
      <c r="F2183" s="164" t="str">
        <f ca="1">IFERROR(__xludf.DUMMYFUNCTION("""COMPUTED_VALUE"""),"2023-05-14-1020ISP06-01")</f>
        <v>2023-05-14-1020ISP06-01</v>
      </c>
      <c r="G2183" s="164" t="str">
        <f ca="1">IFERROR(__xludf.DUMMYFUNCTION("""COMPUTED_VALUE"""),"SN2839801")</f>
        <v>SN2839801</v>
      </c>
      <c r="H2183" s="164" t="str">
        <f ca="1">IFERROR(__xludf.DUMMYFUNCTION("""COMPUTED_VALUE"""),"EBUENGA, ANNA MAE A.")</f>
        <v>EBUENGA, ANNA MAE A.</v>
      </c>
      <c r="I2183" s="164"/>
      <c r="J2183" s="164" t="str">
        <f ca="1">IFERROR(__xludf.DUMMYFUNCTION("""COMPUTED_VALUE"""),"2024-039")</f>
        <v>2024-039</v>
      </c>
      <c r="K2183" s="164" t="str">
        <f ca="1">IFERROR(__xludf.DUMMYFUNCTION("""COMPUTED_VALUE"""),"EBUENGA, ANNA MAE A.")</f>
        <v>EBUENGA, ANNA MAE A.</v>
      </c>
      <c r="L2183" s="164" t="str">
        <f ca="1">IFERROR(__xludf.DUMMYFUNCTION("""COMPUTED_VALUE"""),"LTID-SURVEY")</f>
        <v>LTID-SURVEY</v>
      </c>
      <c r="M2183" s="164" t="str">
        <f ca="1">IFERROR(__xludf.DUMMYFUNCTION("""COMPUTED_VALUE"""),"SERVICEABLE")</f>
        <v>SERVICEABLE</v>
      </c>
      <c r="N2183" s="164"/>
    </row>
    <row r="2184" spans="1:14" ht="13.2" hidden="1">
      <c r="A2184" s="164" t="str">
        <f ca="1">IFERROR(__xludf.DUMMYFUNCTION("""COMPUTED_VALUE"""),"REGION V")</f>
        <v>REGION V</v>
      </c>
      <c r="B2184" s="164" t="str">
        <f ca="1">IFERROR(__xludf.DUMMYFUNCTION("""COMPUTED_VALUE"""),"SORSOGON")</f>
        <v>SORSOGON</v>
      </c>
      <c r="C2184" s="164" t="str">
        <f ca="1">IFERROR(__xludf.DUMMYFUNCTION("""COMPUTED_VALUE"""),"HANDHELD GPS – MODEL P6")</f>
        <v>HANDHELD GPS – MODEL P6</v>
      </c>
      <c r="D2184" s="164" t="str">
        <f ca="1">IFERROR(__xludf.DUMMYFUNCTION("""COMPUTED_VALUE"""),"₱ 79,000.00")</f>
        <v>₱ 79,000.00</v>
      </c>
      <c r="E2184" s="164" t="str">
        <f ca="1">IFERROR(__xludf.DUMMYFUNCTION("""COMPUTED_VALUE"""),"₱ -")</f>
        <v>₱ -</v>
      </c>
      <c r="F2184" s="164" t="str">
        <f ca="1">IFERROR(__xludf.DUMMYFUNCTION("""COMPUTED_VALUE"""),"2023-05-14-1020ISP06-01")</f>
        <v>2023-05-14-1020ISP06-01</v>
      </c>
      <c r="G2184" s="164" t="str">
        <f ca="1">IFERROR(__xludf.DUMMYFUNCTION("""COMPUTED_VALUE"""),"SP10730014")</f>
        <v>SP10730014</v>
      </c>
      <c r="H2184" s="164" t="str">
        <f ca="1">IFERROR(__xludf.DUMMYFUNCTION("""COMPUTED_VALUE"""),"EBUENGA, ANNA MAE A.")</f>
        <v>EBUENGA, ANNA MAE A.</v>
      </c>
      <c r="I2184" s="164"/>
      <c r="J2184" s="164" t="str">
        <f ca="1">IFERROR(__xludf.DUMMYFUNCTION("""COMPUTED_VALUE"""),"2024-039")</f>
        <v>2024-039</v>
      </c>
      <c r="K2184" s="164" t="str">
        <f ca="1">IFERROR(__xludf.DUMMYFUNCTION("""COMPUTED_VALUE"""),"EBUENGA, ANNA MAE A.")</f>
        <v>EBUENGA, ANNA MAE A.</v>
      </c>
      <c r="L2184" s="164" t="str">
        <f ca="1">IFERROR(__xludf.DUMMYFUNCTION("""COMPUTED_VALUE"""),"LTID-SURVEY")</f>
        <v>LTID-SURVEY</v>
      </c>
      <c r="M2184" s="164" t="str">
        <f ca="1">IFERROR(__xludf.DUMMYFUNCTION("""COMPUTED_VALUE"""),"SERVICEABLE")</f>
        <v>SERVICEABLE</v>
      </c>
      <c r="N2184" s="164"/>
    </row>
    <row r="2185" spans="1:14" ht="13.2" hidden="1">
      <c r="A2185" s="164" t="str">
        <f ca="1">IFERROR(__xludf.DUMMYFUNCTION("""COMPUTED_VALUE"""),"REGION V")</f>
        <v>REGION V</v>
      </c>
      <c r="B2185" s="164" t="str">
        <f ca="1">IFERROR(__xludf.DUMMYFUNCTION("""COMPUTED_VALUE"""),"SORSOGON")</f>
        <v>SORSOGON</v>
      </c>
      <c r="C2185" s="164" t="str">
        <f ca="1">IFERROR(__xludf.DUMMYFUNCTION("""COMPUTED_VALUE"""),"Desktop Computer – (Lenovo M70T)")</f>
        <v>Desktop Computer – (Lenovo M70T)</v>
      </c>
      <c r="D2185" s="164" t="str">
        <f ca="1">IFERROR(__xludf.DUMMYFUNCTION("""COMPUTED_VALUE"""),"₱ 75,468.00")</f>
        <v>₱ 75,468.00</v>
      </c>
      <c r="E2185" s="164" t="str">
        <f ca="1">IFERROR(__xludf.DUMMYFUNCTION("""COMPUTED_VALUE"""),"₱ -")</f>
        <v>₱ -</v>
      </c>
      <c r="F2185" s="164" t="str">
        <f ca="1">IFERROR(__xludf.DUMMYFUNCTION("""COMPUTED_VALUE"""),"2023-05-03-1020ISP1098-1")</f>
        <v>2023-05-03-1020ISP1098-1</v>
      </c>
      <c r="G2185" s="164" t="str">
        <f ca="1">IFERROR(__xludf.DUMMYFUNCTION("""COMPUTED_VALUE"""),"1S11T5S62006M041B0X")</f>
        <v>1S11T5S62006M041B0X</v>
      </c>
      <c r="H2185" s="164" t="str">
        <f ca="1">IFERROR(__xludf.DUMMYFUNCTION("""COMPUTED_VALUE"""),"CORNAL, JERALD A.")</f>
        <v>CORNAL, JERALD A.</v>
      </c>
      <c r="I2185" s="164"/>
      <c r="J2185" s="164" t="str">
        <f ca="1">IFERROR(__xludf.DUMMYFUNCTION("""COMPUTED_VALUE"""),"2024-039")</f>
        <v>2024-039</v>
      </c>
      <c r="K2185" s="164" t="str">
        <f ca="1">IFERROR(__xludf.DUMMYFUNCTION("""COMPUTED_VALUE"""),"CORNAL, JERALD A.")</f>
        <v>CORNAL, JERALD A.</v>
      </c>
      <c r="L2185" s="164" t="str">
        <f ca="1">IFERROR(__xludf.DUMMYFUNCTION("""COMPUTED_VALUE"""),"LTI DIVISION")</f>
        <v>LTI DIVISION</v>
      </c>
      <c r="M2185" s="164" t="str">
        <f ca="1">IFERROR(__xludf.DUMMYFUNCTION("""COMPUTED_VALUE"""),"SERVICEABLE")</f>
        <v>SERVICEABLE</v>
      </c>
      <c r="N2185" s="164"/>
    </row>
    <row r="2186" spans="1:14" ht="13.2" hidden="1">
      <c r="A2186" s="164" t="str">
        <f ca="1">IFERROR(__xludf.DUMMYFUNCTION("""COMPUTED_VALUE"""),"REGION V")</f>
        <v>REGION V</v>
      </c>
      <c r="B2186" s="164" t="str">
        <f ca="1">IFERROR(__xludf.DUMMYFUNCTION("""COMPUTED_VALUE"""),"SORSOGON")</f>
        <v>SORSOGON</v>
      </c>
      <c r="C2186" s="164" t="str">
        <f ca="1">IFERROR(__xludf.DUMMYFUNCTION("""COMPUTED_VALUE"""),"Desktop Computer – (Lenovo M70T)")</f>
        <v>Desktop Computer – (Lenovo M70T)</v>
      </c>
      <c r="D2186" s="164" t="str">
        <f ca="1">IFERROR(__xludf.DUMMYFUNCTION("""COMPUTED_VALUE"""),"₱ 75,468.00")</f>
        <v>₱ 75,468.00</v>
      </c>
      <c r="E2186" s="164" t="str">
        <f ca="1">IFERROR(__xludf.DUMMYFUNCTION("""COMPUTED_VALUE"""),"₱ -")</f>
        <v>₱ -</v>
      </c>
      <c r="F2186" s="164" t="str">
        <f ca="1">IFERROR(__xludf.DUMMYFUNCTION("""COMPUTED_VALUE"""),"2023-05-03-1020ISP1099-1")</f>
        <v>2023-05-03-1020ISP1099-1</v>
      </c>
      <c r="G2186" s="164" t="str">
        <f ca="1">IFERROR(__xludf.DUMMYFUNCTION("""COMPUTED_VALUE"""),"1S11T5S6200GM041B1D")</f>
        <v>1S11T5S6200GM041B1D</v>
      </c>
      <c r="H2186" s="164" t="str">
        <f ca="1">IFERROR(__xludf.DUMMYFUNCTION("""COMPUTED_VALUE"""),"ALMODIEL, ANTONIO E.")</f>
        <v>ALMODIEL, ANTONIO E.</v>
      </c>
      <c r="I2186" s="164"/>
      <c r="J2186" s="164" t="str">
        <f ca="1">IFERROR(__xludf.DUMMYFUNCTION("""COMPUTED_VALUE"""),"2024-027")</f>
        <v>2024-027</v>
      </c>
      <c r="K2186" s="164" t="str">
        <f ca="1">IFERROR(__xludf.DUMMYFUNCTION("""COMPUTED_VALUE"""),"ANTONIO E. ALMODIEL")</f>
        <v>ANTONIO E. ALMODIEL</v>
      </c>
      <c r="L2186" s="164" t="str">
        <f ca="1">IFERROR(__xludf.DUMMYFUNCTION("""COMPUTED_VALUE"""),"STOD-ACCTG.")</f>
        <v>STOD-ACCTG.</v>
      </c>
      <c r="M2186" s="164" t="str">
        <f ca="1">IFERROR(__xludf.DUMMYFUNCTION("""COMPUTED_VALUE"""),"SERVICEABLE")</f>
        <v>SERVICEABLE</v>
      </c>
      <c r="N2186" s="164"/>
    </row>
    <row r="2187" spans="1:14" ht="13.2" hidden="1">
      <c r="A2187" s="164" t="str">
        <f ca="1">IFERROR(__xludf.DUMMYFUNCTION("""COMPUTED_VALUE"""),"REGION V")</f>
        <v>REGION V</v>
      </c>
      <c r="B2187" s="164" t="str">
        <f ca="1">IFERROR(__xludf.DUMMYFUNCTION("""COMPUTED_VALUE"""),"SORSOGON")</f>
        <v>SORSOGON</v>
      </c>
      <c r="C2187" s="164" t="str">
        <f ca="1">IFERROR(__xludf.DUMMYFUNCTION("""COMPUTED_VALUE"""),"Desktop Computer – (Lenovo M70T)")</f>
        <v>Desktop Computer – (Lenovo M70T)</v>
      </c>
      <c r="D2187" s="164" t="str">
        <f ca="1">IFERROR(__xludf.DUMMYFUNCTION("""COMPUTED_VALUE"""),"₱ 75,468.00")</f>
        <v>₱ 75,468.00</v>
      </c>
      <c r="E2187" s="164" t="str">
        <f ca="1">IFERROR(__xludf.DUMMYFUNCTION("""COMPUTED_VALUE"""),"₱ -")</f>
        <v>₱ -</v>
      </c>
      <c r="F2187" s="164" t="str">
        <f ca="1">IFERROR(__xludf.DUMMYFUNCTION("""COMPUTED_VALUE"""),"2023-05-03-1020ISP1100-1")</f>
        <v>2023-05-03-1020ISP1100-1</v>
      </c>
      <c r="G2187" s="164" t="str">
        <f ca="1">IFERROR(__xludf.DUMMYFUNCTION("""COMPUTED_VALUE"""),"1S11T5S6200GM041B1F")</f>
        <v>1S11T5S6200GM041B1F</v>
      </c>
      <c r="H2187" s="164" t="str">
        <f ca="1">IFERROR(__xludf.DUMMYFUNCTION("""COMPUTED_VALUE"""),"DE CHAVEZ, STEPHANIE")</f>
        <v>DE CHAVEZ, STEPHANIE</v>
      </c>
      <c r="I2187" s="164"/>
      <c r="J2187" s="164" t="str">
        <f ca="1">IFERROR(__xludf.DUMMYFUNCTION("""COMPUTED_VALUE"""),"2024-014")</f>
        <v>2024-014</v>
      </c>
      <c r="K2187" s="164" t="str">
        <f ca="1">IFERROR(__xludf.DUMMYFUNCTION("""COMPUTED_VALUE"""),"DE CHAVEZ, STEPHANIE")</f>
        <v>DE CHAVEZ, STEPHANIE</v>
      </c>
      <c r="L2187" s="164" t="str">
        <f ca="1">IFERROR(__xludf.DUMMYFUNCTION("""COMPUTED_VALUE"""),"LTI DIVISION")</f>
        <v>LTI DIVISION</v>
      </c>
      <c r="M2187" s="164" t="str">
        <f ca="1">IFERROR(__xludf.DUMMYFUNCTION("""COMPUTED_VALUE"""),"SERVICEABLE")</f>
        <v>SERVICEABLE</v>
      </c>
      <c r="N2187" s="164"/>
    </row>
    <row r="2188" spans="1:14" ht="13.2" hidden="1">
      <c r="A2188" s="164" t="str">
        <f ca="1">IFERROR(__xludf.DUMMYFUNCTION("""COMPUTED_VALUE"""),"REGION V")</f>
        <v>REGION V</v>
      </c>
      <c r="B2188" s="164" t="str">
        <f ca="1">IFERROR(__xludf.DUMMYFUNCTION("""COMPUTED_VALUE"""),"SORSOGON")</f>
        <v>SORSOGON</v>
      </c>
      <c r="C2188" s="164" t="str">
        <f ca="1">IFERROR(__xludf.DUMMYFUNCTION("""COMPUTED_VALUE"""),"Desktop Computer – (Lenovo M70T)")</f>
        <v>Desktop Computer – (Lenovo M70T)</v>
      </c>
      <c r="D2188" s="164" t="str">
        <f ca="1">IFERROR(__xludf.DUMMYFUNCTION("""COMPUTED_VALUE"""),"₱ 75,468.00")</f>
        <v>₱ 75,468.00</v>
      </c>
      <c r="E2188" s="164" t="str">
        <f ca="1">IFERROR(__xludf.DUMMYFUNCTION("""COMPUTED_VALUE"""),"₱ -")</f>
        <v>₱ -</v>
      </c>
      <c r="F2188" s="164" t="str">
        <f ca="1">IFERROR(__xludf.DUMMYFUNCTION("""COMPUTED_VALUE"""),"2023-05-03-1020ISP1101-1")</f>
        <v>2023-05-03-1020ISP1101-1</v>
      </c>
      <c r="G2188" s="164" t="str">
        <f ca="1">IFERROR(__xludf.DUMMYFUNCTION("""COMPUTED_VALUE"""),"1S11T5S6200GM041B1G")</f>
        <v>1S11T5S6200GM041B1G</v>
      </c>
      <c r="H2188" s="164" t="str">
        <f ca="1">IFERROR(__xludf.DUMMYFUNCTION("""COMPUTED_VALUE"""),"EBUENGA, ANNA MAE A.")</f>
        <v>EBUENGA, ANNA MAE A.</v>
      </c>
      <c r="I2188" s="164"/>
      <c r="J2188" s="164" t="str">
        <f ca="1">IFERROR(__xludf.DUMMYFUNCTION("""COMPUTED_VALUE"""),"2024-039")</f>
        <v>2024-039</v>
      </c>
      <c r="K2188" s="164" t="str">
        <f ca="1">IFERROR(__xludf.DUMMYFUNCTION("""COMPUTED_VALUE"""),"ROLLY HAGUPIT")</f>
        <v>ROLLY HAGUPIT</v>
      </c>
      <c r="L2188" s="164" t="str">
        <f ca="1">IFERROR(__xludf.DUMMYFUNCTION("""COMPUTED_VALUE"""),"LTI DIVISION")</f>
        <v>LTI DIVISION</v>
      </c>
      <c r="M2188" s="164" t="str">
        <f ca="1">IFERROR(__xludf.DUMMYFUNCTION("""COMPUTED_VALUE"""),"SERVICEABLE")</f>
        <v>SERVICEABLE</v>
      </c>
      <c r="N2188" s="164"/>
    </row>
    <row r="2189" spans="1:14" ht="13.2" hidden="1">
      <c r="A2189" s="164" t="str">
        <f ca="1">IFERROR(__xludf.DUMMYFUNCTION("""COMPUTED_VALUE"""),"REGION V")</f>
        <v>REGION V</v>
      </c>
      <c r="B2189" s="164" t="str">
        <f ca="1">IFERROR(__xludf.DUMMYFUNCTION("""COMPUTED_VALUE"""),"SORSOGON")</f>
        <v>SORSOGON</v>
      </c>
      <c r="C2189" s="164" t="str">
        <f ca="1">IFERROR(__xludf.DUMMYFUNCTION("""COMPUTED_VALUE"""),"Desktop Computer – (Lenovo M70T)")</f>
        <v>Desktop Computer – (Lenovo M70T)</v>
      </c>
      <c r="D2189" s="164" t="str">
        <f ca="1">IFERROR(__xludf.DUMMYFUNCTION("""COMPUTED_VALUE"""),"₱ 75,468.00")</f>
        <v>₱ 75,468.00</v>
      </c>
      <c r="E2189" s="164" t="str">
        <f ca="1">IFERROR(__xludf.DUMMYFUNCTION("""COMPUTED_VALUE"""),"₱ -")</f>
        <v>₱ -</v>
      </c>
      <c r="F2189" s="164" t="str">
        <f ca="1">IFERROR(__xludf.DUMMYFUNCTION("""COMPUTED_VALUE"""),"2023-05-03-1020ISP1102-1")</f>
        <v>2023-05-03-1020ISP1102-1</v>
      </c>
      <c r="G2189" s="164" t="str">
        <f ca="1">IFERROR(__xludf.DUMMYFUNCTION("""COMPUTED_VALUE"""),"1S11T5S6200GM041B1H")</f>
        <v>1S11T5S6200GM041B1H</v>
      </c>
      <c r="H2189" s="164" t="str">
        <f ca="1">IFERROR(__xludf.DUMMYFUNCTION("""COMPUTED_VALUE"""),"DOLOIRAS, JO L.")</f>
        <v>DOLOIRAS, JO L.</v>
      </c>
      <c r="I2189" s="164"/>
      <c r="J2189" s="164" t="str">
        <f ca="1">IFERROR(__xludf.DUMMYFUNCTION("""COMPUTED_VALUE"""),"2024-060")</f>
        <v>2024-060</v>
      </c>
      <c r="K2189" s="164" t="str">
        <f ca="1">IFERROR(__xludf.DUMMYFUNCTION("""COMPUTED_VALUE"""),"SAMANTHA JANORAS")</f>
        <v>SAMANTHA JANORAS</v>
      </c>
      <c r="L2189" s="164" t="str">
        <f ca="1">IFERROR(__xludf.DUMMYFUNCTION("""COMPUTED_VALUE"""),"STOD-HRMO UNIT")</f>
        <v>STOD-HRMO UNIT</v>
      </c>
      <c r="M2189" s="164" t="str">
        <f ca="1">IFERROR(__xludf.DUMMYFUNCTION("""COMPUTED_VALUE"""),"SERVICEABLE")</f>
        <v>SERVICEABLE</v>
      </c>
      <c r="N2189" s="164"/>
    </row>
    <row r="2190" spans="1:14" ht="13.2" hidden="1">
      <c r="A2190" s="164" t="str">
        <f ca="1">IFERROR(__xludf.DUMMYFUNCTION("""COMPUTED_VALUE"""),"REGION V")</f>
        <v>REGION V</v>
      </c>
      <c r="B2190" s="164" t="str">
        <f ca="1">IFERROR(__xludf.DUMMYFUNCTION("""COMPUTED_VALUE"""),"SORSOGON")</f>
        <v>SORSOGON</v>
      </c>
      <c r="C2190" s="164" t="str">
        <f ca="1">IFERROR(__xludf.DUMMYFUNCTION("""COMPUTED_VALUE"""),"Desktop Computer – (Lenovo M70T)")</f>
        <v>Desktop Computer – (Lenovo M70T)</v>
      </c>
      <c r="D2190" s="164" t="str">
        <f ca="1">IFERROR(__xludf.DUMMYFUNCTION("""COMPUTED_VALUE"""),"₱ 75,468.00")</f>
        <v>₱ 75,468.00</v>
      </c>
      <c r="E2190" s="164" t="str">
        <f ca="1">IFERROR(__xludf.DUMMYFUNCTION("""COMPUTED_VALUE"""),"₱ -")</f>
        <v>₱ -</v>
      </c>
      <c r="F2190" s="164" t="str">
        <f ca="1">IFERROR(__xludf.DUMMYFUNCTION("""COMPUTED_VALUE"""),"2023-05-03-1020ISP1103-1")</f>
        <v>2023-05-03-1020ISP1103-1</v>
      </c>
      <c r="G2190" s="164" t="str">
        <f ca="1">IFERROR(__xludf.DUMMYFUNCTION("""COMPUTED_VALUE"""),"1S11T5S6200GM041B1J")</f>
        <v>1S11T5S6200GM041B1J</v>
      </c>
      <c r="H2190" s="164" t="str">
        <f ca="1">IFERROR(__xludf.DUMMYFUNCTION("""COMPUTED_VALUE"""),"AGMATA, CHERRY")</f>
        <v>AGMATA, CHERRY</v>
      </c>
      <c r="I2190" s="164"/>
      <c r="J2190" s="164" t="str">
        <f ca="1">IFERROR(__xludf.DUMMYFUNCTION("""COMPUTED_VALUE"""),"2024-020")</f>
        <v>2024-020</v>
      </c>
      <c r="K2190" s="164" t="str">
        <f ca="1">IFERROR(__xludf.DUMMYFUNCTION("""COMPUTED_VALUE"""),"MADELEINE DINO")</f>
        <v>MADELEINE DINO</v>
      </c>
      <c r="L2190" s="164" t="str">
        <f ca="1">IFERROR(__xludf.DUMMYFUNCTION("""COMPUTED_VALUE"""),"LEGAL DIVISION")</f>
        <v>LEGAL DIVISION</v>
      </c>
      <c r="M2190" s="164" t="str">
        <f ca="1">IFERROR(__xludf.DUMMYFUNCTION("""COMPUTED_VALUE"""),"SERVICEABLE")</f>
        <v>SERVICEABLE</v>
      </c>
      <c r="N2190" s="164"/>
    </row>
    <row r="2191" spans="1:14" ht="13.2" hidden="1">
      <c r="A2191" s="164" t="str">
        <f ca="1">IFERROR(__xludf.DUMMYFUNCTION("""COMPUTED_VALUE"""),"REGION V")</f>
        <v>REGION V</v>
      </c>
      <c r="B2191" s="164" t="str">
        <f ca="1">IFERROR(__xludf.DUMMYFUNCTION("""COMPUTED_VALUE"""),"SORSOGON")</f>
        <v>SORSOGON</v>
      </c>
      <c r="C2191" s="164" t="str">
        <f ca="1">IFERROR(__xludf.DUMMYFUNCTION("""COMPUTED_VALUE"""),"Desktop Computer – (Lenovo M70T)")</f>
        <v>Desktop Computer – (Lenovo M70T)</v>
      </c>
      <c r="D2191" s="164" t="str">
        <f ca="1">IFERROR(__xludf.DUMMYFUNCTION("""COMPUTED_VALUE"""),"₱ 75,468.00")</f>
        <v>₱ 75,468.00</v>
      </c>
      <c r="E2191" s="164" t="str">
        <f ca="1">IFERROR(__xludf.DUMMYFUNCTION("""COMPUTED_VALUE"""),"₱ -")</f>
        <v>₱ -</v>
      </c>
      <c r="F2191" s="164" t="str">
        <f ca="1">IFERROR(__xludf.DUMMYFUNCTION("""COMPUTED_VALUE"""),"2023-05-03-1020ISP1104-1")</f>
        <v>2023-05-03-1020ISP1104-1</v>
      </c>
      <c r="G2191" s="164" t="str">
        <f ca="1">IFERROR(__xludf.DUMMYFUNCTION("""COMPUTED_VALUE"""),"1S11T5S6200GM041B1K")</f>
        <v>1S11T5S6200GM041B1K</v>
      </c>
      <c r="H2191" s="164" t="str">
        <f ca="1">IFERROR(__xludf.DUMMYFUNCTION("""COMPUTED_VALUE"""),"KATHLEEN G. BELLO")</f>
        <v>KATHLEEN G. BELLO</v>
      </c>
      <c r="I2191" s="164" t="str">
        <f ca="1">IFERROR(__xludf.DUMMYFUNCTION("""COMPUTED_VALUE"""),"CASHIER II/PROJECT CASHIER")</f>
        <v>CASHIER II/PROJECT CASHIER</v>
      </c>
      <c r="J2191" s="164" t="str">
        <f ca="1">IFERROR(__xludf.DUMMYFUNCTION("""COMPUTED_VALUE"""),"2024-031")</f>
        <v>2024-031</v>
      </c>
      <c r="K2191" s="164" t="str">
        <f ca="1">IFERROR(__xludf.DUMMYFUNCTION("""COMPUTED_VALUE"""),"MELANIE JUAN")</f>
        <v>MELANIE JUAN</v>
      </c>
      <c r="L2191" s="164" t="str">
        <f ca="1">IFERROR(__xludf.DUMMYFUNCTION("""COMPUTED_VALUE"""),"STOD-CASH")</f>
        <v>STOD-CASH</v>
      </c>
      <c r="M2191" s="164" t="str">
        <f ca="1">IFERROR(__xludf.DUMMYFUNCTION("""COMPUTED_VALUE"""),"SERVICEABLE")</f>
        <v>SERVICEABLE</v>
      </c>
      <c r="N2191" s="164"/>
    </row>
    <row r="2192" spans="1:14" ht="13.2" hidden="1">
      <c r="A2192" s="164" t="str">
        <f ca="1">IFERROR(__xludf.DUMMYFUNCTION("""COMPUTED_VALUE"""),"REGION V")</f>
        <v>REGION V</v>
      </c>
      <c r="B2192" s="164" t="str">
        <f ca="1">IFERROR(__xludf.DUMMYFUNCTION("""COMPUTED_VALUE"""),"SORSOGON")</f>
        <v>SORSOGON</v>
      </c>
      <c r="C2192" s="164" t="str">
        <f ca="1">IFERROR(__xludf.DUMMYFUNCTION("""COMPUTED_VALUE"""),"Desktop Computer – (Lenovo M70T)")</f>
        <v>Desktop Computer – (Lenovo M70T)</v>
      </c>
      <c r="D2192" s="164" t="str">
        <f ca="1">IFERROR(__xludf.DUMMYFUNCTION("""COMPUTED_VALUE"""),"₱ 75,468.00")</f>
        <v>₱ 75,468.00</v>
      </c>
      <c r="E2192" s="164" t="str">
        <f ca="1">IFERROR(__xludf.DUMMYFUNCTION("""COMPUTED_VALUE"""),"₱ -")</f>
        <v>₱ -</v>
      </c>
      <c r="F2192" s="164" t="str">
        <f ca="1">IFERROR(__xludf.DUMMYFUNCTION("""COMPUTED_VALUE"""),"2023-05-03-1020ISP1105-1")</f>
        <v>2023-05-03-1020ISP1105-1</v>
      </c>
      <c r="G2192" s="164" t="str">
        <f ca="1">IFERROR(__xludf.DUMMYFUNCTION("""COMPUTED_VALUE"""),"1S11T5S6200GM041B1L")</f>
        <v>1S11T5S6200GM041B1L</v>
      </c>
      <c r="H2192" s="164" t="str">
        <f ca="1">IFERROR(__xludf.DUMMYFUNCTION("""COMPUTED_VALUE"""),"BRENDA M. BARAQUEL")</f>
        <v>BRENDA M. BARAQUEL</v>
      </c>
      <c r="I2192" s="164" t="str">
        <f ca="1">IFERROR(__xludf.DUMMYFUNCTION("""COMPUTED_VALUE"""),"BUDGET OFFICER II/ PROJECT BUDGET OFFICER")</f>
        <v>BUDGET OFFICER II/ PROJECT BUDGET OFFICER</v>
      </c>
      <c r="J2192" s="164" t="str">
        <f ca="1">IFERROR(__xludf.DUMMYFUNCTION("""COMPUTED_VALUE"""),"2024-024")</f>
        <v>2024-024</v>
      </c>
      <c r="K2192" s="164" t="str">
        <f ca="1">IFERROR(__xludf.DUMMYFUNCTION("""COMPUTED_VALUE"""),"ROSE ANNE PERALTA")</f>
        <v>ROSE ANNE PERALTA</v>
      </c>
      <c r="L2192" s="164" t="str">
        <f ca="1">IFERROR(__xludf.DUMMYFUNCTION("""COMPUTED_VALUE"""),"STOD-BUDGET")</f>
        <v>STOD-BUDGET</v>
      </c>
      <c r="M2192" s="164" t="str">
        <f ca="1">IFERROR(__xludf.DUMMYFUNCTION("""COMPUTED_VALUE"""),"SERVICEABLE")</f>
        <v>SERVICEABLE</v>
      </c>
      <c r="N2192" s="164"/>
    </row>
    <row r="2193" spans="1:14" ht="13.2" hidden="1">
      <c r="A2193" s="164" t="str">
        <f ca="1">IFERROR(__xludf.DUMMYFUNCTION("""COMPUTED_VALUE"""),"REGION V")</f>
        <v>REGION V</v>
      </c>
      <c r="B2193" s="164" t="str">
        <f ca="1">IFERROR(__xludf.DUMMYFUNCTION("""COMPUTED_VALUE"""),"SORSOGON")</f>
        <v>SORSOGON</v>
      </c>
      <c r="C2193" s="164" t="str">
        <f ca="1">IFERROR(__xludf.DUMMYFUNCTION("""COMPUTED_VALUE"""),"Desktop Computer – (Lenovo M70T)")</f>
        <v>Desktop Computer – (Lenovo M70T)</v>
      </c>
      <c r="D2193" s="164" t="str">
        <f ca="1">IFERROR(__xludf.DUMMYFUNCTION("""COMPUTED_VALUE"""),"₱ 75,468.00")</f>
        <v>₱ 75,468.00</v>
      </c>
      <c r="E2193" s="164" t="str">
        <f ca="1">IFERROR(__xludf.DUMMYFUNCTION("""COMPUTED_VALUE"""),"₱ -")</f>
        <v>₱ -</v>
      </c>
      <c r="F2193" s="164" t="str">
        <f ca="1">IFERROR(__xludf.DUMMYFUNCTION("""COMPUTED_VALUE"""),"2023-05-03-1020ISP1106-1")</f>
        <v>2023-05-03-1020ISP1106-1</v>
      </c>
      <c r="G2193" s="164" t="str">
        <f ca="1">IFERROR(__xludf.DUMMYFUNCTION("""COMPUTED_VALUE"""),"1S11T5S6200GM041B1P")</f>
        <v>1S11T5S6200GM041B1P</v>
      </c>
      <c r="H2193" s="164" t="str">
        <f ca="1">IFERROR(__xludf.DUMMYFUNCTION("""COMPUTED_VALUE"""),"EBUENGA, ANNA MAE A.")</f>
        <v>EBUENGA, ANNA MAE A.</v>
      </c>
      <c r="I2193" s="164"/>
      <c r="J2193" s="164" t="str">
        <f ca="1">IFERROR(__xludf.DUMMYFUNCTION("""COMPUTED_VALUE"""),"2024-012")</f>
        <v>2024-012</v>
      </c>
      <c r="K2193" s="164" t="str">
        <f ca="1">IFERROR(__xludf.DUMMYFUNCTION("""COMPUTED_VALUE"""),"ROMEL ATRACTIVO")</f>
        <v>ROMEL ATRACTIVO</v>
      </c>
      <c r="L2193" s="164" t="str">
        <f ca="1">IFERROR(__xludf.DUMMYFUNCTION("""COMPUTED_VALUE"""),"LTI DIVISION")</f>
        <v>LTI DIVISION</v>
      </c>
      <c r="M2193" s="164" t="str">
        <f ca="1">IFERROR(__xludf.DUMMYFUNCTION("""COMPUTED_VALUE"""),"SERVICEABLE")</f>
        <v>SERVICEABLE</v>
      </c>
      <c r="N2193" s="164"/>
    </row>
    <row r="2194" spans="1:14" ht="13.2" hidden="1">
      <c r="A2194" s="164" t="str">
        <f ca="1">IFERROR(__xludf.DUMMYFUNCTION("""COMPUTED_VALUE"""),"REGION V")</f>
        <v>REGION V</v>
      </c>
      <c r="B2194" s="164" t="str">
        <f ca="1">IFERROR(__xludf.DUMMYFUNCTION("""COMPUTED_VALUE"""),"SORSOGON")</f>
        <v>SORSOGON</v>
      </c>
      <c r="C2194" s="164" t="str">
        <f ca="1">IFERROR(__xludf.DUMMYFUNCTION("""COMPUTED_VALUE"""),"Desktop Computer – (Lenovo M70T)")</f>
        <v>Desktop Computer – (Lenovo M70T)</v>
      </c>
      <c r="D2194" s="164" t="str">
        <f ca="1">IFERROR(__xludf.DUMMYFUNCTION("""COMPUTED_VALUE"""),"₱ 75,468.00")</f>
        <v>₱ 75,468.00</v>
      </c>
      <c r="E2194" s="164" t="str">
        <f ca="1">IFERROR(__xludf.DUMMYFUNCTION("""COMPUTED_VALUE"""),"₱ -")</f>
        <v>₱ -</v>
      </c>
      <c r="F2194" s="164" t="str">
        <f ca="1">IFERROR(__xludf.DUMMYFUNCTION("""COMPUTED_VALUE"""),"2023-05-03-1020ISP1107-1")</f>
        <v>2023-05-03-1020ISP1107-1</v>
      </c>
      <c r="G2194" s="164" t="str">
        <f ca="1">IFERROR(__xludf.DUMMYFUNCTION("""COMPUTED_VALUE"""),"1S11T5S6200GM041B1Q")</f>
        <v>1S11T5S6200GM041B1Q</v>
      </c>
      <c r="H2194" s="164" t="str">
        <f ca="1">IFERROR(__xludf.DUMMYFUNCTION("""COMPUTED_VALUE"""),"ELANIE A. FLORES")</f>
        <v>ELANIE A. FLORES</v>
      </c>
      <c r="I2194" s="164" t="str">
        <f ca="1">IFERROR(__xludf.DUMMYFUNCTION("""COMPUTED_VALUE"""),"PLANNING OFFICER II/M&amp;E COORDINATOR")</f>
        <v>PLANNING OFFICER II/M&amp;E COORDINATOR</v>
      </c>
      <c r="J2194" s="164" t="str">
        <f ca="1">IFERROR(__xludf.DUMMYFUNCTION("""COMPUTED_VALUE"""),"2024-030")</f>
        <v>2024-030</v>
      </c>
      <c r="K2194" s="164" t="str">
        <f ca="1">IFERROR(__xludf.DUMMYFUNCTION("""COMPUTED_VALUE"""),"ELANIE A. FLORES")</f>
        <v>ELANIE A. FLORES</v>
      </c>
      <c r="L2194" s="164" t="str">
        <f ca="1">IFERROR(__xludf.DUMMYFUNCTION("""COMPUTED_VALUE"""),"LTID")</f>
        <v>LTID</v>
      </c>
      <c r="M2194" s="164" t="str">
        <f ca="1">IFERROR(__xludf.DUMMYFUNCTION("""COMPUTED_VALUE"""),"SERVICEABLE")</f>
        <v>SERVICEABLE</v>
      </c>
      <c r="N2194" s="164"/>
    </row>
    <row r="2195" spans="1:14" ht="13.2" hidden="1">
      <c r="A2195" s="164" t="str">
        <f ca="1">IFERROR(__xludf.DUMMYFUNCTION("""COMPUTED_VALUE"""),"REGION V")</f>
        <v>REGION V</v>
      </c>
      <c r="B2195" s="164" t="str">
        <f ca="1">IFERROR(__xludf.DUMMYFUNCTION("""COMPUTED_VALUE"""),"SORSOGON")</f>
        <v>SORSOGON</v>
      </c>
      <c r="C2195" s="164" t="str">
        <f ca="1">IFERROR(__xludf.DUMMYFUNCTION("""COMPUTED_VALUE"""),"Desktop Computer – (Lenovo M70T)")</f>
        <v>Desktop Computer – (Lenovo M70T)</v>
      </c>
      <c r="D2195" s="164" t="str">
        <f ca="1">IFERROR(__xludf.DUMMYFUNCTION("""COMPUTED_VALUE"""),"₱ 75,468.00")</f>
        <v>₱ 75,468.00</v>
      </c>
      <c r="E2195" s="164" t="str">
        <f ca="1">IFERROR(__xludf.DUMMYFUNCTION("""COMPUTED_VALUE"""),"₱ -")</f>
        <v>₱ -</v>
      </c>
      <c r="F2195" s="164" t="str">
        <f ca="1">IFERROR(__xludf.DUMMYFUNCTION("""COMPUTED_VALUE"""),"2023-05-03-1020ISP1108-1")</f>
        <v>2023-05-03-1020ISP1108-1</v>
      </c>
      <c r="G2195" s="164" t="str">
        <f ca="1">IFERROR(__xludf.DUMMYFUNCTION("""COMPUTED_VALUE"""),"1S11T5S6200GM041B4R")</f>
        <v>1S11T5S6200GM041B4R</v>
      </c>
      <c r="H2195" s="164" t="str">
        <f ca="1">IFERROR(__xludf.DUMMYFUNCTION("""COMPUTED_VALUE"""),"ENESIO, JEFERSON")</f>
        <v>ENESIO, JEFERSON</v>
      </c>
      <c r="I2195" s="164"/>
      <c r="J2195" s="164" t="str">
        <f ca="1">IFERROR(__xludf.DUMMYFUNCTION("""COMPUTED_VALUE"""),"2024-016")</f>
        <v>2024-016</v>
      </c>
      <c r="K2195" s="164" t="str">
        <f ca="1">IFERROR(__xludf.DUMMYFUNCTION("""COMPUTED_VALUE"""),"JEFFERSON G. ENESIO")</f>
        <v>JEFFERSON G. ENESIO</v>
      </c>
      <c r="L2195" s="164" t="str">
        <f ca="1">IFERROR(__xludf.DUMMYFUNCTION("""COMPUTED_VALUE"""),"LTI DIVISION")</f>
        <v>LTI DIVISION</v>
      </c>
      <c r="M2195" s="164" t="str">
        <f ca="1">IFERROR(__xludf.DUMMYFUNCTION("""COMPUTED_VALUE"""),"SERVICEABLE")</f>
        <v>SERVICEABLE</v>
      </c>
      <c r="N2195" s="164"/>
    </row>
    <row r="2196" spans="1:14" ht="13.2" hidden="1">
      <c r="A2196" s="164" t="str">
        <f ca="1">IFERROR(__xludf.DUMMYFUNCTION("""COMPUTED_VALUE"""),"REGION V")</f>
        <v>REGION V</v>
      </c>
      <c r="B2196" s="164" t="str">
        <f ca="1">IFERROR(__xludf.DUMMYFUNCTION("""COMPUTED_VALUE"""),"SORSOGON")</f>
        <v>SORSOGON</v>
      </c>
      <c r="C2196" s="164" t="str">
        <f ca="1">IFERROR(__xludf.DUMMYFUNCTION("""COMPUTED_VALUE"""),"Desktop Computer – (Lenovo M70T)")</f>
        <v>Desktop Computer – (Lenovo M70T)</v>
      </c>
      <c r="D2196" s="164" t="str">
        <f ca="1">IFERROR(__xludf.DUMMYFUNCTION("""COMPUTED_VALUE"""),"₱ 75,468.00")</f>
        <v>₱ 75,468.00</v>
      </c>
      <c r="E2196" s="164" t="str">
        <f ca="1">IFERROR(__xludf.DUMMYFUNCTION("""COMPUTED_VALUE"""),"₱ -")</f>
        <v>₱ -</v>
      </c>
      <c r="F2196" s="164" t="str">
        <f ca="1">IFERROR(__xludf.DUMMYFUNCTION("""COMPUTED_VALUE"""),"2023-05-03-1020ISP1109-1")</f>
        <v>2023-05-03-1020ISP1109-1</v>
      </c>
      <c r="G2196" s="164" t="str">
        <f ca="1">IFERROR(__xludf.DUMMYFUNCTION("""COMPUTED_VALUE"""),"1S11T5S6200GM041B50")</f>
        <v>1S11T5S6200GM041B50</v>
      </c>
      <c r="H2196" s="164" t="str">
        <f ca="1">IFERROR(__xludf.DUMMYFUNCTION("""COMPUTED_VALUE"""),"TORRES, ELENEOR F.")</f>
        <v>TORRES, ELENEOR F.</v>
      </c>
      <c r="I2196" s="164"/>
      <c r="J2196" s="164" t="str">
        <f ca="1">IFERROR(__xludf.DUMMYFUNCTION("""COMPUTED_VALUE"""),"2024-008")</f>
        <v>2024-008</v>
      </c>
      <c r="K2196" s="164" t="str">
        <f ca="1">IFERROR(__xludf.DUMMYFUNCTION("""COMPUTED_VALUE"""),"GLADY'S DIONGLAY")</f>
        <v>GLADY'S DIONGLAY</v>
      </c>
      <c r="L2196" s="164" t="str">
        <f ca="1">IFERROR(__xludf.DUMMYFUNCTION("""COMPUTED_VALUE"""),"PARPO II")</f>
        <v>PARPO II</v>
      </c>
      <c r="M2196" s="164" t="str">
        <f ca="1">IFERROR(__xludf.DUMMYFUNCTION("""COMPUTED_VALUE"""),"SERVICEABLE")</f>
        <v>SERVICEABLE</v>
      </c>
      <c r="N2196" s="164"/>
    </row>
    <row r="2197" spans="1:14" ht="13.2" hidden="1">
      <c r="A2197" s="164" t="str">
        <f ca="1">IFERROR(__xludf.DUMMYFUNCTION("""COMPUTED_VALUE"""),"REGION V")</f>
        <v>REGION V</v>
      </c>
      <c r="B2197" s="164" t="str">
        <f ca="1">IFERROR(__xludf.DUMMYFUNCTION("""COMPUTED_VALUE"""),"SORSOGON")</f>
        <v>SORSOGON</v>
      </c>
      <c r="C2197" s="164" t="str">
        <f ca="1">IFERROR(__xludf.DUMMYFUNCTION("""COMPUTED_VALUE"""),"Desktop Computer – (Lenovo M70T)")</f>
        <v>Desktop Computer – (Lenovo M70T)</v>
      </c>
      <c r="D2197" s="164" t="str">
        <f ca="1">IFERROR(__xludf.DUMMYFUNCTION("""COMPUTED_VALUE"""),"₱ 75,468.00")</f>
        <v>₱ 75,468.00</v>
      </c>
      <c r="E2197" s="164" t="str">
        <f ca="1">IFERROR(__xludf.DUMMYFUNCTION("""COMPUTED_VALUE"""),"₱ -")</f>
        <v>₱ -</v>
      </c>
      <c r="F2197" s="164" t="str">
        <f ca="1">IFERROR(__xludf.DUMMYFUNCTION("""COMPUTED_VALUE"""),"2023-05-03-1020ISP1110-1")</f>
        <v>2023-05-03-1020ISP1110-1</v>
      </c>
      <c r="G2197" s="164" t="str">
        <f ca="1">IFERROR(__xludf.DUMMYFUNCTION("""COMPUTED_VALUE"""),"1S11T5S6200GM041B52")</f>
        <v>1S11T5S6200GM041B52</v>
      </c>
      <c r="H2197" s="164" t="str">
        <f ca="1">IFERROR(__xludf.DUMMYFUNCTION("""COMPUTED_VALUE"""),"LEAL, CRISANTA CAMILLE J.")</f>
        <v>LEAL, CRISANTA CAMILLE J.</v>
      </c>
      <c r="I2197" s="164"/>
      <c r="J2197" s="164" t="str">
        <f ca="1">IFERROR(__xludf.DUMMYFUNCTION("""COMPUTED_VALUE"""),"2024-032")</f>
        <v>2024-032</v>
      </c>
      <c r="K2197" s="164" t="str">
        <f ca="1">IFERROR(__xludf.DUMMYFUNCTION("""COMPUTED_VALUE"""),"REGINE MORALEDA")</f>
        <v>REGINE MORALEDA</v>
      </c>
      <c r="L2197" s="164" t="str">
        <f ca="1">IFERROR(__xludf.DUMMYFUNCTION("""COMPUTED_VALUE"""),"STOD-BAC")</f>
        <v>STOD-BAC</v>
      </c>
      <c r="M2197" s="164" t="str">
        <f ca="1">IFERROR(__xludf.DUMMYFUNCTION("""COMPUTED_VALUE"""),"SERVICEABLE")</f>
        <v>SERVICEABLE</v>
      </c>
      <c r="N2197" s="164"/>
    </row>
    <row r="2198" spans="1:14" ht="13.2" hidden="1">
      <c r="A2198" s="164" t="str">
        <f ca="1">IFERROR(__xludf.DUMMYFUNCTION("""COMPUTED_VALUE"""),"REGION V")</f>
        <v>REGION V</v>
      </c>
      <c r="B2198" s="164" t="str">
        <f ca="1">IFERROR(__xludf.DUMMYFUNCTION("""COMPUTED_VALUE"""),"SORSOGON")</f>
        <v>SORSOGON</v>
      </c>
      <c r="C2198" s="164" t="str">
        <f ca="1">IFERROR(__xludf.DUMMYFUNCTION("""COMPUTED_VALUE"""),"Desktop Computer – (Lenovo M70T)")</f>
        <v>Desktop Computer – (Lenovo M70T)</v>
      </c>
      <c r="D2198" s="164" t="str">
        <f ca="1">IFERROR(__xludf.DUMMYFUNCTION("""COMPUTED_VALUE"""),"₱ 75,468.00")</f>
        <v>₱ 75,468.00</v>
      </c>
      <c r="E2198" s="164" t="str">
        <f ca="1">IFERROR(__xludf.DUMMYFUNCTION("""COMPUTED_VALUE"""),"₱ -")</f>
        <v>₱ -</v>
      </c>
      <c r="F2198" s="164" t="str">
        <f ca="1">IFERROR(__xludf.DUMMYFUNCTION("""COMPUTED_VALUE"""),"2023-05-03-1020ISP1111-1")</f>
        <v>2023-05-03-1020ISP1111-1</v>
      </c>
      <c r="G2198" s="164" t="str">
        <f ca="1">IFERROR(__xludf.DUMMYFUNCTION("""COMPUTED_VALUE"""),"1S11T5S6200GM041B53")</f>
        <v>1S11T5S6200GM041B53</v>
      </c>
      <c r="H2198" s="164" t="str">
        <f ca="1">IFERROR(__xludf.DUMMYFUNCTION("""COMPUTED_VALUE"""),"EREBETE, LYNN I.")</f>
        <v>EREBETE, LYNN I.</v>
      </c>
      <c r="I2198" s="164"/>
      <c r="J2198" s="164" t="str">
        <f ca="1">IFERROR(__xludf.DUMMYFUNCTION("""COMPUTED_VALUE"""),"2024-038")</f>
        <v>2024-038</v>
      </c>
      <c r="K2198" s="164" t="str">
        <f ca="1">IFERROR(__xludf.DUMMYFUNCTION("""COMPUTED_VALUE"""),"MARIA EREBETE")</f>
        <v>MARIA EREBETE</v>
      </c>
      <c r="L2198" s="164" t="str">
        <f ca="1">IFERROR(__xludf.DUMMYFUNCTION("""COMPUTED_VALUE"""),"PARCOM")</f>
        <v>PARCOM</v>
      </c>
      <c r="M2198" s="164" t="str">
        <f ca="1">IFERROR(__xludf.DUMMYFUNCTION("""COMPUTED_VALUE"""),"SERVICEABLE")</f>
        <v>SERVICEABLE</v>
      </c>
      <c r="N2198" s="164"/>
    </row>
    <row r="2199" spans="1:14" ht="13.2" hidden="1">
      <c r="A2199" s="164" t="str">
        <f ca="1">IFERROR(__xludf.DUMMYFUNCTION("""COMPUTED_VALUE"""),"REGION V")</f>
        <v>REGION V</v>
      </c>
      <c r="B2199" s="164" t="str">
        <f ca="1">IFERROR(__xludf.DUMMYFUNCTION("""COMPUTED_VALUE"""),"SORSOGON")</f>
        <v>SORSOGON</v>
      </c>
      <c r="C2199" s="164" t="str">
        <f ca="1">IFERROR(__xludf.DUMMYFUNCTION("""COMPUTED_VALUE"""),"Desktop Computer – (HP Pro SFF 280G9)")</f>
        <v>Desktop Computer – (HP Pro SFF 280G9)</v>
      </c>
      <c r="D2199" s="164" t="str">
        <f ca="1">IFERROR(__xludf.DUMMYFUNCTION("""COMPUTED_VALUE"""),"₱ 78,898.00")</f>
        <v>₱ 78,898.00</v>
      </c>
      <c r="E2199" s="164" t="str">
        <f ca="1">IFERROR(__xludf.DUMMYFUNCTION("""COMPUTED_VALUE"""),"₱ -")</f>
        <v>₱ -</v>
      </c>
      <c r="F2199" s="164" t="str">
        <f ca="1">IFERROR(__xludf.DUMMYFUNCTION("""COMPUTED_VALUE"""),"2023-05-03-10202SP130-01")</f>
        <v>2023-05-03-10202SP130-01</v>
      </c>
      <c r="G2199" s="164" t="str">
        <f ca="1">IFERROR(__xludf.DUMMYFUNCTION("""COMPUTED_VALUE"""),"4CE301DSQF")</f>
        <v>4CE301DSQF</v>
      </c>
      <c r="H2199" s="164" t="str">
        <f ca="1">IFERROR(__xludf.DUMMYFUNCTION("""COMPUTED_VALUE"""),"EBUENGA, ANNA MAE A.")</f>
        <v>EBUENGA, ANNA MAE A.</v>
      </c>
      <c r="I2199" s="164"/>
      <c r="J2199" s="164" t="str">
        <f ca="1">IFERROR(__xludf.DUMMYFUNCTION("""COMPUTED_VALUE"""),"2024-039")</f>
        <v>2024-039</v>
      </c>
      <c r="K2199" s="164" t="str">
        <f ca="1">IFERROR(__xludf.DUMMYFUNCTION("""COMPUTED_VALUE"""),"RONEL DEALCA")</f>
        <v>RONEL DEALCA</v>
      </c>
      <c r="L2199" s="164" t="str">
        <f ca="1">IFERROR(__xludf.DUMMYFUNCTION("""COMPUTED_VALUE"""),"LTI DIVISION")</f>
        <v>LTI DIVISION</v>
      </c>
      <c r="M2199" s="164" t="str">
        <f ca="1">IFERROR(__xludf.DUMMYFUNCTION("""COMPUTED_VALUE"""),"SERVICEABLE")</f>
        <v>SERVICEABLE</v>
      </c>
      <c r="N2199" s="164"/>
    </row>
    <row r="2200" spans="1:14" ht="13.2" hidden="1">
      <c r="A2200" s="164" t="str">
        <f ca="1">IFERROR(__xludf.DUMMYFUNCTION("""COMPUTED_VALUE"""),"REGION V")</f>
        <v>REGION V</v>
      </c>
      <c r="B2200" s="164" t="str">
        <f ca="1">IFERROR(__xludf.DUMMYFUNCTION("""COMPUTED_VALUE"""),"SORSOGON")</f>
        <v>SORSOGON</v>
      </c>
      <c r="C2200" s="164" t="str">
        <f ca="1">IFERROR(__xludf.DUMMYFUNCTION("""COMPUTED_VALUE"""),"Desktop Computer – (HP Pro SFF 280G9)")</f>
        <v>Desktop Computer – (HP Pro SFF 280G9)</v>
      </c>
      <c r="D2200" s="164" t="str">
        <f ca="1">IFERROR(__xludf.DUMMYFUNCTION("""COMPUTED_VALUE"""),"₱ 78,898.00")</f>
        <v>₱ 78,898.00</v>
      </c>
      <c r="E2200" s="164" t="str">
        <f ca="1">IFERROR(__xludf.DUMMYFUNCTION("""COMPUTED_VALUE"""),"₱ -")</f>
        <v>₱ -</v>
      </c>
      <c r="F2200" s="164" t="str">
        <f ca="1">IFERROR(__xludf.DUMMYFUNCTION("""COMPUTED_VALUE"""),"2023-05-03-10202SP131-01")</f>
        <v>2023-05-03-10202SP131-01</v>
      </c>
      <c r="G2200" s="164" t="str">
        <f ca="1">IFERROR(__xludf.DUMMYFUNCTION("""COMPUTED_VALUE"""),"4CE301DSQ3")</f>
        <v>4CE301DSQ3</v>
      </c>
      <c r="H2200" s="164" t="str">
        <f ca="1">IFERROR(__xludf.DUMMYFUNCTION("""COMPUTED_VALUE"""),"AGMATA, CHERRY")</f>
        <v>AGMATA, CHERRY</v>
      </c>
      <c r="I2200" s="164"/>
      <c r="J2200" s="164" t="str">
        <f ca="1">IFERROR(__xludf.DUMMYFUNCTION("""COMPUTED_VALUE"""),"2024.039")</f>
        <v>2024.039</v>
      </c>
      <c r="K2200" s="164" t="str">
        <f ca="1">IFERROR(__xludf.DUMMYFUNCTION("""COMPUTED_VALUE"""),"SIMEONA HIBO")</f>
        <v>SIMEONA HIBO</v>
      </c>
      <c r="L2200" s="164" t="str">
        <f ca="1">IFERROR(__xludf.DUMMYFUNCTION("""COMPUTED_VALUE"""),"LEGAL DIVISION")</f>
        <v>LEGAL DIVISION</v>
      </c>
      <c r="M2200" s="164" t="str">
        <f ca="1">IFERROR(__xludf.DUMMYFUNCTION("""COMPUTED_VALUE"""),"SERVICEABLE")</f>
        <v>SERVICEABLE</v>
      </c>
      <c r="N2200" s="164"/>
    </row>
    <row r="2201" spans="1:14" ht="13.2" hidden="1">
      <c r="A2201" s="164" t="str">
        <f ca="1">IFERROR(__xludf.DUMMYFUNCTION("""COMPUTED_VALUE"""),"REGION V")</f>
        <v>REGION V</v>
      </c>
      <c r="B2201" s="164" t="str">
        <f ca="1">IFERROR(__xludf.DUMMYFUNCTION("""COMPUTED_VALUE"""),"SORSOGON")</f>
        <v>SORSOGON</v>
      </c>
      <c r="C2201" s="164" t="str">
        <f ca="1">IFERROR(__xludf.DUMMYFUNCTION("""COMPUTED_VALUE"""),"Desktop Computer – (HP Pro SFF 280G9)")</f>
        <v>Desktop Computer – (HP Pro SFF 280G9)</v>
      </c>
      <c r="D2201" s="164" t="str">
        <f ca="1">IFERROR(__xludf.DUMMYFUNCTION("""COMPUTED_VALUE"""),"₱ 78,898.00")</f>
        <v>₱ 78,898.00</v>
      </c>
      <c r="E2201" s="164" t="str">
        <f ca="1">IFERROR(__xludf.DUMMYFUNCTION("""COMPUTED_VALUE"""),"₱ -")</f>
        <v>₱ -</v>
      </c>
      <c r="F2201" s="164" t="str">
        <f ca="1">IFERROR(__xludf.DUMMYFUNCTION("""COMPUTED_VALUE"""),"2023-05-03-10202SP132-01")</f>
        <v>2023-05-03-10202SP132-01</v>
      </c>
      <c r="G2201" s="164" t="str">
        <f ca="1">IFERROR(__xludf.DUMMYFUNCTION("""COMPUTED_VALUE"""),"4CE301DSJN")</f>
        <v>4CE301DSJN</v>
      </c>
      <c r="H2201" s="164" t="str">
        <f ca="1">IFERROR(__xludf.DUMMYFUNCTION("""COMPUTED_VALUE"""),"EBUENGA, ANNA MAE A.")</f>
        <v>EBUENGA, ANNA MAE A.</v>
      </c>
      <c r="I2201" s="164"/>
      <c r="J2201" s="164" t="str">
        <f ca="1">IFERROR(__xludf.DUMMYFUNCTION("""COMPUTED_VALUE"""),"2024-020")</f>
        <v>2024-020</v>
      </c>
      <c r="K2201" s="164" t="str">
        <f ca="1">IFERROR(__xludf.DUMMYFUNCTION("""COMPUTED_VALUE"""),"ANGELICA EVE PARDINAS")</f>
        <v>ANGELICA EVE PARDINAS</v>
      </c>
      <c r="L2201" s="164" t="str">
        <f ca="1">IFERROR(__xludf.DUMMYFUNCTION("""COMPUTED_VALUE"""),"LTI DIVISION")</f>
        <v>LTI DIVISION</v>
      </c>
      <c r="M2201" s="164" t="str">
        <f ca="1">IFERROR(__xludf.DUMMYFUNCTION("""COMPUTED_VALUE"""),"SERVICEABLE")</f>
        <v>SERVICEABLE</v>
      </c>
      <c r="N2201" s="164"/>
    </row>
    <row r="2202" spans="1:14" ht="13.2" hidden="1">
      <c r="A2202" s="164" t="str">
        <f ca="1">IFERROR(__xludf.DUMMYFUNCTION("""COMPUTED_VALUE"""),"REGION V")</f>
        <v>REGION V</v>
      </c>
      <c r="B2202" s="164" t="str">
        <f ca="1">IFERROR(__xludf.DUMMYFUNCTION("""COMPUTED_VALUE"""),"SORSOGON")</f>
        <v>SORSOGON</v>
      </c>
      <c r="C2202" s="164" t="str">
        <f ca="1">IFERROR(__xludf.DUMMYFUNCTION("""COMPUTED_VALUE"""),"Desktop Computer – (HP Pro SFF 280G9)")</f>
        <v>Desktop Computer – (HP Pro SFF 280G9)</v>
      </c>
      <c r="D2202" s="164" t="str">
        <f ca="1">IFERROR(__xludf.DUMMYFUNCTION("""COMPUTED_VALUE"""),"₱ 78,898.00")</f>
        <v>₱ 78,898.00</v>
      </c>
      <c r="E2202" s="164" t="str">
        <f ca="1">IFERROR(__xludf.DUMMYFUNCTION("""COMPUTED_VALUE"""),"₱ -")</f>
        <v>₱ -</v>
      </c>
      <c r="F2202" s="164" t="str">
        <f ca="1">IFERROR(__xludf.DUMMYFUNCTION("""COMPUTED_VALUE"""),"2023-05-03-10202SP133-01")</f>
        <v>2023-05-03-10202SP133-01</v>
      </c>
      <c r="G2202" s="164" t="str">
        <f ca="1">IFERROR(__xludf.DUMMYFUNCTION("""COMPUTED_VALUE"""),"4CE301DSQY")</f>
        <v>4CE301DSQY</v>
      </c>
      <c r="H2202" s="164" t="str">
        <f ca="1">IFERROR(__xludf.DUMMYFUNCTION("""COMPUTED_VALUE"""),"EBUENGA, ANNA MAE A.")</f>
        <v>EBUENGA, ANNA MAE A.</v>
      </c>
      <c r="I2202" s="164"/>
      <c r="J2202" s="164" t="str">
        <f ca="1">IFERROR(__xludf.DUMMYFUNCTION("""COMPUTED_VALUE"""),"2024-020")</f>
        <v>2024-020</v>
      </c>
      <c r="K2202" s="164" t="str">
        <f ca="1">IFERROR(__xludf.DUMMYFUNCTION("""COMPUTED_VALUE"""),"AMELUISA HALCON")</f>
        <v>AMELUISA HALCON</v>
      </c>
      <c r="L2202" s="164" t="str">
        <f ca="1">IFERROR(__xludf.DUMMYFUNCTION("""COMPUTED_VALUE"""),"LTI DIVISION")</f>
        <v>LTI DIVISION</v>
      </c>
      <c r="M2202" s="164" t="str">
        <f ca="1">IFERROR(__xludf.DUMMYFUNCTION("""COMPUTED_VALUE"""),"SERVICEABLE")</f>
        <v>SERVICEABLE</v>
      </c>
      <c r="N2202" s="164"/>
    </row>
    <row r="2203" spans="1:14" ht="13.2" hidden="1">
      <c r="A2203" s="164" t="str">
        <f ca="1">IFERROR(__xludf.DUMMYFUNCTION("""COMPUTED_VALUE"""),"REGION V")</f>
        <v>REGION V</v>
      </c>
      <c r="B2203" s="164" t="str">
        <f ca="1">IFERROR(__xludf.DUMMYFUNCTION("""COMPUTED_VALUE"""),"SORSOGON")</f>
        <v>SORSOGON</v>
      </c>
      <c r="C2203" s="164" t="str">
        <f ca="1">IFERROR(__xludf.DUMMYFUNCTION("""COMPUTED_VALUE"""),"Laptop – (ACER EXTENSA EX215-55G i7)")</f>
        <v>Laptop – (ACER EXTENSA EX215-55G i7)</v>
      </c>
      <c r="D2203" s="164" t="str">
        <f ca="1">IFERROR(__xludf.DUMMYFUNCTION("""COMPUTED_VALUE"""),"₱ 59,500.00")</f>
        <v>₱ 59,500.00</v>
      </c>
      <c r="E2203" s="164" t="str">
        <f ca="1">IFERROR(__xludf.DUMMYFUNCTION("""COMPUTED_VALUE"""),"₱ -")</f>
        <v>₱ -</v>
      </c>
      <c r="F2203" s="164" t="str">
        <f ca="1">IFERROR(__xludf.DUMMYFUNCTION("""COMPUTED_VALUE"""),"2023-05-03-10202SP241-01")</f>
        <v>2023-05-03-10202SP241-01</v>
      </c>
      <c r="G2203" s="164" t="str">
        <f ca="1">IFERROR(__xludf.DUMMYFUNCTION("""COMPUTED_VALUE"""),"NXEGZSP00330801ED43400")</f>
        <v>NXEGZSP00330801ED43400</v>
      </c>
      <c r="H2203" s="164" t="str">
        <f ca="1">IFERROR(__xludf.DUMMYFUNCTION("""COMPUTED_VALUE"""),"EREBETE, LYNN I.")</f>
        <v>EREBETE, LYNN I.</v>
      </c>
      <c r="I2203" s="164"/>
      <c r="J2203" s="164" t="str">
        <f ca="1">IFERROR(__xludf.DUMMYFUNCTION("""COMPUTED_VALUE"""),"2024-038")</f>
        <v>2024-038</v>
      </c>
      <c r="K2203" s="164" t="str">
        <f ca="1">IFERROR(__xludf.DUMMYFUNCTION("""COMPUTED_VALUE"""),"CASSANDRA JILL N. PALAD")</f>
        <v>CASSANDRA JILL N. PALAD</v>
      </c>
      <c r="L2203" s="164" t="str">
        <f ca="1">IFERROR(__xludf.DUMMYFUNCTION("""COMPUTED_VALUE"""),"PBD DIVISION")</f>
        <v>PBD DIVISION</v>
      </c>
      <c r="M2203" s="164" t="str">
        <f ca="1">IFERROR(__xludf.DUMMYFUNCTION("""COMPUTED_VALUE"""),"SERVICEABLE")</f>
        <v>SERVICEABLE</v>
      </c>
      <c r="N2203" s="164"/>
    </row>
    <row r="2204" spans="1:14" ht="13.2" hidden="1">
      <c r="A2204" s="164" t="str">
        <f ca="1">IFERROR(__xludf.DUMMYFUNCTION("""COMPUTED_VALUE"""),"REGION V")</f>
        <v>REGION V</v>
      </c>
      <c r="B2204" s="164" t="str">
        <f ca="1">IFERROR(__xludf.DUMMYFUNCTION("""COMPUTED_VALUE"""),"SORSOGON")</f>
        <v>SORSOGON</v>
      </c>
      <c r="C2204" s="164" t="str">
        <f ca="1">IFERROR(__xludf.DUMMYFUNCTION("""COMPUTED_VALUE"""),"Laptop – (ACER EXTENSA EX215-55G i7)")</f>
        <v>Laptop – (ACER EXTENSA EX215-55G i7)</v>
      </c>
      <c r="D2204" s="164" t="str">
        <f ca="1">IFERROR(__xludf.DUMMYFUNCTION("""COMPUTED_VALUE"""),"₱ 59,500.00")</f>
        <v>₱ 59,500.00</v>
      </c>
      <c r="E2204" s="164" t="str">
        <f ca="1">IFERROR(__xludf.DUMMYFUNCTION("""COMPUTED_VALUE"""),"₱ -")</f>
        <v>₱ -</v>
      </c>
      <c r="F2204" s="164" t="str">
        <f ca="1">IFERROR(__xludf.DUMMYFUNCTION("""COMPUTED_VALUE"""),"2023-05-03-10202SP240-01")</f>
        <v>2023-05-03-10202SP240-01</v>
      </c>
      <c r="G2204" s="164" t="str">
        <f ca="1">IFERROR(__xludf.DUMMYFUNCTION("""COMPUTED_VALUE"""),"NXEGZSP00330801E6A3400")</f>
        <v>NXEGZSP00330801E6A3400</v>
      </c>
      <c r="H2204" s="164" t="str">
        <f ca="1">IFERROR(__xludf.DUMMYFUNCTION("""COMPUTED_VALUE"""),"ENESIO, JEFERSON")</f>
        <v>ENESIO, JEFERSON</v>
      </c>
      <c r="I2204" s="164"/>
      <c r="J2204" s="164" t="str">
        <f ca="1">IFERROR(__xludf.DUMMYFUNCTION("""COMPUTED_VALUE"""),"2024-039")</f>
        <v>2024-039</v>
      </c>
      <c r="K2204" s="164" t="str">
        <f ca="1">IFERROR(__xludf.DUMMYFUNCTION("""COMPUTED_VALUE"""),"ENESIO, JEFERSON")</f>
        <v>ENESIO, JEFERSON</v>
      </c>
      <c r="L2204" s="164" t="str">
        <f ca="1">IFERROR(__xludf.DUMMYFUNCTION("""COMPUTED_VALUE"""),"LTI DIVISION")</f>
        <v>LTI DIVISION</v>
      </c>
      <c r="M2204" s="164" t="str">
        <f ca="1">IFERROR(__xludf.DUMMYFUNCTION("""COMPUTED_VALUE"""),"SERVICEABLE")</f>
        <v>SERVICEABLE</v>
      </c>
      <c r="N2204" s="164"/>
    </row>
    <row r="2205" spans="1:14" ht="13.2" hidden="1">
      <c r="A2205" s="164" t="str">
        <f ca="1">IFERROR(__xludf.DUMMYFUNCTION("""COMPUTED_VALUE"""),"REGION V")</f>
        <v>REGION V</v>
      </c>
      <c r="B2205" s="164" t="str">
        <f ca="1">IFERROR(__xludf.DUMMYFUNCTION("""COMPUTED_VALUE"""),"SORSOGON")</f>
        <v>SORSOGON</v>
      </c>
      <c r="C2205" s="164" t="str">
        <f ca="1">IFERROR(__xludf.DUMMYFUNCTION("""COMPUTED_VALUE"""),"Photocopier Machine – Kyocera")</f>
        <v>Photocopier Machine – Kyocera</v>
      </c>
      <c r="D2205" s="164" t="str">
        <f ca="1">IFERROR(__xludf.DUMMYFUNCTION("""COMPUTED_VALUE"""),"₱ 84,500.00")</f>
        <v>₱ 84,500.00</v>
      </c>
      <c r="E2205" s="164" t="str">
        <f ca="1">IFERROR(__xludf.DUMMYFUNCTION("""COMPUTED_VALUE"""),"₱ -")</f>
        <v>₱ -</v>
      </c>
      <c r="F2205" s="164" t="str">
        <f ca="1">IFERROR(__xludf.DUMMYFUNCTION("""COMPUTED_VALUE"""),"2022-05-02-10202SP44-01")</f>
        <v>2022-05-02-10202SP44-01</v>
      </c>
      <c r="G2205" s="164" t="str">
        <f ca="1">IFERROR(__xludf.DUMMYFUNCTION("""COMPUTED_VALUE"""),"RNK2700176")</f>
        <v>RNK2700176</v>
      </c>
      <c r="H2205" s="164" t="str">
        <f ca="1">IFERROR(__xludf.DUMMYFUNCTION("""COMPUTED_VALUE"""),"EBUENGA, ANNA MAE A.")</f>
        <v>EBUENGA, ANNA MAE A.</v>
      </c>
      <c r="I2205" s="164" t="str">
        <f ca="1">IFERROR(__xludf.DUMMYFUNCTION("""COMPUTED_VALUE"""),"CARPO, LTID/PARCELIZATION COMPONENT COORDINATOR")</f>
        <v>CARPO, LTID/PARCELIZATION COMPONENT COORDINATOR</v>
      </c>
      <c r="J2205" s="164" t="str">
        <f ca="1">IFERROR(__xludf.DUMMYFUNCTION("""COMPUTED_VALUE"""),"2024-039")</f>
        <v>2024-039</v>
      </c>
      <c r="K2205" s="164" t="str">
        <f ca="1">IFERROR(__xludf.DUMMYFUNCTION("""COMPUTED_VALUE"""),"PPMO COS STAFF/FVTs")</f>
        <v>PPMO COS STAFF/FVTs</v>
      </c>
      <c r="L2205" s="164" t="str">
        <f ca="1">IFERROR(__xludf.DUMMYFUNCTION("""COMPUTED_VALUE"""),"LTID")</f>
        <v>LTID</v>
      </c>
      <c r="M2205" s="164" t="str">
        <f ca="1">IFERROR(__xludf.DUMMYFUNCTION("""COMPUTED_VALUE"""),"SERVICEABLE")</f>
        <v>SERVICEABLE</v>
      </c>
      <c r="N2205" s="164"/>
    </row>
    <row r="2206" spans="1:14" ht="13.2" hidden="1">
      <c r="A2206" s="164" t="str">
        <f ca="1">IFERROR(__xludf.DUMMYFUNCTION("""COMPUTED_VALUE"""),"REGION V")</f>
        <v>REGION V</v>
      </c>
      <c r="B2206" s="164" t="str">
        <f ca="1">IFERROR(__xludf.DUMMYFUNCTION("""COMPUTED_VALUE"""),"SORSOGON")</f>
        <v>SORSOGON</v>
      </c>
      <c r="C2206" s="164" t="str">
        <f ca="1">IFERROR(__xludf.DUMMYFUNCTION("""COMPUTED_VALUE"""),"A3 PRINTER (BROTHER)")</f>
        <v>A3 PRINTER (BROTHER)</v>
      </c>
      <c r="D2206" s="164" t="str">
        <f ca="1">IFERROR(__xludf.DUMMYFUNCTION("""COMPUTED_VALUE"""),"₱ 33,508.00")</f>
        <v>₱ 33,508.00</v>
      </c>
      <c r="E2206" s="164" t="str">
        <f ca="1">IFERROR(__xludf.DUMMYFUNCTION("""COMPUTED_VALUE"""),"₱ -")</f>
        <v>₱ -</v>
      </c>
      <c r="F2206" s="164" t="str">
        <f ca="1">IFERROR(__xludf.DUMMYFUNCTION("""COMPUTED_VALUE"""),"HV-SPLIT-102-24-05-04-37")</f>
        <v>HV-SPLIT-102-24-05-04-37</v>
      </c>
      <c r="G2206" s="164" t="str">
        <f ca="1">IFERROR(__xludf.DUMMYFUNCTION("""COMPUTED_VALUE"""),"21145")</f>
        <v>21145</v>
      </c>
      <c r="H2206" s="164" t="str">
        <f ca="1">IFERROR(__xludf.DUMMYFUNCTION("""COMPUTED_VALUE"""),"EBUENGA, ANNA MAE A.")</f>
        <v>EBUENGA, ANNA MAE A.</v>
      </c>
      <c r="I2206" s="164" t="str">
        <f ca="1">IFERROR(__xludf.DUMMYFUNCTION("""COMPUTED_VALUE"""),"PARPO II/PROVINCIAL PROJECT MANAGER")</f>
        <v>PARPO II/PROVINCIAL PROJECT MANAGER</v>
      </c>
      <c r="J2206" s="164" t="str">
        <f ca="1">IFERROR(__xludf.DUMMYFUNCTION("""COMPUTED_VALUE"""),"N/A")</f>
        <v>N/A</v>
      </c>
      <c r="K2206" s="164" t="str">
        <f ca="1">IFERROR(__xludf.DUMMYFUNCTION("""COMPUTED_VALUE"""),"SPLIT PERSONNEL")</f>
        <v>SPLIT PERSONNEL</v>
      </c>
      <c r="L2206" s="164" t="str">
        <f ca="1">IFERROR(__xludf.DUMMYFUNCTION("""COMPUTED_VALUE"""),"LTID")</f>
        <v>LTID</v>
      </c>
      <c r="M2206" s="164" t="str">
        <f ca="1">IFERROR(__xludf.DUMMYFUNCTION("""COMPUTED_VALUE"""),"SERVICEABLE")</f>
        <v>SERVICEABLE</v>
      </c>
      <c r="N2206" s="164"/>
    </row>
    <row r="2207" spans="1:14" ht="13.2" hidden="1">
      <c r="A2207" s="164" t="str">
        <f ca="1">IFERROR(__xludf.DUMMYFUNCTION("""COMPUTED_VALUE"""),"REGION V")</f>
        <v>REGION V</v>
      </c>
      <c r="B2207" s="164" t="str">
        <f ca="1">IFERROR(__xludf.DUMMYFUNCTION("""COMPUTED_VALUE"""),"SORSOGON")</f>
        <v>SORSOGON</v>
      </c>
      <c r="C2207" s="164" t="str">
        <f ca="1">IFERROR(__xludf.DUMMYFUNCTION("""COMPUTED_VALUE"""),"A3 PRINTER (BROTHER)")</f>
        <v>A3 PRINTER (BROTHER)</v>
      </c>
      <c r="D2207" s="164" t="str">
        <f ca="1">IFERROR(__xludf.DUMMYFUNCTION("""COMPUTED_VALUE"""),"₱ 33,508.00")</f>
        <v>₱ 33,508.00</v>
      </c>
      <c r="E2207" s="164" t="str">
        <f ca="1">IFERROR(__xludf.DUMMYFUNCTION("""COMPUTED_VALUE"""),"₱ -")</f>
        <v>₱ -</v>
      </c>
      <c r="F2207" s="164" t="str">
        <f ca="1">IFERROR(__xludf.DUMMYFUNCTION("""COMPUTED_VALUE"""),"DAR-V-S-PTR-140-22")</f>
        <v>DAR-V-S-PTR-140-22</v>
      </c>
      <c r="G2207" s="164" t="str">
        <f ca="1">IFERROR(__xludf.DUMMYFUNCTION("""COMPUTED_VALUE"""),"E81715H2H542903")</f>
        <v>E81715H2H542903</v>
      </c>
      <c r="H2207" s="164" t="str">
        <f ca="1">IFERROR(__xludf.DUMMYFUNCTION("""COMPUTED_VALUE"""),"ALETH E. LAGUNA")</f>
        <v>ALETH E. LAGUNA</v>
      </c>
      <c r="I2207" s="164" t="str">
        <f ca="1">IFERROR(__xludf.DUMMYFUNCTION("""COMPUTED_VALUE"""),"PCAO/TS2-ADMINISTRATIVE AND FINANCE OFFICER")</f>
        <v>PCAO/TS2-ADMINISTRATIVE AND FINANCE OFFICER</v>
      </c>
      <c r="J2207" s="164" t="str">
        <f ca="1">IFERROR(__xludf.DUMMYFUNCTION("""COMPUTED_VALUE"""),"2024-060")</f>
        <v>2024-060</v>
      </c>
      <c r="K2207" s="164" t="str">
        <f ca="1">IFERROR(__xludf.DUMMYFUNCTION("""COMPUTED_VALUE"""),"DIANNE GRACE L. FERMANES/ALLAN A. AREVALO")</f>
        <v>DIANNE GRACE L. FERMANES/ALLAN A. AREVALO</v>
      </c>
      <c r="L2207" s="164" t="str">
        <f ca="1">IFERROR(__xludf.DUMMYFUNCTION("""COMPUTED_VALUE"""),"DARPO")</f>
        <v>DARPO</v>
      </c>
      <c r="M2207" s="164" t="str">
        <f ca="1">IFERROR(__xludf.DUMMYFUNCTION("""COMPUTED_VALUE"""),"SERVICEABLE")</f>
        <v>SERVICEABLE</v>
      </c>
      <c r="N2207" s="164"/>
    </row>
    <row r="2208" spans="1:14" ht="13.2" hidden="1">
      <c r="A2208" s="164" t="str">
        <f ca="1">IFERROR(__xludf.DUMMYFUNCTION("""COMPUTED_VALUE"""),"REGION V")</f>
        <v>REGION V</v>
      </c>
      <c r="B2208" s="164" t="str">
        <f ca="1">IFERROR(__xludf.DUMMYFUNCTION("""COMPUTED_VALUE"""),"ALBAY")</f>
        <v>ALBAY</v>
      </c>
      <c r="C2208" s="164" t="str">
        <f ca="1">IFERROR(__xludf.DUMMYFUNCTION("""COMPUTED_VALUE"""),"Laptop – (ACER EXTENSA EX215-55G i7)")</f>
        <v>Laptop – (ACER EXTENSA EX215-55G i7)</v>
      </c>
      <c r="D2208" s="164" t="str">
        <f ca="1">IFERROR(__xludf.DUMMYFUNCTION("""COMPUTED_VALUE"""),"₱ 59,500.00")</f>
        <v>₱ 59,500.00</v>
      </c>
      <c r="E2208" s="164" t="str">
        <f ca="1">IFERROR(__xludf.DUMMYFUNCTION("""COMPUTED_VALUE"""),"₱ -")</f>
        <v>₱ -</v>
      </c>
      <c r="F2208" s="164" t="str">
        <f ca="1">IFERROR(__xludf.DUMMYFUNCTION("""COMPUTED_VALUE"""),"2023-05-03-10202SP43-01")</f>
        <v>2023-05-03-10202SP43-01</v>
      </c>
      <c r="G2208" s="164" t="str">
        <f ca="1">IFERROR(__xludf.DUMMYFUNCTION("""COMPUTED_VALUE"""),"NXEGZSP00330801AAB3400")</f>
        <v>NXEGZSP00330801AAB3400</v>
      </c>
      <c r="H2208" s="164" t="str">
        <f ca="1">IFERROR(__xludf.DUMMYFUNCTION("""COMPUTED_VALUE"""),"ZYRA JOY D. BERNAS")</f>
        <v>ZYRA JOY D. BERNAS</v>
      </c>
      <c r="I2208" s="164" t="str">
        <f ca="1">IFERROR(__xludf.DUMMYFUNCTION("""COMPUTED_VALUE"""),"ACCTG. PROPERTY CUSTUDIAN")</f>
        <v>ACCTG. PROPERTY CUSTUDIAN</v>
      </c>
      <c r="J2208" s="164" t="str">
        <f ca="1">IFERROR(__xludf.DUMMYFUNCTION("""COMPUTED_VALUE"""),"PTR:2023-SPLIT-006
 PAR:23-05-011")</f>
        <v>PTR:2023-SPLIT-006
 PAR:23-05-011</v>
      </c>
      <c r="K2208" s="164" t="str">
        <f ca="1">IFERROR(__xludf.DUMMYFUNCTION("""COMPUTED_VALUE"""),"W. SERRANO")</f>
        <v>W. SERRANO</v>
      </c>
      <c r="L2208" s="164" t="str">
        <f ca="1">IFERROR(__xludf.DUMMYFUNCTION("""COMPUTED_VALUE"""),"DARPO")</f>
        <v>DARPO</v>
      </c>
      <c r="M2208" s="164" t="str">
        <f ca="1">IFERROR(__xludf.DUMMYFUNCTION("""COMPUTED_VALUE"""),"SERVICEABLE")</f>
        <v>SERVICEABLE</v>
      </c>
      <c r="N2208" s="164"/>
    </row>
    <row r="2209" spans="1:14" ht="13.2" hidden="1">
      <c r="A2209" s="164" t="str">
        <f ca="1">IFERROR(__xludf.DUMMYFUNCTION("""COMPUTED_VALUE"""),"REGION V")</f>
        <v>REGION V</v>
      </c>
      <c r="B2209" s="164" t="str">
        <f ca="1">IFERROR(__xludf.DUMMYFUNCTION("""COMPUTED_VALUE"""),"MASBATE")</f>
        <v>MASBATE</v>
      </c>
      <c r="C2209" s="164" t="str">
        <f ca="1">IFERROR(__xludf.DUMMYFUNCTION("""COMPUTED_VALUE"""),"Desktop Computer – (MSI PRO DP180)")</f>
        <v>Desktop Computer – (MSI PRO DP180)</v>
      </c>
      <c r="D2209" s="164" t="str">
        <f ca="1">IFERROR(__xludf.DUMMYFUNCTION("""COMPUTED_VALUE"""),"₱ 49,300.00")</f>
        <v>₱ 49,300.00</v>
      </c>
      <c r="E2209" s="164" t="str">
        <f ca="1">IFERROR(__xludf.DUMMYFUNCTION("""COMPUTED_VALUE"""),"₱ -")</f>
        <v>₱ -</v>
      </c>
      <c r="F2209" s="164" t="str">
        <f ca="1">IFERROR(__xludf.DUMMYFUNCTION("""COMPUTED_VALUE"""),"HVSPLIT-102-24-05-01-387")</f>
        <v>HVSPLIT-102-24-05-01-387</v>
      </c>
      <c r="G2209" s="164" t="str">
        <f ca="1">IFERROR(__xludf.DUMMYFUNCTION("""COMPUTED_VALUE"""),"PC6M064401298")</f>
        <v>PC6M064401298</v>
      </c>
      <c r="H2209" s="164" t="str">
        <f ca="1">IFERROR(__xludf.DUMMYFUNCTION("""COMPUTED_VALUE"""),"HERALD R. TAMBAL")</f>
        <v>HERALD R. TAMBAL</v>
      </c>
      <c r="I2209" s="164" t="str">
        <f ca="1">IFERROR(__xludf.DUMMYFUNCTION("""COMPUTED_VALUE"""),"PARPO II")</f>
        <v>PARPO II</v>
      </c>
      <c r="J2209" s="164" t="str">
        <f ca="1">IFERROR(__xludf.DUMMYFUNCTION("""COMPUTED_VALUE"""),"DAR-MBT-102-IT-SE-COM-002")</f>
        <v>DAR-MBT-102-IT-SE-COM-002</v>
      </c>
      <c r="K2209" s="164" t="str">
        <f ca="1">IFERROR(__xludf.DUMMYFUNCTION("""COMPUTED_VALUE"""),"ELEANOR TORRES")</f>
        <v>ELEANOR TORRES</v>
      </c>
      <c r="L2209" s="164" t="str">
        <f ca="1">IFERROR(__xludf.DUMMYFUNCTION("""COMPUTED_VALUE"""),"LTID")</f>
        <v>LTID</v>
      </c>
      <c r="M2209" s="164" t="str">
        <f ca="1">IFERROR(__xludf.DUMMYFUNCTION("""COMPUTED_VALUE"""),"SERVICEABLE")</f>
        <v>SERVICEABLE</v>
      </c>
      <c r="N2209" s="164"/>
    </row>
    <row r="2210" spans="1:14" ht="13.2" hidden="1">
      <c r="A2210" s="164" t="str">
        <f ca="1">IFERROR(__xludf.DUMMYFUNCTION("""COMPUTED_VALUE"""),"REGION V")</f>
        <v>REGION V</v>
      </c>
      <c r="B2210" s="164" t="str">
        <f ca="1">IFERROR(__xludf.DUMMYFUNCTION("""COMPUTED_VALUE"""),"MASBATE")</f>
        <v>MASBATE</v>
      </c>
      <c r="C2210" s="164" t="str">
        <f ca="1">IFERROR(__xludf.DUMMYFUNCTION("""COMPUTED_VALUE"""),"Desktop Computer – (MSI PRO DP180)")</f>
        <v>Desktop Computer – (MSI PRO DP180)</v>
      </c>
      <c r="D2210" s="164" t="str">
        <f ca="1">IFERROR(__xludf.DUMMYFUNCTION("""COMPUTED_VALUE"""),"₱ 49,300.00")</f>
        <v>₱ 49,300.00</v>
      </c>
      <c r="E2210" s="164" t="str">
        <f ca="1">IFERROR(__xludf.DUMMYFUNCTION("""COMPUTED_VALUE"""),"₱ -")</f>
        <v>₱ -</v>
      </c>
      <c r="F2210" s="164" t="str">
        <f ca="1">IFERROR(__xludf.DUMMYFUNCTION("""COMPUTED_VALUE"""),"HVSPLIT-102-24-05-01-388")</f>
        <v>HVSPLIT-102-24-05-01-388</v>
      </c>
      <c r="G2210" s="164" t="str">
        <f ca="1">IFERROR(__xludf.DUMMYFUNCTION("""COMPUTED_VALUE"""),"PC6M064401313")</f>
        <v>PC6M064401313</v>
      </c>
      <c r="H2210" s="164" t="str">
        <f ca="1">IFERROR(__xludf.DUMMYFUNCTION("""COMPUTED_VALUE"""),"HERALD R. TAMBAL")</f>
        <v>HERALD R. TAMBAL</v>
      </c>
      <c r="I2210" s="164" t="str">
        <f ca="1">IFERROR(__xludf.DUMMYFUNCTION("""COMPUTED_VALUE"""),"PARPO II")</f>
        <v>PARPO II</v>
      </c>
      <c r="J2210" s="164" t="str">
        <f ca="1">IFERROR(__xludf.DUMMYFUNCTION("""COMPUTED_VALUE"""),"DAR-MBT-102-IT-SE-COM-003")</f>
        <v>DAR-MBT-102-IT-SE-COM-003</v>
      </c>
      <c r="K2210" s="164" t="str">
        <f ca="1">IFERROR(__xludf.DUMMYFUNCTION("""COMPUTED_VALUE"""),"ELEANOR TORRES")</f>
        <v>ELEANOR TORRES</v>
      </c>
      <c r="L2210" s="164" t="str">
        <f ca="1">IFERROR(__xludf.DUMMYFUNCTION("""COMPUTED_VALUE"""),"LTID")</f>
        <v>LTID</v>
      </c>
      <c r="M2210" s="164" t="str">
        <f ca="1">IFERROR(__xludf.DUMMYFUNCTION("""COMPUTED_VALUE"""),"SERVICEABLE")</f>
        <v>SERVICEABLE</v>
      </c>
      <c r="N2210" s="164"/>
    </row>
    <row r="2211" spans="1:14" ht="13.2" hidden="1">
      <c r="A2211" s="164" t="str">
        <f ca="1">IFERROR(__xludf.DUMMYFUNCTION("""COMPUTED_VALUE"""),"REGION V")</f>
        <v>REGION V</v>
      </c>
      <c r="B2211" s="164" t="str">
        <f ca="1">IFERROR(__xludf.DUMMYFUNCTION("""COMPUTED_VALUE"""),"MASBATE")</f>
        <v>MASBATE</v>
      </c>
      <c r="C2211" s="164" t="str">
        <f ca="1">IFERROR(__xludf.DUMMYFUNCTION("""COMPUTED_VALUE"""),"Desktop Computer – (MSI PRO DP180)")</f>
        <v>Desktop Computer – (MSI PRO DP180)</v>
      </c>
      <c r="D2211" s="164" t="str">
        <f ca="1">IFERROR(__xludf.DUMMYFUNCTION("""COMPUTED_VALUE"""),"₱ 49,300.00")</f>
        <v>₱ 49,300.00</v>
      </c>
      <c r="E2211" s="164" t="str">
        <f ca="1">IFERROR(__xludf.DUMMYFUNCTION("""COMPUTED_VALUE"""),"₱ -")</f>
        <v>₱ -</v>
      </c>
      <c r="F2211" s="164" t="str">
        <f ca="1">IFERROR(__xludf.DUMMYFUNCTION("""COMPUTED_VALUE"""),"HVSPLIT-102-24-05-01-389")</f>
        <v>HVSPLIT-102-24-05-01-389</v>
      </c>
      <c r="G2211" s="164" t="str">
        <f ca="1">IFERROR(__xludf.DUMMYFUNCTION("""COMPUTED_VALUE"""),"PC6M064401874")</f>
        <v>PC6M064401874</v>
      </c>
      <c r="H2211" s="164" t="str">
        <f ca="1">IFERROR(__xludf.DUMMYFUNCTION("""COMPUTED_VALUE"""),"HERALD R. TAMBAL")</f>
        <v>HERALD R. TAMBAL</v>
      </c>
      <c r="I2211" s="164" t="str">
        <f ca="1">IFERROR(__xludf.DUMMYFUNCTION("""COMPUTED_VALUE"""),"PARPO II")</f>
        <v>PARPO II</v>
      </c>
      <c r="J2211" s="164" t="str">
        <f ca="1">IFERROR(__xludf.DUMMYFUNCTION("""COMPUTED_VALUE"""),"DAR-MBT-102-IT-SE-COM-004")</f>
        <v>DAR-MBT-102-IT-SE-COM-004</v>
      </c>
      <c r="K2211" s="164" t="str">
        <f ca="1">IFERROR(__xludf.DUMMYFUNCTION("""COMPUTED_VALUE"""),"ELEANOR TORRES")</f>
        <v>ELEANOR TORRES</v>
      </c>
      <c r="L2211" s="164" t="str">
        <f ca="1">IFERROR(__xludf.DUMMYFUNCTION("""COMPUTED_VALUE"""),"LTID")</f>
        <v>LTID</v>
      </c>
      <c r="M2211" s="164" t="str">
        <f ca="1">IFERROR(__xludf.DUMMYFUNCTION("""COMPUTED_VALUE"""),"SERVICEABLE")</f>
        <v>SERVICEABLE</v>
      </c>
      <c r="N2211" s="164"/>
    </row>
    <row r="2212" spans="1:14" ht="13.2" hidden="1">
      <c r="A2212" s="164" t="str">
        <f ca="1">IFERROR(__xludf.DUMMYFUNCTION("""COMPUTED_VALUE"""),"REGION V")</f>
        <v>REGION V</v>
      </c>
      <c r="B2212" s="164" t="str">
        <f ca="1">IFERROR(__xludf.DUMMYFUNCTION("""COMPUTED_VALUE"""),"SORSOGON")</f>
        <v>SORSOGON</v>
      </c>
      <c r="C2212" s="164" t="str">
        <f ca="1">IFERROR(__xludf.DUMMYFUNCTION("""COMPUTED_VALUE"""),"Laptop – (ACER EXTENSA EX215-55G i7)")</f>
        <v>Laptop – (ACER EXTENSA EX215-55G i7)</v>
      </c>
      <c r="D2212" s="164" t="str">
        <f ca="1">IFERROR(__xludf.DUMMYFUNCTION("""COMPUTED_VALUE"""),"₱ 59,500.00")</f>
        <v>₱ 59,500.00</v>
      </c>
      <c r="E2212" s="164" t="str">
        <f ca="1">IFERROR(__xludf.DUMMYFUNCTION("""COMPUTED_VALUE"""),"₱ -")</f>
        <v>₱ -</v>
      </c>
      <c r="F2212" s="164" t="str">
        <f ca="1">IFERROR(__xludf.DUMMYFUNCTION("""COMPUTED_VALUE"""),"2023-05-03-10202SP249-01")</f>
        <v>2023-05-03-10202SP249-01</v>
      </c>
      <c r="G2212" s="164" t="str">
        <f ca="1">IFERROR(__xludf.DUMMYFUNCTION("""COMPUTED_VALUE"""),"NXEGZSP00330801E6A3400")</f>
        <v>NXEGZSP00330801E6A3400</v>
      </c>
      <c r="H2212" s="164" t="str">
        <f ca="1">IFERROR(__xludf.DUMMYFUNCTION("""COMPUTED_VALUE"""),"GUARINA, REJEL A.")</f>
        <v>GUARINA, REJEL A.</v>
      </c>
      <c r="I2212" s="164"/>
      <c r="J2212" s="164" t="str">
        <f ca="1">IFERROR(__xludf.DUMMYFUNCTION("""COMPUTED_VALUE"""),"2024-039")</f>
        <v>2024-039</v>
      </c>
      <c r="K2212" s="164" t="str">
        <f ca="1">IFERROR(__xludf.DUMMYFUNCTION("""COMPUTED_VALUE"""),"GUARINA, REJEL A.")</f>
        <v>GUARINA, REJEL A.</v>
      </c>
      <c r="L2212" s="164" t="str">
        <f ca="1">IFERROR(__xludf.DUMMYFUNCTION("""COMPUTED_VALUE"""),"LTI DIVISION")</f>
        <v>LTI DIVISION</v>
      </c>
      <c r="M2212" s="164" t="str">
        <f ca="1">IFERROR(__xludf.DUMMYFUNCTION("""COMPUTED_VALUE"""),"SERVICEABLE")</f>
        <v>SERVICEABLE</v>
      </c>
      <c r="N2212" s="164" t="str">
        <f ca="1">IFERROR(__xludf.DUMMYFUNCTION("""COMPUTED_VALUE"""),"FROM DARCO, PTR # 2023-06-002L")</f>
        <v>FROM DARCO, PTR # 2023-06-002L</v>
      </c>
    </row>
    <row r="2213" spans="1:14" ht="13.2" hidden="1">
      <c r="A2213" s="164" t="str">
        <f ca="1">IFERROR(__xludf.DUMMYFUNCTION("""COMPUTED_VALUE"""),"REGION V")</f>
        <v>REGION V</v>
      </c>
      <c r="B2213" s="164" t="str">
        <f ca="1">IFERROR(__xludf.DUMMYFUNCTION("""COMPUTED_VALUE"""),"CAMRINES SUR II")</f>
        <v>CAMRINES SUR II</v>
      </c>
      <c r="C2213" s="164" t="str">
        <f ca="1">IFERROR(__xludf.DUMMYFUNCTION("""COMPUTED_VALUE"""),"Laptop – (ACER EXTENSA EX215-55G i7)")</f>
        <v>Laptop – (ACER EXTENSA EX215-55G i7)</v>
      </c>
      <c r="D2213" s="164" t="str">
        <f ca="1">IFERROR(__xludf.DUMMYFUNCTION("""COMPUTED_VALUE"""),"₱ 59,500.00")</f>
        <v>₱ 59,500.00</v>
      </c>
      <c r="E2213" s="164" t="str">
        <f ca="1">IFERROR(__xludf.DUMMYFUNCTION("""COMPUTED_VALUE"""),"₱ -")</f>
        <v>₱ -</v>
      </c>
      <c r="F2213" s="164" t="str">
        <f ca="1">IFERROR(__xludf.DUMMYFUNCTION("""COMPUTED_VALUE"""),"2023-05-03-10202SP246-01")</f>
        <v>2023-05-03-10202SP246-01</v>
      </c>
      <c r="G2213" s="164" t="str">
        <f ca="1">IFERROR(__xludf.DUMMYFUNCTION("""COMPUTED_VALUE"""),"SN-NXEGZSP00330801BCE3400")</f>
        <v>SN-NXEGZSP00330801BCE3400</v>
      </c>
      <c r="H2213" s="164" t="str">
        <f ca="1">IFERROR(__xludf.DUMMYFUNCTION("""COMPUTED_VALUE"""),"ADONIS H. DOLANAS")</f>
        <v>ADONIS H. DOLANAS</v>
      </c>
      <c r="I2213" s="164" t="str">
        <f ca="1">IFERROR(__xludf.DUMMYFUNCTION("""COMPUTED_VALUE"""),"OIC - CARPO, LTID")</f>
        <v>OIC - CARPO, LTID</v>
      </c>
      <c r="J2213" s="164" t="str">
        <f ca="1">IFERROR(__xludf.DUMMYFUNCTION("""COMPUTED_VALUE"""),"PTR No.: 2023-SPLIT-006")</f>
        <v>PTR No.: 2023-SPLIT-006</v>
      </c>
      <c r="K2213" s="164" t="str">
        <f ca="1">IFERROR(__xludf.DUMMYFUNCTION("""COMPUTED_VALUE"""),"CHARLEY MAINE VENUS")</f>
        <v>CHARLEY MAINE VENUS</v>
      </c>
      <c r="L2213" s="164" t="str">
        <f ca="1">IFERROR(__xludf.DUMMYFUNCTION("""COMPUTED_VALUE"""),"PROJECT SPLIT")</f>
        <v>PROJECT SPLIT</v>
      </c>
      <c r="M2213" s="164" t="str">
        <f ca="1">IFERROR(__xludf.DUMMYFUNCTION("""COMPUTED_VALUE"""),"SERVICEABLE")</f>
        <v>SERVICEABLE</v>
      </c>
      <c r="N2213" s="164"/>
    </row>
    <row r="2214" spans="1:14" ht="13.2" hidden="1">
      <c r="A2214" s="164" t="str">
        <f ca="1">IFERROR(__xludf.DUMMYFUNCTION("""COMPUTED_VALUE"""),"REGION V")</f>
        <v>REGION V</v>
      </c>
      <c r="B2214" s="164" t="str">
        <f ca="1">IFERROR(__xludf.DUMMYFUNCTION("""COMPUTED_VALUE"""),"DARROV")</f>
        <v>DARROV</v>
      </c>
      <c r="C2214" s="164" t="str">
        <f ca="1">IFERROR(__xludf.DUMMYFUNCTION("""COMPUTED_VALUE"""),"Desktop Computer – (MSI PRO DP180)")</f>
        <v>Desktop Computer – (MSI PRO DP180)</v>
      </c>
      <c r="D2214" s="164" t="str">
        <f ca="1">IFERROR(__xludf.DUMMYFUNCTION("""COMPUTED_VALUE"""),"₱ 49,300.00")</f>
        <v>₱ 49,300.00</v>
      </c>
      <c r="E2214" s="164" t="str">
        <f ca="1">IFERROR(__xludf.DUMMYFUNCTION("""COMPUTED_VALUE"""),"₱ -")</f>
        <v>₱ -</v>
      </c>
      <c r="F2214" s="164" t="str">
        <f ca="1">IFERROR(__xludf.DUMMYFUNCTION("""COMPUTED_VALUE"""),"HV-SPLIT-102-24-05-01-366")</f>
        <v>HV-SPLIT-102-24-05-01-366</v>
      </c>
      <c r="G2214" s="164"/>
      <c r="H2214" s="164" t="str">
        <f ca="1">IFERROR(__xludf.DUMMYFUNCTION("""COMPUTED_VALUE"""),"SHINKAI YU")</f>
        <v>SHINKAI YU</v>
      </c>
      <c r="I2214" s="164" t="str">
        <f ca="1">IFERROR(__xludf.DUMMYFUNCTION("""COMPUTED_VALUE"""),"CBTA SUPPORT STAFF")</f>
        <v>CBTA SUPPORT STAFF</v>
      </c>
      <c r="J2214" s="164"/>
      <c r="K2214" s="164" t="str">
        <f ca="1">IFERROR(__xludf.DUMMYFUNCTION("""COMPUTED_VALUE"""),"SHINKAI YU")</f>
        <v>SHINKAI YU</v>
      </c>
      <c r="L2214" s="164" t="str">
        <f ca="1">IFERROR(__xludf.DUMMYFUNCTION("""COMPUTED_VALUE"""),"STOD")</f>
        <v>STOD</v>
      </c>
      <c r="M2214" s="164" t="str">
        <f ca="1">IFERROR(__xludf.DUMMYFUNCTION("""COMPUTED_VALUE"""),"SERVICEABLE")</f>
        <v>SERVICEABLE</v>
      </c>
      <c r="N2214" s="164"/>
    </row>
    <row r="2215" spans="1:14" ht="13.2" hidden="1">
      <c r="A2215" s="164" t="str">
        <f ca="1">IFERROR(__xludf.DUMMYFUNCTION("""COMPUTED_VALUE"""),"REGION V")</f>
        <v>REGION V</v>
      </c>
      <c r="B2215" s="164" t="str">
        <f ca="1">IFERROR(__xludf.DUMMYFUNCTION("""COMPUTED_VALUE"""),"DARROV")</f>
        <v>DARROV</v>
      </c>
      <c r="C2215" s="164" t="str">
        <f ca="1">IFERROR(__xludf.DUMMYFUNCTION("""COMPUTED_VALUE"""),"Desktop Computer – (MSI PRO DP180)")</f>
        <v>Desktop Computer – (MSI PRO DP180)</v>
      </c>
      <c r="D2215" s="164" t="str">
        <f ca="1">IFERROR(__xludf.DUMMYFUNCTION("""COMPUTED_VALUE"""),"₱ 49,300.00")</f>
        <v>₱ 49,300.00</v>
      </c>
      <c r="E2215" s="164" t="str">
        <f ca="1">IFERROR(__xludf.DUMMYFUNCTION("""COMPUTED_VALUE"""),"₱ -")</f>
        <v>₱ -</v>
      </c>
      <c r="F2215" s="164" t="str">
        <f ca="1">IFERROR(__xludf.DUMMYFUNCTION("""COMPUTED_VALUE"""),"HV-SPLIT-102-24-05-01-367")</f>
        <v>HV-SPLIT-102-24-05-01-367</v>
      </c>
      <c r="G2215" s="164"/>
      <c r="H2215" s="164" t="str">
        <f ca="1">IFERROR(__xludf.DUMMYFUNCTION("""COMPUTED_VALUE"""),"JULIE NOLASCO")</f>
        <v>JULIE NOLASCO</v>
      </c>
      <c r="I2215" s="164" t="str">
        <f ca="1">IFERROR(__xludf.DUMMYFUNCTION("""COMPUTED_VALUE"""),"PROJECT BUDGET OFFICER")</f>
        <v>PROJECT BUDGET OFFICER</v>
      </c>
      <c r="J2215" s="164"/>
      <c r="K2215" s="164" t="str">
        <f ca="1">IFERROR(__xludf.DUMMYFUNCTION("""COMPUTED_VALUE"""),"JULIE NOLASCO")</f>
        <v>JULIE NOLASCO</v>
      </c>
      <c r="L2215" s="164" t="str">
        <f ca="1">IFERROR(__xludf.DUMMYFUNCTION("""COMPUTED_VALUE"""),"STOD")</f>
        <v>STOD</v>
      </c>
      <c r="M2215" s="164" t="str">
        <f ca="1">IFERROR(__xludf.DUMMYFUNCTION("""COMPUTED_VALUE"""),"SERVICEABLE")</f>
        <v>SERVICEABLE</v>
      </c>
      <c r="N2215" s="164"/>
    </row>
    <row r="2216" spans="1:14" ht="13.2" hidden="1">
      <c r="A2216" s="164" t="str">
        <f ca="1">IFERROR(__xludf.DUMMYFUNCTION("""COMPUTED_VALUE"""),"REGION V")</f>
        <v>REGION V</v>
      </c>
      <c r="B2216" s="164" t="str">
        <f ca="1">IFERROR(__xludf.DUMMYFUNCTION("""COMPUTED_VALUE"""),"DARROV")</f>
        <v>DARROV</v>
      </c>
      <c r="C2216" s="164" t="str">
        <f ca="1">IFERROR(__xludf.DUMMYFUNCTION("""COMPUTED_VALUE"""),"Desktop Computer – (MSI PRO DP180)")</f>
        <v>Desktop Computer – (MSI PRO DP180)</v>
      </c>
      <c r="D2216" s="164" t="str">
        <f ca="1">IFERROR(__xludf.DUMMYFUNCTION("""COMPUTED_VALUE"""),"₱ 49,300.00")</f>
        <v>₱ 49,300.00</v>
      </c>
      <c r="E2216" s="164" t="str">
        <f ca="1">IFERROR(__xludf.DUMMYFUNCTION("""COMPUTED_VALUE"""),"₱ -")</f>
        <v>₱ -</v>
      </c>
      <c r="F2216" s="164" t="str">
        <f ca="1">IFERROR(__xludf.DUMMYFUNCTION("""COMPUTED_VALUE"""),"HV-SPLIT-102-24-05-01-368")</f>
        <v>HV-SPLIT-102-24-05-01-368</v>
      </c>
      <c r="G2216" s="164"/>
      <c r="H2216" s="164" t="str">
        <f ca="1">IFERROR(__xludf.DUMMYFUNCTION("""COMPUTED_VALUE"""),"FLORENTINA R. ESCOLANO")</f>
        <v>FLORENTINA R. ESCOLANO</v>
      </c>
      <c r="I2216" s="164" t="str">
        <f ca="1">IFERROR(__xludf.DUMMYFUNCTION("""COMPUTED_VALUE"""),"PARTCELIZATION COMPONENT COORDINATOR")</f>
        <v>PARTCELIZATION COMPONENT COORDINATOR</v>
      </c>
      <c r="J2216" s="164"/>
      <c r="K2216" s="164" t="str">
        <f ca="1">IFERROR(__xludf.DUMMYFUNCTION("""COMPUTED_VALUE"""),"FLORENTINA R. ESCOLANO")</f>
        <v>FLORENTINA R. ESCOLANO</v>
      </c>
      <c r="L2216" s="164" t="str">
        <f ca="1">IFERROR(__xludf.DUMMYFUNCTION("""COMPUTED_VALUE"""),"LTID")</f>
        <v>LTID</v>
      </c>
      <c r="M2216" s="164" t="str">
        <f ca="1">IFERROR(__xludf.DUMMYFUNCTION("""COMPUTED_VALUE"""),"SERVICEABLE")</f>
        <v>SERVICEABLE</v>
      </c>
      <c r="N2216" s="164"/>
    </row>
    <row r="2217" spans="1:14" ht="13.2" hidden="1">
      <c r="A2217" s="164" t="str">
        <f ca="1">IFERROR(__xludf.DUMMYFUNCTION("""COMPUTED_VALUE"""),"REGION V")</f>
        <v>REGION V</v>
      </c>
      <c r="B2217" s="164" t="str">
        <f ca="1">IFERROR(__xludf.DUMMYFUNCTION("""COMPUTED_VALUE"""),"DARROV")</f>
        <v>DARROV</v>
      </c>
      <c r="C2217" s="164" t="str">
        <f ca="1">IFERROR(__xludf.DUMMYFUNCTION("""COMPUTED_VALUE"""),"Desktop Computer – (MSI PRO DP180)")</f>
        <v>Desktop Computer – (MSI PRO DP180)</v>
      </c>
      <c r="D2217" s="164" t="str">
        <f ca="1">IFERROR(__xludf.DUMMYFUNCTION("""COMPUTED_VALUE"""),"₱ 49,300.00")</f>
        <v>₱ 49,300.00</v>
      </c>
      <c r="E2217" s="164" t="str">
        <f ca="1">IFERROR(__xludf.DUMMYFUNCTION("""COMPUTED_VALUE"""),"₱ -")</f>
        <v>₱ -</v>
      </c>
      <c r="F2217" s="164" t="str">
        <f ca="1">IFERROR(__xludf.DUMMYFUNCTION("""COMPUTED_VALUE"""),"HV-SPLIT-102-24-05-01-369")</f>
        <v>HV-SPLIT-102-24-05-01-369</v>
      </c>
      <c r="G2217" s="164"/>
      <c r="H2217" s="164" t="str">
        <f ca="1">IFERROR(__xludf.DUMMYFUNCTION("""COMPUTED_VALUE"""),"GAY LABAD")</f>
        <v>GAY LABAD</v>
      </c>
      <c r="I2217" s="164" t="str">
        <f ca="1">IFERROR(__xludf.DUMMYFUNCTION("""COMPUTED_VALUE"""),"ASST. PROJECT MANAGER FOR OPERATIONS")</f>
        <v>ASST. PROJECT MANAGER FOR OPERATIONS</v>
      </c>
      <c r="J2217" s="164"/>
      <c r="K2217" s="164" t="str">
        <f ca="1">IFERROR(__xludf.DUMMYFUNCTION("""COMPUTED_VALUE"""),"GAY LABAD")</f>
        <v>GAY LABAD</v>
      </c>
      <c r="L2217" s="164" t="str">
        <f ca="1">IFERROR(__xludf.DUMMYFUNCTION("""COMPUTED_VALUE"""),"ARDO'S")</f>
        <v>ARDO'S</v>
      </c>
      <c r="M2217" s="164" t="str">
        <f ca="1">IFERROR(__xludf.DUMMYFUNCTION("""COMPUTED_VALUE"""),"SERVICEABLE")</f>
        <v>SERVICEABLE</v>
      </c>
      <c r="N2217" s="164"/>
    </row>
    <row r="2218" spans="1:14" ht="13.2" hidden="1">
      <c r="A2218" s="164" t="str">
        <f ca="1">IFERROR(__xludf.DUMMYFUNCTION("""COMPUTED_VALUE"""),"REGION V")</f>
        <v>REGION V</v>
      </c>
      <c r="B2218" s="164" t="str">
        <f ca="1">IFERROR(__xludf.DUMMYFUNCTION("""COMPUTED_VALUE"""),"DARROV")</f>
        <v>DARROV</v>
      </c>
      <c r="C2218" s="164" t="str">
        <f ca="1">IFERROR(__xludf.DUMMYFUNCTION("""COMPUTED_VALUE"""),"Desktop Computer – (MSI PRO DP180)")</f>
        <v>Desktop Computer – (MSI PRO DP180)</v>
      </c>
      <c r="D2218" s="164" t="str">
        <f ca="1">IFERROR(__xludf.DUMMYFUNCTION("""COMPUTED_VALUE"""),"₱ 49,300.00")</f>
        <v>₱ 49,300.00</v>
      </c>
      <c r="E2218" s="164" t="str">
        <f ca="1">IFERROR(__xludf.DUMMYFUNCTION("""COMPUTED_VALUE"""),"₱ -")</f>
        <v>₱ -</v>
      </c>
      <c r="F2218" s="164" t="str">
        <f ca="1">IFERROR(__xludf.DUMMYFUNCTION("""COMPUTED_VALUE"""),"HV-SPLIT-102-24-05-01-370")</f>
        <v>HV-SPLIT-102-24-05-01-370</v>
      </c>
      <c r="G2218" s="164"/>
      <c r="H2218" s="164" t="str">
        <f ca="1">IFERROR(__xludf.DUMMYFUNCTION("""COMPUTED_VALUE"""),"HERZON DAWAL")</f>
        <v>HERZON DAWAL</v>
      </c>
      <c r="I2218" s="164"/>
      <c r="J2218" s="164"/>
      <c r="K2218" s="164" t="str">
        <f ca="1">IFERROR(__xludf.DUMMYFUNCTION("""COMPUTED_VALUE"""),"HERZON DAWAL")</f>
        <v>HERZON DAWAL</v>
      </c>
      <c r="L2218" s="164" t="str">
        <f ca="1">IFERROR(__xludf.DUMMYFUNCTION("""COMPUTED_VALUE"""),"COA")</f>
        <v>COA</v>
      </c>
      <c r="M2218" s="164" t="str">
        <f ca="1">IFERROR(__xludf.DUMMYFUNCTION("""COMPUTED_VALUE"""),"SERVICEABLE")</f>
        <v>SERVICEABLE</v>
      </c>
      <c r="N2218" s="164"/>
    </row>
    <row r="2219" spans="1:14" ht="13.2" hidden="1">
      <c r="A2219" s="164" t="str">
        <f ca="1">IFERROR(__xludf.DUMMYFUNCTION("""COMPUTED_VALUE"""),"REGION V")</f>
        <v>REGION V</v>
      </c>
      <c r="B2219" s="164" t="str">
        <f ca="1">IFERROR(__xludf.DUMMYFUNCTION("""COMPUTED_VALUE"""),"DARROV")</f>
        <v>DARROV</v>
      </c>
      <c r="C2219" s="164" t="str">
        <f ca="1">IFERROR(__xludf.DUMMYFUNCTION("""COMPUTED_VALUE"""),"Desktop Computer – (MSI PRO DP180)")</f>
        <v>Desktop Computer – (MSI PRO DP180)</v>
      </c>
      <c r="D2219" s="164" t="str">
        <f ca="1">IFERROR(__xludf.DUMMYFUNCTION("""COMPUTED_VALUE"""),"₱ 49,300.00")</f>
        <v>₱ 49,300.00</v>
      </c>
      <c r="E2219" s="164" t="str">
        <f ca="1">IFERROR(__xludf.DUMMYFUNCTION("""COMPUTED_VALUE"""),"₱ -")</f>
        <v>₱ -</v>
      </c>
      <c r="F2219" s="164" t="str">
        <f ca="1">IFERROR(__xludf.DUMMYFUNCTION("""COMPUTED_VALUE"""),"HV-SPLIT-102-24-05-01-371")</f>
        <v>HV-SPLIT-102-24-05-01-371</v>
      </c>
      <c r="G2219" s="164"/>
      <c r="H2219" s="164" t="str">
        <f ca="1">IFERROR(__xludf.DUMMYFUNCTION("""COMPUTED_VALUE"""),"NOVIE MAE AGNES J. LLORANDO")</f>
        <v>NOVIE MAE AGNES J. LLORANDO</v>
      </c>
      <c r="I2219" s="164"/>
      <c r="J2219" s="164"/>
      <c r="K2219" s="164" t="str">
        <f ca="1">IFERROR(__xludf.DUMMYFUNCTION("""COMPUTED_VALUE"""),"NOVIE MAE AGNES J. LLORANDO")</f>
        <v>NOVIE MAE AGNES J. LLORANDO</v>
      </c>
      <c r="L2219" s="164" t="str">
        <f ca="1">IFERROR(__xludf.DUMMYFUNCTION("""COMPUTED_VALUE"""),"GSS")</f>
        <v>GSS</v>
      </c>
      <c r="M2219" s="164" t="str">
        <f ca="1">IFERROR(__xludf.DUMMYFUNCTION("""COMPUTED_VALUE"""),"SERVICEABLE")</f>
        <v>SERVICEABLE</v>
      </c>
      <c r="N2219" s="164"/>
    </row>
    <row r="2220" spans="1:14" ht="13.2" hidden="1">
      <c r="A2220" s="164" t="str">
        <f ca="1">IFERROR(__xludf.DUMMYFUNCTION("""COMPUTED_VALUE"""),"REGION V")</f>
        <v>REGION V</v>
      </c>
      <c r="B2220" s="164" t="str">
        <f ca="1">IFERROR(__xludf.DUMMYFUNCTION("""COMPUTED_VALUE"""),"DARROV")</f>
        <v>DARROV</v>
      </c>
      <c r="C2220" s="164" t="str">
        <f ca="1">IFERROR(__xludf.DUMMYFUNCTION("""COMPUTED_VALUE"""),"Desktop Computer – (MSI PRO DP180)")</f>
        <v>Desktop Computer – (MSI PRO DP180)</v>
      </c>
      <c r="D2220" s="164" t="str">
        <f ca="1">IFERROR(__xludf.DUMMYFUNCTION("""COMPUTED_VALUE"""),"₱ 49,300.00")</f>
        <v>₱ 49,300.00</v>
      </c>
      <c r="E2220" s="164" t="str">
        <f ca="1">IFERROR(__xludf.DUMMYFUNCTION("""COMPUTED_VALUE"""),"₱ -")</f>
        <v>₱ -</v>
      </c>
      <c r="F2220" s="164" t="str">
        <f ca="1">IFERROR(__xludf.DUMMYFUNCTION("""COMPUTED_VALUE"""),"HV-SPLIT-102-24-05-01-373")</f>
        <v>HV-SPLIT-102-24-05-01-373</v>
      </c>
      <c r="G2220" s="164"/>
      <c r="H2220" s="164" t="str">
        <f ca="1">IFERROR(__xludf.DUMMYFUNCTION("""COMPUTED_VALUE"""),"FROY BERANA")</f>
        <v>FROY BERANA</v>
      </c>
      <c r="I2220" s="164" t="str">
        <f ca="1">IFERROR(__xludf.DUMMYFUNCTION("""COMPUTED_VALUE"""),"MEDIA GRAPHIC ARTIST")</f>
        <v>MEDIA GRAPHIC ARTIST</v>
      </c>
      <c r="J2220" s="164"/>
      <c r="K2220" s="164" t="str">
        <f ca="1">IFERROR(__xludf.DUMMYFUNCTION("""COMPUTED_VALUE"""),"FROY BERANA")</f>
        <v>FROY BERANA</v>
      </c>
      <c r="L2220" s="164" t="str">
        <f ca="1">IFERROR(__xludf.DUMMYFUNCTION("""COMPUTED_VALUE"""),"STOD")</f>
        <v>STOD</v>
      </c>
      <c r="M2220" s="164" t="str">
        <f ca="1">IFERROR(__xludf.DUMMYFUNCTION("""COMPUTED_VALUE"""),"SERVICEABLE")</f>
        <v>SERVICEABLE</v>
      </c>
      <c r="N2220" s="164"/>
    </row>
    <row r="2221" spans="1:14" ht="13.2" hidden="1">
      <c r="A2221" s="164" t="str">
        <f ca="1">IFERROR(__xludf.DUMMYFUNCTION("""COMPUTED_VALUE"""),"REGION V")</f>
        <v>REGION V</v>
      </c>
      <c r="B2221" s="164" t="str">
        <f ca="1">IFERROR(__xludf.DUMMYFUNCTION("""COMPUTED_VALUE"""),"DARROV")</f>
        <v>DARROV</v>
      </c>
      <c r="C2221" s="164" t="str">
        <f ca="1">IFERROR(__xludf.DUMMYFUNCTION("""COMPUTED_VALUE"""),"LAPTOP MSI KATANA")</f>
        <v>LAPTOP MSI KATANA</v>
      </c>
      <c r="D2221" s="164" t="str">
        <f ca="1">IFERROR(__xludf.DUMMYFUNCTION("""COMPUTED_VALUE"""),"₱ 142,100.00")</f>
        <v>₱ 142,100.00</v>
      </c>
      <c r="E2221" s="164" t="str">
        <f ca="1">IFERROR(__xludf.DUMMYFUNCTION("""COMPUTED_VALUE"""),"₱ -")</f>
        <v>₱ -</v>
      </c>
      <c r="F2221" s="164" t="str">
        <f ca="1">IFERROR(__xludf.DUMMYFUNCTION("""COMPUTED_VALUE"""),"2024-05-03-10202SPO47-01")</f>
        <v>2024-05-03-10202SPO47-01</v>
      </c>
      <c r="G2221" s="164"/>
      <c r="H2221" s="164" t="str">
        <f ca="1">IFERROR(__xludf.DUMMYFUNCTION("""COMPUTED_VALUE"""),"ESTEVES J.")</f>
        <v>ESTEVES J.</v>
      </c>
      <c r="I2221" s="164" t="str">
        <f ca="1">IFERROR(__xludf.DUMMYFUNCTION("""COMPUTED_VALUE"""),"ISA II")</f>
        <v>ISA II</v>
      </c>
      <c r="J2221" s="164"/>
      <c r="K2221" s="164" t="str">
        <f ca="1">IFERROR(__xludf.DUMMYFUNCTION("""COMPUTED_VALUE"""),"ESTEVES J.")</f>
        <v>ESTEVES J.</v>
      </c>
      <c r="L2221" s="164" t="str">
        <f ca="1">IFERROR(__xludf.DUMMYFUNCTION("""COMPUTED_VALUE"""),"STOD")</f>
        <v>STOD</v>
      </c>
      <c r="M2221" s="164" t="str">
        <f ca="1">IFERROR(__xludf.DUMMYFUNCTION("""COMPUTED_VALUE"""),"Serviceable")</f>
        <v>Serviceable</v>
      </c>
      <c r="N2221" s="164"/>
    </row>
    <row r="2222" spans="1:14" ht="13.2" hidden="1">
      <c r="A2222" s="164" t="str">
        <f ca="1">IFERROR(__xludf.DUMMYFUNCTION("""COMPUTED_VALUE"""),"REGION V")</f>
        <v>REGION V</v>
      </c>
      <c r="B2222" s="164" t="str">
        <f ca="1">IFERROR(__xludf.DUMMYFUNCTION("""COMPUTED_VALUE"""),"DARROV")</f>
        <v>DARROV</v>
      </c>
      <c r="C2222" s="164" t="str">
        <f ca="1">IFERROR(__xludf.DUMMYFUNCTION("""COMPUTED_VALUE"""),"LAPTOP MSI KATANA")</f>
        <v>LAPTOP MSI KATANA</v>
      </c>
      <c r="D2222" s="164" t="str">
        <f ca="1">IFERROR(__xludf.DUMMYFUNCTION("""COMPUTED_VALUE"""),"₱ 142,100.00")</f>
        <v>₱ 142,100.00</v>
      </c>
      <c r="E2222" s="164" t="str">
        <f ca="1">IFERROR(__xludf.DUMMYFUNCTION("""COMPUTED_VALUE"""),"₱ -")</f>
        <v>₱ -</v>
      </c>
      <c r="F2222" s="164" t="str">
        <f ca="1">IFERROR(__xludf.DUMMYFUNCTION("""COMPUTED_VALUE"""),"2024-05-03-10202SPO48-01")</f>
        <v>2024-05-03-10202SPO48-01</v>
      </c>
      <c r="G2222" s="164"/>
      <c r="H2222" s="164" t="str">
        <f ca="1">IFERROR(__xludf.DUMMYFUNCTION("""COMPUTED_VALUE"""),"SHINKAI YU")</f>
        <v>SHINKAI YU</v>
      </c>
      <c r="I2222" s="164" t="str">
        <f ca="1">IFERROR(__xludf.DUMMYFUNCTION("""COMPUTED_VALUE"""),"AO III")</f>
        <v>AO III</v>
      </c>
      <c r="J2222" s="164"/>
      <c r="K2222" s="164" t="str">
        <f ca="1">IFERROR(__xludf.DUMMYFUNCTION("""COMPUTED_VALUE"""),"SHINKAI YU")</f>
        <v>SHINKAI YU</v>
      </c>
      <c r="L2222" s="164" t="str">
        <f ca="1">IFERROR(__xludf.DUMMYFUNCTION("""COMPUTED_VALUE"""),"STOD")</f>
        <v>STOD</v>
      </c>
      <c r="M2222" s="164" t="str">
        <f ca="1">IFERROR(__xludf.DUMMYFUNCTION("""COMPUTED_VALUE"""),"Serviceable")</f>
        <v>Serviceable</v>
      </c>
      <c r="N2222" s="164"/>
    </row>
    <row r="2223" spans="1:14" ht="13.2" hidden="1">
      <c r="A2223" s="164" t="str">
        <f ca="1">IFERROR(__xludf.DUMMYFUNCTION("""COMPUTED_VALUE"""),"REGION V")</f>
        <v>REGION V</v>
      </c>
      <c r="B2223" s="164" t="str">
        <f ca="1">IFERROR(__xludf.DUMMYFUNCTION("""COMPUTED_VALUE"""),"DARROV")</f>
        <v>DARROV</v>
      </c>
      <c r="C2223" s="164" t="str">
        <f ca="1">IFERROR(__xludf.DUMMYFUNCTION("""COMPUTED_VALUE"""),"LAPTOP MSI KATANA")</f>
        <v>LAPTOP MSI KATANA</v>
      </c>
      <c r="D2223" s="164" t="str">
        <f ca="1">IFERROR(__xludf.DUMMYFUNCTION("""COMPUTED_VALUE"""),"₱ 142,100.00")</f>
        <v>₱ 142,100.00</v>
      </c>
      <c r="E2223" s="164" t="str">
        <f ca="1">IFERROR(__xludf.DUMMYFUNCTION("""COMPUTED_VALUE"""),"₱ -")</f>
        <v>₱ -</v>
      </c>
      <c r="F2223" s="164" t="str">
        <f ca="1">IFERROR(__xludf.DUMMYFUNCTION("""COMPUTED_VALUE"""),"2024-05-03-10202SPO49-01")</f>
        <v>2024-05-03-10202SPO49-01</v>
      </c>
      <c r="G2223" s="164"/>
      <c r="H2223" s="164" t="str">
        <f ca="1">IFERROR(__xludf.DUMMYFUNCTION("""COMPUTED_VALUE"""),"MUNI A.")</f>
        <v>MUNI A.</v>
      </c>
      <c r="I2223" s="164" t="str">
        <f ca="1">IFERROR(__xludf.DUMMYFUNCTION("""COMPUTED_VALUE"""),"ARPT")</f>
        <v>ARPT</v>
      </c>
      <c r="J2223" s="164"/>
      <c r="K2223" s="164" t="str">
        <f ca="1">IFERROR(__xludf.DUMMYFUNCTION("""COMPUTED_VALUE"""),"MUNI A.")</f>
        <v>MUNI A.</v>
      </c>
      <c r="L2223" s="164" t="str">
        <f ca="1">IFERROR(__xludf.DUMMYFUNCTION("""COMPUTED_VALUE"""),"STOD")</f>
        <v>STOD</v>
      </c>
      <c r="M2223" s="164" t="str">
        <f ca="1">IFERROR(__xludf.DUMMYFUNCTION("""COMPUTED_VALUE"""),"Serviceable")</f>
        <v>Serviceable</v>
      </c>
      <c r="N2223" s="164"/>
    </row>
    <row r="2224" spans="1:14" ht="13.2" hidden="1">
      <c r="A2224" s="164" t="str">
        <f ca="1">IFERROR(__xludf.DUMMYFUNCTION("""COMPUTED_VALUE"""),"REGION V")</f>
        <v>REGION V</v>
      </c>
      <c r="B2224" s="164" t="str">
        <f ca="1">IFERROR(__xludf.DUMMYFUNCTION("""COMPUTED_VALUE"""),"DARROV")</f>
        <v>DARROV</v>
      </c>
      <c r="C2224" s="164" t="str">
        <f ca="1">IFERROR(__xludf.DUMMYFUNCTION("""COMPUTED_VALUE"""),"LAPTOP MSI KATANA")</f>
        <v>LAPTOP MSI KATANA</v>
      </c>
      <c r="D2224" s="164" t="str">
        <f ca="1">IFERROR(__xludf.DUMMYFUNCTION("""COMPUTED_VALUE"""),"₱ 142,100.00")</f>
        <v>₱ 142,100.00</v>
      </c>
      <c r="E2224" s="164" t="str">
        <f ca="1">IFERROR(__xludf.DUMMYFUNCTION("""COMPUTED_VALUE"""),"₱ -")</f>
        <v>₱ -</v>
      </c>
      <c r="F2224" s="164" t="str">
        <f ca="1">IFERROR(__xludf.DUMMYFUNCTION("""COMPUTED_VALUE"""),"2024-05-03-10202SPO46-01")</f>
        <v>2024-05-03-10202SPO46-01</v>
      </c>
      <c r="G2224" s="164"/>
      <c r="H2224" s="164" t="str">
        <f ca="1">IFERROR(__xludf.DUMMYFUNCTION("""COMPUTED_VALUE"""),"TAMBAL")</f>
        <v>TAMBAL</v>
      </c>
      <c r="I2224" s="164" t="str">
        <f ca="1">IFERROR(__xludf.DUMMYFUNCTION("""COMPUTED_VALUE"""),"OIC-ARDA")</f>
        <v>OIC-ARDA</v>
      </c>
      <c r="J2224" s="164"/>
      <c r="K2224" s="164" t="str">
        <f ca="1">IFERROR(__xludf.DUMMYFUNCTION("""COMPUTED_VALUE"""),"TAMBAL H.")</f>
        <v>TAMBAL H.</v>
      </c>
      <c r="L2224" s="164" t="str">
        <f ca="1">IFERROR(__xludf.DUMMYFUNCTION("""COMPUTED_VALUE"""),"OARDA's OFFICE")</f>
        <v>OARDA's OFFICE</v>
      </c>
      <c r="M2224" s="164" t="str">
        <f ca="1">IFERROR(__xludf.DUMMYFUNCTION("""COMPUTED_VALUE"""),"SERVICEABLE")</f>
        <v>SERVICEABLE</v>
      </c>
      <c r="N2224" s="164"/>
    </row>
    <row r="2225" spans="1:14" ht="13.2" hidden="1">
      <c r="A2225" s="164" t="str">
        <f ca="1">IFERROR(__xludf.DUMMYFUNCTION("""COMPUTED_VALUE"""),"REGION V")</f>
        <v>REGION V</v>
      </c>
      <c r="B2225" s="164" t="str">
        <f ca="1">IFERROR(__xludf.DUMMYFUNCTION("""COMPUTED_VALUE"""),"CAM. SUR 1")</f>
        <v>CAM. SUR 1</v>
      </c>
      <c r="C2225" s="164" t="str">
        <f ca="1">IFERROR(__xludf.DUMMYFUNCTION("""COMPUTED_VALUE"""),"Desktop Computer – (MSI PRO DP180)")</f>
        <v>Desktop Computer – (MSI PRO DP180)</v>
      </c>
      <c r="D2225" s="164" t="str">
        <f ca="1">IFERROR(__xludf.DUMMYFUNCTION("""COMPUTED_VALUE"""),"₱ 49,300.00")</f>
        <v>₱ 49,300.00</v>
      </c>
      <c r="E2225" s="164" t="str">
        <f ca="1">IFERROR(__xludf.DUMMYFUNCTION("""COMPUTED_VALUE"""),"₱ -")</f>
        <v>₱ -</v>
      </c>
      <c r="F2225" s="164" t="str">
        <f ca="1">IFERROR(__xludf.DUMMYFUNCTION("""COMPUTED_VALUE"""),"HVSPLIT-102-24-05-01-378")</f>
        <v>HVSPLIT-102-24-05-01-378</v>
      </c>
      <c r="G2225" s="164"/>
      <c r="H2225" s="164" t="str">
        <f ca="1">IFERROR(__xludf.DUMMYFUNCTION("""COMPUTED_VALUE"""),"GERRY L. MATAMOROSA")</f>
        <v>GERRY L. MATAMOROSA</v>
      </c>
      <c r="I2225" s="164" t="str">
        <f ca="1">IFERROR(__xludf.DUMMYFUNCTION("""COMPUTED_VALUE"""),"CARPO-PBD")</f>
        <v>CARPO-PBD</v>
      </c>
      <c r="J2225" s="164"/>
      <c r="K2225" s="164" t="str">
        <f ca="1">IFERROR(__xludf.DUMMYFUNCTION("""COMPUTED_VALUE"""),"GERRY L. MATAMOROSA")</f>
        <v>GERRY L. MATAMOROSA</v>
      </c>
      <c r="L2225" s="164" t="str">
        <f ca="1">IFERROR(__xludf.DUMMYFUNCTION("""COMPUTED_VALUE"""),"CARPO-PBD")</f>
        <v>CARPO-PBD</v>
      </c>
      <c r="M2225" s="164" t="str">
        <f ca="1">IFERROR(__xludf.DUMMYFUNCTION("""COMPUTED_VALUE"""),"SERVICEABLE")</f>
        <v>SERVICEABLE</v>
      </c>
      <c r="N2225" s="164"/>
    </row>
    <row r="2226" spans="1:14" ht="13.2" hidden="1">
      <c r="A2226" s="164" t="str">
        <f ca="1">IFERROR(__xludf.DUMMYFUNCTION("""COMPUTED_VALUE"""),"REGION V")</f>
        <v>REGION V</v>
      </c>
      <c r="B2226" s="164" t="str">
        <f ca="1">IFERROR(__xludf.DUMMYFUNCTION("""COMPUTED_VALUE"""),"CAM. SUR 1")</f>
        <v>CAM. SUR 1</v>
      </c>
      <c r="C2226" s="164" t="str">
        <f ca="1">IFERROR(__xludf.DUMMYFUNCTION("""COMPUTED_VALUE"""),"Desktop Computer – (MSI PRO DP180)")</f>
        <v>Desktop Computer – (MSI PRO DP180)</v>
      </c>
      <c r="D2226" s="164" t="str">
        <f ca="1">IFERROR(__xludf.DUMMYFUNCTION("""COMPUTED_VALUE"""),"₱ 49,300.00")</f>
        <v>₱ 49,300.00</v>
      </c>
      <c r="E2226" s="164" t="str">
        <f ca="1">IFERROR(__xludf.DUMMYFUNCTION("""COMPUTED_VALUE"""),"₱ -")</f>
        <v>₱ -</v>
      </c>
      <c r="F2226" s="164" t="str">
        <f ca="1">IFERROR(__xludf.DUMMYFUNCTION("""COMPUTED_VALUE"""),"HVSPLIT-102-24-05-01-379")</f>
        <v>HVSPLIT-102-24-05-01-379</v>
      </c>
      <c r="G2226" s="164"/>
      <c r="H2226" s="164" t="str">
        <f ca="1">IFERROR(__xludf.DUMMYFUNCTION("""COMPUTED_VALUE"""),"GERRY L. MATAMOROSA")</f>
        <v>GERRY L. MATAMOROSA</v>
      </c>
      <c r="I2226" s="164" t="str">
        <f ca="1">IFERROR(__xludf.DUMMYFUNCTION("""COMPUTED_VALUE"""),"CARPO-PBD")</f>
        <v>CARPO-PBD</v>
      </c>
      <c r="J2226" s="164"/>
      <c r="K2226" s="164" t="str">
        <f ca="1">IFERROR(__xludf.DUMMYFUNCTION("""COMPUTED_VALUE"""),"GERRY L. MATAMOROSA")</f>
        <v>GERRY L. MATAMOROSA</v>
      </c>
      <c r="L2226" s="164" t="str">
        <f ca="1">IFERROR(__xludf.DUMMYFUNCTION("""COMPUTED_VALUE"""),"CARPO-PBD")</f>
        <v>CARPO-PBD</v>
      </c>
      <c r="M2226" s="164" t="str">
        <f ca="1">IFERROR(__xludf.DUMMYFUNCTION("""COMPUTED_VALUE"""),"SERVICEABLE")</f>
        <v>SERVICEABLE</v>
      </c>
      <c r="N2226" s="164"/>
    </row>
    <row r="2227" spans="1:14" ht="13.2" hidden="1">
      <c r="A2227" s="164" t="str">
        <f ca="1">IFERROR(__xludf.DUMMYFUNCTION("""COMPUTED_VALUE"""),"REGION V")</f>
        <v>REGION V</v>
      </c>
      <c r="B2227" s="164" t="str">
        <f ca="1">IFERROR(__xludf.DUMMYFUNCTION("""COMPUTED_VALUE"""),"CAM. SUR 1")</f>
        <v>CAM. SUR 1</v>
      </c>
      <c r="C2227" s="164" t="str">
        <f ca="1">IFERROR(__xludf.DUMMYFUNCTION("""COMPUTED_VALUE"""),"Desktop Computer – (MSI PRO DP180)")</f>
        <v>Desktop Computer – (MSI PRO DP180)</v>
      </c>
      <c r="D2227" s="164" t="str">
        <f ca="1">IFERROR(__xludf.DUMMYFUNCTION("""COMPUTED_VALUE"""),"₱ 49,300.00")</f>
        <v>₱ 49,300.00</v>
      </c>
      <c r="E2227" s="164" t="str">
        <f ca="1">IFERROR(__xludf.DUMMYFUNCTION("""COMPUTED_VALUE"""),"₱ -")</f>
        <v>₱ -</v>
      </c>
      <c r="F2227" s="164" t="str">
        <f ca="1">IFERROR(__xludf.DUMMYFUNCTION("""COMPUTED_VALUE"""),"HVSPLIT-102-24-05-01-380")</f>
        <v>HVSPLIT-102-24-05-01-380</v>
      </c>
      <c r="G2227" s="164"/>
      <c r="H2227" s="164" t="str">
        <f ca="1">IFERROR(__xludf.DUMMYFUNCTION("""COMPUTED_VALUE"""),"MARK ANDREI S. BACHO")</f>
        <v>MARK ANDREI S. BACHO</v>
      </c>
      <c r="I2227" s="164" t="str">
        <f ca="1">IFERROR(__xludf.DUMMYFUNCTION("""COMPUTED_VALUE"""),"ARPT-LTSP")</f>
        <v>ARPT-LTSP</v>
      </c>
      <c r="J2227" s="164"/>
      <c r="K2227" s="164" t="str">
        <f ca="1">IFERROR(__xludf.DUMMYFUNCTION("""COMPUTED_VALUE"""),"MARK ANDREI S. BACHO")</f>
        <v>MARK ANDREI S. BACHO</v>
      </c>
      <c r="L2227" s="164" t="str">
        <f ca="1">IFERROR(__xludf.DUMMYFUNCTION("""COMPUTED_VALUE"""),"ARPT-LTSP")</f>
        <v>ARPT-LTSP</v>
      </c>
      <c r="M2227" s="164" t="str">
        <f ca="1">IFERROR(__xludf.DUMMYFUNCTION("""COMPUTED_VALUE"""),"SERVICEABLE")</f>
        <v>SERVICEABLE</v>
      </c>
      <c r="N2227" s="164"/>
    </row>
    <row r="2228" spans="1:14" ht="13.2" hidden="1">
      <c r="A2228" s="164" t="str">
        <f ca="1">IFERROR(__xludf.DUMMYFUNCTION("""COMPUTED_VALUE"""),"REGION V")</f>
        <v>REGION V</v>
      </c>
      <c r="B2228" s="164" t="str">
        <f ca="1">IFERROR(__xludf.DUMMYFUNCTION("""COMPUTED_VALUE"""),"CATANDUANES")</f>
        <v>CATANDUANES</v>
      </c>
      <c r="C2228" s="164" t="str">
        <f ca="1">IFERROR(__xludf.DUMMYFUNCTION("""COMPUTED_VALUE"""),"Desktop Computer – (MSI PRO DP180)")</f>
        <v>Desktop Computer – (MSI PRO DP180)</v>
      </c>
      <c r="D2228" s="164" t="str">
        <f ca="1">IFERROR(__xludf.DUMMYFUNCTION("""COMPUTED_VALUE"""),"₱ 49,300.00")</f>
        <v>₱ 49,300.00</v>
      </c>
      <c r="E2228" s="164" t="str">
        <f ca="1">IFERROR(__xludf.DUMMYFUNCTION("""COMPUTED_VALUE"""),"₱ -")</f>
        <v>₱ -</v>
      </c>
      <c r="F2228" s="164" t="str">
        <f ca="1">IFERROR(__xludf.DUMMYFUNCTION("""COMPUTED_VALUE"""),"HVSPLIT-102-24-05-01-384")</f>
        <v>HVSPLIT-102-24-05-01-384</v>
      </c>
      <c r="G2228" s="164"/>
      <c r="H2228" s="164" t="str">
        <f ca="1">IFERROR(__xludf.DUMMYFUNCTION("""COMPUTED_VALUE"""),"MA. KATRINA M. SARAUSA")</f>
        <v>MA. KATRINA M. SARAUSA</v>
      </c>
      <c r="I2228" s="164" t="str">
        <f ca="1">IFERROR(__xludf.DUMMYFUNCTION("""COMPUTED_VALUE"""),"ARPO I")</f>
        <v>ARPO I</v>
      </c>
      <c r="J2228" s="164"/>
      <c r="K2228" s="164" t="str">
        <f ca="1">IFERROR(__xludf.DUMMYFUNCTION("""COMPUTED_VALUE"""),"MA. KATRINA M. SARAUSA")</f>
        <v>MA. KATRINA M. SARAUSA</v>
      </c>
      <c r="L2228" s="164" t="str">
        <f ca="1">IFERROR(__xludf.DUMMYFUNCTION("""COMPUTED_VALUE"""),"PBDD")</f>
        <v>PBDD</v>
      </c>
      <c r="M2228" s="164" t="str">
        <f ca="1">IFERROR(__xludf.DUMMYFUNCTION("""COMPUTED_VALUE"""),"SERVICEABLE")</f>
        <v>SERVICEABLE</v>
      </c>
      <c r="N2228" s="164"/>
    </row>
    <row r="2229" spans="1:14" ht="13.2" hidden="1">
      <c r="A2229" s="164" t="str">
        <f ca="1">IFERROR(__xludf.DUMMYFUNCTION("""COMPUTED_VALUE"""),"REGION V")</f>
        <v>REGION V</v>
      </c>
      <c r="B2229" s="164" t="str">
        <f ca="1">IFERROR(__xludf.DUMMYFUNCTION("""COMPUTED_VALUE"""),"CATANDUANES")</f>
        <v>CATANDUANES</v>
      </c>
      <c r="C2229" s="164" t="str">
        <f ca="1">IFERROR(__xludf.DUMMYFUNCTION("""COMPUTED_VALUE"""),"Desktop Computer – (MSI PRO DP180)")</f>
        <v>Desktop Computer – (MSI PRO DP180)</v>
      </c>
      <c r="D2229" s="164" t="str">
        <f ca="1">IFERROR(__xludf.DUMMYFUNCTION("""COMPUTED_VALUE"""),"₱ 49,300.00")</f>
        <v>₱ 49,300.00</v>
      </c>
      <c r="E2229" s="164" t="str">
        <f ca="1">IFERROR(__xludf.DUMMYFUNCTION("""COMPUTED_VALUE"""),"₱ -")</f>
        <v>₱ -</v>
      </c>
      <c r="F2229" s="164" t="str">
        <f ca="1">IFERROR(__xludf.DUMMYFUNCTION("""COMPUTED_VALUE"""),"HVSPLIT-102-24-05-01-385")</f>
        <v>HVSPLIT-102-24-05-01-385</v>
      </c>
      <c r="G2229" s="164"/>
      <c r="H2229" s="164" t="str">
        <f ca="1">IFERROR(__xludf.DUMMYFUNCTION("""COMPUTED_VALUE"""),"ROWEL CLEMENTE P. BENITEZ")</f>
        <v>ROWEL CLEMENTE P. BENITEZ</v>
      </c>
      <c r="I2229" s="164" t="str">
        <f ca="1">IFERROR(__xludf.DUMMYFUNCTION("""COMPUTED_VALUE"""),"MARPO")</f>
        <v>MARPO</v>
      </c>
      <c r="J2229" s="164"/>
      <c r="K2229" s="164" t="str">
        <f ca="1">IFERROR(__xludf.DUMMYFUNCTION("""COMPUTED_VALUE"""),"ROWEL CLEMENTE P. BENITEZ")</f>
        <v>ROWEL CLEMENTE P. BENITEZ</v>
      </c>
      <c r="L2229" s="164" t="str">
        <f ca="1">IFERROR(__xludf.DUMMYFUNCTION("""COMPUTED_VALUE"""),"LTID")</f>
        <v>LTID</v>
      </c>
      <c r="M2229" s="164" t="str">
        <f ca="1">IFERROR(__xludf.DUMMYFUNCTION("""COMPUTED_VALUE"""),"SERVICEABLE")</f>
        <v>SERVICEABLE</v>
      </c>
      <c r="N2229" s="164"/>
    </row>
    <row r="2230" spans="1:14" ht="13.2" hidden="1">
      <c r="A2230" s="164" t="str">
        <f ca="1">IFERROR(__xludf.DUMMYFUNCTION("""COMPUTED_VALUE"""),"REGION V")</f>
        <v>REGION V</v>
      </c>
      <c r="B2230" s="164" t="str">
        <f ca="1">IFERROR(__xludf.DUMMYFUNCTION("""COMPUTED_VALUE"""),"CATANDUANES")</f>
        <v>CATANDUANES</v>
      </c>
      <c r="C2230" s="164" t="str">
        <f ca="1">IFERROR(__xludf.DUMMYFUNCTION("""COMPUTED_VALUE"""),"Desktop Computer – (MSI PRO DP180)")</f>
        <v>Desktop Computer – (MSI PRO DP180)</v>
      </c>
      <c r="D2230" s="164" t="str">
        <f ca="1">IFERROR(__xludf.DUMMYFUNCTION("""COMPUTED_VALUE"""),"₱ 49,300.00")</f>
        <v>₱ 49,300.00</v>
      </c>
      <c r="E2230" s="164" t="str">
        <f ca="1">IFERROR(__xludf.DUMMYFUNCTION("""COMPUTED_VALUE"""),"₱ -")</f>
        <v>₱ -</v>
      </c>
      <c r="F2230" s="164" t="str">
        <f ca="1">IFERROR(__xludf.DUMMYFUNCTION("""COMPUTED_VALUE"""),"HVSPLIT-102-24-05-01-386")</f>
        <v>HVSPLIT-102-24-05-01-386</v>
      </c>
      <c r="G2230" s="164"/>
      <c r="H2230" s="164" t="str">
        <f ca="1">IFERROR(__xludf.DUMMYFUNCTION("""COMPUTED_VALUE"""),"SARAHC. TITO")</f>
        <v>SARAHC. TITO</v>
      </c>
      <c r="I2230" s="164" t="str">
        <f ca="1">IFERROR(__xludf.DUMMYFUNCTION("""COMPUTED_VALUE"""),"PCAO")</f>
        <v>PCAO</v>
      </c>
      <c r="J2230" s="164"/>
      <c r="K2230" s="164" t="str">
        <f ca="1">IFERROR(__xludf.DUMMYFUNCTION("""COMPUTED_VALUE"""),"SARAHC. TITO")</f>
        <v>SARAHC. TITO</v>
      </c>
      <c r="L2230" s="164" t="str">
        <f ca="1">IFERROR(__xludf.DUMMYFUNCTION("""COMPUTED_VALUE"""),"STOD")</f>
        <v>STOD</v>
      </c>
      <c r="M2230" s="164" t="str">
        <f ca="1">IFERROR(__xludf.DUMMYFUNCTION("""COMPUTED_VALUE"""),"SERVICEABLE")</f>
        <v>SERVICEABLE</v>
      </c>
      <c r="N2230" s="164"/>
    </row>
    <row r="2231" spans="1:14" ht="13.2">
      <c r="A2231" s="164" t="str">
        <f ca="1">IFERROR(__xludf.DUMMYFUNCTION("""COMPUTED_VALUE"""),"NCR")</f>
        <v>NCR</v>
      </c>
      <c r="B2231" s="164" t="str">
        <f ca="1">IFERROR(__xludf.DUMMYFUNCTION("""COMPUTED_VALUE"""),"DENR")</f>
        <v>DENR</v>
      </c>
      <c r="C2231" s="164" t="str">
        <f ca="1">IFERROR(__xludf.DUMMYFUNCTION("""COMPUTED_VALUE"""),"Desktop Computer – (HP Pro SFF 280G9)")</f>
        <v>Desktop Computer – (HP Pro SFF 280G9)</v>
      </c>
      <c r="D2231" s="164" t="str">
        <f ca="1">IFERROR(__xludf.DUMMYFUNCTION("""COMPUTED_VALUE"""),"₱ 78,898.00")</f>
        <v>₱ 78,898.00</v>
      </c>
      <c r="E2231" s="164" t="str">
        <f ca="1">IFERROR(__xludf.DUMMYFUNCTION("""COMPUTED_VALUE"""),"₱ -")</f>
        <v>₱ -</v>
      </c>
      <c r="F2231" s="164" t="str">
        <f ca="1">IFERROR(__xludf.DUMMYFUNCTION("""COMPUTED_VALUE"""),"2023-05-03-10202SP139-01")</f>
        <v>2023-05-03-10202SP139-01</v>
      </c>
      <c r="G2231" s="164"/>
      <c r="H2231" s="164" t="str">
        <f ca="1">IFERROR(__xludf.DUMMYFUNCTION("""COMPUTED_VALUE"""),"DENR")</f>
        <v>DENR</v>
      </c>
      <c r="I2231" s="164" t="str">
        <f ca="1">IFERROR(__xludf.DUMMYFUNCTION("""COMPUTED_VALUE"""),"DENR")</f>
        <v>DENR</v>
      </c>
      <c r="J2231" s="164" t="str">
        <f ca="1">IFERROR(__xludf.DUMMYFUNCTION("""COMPUTED_VALUE"""),"DENR")</f>
        <v>DENR</v>
      </c>
      <c r="K2231" s="164" t="str">
        <f ca="1">IFERROR(__xludf.DUMMYFUNCTION("""COMPUTED_VALUE"""),"DENR")</f>
        <v>DENR</v>
      </c>
      <c r="L2231" s="164" t="str">
        <f ca="1">IFERROR(__xludf.DUMMYFUNCTION("""COMPUTED_VALUE"""),"DENR")</f>
        <v>DENR</v>
      </c>
      <c r="M2231" s="164" t="str">
        <f ca="1">IFERROR(__xludf.DUMMYFUNCTION("""COMPUTED_VALUE"""),"SERVICEABLE")</f>
        <v>SERVICEABLE</v>
      </c>
      <c r="N2231" s="164" t="str">
        <f ca="1">IFERROR(__xludf.DUMMYFUNCTION("""COMPUTED_VALUE"""),"DPLOYED TO DENR REGION 5")</f>
        <v>DPLOYED TO DENR REGION 5</v>
      </c>
    </row>
    <row r="2232" spans="1:14" ht="13.2">
      <c r="A2232" s="164" t="str">
        <f ca="1">IFERROR(__xludf.DUMMYFUNCTION("""COMPUTED_VALUE"""),"NCR")</f>
        <v>NCR</v>
      </c>
      <c r="B2232" s="164" t="str">
        <f ca="1">IFERROR(__xludf.DUMMYFUNCTION("""COMPUTED_VALUE"""),"DENR")</f>
        <v>DENR</v>
      </c>
      <c r="C2232" s="164" t="str">
        <f ca="1">IFERROR(__xludf.DUMMYFUNCTION("""COMPUTED_VALUE"""),"Desktop Computer – (HP Pro SFF 280G9)")</f>
        <v>Desktop Computer – (HP Pro SFF 280G9)</v>
      </c>
      <c r="D2232" s="164" t="str">
        <f ca="1">IFERROR(__xludf.DUMMYFUNCTION("""COMPUTED_VALUE"""),"₱ 78,898.00")</f>
        <v>₱ 78,898.00</v>
      </c>
      <c r="E2232" s="164" t="str">
        <f ca="1">IFERROR(__xludf.DUMMYFUNCTION("""COMPUTED_VALUE"""),"₱ -")</f>
        <v>₱ -</v>
      </c>
      <c r="F2232" s="164" t="str">
        <f ca="1">IFERROR(__xludf.DUMMYFUNCTION("""COMPUTED_VALUE"""),"2023-05-03-10202SP140-01")</f>
        <v>2023-05-03-10202SP140-01</v>
      </c>
      <c r="G2232" s="164"/>
      <c r="H2232" s="164" t="str">
        <f ca="1">IFERROR(__xludf.DUMMYFUNCTION("""COMPUTED_VALUE"""),"DENR")</f>
        <v>DENR</v>
      </c>
      <c r="I2232" s="164" t="str">
        <f ca="1">IFERROR(__xludf.DUMMYFUNCTION("""COMPUTED_VALUE"""),"DENR")</f>
        <v>DENR</v>
      </c>
      <c r="J2232" s="164" t="str">
        <f ca="1">IFERROR(__xludf.DUMMYFUNCTION("""COMPUTED_VALUE"""),"DENR")</f>
        <v>DENR</v>
      </c>
      <c r="K2232" s="164" t="str">
        <f ca="1">IFERROR(__xludf.DUMMYFUNCTION("""COMPUTED_VALUE"""),"DENR")</f>
        <v>DENR</v>
      </c>
      <c r="L2232" s="164" t="str">
        <f ca="1">IFERROR(__xludf.DUMMYFUNCTION("""COMPUTED_VALUE"""),"DENR")</f>
        <v>DENR</v>
      </c>
      <c r="M2232" s="164" t="str">
        <f ca="1">IFERROR(__xludf.DUMMYFUNCTION("""COMPUTED_VALUE"""),"SERVICEABLE")</f>
        <v>SERVICEABLE</v>
      </c>
      <c r="N2232" s="164" t="str">
        <f ca="1">IFERROR(__xludf.DUMMYFUNCTION("""COMPUTED_VALUE"""),"DPLOYED TO DENR REGION 5")</f>
        <v>DPLOYED TO DENR REGION 5</v>
      </c>
    </row>
    <row r="2233" spans="1:14" ht="13.2" hidden="1">
      <c r="A2233" s="164" t="str">
        <f ca="1">IFERROR(__xludf.DUMMYFUNCTION("""COMPUTED_VALUE"""),"REGION V")</f>
        <v>REGION V</v>
      </c>
      <c r="B2233" s="164" t="str">
        <f ca="1">IFERROR(__xludf.DUMMYFUNCTION("""COMPUTED_VALUE"""),"CAMRINES SUR II")</f>
        <v>CAMRINES SUR II</v>
      </c>
      <c r="C2233" s="164" t="str">
        <f ca="1">IFERROR(__xludf.DUMMYFUNCTION("""COMPUTED_VALUE"""),"REAL-TIME KINEMATIC – GEOMAX ZENITH60")</f>
        <v>REAL-TIME KINEMATIC – GEOMAX ZENITH60</v>
      </c>
      <c r="D2233" s="164" t="str">
        <f ca="1">IFERROR(__xludf.DUMMYFUNCTION("""COMPUTED_VALUE"""),"₱ 1,849,000.00")</f>
        <v>₱ 1,849,000.00</v>
      </c>
      <c r="E2233" s="164" t="str">
        <f ca="1">IFERROR(__xludf.DUMMYFUNCTION("""COMPUTED_VALUE"""),"₱ -")</f>
        <v>₱ -</v>
      </c>
      <c r="F2233" s="164" t="str">
        <f ca="1">IFERROR(__xludf.DUMMYFUNCTION("""COMPUTED_VALUE"""),"2023-05-14-10201SP07-01")</f>
        <v>2023-05-14-10201SP07-01</v>
      </c>
      <c r="G2233" s="164" t="str">
        <f ca="1">IFERROR(__xludf.DUMMYFUNCTION("""COMPUTED_VALUE"""),"SN-Z6OST272200435")</f>
        <v>SN-Z6OST272200435</v>
      </c>
      <c r="H2233" s="164" t="str">
        <f ca="1">IFERROR(__xludf.DUMMYFUNCTION("""COMPUTED_VALUE"""),"ENGR. RENATO C. BEQUILLO")</f>
        <v>ENGR. RENATO C. BEQUILLO</v>
      </c>
      <c r="I2233" s="164" t="str">
        <f ca="1">IFERROR(__xludf.DUMMYFUNCTION("""COMPUTED_VALUE"""),"PARPO II")</f>
        <v>PARPO II</v>
      </c>
      <c r="J2233" s="164" t="str">
        <f ca="1">IFERROR(__xludf.DUMMYFUNCTION("""COMPUTED_VALUE"""),"LTID SPLIT-2023-044")</f>
        <v>LTID SPLIT-2023-044</v>
      </c>
      <c r="K2233" s="164" t="str">
        <f ca="1">IFERROR(__xludf.DUMMYFUNCTION("""COMPUTED_VALUE"""),"ENGR. MARIBEL TEODONES")</f>
        <v>ENGR. MARIBEL TEODONES</v>
      </c>
      <c r="L2233" s="164" t="str">
        <f ca="1">IFERROR(__xludf.DUMMYFUNCTION("""COMPUTED_VALUE"""),"SURVEY OFFICE")</f>
        <v>SURVEY OFFICE</v>
      </c>
      <c r="M2233" s="164" t="str">
        <f ca="1">IFERROR(__xludf.DUMMYFUNCTION("""COMPUTED_VALUE"""),"SERVICEABLE")</f>
        <v>SERVICEABLE</v>
      </c>
      <c r="N2233" s="164"/>
    </row>
    <row r="2234" spans="1:14" ht="13.2" hidden="1">
      <c r="A2234" s="164" t="str">
        <f ca="1">IFERROR(__xludf.DUMMYFUNCTION("""COMPUTED_VALUE"""),"REGION V")</f>
        <v>REGION V</v>
      </c>
      <c r="B2234" s="164" t="str">
        <f ca="1">IFERROR(__xludf.DUMMYFUNCTION("""COMPUTED_VALUE"""),"DARROV")</f>
        <v>DARROV</v>
      </c>
      <c r="C2234" s="164" t="str">
        <f ca="1">IFERROR(__xludf.DUMMYFUNCTION("""COMPUTED_VALUE"""),"Desktop Computer – (MSI PRO DP180)")</f>
        <v>Desktop Computer – (MSI PRO DP180)</v>
      </c>
      <c r="D2234" s="164" t="str">
        <f ca="1">IFERROR(__xludf.DUMMYFUNCTION("""COMPUTED_VALUE"""),"₱ 49,300.00")</f>
        <v>₱ 49,300.00</v>
      </c>
      <c r="E2234" s="164" t="str">
        <f ca="1">IFERROR(__xludf.DUMMYFUNCTION("""COMPUTED_VALUE"""),"₱ -")</f>
        <v>₱ -</v>
      </c>
      <c r="F2234" s="164" t="str">
        <f ca="1">IFERROR(__xludf.DUMMYFUNCTION("""COMPUTED_VALUE"""),"HV-SPLIT-102-24-05-01-056")</f>
        <v>HV-SPLIT-102-24-05-01-056</v>
      </c>
      <c r="G2234" s="164"/>
      <c r="H2234" s="164" t="str">
        <f ca="1">IFERROR(__xludf.DUMMYFUNCTION("""COMPUTED_VALUE"""),"SHINKAI YU")</f>
        <v>SHINKAI YU</v>
      </c>
      <c r="I2234" s="164" t="str">
        <f ca="1">IFERROR(__xludf.DUMMYFUNCTION("""COMPUTED_VALUE"""),"CBTA SUPPORT STAFF")</f>
        <v>CBTA SUPPORT STAFF</v>
      </c>
      <c r="J2234" s="164"/>
      <c r="K2234" s="164" t="str">
        <f ca="1">IFERROR(__xludf.DUMMYFUNCTION("""COMPUTED_VALUE"""),"SHINKAI YU")</f>
        <v>SHINKAI YU</v>
      </c>
      <c r="L2234" s="164" t="str">
        <f ca="1">IFERROR(__xludf.DUMMYFUNCTION("""COMPUTED_VALUE"""),"STOD")</f>
        <v>STOD</v>
      </c>
      <c r="M2234" s="164" t="str">
        <f ca="1">IFERROR(__xludf.DUMMYFUNCTION("""COMPUTED_VALUE"""),"SERVICEABLE")</f>
        <v>SERVICEABLE</v>
      </c>
      <c r="N2234" s="164"/>
    </row>
    <row r="2235" spans="1:14" ht="13.2" hidden="1">
      <c r="A2235" s="164" t="str">
        <f ca="1">IFERROR(__xludf.DUMMYFUNCTION("""COMPUTED_VALUE"""),"REGION V")</f>
        <v>REGION V</v>
      </c>
      <c r="B2235" s="164" t="str">
        <f ca="1">IFERROR(__xludf.DUMMYFUNCTION("""COMPUTED_VALUE"""),"DARROV")</f>
        <v>DARROV</v>
      </c>
      <c r="C2235" s="164" t="str">
        <f ca="1">IFERROR(__xludf.DUMMYFUNCTION("""COMPUTED_VALUE"""),"Desktop Computer – (MSI PRO DP180)")</f>
        <v>Desktop Computer – (MSI PRO DP180)</v>
      </c>
      <c r="D2235" s="164" t="str">
        <f ca="1">IFERROR(__xludf.DUMMYFUNCTION("""COMPUTED_VALUE"""),"₱ 49,300.00")</f>
        <v>₱ 49,300.00</v>
      </c>
      <c r="E2235" s="164" t="str">
        <f ca="1">IFERROR(__xludf.DUMMYFUNCTION("""COMPUTED_VALUE"""),"₱ -")</f>
        <v>₱ -</v>
      </c>
      <c r="F2235" s="164" t="str">
        <f ca="1">IFERROR(__xludf.DUMMYFUNCTION("""COMPUTED_VALUE"""),"HV-SPLIT-102-24-05-01-173")</f>
        <v>HV-SPLIT-102-24-05-01-173</v>
      </c>
      <c r="G2235" s="164"/>
      <c r="H2235" s="164" t="str">
        <f ca="1">IFERROR(__xludf.DUMMYFUNCTION("""COMPUTED_VALUE"""),"JULIE NOLASCO")</f>
        <v>JULIE NOLASCO</v>
      </c>
      <c r="I2235" s="164" t="str">
        <f ca="1">IFERROR(__xludf.DUMMYFUNCTION("""COMPUTED_VALUE"""),"PROJECT BUDGET OFFICER")</f>
        <v>PROJECT BUDGET OFFICER</v>
      </c>
      <c r="J2235" s="164"/>
      <c r="K2235" s="164" t="str">
        <f ca="1">IFERROR(__xludf.DUMMYFUNCTION("""COMPUTED_VALUE"""),"JULIE NOLASCO")</f>
        <v>JULIE NOLASCO</v>
      </c>
      <c r="L2235" s="164" t="str">
        <f ca="1">IFERROR(__xludf.DUMMYFUNCTION("""COMPUTED_VALUE"""),"STOD")</f>
        <v>STOD</v>
      </c>
      <c r="M2235" s="164" t="str">
        <f ca="1">IFERROR(__xludf.DUMMYFUNCTION("""COMPUTED_VALUE"""),"SERVICEABLE")</f>
        <v>SERVICEABLE</v>
      </c>
      <c r="N2235" s="164"/>
    </row>
    <row r="2236" spans="1:14" ht="13.2" hidden="1">
      <c r="A2236" s="164" t="str">
        <f ca="1">IFERROR(__xludf.DUMMYFUNCTION("""COMPUTED_VALUE"""),"REGION V")</f>
        <v>REGION V</v>
      </c>
      <c r="B2236" s="164" t="str">
        <f ca="1">IFERROR(__xludf.DUMMYFUNCTION("""COMPUTED_VALUE"""),"DARROV")</f>
        <v>DARROV</v>
      </c>
      <c r="C2236" s="164" t="str">
        <f ca="1">IFERROR(__xludf.DUMMYFUNCTION("""COMPUTED_VALUE"""),"Desktop Computer – (MSI PRO DP180)")</f>
        <v>Desktop Computer – (MSI PRO DP180)</v>
      </c>
      <c r="D2236" s="164" t="str">
        <f ca="1">IFERROR(__xludf.DUMMYFUNCTION("""COMPUTED_VALUE"""),"₱ 49,300.00")</f>
        <v>₱ 49,300.00</v>
      </c>
      <c r="E2236" s="164" t="str">
        <f ca="1">IFERROR(__xludf.DUMMYFUNCTION("""COMPUTED_VALUE"""),"₱ -")</f>
        <v>₱ -</v>
      </c>
      <c r="F2236" s="164" t="str">
        <f ca="1">IFERROR(__xludf.DUMMYFUNCTION("""COMPUTED_VALUE"""),"HV-SPLIT-102-24-05-01-381")</f>
        <v>HV-SPLIT-102-24-05-01-381</v>
      </c>
      <c r="G2236" s="164"/>
      <c r="H2236" s="164" t="str">
        <f ca="1">IFERROR(__xludf.DUMMYFUNCTION("""COMPUTED_VALUE"""),"FLORENTINA R. ESCOLANO")</f>
        <v>FLORENTINA R. ESCOLANO</v>
      </c>
      <c r="I2236" s="164" t="str">
        <f ca="1">IFERROR(__xludf.DUMMYFUNCTION("""COMPUTED_VALUE"""),"PARTCELIZATION COMPONENT COORDINATOR")</f>
        <v>PARTCELIZATION COMPONENT COORDINATOR</v>
      </c>
      <c r="J2236" s="164"/>
      <c r="K2236" s="164" t="str">
        <f ca="1">IFERROR(__xludf.DUMMYFUNCTION("""COMPUTED_VALUE"""),"FLORENTINA R. ESCOLANO")</f>
        <v>FLORENTINA R. ESCOLANO</v>
      </c>
      <c r="L2236" s="164" t="str">
        <f ca="1">IFERROR(__xludf.DUMMYFUNCTION("""COMPUTED_VALUE"""),"LTID")</f>
        <v>LTID</v>
      </c>
      <c r="M2236" s="164" t="str">
        <f ca="1">IFERROR(__xludf.DUMMYFUNCTION("""COMPUTED_VALUE"""),"SERVICEABLE")</f>
        <v>SERVICEABLE</v>
      </c>
      <c r="N2236" s="164"/>
    </row>
    <row r="2237" spans="1:14" ht="13.2" hidden="1">
      <c r="A2237" s="164" t="str">
        <f ca="1">IFERROR(__xludf.DUMMYFUNCTION("""COMPUTED_VALUE"""),"REGION V")</f>
        <v>REGION V</v>
      </c>
      <c r="B2237" s="164" t="str">
        <f ca="1">IFERROR(__xludf.DUMMYFUNCTION("""COMPUTED_VALUE"""),"DARROV")</f>
        <v>DARROV</v>
      </c>
      <c r="C2237" s="164" t="str">
        <f ca="1">IFERROR(__xludf.DUMMYFUNCTION("""COMPUTED_VALUE"""),"Desktop Computer – (MSI PRO DP180)")</f>
        <v>Desktop Computer – (MSI PRO DP180)</v>
      </c>
      <c r="D2237" s="164" t="str">
        <f ca="1">IFERROR(__xludf.DUMMYFUNCTION("""COMPUTED_VALUE"""),"₱ 49,300.00")</f>
        <v>₱ 49,300.00</v>
      </c>
      <c r="E2237" s="164" t="str">
        <f ca="1">IFERROR(__xludf.DUMMYFUNCTION("""COMPUTED_VALUE"""),"₱ -")</f>
        <v>₱ -</v>
      </c>
      <c r="F2237" s="164" t="str">
        <f ca="1">IFERROR(__xludf.DUMMYFUNCTION("""COMPUTED_VALUE"""),"HV-SPLIT-102-24-05-01-382")</f>
        <v>HV-SPLIT-102-24-05-01-382</v>
      </c>
      <c r="G2237" s="164"/>
      <c r="H2237" s="164" t="str">
        <f ca="1">IFERROR(__xludf.DUMMYFUNCTION("""COMPUTED_VALUE"""),"GAY LABAD")</f>
        <v>GAY LABAD</v>
      </c>
      <c r="I2237" s="164" t="str">
        <f ca="1">IFERROR(__xludf.DUMMYFUNCTION("""COMPUTED_VALUE"""),"ASST. PROJECT MANAGER FOR OPERATIONS")</f>
        <v>ASST. PROJECT MANAGER FOR OPERATIONS</v>
      </c>
      <c r="J2237" s="164"/>
      <c r="K2237" s="164" t="str">
        <f ca="1">IFERROR(__xludf.DUMMYFUNCTION("""COMPUTED_VALUE"""),"GAY LABAD")</f>
        <v>GAY LABAD</v>
      </c>
      <c r="L2237" s="164" t="str">
        <f ca="1">IFERROR(__xludf.DUMMYFUNCTION("""COMPUTED_VALUE"""),"ARDO'S")</f>
        <v>ARDO'S</v>
      </c>
      <c r="M2237" s="164" t="str">
        <f ca="1">IFERROR(__xludf.DUMMYFUNCTION("""COMPUTED_VALUE"""),"SERVICEABLE")</f>
        <v>SERVICEABLE</v>
      </c>
      <c r="N2237" s="164"/>
    </row>
    <row r="2238" spans="1:14" ht="13.2" hidden="1">
      <c r="A2238" s="164" t="str">
        <f ca="1">IFERROR(__xludf.DUMMYFUNCTION("""COMPUTED_VALUE"""),"REGION V")</f>
        <v>REGION V</v>
      </c>
      <c r="B2238" s="164" t="str">
        <f ca="1">IFERROR(__xludf.DUMMYFUNCTION("""COMPUTED_VALUE"""),"DARROV")</f>
        <v>DARROV</v>
      </c>
      <c r="C2238" s="164" t="str">
        <f ca="1">IFERROR(__xludf.DUMMYFUNCTION("""COMPUTED_VALUE"""),"Desktop Computer – (MSI PRO DP180)")</f>
        <v>Desktop Computer – (MSI PRO DP180)</v>
      </c>
      <c r="D2238" s="164" t="str">
        <f ca="1">IFERROR(__xludf.DUMMYFUNCTION("""COMPUTED_VALUE"""),"₱ 49,300.00")</f>
        <v>₱ 49,300.00</v>
      </c>
      <c r="E2238" s="164" t="str">
        <f ca="1">IFERROR(__xludf.DUMMYFUNCTION("""COMPUTED_VALUE"""),"₱ -")</f>
        <v>₱ -</v>
      </c>
      <c r="F2238" s="164" t="str">
        <f ca="1">IFERROR(__xludf.DUMMYFUNCTION("""COMPUTED_VALUE"""),"HV-SPLIT-102-24-05-01-383")</f>
        <v>HV-SPLIT-102-24-05-01-383</v>
      </c>
      <c r="G2238" s="164"/>
      <c r="H2238" s="164" t="str">
        <f ca="1">IFERROR(__xludf.DUMMYFUNCTION("""COMPUTED_VALUE"""),"HERZON DAWAL")</f>
        <v>HERZON DAWAL</v>
      </c>
      <c r="I2238" s="164"/>
      <c r="J2238" s="164"/>
      <c r="K2238" s="164" t="str">
        <f ca="1">IFERROR(__xludf.DUMMYFUNCTION("""COMPUTED_VALUE"""),"HERZON DAWAL")</f>
        <v>HERZON DAWAL</v>
      </c>
      <c r="L2238" s="164" t="str">
        <f ca="1">IFERROR(__xludf.DUMMYFUNCTION("""COMPUTED_VALUE"""),"COA")</f>
        <v>COA</v>
      </c>
      <c r="M2238" s="164" t="str">
        <f ca="1">IFERROR(__xludf.DUMMYFUNCTION("""COMPUTED_VALUE"""),"SERVICEABLE")</f>
        <v>SERVICEABLE</v>
      </c>
      <c r="N2238" s="164"/>
    </row>
    <row r="2239" spans="1:14" ht="13.2" hidden="1">
      <c r="A2239" s="164" t="str">
        <f ca="1">IFERROR(__xludf.DUMMYFUNCTION("""COMPUTED_VALUE"""),"REGION V")</f>
        <v>REGION V</v>
      </c>
      <c r="B2239" s="164" t="str">
        <f ca="1">IFERROR(__xludf.DUMMYFUNCTION("""COMPUTED_VALUE"""),"DARROV")</f>
        <v>DARROV</v>
      </c>
      <c r="C2239" s="164" t="str">
        <f ca="1">IFERROR(__xludf.DUMMYFUNCTION("""COMPUTED_VALUE"""),"Desktop Computer – (MSI PRO DP180)")</f>
        <v>Desktop Computer – (MSI PRO DP180)</v>
      </c>
      <c r="D2239" s="164" t="str">
        <f ca="1">IFERROR(__xludf.DUMMYFUNCTION("""COMPUTED_VALUE"""),"₱ 49,300.00")</f>
        <v>₱ 49,300.00</v>
      </c>
      <c r="E2239" s="164" t="str">
        <f ca="1">IFERROR(__xludf.DUMMYFUNCTION("""COMPUTED_VALUE"""),"₱ -")</f>
        <v>₱ -</v>
      </c>
      <c r="F2239" s="164" t="str">
        <f ca="1">IFERROR(__xludf.DUMMYFUNCTION("""COMPUTED_VALUE"""),"HV-SPLIT-102-24-05-01-390")</f>
        <v>HV-SPLIT-102-24-05-01-390</v>
      </c>
      <c r="G2239" s="164"/>
      <c r="H2239" s="164" t="str">
        <f ca="1">IFERROR(__xludf.DUMMYFUNCTION("""COMPUTED_VALUE"""),"NOVIE MAE AGNES J. LLORANDO")</f>
        <v>NOVIE MAE AGNES J. LLORANDO</v>
      </c>
      <c r="I2239" s="164"/>
      <c r="J2239" s="164"/>
      <c r="K2239" s="164" t="str">
        <f ca="1">IFERROR(__xludf.DUMMYFUNCTION("""COMPUTED_VALUE"""),"NOVIE MAE AGNES J. LLORANDO")</f>
        <v>NOVIE MAE AGNES J. LLORANDO</v>
      </c>
      <c r="L2239" s="164" t="str">
        <f ca="1">IFERROR(__xludf.DUMMYFUNCTION("""COMPUTED_VALUE"""),"GSS")</f>
        <v>GSS</v>
      </c>
      <c r="M2239" s="164" t="str">
        <f ca="1">IFERROR(__xludf.DUMMYFUNCTION("""COMPUTED_VALUE"""),"SERVICEABLE")</f>
        <v>SERVICEABLE</v>
      </c>
      <c r="N2239" s="164"/>
    </row>
    <row r="2240" spans="1:14" ht="13.2" hidden="1">
      <c r="A2240" s="164" t="str">
        <f ca="1">IFERROR(__xludf.DUMMYFUNCTION("""COMPUTED_VALUE"""),"REGION V")</f>
        <v>REGION V</v>
      </c>
      <c r="B2240" s="164" t="str">
        <f ca="1">IFERROR(__xludf.DUMMYFUNCTION("""COMPUTED_VALUE"""),"DARROV")</f>
        <v>DARROV</v>
      </c>
      <c r="C2240" s="164" t="str">
        <f ca="1">IFERROR(__xludf.DUMMYFUNCTION("""COMPUTED_VALUE"""),"Desktop Computer – (MSI PRO DP180)")</f>
        <v>Desktop Computer – (MSI PRO DP180)</v>
      </c>
      <c r="D2240" s="164" t="str">
        <f ca="1">IFERROR(__xludf.DUMMYFUNCTION("""COMPUTED_VALUE"""),"₱ 49,300.00")</f>
        <v>₱ 49,300.00</v>
      </c>
      <c r="E2240" s="164" t="str">
        <f ca="1">IFERROR(__xludf.DUMMYFUNCTION("""COMPUTED_VALUE"""),"₱ -")</f>
        <v>₱ -</v>
      </c>
      <c r="F2240" s="164" t="str">
        <f ca="1">IFERROR(__xludf.DUMMYFUNCTION("""COMPUTED_VALUE"""),"HV-SPLIT-102-24-05-01-392")</f>
        <v>HV-SPLIT-102-24-05-01-392</v>
      </c>
      <c r="G2240" s="164"/>
      <c r="H2240" s="164" t="str">
        <f ca="1">IFERROR(__xludf.DUMMYFUNCTION("""COMPUTED_VALUE"""),"FROY BERANA")</f>
        <v>FROY BERANA</v>
      </c>
      <c r="I2240" s="164" t="str">
        <f ca="1">IFERROR(__xludf.DUMMYFUNCTION("""COMPUTED_VALUE"""),"MEDIA GRAPHIC ARTIST")</f>
        <v>MEDIA GRAPHIC ARTIST</v>
      </c>
      <c r="J2240" s="164"/>
      <c r="K2240" s="164" t="str">
        <f ca="1">IFERROR(__xludf.DUMMYFUNCTION("""COMPUTED_VALUE"""),"FROY BERANA")</f>
        <v>FROY BERANA</v>
      </c>
      <c r="L2240" s="164" t="str">
        <f ca="1">IFERROR(__xludf.DUMMYFUNCTION("""COMPUTED_VALUE"""),"STOD")</f>
        <v>STOD</v>
      </c>
      <c r="M2240" s="164" t="str">
        <f ca="1">IFERROR(__xludf.DUMMYFUNCTION("""COMPUTED_VALUE"""),"SERVICEABLE")</f>
        <v>SERVICEABLE</v>
      </c>
      <c r="N2240" s="164"/>
    </row>
    <row r="2241" spans="1:14" ht="13.2" hidden="1">
      <c r="A2241" s="164" t="str">
        <f ca="1">IFERROR(__xludf.DUMMYFUNCTION("""COMPUTED_VALUE"""),"REGION V")</f>
        <v>REGION V</v>
      </c>
      <c r="B2241" s="164" t="str">
        <f ca="1">IFERROR(__xludf.DUMMYFUNCTION("""COMPUTED_VALUE"""),"DARROV")</f>
        <v>DARROV</v>
      </c>
      <c r="C2241" s="164" t="str">
        <f ca="1">IFERROR(__xludf.DUMMYFUNCTION("""COMPUTED_VALUE"""),"Desktop Computer – (MSI PRO DP180)")</f>
        <v>Desktop Computer – (MSI PRO DP180)</v>
      </c>
      <c r="D2241" s="164" t="str">
        <f ca="1">IFERROR(__xludf.DUMMYFUNCTION("""COMPUTED_VALUE"""),"₱ 49,300.00")</f>
        <v>₱ 49,300.00</v>
      </c>
      <c r="E2241" s="164" t="str">
        <f ca="1">IFERROR(__xludf.DUMMYFUNCTION("""COMPUTED_VALUE"""),"₱ -")</f>
        <v>₱ -</v>
      </c>
      <c r="F2241" s="164" t="str">
        <f ca="1">IFERROR(__xludf.DUMMYFUNCTION("""COMPUTED_VALUE"""),"HV-SPLIT-102-24-05-01-372")</f>
        <v>HV-SPLIT-102-24-05-01-372</v>
      </c>
      <c r="G2241" s="164"/>
      <c r="H2241" s="164" t="str">
        <f ca="1">IFERROR(__xludf.DUMMYFUNCTION("""COMPUTED_VALUE"""),"MA. TERESA B. BANUA")</f>
        <v>MA. TERESA B. BANUA</v>
      </c>
      <c r="I2241" s="164" t="str">
        <f ca="1">IFERROR(__xludf.DUMMYFUNCTION("""COMPUTED_VALUE"""),"ENGR. III")</f>
        <v>ENGR. III</v>
      </c>
      <c r="J2241" s="164"/>
      <c r="K2241" s="164" t="str">
        <f ca="1">IFERROR(__xludf.DUMMYFUNCTION("""COMPUTED_VALUE"""),"MA. TERESA B. BANUA")</f>
        <v>MA. TERESA B. BANUA</v>
      </c>
      <c r="L2241" s="164" t="str">
        <f ca="1">IFERROR(__xludf.DUMMYFUNCTION("""COMPUTED_VALUE"""),"LTID")</f>
        <v>LTID</v>
      </c>
      <c r="M2241" s="164" t="str">
        <f ca="1">IFERROR(__xludf.DUMMYFUNCTION("""COMPUTED_VALUE"""),"SERVICEABLE")</f>
        <v>SERVICEABLE</v>
      </c>
      <c r="N2241" s="164"/>
    </row>
    <row r="2242" spans="1:14" ht="13.2" hidden="1">
      <c r="A2242" s="164" t="str">
        <f ca="1">IFERROR(__xludf.DUMMYFUNCTION("""COMPUTED_VALUE"""),"REGION V")</f>
        <v>REGION V</v>
      </c>
      <c r="B2242" s="164" t="str">
        <f ca="1">IFERROR(__xludf.DUMMYFUNCTION("""COMPUTED_VALUE"""),"DARROV")</f>
        <v>DARROV</v>
      </c>
      <c r="C2242" s="164" t="str">
        <f ca="1">IFERROR(__xludf.DUMMYFUNCTION("""COMPUTED_VALUE"""),"Desktop Computer – (MSI PRO DP180)")</f>
        <v>Desktop Computer – (MSI PRO DP180)</v>
      </c>
      <c r="D2242" s="164" t="str">
        <f ca="1">IFERROR(__xludf.DUMMYFUNCTION("""COMPUTED_VALUE"""),"₱ 49,300.00")</f>
        <v>₱ 49,300.00</v>
      </c>
      <c r="E2242" s="164" t="str">
        <f ca="1">IFERROR(__xludf.DUMMYFUNCTION("""COMPUTED_VALUE"""),"₱ -")</f>
        <v>₱ -</v>
      </c>
      <c r="F2242" s="164" t="str">
        <f ca="1">IFERROR(__xludf.DUMMYFUNCTION("""COMPUTED_VALUE"""),"HV-SPLIT-102-24-05-01-374")</f>
        <v>HV-SPLIT-102-24-05-01-374</v>
      </c>
      <c r="G2242" s="164"/>
      <c r="H2242" s="164" t="str">
        <f ca="1">IFERROR(__xludf.DUMMYFUNCTION("""COMPUTED_VALUE"""),"FLORENTINA R. ESCOLANO")</f>
        <v>FLORENTINA R. ESCOLANO</v>
      </c>
      <c r="I2242" s="164" t="str">
        <f ca="1">IFERROR(__xludf.DUMMYFUNCTION("""COMPUTED_VALUE"""),"OIC -CARPO")</f>
        <v>OIC -CARPO</v>
      </c>
      <c r="J2242" s="164"/>
      <c r="K2242" s="164" t="str">
        <f ca="1">IFERROR(__xludf.DUMMYFUNCTION("""COMPUTED_VALUE"""),"Engr. Lady Lyn Perez")</f>
        <v>Engr. Lady Lyn Perez</v>
      </c>
      <c r="L2242" s="164" t="str">
        <f ca="1">IFERROR(__xludf.DUMMYFUNCTION("""COMPUTED_VALUE"""),"LTID")</f>
        <v>LTID</v>
      </c>
      <c r="M2242" s="164" t="str">
        <f ca="1">IFERROR(__xludf.DUMMYFUNCTION("""COMPUTED_VALUE"""),"SERVICEABLE")</f>
        <v>SERVICEABLE</v>
      </c>
      <c r="N2242" s="164"/>
    </row>
    <row r="2243" spans="1:14" ht="13.2" hidden="1">
      <c r="A2243" s="164" t="str">
        <f ca="1">IFERROR(__xludf.DUMMYFUNCTION("""COMPUTED_VALUE"""),"REGION V")</f>
        <v>REGION V</v>
      </c>
      <c r="B2243" s="164" t="str">
        <f ca="1">IFERROR(__xludf.DUMMYFUNCTION("""COMPUTED_VALUE"""),"DARROV")</f>
        <v>DARROV</v>
      </c>
      <c r="C2243" s="164" t="str">
        <f ca="1">IFERROR(__xludf.DUMMYFUNCTION("""COMPUTED_VALUE"""),"Desktop Computer – (MSI PRO DP180)")</f>
        <v>Desktop Computer – (MSI PRO DP180)</v>
      </c>
      <c r="D2243" s="164" t="str">
        <f ca="1">IFERROR(__xludf.DUMMYFUNCTION("""COMPUTED_VALUE"""),"₱ 49,300.00")</f>
        <v>₱ 49,300.00</v>
      </c>
      <c r="E2243" s="164" t="str">
        <f ca="1">IFERROR(__xludf.DUMMYFUNCTION("""COMPUTED_VALUE"""),"₱ -")</f>
        <v>₱ -</v>
      </c>
      <c r="F2243" s="164" t="str">
        <f ca="1">IFERROR(__xludf.DUMMYFUNCTION("""COMPUTED_VALUE"""),"HV-SPLIT-102-24-05-01-391")</f>
        <v>HV-SPLIT-102-24-05-01-391</v>
      </c>
      <c r="G2243" s="164"/>
      <c r="H2243" s="164" t="str">
        <f ca="1">IFERROR(__xludf.DUMMYFUNCTION("""COMPUTED_VALUE"""),"FLORENTINA R. ESCOLANO")</f>
        <v>FLORENTINA R. ESCOLANO</v>
      </c>
      <c r="I2243" s="164" t="str">
        <f ca="1">IFERROR(__xludf.DUMMYFUNCTION("""COMPUTED_VALUE"""),"OIC -CARPO")</f>
        <v>OIC -CARPO</v>
      </c>
      <c r="J2243" s="164"/>
      <c r="K2243" s="164" t="str">
        <f ca="1">IFERROR(__xludf.DUMMYFUNCTION("""COMPUTED_VALUE"""),"Ronnie Baldres")</f>
        <v>Ronnie Baldres</v>
      </c>
      <c r="L2243" s="164" t="str">
        <f ca="1">IFERROR(__xludf.DUMMYFUNCTION("""COMPUTED_VALUE"""),"LTID")</f>
        <v>LTID</v>
      </c>
      <c r="M2243" s="164" t="str">
        <f ca="1">IFERROR(__xludf.DUMMYFUNCTION("""COMPUTED_VALUE"""),"SERVICEABLE")</f>
        <v>SERVICEABLE</v>
      </c>
      <c r="N2243" s="164"/>
    </row>
    <row r="2244" spans="1:14" ht="13.2" hidden="1">
      <c r="A2244" s="164" t="str">
        <f ca="1">IFERROR(__xludf.DUMMYFUNCTION("""COMPUTED_VALUE"""),"REGION V")</f>
        <v>REGION V</v>
      </c>
      <c r="B2244" s="164" t="str">
        <f ca="1">IFERROR(__xludf.DUMMYFUNCTION("""COMPUTED_VALUE"""),"DARROV")</f>
        <v>DARROV</v>
      </c>
      <c r="C2244" s="164" t="str">
        <f ca="1">IFERROR(__xludf.DUMMYFUNCTION("""COMPUTED_VALUE"""),"Double Cabin Pick-up Vehicles – Mitsubishi Strada")</f>
        <v>Double Cabin Pick-up Vehicles – Mitsubishi Strada</v>
      </c>
      <c r="D2244" s="164" t="str">
        <f ca="1">IFERROR(__xludf.DUMMYFUNCTION("""COMPUTED_VALUE"""),"₱ 1,752,400.00")</f>
        <v>₱ 1,752,400.00</v>
      </c>
      <c r="E2244" s="164"/>
      <c r="F2244" s="164" t="str">
        <f ca="1">IFERROR(__xludf.DUMMYFUNCTION("""COMPUTED_VALUE"""),"2023-06-01-10201SP74-01")</f>
        <v>2023-06-01-10201SP74-01</v>
      </c>
      <c r="G2244" s="164" t="str">
        <f ca="1">IFERROR(__xludf.DUMMYFUNCTION("""COMPUTED_VALUE"""),"SNC 1112")</f>
        <v>SNC 1112</v>
      </c>
      <c r="H2244" s="164" t="str">
        <f ca="1">IFERROR(__xludf.DUMMYFUNCTION("""COMPUTED_VALUE"""),"GAY L. LABAD")</f>
        <v>GAY L. LABAD</v>
      </c>
      <c r="I2244" s="164" t="str">
        <f ca="1">IFERROR(__xludf.DUMMYFUNCTION("""COMPUTED_VALUE"""),"OIC-ARDO")</f>
        <v>OIC-ARDO</v>
      </c>
      <c r="J2244" s="164" t="str">
        <f ca="1">IFERROR(__xludf.DUMMYFUNCTION("""COMPUTED_VALUE"""),"PAR No '2023-10-24")</f>
        <v>PAR No '2023-10-24</v>
      </c>
      <c r="K2244" s="164" t="str">
        <f ca="1">IFERROR(__xludf.DUMMYFUNCTION("""COMPUTED_VALUE"""),"GAY L. LABAD")</f>
        <v>GAY L. LABAD</v>
      </c>
      <c r="L2244" s="164" t="str">
        <f ca="1">IFERROR(__xludf.DUMMYFUNCTION("""COMPUTED_VALUE"""),"ORDO")</f>
        <v>ORDO</v>
      </c>
      <c r="M2244" s="164" t="str">
        <f ca="1">IFERROR(__xludf.DUMMYFUNCTION("""COMPUTED_VALUE"""),"Serviceable")</f>
        <v>Serviceable</v>
      </c>
      <c r="N2244" s="164"/>
    </row>
    <row r="2245" spans="1:14" ht="13.2" hidden="1">
      <c r="A2245" s="164" t="str">
        <f ca="1">IFERROR(__xludf.DUMMYFUNCTION("""COMPUTED_VALUE"""),"REGION V")</f>
        <v>REGION V</v>
      </c>
      <c r="B2245" s="164" t="str">
        <f ca="1">IFERROR(__xludf.DUMMYFUNCTION("""COMPUTED_VALUE"""),"DARROV")</f>
        <v>DARROV</v>
      </c>
      <c r="C2245" s="164" t="str">
        <f ca="1">IFERROR(__xludf.DUMMYFUNCTION("""COMPUTED_VALUE"""),"Double Cabin Pick-up Vehicles – Mitsubishi Strada")</f>
        <v>Double Cabin Pick-up Vehicles – Mitsubishi Strada</v>
      </c>
      <c r="D2245" s="164" t="str">
        <f ca="1">IFERROR(__xludf.DUMMYFUNCTION("""COMPUTED_VALUE"""),"₱ 1,752,400.00")</f>
        <v>₱ 1,752,400.00</v>
      </c>
      <c r="E2245" s="164"/>
      <c r="F2245" s="164" t="str">
        <f ca="1">IFERROR(__xludf.DUMMYFUNCTION("""COMPUTED_VALUE"""),"2023-06-01-10201SP84-01")</f>
        <v>2023-06-01-10201SP84-01</v>
      </c>
      <c r="G2245" s="164" t="str">
        <f ca="1">IFERROR(__xludf.DUMMYFUNCTION("""COMPUTED_VALUE"""),"SNC 1233")</f>
        <v>SNC 1233</v>
      </c>
      <c r="H2245" s="164" t="str">
        <f ca="1">IFERROR(__xludf.DUMMYFUNCTION("""COMPUTED_VALUE"""),"REUBEN C. SINDAC, CESO VI")</f>
        <v>REUBEN C. SINDAC, CESO VI</v>
      </c>
      <c r="I2245" s="164" t="str">
        <f ca="1">IFERROR(__xludf.DUMMYFUNCTION("""COMPUTED_VALUE"""),"RD")</f>
        <v>RD</v>
      </c>
      <c r="J2245" s="164" t="str">
        <f ca="1">IFERROR(__xludf.DUMMYFUNCTION("""COMPUTED_VALUE"""),"PAR No 2023-10-25")</f>
        <v>PAR No 2023-10-25</v>
      </c>
      <c r="K2245" s="164" t="str">
        <f ca="1">IFERROR(__xludf.DUMMYFUNCTION("""COMPUTED_VALUE"""),"REUBEN C. SINDAC, CESO VI")</f>
        <v>REUBEN C. SINDAC, CESO VI</v>
      </c>
      <c r="L2245" s="164" t="str">
        <f ca="1">IFERROR(__xludf.DUMMYFUNCTION("""COMPUTED_VALUE"""),"ORD")</f>
        <v>ORD</v>
      </c>
      <c r="M2245" s="164" t="str">
        <f ca="1">IFERROR(__xludf.DUMMYFUNCTION("""COMPUTED_VALUE"""),"Serviceable")</f>
        <v>Serviceable</v>
      </c>
      <c r="N2245" s="164"/>
    </row>
    <row r="2246" spans="1:14" ht="13.2" hidden="1">
      <c r="A2246" s="164" t="str">
        <f ca="1">IFERROR(__xludf.DUMMYFUNCTION("""COMPUTED_VALUE"""),"REGION V")</f>
        <v>REGION V</v>
      </c>
      <c r="B2246" s="164" t="str">
        <f ca="1">IFERROR(__xludf.DUMMYFUNCTION("""COMPUTED_VALUE"""),"DARROV")</f>
        <v>DARROV</v>
      </c>
      <c r="C2246" s="164" t="str">
        <f ca="1">IFERROR(__xludf.DUMMYFUNCTION("""COMPUTED_VALUE"""),"Motorcycle – (Honda XRL 150)")</f>
        <v>Motorcycle – (Honda XRL 150)</v>
      </c>
      <c r="D2246" s="164" t="str">
        <f ca="1">IFERROR(__xludf.DUMMYFUNCTION("""COMPUTED_VALUE"""),"₱ 124,900.00")</f>
        <v>₱ 124,900.00</v>
      </c>
      <c r="E2246" s="164"/>
      <c r="F2246" s="164" t="str">
        <f ca="1">IFERROR(__xludf.DUMMYFUNCTION("""COMPUTED_VALUE"""),"2023-06-01-10202-2p-193-1")</f>
        <v>2023-06-01-10202-2p-193-1</v>
      </c>
      <c r="G2246" s="164" t="str">
        <f ca="1">IFERROR(__xludf.DUMMYFUNCTION("""COMPUTED_VALUE"""),"no plate available")</f>
        <v>no plate available</v>
      </c>
      <c r="H2246" s="164" t="str">
        <f ca="1">IFERROR(__xludf.DUMMYFUNCTION("""COMPUTED_VALUE"""),"MECHOR RIGO")</f>
        <v>MECHOR RIGO</v>
      </c>
      <c r="I2246" s="164" t="str">
        <f ca="1">IFERROR(__xludf.DUMMYFUNCTION("""COMPUTED_VALUE"""),"SURVEYMAN")</f>
        <v>SURVEYMAN</v>
      </c>
      <c r="J2246" s="164" t="str">
        <f ca="1">IFERROR(__xludf.DUMMYFUNCTION("""COMPUTED_VALUE"""),"PAR No. 2023")</f>
        <v>PAR No. 2023</v>
      </c>
      <c r="K2246" s="164" t="str">
        <f ca="1">IFERROR(__xludf.DUMMYFUNCTION("""COMPUTED_VALUE"""),"GSS Personnel")</f>
        <v>GSS Personnel</v>
      </c>
      <c r="L2246" s="164" t="str">
        <f ca="1">IFERROR(__xludf.DUMMYFUNCTION("""COMPUTED_VALUE"""),"STOD")</f>
        <v>STOD</v>
      </c>
      <c r="M2246" s="164" t="str">
        <f ca="1">IFERROR(__xludf.DUMMYFUNCTION("""COMPUTED_VALUE"""),"Serviceable")</f>
        <v>Serviceable</v>
      </c>
      <c r="N2246" s="164"/>
    </row>
    <row r="2247" spans="1:14" ht="13.2" hidden="1">
      <c r="A2247" s="164" t="str">
        <f ca="1">IFERROR(__xludf.DUMMYFUNCTION("""COMPUTED_VALUE"""),"REGION V")</f>
        <v>REGION V</v>
      </c>
      <c r="B2247" s="164" t="str">
        <f ca="1">IFERROR(__xludf.DUMMYFUNCTION("""COMPUTED_VALUE"""),"ALBAY")</f>
        <v>ALBAY</v>
      </c>
      <c r="C2247" s="164" t="str">
        <f ca="1">IFERROR(__xludf.DUMMYFUNCTION("""COMPUTED_VALUE"""),"Double Cabin Pick-up Vehicles – Mitsubishi Strada")</f>
        <v>Double Cabin Pick-up Vehicles – Mitsubishi Strada</v>
      </c>
      <c r="D2247" s="164" t="str">
        <f ca="1">IFERROR(__xludf.DUMMYFUNCTION("""COMPUTED_VALUE"""),"₱ 1,752,400.00")</f>
        <v>₱ 1,752,400.00</v>
      </c>
      <c r="E2247" s="164"/>
      <c r="F2247" s="164" t="str">
        <f ca="1">IFERROR(__xludf.DUMMYFUNCTION("""COMPUTED_VALUE"""),"2023-06-01-1021SP77-01")</f>
        <v>2023-06-01-1021SP77-01</v>
      </c>
      <c r="G2247" s="164" t="str">
        <f ca="1">IFERROR(__xludf.DUMMYFUNCTION("""COMPUTED_VALUE"""),"SNC 1238")</f>
        <v>SNC 1238</v>
      </c>
      <c r="H2247" s="164" t="str">
        <f ca="1">IFERROR(__xludf.DUMMYFUNCTION("""COMPUTED_VALUE"""),"ZYRA JOY D. BERMAS")</f>
        <v>ZYRA JOY D. BERMAS</v>
      </c>
      <c r="I2247" s="164" t="str">
        <f ca="1">IFERROR(__xludf.DUMMYFUNCTION("""COMPUTED_VALUE"""),"ACCTG. PROPERTY CUSTUDIAN")</f>
        <v>ACCTG. PROPERTY CUSTUDIAN</v>
      </c>
      <c r="J2247" s="164" t="str">
        <f ca="1">IFERROR(__xludf.DUMMYFUNCTION("""COMPUTED_VALUE"""),"PTR:2023-SPLIT-008
 PAR:23-10-015")</f>
        <v>PTR:2023-SPLIT-008
 PAR:23-10-015</v>
      </c>
      <c r="K2247" s="164" t="str">
        <f ca="1">IFERROR(__xludf.DUMMYFUNCTION("""COMPUTED_VALUE"""),"A. MEDINA")</f>
        <v>A. MEDINA</v>
      </c>
      <c r="L2247" s="164" t="str">
        <f ca="1">IFERROR(__xludf.DUMMYFUNCTION("""COMPUTED_VALUE"""),"DARPO")</f>
        <v>DARPO</v>
      </c>
      <c r="M2247" s="164" t="str">
        <f ca="1">IFERROR(__xludf.DUMMYFUNCTION("""COMPUTED_VALUE"""),"SERVICEABLE")</f>
        <v>SERVICEABLE</v>
      </c>
      <c r="N2247" s="164"/>
    </row>
    <row r="2248" spans="1:14" ht="13.2" hidden="1">
      <c r="A2248" s="164" t="str">
        <f ca="1">IFERROR(__xludf.DUMMYFUNCTION("""COMPUTED_VALUE"""),"REGION V")</f>
        <v>REGION V</v>
      </c>
      <c r="B2248" s="164" t="str">
        <f ca="1">IFERROR(__xludf.DUMMYFUNCTION("""COMPUTED_VALUE"""),"ALBAY")</f>
        <v>ALBAY</v>
      </c>
      <c r="C2248" s="164" t="str">
        <f ca="1">IFERROR(__xludf.DUMMYFUNCTION("""COMPUTED_VALUE"""),"Motorcycle – (Honda XRL 150)")</f>
        <v>Motorcycle – (Honda XRL 150)</v>
      </c>
      <c r="D2248" s="164" t="str">
        <f ca="1">IFERROR(__xludf.DUMMYFUNCTION("""COMPUTED_VALUE"""),"₱ 124,900.00")</f>
        <v>₱ 124,900.00</v>
      </c>
      <c r="E2248" s="164"/>
      <c r="F2248" s="164" t="str">
        <f ca="1">IFERROR(__xludf.DUMMYFUNCTION("""COMPUTED_VALUE"""),"2023-06-01-10202-SP-181-1")</f>
        <v>2023-06-01-10202-SP-181-1</v>
      </c>
      <c r="G2248" s="164" t="str">
        <f ca="1">IFERROR(__xludf.DUMMYFUNCTION("""COMPUTED_VALUE"""),"no plate available")</f>
        <v>no plate available</v>
      </c>
      <c r="H2248" s="164" t="str">
        <f ca="1">IFERROR(__xludf.DUMMYFUNCTION("""COMPUTED_VALUE"""),"ZYRA JOY D. BERMAS")</f>
        <v>ZYRA JOY D. BERMAS</v>
      </c>
      <c r="I2248" s="164" t="str">
        <f ca="1">IFERROR(__xludf.DUMMYFUNCTION("""COMPUTED_VALUE"""),"ACCTG. PROPERTY CUSTUDIAN")</f>
        <v>ACCTG. PROPERTY CUSTUDIAN</v>
      </c>
      <c r="J2248" s="164" t="str">
        <f ca="1">IFERROR(__xludf.DUMMYFUNCTION("""COMPUTED_VALUE"""),"PTR:2022-SPLIT-002
 PAR:23-07-015")</f>
        <v>PTR:2022-SPLIT-002
 PAR:23-07-015</v>
      </c>
      <c r="K2248" s="164"/>
      <c r="L2248" s="164"/>
      <c r="M2248" s="164" t="str">
        <f ca="1">IFERROR(__xludf.DUMMYFUNCTION("""COMPUTED_VALUE"""),"SERVICEABLE")</f>
        <v>SERVICEABLE</v>
      </c>
      <c r="N2248" s="164" t="str">
        <f ca="1">IFERROR(__xludf.DUMMYFUNCTION("""COMPUTED_VALUE"""),"RETURNED TO DARPO")</f>
        <v>RETURNED TO DARPO</v>
      </c>
    </row>
    <row r="2249" spans="1:14" ht="13.2" hidden="1">
      <c r="A2249" s="164" t="str">
        <f ca="1">IFERROR(__xludf.DUMMYFUNCTION("""COMPUTED_VALUE"""),"REGION V")</f>
        <v>REGION V</v>
      </c>
      <c r="B2249" s="164" t="str">
        <f ca="1">IFERROR(__xludf.DUMMYFUNCTION("""COMPUTED_VALUE"""),"ALBAY")</f>
        <v>ALBAY</v>
      </c>
      <c r="C2249" s="164" t="str">
        <f ca="1">IFERROR(__xludf.DUMMYFUNCTION("""COMPUTED_VALUE"""),"Motorcycle – (Honda XRL 150)")</f>
        <v>Motorcycle – (Honda XRL 150)</v>
      </c>
      <c r="D2249" s="164" t="str">
        <f ca="1">IFERROR(__xludf.DUMMYFUNCTION("""COMPUTED_VALUE"""),"₱ 124,900.00")</f>
        <v>₱ 124,900.00</v>
      </c>
      <c r="E2249" s="164"/>
      <c r="F2249" s="164" t="str">
        <f ca="1">IFERROR(__xludf.DUMMYFUNCTION("""COMPUTED_VALUE"""),"2023-06-01-10202-SP-168-1")</f>
        <v>2023-06-01-10202-SP-168-1</v>
      </c>
      <c r="G2249" s="164" t="str">
        <f ca="1">IFERROR(__xludf.DUMMYFUNCTION("""COMPUTED_VALUE"""),"no plate available")</f>
        <v>no plate available</v>
      </c>
      <c r="H2249" s="164" t="str">
        <f ca="1">IFERROR(__xludf.DUMMYFUNCTION("""COMPUTED_VALUE"""),"ZYRA JOY D. BERMAS")</f>
        <v>ZYRA JOY D. BERMAS</v>
      </c>
      <c r="I2249" s="164" t="str">
        <f ca="1">IFERROR(__xludf.DUMMYFUNCTION("""COMPUTED_VALUE"""),"ACCTG. PROPERTY CUSTUDIAN")</f>
        <v>ACCTG. PROPERTY CUSTUDIAN</v>
      </c>
      <c r="J2249" s="164" t="str">
        <f ca="1">IFERROR(__xludf.DUMMYFUNCTION("""COMPUTED_VALUE"""),"PTR:2022-SPLIT-002
 PAR:24-03-003")</f>
        <v>PTR:2022-SPLIT-002
 PAR:24-03-003</v>
      </c>
      <c r="K2249" s="164"/>
      <c r="L2249" s="164"/>
      <c r="M2249" s="164" t="str">
        <f ca="1">IFERROR(__xludf.DUMMYFUNCTION("""COMPUTED_VALUE"""),"SERVICEABLE")</f>
        <v>SERVICEABLE</v>
      </c>
      <c r="N2249" s="164" t="str">
        <f ca="1">IFERROR(__xludf.DUMMYFUNCTION("""COMPUTED_VALUE"""),"RETURNED TO DARPO")</f>
        <v>RETURNED TO DARPO</v>
      </c>
    </row>
    <row r="2250" spans="1:14" ht="13.2" hidden="1">
      <c r="A2250" s="164" t="str">
        <f ca="1">IFERROR(__xludf.DUMMYFUNCTION("""COMPUTED_VALUE"""),"REGION V")</f>
        <v>REGION V</v>
      </c>
      <c r="B2250" s="164" t="str">
        <f ca="1">IFERROR(__xludf.DUMMYFUNCTION("""COMPUTED_VALUE"""),"ALBAY")</f>
        <v>ALBAY</v>
      </c>
      <c r="C2250" s="164" t="str">
        <f ca="1">IFERROR(__xludf.DUMMYFUNCTION("""COMPUTED_VALUE"""),"Motorcycle – (Honda XRL 150)")</f>
        <v>Motorcycle – (Honda XRL 150)</v>
      </c>
      <c r="D2250" s="164" t="str">
        <f ca="1">IFERROR(__xludf.DUMMYFUNCTION("""COMPUTED_VALUE"""),"₱ 124,900.00")</f>
        <v>₱ 124,900.00</v>
      </c>
      <c r="E2250" s="164"/>
      <c r="F2250" s="164" t="str">
        <f ca="1">IFERROR(__xludf.DUMMYFUNCTION("""COMPUTED_VALUE"""),"2023-06-01-10202-SP-169-1")</f>
        <v>2023-06-01-10202-SP-169-1</v>
      </c>
      <c r="G2250" s="164" t="str">
        <f ca="1">IFERROR(__xludf.DUMMYFUNCTION("""COMPUTED_VALUE"""),"720 SNE")</f>
        <v>720 SNE</v>
      </c>
      <c r="H2250" s="164" t="str">
        <f ca="1">IFERROR(__xludf.DUMMYFUNCTION("""COMPUTED_VALUE"""),"ZYRA JOY D. BERMAS")</f>
        <v>ZYRA JOY D. BERMAS</v>
      </c>
      <c r="I2250" s="164" t="str">
        <f ca="1">IFERROR(__xludf.DUMMYFUNCTION("""COMPUTED_VALUE"""),"ACCTG. PROPERTY CUSTUDIAN")</f>
        <v>ACCTG. PROPERTY CUSTUDIAN</v>
      </c>
      <c r="J2250" s="164" t="str">
        <f ca="1">IFERROR(__xludf.DUMMYFUNCTION("""COMPUTED_VALUE"""),"PTR:2022-SPLIT-002
 PAR:24-01-001")</f>
        <v>PTR:2022-SPLIT-002
 PAR:24-01-001</v>
      </c>
      <c r="K2250" s="164" t="str">
        <f ca="1">IFERROR(__xludf.DUMMYFUNCTION("""COMPUTED_VALUE"""),"J. APULI")</f>
        <v>J. APULI</v>
      </c>
      <c r="L2250" s="164" t="str">
        <f ca="1">IFERROR(__xludf.DUMMYFUNCTION("""COMPUTED_VALUE"""),"DARPO")</f>
        <v>DARPO</v>
      </c>
      <c r="M2250" s="164" t="str">
        <f ca="1">IFERROR(__xludf.DUMMYFUNCTION("""COMPUTED_VALUE"""),"SERVICEABLE")</f>
        <v>SERVICEABLE</v>
      </c>
      <c r="N2250" s="164"/>
    </row>
    <row r="2251" spans="1:14" ht="13.2" hidden="1">
      <c r="A2251" s="164" t="str">
        <f ca="1">IFERROR(__xludf.DUMMYFUNCTION("""COMPUTED_VALUE"""),"REGION V")</f>
        <v>REGION V</v>
      </c>
      <c r="B2251" s="164" t="str">
        <f ca="1">IFERROR(__xludf.DUMMYFUNCTION("""COMPUTED_VALUE"""),"ALBAY")</f>
        <v>ALBAY</v>
      </c>
      <c r="C2251" s="164" t="str">
        <f ca="1">IFERROR(__xludf.DUMMYFUNCTION("""COMPUTED_VALUE"""),"Motorcycle – (Honda XRL 150)")</f>
        <v>Motorcycle – (Honda XRL 150)</v>
      </c>
      <c r="D2251" s="164" t="str">
        <f ca="1">IFERROR(__xludf.DUMMYFUNCTION("""COMPUTED_VALUE"""),"₱ 124,900.00")</f>
        <v>₱ 124,900.00</v>
      </c>
      <c r="E2251" s="164"/>
      <c r="F2251" s="164" t="str">
        <f ca="1">IFERROR(__xludf.DUMMYFUNCTION("""COMPUTED_VALUE"""),"2023-06-01-10202-SP-214-1")</f>
        <v>2023-06-01-10202-SP-214-1</v>
      </c>
      <c r="G2251" s="164" t="str">
        <f ca="1">IFERROR(__xludf.DUMMYFUNCTION("""COMPUTED_VALUE"""),"no plate available")</f>
        <v>no plate available</v>
      </c>
      <c r="H2251" s="164" t="str">
        <f ca="1">IFERROR(__xludf.DUMMYFUNCTION("""COMPUTED_VALUE"""),"ZYRA JOY D. BERMAS")</f>
        <v>ZYRA JOY D. BERMAS</v>
      </c>
      <c r="I2251" s="164" t="str">
        <f ca="1">IFERROR(__xludf.DUMMYFUNCTION("""COMPUTED_VALUE"""),"ACCTG. PROPERTY CUSTUDIAN")</f>
        <v>ACCTG. PROPERTY CUSTUDIAN</v>
      </c>
      <c r="J2251" s="164" t="str">
        <f ca="1">IFERROR(__xludf.DUMMYFUNCTION("""COMPUTED_VALUE"""),"PTR:2022-SPLIT-002
 PAR:24-03-004")</f>
        <v>PTR:2022-SPLIT-002
 PAR:24-03-004</v>
      </c>
      <c r="K2251" s="164" t="str">
        <f ca="1">IFERROR(__xludf.DUMMYFUNCTION("""COMPUTED_VALUE"""),"J. DLR")</f>
        <v>J. DLR</v>
      </c>
      <c r="L2251" s="164" t="str">
        <f ca="1">IFERROR(__xludf.DUMMYFUNCTION("""COMPUTED_VALUE"""),"DARMO")</f>
        <v>DARMO</v>
      </c>
      <c r="M2251" s="164" t="str">
        <f ca="1">IFERROR(__xludf.DUMMYFUNCTION("""COMPUTED_VALUE"""),"SERVICEABLE")</f>
        <v>SERVICEABLE</v>
      </c>
      <c r="N2251" s="164"/>
    </row>
    <row r="2252" spans="1:14" ht="13.2" hidden="1">
      <c r="A2252" s="164" t="str">
        <f ca="1">IFERROR(__xludf.DUMMYFUNCTION("""COMPUTED_VALUE"""),"REGION V")</f>
        <v>REGION V</v>
      </c>
      <c r="B2252" s="164" t="str">
        <f ca="1">IFERROR(__xludf.DUMMYFUNCTION("""COMPUTED_VALUE"""),"ALBAY")</f>
        <v>ALBAY</v>
      </c>
      <c r="C2252" s="164" t="str">
        <f ca="1">IFERROR(__xludf.DUMMYFUNCTION("""COMPUTED_VALUE"""),"Motorcycle – (Honda XRL 150)")</f>
        <v>Motorcycle – (Honda XRL 150)</v>
      </c>
      <c r="D2252" s="164" t="str">
        <f ca="1">IFERROR(__xludf.DUMMYFUNCTION("""COMPUTED_VALUE"""),"₱ 124,900.00")</f>
        <v>₱ 124,900.00</v>
      </c>
      <c r="E2252" s="164"/>
      <c r="F2252" s="164" t="str">
        <f ca="1">IFERROR(__xludf.DUMMYFUNCTION("""COMPUTED_VALUE"""),"2023-06-01-10202-SP-174-1")</f>
        <v>2023-06-01-10202-SP-174-1</v>
      </c>
      <c r="G2252" s="164" t="str">
        <f ca="1">IFERROR(__xludf.DUMMYFUNCTION("""COMPUTED_VALUE"""),"no plate available")</f>
        <v>no plate available</v>
      </c>
      <c r="H2252" s="164" t="str">
        <f ca="1">IFERROR(__xludf.DUMMYFUNCTION("""COMPUTED_VALUE"""),"ZYRA JOY D. BERMAS")</f>
        <v>ZYRA JOY D. BERMAS</v>
      </c>
      <c r="I2252" s="164" t="str">
        <f ca="1">IFERROR(__xludf.DUMMYFUNCTION("""COMPUTED_VALUE"""),"ACCTG. PROPERTY CUSTUDIAN")</f>
        <v>ACCTG. PROPERTY CUSTUDIAN</v>
      </c>
      <c r="J2252" s="164" t="str">
        <f ca="1">IFERROR(__xludf.DUMMYFUNCTION("""COMPUTED_VALUE"""),"PTR:2022-SPLIT-002
 PAR:24-03-005")</f>
        <v>PTR:2022-SPLIT-002
 PAR:24-03-005</v>
      </c>
      <c r="K2252" s="164" t="str">
        <f ca="1">IFERROR(__xludf.DUMMYFUNCTION("""COMPUTED_VALUE"""),"A. TIBI")</f>
        <v>A. TIBI</v>
      </c>
      <c r="L2252" s="164" t="str">
        <f ca="1">IFERROR(__xludf.DUMMYFUNCTION("""COMPUTED_VALUE"""),"DARMO")</f>
        <v>DARMO</v>
      </c>
      <c r="M2252" s="164" t="str">
        <f ca="1">IFERROR(__xludf.DUMMYFUNCTION("""COMPUTED_VALUE"""),"SERVICEABLE")</f>
        <v>SERVICEABLE</v>
      </c>
      <c r="N2252" s="164"/>
    </row>
    <row r="2253" spans="1:14" ht="13.2" hidden="1">
      <c r="A2253" s="164" t="str">
        <f ca="1">IFERROR(__xludf.DUMMYFUNCTION("""COMPUTED_VALUE"""),"REGION V")</f>
        <v>REGION V</v>
      </c>
      <c r="B2253" s="164" t="str">
        <f ca="1">IFERROR(__xludf.DUMMYFUNCTION("""COMPUTED_VALUE"""),"ALBAY")</f>
        <v>ALBAY</v>
      </c>
      <c r="C2253" s="164" t="str">
        <f ca="1">IFERROR(__xludf.DUMMYFUNCTION("""COMPUTED_VALUE"""),"Motorcycle – (Honda XRL 150)")</f>
        <v>Motorcycle – (Honda XRL 150)</v>
      </c>
      <c r="D2253" s="164" t="str">
        <f ca="1">IFERROR(__xludf.DUMMYFUNCTION("""COMPUTED_VALUE"""),"₱ 124,900.00")</f>
        <v>₱ 124,900.00</v>
      </c>
      <c r="E2253" s="164"/>
      <c r="F2253" s="164" t="str">
        <f ca="1">IFERROR(__xludf.DUMMYFUNCTION("""COMPUTED_VALUE"""),"2023-06-01-10202-SP-201-1")</f>
        <v>2023-06-01-10202-SP-201-1</v>
      </c>
      <c r="G2253" s="164" t="str">
        <f ca="1">IFERROR(__xludf.DUMMYFUNCTION("""COMPUTED_VALUE"""),"no plate available")</f>
        <v>no plate available</v>
      </c>
      <c r="H2253" s="164" t="str">
        <f ca="1">IFERROR(__xludf.DUMMYFUNCTION("""COMPUTED_VALUE"""),"ZYRA JOY D. BERMAS")</f>
        <v>ZYRA JOY D. BERMAS</v>
      </c>
      <c r="I2253" s="164" t="str">
        <f ca="1">IFERROR(__xludf.DUMMYFUNCTION("""COMPUTED_VALUE"""),"ACCTG. PROPERTY CUSTUDIAN")</f>
        <v>ACCTG. PROPERTY CUSTUDIAN</v>
      </c>
      <c r="J2253" s="164" t="str">
        <f ca="1">IFERROR(__xludf.DUMMYFUNCTION("""COMPUTED_VALUE"""),"PTR:2022-SPLIT-002
 PAR:24-03-002")</f>
        <v>PTR:2022-SPLIT-002
 PAR:24-03-002</v>
      </c>
      <c r="K2253" s="164" t="str">
        <f ca="1">IFERROR(__xludf.DUMMYFUNCTION("""COMPUTED_VALUE"""),"C. NUYDA")</f>
        <v>C. NUYDA</v>
      </c>
      <c r="L2253" s="164" t="str">
        <f ca="1">IFERROR(__xludf.DUMMYFUNCTION("""COMPUTED_VALUE"""),"DARMO")</f>
        <v>DARMO</v>
      </c>
      <c r="M2253" s="164" t="str">
        <f ca="1">IFERROR(__xludf.DUMMYFUNCTION("""COMPUTED_VALUE"""),"SERVICEABLE")</f>
        <v>SERVICEABLE</v>
      </c>
      <c r="N2253" s="164"/>
    </row>
    <row r="2254" spans="1:14" ht="13.2" hidden="1">
      <c r="A2254" s="164" t="str">
        <f ca="1">IFERROR(__xludf.DUMMYFUNCTION("""COMPUTED_VALUE"""),"REGION V")</f>
        <v>REGION V</v>
      </c>
      <c r="B2254" s="164" t="str">
        <f ca="1">IFERROR(__xludf.DUMMYFUNCTION("""COMPUTED_VALUE"""),"ALBAY")</f>
        <v>ALBAY</v>
      </c>
      <c r="C2254" s="164" t="str">
        <f ca="1">IFERROR(__xludf.DUMMYFUNCTION("""COMPUTED_VALUE"""),"Motorcycle – (Honda XRL 150)")</f>
        <v>Motorcycle – (Honda XRL 150)</v>
      </c>
      <c r="D2254" s="164" t="str">
        <f ca="1">IFERROR(__xludf.DUMMYFUNCTION("""COMPUTED_VALUE"""),"₱ 124,900.00")</f>
        <v>₱ 124,900.00</v>
      </c>
      <c r="E2254" s="164"/>
      <c r="F2254" s="164" t="str">
        <f ca="1">IFERROR(__xludf.DUMMYFUNCTION("""COMPUTED_VALUE"""),"2023-06-01-10202-SP-179-1")</f>
        <v>2023-06-01-10202-SP-179-1</v>
      </c>
      <c r="G2254" s="164" t="str">
        <f ca="1">IFERROR(__xludf.DUMMYFUNCTION("""COMPUTED_VALUE"""),"no plate available")</f>
        <v>no plate available</v>
      </c>
      <c r="H2254" s="164" t="str">
        <f ca="1">IFERROR(__xludf.DUMMYFUNCTION("""COMPUTED_VALUE"""),"ZYRA JOY D. BERMAS")</f>
        <v>ZYRA JOY D. BERMAS</v>
      </c>
      <c r="I2254" s="164" t="str">
        <f ca="1">IFERROR(__xludf.DUMMYFUNCTION("""COMPUTED_VALUE"""),"ACCTG. PROPERTY CUSTUDIAN")</f>
        <v>ACCTG. PROPERTY CUSTUDIAN</v>
      </c>
      <c r="J2254" s="164" t="str">
        <f ca="1">IFERROR(__xludf.DUMMYFUNCTION("""COMPUTED_VALUE"""),"PTR:2022-SPLIT-002
 PAR:23-07-016")</f>
        <v>PTR:2022-SPLIT-002
 PAR:23-07-016</v>
      </c>
      <c r="K2254" s="164" t="str">
        <f ca="1">IFERROR(__xludf.DUMMYFUNCTION("""COMPUTED_VALUE"""),"J. OBSEQUIO")</f>
        <v>J. OBSEQUIO</v>
      </c>
      <c r="L2254" s="164" t="str">
        <f ca="1">IFERROR(__xludf.DUMMYFUNCTION("""COMPUTED_VALUE"""),"DARPO")</f>
        <v>DARPO</v>
      </c>
      <c r="M2254" s="164" t="str">
        <f ca="1">IFERROR(__xludf.DUMMYFUNCTION("""COMPUTED_VALUE"""),"SERVICEABLE")</f>
        <v>SERVICEABLE</v>
      </c>
      <c r="N2254" s="164"/>
    </row>
    <row r="2255" spans="1:14" ht="13.2" hidden="1">
      <c r="A2255" s="164" t="str">
        <f ca="1">IFERROR(__xludf.DUMMYFUNCTION("""COMPUTED_VALUE"""),"REGION V")</f>
        <v>REGION V</v>
      </c>
      <c r="B2255" s="164" t="str">
        <f ca="1">IFERROR(__xludf.DUMMYFUNCTION("""COMPUTED_VALUE"""),"ALBAY")</f>
        <v>ALBAY</v>
      </c>
      <c r="C2255" s="164" t="str">
        <f ca="1">IFERROR(__xludf.DUMMYFUNCTION("""COMPUTED_VALUE"""),"Motorcycle – (Honda XRL 150)")</f>
        <v>Motorcycle – (Honda XRL 150)</v>
      </c>
      <c r="D2255" s="164" t="str">
        <f ca="1">IFERROR(__xludf.DUMMYFUNCTION("""COMPUTED_VALUE"""),"₱ 124,900.00")</f>
        <v>₱ 124,900.00</v>
      </c>
      <c r="E2255" s="164"/>
      <c r="F2255" s="164" t="str">
        <f ca="1">IFERROR(__xludf.DUMMYFUNCTION("""COMPUTED_VALUE"""),"2023-06-01-10202-SP-170-1")</f>
        <v>2023-06-01-10202-SP-170-1</v>
      </c>
      <c r="G2255" s="164" t="str">
        <f ca="1">IFERROR(__xludf.DUMMYFUNCTION("""COMPUTED_VALUE"""),"no plate available")</f>
        <v>no plate available</v>
      </c>
      <c r="H2255" s="164" t="str">
        <f ca="1">IFERROR(__xludf.DUMMYFUNCTION("""COMPUTED_VALUE"""),"ZYRA JOY D. BERMAS")</f>
        <v>ZYRA JOY D. BERMAS</v>
      </c>
      <c r="I2255" s="164" t="str">
        <f ca="1">IFERROR(__xludf.DUMMYFUNCTION("""COMPUTED_VALUE"""),"ACCTG. PROPERTY CUSTUDIAN")</f>
        <v>ACCTG. PROPERTY CUSTUDIAN</v>
      </c>
      <c r="J2255" s="164" t="str">
        <f ca="1">IFERROR(__xludf.DUMMYFUNCTION("""COMPUTED_VALUE"""),"PTR:2022-SPLIT-002
 PAR:23-07-017")</f>
        <v>PTR:2022-SPLIT-002
 PAR:23-07-017</v>
      </c>
      <c r="K2255" s="164" t="str">
        <f ca="1">IFERROR(__xludf.DUMMYFUNCTION("""COMPUTED_VALUE"""),"C. PANESA")</f>
        <v>C. PANESA</v>
      </c>
      <c r="L2255" s="164" t="str">
        <f ca="1">IFERROR(__xludf.DUMMYFUNCTION("""COMPUTED_VALUE"""),"DARPO")</f>
        <v>DARPO</v>
      </c>
      <c r="M2255" s="164" t="str">
        <f ca="1">IFERROR(__xludf.DUMMYFUNCTION("""COMPUTED_VALUE"""),"SERVICEABLE")</f>
        <v>SERVICEABLE</v>
      </c>
      <c r="N2255" s="164"/>
    </row>
    <row r="2256" spans="1:14" ht="13.2" hidden="1">
      <c r="A2256" s="164" t="str">
        <f ca="1">IFERROR(__xludf.DUMMYFUNCTION("""COMPUTED_VALUE"""),"REGION V")</f>
        <v>REGION V</v>
      </c>
      <c r="B2256" s="164" t="str">
        <f ca="1">IFERROR(__xludf.DUMMYFUNCTION("""COMPUTED_VALUE"""),"ALBAY")</f>
        <v>ALBAY</v>
      </c>
      <c r="C2256" s="164" t="str">
        <f ca="1">IFERROR(__xludf.DUMMYFUNCTION("""COMPUTED_VALUE"""),"Motorcycle – (Honda XRL 150)")</f>
        <v>Motorcycle – (Honda XRL 150)</v>
      </c>
      <c r="D2256" s="164" t="str">
        <f ca="1">IFERROR(__xludf.DUMMYFUNCTION("""COMPUTED_VALUE"""),"₱ 124,900.00")</f>
        <v>₱ 124,900.00</v>
      </c>
      <c r="E2256" s="164"/>
      <c r="F2256" s="164" t="str">
        <f ca="1">IFERROR(__xludf.DUMMYFUNCTION("""COMPUTED_VALUE"""),"2023-06-01-10202-SP-167-1")</f>
        <v>2023-06-01-10202-SP-167-1</v>
      </c>
      <c r="G2256" s="164" t="str">
        <f ca="1">IFERROR(__xludf.DUMMYFUNCTION("""COMPUTED_VALUE"""),"no plate available")</f>
        <v>no plate available</v>
      </c>
      <c r="H2256" s="164" t="str">
        <f ca="1">IFERROR(__xludf.DUMMYFUNCTION("""COMPUTED_VALUE"""),"ZYRA JOY D. BERMAS")</f>
        <v>ZYRA JOY D. BERMAS</v>
      </c>
      <c r="I2256" s="164" t="str">
        <f ca="1">IFERROR(__xludf.DUMMYFUNCTION("""COMPUTED_VALUE"""),"ACCTG. PROPERTY CUSTUDIAN")</f>
        <v>ACCTG. PROPERTY CUSTUDIAN</v>
      </c>
      <c r="J2256" s="164" t="str">
        <f ca="1">IFERROR(__xludf.DUMMYFUNCTION("""COMPUTED_VALUE"""),"PTR:2022-SPLIT-002
 PAR:23-07-018")</f>
        <v>PTR:2022-SPLIT-002
 PAR:23-07-018</v>
      </c>
      <c r="K2256" s="164" t="str">
        <f ca="1">IFERROR(__xludf.DUMMYFUNCTION("""COMPUTED_VALUE"""),"M. IGURA")</f>
        <v>M. IGURA</v>
      </c>
      <c r="L2256" s="164" t="str">
        <f ca="1">IFERROR(__xludf.DUMMYFUNCTION("""COMPUTED_VALUE"""),"DARPO")</f>
        <v>DARPO</v>
      </c>
      <c r="M2256" s="164" t="str">
        <f ca="1">IFERROR(__xludf.DUMMYFUNCTION("""COMPUTED_VALUE"""),"SERVICEABLE")</f>
        <v>SERVICEABLE</v>
      </c>
      <c r="N2256" s="164"/>
    </row>
    <row r="2257" spans="1:14" ht="13.2" hidden="1">
      <c r="A2257" s="164" t="str">
        <f ca="1">IFERROR(__xludf.DUMMYFUNCTION("""COMPUTED_VALUE"""),"REGION V")</f>
        <v>REGION V</v>
      </c>
      <c r="B2257" s="164" t="str">
        <f ca="1">IFERROR(__xludf.DUMMYFUNCTION("""COMPUTED_VALUE"""),"ALBAY")</f>
        <v>ALBAY</v>
      </c>
      <c r="C2257" s="164" t="str">
        <f ca="1">IFERROR(__xludf.DUMMYFUNCTION("""COMPUTED_VALUE"""),"Motorcycle – (Honda XRL 150)")</f>
        <v>Motorcycle – (Honda XRL 150)</v>
      </c>
      <c r="D2257" s="164" t="str">
        <f ca="1">IFERROR(__xludf.DUMMYFUNCTION("""COMPUTED_VALUE"""),"₱ 124,900.00")</f>
        <v>₱ 124,900.00</v>
      </c>
      <c r="E2257" s="164"/>
      <c r="F2257" s="164" t="str">
        <f ca="1">IFERROR(__xludf.DUMMYFUNCTION("""COMPUTED_VALUE"""),"2023-06-01-10202-SP-186-1")</f>
        <v>2023-06-01-10202-SP-186-1</v>
      </c>
      <c r="G2257" s="164" t="str">
        <f ca="1">IFERROR(__xludf.DUMMYFUNCTION("""COMPUTED_VALUE"""),"no plate available")</f>
        <v>no plate available</v>
      </c>
      <c r="H2257" s="164" t="str">
        <f ca="1">IFERROR(__xludf.DUMMYFUNCTION("""COMPUTED_VALUE"""),"ZYRA JOY D. BERMAS")</f>
        <v>ZYRA JOY D. BERMAS</v>
      </c>
      <c r="I2257" s="164" t="str">
        <f ca="1">IFERROR(__xludf.DUMMYFUNCTION("""COMPUTED_VALUE"""),"ACCTG. PROPERTY CUSTUDIAN")</f>
        <v>ACCTG. PROPERTY CUSTUDIAN</v>
      </c>
      <c r="J2257" s="164" t="str">
        <f ca="1">IFERROR(__xludf.DUMMYFUNCTION("""COMPUTED_VALUE"""),"PTR:2022-SPLIT-002
 PAR:23-07-019")</f>
        <v>PTR:2022-SPLIT-002
 PAR:23-07-019</v>
      </c>
      <c r="K2257" s="164" t="str">
        <f ca="1">IFERROR(__xludf.DUMMYFUNCTION("""COMPUTED_VALUE"""),"D. OCBINA")</f>
        <v>D. OCBINA</v>
      </c>
      <c r="L2257" s="164" t="str">
        <f ca="1">IFERROR(__xludf.DUMMYFUNCTION("""COMPUTED_VALUE"""),"DARPO")</f>
        <v>DARPO</v>
      </c>
      <c r="M2257" s="164" t="str">
        <f ca="1">IFERROR(__xludf.DUMMYFUNCTION("""COMPUTED_VALUE"""),"SERVICEABLE")</f>
        <v>SERVICEABLE</v>
      </c>
      <c r="N2257" s="164"/>
    </row>
    <row r="2258" spans="1:14" ht="13.2" hidden="1">
      <c r="A2258" s="164" t="str">
        <f ca="1">IFERROR(__xludf.DUMMYFUNCTION("""COMPUTED_VALUE"""),"REGION V")</f>
        <v>REGION V</v>
      </c>
      <c r="B2258" s="164" t="str">
        <f ca="1">IFERROR(__xludf.DUMMYFUNCTION("""COMPUTED_VALUE"""),"ALBAY")</f>
        <v>ALBAY</v>
      </c>
      <c r="C2258" s="164" t="str">
        <f ca="1">IFERROR(__xludf.DUMMYFUNCTION("""COMPUTED_VALUE"""),"Motorcycle – (Honda XRL 150)")</f>
        <v>Motorcycle – (Honda XRL 150)</v>
      </c>
      <c r="D2258" s="164" t="str">
        <f ca="1">IFERROR(__xludf.DUMMYFUNCTION("""COMPUTED_VALUE"""),"₱ 124,900.00")</f>
        <v>₱ 124,900.00</v>
      </c>
      <c r="E2258" s="164"/>
      <c r="F2258" s="164" t="str">
        <f ca="1">IFERROR(__xludf.DUMMYFUNCTION("""COMPUTED_VALUE"""),"2023-06-01-10202-SP-178-1
 2023-06-01-10202-SP-193-1")</f>
        <v>2023-06-01-10202-SP-178-1
 2023-06-01-10202-SP-193-1</v>
      </c>
      <c r="G2258" s="164" t="str">
        <f ca="1">IFERROR(__xludf.DUMMYFUNCTION("""COMPUTED_VALUE"""),"no plate available")</f>
        <v>no plate available</v>
      </c>
      <c r="H2258" s="164" t="str">
        <f ca="1">IFERROR(__xludf.DUMMYFUNCTION("""COMPUTED_VALUE"""),"ZYRA JOY D. BERMAS")</f>
        <v>ZYRA JOY D. BERMAS</v>
      </c>
      <c r="I2258" s="164" t="str">
        <f ca="1">IFERROR(__xludf.DUMMYFUNCTION("""COMPUTED_VALUE"""),"ACCTG. PROPERTY CUSTUDIAN")</f>
        <v>ACCTG. PROPERTY CUSTUDIAN</v>
      </c>
      <c r="J2258" s="164" t="str">
        <f ca="1">IFERROR(__xludf.DUMMYFUNCTION("""COMPUTED_VALUE"""),"PTR:2022-SPLIT-002
 PAR:23-07-020")</f>
        <v>PTR:2022-SPLIT-002
 PAR:23-07-020</v>
      </c>
      <c r="K2258" s="164" t="str">
        <f ca="1">IFERROR(__xludf.DUMMYFUNCTION("""COMPUTED_VALUE"""),"C. BASCO")</f>
        <v>C. BASCO</v>
      </c>
      <c r="L2258" s="164" t="str">
        <f ca="1">IFERROR(__xludf.DUMMYFUNCTION("""COMPUTED_VALUE"""),"DARPO")</f>
        <v>DARPO</v>
      </c>
      <c r="M2258" s="164" t="str">
        <f ca="1">IFERROR(__xludf.DUMMYFUNCTION("""COMPUTED_VALUE"""),"SERVICEABLE")</f>
        <v>SERVICEABLE</v>
      </c>
      <c r="N2258" s="164"/>
    </row>
    <row r="2259" spans="1:14" ht="13.2" hidden="1">
      <c r="A2259" s="164" t="str">
        <f ca="1">IFERROR(__xludf.DUMMYFUNCTION("""COMPUTED_VALUE"""),"REGION V")</f>
        <v>REGION V</v>
      </c>
      <c r="B2259" s="164" t="str">
        <f ca="1">IFERROR(__xludf.DUMMYFUNCTION("""COMPUTED_VALUE"""),"ALBAY")</f>
        <v>ALBAY</v>
      </c>
      <c r="C2259" s="164" t="str">
        <f ca="1">IFERROR(__xludf.DUMMYFUNCTION("""COMPUTED_VALUE"""),"Motorcycle – (Honda XRL 150)")</f>
        <v>Motorcycle – (Honda XRL 150)</v>
      </c>
      <c r="D2259" s="164" t="str">
        <f ca="1">IFERROR(__xludf.DUMMYFUNCTION("""COMPUTED_VALUE"""),"₱ 124,900.00")</f>
        <v>₱ 124,900.00</v>
      </c>
      <c r="E2259" s="164"/>
      <c r="F2259" s="164" t="str">
        <f ca="1">IFERROR(__xludf.DUMMYFUNCTION("""COMPUTED_VALUE"""),"2023-06-01-10202-SP-180-1")</f>
        <v>2023-06-01-10202-SP-180-1</v>
      </c>
      <c r="G2259" s="164" t="str">
        <f ca="1">IFERROR(__xludf.DUMMYFUNCTION("""COMPUTED_VALUE"""),"no plate available")</f>
        <v>no plate available</v>
      </c>
      <c r="H2259" s="164" t="str">
        <f ca="1">IFERROR(__xludf.DUMMYFUNCTION("""COMPUTED_VALUE"""),"ZYRA JOY D. BERMAS")</f>
        <v>ZYRA JOY D. BERMAS</v>
      </c>
      <c r="I2259" s="164" t="str">
        <f ca="1">IFERROR(__xludf.DUMMYFUNCTION("""COMPUTED_VALUE"""),"ACCTG. PROPERTY CUSTUDIAN")</f>
        <v>ACCTG. PROPERTY CUSTUDIAN</v>
      </c>
      <c r="J2259" s="164" t="str">
        <f ca="1">IFERROR(__xludf.DUMMYFUNCTION("""COMPUTED_VALUE"""),"PTR:2022-SPLIT-002
 PAR:23-07-021")</f>
        <v>PTR:2022-SPLIT-002
 PAR:23-07-021</v>
      </c>
      <c r="K2259" s="164" t="str">
        <f ca="1">IFERROR(__xludf.DUMMYFUNCTION("""COMPUTED_VALUE"""),"N. ANONUEVO")</f>
        <v>N. ANONUEVO</v>
      </c>
      <c r="L2259" s="164" t="str">
        <f ca="1">IFERROR(__xludf.DUMMYFUNCTION("""COMPUTED_VALUE"""),"DARMO")</f>
        <v>DARMO</v>
      </c>
      <c r="M2259" s="164" t="str">
        <f ca="1">IFERROR(__xludf.DUMMYFUNCTION("""COMPUTED_VALUE"""),"SERVICEABLE")</f>
        <v>SERVICEABLE</v>
      </c>
      <c r="N2259" s="164"/>
    </row>
    <row r="2260" spans="1:14" ht="13.2" hidden="1">
      <c r="A2260" s="164" t="str">
        <f ca="1">IFERROR(__xludf.DUMMYFUNCTION("""COMPUTED_VALUE"""),"REGION V")</f>
        <v>REGION V</v>
      </c>
      <c r="B2260" s="164" t="str">
        <f ca="1">IFERROR(__xludf.DUMMYFUNCTION("""COMPUTED_VALUE"""),"CAMARINES NORTE")</f>
        <v>CAMARINES NORTE</v>
      </c>
      <c r="C2260" s="164" t="str">
        <f ca="1">IFERROR(__xludf.DUMMYFUNCTION("""COMPUTED_VALUE"""),"Double Cabin Pick-up Vehicles – Mitsubishi Strada")</f>
        <v>Double Cabin Pick-up Vehicles – Mitsubishi Strada</v>
      </c>
      <c r="D2260" s="164" t="str">
        <f ca="1">IFERROR(__xludf.DUMMYFUNCTION("""COMPUTED_VALUE"""),"₱ 1,752,400.00")</f>
        <v>₱ 1,752,400.00</v>
      </c>
      <c r="E2260" s="164"/>
      <c r="F2260" s="164" t="str">
        <f ca="1">IFERROR(__xludf.DUMMYFUNCTION("""COMPUTED_VALUE"""),"2023-06-01-10201SP78-01")</f>
        <v>2023-06-01-10201SP78-01</v>
      </c>
      <c r="G2260" s="164" t="str">
        <f ca="1">IFERROR(__xludf.DUMMYFUNCTION("""COMPUTED_VALUE"""),"SNC 1240")</f>
        <v>SNC 1240</v>
      </c>
      <c r="H2260" s="164" t="str">
        <f ca="1">IFERROR(__xludf.DUMMYFUNCTION("""COMPUTED_VALUE"""),"ODESSA A. CABEZUDO")</f>
        <v>ODESSA A. CABEZUDO</v>
      </c>
      <c r="I2260" s="164" t="str">
        <f ca="1">IFERROR(__xludf.DUMMYFUNCTION("""COMPUTED_VALUE"""),"CARPO LTID/OIC-PARPO II")</f>
        <v>CARPO LTID/OIC-PARPO II</v>
      </c>
      <c r="J2260" s="164" t="str">
        <f ca="1">IFERROR(__xludf.DUMMYFUNCTION("""COMPUTED_VALUE"""),"PAR No.: 2024-002/ PTR No.: 2023-SPLIT-008")</f>
        <v>PAR No.: 2024-002/ PTR No.: 2023-SPLIT-008</v>
      </c>
      <c r="K2260" s="164" t="str">
        <f ca="1">IFERROR(__xludf.DUMMYFUNCTION("""COMPUTED_VALUE"""),"ODESSA A. CABEZUDO")</f>
        <v>ODESSA A. CABEZUDO</v>
      </c>
      <c r="L2260" s="164" t="str">
        <f ca="1">IFERROR(__xludf.DUMMYFUNCTION("""COMPUTED_VALUE"""),"CARPO LTID/OIC-PARPO II")</f>
        <v>CARPO LTID/OIC-PARPO II</v>
      </c>
      <c r="M2260" s="164" t="str">
        <f ca="1">IFERROR(__xludf.DUMMYFUNCTION("""COMPUTED_VALUE"""),"SERVICEABLE")</f>
        <v>SERVICEABLE</v>
      </c>
      <c r="N2260" s="164"/>
    </row>
    <row r="2261" spans="1:14" ht="13.2" hidden="1">
      <c r="A2261" s="164" t="str">
        <f ca="1">IFERROR(__xludf.DUMMYFUNCTION("""COMPUTED_VALUE"""),"REGION V")</f>
        <v>REGION V</v>
      </c>
      <c r="B2261" s="164" t="str">
        <f ca="1">IFERROR(__xludf.DUMMYFUNCTION("""COMPUTED_VALUE"""),"CAMARINES NORTE")</f>
        <v>CAMARINES NORTE</v>
      </c>
      <c r="C2261" s="164" t="str">
        <f ca="1">IFERROR(__xludf.DUMMYFUNCTION("""COMPUTED_VALUE"""),"Motorcycle – (Honda XRL 150)")</f>
        <v>Motorcycle – (Honda XRL 150)</v>
      </c>
      <c r="D2261" s="164" t="str">
        <f ca="1">IFERROR(__xludf.DUMMYFUNCTION("""COMPUTED_VALUE"""),"₱ 124,900.00")</f>
        <v>₱ 124,900.00</v>
      </c>
      <c r="E2261" s="164"/>
      <c r="F2261" s="164" t="str">
        <f ca="1">IFERROR(__xludf.DUMMYFUNCTION("""COMPUTED_VALUE"""),"2023-06-01-10202-SP-221-01")</f>
        <v>2023-06-01-10202-SP-221-01</v>
      </c>
      <c r="G2261" s="164" t="str">
        <f ca="1">IFERROR(__xludf.DUMMYFUNCTION("""COMPUTED_VALUE"""),"SNC 7435")</f>
        <v>SNC 7435</v>
      </c>
      <c r="H2261" s="164" t="str">
        <f ca="1">IFERROR(__xludf.DUMMYFUNCTION("""COMPUTED_VALUE"""),"ODESSA A. CABEZUDO")</f>
        <v>ODESSA A. CABEZUDO</v>
      </c>
      <c r="I2261" s="164" t="str">
        <f ca="1">IFERROR(__xludf.DUMMYFUNCTION("""COMPUTED_VALUE"""),"CARPO LTID/OIC-PARPO II")</f>
        <v>CARPO LTID/OIC-PARPO II</v>
      </c>
      <c r="J2261" s="164" t="str">
        <f ca="1">IFERROR(__xludf.DUMMYFUNCTION("""COMPUTED_VALUE"""),"PAR No.: 2023-005/ PTR No.: 2022-SPLIT-002")</f>
        <v>PAR No.: 2023-005/ PTR No.: 2022-SPLIT-002</v>
      </c>
      <c r="K2261" s="164" t="str">
        <f ca="1">IFERROR(__xludf.DUMMYFUNCTION("""COMPUTED_VALUE"""),"ODESSA A. CABEZUDO")</f>
        <v>ODESSA A. CABEZUDO</v>
      </c>
      <c r="L2261" s="164" t="str">
        <f ca="1">IFERROR(__xludf.DUMMYFUNCTION("""COMPUTED_VALUE"""),"CARPO LTID/OIC-PARPO II")</f>
        <v>CARPO LTID/OIC-PARPO II</v>
      </c>
      <c r="M2261" s="164" t="str">
        <f ca="1">IFERROR(__xludf.DUMMYFUNCTION("""COMPUTED_VALUE"""),"SERVICEABLE")</f>
        <v>SERVICEABLE</v>
      </c>
      <c r="N2261" s="164"/>
    </row>
    <row r="2262" spans="1:14" ht="13.2" hidden="1">
      <c r="A2262" s="164" t="str">
        <f ca="1">IFERROR(__xludf.DUMMYFUNCTION("""COMPUTED_VALUE"""),"REGION V")</f>
        <v>REGION V</v>
      </c>
      <c r="B2262" s="164" t="str">
        <f ca="1">IFERROR(__xludf.DUMMYFUNCTION("""COMPUTED_VALUE"""),"CAMARINES NORTE")</f>
        <v>CAMARINES NORTE</v>
      </c>
      <c r="C2262" s="164" t="str">
        <f ca="1">IFERROR(__xludf.DUMMYFUNCTION("""COMPUTED_VALUE"""),"Motorcycle – (Honda XRL 150)")</f>
        <v>Motorcycle – (Honda XRL 150)</v>
      </c>
      <c r="D2262" s="164" t="str">
        <f ca="1">IFERROR(__xludf.DUMMYFUNCTION("""COMPUTED_VALUE"""),"₱ 124,900.00")</f>
        <v>₱ 124,900.00</v>
      </c>
      <c r="E2262" s="164"/>
      <c r="F2262" s="164" t="str">
        <f ca="1">IFERROR(__xludf.DUMMYFUNCTION("""COMPUTED_VALUE"""),"2023-06-01-10202-SP-194-01")</f>
        <v>2023-06-01-10202-SP-194-01</v>
      </c>
      <c r="G2262" s="164" t="str">
        <f ca="1">IFERROR(__xludf.DUMMYFUNCTION("""COMPUTED_VALUE"""),"SNC 7406")</f>
        <v>SNC 7406</v>
      </c>
      <c r="H2262" s="164" t="str">
        <f ca="1">IFERROR(__xludf.DUMMYFUNCTION("""COMPUTED_VALUE"""),"ODESSA A. CABEZUDO")</f>
        <v>ODESSA A. CABEZUDO</v>
      </c>
      <c r="I2262" s="164" t="str">
        <f ca="1">IFERROR(__xludf.DUMMYFUNCTION("""COMPUTED_VALUE"""),"CARPO LTID/OIC-PARPO II")</f>
        <v>CARPO LTID/OIC-PARPO II</v>
      </c>
      <c r="J2262" s="164" t="str">
        <f ca="1">IFERROR(__xludf.DUMMYFUNCTION("""COMPUTED_VALUE"""),"PAR No.: 2023-005/ PTR No.: 2022-SPLIT-002")</f>
        <v>PAR No.: 2023-005/ PTR No.: 2022-SPLIT-002</v>
      </c>
      <c r="K2262" s="164" t="str">
        <f ca="1">IFERROR(__xludf.DUMMYFUNCTION("""COMPUTED_VALUE"""),"ODESSA A. CABEZUDO")</f>
        <v>ODESSA A. CABEZUDO</v>
      </c>
      <c r="L2262" s="164" t="str">
        <f ca="1">IFERROR(__xludf.DUMMYFUNCTION("""COMPUTED_VALUE"""),"CARPO LTID/OIC-PARPO II")</f>
        <v>CARPO LTID/OIC-PARPO II</v>
      </c>
      <c r="M2262" s="164" t="str">
        <f ca="1">IFERROR(__xludf.DUMMYFUNCTION("""COMPUTED_VALUE"""),"SERVICEABLE")</f>
        <v>SERVICEABLE</v>
      </c>
      <c r="N2262" s="164"/>
    </row>
    <row r="2263" spans="1:14" ht="13.2" hidden="1">
      <c r="A2263" s="164" t="str">
        <f ca="1">IFERROR(__xludf.DUMMYFUNCTION("""COMPUTED_VALUE"""),"REGION V")</f>
        <v>REGION V</v>
      </c>
      <c r="B2263" s="164" t="str">
        <f ca="1">IFERROR(__xludf.DUMMYFUNCTION("""COMPUTED_VALUE"""),"CAMARINES NORTE")</f>
        <v>CAMARINES NORTE</v>
      </c>
      <c r="C2263" s="164" t="str">
        <f ca="1">IFERROR(__xludf.DUMMYFUNCTION("""COMPUTED_VALUE"""),"Motorcycle – (Honda XRL 150)")</f>
        <v>Motorcycle – (Honda XRL 150)</v>
      </c>
      <c r="D2263" s="164" t="str">
        <f ca="1">IFERROR(__xludf.DUMMYFUNCTION("""COMPUTED_VALUE"""),"₱ 124,900.00")</f>
        <v>₱ 124,900.00</v>
      </c>
      <c r="E2263" s="164"/>
      <c r="F2263" s="164" t="str">
        <f ca="1">IFERROR(__xludf.DUMMYFUNCTION("""COMPUTED_VALUE"""),"2023-06-01-10202-SP-173-01")</f>
        <v>2023-06-01-10202-SP-173-01</v>
      </c>
      <c r="G2263" s="164" t="str">
        <f ca="1">IFERROR(__xludf.DUMMYFUNCTION("""COMPUTED_VALUE"""),"SNC 7341")</f>
        <v>SNC 7341</v>
      </c>
      <c r="H2263" s="164" t="str">
        <f ca="1">IFERROR(__xludf.DUMMYFUNCTION("""COMPUTED_VALUE"""),"ODESSA A. CABEZUDO")</f>
        <v>ODESSA A. CABEZUDO</v>
      </c>
      <c r="I2263" s="164" t="str">
        <f ca="1">IFERROR(__xludf.DUMMYFUNCTION("""COMPUTED_VALUE"""),"CARPO LTID/OIC-PARPO II")</f>
        <v>CARPO LTID/OIC-PARPO II</v>
      </c>
      <c r="J2263" s="164" t="str">
        <f ca="1">IFERROR(__xludf.DUMMYFUNCTION("""COMPUTED_VALUE"""),"PAR No.: 2023-005/ PTR No.: 2022-SPLIT-002")</f>
        <v>PAR No.: 2023-005/ PTR No.: 2022-SPLIT-002</v>
      </c>
      <c r="K2263" s="164" t="str">
        <f ca="1">IFERROR(__xludf.DUMMYFUNCTION("""COMPUTED_VALUE"""),"ODESSA A. CABEZUDO")</f>
        <v>ODESSA A. CABEZUDO</v>
      </c>
      <c r="L2263" s="164" t="str">
        <f ca="1">IFERROR(__xludf.DUMMYFUNCTION("""COMPUTED_VALUE"""),"CARPO LTID/OIC-PARPO II")</f>
        <v>CARPO LTID/OIC-PARPO II</v>
      </c>
      <c r="M2263" s="164" t="str">
        <f ca="1">IFERROR(__xludf.DUMMYFUNCTION("""COMPUTED_VALUE"""),"SERVICEABLE")</f>
        <v>SERVICEABLE</v>
      </c>
      <c r="N2263" s="164"/>
    </row>
    <row r="2264" spans="1:14" ht="13.2" hidden="1">
      <c r="A2264" s="164" t="str">
        <f ca="1">IFERROR(__xludf.DUMMYFUNCTION("""COMPUTED_VALUE"""),"REGION V")</f>
        <v>REGION V</v>
      </c>
      <c r="B2264" s="164" t="str">
        <f ca="1">IFERROR(__xludf.DUMMYFUNCTION("""COMPUTED_VALUE"""),"CAMARINES NORTE")</f>
        <v>CAMARINES NORTE</v>
      </c>
      <c r="C2264" s="164" t="str">
        <f ca="1">IFERROR(__xludf.DUMMYFUNCTION("""COMPUTED_VALUE"""),"Motorcycle – (Honda XRL 150)")</f>
        <v>Motorcycle – (Honda XRL 150)</v>
      </c>
      <c r="D2264" s="164" t="str">
        <f ca="1">IFERROR(__xludf.DUMMYFUNCTION("""COMPUTED_VALUE"""),"₱ 124,900.00")</f>
        <v>₱ 124,900.00</v>
      </c>
      <c r="E2264" s="164"/>
      <c r="F2264" s="164" t="str">
        <f ca="1">IFERROR(__xludf.DUMMYFUNCTION("""COMPUTED_VALUE"""),"2023-06-01-10202-SP-172-01")</f>
        <v>2023-06-01-10202-SP-172-01</v>
      </c>
      <c r="G2264" s="164" t="str">
        <f ca="1">IFERROR(__xludf.DUMMYFUNCTION("""COMPUTED_VALUE"""),"no plate available")</f>
        <v>no plate available</v>
      </c>
      <c r="H2264" s="164" t="str">
        <f ca="1">IFERROR(__xludf.DUMMYFUNCTION("""COMPUTED_VALUE"""),"ODESSA A. CABEZUDO")</f>
        <v>ODESSA A. CABEZUDO</v>
      </c>
      <c r="I2264" s="164" t="str">
        <f ca="1">IFERROR(__xludf.DUMMYFUNCTION("""COMPUTED_VALUE"""),"CARPO LTID/OIC-PARPO II")</f>
        <v>CARPO LTID/OIC-PARPO II</v>
      </c>
      <c r="J2264" s="164" t="str">
        <f ca="1">IFERROR(__xludf.DUMMYFUNCTION("""COMPUTED_VALUE"""),"PAR No.: 2023-005/ PTR No.: 2022-SPLIT-002")</f>
        <v>PAR No.: 2023-005/ PTR No.: 2022-SPLIT-002</v>
      </c>
      <c r="K2264" s="164" t="str">
        <f ca="1">IFERROR(__xludf.DUMMYFUNCTION("""COMPUTED_VALUE"""),"ODESSA A. CABEZUDO")</f>
        <v>ODESSA A. CABEZUDO</v>
      </c>
      <c r="L2264" s="164" t="str">
        <f ca="1">IFERROR(__xludf.DUMMYFUNCTION("""COMPUTED_VALUE"""),"CARPO LTID/OIC-PARPO II")</f>
        <v>CARPO LTID/OIC-PARPO II</v>
      </c>
      <c r="M2264" s="164" t="str">
        <f ca="1">IFERROR(__xludf.DUMMYFUNCTION("""COMPUTED_VALUE"""),"SERVICEABLE")</f>
        <v>SERVICEABLE</v>
      </c>
      <c r="N2264" s="164"/>
    </row>
    <row r="2265" spans="1:14" ht="13.2" hidden="1">
      <c r="A2265" s="164" t="str">
        <f ca="1">IFERROR(__xludf.DUMMYFUNCTION("""COMPUTED_VALUE"""),"REGION V")</f>
        <v>REGION V</v>
      </c>
      <c r="B2265" s="164" t="str">
        <f ca="1">IFERROR(__xludf.DUMMYFUNCTION("""COMPUTED_VALUE"""),"CAMARINES NORTE")</f>
        <v>CAMARINES NORTE</v>
      </c>
      <c r="C2265" s="164" t="str">
        <f ca="1">IFERROR(__xludf.DUMMYFUNCTION("""COMPUTED_VALUE"""),"Motorcycle – (Honda XRL 150)")</f>
        <v>Motorcycle – (Honda XRL 150)</v>
      </c>
      <c r="D2265" s="164" t="str">
        <f ca="1">IFERROR(__xludf.DUMMYFUNCTION("""COMPUTED_VALUE"""),"₱ 124,900.00")</f>
        <v>₱ 124,900.00</v>
      </c>
      <c r="E2265" s="164"/>
      <c r="F2265" s="164" t="str">
        <f ca="1">IFERROR(__xludf.DUMMYFUNCTION("""COMPUTED_VALUE"""),"2023-06-01-10202-SP-203-01")</f>
        <v>2023-06-01-10202-SP-203-01</v>
      </c>
      <c r="G2265" s="164" t="str">
        <f ca="1">IFERROR(__xludf.DUMMYFUNCTION("""COMPUTED_VALUE"""),"SNC 7408")</f>
        <v>SNC 7408</v>
      </c>
      <c r="H2265" s="164" t="str">
        <f ca="1">IFERROR(__xludf.DUMMYFUNCTION("""COMPUTED_VALUE"""),"ODESSA A. CABEZUDO")</f>
        <v>ODESSA A. CABEZUDO</v>
      </c>
      <c r="I2265" s="164" t="str">
        <f ca="1">IFERROR(__xludf.DUMMYFUNCTION("""COMPUTED_VALUE"""),"CARPO LTID/OIC-PARPO II")</f>
        <v>CARPO LTID/OIC-PARPO II</v>
      </c>
      <c r="J2265" s="164" t="str">
        <f ca="1">IFERROR(__xludf.DUMMYFUNCTION("""COMPUTED_VALUE"""),"PAR No.: 2023-005/ PTR No.: 2022-SPLIT-002")</f>
        <v>PAR No.: 2023-005/ PTR No.: 2022-SPLIT-002</v>
      </c>
      <c r="K2265" s="164" t="str">
        <f ca="1">IFERROR(__xludf.DUMMYFUNCTION("""COMPUTED_VALUE"""),"ODESSA A. CABEZUDO")</f>
        <v>ODESSA A. CABEZUDO</v>
      </c>
      <c r="L2265" s="164" t="str">
        <f ca="1">IFERROR(__xludf.DUMMYFUNCTION("""COMPUTED_VALUE"""),"CARPO LTID/OIC-PARPO II")</f>
        <v>CARPO LTID/OIC-PARPO II</v>
      </c>
      <c r="M2265" s="164" t="str">
        <f ca="1">IFERROR(__xludf.DUMMYFUNCTION("""COMPUTED_VALUE"""),"SERVICEABLE")</f>
        <v>SERVICEABLE</v>
      </c>
      <c r="N2265" s="164"/>
    </row>
    <row r="2266" spans="1:14" ht="13.2" hidden="1">
      <c r="A2266" s="164" t="str">
        <f ca="1">IFERROR(__xludf.DUMMYFUNCTION("""COMPUTED_VALUE"""),"REGION V")</f>
        <v>REGION V</v>
      </c>
      <c r="B2266" s="164" t="str">
        <f ca="1">IFERROR(__xludf.DUMMYFUNCTION("""COMPUTED_VALUE"""),"CAM. SUR 1")</f>
        <v>CAM. SUR 1</v>
      </c>
      <c r="C2266" s="164" t="str">
        <f ca="1">IFERROR(__xludf.DUMMYFUNCTION("""COMPUTED_VALUE"""),"Double Cabin Pick-up Vehicles – Mitsubishi Strada")</f>
        <v>Double Cabin Pick-up Vehicles – Mitsubishi Strada</v>
      </c>
      <c r="D2266" s="164" t="str">
        <f ca="1">IFERROR(__xludf.DUMMYFUNCTION("""COMPUTED_VALUE"""),"₱ 1,752,400.00")</f>
        <v>₱ 1,752,400.00</v>
      </c>
      <c r="E2266" s="164"/>
      <c r="F2266" s="164" t="str">
        <f ca="1">IFERROR(__xludf.DUMMYFUNCTION("""COMPUTED_VALUE"""),"2023-06-01-10201SP79-01")</f>
        <v>2023-06-01-10201SP79-01</v>
      </c>
      <c r="G2266" s="164" t="str">
        <f ca="1">IFERROR(__xludf.DUMMYFUNCTION("""COMPUTED_VALUE"""),"SNC 1239")</f>
        <v>SNC 1239</v>
      </c>
      <c r="H2266" s="164" t="str">
        <f ca="1">IFERROR(__xludf.DUMMYFUNCTION("""COMPUTED_VALUE"""),"ADONIS H. DOLANAS")</f>
        <v>ADONIS H. DOLANAS</v>
      </c>
      <c r="I2266" s="164" t="str">
        <f ca="1">IFERROR(__xludf.DUMMYFUNCTION("""COMPUTED_VALUE"""),"OIC - CAO")</f>
        <v>OIC - CAO</v>
      </c>
      <c r="J2266" s="164" t="str">
        <f ca="1">IFERROR(__xludf.DUMMYFUNCTION("""COMPUTED_VALUE"""),"PAR NO: 2023-10-038(PS)")</f>
        <v>PAR NO: 2023-10-038(PS)</v>
      </c>
      <c r="K2266" s="164" t="str">
        <f ca="1">IFERROR(__xludf.DUMMYFUNCTION("""COMPUTED_VALUE"""),"ADONIS H. DOLANAS")</f>
        <v>ADONIS H. DOLANAS</v>
      </c>
      <c r="L2266" s="164" t="str">
        <f ca="1">IFERROR(__xludf.DUMMYFUNCTION("""COMPUTED_VALUE"""),"OIC - CAO")</f>
        <v>OIC - CAO</v>
      </c>
      <c r="M2266" s="164" t="str">
        <f ca="1">IFERROR(__xludf.DUMMYFUNCTION("""COMPUTED_VALUE"""),"SERVICEABLE")</f>
        <v>SERVICEABLE</v>
      </c>
      <c r="N2266" s="164"/>
    </row>
    <row r="2267" spans="1:14" ht="13.2" hidden="1">
      <c r="A2267" s="164" t="str">
        <f ca="1">IFERROR(__xludf.DUMMYFUNCTION("""COMPUTED_VALUE"""),"REGION V")</f>
        <v>REGION V</v>
      </c>
      <c r="B2267" s="164" t="str">
        <f ca="1">IFERROR(__xludf.DUMMYFUNCTION("""COMPUTED_VALUE"""),"CAM. SUR 1")</f>
        <v>CAM. SUR 1</v>
      </c>
      <c r="C2267" s="164" t="str">
        <f ca="1">IFERROR(__xludf.DUMMYFUNCTION("""COMPUTED_VALUE"""),"Motorcycle – (Honda XRL 150)")</f>
        <v>Motorcycle – (Honda XRL 150)</v>
      </c>
      <c r="D2267" s="164" t="str">
        <f ca="1">IFERROR(__xludf.DUMMYFUNCTION("""COMPUTED_VALUE"""),"₱ 124,900.00")</f>
        <v>₱ 124,900.00</v>
      </c>
      <c r="E2267" s="164"/>
      <c r="F2267" s="164" t="str">
        <f ca="1">IFERROR(__xludf.DUMMYFUNCTION("""COMPUTED_VALUE"""),"2023-06-01-10202-SP-166-01")</f>
        <v>2023-06-01-10202-SP-166-01</v>
      </c>
      <c r="G2267" s="164" t="str">
        <f ca="1">IFERROR(__xludf.DUMMYFUNCTION("""COMPUTED_VALUE"""),"no plate available")</f>
        <v>no plate available</v>
      </c>
      <c r="H2267" s="164" t="str">
        <f ca="1">IFERROR(__xludf.DUMMYFUNCTION("""COMPUTED_VALUE"""),"MARIA REBECCA R. TAROG")</f>
        <v>MARIA REBECCA R. TAROG</v>
      </c>
      <c r="I2267" s="164" t="str">
        <f ca="1">IFERROR(__xludf.DUMMYFUNCTION("""COMPUTED_VALUE"""),"OIC CARPO-LTSP /CS1 PROJECT SPLIT")</f>
        <v>OIC CARPO-LTSP /CS1 PROJECT SPLIT</v>
      </c>
      <c r="J2267" s="164" t="str">
        <f ca="1">IFERROR(__xludf.DUMMYFUNCTION("""COMPUTED_VALUE"""),"PAR NO: 2023-10-002(PS)")</f>
        <v>PAR NO: 2023-10-002(PS)</v>
      </c>
      <c r="K2267" s="164" t="str">
        <f ca="1">IFERROR(__xludf.DUMMYFUNCTION("""COMPUTED_VALUE"""),"TED LAWRENCE B. TUY")</f>
        <v>TED LAWRENCE B. TUY</v>
      </c>
      <c r="L2267" s="164" t="str">
        <f ca="1">IFERROR(__xludf.DUMMYFUNCTION("""COMPUTED_VALUE"""),"LEGAL OFFICER")</f>
        <v>LEGAL OFFICER</v>
      </c>
      <c r="M2267" s="164" t="str">
        <f ca="1">IFERROR(__xludf.DUMMYFUNCTION("""COMPUTED_VALUE"""),"SERVICEABLE")</f>
        <v>SERVICEABLE</v>
      </c>
      <c r="N2267" s="164"/>
    </row>
    <row r="2268" spans="1:14" ht="13.2" hidden="1">
      <c r="A2268" s="164" t="str">
        <f ca="1">IFERROR(__xludf.DUMMYFUNCTION("""COMPUTED_VALUE"""),"REGION V")</f>
        <v>REGION V</v>
      </c>
      <c r="B2268" s="164" t="str">
        <f ca="1">IFERROR(__xludf.DUMMYFUNCTION("""COMPUTED_VALUE"""),"CAM. SUR 1")</f>
        <v>CAM. SUR 1</v>
      </c>
      <c r="C2268" s="164" t="str">
        <f ca="1">IFERROR(__xludf.DUMMYFUNCTION("""COMPUTED_VALUE"""),"Motorcycle – (Honda XRL 150)")</f>
        <v>Motorcycle – (Honda XRL 150)</v>
      </c>
      <c r="D2268" s="164" t="str">
        <f ca="1">IFERROR(__xludf.DUMMYFUNCTION("""COMPUTED_VALUE"""),"₱ 124,900.00")</f>
        <v>₱ 124,900.00</v>
      </c>
      <c r="E2268" s="164"/>
      <c r="F2268" s="164" t="str">
        <f ca="1">IFERROR(__xludf.DUMMYFUNCTION("""COMPUTED_VALUE"""),"2023-06-01-10202-SP-171-01")</f>
        <v>2023-06-01-10202-SP-171-01</v>
      </c>
      <c r="G2268" s="164" t="str">
        <f ca="1">IFERROR(__xludf.DUMMYFUNCTION("""COMPUTED_VALUE"""),"no plate available")</f>
        <v>no plate available</v>
      </c>
      <c r="H2268" s="164" t="str">
        <f ca="1">IFERROR(__xludf.DUMMYFUNCTION("""COMPUTED_VALUE"""),"PHILIP A. BELEN")</f>
        <v>PHILIP A. BELEN</v>
      </c>
      <c r="I2268" s="164" t="str">
        <f ca="1">IFERROR(__xludf.DUMMYFUNCTION("""COMPUTED_VALUE"""),"SARPT")</f>
        <v>SARPT</v>
      </c>
      <c r="J2268" s="164" t="str">
        <f ca="1">IFERROR(__xludf.DUMMYFUNCTION("""COMPUTED_VALUE"""),"PAR NO: 2023-10-003(PS)")</f>
        <v>PAR NO: 2023-10-003(PS)</v>
      </c>
      <c r="K2268" s="164" t="str">
        <f ca="1">IFERROR(__xludf.DUMMYFUNCTION("""COMPUTED_VALUE"""),"PHILIP A. BELEN")</f>
        <v>PHILIP A. BELEN</v>
      </c>
      <c r="L2268" s="164" t="str">
        <f ca="1">IFERROR(__xludf.DUMMYFUNCTION("""COMPUTED_VALUE"""),"DARMO SIPOCOT")</f>
        <v>DARMO SIPOCOT</v>
      </c>
      <c r="M2268" s="164" t="str">
        <f ca="1">IFERROR(__xludf.DUMMYFUNCTION("""COMPUTED_VALUE"""),"SERVICEABLE")</f>
        <v>SERVICEABLE</v>
      </c>
      <c r="N2268" s="164"/>
    </row>
    <row r="2269" spans="1:14" ht="13.2" hidden="1">
      <c r="A2269" s="164" t="str">
        <f ca="1">IFERROR(__xludf.DUMMYFUNCTION("""COMPUTED_VALUE"""),"REGION V")</f>
        <v>REGION V</v>
      </c>
      <c r="B2269" s="164" t="str">
        <f ca="1">IFERROR(__xludf.DUMMYFUNCTION("""COMPUTED_VALUE"""),"CAM. SUR 1")</f>
        <v>CAM. SUR 1</v>
      </c>
      <c r="C2269" s="164" t="str">
        <f ca="1">IFERROR(__xludf.DUMMYFUNCTION("""COMPUTED_VALUE"""),"Motorcycle – (Honda XRL 150)")</f>
        <v>Motorcycle – (Honda XRL 150)</v>
      </c>
      <c r="D2269" s="164" t="str">
        <f ca="1">IFERROR(__xludf.DUMMYFUNCTION("""COMPUTED_VALUE"""),"₱ 124,900.00")</f>
        <v>₱ 124,900.00</v>
      </c>
      <c r="E2269" s="164"/>
      <c r="F2269" s="164" t="str">
        <f ca="1">IFERROR(__xludf.DUMMYFUNCTION("""COMPUTED_VALUE"""),"2023-06-01-10202-SP-189-01")</f>
        <v>2023-06-01-10202-SP-189-01</v>
      </c>
      <c r="G2269" s="164" t="str">
        <f ca="1">IFERROR(__xludf.DUMMYFUNCTION("""COMPUTED_VALUE"""),"no plate available")</f>
        <v>no plate available</v>
      </c>
      <c r="H2269" s="164" t="str">
        <f ca="1">IFERROR(__xludf.DUMMYFUNCTION("""COMPUTED_VALUE"""),"JOENES I. AGATON")</f>
        <v>JOENES I. AGATON</v>
      </c>
      <c r="I2269" s="164" t="str">
        <f ca="1">IFERROR(__xludf.DUMMYFUNCTION("""COMPUTED_VALUE"""),"SARPT")</f>
        <v>SARPT</v>
      </c>
      <c r="J2269" s="164" t="str">
        <f ca="1">IFERROR(__xludf.DUMMYFUNCTION("""COMPUTED_VALUE"""),"PAR NO: 2023-10-004(PS)")</f>
        <v>PAR NO: 2023-10-004(PS)</v>
      </c>
      <c r="K2269" s="164" t="str">
        <f ca="1">IFERROR(__xludf.DUMMYFUNCTION("""COMPUTED_VALUE"""),"JOENES I. AGATON")</f>
        <v>JOENES I. AGATON</v>
      </c>
      <c r="L2269" s="164" t="str">
        <f ca="1">IFERROR(__xludf.DUMMYFUNCTION("""COMPUTED_VALUE"""),"DARMO LIBMANAN II")</f>
        <v>DARMO LIBMANAN II</v>
      </c>
      <c r="M2269" s="164" t="str">
        <f ca="1">IFERROR(__xludf.DUMMYFUNCTION("""COMPUTED_VALUE"""),"SERVICEABLE")</f>
        <v>SERVICEABLE</v>
      </c>
      <c r="N2269" s="164"/>
    </row>
    <row r="2270" spans="1:14" ht="13.2" hidden="1">
      <c r="A2270" s="164" t="str">
        <f ca="1">IFERROR(__xludf.DUMMYFUNCTION("""COMPUTED_VALUE"""),"REGION V")</f>
        <v>REGION V</v>
      </c>
      <c r="B2270" s="164" t="str">
        <f ca="1">IFERROR(__xludf.DUMMYFUNCTION("""COMPUTED_VALUE"""),"CAM. SUR 1")</f>
        <v>CAM. SUR 1</v>
      </c>
      <c r="C2270" s="164" t="str">
        <f ca="1">IFERROR(__xludf.DUMMYFUNCTION("""COMPUTED_VALUE"""),"Motorcycle – (Honda XRL 150)")</f>
        <v>Motorcycle – (Honda XRL 150)</v>
      </c>
      <c r="D2270" s="164" t="str">
        <f ca="1">IFERROR(__xludf.DUMMYFUNCTION("""COMPUTED_VALUE"""),"₱ 124,900.00")</f>
        <v>₱ 124,900.00</v>
      </c>
      <c r="E2270" s="164"/>
      <c r="F2270" s="164" t="str">
        <f ca="1">IFERROR(__xludf.DUMMYFUNCTION("""COMPUTED_VALUE"""),"2023-06-01-10202-SP-205-01")</f>
        <v>2023-06-01-10202-SP-205-01</v>
      </c>
      <c r="G2270" s="164" t="str">
        <f ca="1">IFERROR(__xludf.DUMMYFUNCTION("""COMPUTED_VALUE"""),"no plate available")</f>
        <v>no plate available</v>
      </c>
      <c r="H2270" s="164" t="str">
        <f ca="1">IFERROR(__xludf.DUMMYFUNCTION("""COMPUTED_VALUE"""),"JOHN MICHAEL B. RAMOBOYON")</f>
        <v>JOHN MICHAEL B. RAMOBOYON</v>
      </c>
      <c r="I2270" s="164" t="str">
        <f ca="1">IFERROR(__xludf.DUMMYFUNCTION("""COMPUTED_VALUE"""),"SARPT")</f>
        <v>SARPT</v>
      </c>
      <c r="J2270" s="164" t="str">
        <f ca="1">IFERROR(__xludf.DUMMYFUNCTION("""COMPUTED_VALUE"""),"PAR NO: 2023-10-005(PS)")</f>
        <v>PAR NO: 2023-10-005(PS)</v>
      </c>
      <c r="K2270" s="164" t="str">
        <f ca="1">IFERROR(__xludf.DUMMYFUNCTION("""COMPUTED_VALUE"""),"JOHN MICHAEL B. RAMOBOYON")</f>
        <v>JOHN MICHAEL B. RAMOBOYON</v>
      </c>
      <c r="L2270" s="164" t="str">
        <f ca="1">IFERROR(__xludf.DUMMYFUNCTION("""COMPUTED_VALUE"""),"DARMO LIBMANAN IV")</f>
        <v>DARMO LIBMANAN IV</v>
      </c>
      <c r="M2270" s="164" t="str">
        <f ca="1">IFERROR(__xludf.DUMMYFUNCTION("""COMPUTED_VALUE"""),"SERVICEABLE")</f>
        <v>SERVICEABLE</v>
      </c>
      <c r="N2270" s="164"/>
    </row>
    <row r="2271" spans="1:14" ht="13.2" hidden="1">
      <c r="A2271" s="164" t="str">
        <f ca="1">IFERROR(__xludf.DUMMYFUNCTION("""COMPUTED_VALUE"""),"REGION V")</f>
        <v>REGION V</v>
      </c>
      <c r="B2271" s="164" t="str">
        <f ca="1">IFERROR(__xludf.DUMMYFUNCTION("""COMPUTED_VALUE"""),"CAM. SUR 1")</f>
        <v>CAM. SUR 1</v>
      </c>
      <c r="C2271" s="164" t="str">
        <f ca="1">IFERROR(__xludf.DUMMYFUNCTION("""COMPUTED_VALUE"""),"Motorcycle – (Honda XRL 150)")</f>
        <v>Motorcycle – (Honda XRL 150)</v>
      </c>
      <c r="D2271" s="164" t="str">
        <f ca="1">IFERROR(__xludf.DUMMYFUNCTION("""COMPUTED_VALUE"""),"₱ 124,900.00")</f>
        <v>₱ 124,900.00</v>
      </c>
      <c r="E2271" s="164"/>
      <c r="F2271" s="164" t="str">
        <f ca="1">IFERROR(__xludf.DUMMYFUNCTION("""COMPUTED_VALUE"""),"2023-06-01-10202-SP-208-01")</f>
        <v>2023-06-01-10202-SP-208-01</v>
      </c>
      <c r="G2271" s="164" t="str">
        <f ca="1">IFERROR(__xludf.DUMMYFUNCTION("""COMPUTED_VALUE"""),"no plate available")</f>
        <v>no plate available</v>
      </c>
      <c r="H2271" s="164" t="str">
        <f ca="1">IFERROR(__xludf.DUMMYFUNCTION("""COMPUTED_VALUE"""),"EDWIN S. RELATIVO, JR.")</f>
        <v>EDWIN S. RELATIVO, JR.</v>
      </c>
      <c r="I2271" s="164" t="str">
        <f ca="1">IFERROR(__xludf.DUMMYFUNCTION("""COMPUTED_VALUE"""),"ARPT")</f>
        <v>ARPT</v>
      </c>
      <c r="J2271" s="164" t="str">
        <f ca="1">IFERROR(__xludf.DUMMYFUNCTION("""COMPUTED_VALUE"""),"PAR NO: 2023-10-006(PS)")</f>
        <v>PAR NO: 2023-10-006(PS)</v>
      </c>
      <c r="K2271" s="164" t="str">
        <f ca="1">IFERROR(__xludf.DUMMYFUNCTION("""COMPUTED_VALUE"""),"EDWIN S. RELATIVO, JR.")</f>
        <v>EDWIN S. RELATIVO, JR.</v>
      </c>
      <c r="L2271" s="164" t="str">
        <f ca="1">IFERROR(__xludf.DUMMYFUNCTION("""COMPUTED_VALUE"""),"DARMO BULA")</f>
        <v>DARMO BULA</v>
      </c>
      <c r="M2271" s="164" t="str">
        <f ca="1">IFERROR(__xludf.DUMMYFUNCTION("""COMPUTED_VALUE"""),"SERVICEABLE")</f>
        <v>SERVICEABLE</v>
      </c>
      <c r="N2271" s="164"/>
    </row>
    <row r="2272" spans="1:14" ht="13.2" hidden="1">
      <c r="A2272" s="164" t="str">
        <f ca="1">IFERROR(__xludf.DUMMYFUNCTION("""COMPUTED_VALUE"""),"REGION V")</f>
        <v>REGION V</v>
      </c>
      <c r="B2272" s="164" t="str">
        <f ca="1">IFERROR(__xludf.DUMMYFUNCTION("""COMPUTED_VALUE"""),"CAM. SUR 1")</f>
        <v>CAM. SUR 1</v>
      </c>
      <c r="C2272" s="164" t="str">
        <f ca="1">IFERROR(__xludf.DUMMYFUNCTION("""COMPUTED_VALUE"""),"Motorcycle – (Honda XRL 150)")</f>
        <v>Motorcycle – (Honda XRL 150)</v>
      </c>
      <c r="D2272" s="164" t="str">
        <f ca="1">IFERROR(__xludf.DUMMYFUNCTION("""COMPUTED_VALUE"""),"₱ 124,900.00")</f>
        <v>₱ 124,900.00</v>
      </c>
      <c r="E2272" s="164"/>
      <c r="F2272" s="164" t="str">
        <f ca="1">IFERROR(__xludf.DUMMYFUNCTION("""COMPUTED_VALUE"""),"2023-06-01-10202-SP-210-01")</f>
        <v>2023-06-01-10202-SP-210-01</v>
      </c>
      <c r="G2272" s="164" t="str">
        <f ca="1">IFERROR(__xludf.DUMMYFUNCTION("""COMPUTED_VALUE"""),"no plate available")</f>
        <v>no plate available</v>
      </c>
      <c r="H2272" s="164" t="str">
        <f ca="1">IFERROR(__xludf.DUMMYFUNCTION("""COMPUTED_VALUE"""),"JARRED M. ALIPIO")</f>
        <v>JARRED M. ALIPIO</v>
      </c>
      <c r="I2272" s="164" t="str">
        <f ca="1">IFERROR(__xludf.DUMMYFUNCTION("""COMPUTED_VALUE"""),"ARPT")</f>
        <v>ARPT</v>
      </c>
      <c r="J2272" s="164" t="str">
        <f ca="1">IFERROR(__xludf.DUMMYFUNCTION("""COMPUTED_VALUE"""),"PAR NO: 2023-10-007(PS)")</f>
        <v>PAR NO: 2023-10-007(PS)</v>
      </c>
      <c r="K2272" s="164" t="str">
        <f ca="1">IFERROR(__xludf.DUMMYFUNCTION("""COMPUTED_VALUE"""),"JARRED M. ALIPIO")</f>
        <v>JARRED M. ALIPIO</v>
      </c>
      <c r="L2272" s="164" t="str">
        <f ca="1">IFERROR(__xludf.DUMMYFUNCTION("""COMPUTED_VALUE"""),"DARMO IRIGA/BUHI")</f>
        <v>DARMO IRIGA/BUHI</v>
      </c>
      <c r="M2272" s="164" t="str">
        <f ca="1">IFERROR(__xludf.DUMMYFUNCTION("""COMPUTED_VALUE"""),"SERVICEABLE")</f>
        <v>SERVICEABLE</v>
      </c>
      <c r="N2272" s="164"/>
    </row>
    <row r="2273" spans="1:14" ht="13.2" hidden="1">
      <c r="A2273" s="164" t="str">
        <f ca="1">IFERROR(__xludf.DUMMYFUNCTION("""COMPUTED_VALUE"""),"REGION V")</f>
        <v>REGION V</v>
      </c>
      <c r="B2273" s="164" t="str">
        <f ca="1">IFERROR(__xludf.DUMMYFUNCTION("""COMPUTED_VALUE"""),"CAM. SUR 1")</f>
        <v>CAM. SUR 1</v>
      </c>
      <c r="C2273" s="164" t="str">
        <f ca="1">IFERROR(__xludf.DUMMYFUNCTION("""COMPUTED_VALUE"""),"Motorcycle – (Honda XRL 150)")</f>
        <v>Motorcycle – (Honda XRL 150)</v>
      </c>
      <c r="D2273" s="164" t="str">
        <f ca="1">IFERROR(__xludf.DUMMYFUNCTION("""COMPUTED_VALUE"""),"₱ 124,900.00")</f>
        <v>₱ 124,900.00</v>
      </c>
      <c r="E2273" s="164"/>
      <c r="F2273" s="164" t="str">
        <f ca="1">IFERROR(__xludf.DUMMYFUNCTION("""COMPUTED_VALUE"""),"2023-06-01-10202-SP-211-01")</f>
        <v>2023-06-01-10202-SP-211-01</v>
      </c>
      <c r="G2273" s="164" t="str">
        <f ca="1">IFERROR(__xludf.DUMMYFUNCTION("""COMPUTED_VALUE"""),"no plate available")</f>
        <v>no plate available</v>
      </c>
      <c r="H2273" s="164" t="str">
        <f ca="1">IFERROR(__xludf.DUMMYFUNCTION("""COMPUTED_VALUE"""),"NEIL SJ. MALLORCA")</f>
        <v>NEIL SJ. MALLORCA</v>
      </c>
      <c r="I2273" s="164" t="str">
        <f ca="1">IFERROR(__xludf.DUMMYFUNCTION("""COMPUTED_VALUE"""),"SARPT")</f>
        <v>SARPT</v>
      </c>
      <c r="J2273" s="164" t="str">
        <f ca="1">IFERROR(__xludf.DUMMYFUNCTION("""COMPUTED_VALUE"""),"PAR NO: 2023-10-008(PS)")</f>
        <v>PAR NO: 2023-10-008(PS)</v>
      </c>
      <c r="K2273" s="164" t="str">
        <f ca="1">IFERROR(__xludf.DUMMYFUNCTION("""COMPUTED_VALUE"""),"NEIL SJ. MALLORCA")</f>
        <v>NEIL SJ. MALLORCA</v>
      </c>
      <c r="L2273" s="164" t="str">
        <f ca="1">IFERROR(__xludf.DUMMYFUNCTION("""COMPUTED_VALUE"""),"DARMO LIBMANAN I")</f>
        <v>DARMO LIBMANAN I</v>
      </c>
      <c r="M2273" s="164" t="str">
        <f ca="1">IFERROR(__xludf.DUMMYFUNCTION("""COMPUTED_VALUE"""),"SERVICEABLE")</f>
        <v>SERVICEABLE</v>
      </c>
      <c r="N2273" s="164"/>
    </row>
    <row r="2274" spans="1:14" ht="13.2" hidden="1">
      <c r="A2274" s="164" t="str">
        <f ca="1">IFERROR(__xludf.DUMMYFUNCTION("""COMPUTED_VALUE"""),"REGION V")</f>
        <v>REGION V</v>
      </c>
      <c r="B2274" s="164" t="str">
        <f ca="1">IFERROR(__xludf.DUMMYFUNCTION("""COMPUTED_VALUE"""),"CAM. SUR 1")</f>
        <v>CAM. SUR 1</v>
      </c>
      <c r="C2274" s="164" t="str">
        <f ca="1">IFERROR(__xludf.DUMMYFUNCTION("""COMPUTED_VALUE"""),"Motorcycle – (Honda XRL 150)")</f>
        <v>Motorcycle – (Honda XRL 150)</v>
      </c>
      <c r="D2274" s="164" t="str">
        <f ca="1">IFERROR(__xludf.DUMMYFUNCTION("""COMPUTED_VALUE"""),"₱ 124,900.00")</f>
        <v>₱ 124,900.00</v>
      </c>
      <c r="E2274" s="164"/>
      <c r="F2274" s="164" t="str">
        <f ca="1">IFERROR(__xludf.DUMMYFUNCTION("""COMPUTED_VALUE"""),"2023-06-01-10202-SP-213-01")</f>
        <v>2023-06-01-10202-SP-213-01</v>
      </c>
      <c r="G2274" s="164" t="str">
        <f ca="1">IFERROR(__xludf.DUMMYFUNCTION("""COMPUTED_VALUE"""),"no plate available")</f>
        <v>no plate available</v>
      </c>
      <c r="H2274" s="164" t="str">
        <f ca="1">IFERROR(__xludf.DUMMYFUNCTION("""COMPUTED_VALUE"""),"MARIA REBECCA R. TAROG")</f>
        <v>MARIA REBECCA R. TAROG</v>
      </c>
      <c r="I2274" s="164" t="str">
        <f ca="1">IFERROR(__xludf.DUMMYFUNCTION("""COMPUTED_VALUE"""),"OIC CARPO-LTSP /CS1 PROJECT SPLIT")</f>
        <v>OIC CARPO-LTSP /CS1 PROJECT SPLIT</v>
      </c>
      <c r="J2274" s="164" t="str">
        <f ca="1">IFERROR(__xludf.DUMMYFUNCTION("""COMPUTED_VALUE"""),"PAR NO: 2024-03-002(PS)")</f>
        <v>PAR NO: 2024-03-002(PS)</v>
      </c>
      <c r="K2274" s="164" t="str">
        <f ca="1">IFERROR(__xludf.DUMMYFUNCTION("""COMPUTED_VALUE"""),"TRISHA ANNE O. BETITO")</f>
        <v>TRISHA ANNE O. BETITO</v>
      </c>
      <c r="L2274" s="164" t="str">
        <f ca="1">IFERROR(__xludf.DUMMYFUNCTION("""COMPUTED_VALUE"""),"LEGAL OFFICER")</f>
        <v>LEGAL OFFICER</v>
      </c>
      <c r="M2274" s="164" t="str">
        <f ca="1">IFERROR(__xludf.DUMMYFUNCTION("""COMPUTED_VALUE"""),"SERVICEABLE")</f>
        <v>SERVICEABLE</v>
      </c>
      <c r="N2274" s="164"/>
    </row>
    <row r="2275" spans="1:14" ht="13.2" hidden="1">
      <c r="A2275" s="164" t="str">
        <f ca="1">IFERROR(__xludf.DUMMYFUNCTION("""COMPUTED_VALUE"""),"REGION V")</f>
        <v>REGION V</v>
      </c>
      <c r="B2275" s="164" t="str">
        <f ca="1">IFERROR(__xludf.DUMMYFUNCTION("""COMPUTED_VALUE"""),"CAM. SUR 1")</f>
        <v>CAM. SUR 1</v>
      </c>
      <c r="C2275" s="164" t="str">
        <f ca="1">IFERROR(__xludf.DUMMYFUNCTION("""COMPUTED_VALUE"""),"Motorcycle – (Honda XRL 150)")</f>
        <v>Motorcycle – (Honda XRL 150)</v>
      </c>
      <c r="D2275" s="164" t="str">
        <f ca="1">IFERROR(__xludf.DUMMYFUNCTION("""COMPUTED_VALUE"""),"₱ 124,900.00")</f>
        <v>₱ 124,900.00</v>
      </c>
      <c r="E2275" s="164"/>
      <c r="F2275" s="164" t="str">
        <f ca="1">IFERROR(__xludf.DUMMYFUNCTION("""COMPUTED_VALUE"""),"2023-06-01-10202-SP-216-01")</f>
        <v>2023-06-01-10202-SP-216-01</v>
      </c>
      <c r="G2275" s="164" t="str">
        <f ca="1">IFERROR(__xludf.DUMMYFUNCTION("""COMPUTED_VALUE"""),"no plate available")</f>
        <v>no plate available</v>
      </c>
      <c r="H2275" s="164" t="str">
        <f ca="1">IFERROR(__xludf.DUMMYFUNCTION("""COMPUTED_VALUE"""),"JUAN CASTOR PAULO B. ENRIQUEZ")</f>
        <v>JUAN CASTOR PAULO B. ENRIQUEZ</v>
      </c>
      <c r="I2275" s="164" t="str">
        <f ca="1">IFERROR(__xludf.DUMMYFUNCTION("""COMPUTED_VALUE"""),"ARPT")</f>
        <v>ARPT</v>
      </c>
      <c r="J2275" s="164" t="str">
        <f ca="1">IFERROR(__xludf.DUMMYFUNCTION("""COMPUTED_VALUE"""),"PAR NO: 2023-10-010(PS)")</f>
        <v>PAR NO: 2023-10-010(PS)</v>
      </c>
      <c r="K2275" s="164" t="str">
        <f ca="1">IFERROR(__xludf.DUMMYFUNCTION("""COMPUTED_VALUE"""),"JUAN CASTOR PAULO B. ENRIQUEZ")</f>
        <v>JUAN CASTOR PAULO B. ENRIQUEZ</v>
      </c>
      <c r="L2275" s="164" t="str">
        <f ca="1">IFERROR(__xludf.DUMMYFUNCTION("""COMPUTED_VALUE"""),"DARMO SIPOCOT I")</f>
        <v>DARMO SIPOCOT I</v>
      </c>
      <c r="M2275" s="164" t="str">
        <f ca="1">IFERROR(__xludf.DUMMYFUNCTION("""COMPUTED_VALUE"""),"SERVICEABLE")</f>
        <v>SERVICEABLE</v>
      </c>
      <c r="N2275" s="164"/>
    </row>
    <row r="2276" spans="1:14" ht="13.2" hidden="1">
      <c r="A2276" s="164" t="str">
        <f ca="1">IFERROR(__xludf.DUMMYFUNCTION("""COMPUTED_VALUE"""),"REGION V")</f>
        <v>REGION V</v>
      </c>
      <c r="B2276" s="164" t="str">
        <f ca="1">IFERROR(__xludf.DUMMYFUNCTION("""COMPUTED_VALUE"""),"CAM. SUR 1")</f>
        <v>CAM. SUR 1</v>
      </c>
      <c r="C2276" s="164" t="str">
        <f ca="1">IFERROR(__xludf.DUMMYFUNCTION("""COMPUTED_VALUE"""),"Motorcycle – (Honda XRL 150)")</f>
        <v>Motorcycle – (Honda XRL 150)</v>
      </c>
      <c r="D2276" s="164" t="str">
        <f ca="1">IFERROR(__xludf.DUMMYFUNCTION("""COMPUTED_VALUE"""),"₱ 124,900.00")</f>
        <v>₱ 124,900.00</v>
      </c>
      <c r="E2276" s="164"/>
      <c r="F2276" s="164" t="str">
        <f ca="1">IFERROR(__xludf.DUMMYFUNCTION("""COMPUTED_VALUE"""),"2023-06-01-10202-SP-220-01")</f>
        <v>2023-06-01-10202-SP-220-01</v>
      </c>
      <c r="G2276" s="164" t="str">
        <f ca="1">IFERROR(__xludf.DUMMYFUNCTION("""COMPUTED_VALUE"""),"no plate available")</f>
        <v>no plate available</v>
      </c>
      <c r="H2276" s="164" t="str">
        <f ca="1">IFERROR(__xludf.DUMMYFUNCTION("""COMPUTED_VALUE"""),"REGIE G. BELLEN")</f>
        <v>REGIE G. BELLEN</v>
      </c>
      <c r="I2276" s="164" t="str">
        <f ca="1">IFERROR(__xludf.DUMMYFUNCTION("""COMPUTED_VALUE"""),"ARPO I")</f>
        <v>ARPO I</v>
      </c>
      <c r="J2276" s="164" t="str">
        <f ca="1">IFERROR(__xludf.DUMMYFUNCTION("""COMPUTED_VALUE"""),"PAR NO: 2023-10-011(PS)")</f>
        <v>PAR NO: 2023-10-011(PS)</v>
      </c>
      <c r="K2276" s="164" t="str">
        <f ca="1">IFERROR(__xludf.DUMMYFUNCTION("""COMPUTED_VALUE"""),"REGIE G. BELLEN")</f>
        <v>REGIE G. BELLEN</v>
      </c>
      <c r="L2276" s="164" t="str">
        <f ca="1">IFERROR(__xludf.DUMMYFUNCTION("""COMPUTED_VALUE"""),"LTSP")</f>
        <v>LTSP</v>
      </c>
      <c r="M2276" s="164" t="str">
        <f ca="1">IFERROR(__xludf.DUMMYFUNCTION("""COMPUTED_VALUE"""),"SERVICEABLE")</f>
        <v>SERVICEABLE</v>
      </c>
      <c r="N2276" s="164"/>
    </row>
    <row r="2277" spans="1:14" ht="13.2" hidden="1">
      <c r="A2277" s="164" t="str">
        <f ca="1">IFERROR(__xludf.DUMMYFUNCTION("""COMPUTED_VALUE"""),"REGION V")</f>
        <v>REGION V</v>
      </c>
      <c r="B2277" s="164" t="str">
        <f ca="1">IFERROR(__xludf.DUMMYFUNCTION("""COMPUTED_VALUE"""),"CAMRINES SUR II")</f>
        <v>CAMRINES SUR II</v>
      </c>
      <c r="C2277" s="164" t="str">
        <f ca="1">IFERROR(__xludf.DUMMYFUNCTION("""COMPUTED_VALUE"""),"Double Cabin Pick-up Vehicles – Mitsubishi Strada")</f>
        <v>Double Cabin Pick-up Vehicles – Mitsubishi Strada</v>
      </c>
      <c r="D2277" s="164" t="str">
        <f ca="1">IFERROR(__xludf.DUMMYFUNCTION("""COMPUTED_VALUE"""),"₱ 1,752,400.00")</f>
        <v>₱ 1,752,400.00</v>
      </c>
      <c r="E2277" s="164"/>
      <c r="F2277" s="164" t="str">
        <f ca="1">IFERROR(__xludf.DUMMYFUNCTION("""COMPUTED_VALUE"""),"2023-06-01-10201SP80-01")</f>
        <v>2023-06-01-10201SP80-01</v>
      </c>
      <c r="G2277" s="164" t="str">
        <f ca="1">IFERROR(__xludf.DUMMYFUNCTION("""COMPUTED_VALUE"""),"SNC 1235")</f>
        <v>SNC 1235</v>
      </c>
      <c r="H2277" s="164" t="str">
        <f ca="1">IFERROR(__xludf.DUMMYFUNCTION("""COMPUTED_VALUE"""),"ENGR. RODEL C. MARTIREZ")</f>
        <v>ENGR. RODEL C. MARTIREZ</v>
      </c>
      <c r="I2277" s="164" t="str">
        <f ca="1">IFERROR(__xludf.DUMMYFUNCTION("""COMPUTED_VALUE"""),"OIC-PARPO II")</f>
        <v>OIC-PARPO II</v>
      </c>
      <c r="J2277" s="164" t="str">
        <f ca="1">IFERROR(__xludf.DUMMYFUNCTION("""COMPUTED_VALUE"""),"LTID SPLIT-2023-046")</f>
        <v>LTID SPLIT-2023-046</v>
      </c>
      <c r="K2277" s="164" t="str">
        <f ca="1">IFERROR(__xludf.DUMMYFUNCTION("""COMPUTED_VALUE"""),"ENGR. RENATO C. BEQUILLO")</f>
        <v>ENGR. RENATO C. BEQUILLO</v>
      </c>
      <c r="L2277" s="164" t="str">
        <f ca="1">IFERROR(__xludf.DUMMYFUNCTION("""COMPUTED_VALUE"""),"PARPO'S OFFICE")</f>
        <v>PARPO'S OFFICE</v>
      </c>
      <c r="M2277" s="164" t="str">
        <f ca="1">IFERROR(__xludf.DUMMYFUNCTION("""COMPUTED_VALUE"""),"SERVICEABLE")</f>
        <v>SERVICEABLE</v>
      </c>
      <c r="N2277" s="164"/>
    </row>
    <row r="2278" spans="1:14" ht="13.2" hidden="1">
      <c r="A2278" s="164" t="str">
        <f ca="1">IFERROR(__xludf.DUMMYFUNCTION("""COMPUTED_VALUE"""),"REGION V")</f>
        <v>REGION V</v>
      </c>
      <c r="B2278" s="164" t="str">
        <f ca="1">IFERROR(__xludf.DUMMYFUNCTION("""COMPUTED_VALUE"""),"CAMRINES SUR II")</f>
        <v>CAMRINES SUR II</v>
      </c>
      <c r="C2278" s="164" t="str">
        <f ca="1">IFERROR(__xludf.DUMMYFUNCTION("""COMPUTED_VALUE"""),"Motorcycle – (Honda XRL 150)")</f>
        <v>Motorcycle – (Honda XRL 150)</v>
      </c>
      <c r="D2278" s="164" t="str">
        <f ca="1">IFERROR(__xludf.DUMMYFUNCTION("""COMPUTED_VALUE"""),"₱ 124,900.00")</f>
        <v>₱ 124,900.00</v>
      </c>
      <c r="E2278" s="164"/>
      <c r="F2278" s="164" t="str">
        <f ca="1">IFERROR(__xludf.DUMMYFUNCTION("""COMPUTED_VALUE"""),"2023-06-01-10202-SP-192-1")</f>
        <v>2023-06-01-10202-SP-192-1</v>
      </c>
      <c r="G2278" s="164" t="str">
        <f ca="1">IFERROR(__xludf.DUMMYFUNCTION("""COMPUTED_VALUE"""),"no plate available")</f>
        <v>no plate available</v>
      </c>
      <c r="H2278" s="164" t="str">
        <f ca="1">IFERROR(__xludf.DUMMYFUNCTION("""COMPUTED_VALUE"""),"ENGR. RODEL C. MARTIREZ")</f>
        <v>ENGR. RODEL C. MARTIREZ</v>
      </c>
      <c r="I2278" s="164" t="str">
        <f ca="1">IFERROR(__xludf.DUMMYFUNCTION("""COMPUTED_VALUE"""),"OIC-PARPO II")</f>
        <v>OIC-PARPO II</v>
      </c>
      <c r="J2278" s="164" t="str">
        <f ca="1">IFERROR(__xludf.DUMMYFUNCTION("""COMPUTED_VALUE"""),"LTID-SPLIT -2023-013")</f>
        <v>LTID-SPLIT -2023-013</v>
      </c>
      <c r="K2278" s="164" t="str">
        <f ca="1">IFERROR(__xludf.DUMMYFUNCTION("""COMPUTED_VALUE"""),"JOEMAR M. FALABI")</f>
        <v>JOEMAR M. FALABI</v>
      </c>
      <c r="L2278" s="164" t="str">
        <f ca="1">IFERROR(__xludf.DUMMYFUNCTION("""COMPUTED_VALUE"""),"DARMO-CALABANGA")</f>
        <v>DARMO-CALABANGA</v>
      </c>
      <c r="M2278" s="164" t="str">
        <f ca="1">IFERROR(__xludf.DUMMYFUNCTION("""COMPUTED_VALUE"""),"SERVICEABLE")</f>
        <v>SERVICEABLE</v>
      </c>
      <c r="N2278" s="164"/>
    </row>
    <row r="2279" spans="1:14" ht="13.2" hidden="1">
      <c r="A2279" s="164" t="str">
        <f ca="1">IFERROR(__xludf.DUMMYFUNCTION("""COMPUTED_VALUE"""),"REGION V")</f>
        <v>REGION V</v>
      </c>
      <c r="B2279" s="164" t="str">
        <f ca="1">IFERROR(__xludf.DUMMYFUNCTION("""COMPUTED_VALUE"""),"CAMRINES SUR II")</f>
        <v>CAMRINES SUR II</v>
      </c>
      <c r="C2279" s="164" t="str">
        <f ca="1">IFERROR(__xludf.DUMMYFUNCTION("""COMPUTED_VALUE"""),"Motorcycle – (Honda XRL 150)")</f>
        <v>Motorcycle – (Honda XRL 150)</v>
      </c>
      <c r="D2279" s="164" t="str">
        <f ca="1">IFERROR(__xludf.DUMMYFUNCTION("""COMPUTED_VALUE"""),"₱ 124,900.00")</f>
        <v>₱ 124,900.00</v>
      </c>
      <c r="E2279" s="164"/>
      <c r="F2279" s="164" t="str">
        <f ca="1">IFERROR(__xludf.DUMMYFUNCTION("""COMPUTED_VALUE"""),"2023-06-01-10202-SP-191-1")</f>
        <v>2023-06-01-10202-SP-191-1</v>
      </c>
      <c r="G2279" s="164" t="str">
        <f ca="1">IFERROR(__xludf.DUMMYFUNCTION("""COMPUTED_VALUE"""),"no plate available")</f>
        <v>no plate available</v>
      </c>
      <c r="H2279" s="164" t="str">
        <f ca="1">IFERROR(__xludf.DUMMYFUNCTION("""COMPUTED_VALUE"""),"ENGR. RODEL C. MARTIREZ")</f>
        <v>ENGR. RODEL C. MARTIREZ</v>
      </c>
      <c r="I2279" s="164" t="str">
        <f ca="1">IFERROR(__xludf.DUMMYFUNCTION("""COMPUTED_VALUE"""),"OIC-PARPO II")</f>
        <v>OIC-PARPO II</v>
      </c>
      <c r="J2279" s="164" t="str">
        <f ca="1">IFERROR(__xludf.DUMMYFUNCTION("""COMPUTED_VALUE"""),"LTID-SPLIT -2023-011")</f>
        <v>LTID-SPLIT -2023-011</v>
      </c>
      <c r="K2279" s="164" t="str">
        <f ca="1">IFERROR(__xludf.DUMMYFUNCTION("""COMPUTED_VALUE"""),"MARK JOSHUA T. GONZALES")</f>
        <v>MARK JOSHUA T. GONZALES</v>
      </c>
      <c r="L2279" s="164" t="str">
        <f ca="1">IFERROR(__xludf.DUMMYFUNCTION("""COMPUTED_VALUE"""),"DARPO-LEGAL DIVISION")</f>
        <v>DARPO-LEGAL DIVISION</v>
      </c>
      <c r="M2279" s="164" t="str">
        <f ca="1">IFERROR(__xludf.DUMMYFUNCTION("""COMPUTED_VALUE"""),"SERVICEABLE")</f>
        <v>SERVICEABLE</v>
      </c>
      <c r="N2279" s="164"/>
    </row>
    <row r="2280" spans="1:14" ht="13.2" hidden="1">
      <c r="A2280" s="164" t="str">
        <f ca="1">IFERROR(__xludf.DUMMYFUNCTION("""COMPUTED_VALUE"""),"REGION V")</f>
        <v>REGION V</v>
      </c>
      <c r="B2280" s="164" t="str">
        <f ca="1">IFERROR(__xludf.DUMMYFUNCTION("""COMPUTED_VALUE"""),"CAMRINES SUR II")</f>
        <v>CAMRINES SUR II</v>
      </c>
      <c r="C2280" s="164" t="str">
        <f ca="1">IFERROR(__xludf.DUMMYFUNCTION("""COMPUTED_VALUE"""),"Motorcycle – (Honda XRL 150)")</f>
        <v>Motorcycle – (Honda XRL 150)</v>
      </c>
      <c r="D2280" s="164" t="str">
        <f ca="1">IFERROR(__xludf.DUMMYFUNCTION("""COMPUTED_VALUE"""),"₱ 124,900.00")</f>
        <v>₱ 124,900.00</v>
      </c>
      <c r="E2280" s="164"/>
      <c r="F2280" s="164" t="str">
        <f ca="1">IFERROR(__xludf.DUMMYFUNCTION("""COMPUTED_VALUE"""),"2023-06-01-10202-SP-190-1")</f>
        <v>2023-06-01-10202-SP-190-1</v>
      </c>
      <c r="G2280" s="164" t="str">
        <f ca="1">IFERROR(__xludf.DUMMYFUNCTION("""COMPUTED_VALUE"""),"no plate available")</f>
        <v>no plate available</v>
      </c>
      <c r="H2280" s="164" t="str">
        <f ca="1">IFERROR(__xludf.DUMMYFUNCTION("""COMPUTED_VALUE"""),"ENGR. RODEL C. MARTIREZ")</f>
        <v>ENGR. RODEL C. MARTIREZ</v>
      </c>
      <c r="I2280" s="164" t="str">
        <f ca="1">IFERROR(__xludf.DUMMYFUNCTION("""COMPUTED_VALUE"""),"OIC-PARPO II")</f>
        <v>OIC-PARPO II</v>
      </c>
      <c r="J2280" s="164" t="str">
        <f ca="1">IFERROR(__xludf.DUMMYFUNCTION("""COMPUTED_VALUE"""),"LTID-SPLIT -2023-015")</f>
        <v>LTID-SPLIT -2023-015</v>
      </c>
      <c r="K2280" s="164" t="str">
        <f ca="1">IFERROR(__xludf.DUMMYFUNCTION("""COMPUTED_VALUE"""),"JASPER JAMES L. ABIERA")</f>
        <v>JASPER JAMES L. ABIERA</v>
      </c>
      <c r="L2280" s="164" t="str">
        <f ca="1">IFERROR(__xludf.DUMMYFUNCTION("""COMPUTED_VALUE"""),"DARPO CS2")</f>
        <v>DARPO CS2</v>
      </c>
      <c r="M2280" s="164" t="str">
        <f ca="1">IFERROR(__xludf.DUMMYFUNCTION("""COMPUTED_VALUE"""),"SERVICEABLE")</f>
        <v>SERVICEABLE</v>
      </c>
      <c r="N2280" s="164"/>
    </row>
    <row r="2281" spans="1:14" ht="13.2" hidden="1">
      <c r="A2281" s="164" t="str">
        <f ca="1">IFERROR(__xludf.DUMMYFUNCTION("""COMPUTED_VALUE"""),"REGION V")</f>
        <v>REGION V</v>
      </c>
      <c r="B2281" s="164" t="str">
        <f ca="1">IFERROR(__xludf.DUMMYFUNCTION("""COMPUTED_VALUE"""),"CAMRINES SUR II")</f>
        <v>CAMRINES SUR II</v>
      </c>
      <c r="C2281" s="164" t="str">
        <f ca="1">IFERROR(__xludf.DUMMYFUNCTION("""COMPUTED_VALUE"""),"Motorcycle – (Honda XRL 150)")</f>
        <v>Motorcycle – (Honda XRL 150)</v>
      </c>
      <c r="D2281" s="164" t="str">
        <f ca="1">IFERROR(__xludf.DUMMYFUNCTION("""COMPUTED_VALUE"""),"₱ 124,900.00")</f>
        <v>₱ 124,900.00</v>
      </c>
      <c r="E2281" s="164"/>
      <c r="F2281" s="164" t="str">
        <f ca="1">IFERROR(__xludf.DUMMYFUNCTION("""COMPUTED_VALUE"""),"2023-06-01-10202-SP-223-1")</f>
        <v>2023-06-01-10202-SP-223-1</v>
      </c>
      <c r="G2281" s="164" t="str">
        <f ca="1">IFERROR(__xludf.DUMMYFUNCTION("""COMPUTED_VALUE"""),"no plate available")</f>
        <v>no plate available</v>
      </c>
      <c r="H2281" s="164" t="str">
        <f ca="1">IFERROR(__xludf.DUMMYFUNCTION("""COMPUTED_VALUE"""),"ENGR. RODEL C. MARTIREZ")</f>
        <v>ENGR. RODEL C. MARTIREZ</v>
      </c>
      <c r="I2281" s="164" t="str">
        <f ca="1">IFERROR(__xludf.DUMMYFUNCTION("""COMPUTED_VALUE"""),"OIC-PARPO II")</f>
        <v>OIC-PARPO II</v>
      </c>
      <c r="J2281" s="164" t="str">
        <f ca="1">IFERROR(__xludf.DUMMYFUNCTION("""COMPUTED_VALUE"""),"LTID-SPLIT -2023-012")</f>
        <v>LTID-SPLIT -2023-012</v>
      </c>
      <c r="K2281" s="164" t="str">
        <f ca="1">IFERROR(__xludf.DUMMYFUNCTION("""COMPUTED_VALUE"""),"JOSELITO R. NACIONAL")</f>
        <v>JOSELITO R. NACIONAL</v>
      </c>
      <c r="L2281" s="164" t="str">
        <f ca="1">IFERROR(__xludf.DUMMYFUNCTION("""COMPUTED_VALUE"""),"DARMO-TIGAON")</f>
        <v>DARMO-TIGAON</v>
      </c>
      <c r="M2281" s="164" t="str">
        <f ca="1">IFERROR(__xludf.DUMMYFUNCTION("""COMPUTED_VALUE"""),"SERVICEABLE")</f>
        <v>SERVICEABLE</v>
      </c>
      <c r="N2281" s="164"/>
    </row>
    <row r="2282" spans="1:14" ht="13.2" hidden="1">
      <c r="A2282" s="164" t="str">
        <f ca="1">IFERROR(__xludf.DUMMYFUNCTION("""COMPUTED_VALUE"""),"REGION V")</f>
        <v>REGION V</v>
      </c>
      <c r="B2282" s="164" t="str">
        <f ca="1">IFERROR(__xludf.DUMMYFUNCTION("""COMPUTED_VALUE"""),"CAMRINES SUR II")</f>
        <v>CAMRINES SUR II</v>
      </c>
      <c r="C2282" s="164" t="str">
        <f ca="1">IFERROR(__xludf.DUMMYFUNCTION("""COMPUTED_VALUE"""),"Motorcycle – (Honda XRL 150)")</f>
        <v>Motorcycle – (Honda XRL 150)</v>
      </c>
      <c r="D2282" s="164" t="str">
        <f ca="1">IFERROR(__xludf.DUMMYFUNCTION("""COMPUTED_VALUE"""),"₱ 124,900.00")</f>
        <v>₱ 124,900.00</v>
      </c>
      <c r="E2282" s="164"/>
      <c r="F2282" s="164" t="str">
        <f ca="1">IFERROR(__xludf.DUMMYFUNCTION("""COMPUTED_VALUE"""),"2023-06-01-10202-SP-218-1")</f>
        <v>2023-06-01-10202-SP-218-1</v>
      </c>
      <c r="G2282" s="164" t="str">
        <f ca="1">IFERROR(__xludf.DUMMYFUNCTION("""COMPUTED_VALUE"""),"no plate available")</f>
        <v>no plate available</v>
      </c>
      <c r="H2282" s="164" t="str">
        <f ca="1">IFERROR(__xludf.DUMMYFUNCTION("""COMPUTED_VALUE"""),"ENGR. RODEL C. MARTIREZ")</f>
        <v>ENGR. RODEL C. MARTIREZ</v>
      </c>
      <c r="I2282" s="164" t="str">
        <f ca="1">IFERROR(__xludf.DUMMYFUNCTION("""COMPUTED_VALUE"""),"OIC-PARPO II")</f>
        <v>OIC-PARPO II</v>
      </c>
      <c r="J2282" s="164" t="str">
        <f ca="1">IFERROR(__xludf.DUMMYFUNCTION("""COMPUTED_VALUE"""),"LTID-SPLIT -2023-017")</f>
        <v>LTID-SPLIT -2023-017</v>
      </c>
      <c r="K2282" s="164" t="str">
        <f ca="1">IFERROR(__xludf.DUMMYFUNCTION("""COMPUTED_VALUE"""),"MARK ANGELO V. BURCE")</f>
        <v>MARK ANGELO V. BURCE</v>
      </c>
      <c r="L2282" s="164" t="str">
        <f ca="1">IFERROR(__xludf.DUMMYFUNCTION("""COMPUTED_VALUE"""),"DARMO-TINAMBAC A")</f>
        <v>DARMO-TINAMBAC A</v>
      </c>
      <c r="M2282" s="164" t="str">
        <f ca="1">IFERROR(__xludf.DUMMYFUNCTION("""COMPUTED_VALUE"""),"SERVICEABLE")</f>
        <v>SERVICEABLE</v>
      </c>
      <c r="N2282" s="164"/>
    </row>
    <row r="2283" spans="1:14" ht="13.2" hidden="1">
      <c r="A2283" s="164" t="str">
        <f ca="1">IFERROR(__xludf.DUMMYFUNCTION("""COMPUTED_VALUE"""),"REGION V")</f>
        <v>REGION V</v>
      </c>
      <c r="B2283" s="164" t="str">
        <f ca="1">IFERROR(__xludf.DUMMYFUNCTION("""COMPUTED_VALUE"""),"CAMRINES SUR II")</f>
        <v>CAMRINES SUR II</v>
      </c>
      <c r="C2283" s="164" t="str">
        <f ca="1">IFERROR(__xludf.DUMMYFUNCTION("""COMPUTED_VALUE"""),"Motorcycle – (Honda XRL 150)")</f>
        <v>Motorcycle – (Honda XRL 150)</v>
      </c>
      <c r="D2283" s="164" t="str">
        <f ca="1">IFERROR(__xludf.DUMMYFUNCTION("""COMPUTED_VALUE"""),"₱ 124,900.00")</f>
        <v>₱ 124,900.00</v>
      </c>
      <c r="E2283" s="164"/>
      <c r="F2283" s="164" t="str">
        <f ca="1">IFERROR(__xludf.DUMMYFUNCTION("""COMPUTED_VALUE"""),"2023-06-01-10202-SP-225-1")</f>
        <v>2023-06-01-10202-SP-225-1</v>
      </c>
      <c r="G2283" s="164" t="str">
        <f ca="1">IFERROR(__xludf.DUMMYFUNCTION("""COMPUTED_VALUE"""),"no plate available")</f>
        <v>no plate available</v>
      </c>
      <c r="H2283" s="164" t="str">
        <f ca="1">IFERROR(__xludf.DUMMYFUNCTION("""COMPUTED_VALUE"""),"ENGR. RODEL C. MARTIREZ")</f>
        <v>ENGR. RODEL C. MARTIREZ</v>
      </c>
      <c r="I2283" s="164" t="str">
        <f ca="1">IFERROR(__xludf.DUMMYFUNCTION("""COMPUTED_VALUE"""),"OIC-PARPO II")</f>
        <v>OIC-PARPO II</v>
      </c>
      <c r="J2283" s="164" t="str">
        <f ca="1">IFERROR(__xludf.DUMMYFUNCTION("""COMPUTED_VALUE"""),"LTID-SPLIT -2023-018")</f>
        <v>LTID-SPLIT -2023-018</v>
      </c>
      <c r="K2283" s="164" t="str">
        <f ca="1">IFERROR(__xludf.DUMMYFUNCTION("""COMPUTED_VALUE"""),"DAN-RIEL E. PACIS")</f>
        <v>DAN-RIEL E. PACIS</v>
      </c>
      <c r="L2283" s="164" t="str">
        <f ca="1">IFERROR(__xludf.DUMMYFUNCTION("""COMPUTED_VALUE"""),"DARMO-SAGÑAY")</f>
        <v>DARMO-SAGÑAY</v>
      </c>
      <c r="M2283" s="164" t="str">
        <f ca="1">IFERROR(__xludf.DUMMYFUNCTION("""COMPUTED_VALUE"""),"SERVICEABLE")</f>
        <v>SERVICEABLE</v>
      </c>
      <c r="N2283" s="164"/>
    </row>
    <row r="2284" spans="1:14" ht="13.2" hidden="1">
      <c r="A2284" s="164" t="str">
        <f ca="1">IFERROR(__xludf.DUMMYFUNCTION("""COMPUTED_VALUE"""),"REGION V")</f>
        <v>REGION V</v>
      </c>
      <c r="B2284" s="164" t="str">
        <f ca="1">IFERROR(__xludf.DUMMYFUNCTION("""COMPUTED_VALUE"""),"CAMRINES SUR II")</f>
        <v>CAMRINES SUR II</v>
      </c>
      <c r="C2284" s="164" t="str">
        <f ca="1">IFERROR(__xludf.DUMMYFUNCTION("""COMPUTED_VALUE"""),"Motorcycle – (Honda XRL 150)")</f>
        <v>Motorcycle – (Honda XRL 150)</v>
      </c>
      <c r="D2284" s="164" t="str">
        <f ca="1">IFERROR(__xludf.DUMMYFUNCTION("""COMPUTED_VALUE"""),"₱ 124,900.00")</f>
        <v>₱ 124,900.00</v>
      </c>
      <c r="E2284" s="164"/>
      <c r="F2284" s="164" t="str">
        <f ca="1">IFERROR(__xludf.DUMMYFUNCTION("""COMPUTED_VALUE"""),"2023-06-01-10202-SP-195-1")</f>
        <v>2023-06-01-10202-SP-195-1</v>
      </c>
      <c r="G2284" s="164" t="str">
        <f ca="1">IFERROR(__xludf.DUMMYFUNCTION("""COMPUTED_VALUE"""),"no plate available")</f>
        <v>no plate available</v>
      </c>
      <c r="H2284" s="164" t="str">
        <f ca="1">IFERROR(__xludf.DUMMYFUNCTION("""COMPUTED_VALUE"""),"ENGR. RODEL C. MARTIREZ")</f>
        <v>ENGR. RODEL C. MARTIREZ</v>
      </c>
      <c r="I2284" s="164" t="str">
        <f ca="1">IFERROR(__xludf.DUMMYFUNCTION("""COMPUTED_VALUE"""),"OIC-PARPO II")</f>
        <v>OIC-PARPO II</v>
      </c>
      <c r="J2284" s="164" t="str">
        <f ca="1">IFERROR(__xludf.DUMMYFUNCTION("""COMPUTED_VALUE"""),"LTID-SPLIT -2023-014")</f>
        <v>LTID-SPLIT -2023-014</v>
      </c>
      <c r="K2284" s="164" t="str">
        <f ca="1">IFERROR(__xludf.DUMMYFUNCTION("""COMPUTED_VALUE"""),"JULIUS T. ACABADO")</f>
        <v>JULIUS T. ACABADO</v>
      </c>
      <c r="L2284" s="164" t="str">
        <f ca="1">IFERROR(__xludf.DUMMYFUNCTION("""COMPUTED_VALUE"""),"DARMO-CARAMOAN")</f>
        <v>DARMO-CARAMOAN</v>
      </c>
      <c r="M2284" s="164" t="str">
        <f ca="1">IFERROR(__xludf.DUMMYFUNCTION("""COMPUTED_VALUE"""),"SERVICEABLE")</f>
        <v>SERVICEABLE</v>
      </c>
      <c r="N2284" s="164"/>
    </row>
    <row r="2285" spans="1:14" ht="13.2" hidden="1">
      <c r="A2285" s="164" t="str">
        <f ca="1">IFERROR(__xludf.DUMMYFUNCTION("""COMPUTED_VALUE"""),"REGION V")</f>
        <v>REGION V</v>
      </c>
      <c r="B2285" s="164" t="str">
        <f ca="1">IFERROR(__xludf.DUMMYFUNCTION("""COMPUTED_VALUE"""),"CAMRINES SUR II")</f>
        <v>CAMRINES SUR II</v>
      </c>
      <c r="C2285" s="164" t="str">
        <f ca="1">IFERROR(__xludf.DUMMYFUNCTION("""COMPUTED_VALUE"""),"Motorcycle – (Honda XRL 150)")</f>
        <v>Motorcycle – (Honda XRL 150)</v>
      </c>
      <c r="D2285" s="164" t="str">
        <f ca="1">IFERROR(__xludf.DUMMYFUNCTION("""COMPUTED_VALUE"""),"₱ 124,900.00")</f>
        <v>₱ 124,900.00</v>
      </c>
      <c r="E2285" s="164"/>
      <c r="F2285" s="164" t="str">
        <f ca="1">IFERROR(__xludf.DUMMYFUNCTION("""COMPUTED_VALUE"""),"2023-06-01-10202-SP-222-1")</f>
        <v>2023-06-01-10202-SP-222-1</v>
      </c>
      <c r="G2285" s="164" t="str">
        <f ca="1">IFERROR(__xludf.DUMMYFUNCTION("""COMPUTED_VALUE"""),"no plate available")</f>
        <v>no plate available</v>
      </c>
      <c r="H2285" s="164" t="str">
        <f ca="1">IFERROR(__xludf.DUMMYFUNCTION("""COMPUTED_VALUE"""),"ENGR. RODEL C. MARTIREZ")</f>
        <v>ENGR. RODEL C. MARTIREZ</v>
      </c>
      <c r="I2285" s="164" t="str">
        <f ca="1">IFERROR(__xludf.DUMMYFUNCTION("""COMPUTED_VALUE"""),"OIC-PARPO II")</f>
        <v>OIC-PARPO II</v>
      </c>
      <c r="J2285" s="164" t="str">
        <f ca="1">IFERROR(__xludf.DUMMYFUNCTION("""COMPUTED_VALUE"""),"LTID-SPLIT -2023-009")</f>
        <v>LTID-SPLIT -2023-009</v>
      </c>
      <c r="K2285" s="164" t="str">
        <f ca="1">IFERROR(__xludf.DUMMYFUNCTION("""COMPUTED_VALUE"""),"ENGR. RENATO C. BEQUILLO")</f>
        <v>ENGR. RENATO C. BEQUILLO</v>
      </c>
      <c r="L2285" s="164" t="str">
        <f ca="1">IFERROR(__xludf.DUMMYFUNCTION("""COMPUTED_VALUE"""),"DARPO CS2")</f>
        <v>DARPO CS2</v>
      </c>
      <c r="M2285" s="164" t="str">
        <f ca="1">IFERROR(__xludf.DUMMYFUNCTION("""COMPUTED_VALUE"""),"SERVICEABLE")</f>
        <v>SERVICEABLE</v>
      </c>
      <c r="N2285" s="164"/>
    </row>
    <row r="2286" spans="1:14" ht="13.2" hidden="1">
      <c r="A2286" s="164" t="str">
        <f ca="1">IFERROR(__xludf.DUMMYFUNCTION("""COMPUTED_VALUE"""),"REGION V")</f>
        <v>REGION V</v>
      </c>
      <c r="B2286" s="164" t="str">
        <f ca="1">IFERROR(__xludf.DUMMYFUNCTION("""COMPUTED_VALUE"""),"CAMRINES SUR II")</f>
        <v>CAMRINES SUR II</v>
      </c>
      <c r="C2286" s="164" t="str">
        <f ca="1">IFERROR(__xludf.DUMMYFUNCTION("""COMPUTED_VALUE"""),"Motorcycle – (Honda XRL 150)")</f>
        <v>Motorcycle – (Honda XRL 150)</v>
      </c>
      <c r="D2286" s="164" t="str">
        <f ca="1">IFERROR(__xludf.DUMMYFUNCTION("""COMPUTED_VALUE"""),"₱ 124,900.00")</f>
        <v>₱ 124,900.00</v>
      </c>
      <c r="E2286" s="164"/>
      <c r="F2286" s="164" t="str">
        <f ca="1">IFERROR(__xludf.DUMMYFUNCTION("""COMPUTED_VALUE"""),"2023-06-01-10202-SP-215-1")</f>
        <v>2023-06-01-10202-SP-215-1</v>
      </c>
      <c r="G2286" s="164" t="str">
        <f ca="1">IFERROR(__xludf.DUMMYFUNCTION("""COMPUTED_VALUE"""),"no plate available")</f>
        <v>no plate available</v>
      </c>
      <c r="H2286" s="164" t="str">
        <f ca="1">IFERROR(__xludf.DUMMYFUNCTION("""COMPUTED_VALUE"""),"ENGR. RODEL C. MARTIREZ")</f>
        <v>ENGR. RODEL C. MARTIREZ</v>
      </c>
      <c r="I2286" s="164" t="str">
        <f ca="1">IFERROR(__xludf.DUMMYFUNCTION("""COMPUTED_VALUE"""),"OIC-PARPO II")</f>
        <v>OIC-PARPO II</v>
      </c>
      <c r="J2286" s="164" t="str">
        <f ca="1">IFERROR(__xludf.DUMMYFUNCTION("""COMPUTED_VALUE"""),"LTID-SPLIT -2023-016")</f>
        <v>LTID-SPLIT -2023-016</v>
      </c>
      <c r="K2286" s="164" t="str">
        <f ca="1">IFERROR(__xludf.DUMMYFUNCTION("""COMPUTED_VALUE"""),"ROWELL GERARD A. ZAPATA")</f>
        <v>ROWELL GERARD A. ZAPATA</v>
      </c>
      <c r="L2286" s="164" t="str">
        <f ca="1">IFERROR(__xludf.DUMMYFUNCTION("""COMPUTED_VALUE"""),"DARMO-TINAMBAC B")</f>
        <v>DARMO-TINAMBAC B</v>
      </c>
      <c r="M2286" s="164" t="str">
        <f ca="1">IFERROR(__xludf.DUMMYFUNCTION("""COMPUTED_VALUE"""),"SERVICEABLE")</f>
        <v>SERVICEABLE</v>
      </c>
      <c r="N2286" s="164"/>
    </row>
    <row r="2287" spans="1:14" ht="13.2" hidden="1">
      <c r="A2287" s="164" t="str">
        <f ca="1">IFERROR(__xludf.DUMMYFUNCTION("""COMPUTED_VALUE"""),"REGION V")</f>
        <v>REGION V</v>
      </c>
      <c r="B2287" s="164" t="str">
        <f ca="1">IFERROR(__xludf.DUMMYFUNCTION("""COMPUTED_VALUE"""),"CAMRINES SUR II")</f>
        <v>CAMRINES SUR II</v>
      </c>
      <c r="C2287" s="164" t="str">
        <f ca="1">IFERROR(__xludf.DUMMYFUNCTION("""COMPUTED_VALUE"""),"Motorcycle – (Honda XRL 150)")</f>
        <v>Motorcycle – (Honda XRL 150)</v>
      </c>
      <c r="D2287" s="164" t="str">
        <f ca="1">IFERROR(__xludf.DUMMYFUNCTION("""COMPUTED_VALUE"""),"₱ 124,900.00")</f>
        <v>₱ 124,900.00</v>
      </c>
      <c r="E2287" s="164"/>
      <c r="F2287" s="164" t="str">
        <f ca="1">IFERROR(__xludf.DUMMYFUNCTION("""COMPUTED_VALUE"""),"2023-06-01-10202-SP-196-1")</f>
        <v>2023-06-01-10202-SP-196-1</v>
      </c>
      <c r="G2287" s="164" t="str">
        <f ca="1">IFERROR(__xludf.DUMMYFUNCTION("""COMPUTED_VALUE"""),"no plate available")</f>
        <v>no plate available</v>
      </c>
      <c r="H2287" s="164" t="str">
        <f ca="1">IFERROR(__xludf.DUMMYFUNCTION("""COMPUTED_VALUE"""),"ENGR. RODEL C. MARTIREZ")</f>
        <v>ENGR. RODEL C. MARTIREZ</v>
      </c>
      <c r="I2287" s="164" t="str">
        <f ca="1">IFERROR(__xludf.DUMMYFUNCTION("""COMPUTED_VALUE"""),"OIC-PARPO II")</f>
        <v>OIC-PARPO II</v>
      </c>
      <c r="J2287" s="164" t="str">
        <f ca="1">IFERROR(__xludf.DUMMYFUNCTION("""COMPUTED_VALUE"""),"LTID-SPLIT -2023-010")</f>
        <v>LTID-SPLIT -2023-010</v>
      </c>
      <c r="K2287" s="164" t="str">
        <f ca="1">IFERROR(__xludf.DUMMYFUNCTION("""COMPUTED_VALUE"""),"JOSEPH CLARENCE ELLA-AVELLANA")</f>
        <v>JOSEPH CLARENCE ELLA-AVELLANA</v>
      </c>
      <c r="L2287" s="164" t="str">
        <f ca="1">IFERROR(__xludf.DUMMYFUNCTION("""COMPUTED_VALUE"""),"DARMO-SIRUMA")</f>
        <v>DARMO-SIRUMA</v>
      </c>
      <c r="M2287" s="164" t="str">
        <f ca="1">IFERROR(__xludf.DUMMYFUNCTION("""COMPUTED_VALUE"""),"SERVICEABLE")</f>
        <v>SERVICEABLE</v>
      </c>
      <c r="N2287" s="164"/>
    </row>
    <row r="2288" spans="1:14" ht="13.2" hidden="1">
      <c r="A2288" s="164" t="str">
        <f ca="1">IFERROR(__xludf.DUMMYFUNCTION("""COMPUTED_VALUE"""),"REGION V")</f>
        <v>REGION V</v>
      </c>
      <c r="B2288" s="164" t="str">
        <f ca="1">IFERROR(__xludf.DUMMYFUNCTION("""COMPUTED_VALUE"""),"CATANDUANES")</f>
        <v>CATANDUANES</v>
      </c>
      <c r="C2288" s="164" t="str">
        <f ca="1">IFERROR(__xludf.DUMMYFUNCTION("""COMPUTED_VALUE"""),"Double Cabin Pick-up Vehicles – Mitsubishi Strada")</f>
        <v>Double Cabin Pick-up Vehicles – Mitsubishi Strada</v>
      </c>
      <c r="D2288" s="164" t="str">
        <f ca="1">IFERROR(__xludf.DUMMYFUNCTION("""COMPUTED_VALUE"""),"₱ 1,752,400.00")</f>
        <v>₱ 1,752,400.00</v>
      </c>
      <c r="E2288" s="164"/>
      <c r="F2288" s="164" t="str">
        <f ca="1">IFERROR(__xludf.DUMMYFUNCTION("""COMPUTED_VALUE"""),"SPLIT-2023-003")</f>
        <v>SPLIT-2023-003</v>
      </c>
      <c r="G2288" s="164" t="str">
        <f ca="1">IFERROR(__xludf.DUMMYFUNCTION("""COMPUTED_VALUE"""),"SNC 1236")</f>
        <v>SNC 1236</v>
      </c>
      <c r="H2288" s="164" t="str">
        <f ca="1">IFERROR(__xludf.DUMMYFUNCTION("""COMPUTED_VALUE"""),"MA. KATRINA M. SARAUSA")</f>
        <v>MA. KATRINA M. SARAUSA</v>
      </c>
      <c r="I2288" s="164" t="str">
        <f ca="1">IFERROR(__xludf.DUMMYFUNCTION("""COMPUTED_VALUE"""),"ARPO I")</f>
        <v>ARPO I</v>
      </c>
      <c r="J2288" s="164" t="str">
        <f ca="1">IFERROR(__xludf.DUMMYFUNCTION("""COMPUTED_VALUE"""),"SPLIT-2023-10-0003")</f>
        <v>SPLIT-2023-10-0003</v>
      </c>
      <c r="K2288" s="164" t="str">
        <f ca="1">IFERROR(__xludf.DUMMYFUNCTION("""COMPUTED_VALUE"""),"MA. KATRINA M. SARAUSA")</f>
        <v>MA. KATRINA M. SARAUSA</v>
      </c>
      <c r="L2288" s="164" t="str">
        <f ca="1">IFERROR(__xludf.DUMMYFUNCTION("""COMPUTED_VALUE"""),"DARPO")</f>
        <v>DARPO</v>
      </c>
      <c r="M2288" s="164" t="str">
        <f ca="1">IFERROR(__xludf.DUMMYFUNCTION("""COMPUTED_VALUE"""),"SERVICEABLE")</f>
        <v>SERVICEABLE</v>
      </c>
      <c r="N2288" s="164"/>
    </row>
    <row r="2289" spans="1:14" ht="13.2" hidden="1">
      <c r="A2289" s="164" t="str">
        <f ca="1">IFERROR(__xludf.DUMMYFUNCTION("""COMPUTED_VALUE"""),"REGION V")</f>
        <v>REGION V</v>
      </c>
      <c r="B2289" s="164" t="str">
        <f ca="1">IFERROR(__xludf.DUMMYFUNCTION("""COMPUTED_VALUE"""),"CATANDUANES")</f>
        <v>CATANDUANES</v>
      </c>
      <c r="C2289" s="164" t="str">
        <f ca="1">IFERROR(__xludf.DUMMYFUNCTION("""COMPUTED_VALUE"""),"Motorcycle – (Honda XRL 150)")</f>
        <v>Motorcycle – (Honda XRL 150)</v>
      </c>
      <c r="D2289" s="164" t="str">
        <f ca="1">IFERROR(__xludf.DUMMYFUNCTION("""COMPUTED_VALUE"""),"₱ 124,900.00")</f>
        <v>₱ 124,900.00</v>
      </c>
      <c r="E2289" s="164"/>
      <c r="F2289" s="164" t="str">
        <f ca="1">IFERROR(__xludf.DUMMYFUNCTION("""COMPUTED_VALUE"""),"SPLIT-2023-001")</f>
        <v>SPLIT-2023-001</v>
      </c>
      <c r="G2289" s="164" t="str">
        <f ca="1">IFERROR(__xludf.DUMMYFUNCTION("""COMPUTED_VALUE"""),"no plate available")</f>
        <v>no plate available</v>
      </c>
      <c r="H2289" s="164" t="str">
        <f ca="1">IFERROR(__xludf.DUMMYFUNCTION("""COMPUTED_VALUE"""),"MA. KATRINA M. SARAUSA")</f>
        <v>MA. KATRINA M. SARAUSA</v>
      </c>
      <c r="I2289" s="164" t="str">
        <f ca="1">IFERROR(__xludf.DUMMYFUNCTION("""COMPUTED_VALUE"""),"ARPO I")</f>
        <v>ARPO I</v>
      </c>
      <c r="J2289" s="164" t="str">
        <f ca="1">IFERROR(__xludf.DUMMYFUNCTION("""COMPUTED_VALUE"""),"SPLIT-2023-04-0001")</f>
        <v>SPLIT-2023-04-0001</v>
      </c>
      <c r="K2289" s="164" t="str">
        <f ca="1">IFERROR(__xludf.DUMMYFUNCTION("""COMPUTED_VALUE"""),"MA. KATRINA M. SARAUSA")</f>
        <v>MA. KATRINA M. SARAUSA</v>
      </c>
      <c r="L2289" s="164" t="str">
        <f ca="1">IFERROR(__xludf.DUMMYFUNCTION("""COMPUTED_VALUE"""),"DARPO")</f>
        <v>DARPO</v>
      </c>
      <c r="M2289" s="164" t="str">
        <f ca="1">IFERROR(__xludf.DUMMYFUNCTION("""COMPUTED_VALUE"""),"SERVICEABLE")</f>
        <v>SERVICEABLE</v>
      </c>
      <c r="N2289" s="164"/>
    </row>
    <row r="2290" spans="1:14" ht="13.2" hidden="1">
      <c r="A2290" s="164" t="str">
        <f ca="1">IFERROR(__xludf.DUMMYFUNCTION("""COMPUTED_VALUE"""),"REGION V")</f>
        <v>REGION V</v>
      </c>
      <c r="B2290" s="164" t="str">
        <f ca="1">IFERROR(__xludf.DUMMYFUNCTION("""COMPUTED_VALUE"""),"CATANDUANES")</f>
        <v>CATANDUANES</v>
      </c>
      <c r="C2290" s="164" t="str">
        <f ca="1">IFERROR(__xludf.DUMMYFUNCTION("""COMPUTED_VALUE"""),"Motorcycle – (Honda XRL 150)")</f>
        <v>Motorcycle – (Honda XRL 150)</v>
      </c>
      <c r="D2290" s="164" t="str">
        <f ca="1">IFERROR(__xludf.DUMMYFUNCTION("""COMPUTED_VALUE"""),"₱ 124,900.00")</f>
        <v>₱ 124,900.00</v>
      </c>
      <c r="E2290" s="164"/>
      <c r="F2290" s="164" t="str">
        <f ca="1">IFERROR(__xludf.DUMMYFUNCTION("""COMPUTED_VALUE"""),"SPLIT-2023-002")</f>
        <v>SPLIT-2023-002</v>
      </c>
      <c r="G2290" s="164" t="str">
        <f ca="1">IFERROR(__xludf.DUMMYFUNCTION("""COMPUTED_VALUE"""),"no plate available")</f>
        <v>no plate available</v>
      </c>
      <c r="H2290" s="164" t="str">
        <f ca="1">IFERROR(__xludf.DUMMYFUNCTION("""COMPUTED_VALUE"""),"MA. KATRINA M. SARAUSA")</f>
        <v>MA. KATRINA M. SARAUSA</v>
      </c>
      <c r="I2290" s="164" t="str">
        <f ca="1">IFERROR(__xludf.DUMMYFUNCTION("""COMPUTED_VALUE"""),"ARPO I")</f>
        <v>ARPO I</v>
      </c>
      <c r="J2290" s="164" t="str">
        <f ca="1">IFERROR(__xludf.DUMMYFUNCTION("""COMPUTED_VALUE"""),"SPLIT-2023-04-0002")</f>
        <v>SPLIT-2023-04-0002</v>
      </c>
      <c r="K2290" s="164" t="str">
        <f ca="1">IFERROR(__xludf.DUMMYFUNCTION("""COMPUTED_VALUE"""),"MA. KATRINA M. SARAUSA")</f>
        <v>MA. KATRINA M. SARAUSA</v>
      </c>
      <c r="L2290" s="164" t="str">
        <f ca="1">IFERROR(__xludf.DUMMYFUNCTION("""COMPUTED_VALUE"""),"DARPO")</f>
        <v>DARPO</v>
      </c>
      <c r="M2290" s="164" t="str">
        <f ca="1">IFERROR(__xludf.DUMMYFUNCTION("""COMPUTED_VALUE"""),"SERVICEABLE")</f>
        <v>SERVICEABLE</v>
      </c>
      <c r="N2290" s="164"/>
    </row>
    <row r="2291" spans="1:14" ht="13.2" hidden="1">
      <c r="A2291" s="164" t="str">
        <f ca="1">IFERROR(__xludf.DUMMYFUNCTION("""COMPUTED_VALUE"""),"REGION V")</f>
        <v>REGION V</v>
      </c>
      <c r="B2291" s="164" t="str">
        <f ca="1">IFERROR(__xludf.DUMMYFUNCTION("""COMPUTED_VALUE"""),"MASBATE")</f>
        <v>MASBATE</v>
      </c>
      <c r="C2291" s="164" t="str">
        <f ca="1">IFERROR(__xludf.DUMMYFUNCTION("""COMPUTED_VALUE"""),"Double Cabin Pick-up Vehicles – Mitsubishi Strada")</f>
        <v>Double Cabin Pick-up Vehicles – Mitsubishi Strada</v>
      </c>
      <c r="D2291" s="164" t="str">
        <f ca="1">IFERROR(__xludf.DUMMYFUNCTION("""COMPUTED_VALUE"""),"₱ 1,752,400.00")</f>
        <v>₱ 1,752,400.00</v>
      </c>
      <c r="E2291" s="164"/>
      <c r="F2291" s="164" t="str">
        <f ca="1">IFERROR(__xludf.DUMMYFUNCTION("""COMPUTED_VALUE"""),"2023-10-SPMS-001
 2023-06-01-10201SP82-01")</f>
        <v>2023-10-SPMS-001
 2023-06-01-10201SP82-01</v>
      </c>
      <c r="G2291" s="164" t="str">
        <f ca="1">IFERROR(__xludf.DUMMYFUNCTION("""COMPUTED_VALUE"""),"SNC 1237")</f>
        <v>SNC 1237</v>
      </c>
      <c r="H2291" s="164" t="str">
        <f ca="1">IFERROR(__xludf.DUMMYFUNCTION("""COMPUTED_VALUE"""),"HERALD R. TAMBAL")</f>
        <v>HERALD R. TAMBAL</v>
      </c>
      <c r="I2291" s="164" t="str">
        <f ca="1">IFERROR(__xludf.DUMMYFUNCTION("""COMPUTED_VALUE"""),"PARPO II")</f>
        <v>PARPO II</v>
      </c>
      <c r="J2291" s="164" t="str">
        <f ca="1">IFERROR(__xludf.DUMMYFUNCTION("""COMPUTED_VALUE"""),"DAR-MBT-101163-MV-SP-MS-001")</f>
        <v>DAR-MBT-101163-MV-SP-MS-001</v>
      </c>
      <c r="K2291" s="164" t="str">
        <f ca="1">IFERROR(__xludf.DUMMYFUNCTION("""COMPUTED_VALUE"""),"ROWENA MARFIGA")</f>
        <v>ROWENA MARFIGA</v>
      </c>
      <c r="L2291" s="164" t="str">
        <f ca="1">IFERROR(__xludf.DUMMYFUNCTION("""COMPUTED_VALUE"""),"DARPO")</f>
        <v>DARPO</v>
      </c>
      <c r="M2291" s="164" t="str">
        <f ca="1">IFERROR(__xludf.DUMMYFUNCTION("""COMPUTED_VALUE"""),"SERVICEABLE")</f>
        <v>SERVICEABLE</v>
      </c>
      <c r="N2291" s="164"/>
    </row>
    <row r="2292" spans="1:14" ht="13.2" hidden="1">
      <c r="A2292" s="164" t="str">
        <f ca="1">IFERROR(__xludf.DUMMYFUNCTION("""COMPUTED_VALUE"""),"REGION V")</f>
        <v>REGION V</v>
      </c>
      <c r="B2292" s="164" t="str">
        <f ca="1">IFERROR(__xludf.DUMMYFUNCTION("""COMPUTED_VALUE"""),"MASBATE")</f>
        <v>MASBATE</v>
      </c>
      <c r="C2292" s="164" t="str">
        <f ca="1">IFERROR(__xludf.DUMMYFUNCTION("""COMPUTED_VALUE"""),"Motorcycle – (Honda XRL 150)")</f>
        <v>Motorcycle – (Honda XRL 150)</v>
      </c>
      <c r="D2292" s="164" t="str">
        <f ca="1">IFERROR(__xludf.DUMMYFUNCTION("""COMPUTED_VALUE"""),"₱ 124,900.00")</f>
        <v>₱ 124,900.00</v>
      </c>
      <c r="E2292" s="164"/>
      <c r="F2292" s="164" t="str">
        <f ca="1">IFERROR(__xludf.DUMMYFUNCTION("""COMPUTED_VALUE"""),"2023-05-SPMV-001
 2023-06-01-10202SP175-01")</f>
        <v>2023-05-SPMV-001
 2023-06-01-10202SP175-01</v>
      </c>
      <c r="G2292" s="164" t="str">
        <f ca="1">IFERROR(__xludf.DUMMYFUNCTION("""COMPUTED_VALUE"""),"726 SNE")</f>
        <v>726 SNE</v>
      </c>
      <c r="H2292" s="164" t="str">
        <f ca="1">IFERROR(__xludf.DUMMYFUNCTION("""COMPUTED_VALUE"""),"HERALD R. TAMBAL")</f>
        <v>HERALD R. TAMBAL</v>
      </c>
      <c r="I2292" s="164" t="str">
        <f ca="1">IFERROR(__xludf.DUMMYFUNCTION("""COMPUTED_VALUE"""),"PARPO II")</f>
        <v>PARPO II</v>
      </c>
      <c r="J2292" s="164" t="str">
        <f ca="1">IFERROR(__xludf.DUMMYFUNCTION("""COMPUTED_VALUE"""),"DAR-MBT-101163-MV-MC-001")</f>
        <v>DAR-MBT-101163-MV-MC-001</v>
      </c>
      <c r="K2292" s="164" t="str">
        <f ca="1">IFERROR(__xludf.DUMMYFUNCTION("""COMPUTED_VALUE"""),"JOJIE PACHECO")</f>
        <v>JOJIE PACHECO</v>
      </c>
      <c r="L2292" s="164" t="str">
        <f ca="1">IFERROR(__xludf.DUMMYFUNCTION("""COMPUTED_VALUE"""),"DARPO")</f>
        <v>DARPO</v>
      </c>
      <c r="M2292" s="164" t="str">
        <f ca="1">IFERROR(__xludf.DUMMYFUNCTION("""COMPUTED_VALUE"""),"SERVICEABLE")</f>
        <v>SERVICEABLE</v>
      </c>
      <c r="N2292" s="164"/>
    </row>
    <row r="2293" spans="1:14" ht="13.2" hidden="1">
      <c r="A2293" s="164" t="str">
        <f ca="1">IFERROR(__xludf.DUMMYFUNCTION("""COMPUTED_VALUE"""),"REGION V")</f>
        <v>REGION V</v>
      </c>
      <c r="B2293" s="164" t="str">
        <f ca="1">IFERROR(__xludf.DUMMYFUNCTION("""COMPUTED_VALUE"""),"MASBATE")</f>
        <v>MASBATE</v>
      </c>
      <c r="C2293" s="164" t="str">
        <f ca="1">IFERROR(__xludf.DUMMYFUNCTION("""COMPUTED_VALUE"""),"Motorcycle – (Honda XRL 150)")</f>
        <v>Motorcycle – (Honda XRL 150)</v>
      </c>
      <c r="D2293" s="164" t="str">
        <f ca="1">IFERROR(__xludf.DUMMYFUNCTION("""COMPUTED_VALUE"""),"₱ 124,900.00")</f>
        <v>₱ 124,900.00</v>
      </c>
      <c r="E2293" s="164"/>
      <c r="F2293" s="164" t="str">
        <f ca="1">IFERROR(__xludf.DUMMYFUNCTION("""COMPUTED_VALUE"""),"2023-05-SPMV-002
 2023-06-01-10202SP176-01")</f>
        <v>2023-05-SPMV-002
 2023-06-01-10202SP176-01</v>
      </c>
      <c r="G2293" s="164" t="str">
        <f ca="1">IFERROR(__xludf.DUMMYFUNCTION("""COMPUTED_VALUE"""),"727 SNE")</f>
        <v>727 SNE</v>
      </c>
      <c r="H2293" s="164" t="str">
        <f ca="1">IFERROR(__xludf.DUMMYFUNCTION("""COMPUTED_VALUE"""),"HERALD R. TAMBAL")</f>
        <v>HERALD R. TAMBAL</v>
      </c>
      <c r="I2293" s="164" t="str">
        <f ca="1">IFERROR(__xludf.DUMMYFUNCTION("""COMPUTED_VALUE"""),"PARPO II")</f>
        <v>PARPO II</v>
      </c>
      <c r="J2293" s="164" t="str">
        <f ca="1">IFERROR(__xludf.DUMMYFUNCTION("""COMPUTED_VALUE"""),"DAR-MBT-101163-MV-MC-002")</f>
        <v>DAR-MBT-101163-MV-MC-002</v>
      </c>
      <c r="K2293" s="164" t="str">
        <f ca="1">IFERROR(__xludf.DUMMYFUNCTION("""COMPUTED_VALUE"""),"ELEANOR TORRES")</f>
        <v>ELEANOR TORRES</v>
      </c>
      <c r="L2293" s="164" t="str">
        <f ca="1">IFERROR(__xludf.DUMMYFUNCTION("""COMPUTED_VALUE"""),"DARPO")</f>
        <v>DARPO</v>
      </c>
      <c r="M2293" s="164" t="str">
        <f ca="1">IFERROR(__xludf.DUMMYFUNCTION("""COMPUTED_VALUE"""),"SERVICEABLE")</f>
        <v>SERVICEABLE</v>
      </c>
      <c r="N2293" s="164"/>
    </row>
    <row r="2294" spans="1:14" ht="13.2" hidden="1">
      <c r="A2294" s="164" t="str">
        <f ca="1">IFERROR(__xludf.DUMMYFUNCTION("""COMPUTED_VALUE"""),"REGION V")</f>
        <v>REGION V</v>
      </c>
      <c r="B2294" s="164" t="str">
        <f ca="1">IFERROR(__xludf.DUMMYFUNCTION("""COMPUTED_VALUE"""),"MASBATE")</f>
        <v>MASBATE</v>
      </c>
      <c r="C2294" s="164" t="str">
        <f ca="1">IFERROR(__xludf.DUMMYFUNCTION("""COMPUTED_VALUE"""),"Motorcycle – (Honda XRL 150)")</f>
        <v>Motorcycle – (Honda XRL 150)</v>
      </c>
      <c r="D2294" s="164" t="str">
        <f ca="1">IFERROR(__xludf.DUMMYFUNCTION("""COMPUTED_VALUE"""),"₱ 124,900.00")</f>
        <v>₱ 124,900.00</v>
      </c>
      <c r="E2294" s="164"/>
      <c r="F2294" s="164" t="str">
        <f ca="1">IFERROR(__xludf.DUMMYFUNCTION("""COMPUTED_VALUE"""),"2023-05-SPMV-003
 2023-06-01-10202SP177-01")</f>
        <v>2023-05-SPMV-003
 2023-06-01-10202SP177-01</v>
      </c>
      <c r="G2294" s="164" t="str">
        <f ca="1">IFERROR(__xludf.DUMMYFUNCTION("""COMPUTED_VALUE"""),"728 SNE")</f>
        <v>728 SNE</v>
      </c>
      <c r="H2294" s="164" t="str">
        <f ca="1">IFERROR(__xludf.DUMMYFUNCTION("""COMPUTED_VALUE"""),"HERALD R. TAMBAL")</f>
        <v>HERALD R. TAMBAL</v>
      </c>
      <c r="I2294" s="164" t="str">
        <f ca="1">IFERROR(__xludf.DUMMYFUNCTION("""COMPUTED_VALUE"""),"PARPO II")</f>
        <v>PARPO II</v>
      </c>
      <c r="J2294" s="164" t="str">
        <f ca="1">IFERROR(__xludf.DUMMYFUNCTION("""COMPUTED_VALUE"""),"DAR-MBT-101163-MV-MC-003")</f>
        <v>DAR-MBT-101163-MV-MC-003</v>
      </c>
      <c r="K2294" s="164" t="str">
        <f ca="1">IFERROR(__xludf.DUMMYFUNCTION("""COMPUTED_VALUE"""),"ELEANOR TORRES")</f>
        <v>ELEANOR TORRES</v>
      </c>
      <c r="L2294" s="164" t="str">
        <f ca="1">IFERROR(__xludf.DUMMYFUNCTION("""COMPUTED_VALUE"""),"DARPO")</f>
        <v>DARPO</v>
      </c>
      <c r="M2294" s="164" t="str">
        <f ca="1">IFERROR(__xludf.DUMMYFUNCTION("""COMPUTED_VALUE"""),"SERVICEABLE")</f>
        <v>SERVICEABLE</v>
      </c>
      <c r="N2294" s="164"/>
    </row>
    <row r="2295" spans="1:14" ht="13.2" hidden="1">
      <c r="A2295" s="164" t="str">
        <f ca="1">IFERROR(__xludf.DUMMYFUNCTION("""COMPUTED_VALUE"""),"REGION V")</f>
        <v>REGION V</v>
      </c>
      <c r="B2295" s="164" t="str">
        <f ca="1">IFERROR(__xludf.DUMMYFUNCTION("""COMPUTED_VALUE"""),"MASBATE")</f>
        <v>MASBATE</v>
      </c>
      <c r="C2295" s="164" t="str">
        <f ca="1">IFERROR(__xludf.DUMMYFUNCTION("""COMPUTED_VALUE"""),"Motorcycle – (Honda XRL 150)")</f>
        <v>Motorcycle – (Honda XRL 150)</v>
      </c>
      <c r="D2295" s="164" t="str">
        <f ca="1">IFERROR(__xludf.DUMMYFUNCTION("""COMPUTED_VALUE"""),"₱ 124,900.00")</f>
        <v>₱ 124,900.00</v>
      </c>
      <c r="E2295" s="164"/>
      <c r="F2295" s="164" t="str">
        <f ca="1">IFERROR(__xludf.DUMMYFUNCTION("""COMPUTED_VALUE"""),"2023-05-SPMV-004
 2023-06-01-10202SP224-01")</f>
        <v>2023-05-SPMV-004
 2023-06-01-10202SP224-01</v>
      </c>
      <c r="G2295" s="164" t="str">
        <f ca="1">IFERROR(__xludf.DUMMYFUNCTION("""COMPUTED_VALUE"""),"961 SNE")</f>
        <v>961 SNE</v>
      </c>
      <c r="H2295" s="164" t="str">
        <f ca="1">IFERROR(__xludf.DUMMYFUNCTION("""COMPUTED_VALUE"""),"HERALD R. TAMBAL")</f>
        <v>HERALD R. TAMBAL</v>
      </c>
      <c r="I2295" s="164" t="str">
        <f ca="1">IFERROR(__xludf.DUMMYFUNCTION("""COMPUTED_VALUE"""),"PARPO II")</f>
        <v>PARPO II</v>
      </c>
      <c r="J2295" s="164" t="str">
        <f ca="1">IFERROR(__xludf.DUMMYFUNCTION("""COMPUTED_VALUE"""),"DAR-MBT-101163-MV-MC-004")</f>
        <v>DAR-MBT-101163-MV-MC-004</v>
      </c>
      <c r="K2295" s="164" t="str">
        <f ca="1">IFERROR(__xludf.DUMMYFUNCTION("""COMPUTED_VALUE"""),"ELEANOR TORRES")</f>
        <v>ELEANOR TORRES</v>
      </c>
      <c r="L2295" s="164" t="str">
        <f ca="1">IFERROR(__xludf.DUMMYFUNCTION("""COMPUTED_VALUE"""),"DARPO")</f>
        <v>DARPO</v>
      </c>
      <c r="M2295" s="164" t="str">
        <f ca="1">IFERROR(__xludf.DUMMYFUNCTION("""COMPUTED_VALUE"""),"SERVICEABLE")</f>
        <v>SERVICEABLE</v>
      </c>
      <c r="N2295" s="164"/>
    </row>
    <row r="2296" spans="1:14" ht="13.2" hidden="1">
      <c r="A2296" s="164" t="str">
        <f ca="1">IFERROR(__xludf.DUMMYFUNCTION("""COMPUTED_VALUE"""),"REGION V")</f>
        <v>REGION V</v>
      </c>
      <c r="B2296" s="164" t="str">
        <f ca="1">IFERROR(__xludf.DUMMYFUNCTION("""COMPUTED_VALUE"""),"MASBATE")</f>
        <v>MASBATE</v>
      </c>
      <c r="C2296" s="164" t="str">
        <f ca="1">IFERROR(__xludf.DUMMYFUNCTION("""COMPUTED_VALUE"""),"Motorcycle – (Honda XRL 150)")</f>
        <v>Motorcycle – (Honda XRL 150)</v>
      </c>
      <c r="D2296" s="164" t="str">
        <f ca="1">IFERROR(__xludf.DUMMYFUNCTION("""COMPUTED_VALUE"""),"₱ 124,900.00")</f>
        <v>₱ 124,900.00</v>
      </c>
      <c r="E2296" s="164"/>
      <c r="F2296" s="164" t="str">
        <f ca="1">IFERROR(__xludf.DUMMYFUNCTION("""COMPUTED_VALUE"""),"2023-05-SPMV-005
 2023-06-01-10202SP184-01")</f>
        <v>2023-05-SPMV-005
 2023-06-01-10202SP184-01</v>
      </c>
      <c r="G2296" s="164" t="str">
        <f ca="1">IFERROR(__xludf.DUMMYFUNCTION("""COMPUTED_VALUE"""),"735 SNE")</f>
        <v>735 SNE</v>
      </c>
      <c r="H2296" s="164" t="str">
        <f ca="1">IFERROR(__xludf.DUMMYFUNCTION("""COMPUTED_VALUE"""),"HERALD R. TAMBAL")</f>
        <v>HERALD R. TAMBAL</v>
      </c>
      <c r="I2296" s="164" t="str">
        <f ca="1">IFERROR(__xludf.DUMMYFUNCTION("""COMPUTED_VALUE"""),"PARPO II")</f>
        <v>PARPO II</v>
      </c>
      <c r="J2296" s="164" t="str">
        <f ca="1">IFERROR(__xludf.DUMMYFUNCTION("""COMPUTED_VALUE"""),"DAR-MBT-101163-MV-MC-005")</f>
        <v>DAR-MBT-101163-MV-MC-005</v>
      </c>
      <c r="K2296" s="164" t="str">
        <f ca="1">IFERROR(__xludf.DUMMYFUNCTION("""COMPUTED_VALUE"""),"ELEANOR TORRES")</f>
        <v>ELEANOR TORRES</v>
      </c>
      <c r="L2296" s="164" t="str">
        <f ca="1">IFERROR(__xludf.DUMMYFUNCTION("""COMPUTED_VALUE"""),"DARPO")</f>
        <v>DARPO</v>
      </c>
      <c r="M2296" s="164" t="str">
        <f ca="1">IFERROR(__xludf.DUMMYFUNCTION("""COMPUTED_VALUE"""),"SERVICEABLE")</f>
        <v>SERVICEABLE</v>
      </c>
      <c r="N2296" s="164"/>
    </row>
    <row r="2297" spans="1:14" ht="13.2" hidden="1">
      <c r="A2297" s="164" t="str">
        <f ca="1">IFERROR(__xludf.DUMMYFUNCTION("""COMPUTED_VALUE"""),"REGION V")</f>
        <v>REGION V</v>
      </c>
      <c r="B2297" s="164" t="str">
        <f ca="1">IFERROR(__xludf.DUMMYFUNCTION("""COMPUTED_VALUE"""),"MASBATE")</f>
        <v>MASBATE</v>
      </c>
      <c r="C2297" s="164" t="str">
        <f ca="1">IFERROR(__xludf.DUMMYFUNCTION("""COMPUTED_VALUE"""),"Motorcycle – (Honda XRL 150)")</f>
        <v>Motorcycle – (Honda XRL 150)</v>
      </c>
      <c r="D2297" s="164" t="str">
        <f ca="1">IFERROR(__xludf.DUMMYFUNCTION("""COMPUTED_VALUE"""),"₱ 124,900.00")</f>
        <v>₱ 124,900.00</v>
      </c>
      <c r="E2297" s="164"/>
      <c r="F2297" s="164" t="str">
        <f ca="1">IFERROR(__xludf.DUMMYFUNCTION("""COMPUTED_VALUE"""),"2023-05-SPMV-006
 2023-06-01-10202SP185-01")</f>
        <v>2023-05-SPMV-006
 2023-06-01-10202SP185-01</v>
      </c>
      <c r="G2297" s="164" t="str">
        <f ca="1">IFERROR(__xludf.DUMMYFUNCTION("""COMPUTED_VALUE"""),"736 SNE")</f>
        <v>736 SNE</v>
      </c>
      <c r="H2297" s="164" t="str">
        <f ca="1">IFERROR(__xludf.DUMMYFUNCTION("""COMPUTED_VALUE"""),"HERALD R. TAMBAL")</f>
        <v>HERALD R. TAMBAL</v>
      </c>
      <c r="I2297" s="164" t="str">
        <f ca="1">IFERROR(__xludf.DUMMYFUNCTION("""COMPUTED_VALUE"""),"PARPO II")</f>
        <v>PARPO II</v>
      </c>
      <c r="J2297" s="164" t="str">
        <f ca="1">IFERROR(__xludf.DUMMYFUNCTION("""COMPUTED_VALUE"""),"DAR-MBT-101163-MV-MC-006")</f>
        <v>DAR-MBT-101163-MV-MC-006</v>
      </c>
      <c r="K2297" s="164" t="str">
        <f ca="1">IFERROR(__xludf.DUMMYFUNCTION("""COMPUTED_VALUE"""),"ELEANOR TORRES")</f>
        <v>ELEANOR TORRES</v>
      </c>
      <c r="L2297" s="164" t="str">
        <f ca="1">IFERROR(__xludf.DUMMYFUNCTION("""COMPUTED_VALUE"""),"DARPO")</f>
        <v>DARPO</v>
      </c>
      <c r="M2297" s="164" t="str">
        <f ca="1">IFERROR(__xludf.DUMMYFUNCTION("""COMPUTED_VALUE"""),"SERVICEABLE")</f>
        <v>SERVICEABLE</v>
      </c>
      <c r="N2297" s="164"/>
    </row>
    <row r="2298" spans="1:14" ht="13.2" hidden="1">
      <c r="A2298" s="164" t="str">
        <f ca="1">IFERROR(__xludf.DUMMYFUNCTION("""COMPUTED_VALUE"""),"REGION V")</f>
        <v>REGION V</v>
      </c>
      <c r="B2298" s="164" t="str">
        <f ca="1">IFERROR(__xludf.DUMMYFUNCTION("""COMPUTED_VALUE"""),"MASBATE")</f>
        <v>MASBATE</v>
      </c>
      <c r="C2298" s="164" t="str">
        <f ca="1">IFERROR(__xludf.DUMMYFUNCTION("""COMPUTED_VALUE"""),"Motorcycle – (Honda XRL 150)")</f>
        <v>Motorcycle – (Honda XRL 150)</v>
      </c>
      <c r="D2298" s="164" t="str">
        <f ca="1">IFERROR(__xludf.DUMMYFUNCTION("""COMPUTED_VALUE"""),"₱ 124,900.00")</f>
        <v>₱ 124,900.00</v>
      </c>
      <c r="E2298" s="164"/>
      <c r="F2298" s="164" t="str">
        <f ca="1">IFERROR(__xludf.DUMMYFUNCTION("""COMPUTED_VALUE"""),"2023-05-SPMV-007
 2023-06-01-10202SP187-01")</f>
        <v>2023-05-SPMV-007
 2023-06-01-10202SP187-01</v>
      </c>
      <c r="G2298" s="164" t="str">
        <f ca="1">IFERROR(__xludf.DUMMYFUNCTION("""COMPUTED_VALUE"""),"738 SNE")</f>
        <v>738 SNE</v>
      </c>
      <c r="H2298" s="164" t="str">
        <f ca="1">IFERROR(__xludf.DUMMYFUNCTION("""COMPUTED_VALUE"""),"HERALD R. TAMBAL")</f>
        <v>HERALD R. TAMBAL</v>
      </c>
      <c r="I2298" s="164" t="str">
        <f ca="1">IFERROR(__xludf.DUMMYFUNCTION("""COMPUTED_VALUE"""),"PARPO II")</f>
        <v>PARPO II</v>
      </c>
      <c r="J2298" s="164" t="str">
        <f ca="1">IFERROR(__xludf.DUMMYFUNCTION("""COMPUTED_VALUE"""),"DAR-MBT-101163-MV-MC-007")</f>
        <v>DAR-MBT-101163-MV-MC-007</v>
      </c>
      <c r="K2298" s="164" t="str">
        <f ca="1">IFERROR(__xludf.DUMMYFUNCTION("""COMPUTED_VALUE"""),"ELEANOR TORRES")</f>
        <v>ELEANOR TORRES</v>
      </c>
      <c r="L2298" s="164" t="str">
        <f ca="1">IFERROR(__xludf.DUMMYFUNCTION("""COMPUTED_VALUE"""),"DARPO")</f>
        <v>DARPO</v>
      </c>
      <c r="M2298" s="164" t="str">
        <f ca="1">IFERROR(__xludf.DUMMYFUNCTION("""COMPUTED_VALUE"""),"SERVICEABLE")</f>
        <v>SERVICEABLE</v>
      </c>
      <c r="N2298" s="164"/>
    </row>
    <row r="2299" spans="1:14" ht="13.2" hidden="1">
      <c r="A2299" s="164" t="str">
        <f ca="1">IFERROR(__xludf.DUMMYFUNCTION("""COMPUTED_VALUE"""),"REGION V")</f>
        <v>REGION V</v>
      </c>
      <c r="B2299" s="164" t="str">
        <f ca="1">IFERROR(__xludf.DUMMYFUNCTION("""COMPUTED_VALUE"""),"MASBATE")</f>
        <v>MASBATE</v>
      </c>
      <c r="C2299" s="164" t="str">
        <f ca="1">IFERROR(__xludf.DUMMYFUNCTION("""COMPUTED_VALUE"""),"Motorcycle – (Honda XRL 150)")</f>
        <v>Motorcycle – (Honda XRL 150)</v>
      </c>
      <c r="D2299" s="164" t="str">
        <f ca="1">IFERROR(__xludf.DUMMYFUNCTION("""COMPUTED_VALUE"""),"₱ 124,900.00")</f>
        <v>₱ 124,900.00</v>
      </c>
      <c r="E2299" s="164"/>
      <c r="F2299" s="164" t="str">
        <f ca="1">IFERROR(__xludf.DUMMYFUNCTION("""COMPUTED_VALUE"""),"2023-05-SPMV-008
 2023-06-01-10202SP188-01")</f>
        <v>2023-05-SPMV-008
 2023-06-01-10202SP188-01</v>
      </c>
      <c r="G2299" s="164" t="str">
        <f ca="1">IFERROR(__xludf.DUMMYFUNCTION("""COMPUTED_VALUE"""),"739SNE")</f>
        <v>739SNE</v>
      </c>
      <c r="H2299" s="164" t="str">
        <f ca="1">IFERROR(__xludf.DUMMYFUNCTION("""COMPUTED_VALUE"""),"HERALD R. TAMBAL")</f>
        <v>HERALD R. TAMBAL</v>
      </c>
      <c r="I2299" s="164" t="str">
        <f ca="1">IFERROR(__xludf.DUMMYFUNCTION("""COMPUTED_VALUE"""),"PARPO II")</f>
        <v>PARPO II</v>
      </c>
      <c r="J2299" s="164" t="str">
        <f ca="1">IFERROR(__xludf.DUMMYFUNCTION("""COMPUTED_VALUE"""),"DAR-MBT-101163-MV-MC-008")</f>
        <v>DAR-MBT-101163-MV-MC-008</v>
      </c>
      <c r="K2299" s="164" t="str">
        <f ca="1">IFERROR(__xludf.DUMMYFUNCTION("""COMPUTED_VALUE"""),"ELEANOR TORRES")</f>
        <v>ELEANOR TORRES</v>
      </c>
      <c r="L2299" s="164" t="str">
        <f ca="1">IFERROR(__xludf.DUMMYFUNCTION("""COMPUTED_VALUE"""),"DARPO")</f>
        <v>DARPO</v>
      </c>
      <c r="M2299" s="164" t="str">
        <f ca="1">IFERROR(__xludf.DUMMYFUNCTION("""COMPUTED_VALUE"""),"SERVICEABLE")</f>
        <v>SERVICEABLE</v>
      </c>
      <c r="N2299" s="164"/>
    </row>
    <row r="2300" spans="1:14" ht="13.2" hidden="1">
      <c r="A2300" s="164" t="str">
        <f ca="1">IFERROR(__xludf.DUMMYFUNCTION("""COMPUTED_VALUE"""),"REGION V")</f>
        <v>REGION V</v>
      </c>
      <c r="B2300" s="164" t="str">
        <f ca="1">IFERROR(__xludf.DUMMYFUNCTION("""COMPUTED_VALUE"""),"MASBATE")</f>
        <v>MASBATE</v>
      </c>
      <c r="C2300" s="164" t="str">
        <f ca="1">IFERROR(__xludf.DUMMYFUNCTION("""COMPUTED_VALUE"""),"Motorcycle – (Honda XRL 150)")</f>
        <v>Motorcycle – (Honda XRL 150)</v>
      </c>
      <c r="D2300" s="164" t="str">
        <f ca="1">IFERROR(__xludf.DUMMYFUNCTION("""COMPUTED_VALUE"""),"₱ 124,900.00")</f>
        <v>₱ 124,900.00</v>
      </c>
      <c r="E2300" s="164"/>
      <c r="F2300" s="164" t="str">
        <f ca="1">IFERROR(__xludf.DUMMYFUNCTION("""COMPUTED_VALUE"""),"2023-05-SPMV-009
 2023-06-01-10202SP197-01")</f>
        <v>2023-05-SPMV-009
 2023-06-01-10202SP197-01</v>
      </c>
      <c r="G2300" s="164" t="str">
        <f ca="1">IFERROR(__xludf.DUMMYFUNCTION("""COMPUTED_VALUE"""),"748 SNE")</f>
        <v>748 SNE</v>
      </c>
      <c r="H2300" s="164" t="str">
        <f ca="1">IFERROR(__xludf.DUMMYFUNCTION("""COMPUTED_VALUE"""),"HERALD R. TAMBAL")</f>
        <v>HERALD R. TAMBAL</v>
      </c>
      <c r="I2300" s="164" t="str">
        <f ca="1">IFERROR(__xludf.DUMMYFUNCTION("""COMPUTED_VALUE"""),"PARPO II")</f>
        <v>PARPO II</v>
      </c>
      <c r="J2300" s="164" t="str">
        <f ca="1">IFERROR(__xludf.DUMMYFUNCTION("""COMPUTED_VALUE"""),"DAR-MBT-101163-MV-MC-009")</f>
        <v>DAR-MBT-101163-MV-MC-009</v>
      </c>
      <c r="K2300" s="164" t="str">
        <f ca="1">IFERROR(__xludf.DUMMYFUNCTION("""COMPUTED_VALUE"""),"ELEANOR TORRES")</f>
        <v>ELEANOR TORRES</v>
      </c>
      <c r="L2300" s="164" t="str">
        <f ca="1">IFERROR(__xludf.DUMMYFUNCTION("""COMPUTED_VALUE"""),"DARPO")</f>
        <v>DARPO</v>
      </c>
      <c r="M2300" s="164" t="str">
        <f ca="1">IFERROR(__xludf.DUMMYFUNCTION("""COMPUTED_VALUE"""),"SERVICEABLE")</f>
        <v>SERVICEABLE</v>
      </c>
      <c r="N2300" s="164"/>
    </row>
    <row r="2301" spans="1:14" ht="13.2" hidden="1">
      <c r="A2301" s="164" t="str">
        <f ca="1">IFERROR(__xludf.DUMMYFUNCTION("""COMPUTED_VALUE"""),"REGION V")</f>
        <v>REGION V</v>
      </c>
      <c r="B2301" s="164" t="str">
        <f ca="1">IFERROR(__xludf.DUMMYFUNCTION("""COMPUTED_VALUE"""),"MASBATE")</f>
        <v>MASBATE</v>
      </c>
      <c r="C2301" s="164" t="str">
        <f ca="1">IFERROR(__xludf.DUMMYFUNCTION("""COMPUTED_VALUE"""),"Motorcycle – (Honda XRL 150)")</f>
        <v>Motorcycle – (Honda XRL 150)</v>
      </c>
      <c r="D2301" s="164" t="str">
        <f ca="1">IFERROR(__xludf.DUMMYFUNCTION("""COMPUTED_VALUE"""),"₱ 124,900.00")</f>
        <v>₱ 124,900.00</v>
      </c>
      <c r="E2301" s="164"/>
      <c r="F2301" s="164" t="str">
        <f ca="1">IFERROR(__xludf.DUMMYFUNCTION("""COMPUTED_VALUE"""),"2023-05-SPMV-010
 2023-06-01-10202SP200-01")</f>
        <v>2023-05-SPMV-010
 2023-06-01-10202SP200-01</v>
      </c>
      <c r="G2301" s="164" t="str">
        <f ca="1">IFERROR(__xludf.DUMMYFUNCTION("""COMPUTED_VALUE"""),"751 SNE")</f>
        <v>751 SNE</v>
      </c>
      <c r="H2301" s="164" t="str">
        <f ca="1">IFERROR(__xludf.DUMMYFUNCTION("""COMPUTED_VALUE"""),"HERALD R. TAMBAL")</f>
        <v>HERALD R. TAMBAL</v>
      </c>
      <c r="I2301" s="164" t="str">
        <f ca="1">IFERROR(__xludf.DUMMYFUNCTION("""COMPUTED_VALUE"""),"PARPO II")</f>
        <v>PARPO II</v>
      </c>
      <c r="J2301" s="164" t="str">
        <f ca="1">IFERROR(__xludf.DUMMYFUNCTION("""COMPUTED_VALUE"""),"DAR-MBT-101163-MV-MC-010")</f>
        <v>DAR-MBT-101163-MV-MC-010</v>
      </c>
      <c r="K2301" s="164" t="str">
        <f ca="1">IFERROR(__xludf.DUMMYFUNCTION("""COMPUTED_VALUE"""),"ELEANOR TORRES")</f>
        <v>ELEANOR TORRES</v>
      </c>
      <c r="L2301" s="164" t="str">
        <f ca="1">IFERROR(__xludf.DUMMYFUNCTION("""COMPUTED_VALUE"""),"DARPO")</f>
        <v>DARPO</v>
      </c>
      <c r="M2301" s="164" t="str">
        <f ca="1">IFERROR(__xludf.DUMMYFUNCTION("""COMPUTED_VALUE"""),"SERVICEABLE")</f>
        <v>SERVICEABLE</v>
      </c>
      <c r="N2301" s="164"/>
    </row>
    <row r="2302" spans="1:14" ht="13.2" hidden="1">
      <c r="A2302" s="164" t="str">
        <f ca="1">IFERROR(__xludf.DUMMYFUNCTION("""COMPUTED_VALUE"""),"REGION V")</f>
        <v>REGION V</v>
      </c>
      <c r="B2302" s="164" t="str">
        <f ca="1">IFERROR(__xludf.DUMMYFUNCTION("""COMPUTED_VALUE"""),"MASBATE")</f>
        <v>MASBATE</v>
      </c>
      <c r="C2302" s="164" t="str">
        <f ca="1">IFERROR(__xludf.DUMMYFUNCTION("""COMPUTED_VALUE"""),"Motorcycle – (Honda XRL 150)")</f>
        <v>Motorcycle – (Honda XRL 150)</v>
      </c>
      <c r="D2302" s="164" t="str">
        <f ca="1">IFERROR(__xludf.DUMMYFUNCTION("""COMPUTED_VALUE"""),"₱ 124,900.00")</f>
        <v>₱ 124,900.00</v>
      </c>
      <c r="E2302" s="164"/>
      <c r="F2302" s="164" t="str">
        <f ca="1">IFERROR(__xludf.DUMMYFUNCTION("""COMPUTED_VALUE"""),"2023-05-SPMV-011
 2023-06-01-10202SP202-01")</f>
        <v>2023-05-SPMV-011
 2023-06-01-10202SP202-01</v>
      </c>
      <c r="G2302" s="164" t="str">
        <f ca="1">IFERROR(__xludf.DUMMYFUNCTION("""COMPUTED_VALUE"""),"753 SNE")</f>
        <v>753 SNE</v>
      </c>
      <c r="H2302" s="164" t="str">
        <f ca="1">IFERROR(__xludf.DUMMYFUNCTION("""COMPUTED_VALUE"""),"HERALD R. TAMBAL")</f>
        <v>HERALD R. TAMBAL</v>
      </c>
      <c r="I2302" s="164" t="str">
        <f ca="1">IFERROR(__xludf.DUMMYFUNCTION("""COMPUTED_VALUE"""),"PARPO II")</f>
        <v>PARPO II</v>
      </c>
      <c r="J2302" s="164" t="str">
        <f ca="1">IFERROR(__xludf.DUMMYFUNCTION("""COMPUTED_VALUE"""),"DAR-MBT-101163-MV-MC-011")</f>
        <v>DAR-MBT-101163-MV-MC-011</v>
      </c>
      <c r="K2302" s="164" t="str">
        <f ca="1">IFERROR(__xludf.DUMMYFUNCTION("""COMPUTED_VALUE"""),"ELEANOR TORRES")</f>
        <v>ELEANOR TORRES</v>
      </c>
      <c r="L2302" s="164" t="str">
        <f ca="1">IFERROR(__xludf.DUMMYFUNCTION("""COMPUTED_VALUE"""),"DARPO")</f>
        <v>DARPO</v>
      </c>
      <c r="M2302" s="164" t="str">
        <f ca="1">IFERROR(__xludf.DUMMYFUNCTION("""COMPUTED_VALUE"""),"SERVICEABLE")</f>
        <v>SERVICEABLE</v>
      </c>
      <c r="N2302" s="164"/>
    </row>
    <row r="2303" spans="1:14" ht="13.2" hidden="1">
      <c r="A2303" s="164" t="str">
        <f ca="1">IFERROR(__xludf.DUMMYFUNCTION("""COMPUTED_VALUE"""),"REGION V")</f>
        <v>REGION V</v>
      </c>
      <c r="B2303" s="164" t="str">
        <f ca="1">IFERROR(__xludf.DUMMYFUNCTION("""COMPUTED_VALUE"""),"MASBATE")</f>
        <v>MASBATE</v>
      </c>
      <c r="C2303" s="164" t="str">
        <f ca="1">IFERROR(__xludf.DUMMYFUNCTION("""COMPUTED_VALUE"""),"Motorcycle – (Honda XRL 150)")</f>
        <v>Motorcycle – (Honda XRL 150)</v>
      </c>
      <c r="D2303" s="164" t="str">
        <f ca="1">IFERROR(__xludf.DUMMYFUNCTION("""COMPUTED_VALUE"""),"₱ 124,900.00")</f>
        <v>₱ 124,900.00</v>
      </c>
      <c r="E2303" s="164"/>
      <c r="F2303" s="164" t="str">
        <f ca="1">IFERROR(__xludf.DUMMYFUNCTION("""COMPUTED_VALUE"""),"2023-05-SPMV-012
 2023-06-01-10202SP207-01")</f>
        <v>2023-05-SPMV-012
 2023-06-01-10202SP207-01</v>
      </c>
      <c r="G2303" s="164" t="str">
        <f ca="1">IFERROR(__xludf.DUMMYFUNCTION("""COMPUTED_VALUE"""),"758 SNE")</f>
        <v>758 SNE</v>
      </c>
      <c r="H2303" s="164" t="str">
        <f ca="1">IFERROR(__xludf.DUMMYFUNCTION("""COMPUTED_VALUE"""),"HERALD R. TAMBAL")</f>
        <v>HERALD R. TAMBAL</v>
      </c>
      <c r="I2303" s="164" t="str">
        <f ca="1">IFERROR(__xludf.DUMMYFUNCTION("""COMPUTED_VALUE"""),"PARPO II")</f>
        <v>PARPO II</v>
      </c>
      <c r="J2303" s="164" t="str">
        <f ca="1">IFERROR(__xludf.DUMMYFUNCTION("""COMPUTED_VALUE"""),"DAR-MBT-101163-MV-MC-012")</f>
        <v>DAR-MBT-101163-MV-MC-012</v>
      </c>
      <c r="K2303" s="164" t="str">
        <f ca="1">IFERROR(__xludf.DUMMYFUNCTION("""COMPUTED_VALUE"""),"ELEANOR TORRES")</f>
        <v>ELEANOR TORRES</v>
      </c>
      <c r="L2303" s="164" t="str">
        <f ca="1">IFERROR(__xludf.DUMMYFUNCTION("""COMPUTED_VALUE"""),"DARPO")</f>
        <v>DARPO</v>
      </c>
      <c r="M2303" s="164" t="str">
        <f ca="1">IFERROR(__xludf.DUMMYFUNCTION("""COMPUTED_VALUE"""),"SERVICEABLE")</f>
        <v>SERVICEABLE</v>
      </c>
      <c r="N2303" s="164"/>
    </row>
    <row r="2304" spans="1:14" ht="13.2" hidden="1">
      <c r="A2304" s="164" t="str">
        <f ca="1">IFERROR(__xludf.DUMMYFUNCTION("""COMPUTED_VALUE"""),"REGION V")</f>
        <v>REGION V</v>
      </c>
      <c r="B2304" s="164" t="str">
        <f ca="1">IFERROR(__xludf.DUMMYFUNCTION("""COMPUTED_VALUE"""),"MASBATE")</f>
        <v>MASBATE</v>
      </c>
      <c r="C2304" s="164" t="str">
        <f ca="1">IFERROR(__xludf.DUMMYFUNCTION("""COMPUTED_VALUE"""),"Motorcycle – (Honda XRL 150)")</f>
        <v>Motorcycle – (Honda XRL 150)</v>
      </c>
      <c r="D2304" s="164" t="str">
        <f ca="1">IFERROR(__xludf.DUMMYFUNCTION("""COMPUTED_VALUE"""),"₱ 124,900.00")</f>
        <v>₱ 124,900.00</v>
      </c>
      <c r="E2304" s="164"/>
      <c r="F2304" s="164" t="str">
        <f ca="1">IFERROR(__xludf.DUMMYFUNCTION("""COMPUTED_VALUE"""),"2023-05-SPMV-013
 2023-06-01-10202SP209-01")</f>
        <v>2023-05-SPMV-013
 2023-06-01-10202SP209-01</v>
      </c>
      <c r="G2304" s="164" t="str">
        <f ca="1">IFERROR(__xludf.DUMMYFUNCTION("""COMPUTED_VALUE"""),"760 SNE")</f>
        <v>760 SNE</v>
      </c>
      <c r="H2304" s="164" t="str">
        <f ca="1">IFERROR(__xludf.DUMMYFUNCTION("""COMPUTED_VALUE"""),"HERALD R. TAMBAL")</f>
        <v>HERALD R. TAMBAL</v>
      </c>
      <c r="I2304" s="164" t="str">
        <f ca="1">IFERROR(__xludf.DUMMYFUNCTION("""COMPUTED_VALUE"""),"PARPO II")</f>
        <v>PARPO II</v>
      </c>
      <c r="J2304" s="164" t="str">
        <f ca="1">IFERROR(__xludf.DUMMYFUNCTION("""COMPUTED_VALUE"""),"DAR-MBT-101163-MV-MC-013")</f>
        <v>DAR-MBT-101163-MV-MC-013</v>
      </c>
      <c r="K2304" s="164" t="str">
        <f ca="1">IFERROR(__xludf.DUMMYFUNCTION("""COMPUTED_VALUE"""),"ELEANOR TORRES")</f>
        <v>ELEANOR TORRES</v>
      </c>
      <c r="L2304" s="164" t="str">
        <f ca="1">IFERROR(__xludf.DUMMYFUNCTION("""COMPUTED_VALUE"""),"DARPO")</f>
        <v>DARPO</v>
      </c>
      <c r="M2304" s="164" t="str">
        <f ca="1">IFERROR(__xludf.DUMMYFUNCTION("""COMPUTED_VALUE"""),"SERVICEABLE")</f>
        <v>SERVICEABLE</v>
      </c>
      <c r="N2304" s="164"/>
    </row>
    <row r="2305" spans="1:14" ht="13.2" hidden="1">
      <c r="A2305" s="164" t="str">
        <f ca="1">IFERROR(__xludf.DUMMYFUNCTION("""COMPUTED_VALUE"""),"REGION V")</f>
        <v>REGION V</v>
      </c>
      <c r="B2305" s="164" t="str">
        <f ca="1">IFERROR(__xludf.DUMMYFUNCTION("""COMPUTED_VALUE"""),"MASBATE")</f>
        <v>MASBATE</v>
      </c>
      <c r="C2305" s="164" t="str">
        <f ca="1">IFERROR(__xludf.DUMMYFUNCTION("""COMPUTED_VALUE"""),"Motorcycle – (Honda XRL 150)")</f>
        <v>Motorcycle – (Honda XRL 150)</v>
      </c>
      <c r="D2305" s="164" t="str">
        <f ca="1">IFERROR(__xludf.DUMMYFUNCTION("""COMPUTED_VALUE"""),"₱ 124,900.00")</f>
        <v>₱ 124,900.00</v>
      </c>
      <c r="E2305" s="164"/>
      <c r="F2305" s="164" t="str">
        <f ca="1">IFERROR(__xludf.DUMMYFUNCTION("""COMPUTED_VALUE"""),"2023-05-SPMV-014
 2023-06-01-10202SP217-01")</f>
        <v>2023-05-SPMV-014
 2023-06-01-10202SP217-01</v>
      </c>
      <c r="G2305" s="164" t="str">
        <f ca="1">IFERROR(__xludf.DUMMYFUNCTION("""COMPUTED_VALUE"""),"749 SNE")</f>
        <v>749 SNE</v>
      </c>
      <c r="H2305" s="164" t="str">
        <f ca="1">IFERROR(__xludf.DUMMYFUNCTION("""COMPUTED_VALUE"""),"HERALD R. TAMBAL")</f>
        <v>HERALD R. TAMBAL</v>
      </c>
      <c r="I2305" s="164" t="str">
        <f ca="1">IFERROR(__xludf.DUMMYFUNCTION("""COMPUTED_VALUE"""),"PARPO II")</f>
        <v>PARPO II</v>
      </c>
      <c r="J2305" s="164" t="str">
        <f ca="1">IFERROR(__xludf.DUMMYFUNCTION("""COMPUTED_VALUE"""),"DAR-MBT-101163-MV-MC-014")</f>
        <v>DAR-MBT-101163-MV-MC-014</v>
      </c>
      <c r="K2305" s="164" t="str">
        <f ca="1">IFERROR(__xludf.DUMMYFUNCTION("""COMPUTED_VALUE"""),"ELEANOR TORRES")</f>
        <v>ELEANOR TORRES</v>
      </c>
      <c r="L2305" s="164" t="str">
        <f ca="1">IFERROR(__xludf.DUMMYFUNCTION("""COMPUTED_VALUE"""),"DARPO")</f>
        <v>DARPO</v>
      </c>
      <c r="M2305" s="164" t="str">
        <f ca="1">IFERROR(__xludf.DUMMYFUNCTION("""COMPUTED_VALUE"""),"SERVICEABLE")</f>
        <v>SERVICEABLE</v>
      </c>
      <c r="N2305" s="164"/>
    </row>
    <row r="2306" spans="1:14" ht="13.2" hidden="1">
      <c r="A2306" s="164" t="str">
        <f ca="1">IFERROR(__xludf.DUMMYFUNCTION("""COMPUTED_VALUE"""),"REGION V")</f>
        <v>REGION V</v>
      </c>
      <c r="B2306" s="164" t="str">
        <f ca="1">IFERROR(__xludf.DUMMYFUNCTION("""COMPUTED_VALUE"""),"MASBATE")</f>
        <v>MASBATE</v>
      </c>
      <c r="C2306" s="164" t="str">
        <f ca="1">IFERROR(__xludf.DUMMYFUNCTION("""COMPUTED_VALUE"""),"Motorcycle – (Honda XRL 150)")</f>
        <v>Motorcycle – (Honda XRL 150)</v>
      </c>
      <c r="D2306" s="164" t="str">
        <f ca="1">IFERROR(__xludf.DUMMYFUNCTION("""COMPUTED_VALUE"""),"₱ 124,900.00")</f>
        <v>₱ 124,900.00</v>
      </c>
      <c r="E2306" s="164"/>
      <c r="F2306" s="164" t="str">
        <f ca="1">IFERROR(__xludf.DUMMYFUNCTION("""COMPUTED_VALUE"""),"2023-05-SPMV-015
 2023-06-01-10202SP198-01")</f>
        <v>2023-05-SPMV-015
 2023-06-01-10202SP198-01</v>
      </c>
      <c r="G2306" s="164" t="str">
        <f ca="1">IFERROR(__xludf.DUMMYFUNCTION("""COMPUTED_VALUE"""),"749 SNE")</f>
        <v>749 SNE</v>
      </c>
      <c r="H2306" s="164" t="str">
        <f ca="1">IFERROR(__xludf.DUMMYFUNCTION("""COMPUTED_VALUE"""),"HERALD R. TAMBAL")</f>
        <v>HERALD R. TAMBAL</v>
      </c>
      <c r="I2306" s="164" t="str">
        <f ca="1">IFERROR(__xludf.DUMMYFUNCTION("""COMPUTED_VALUE"""),"PARPO II")</f>
        <v>PARPO II</v>
      </c>
      <c r="J2306" s="164" t="str">
        <f ca="1">IFERROR(__xludf.DUMMYFUNCTION("""COMPUTED_VALUE"""),"DAR-MBT-101163-MV-MC-015")</f>
        <v>DAR-MBT-101163-MV-MC-015</v>
      </c>
      <c r="K2306" s="164" t="str">
        <f ca="1">IFERROR(__xludf.DUMMYFUNCTION("""COMPUTED_VALUE"""),"ELEANOR TORRES")</f>
        <v>ELEANOR TORRES</v>
      </c>
      <c r="L2306" s="164" t="str">
        <f ca="1">IFERROR(__xludf.DUMMYFUNCTION("""COMPUTED_VALUE"""),"DARPO")</f>
        <v>DARPO</v>
      </c>
      <c r="M2306" s="164" t="str">
        <f ca="1">IFERROR(__xludf.DUMMYFUNCTION("""COMPUTED_VALUE"""),"SERVICEABLE")</f>
        <v>SERVICEABLE</v>
      </c>
      <c r="N2306" s="164"/>
    </row>
    <row r="2307" spans="1:14" ht="13.2" hidden="1">
      <c r="A2307" s="164" t="str">
        <f ca="1">IFERROR(__xludf.DUMMYFUNCTION("""COMPUTED_VALUE"""),"REGION V")</f>
        <v>REGION V</v>
      </c>
      <c r="B2307" s="164" t="str">
        <f ca="1">IFERROR(__xludf.DUMMYFUNCTION("""COMPUTED_VALUE"""),"SORSOGON")</f>
        <v>SORSOGON</v>
      </c>
      <c r="C2307" s="164" t="str">
        <f ca="1">IFERROR(__xludf.DUMMYFUNCTION("""COMPUTED_VALUE"""),"Double Cabin Pick-up Vehicles – Mitsubishi Strada")</f>
        <v>Double Cabin Pick-up Vehicles – Mitsubishi Strada</v>
      </c>
      <c r="D2307" s="164" t="str">
        <f ca="1">IFERROR(__xludf.DUMMYFUNCTION("""COMPUTED_VALUE"""),"₱ 1,752,400.00")</f>
        <v>₱ 1,752,400.00</v>
      </c>
      <c r="E2307" s="164"/>
      <c r="F2307" s="164" t="str">
        <f ca="1">IFERROR(__xludf.DUMMYFUNCTION("""COMPUTED_VALUE"""),"2023-06-01-10201SP83-01")</f>
        <v>2023-06-01-10201SP83-01</v>
      </c>
      <c r="G2307" s="164" t="str">
        <f ca="1">IFERROR(__xludf.DUMMYFUNCTION("""COMPUTED_VALUE"""),"SNC 1241")</f>
        <v>SNC 1241</v>
      </c>
      <c r="H2307" s="164" t="str">
        <f ca="1">IFERROR(__xludf.DUMMYFUNCTION("""COMPUTED_VALUE"""),"TORRES, ELEANOR F.")</f>
        <v>TORRES, ELEANOR F.</v>
      </c>
      <c r="I2307" s="164"/>
      <c r="J2307" s="164" t="str">
        <f ca="1">IFERROR(__xludf.DUMMYFUNCTION("""COMPUTED_VALUE"""),"2024-008")</f>
        <v>2024-008</v>
      </c>
      <c r="K2307" s="164" t="str">
        <f ca="1">IFERROR(__xludf.DUMMYFUNCTION("""COMPUTED_VALUE"""),"NIDA A. SANTIAGO")</f>
        <v>NIDA A. SANTIAGO</v>
      </c>
      <c r="L2307" s="164" t="str">
        <f ca="1">IFERROR(__xludf.DUMMYFUNCTION("""COMPUTED_VALUE"""),"STOD-GEN. SERVICE UNIT")</f>
        <v>STOD-GEN. SERVICE UNIT</v>
      </c>
      <c r="M2307" s="164" t="str">
        <f ca="1">IFERROR(__xludf.DUMMYFUNCTION("""COMPUTED_VALUE"""),"SERVICEABLE")</f>
        <v>SERVICEABLE</v>
      </c>
      <c r="N2307" s="164"/>
    </row>
    <row r="2308" spans="1:14" ht="13.2" hidden="1">
      <c r="A2308" s="164" t="str">
        <f ca="1">IFERROR(__xludf.DUMMYFUNCTION("""COMPUTED_VALUE"""),"REGION V")</f>
        <v>REGION V</v>
      </c>
      <c r="B2308" s="164" t="str">
        <f ca="1">IFERROR(__xludf.DUMMYFUNCTION("""COMPUTED_VALUE"""),"SORSOGON")</f>
        <v>SORSOGON</v>
      </c>
      <c r="C2308" s="164" t="str">
        <f ca="1">IFERROR(__xludf.DUMMYFUNCTION("""COMPUTED_VALUE"""),"Motorcycle – (Honda XRL 150)")</f>
        <v>Motorcycle – (Honda XRL 150)</v>
      </c>
      <c r="D2308" s="164" t="str">
        <f ca="1">IFERROR(__xludf.DUMMYFUNCTION("""COMPUTED_VALUE"""),"₱ 124,900.00")</f>
        <v>₱ 124,900.00</v>
      </c>
      <c r="E2308" s="164"/>
      <c r="F2308" s="164" t="str">
        <f ca="1">IFERROR(__xludf.DUMMYFUNCTION("""COMPUTED_VALUE"""),"2023-06-01-10202-SP-204-1")</f>
        <v>2023-06-01-10202-SP-204-1</v>
      </c>
      <c r="G2308" s="164" t="str">
        <f ca="1">IFERROR(__xludf.DUMMYFUNCTION("""COMPUTED_VALUE"""),"no plate available")</f>
        <v>no plate available</v>
      </c>
      <c r="H2308" s="164" t="str">
        <f ca="1">IFERROR(__xludf.DUMMYFUNCTION("""COMPUTED_VALUE"""),"TORRES, ELEANOR F.")</f>
        <v>TORRES, ELEANOR F.</v>
      </c>
      <c r="I2308" s="164"/>
      <c r="J2308" s="164" t="str">
        <f ca="1">IFERROR(__xludf.DUMMYFUNCTION("""COMPUTED_VALUE"""),"2024-008")</f>
        <v>2024-008</v>
      </c>
      <c r="K2308" s="164" t="str">
        <f ca="1">IFERROR(__xludf.DUMMYFUNCTION("""COMPUTED_VALUE"""),"FIELD VALIDATION TEAM")</f>
        <v>FIELD VALIDATION TEAM</v>
      </c>
      <c r="L2308" s="164" t="str">
        <f ca="1">IFERROR(__xludf.DUMMYFUNCTION("""COMPUTED_VALUE"""),"STOD-GEN. SERVICE UNIT")</f>
        <v>STOD-GEN. SERVICE UNIT</v>
      </c>
      <c r="M2308" s="164" t="str">
        <f ca="1">IFERROR(__xludf.DUMMYFUNCTION("""COMPUTED_VALUE"""),"SERVICEABLE")</f>
        <v>SERVICEABLE</v>
      </c>
      <c r="N2308" s="164"/>
    </row>
    <row r="2309" spans="1:14" ht="13.2" hidden="1">
      <c r="A2309" s="164" t="str">
        <f ca="1">IFERROR(__xludf.DUMMYFUNCTION("""COMPUTED_VALUE"""),"REGION V")</f>
        <v>REGION V</v>
      </c>
      <c r="B2309" s="164" t="str">
        <f ca="1">IFERROR(__xludf.DUMMYFUNCTION("""COMPUTED_VALUE"""),"SORSOGON")</f>
        <v>SORSOGON</v>
      </c>
      <c r="C2309" s="164" t="str">
        <f ca="1">IFERROR(__xludf.DUMMYFUNCTION("""COMPUTED_VALUE"""),"Motorcycle – (Honda XRL 150)")</f>
        <v>Motorcycle – (Honda XRL 150)</v>
      </c>
      <c r="D2309" s="164" t="str">
        <f ca="1">IFERROR(__xludf.DUMMYFUNCTION("""COMPUTED_VALUE"""),"₱ 124,900.00")</f>
        <v>₱ 124,900.00</v>
      </c>
      <c r="E2309" s="164"/>
      <c r="F2309" s="164" t="str">
        <f ca="1">IFERROR(__xludf.DUMMYFUNCTION("""COMPUTED_VALUE"""),"2023-06-01-10202-SP-183-1")</f>
        <v>2023-06-01-10202-SP-183-1</v>
      </c>
      <c r="G2309" s="164" t="str">
        <f ca="1">IFERROR(__xludf.DUMMYFUNCTION("""COMPUTED_VALUE"""),"no plate available")</f>
        <v>no plate available</v>
      </c>
      <c r="H2309" s="164" t="str">
        <f ca="1">IFERROR(__xludf.DUMMYFUNCTION("""COMPUTED_VALUE"""),"TORRES, ELEANOR F.")</f>
        <v>TORRES, ELEANOR F.</v>
      </c>
      <c r="I2309" s="164"/>
      <c r="J2309" s="164" t="str">
        <f ca="1">IFERROR(__xludf.DUMMYFUNCTION("""COMPUTED_VALUE"""),"2024-008")</f>
        <v>2024-008</v>
      </c>
      <c r="K2309" s="164" t="str">
        <f ca="1">IFERROR(__xludf.DUMMYFUNCTION("""COMPUTED_VALUE"""),"FIELD VALIDATION TEAM")</f>
        <v>FIELD VALIDATION TEAM</v>
      </c>
      <c r="L2309" s="164" t="str">
        <f ca="1">IFERROR(__xludf.DUMMYFUNCTION("""COMPUTED_VALUE"""),"STOD-GEN. SERVICE UNIT")</f>
        <v>STOD-GEN. SERVICE UNIT</v>
      </c>
      <c r="M2309" s="164" t="str">
        <f ca="1">IFERROR(__xludf.DUMMYFUNCTION("""COMPUTED_VALUE"""),"SERVICEABLE")</f>
        <v>SERVICEABLE</v>
      </c>
      <c r="N2309" s="164"/>
    </row>
    <row r="2310" spans="1:14" ht="13.2" hidden="1">
      <c r="A2310" s="164" t="str">
        <f ca="1">IFERROR(__xludf.DUMMYFUNCTION("""COMPUTED_VALUE"""),"REGION V")</f>
        <v>REGION V</v>
      </c>
      <c r="B2310" s="164" t="str">
        <f ca="1">IFERROR(__xludf.DUMMYFUNCTION("""COMPUTED_VALUE"""),"SORSOGON")</f>
        <v>SORSOGON</v>
      </c>
      <c r="C2310" s="164" t="str">
        <f ca="1">IFERROR(__xludf.DUMMYFUNCTION("""COMPUTED_VALUE"""),"Motorcycle – (Honda XRL 150)")</f>
        <v>Motorcycle – (Honda XRL 150)</v>
      </c>
      <c r="D2310" s="164" t="str">
        <f ca="1">IFERROR(__xludf.DUMMYFUNCTION("""COMPUTED_VALUE"""),"₱ 124,900.00")</f>
        <v>₱ 124,900.00</v>
      </c>
      <c r="E2310" s="164"/>
      <c r="F2310" s="164" t="str">
        <f ca="1">IFERROR(__xludf.DUMMYFUNCTION("""COMPUTED_VALUE"""),"2023-06-01-10202-SP-182-1")</f>
        <v>2023-06-01-10202-SP-182-1</v>
      </c>
      <c r="G2310" s="164" t="str">
        <f ca="1">IFERROR(__xludf.DUMMYFUNCTION("""COMPUTED_VALUE"""),"no plate available")</f>
        <v>no plate available</v>
      </c>
      <c r="H2310" s="164" t="str">
        <f ca="1">IFERROR(__xludf.DUMMYFUNCTION("""COMPUTED_VALUE"""),"TORRES, ELEANOR F.")</f>
        <v>TORRES, ELEANOR F.</v>
      </c>
      <c r="I2310" s="164"/>
      <c r="J2310" s="164" t="str">
        <f ca="1">IFERROR(__xludf.DUMMYFUNCTION("""COMPUTED_VALUE"""),"2024-008")</f>
        <v>2024-008</v>
      </c>
      <c r="K2310" s="164" t="str">
        <f ca="1">IFERROR(__xludf.DUMMYFUNCTION("""COMPUTED_VALUE"""),"FIELD VALIDATION TEAM")</f>
        <v>FIELD VALIDATION TEAM</v>
      </c>
      <c r="L2310" s="164" t="str">
        <f ca="1">IFERROR(__xludf.DUMMYFUNCTION("""COMPUTED_VALUE"""),"STOD-GEN. SERVICE UNIT")</f>
        <v>STOD-GEN. SERVICE UNIT</v>
      </c>
      <c r="M2310" s="164" t="str">
        <f ca="1">IFERROR(__xludf.DUMMYFUNCTION("""COMPUTED_VALUE"""),"SERVICEABLE")</f>
        <v>SERVICEABLE</v>
      </c>
      <c r="N2310" s="164"/>
    </row>
    <row r="2311" spans="1:14" ht="13.2" hidden="1">
      <c r="A2311" s="164" t="str">
        <f ca="1">IFERROR(__xludf.DUMMYFUNCTION("""COMPUTED_VALUE"""),"REGION V")</f>
        <v>REGION V</v>
      </c>
      <c r="B2311" s="164" t="str">
        <f ca="1">IFERROR(__xludf.DUMMYFUNCTION("""COMPUTED_VALUE"""),"SORSOGON")</f>
        <v>SORSOGON</v>
      </c>
      <c r="C2311" s="164" t="str">
        <f ca="1">IFERROR(__xludf.DUMMYFUNCTION("""COMPUTED_VALUE"""),"Motorcycle – (Honda XRL 150)")</f>
        <v>Motorcycle – (Honda XRL 150)</v>
      </c>
      <c r="D2311" s="164" t="str">
        <f ca="1">IFERROR(__xludf.DUMMYFUNCTION("""COMPUTED_VALUE"""),"₱ 124,900.00")</f>
        <v>₱ 124,900.00</v>
      </c>
      <c r="E2311" s="164"/>
      <c r="F2311" s="164" t="str">
        <f ca="1">IFERROR(__xludf.DUMMYFUNCTION("""COMPUTED_VALUE"""),"2023-06-01-10202-SP-206-1")</f>
        <v>2023-06-01-10202-SP-206-1</v>
      </c>
      <c r="G2311" s="164" t="str">
        <f ca="1">IFERROR(__xludf.DUMMYFUNCTION("""COMPUTED_VALUE"""),"no plate available")</f>
        <v>no plate available</v>
      </c>
      <c r="H2311" s="164" t="str">
        <f ca="1">IFERROR(__xludf.DUMMYFUNCTION("""COMPUTED_VALUE"""),"TORRES, ELEANOR F.")</f>
        <v>TORRES, ELEANOR F.</v>
      </c>
      <c r="I2311" s="164"/>
      <c r="J2311" s="164" t="str">
        <f ca="1">IFERROR(__xludf.DUMMYFUNCTION("""COMPUTED_VALUE"""),"2024-008")</f>
        <v>2024-008</v>
      </c>
      <c r="K2311" s="164" t="str">
        <f ca="1">IFERROR(__xludf.DUMMYFUNCTION("""COMPUTED_VALUE"""),"FIELD VALIDATION TEAM")</f>
        <v>FIELD VALIDATION TEAM</v>
      </c>
      <c r="L2311" s="164" t="str">
        <f ca="1">IFERROR(__xludf.DUMMYFUNCTION("""COMPUTED_VALUE"""),"STOD-GEN. SERVICE UNIT")</f>
        <v>STOD-GEN. SERVICE UNIT</v>
      </c>
      <c r="M2311" s="164" t="str">
        <f ca="1">IFERROR(__xludf.DUMMYFUNCTION("""COMPUTED_VALUE"""),"SERVICEABLE")</f>
        <v>SERVICEABLE</v>
      </c>
      <c r="N2311" s="164"/>
    </row>
    <row r="2312" spans="1:14" ht="13.2" hidden="1">
      <c r="A2312" s="164" t="str">
        <f ca="1">IFERROR(__xludf.DUMMYFUNCTION("""COMPUTED_VALUE"""),"REGION V")</f>
        <v>REGION V</v>
      </c>
      <c r="B2312" s="164" t="str">
        <f ca="1">IFERROR(__xludf.DUMMYFUNCTION("""COMPUTED_VALUE"""),"SORSOGON")</f>
        <v>SORSOGON</v>
      </c>
      <c r="C2312" s="164" t="str">
        <f ca="1">IFERROR(__xludf.DUMMYFUNCTION("""COMPUTED_VALUE"""),"Motorcycle – (Honda XRL 150)")</f>
        <v>Motorcycle – (Honda XRL 150)</v>
      </c>
      <c r="D2312" s="164" t="str">
        <f ca="1">IFERROR(__xludf.DUMMYFUNCTION("""COMPUTED_VALUE"""),"₱ 124,900.00")</f>
        <v>₱ 124,900.00</v>
      </c>
      <c r="E2312" s="164"/>
      <c r="F2312" s="164" t="str">
        <f ca="1">IFERROR(__xludf.DUMMYFUNCTION("""COMPUTED_VALUE"""),"2023-06-01-10202-SP-199-1")</f>
        <v>2023-06-01-10202-SP-199-1</v>
      </c>
      <c r="G2312" s="164" t="str">
        <f ca="1">IFERROR(__xludf.DUMMYFUNCTION("""COMPUTED_VALUE"""),"no plate available")</f>
        <v>no plate available</v>
      </c>
      <c r="H2312" s="164" t="str">
        <f ca="1">IFERROR(__xludf.DUMMYFUNCTION("""COMPUTED_VALUE"""),"TORRES, ELEANOR F.")</f>
        <v>TORRES, ELEANOR F.</v>
      </c>
      <c r="I2312" s="164"/>
      <c r="J2312" s="164" t="str">
        <f ca="1">IFERROR(__xludf.DUMMYFUNCTION("""COMPUTED_VALUE"""),"2024-008")</f>
        <v>2024-008</v>
      </c>
      <c r="K2312" s="164" t="str">
        <f ca="1">IFERROR(__xludf.DUMMYFUNCTION("""COMPUTED_VALUE"""),"FIELD VALIDATION TEAM")</f>
        <v>FIELD VALIDATION TEAM</v>
      </c>
      <c r="L2312" s="164" t="str">
        <f ca="1">IFERROR(__xludf.DUMMYFUNCTION("""COMPUTED_VALUE"""),"STOD-GEN. SERVICE UNIT")</f>
        <v>STOD-GEN. SERVICE UNIT</v>
      </c>
      <c r="M2312" s="164" t="str">
        <f ca="1">IFERROR(__xludf.DUMMYFUNCTION("""COMPUTED_VALUE"""),"SERVICEABLE")</f>
        <v>SERVICEABLE</v>
      </c>
      <c r="N2312" s="164"/>
    </row>
    <row r="2313" spans="1:14" ht="13.2" hidden="1">
      <c r="A2313" s="164" t="str">
        <f ca="1">IFERROR(__xludf.DUMMYFUNCTION("""COMPUTED_VALUE"""),"REGION V")</f>
        <v>REGION V</v>
      </c>
      <c r="B2313" s="164"/>
      <c r="C2313" s="164" t="str">
        <f ca="1">IFERROR(__xludf.DUMMYFUNCTION("""COMPUTED_VALUE"""),"Double Cabin Pick-up Vehicles – Mitsubishi Strada")</f>
        <v>Double Cabin Pick-up Vehicles – Mitsubishi Strada</v>
      </c>
      <c r="D2313" s="164" t="str">
        <f ca="1">IFERROR(__xludf.DUMMYFUNCTION("""COMPUTED_VALUE"""),"₱ 1,752,400.00")</f>
        <v>₱ 1,752,400.00</v>
      </c>
      <c r="E2313" s="164"/>
      <c r="F2313" s="164" t="str">
        <f ca="1">IFERROR(__xludf.DUMMYFUNCTION("""COMPUTED_VALUE"""),"2023-06-01-10201SP11-01")</f>
        <v>2023-06-01-10201SP11-01</v>
      </c>
      <c r="G2313" s="164" t="str">
        <f ca="1">IFERROR(__xludf.DUMMYFUNCTION("""COMPUTED_VALUE"""),"Y3-B064/SNC 1057/NFX 1715")</f>
        <v>Y3-B064/SNC 1057/NFX 1715</v>
      </c>
      <c r="H2313" s="164" t="str">
        <f ca="1">IFERROR(__xludf.DUMMYFUNCTION("""COMPUTED_VALUE"""),"RODRIGO REALUBIT")</f>
        <v>RODRIGO REALUBIT</v>
      </c>
      <c r="I2313" s="164" t="str">
        <f ca="1">IFERROR(__xludf.DUMMYFUNCTION("""COMPUTED_VALUE"""),"RD")</f>
        <v>RD</v>
      </c>
      <c r="J2313" s="164" t="str">
        <f ca="1">IFERROR(__xludf.DUMMYFUNCTION("""COMPUTED_VALUE"""),"2023-09-002MV")</f>
        <v>2023-09-002MV</v>
      </c>
      <c r="K2313" s="164"/>
      <c r="L2313" s="164"/>
      <c r="M2313" s="164" t="str">
        <f ca="1">IFERROR(__xludf.DUMMYFUNCTION("""COMPUTED_VALUE"""),"SERVICEABLE")</f>
        <v>SERVICEABLE</v>
      </c>
      <c r="N2313" s="164"/>
    </row>
    <row r="2314" spans="1:14" ht="13.2" hidden="1">
      <c r="A2314" s="164" t="str">
        <f ca="1">IFERROR(__xludf.DUMMYFUNCTION("""COMPUTED_VALUE"""),"Region VI")</f>
        <v>Region VI</v>
      </c>
      <c r="B2314" s="164" t="str">
        <f ca="1">IFERROR(__xludf.DUMMYFUNCTION("""COMPUTED_VALUE"""),"REGIONAL OFFICE")</f>
        <v>REGIONAL OFFICE</v>
      </c>
      <c r="C2314" s="164" t="str">
        <f ca="1">IFERROR(__xludf.DUMMYFUNCTION("""COMPUTED_VALUE"""),"REAL-TIME KINEMATIC – GEOMAX ZENITH60")</f>
        <v>REAL-TIME KINEMATIC – GEOMAX ZENITH60</v>
      </c>
      <c r="D2314" s="164" t="str">
        <f ca="1">IFERROR(__xludf.DUMMYFUNCTION("""COMPUTED_VALUE"""),"₱ 1,849,000.00")</f>
        <v>₱ 1,849,000.00</v>
      </c>
      <c r="E2314" s="164"/>
      <c r="F2314" s="164" t="str">
        <f ca="1">IFERROR(__xludf.DUMMYFUNCTION("""COMPUTED_VALUE"""),"2023-05-14-10201SP18-01")</f>
        <v>2023-05-14-10201SP18-01</v>
      </c>
      <c r="G2314" s="164"/>
      <c r="H2314" s="164" t="str">
        <f ca="1">IFERROR(__xludf.DUMMYFUNCTION("""COMPUTED_VALUE"""),"ATTY. Stephen A. Palmares. CPA")</f>
        <v>ATTY. Stephen A. Palmares. CPA</v>
      </c>
      <c r="I2314" s="164" t="str">
        <f ca="1">IFERROR(__xludf.DUMMYFUNCTION("""COMPUTED_VALUE"""),"City Mayor")</f>
        <v>City Mayor</v>
      </c>
      <c r="J2314" s="164" t="str">
        <f ca="1">IFERROR(__xludf.DUMMYFUNCTION("""COMPUTED_VALUE"""),"PTR# 2023-11-077")</f>
        <v>PTR# 2023-11-077</v>
      </c>
      <c r="K2314" s="164" t="str">
        <f ca="1">IFERROR(__xludf.DUMMYFUNCTION("""COMPUTED_VALUE"""),"ATTY. Stephen A. Palmares. CPA")</f>
        <v>ATTY. Stephen A. Palmares. CPA</v>
      </c>
      <c r="L2314" s="164" t="str">
        <f ca="1">IFERROR(__xludf.DUMMYFUNCTION("""COMPUTED_VALUE"""),"LGU Passi")</f>
        <v>LGU Passi</v>
      </c>
      <c r="M2314" s="164" t="str">
        <f ca="1">IFERROR(__xludf.DUMMYFUNCTION("""COMPUTED_VALUE"""),"SERVICEABLE")</f>
        <v>SERVICEABLE</v>
      </c>
      <c r="N2314" s="164"/>
    </row>
    <row r="2315" spans="1:14" ht="13.2" hidden="1">
      <c r="A2315" s="164" t="str">
        <f ca="1">IFERROR(__xludf.DUMMYFUNCTION("""COMPUTED_VALUE"""),"Region VI")</f>
        <v>Region VI</v>
      </c>
      <c r="B2315" s="164" t="str">
        <f ca="1">IFERROR(__xludf.DUMMYFUNCTION("""COMPUTED_VALUE"""),"ILOILO")</f>
        <v>ILOILO</v>
      </c>
      <c r="C2315" s="164" t="str">
        <f ca="1">IFERROR(__xludf.DUMMYFUNCTION("""COMPUTED_VALUE"""),"REAL-TIME KINEMATIC – GEOMAX ZENITH60")</f>
        <v>REAL-TIME KINEMATIC – GEOMAX ZENITH60</v>
      </c>
      <c r="D2315" s="164" t="str">
        <f ca="1">IFERROR(__xludf.DUMMYFUNCTION("""COMPUTED_VALUE"""),"₱ 1,849,000.00")</f>
        <v>₱ 1,849,000.00</v>
      </c>
      <c r="E2315" s="164"/>
      <c r="F2315" s="164" t="str">
        <f ca="1">IFERROR(__xludf.DUMMYFUNCTION("""COMPUTED_VALUE"""),"2023-05-14-10201SP32-01")</f>
        <v>2023-05-14-10201SP32-01</v>
      </c>
      <c r="G2315" s="164"/>
      <c r="H2315" s="164" t="str">
        <f ca="1">IFERROR(__xludf.DUMMYFUNCTION("""COMPUTED_VALUE"""),"Engr. Raymund John Patriarca")</f>
        <v>Engr. Raymund John Patriarca</v>
      </c>
      <c r="I2315" s="164" t="str">
        <f ca="1">IFERROR(__xludf.DUMMYFUNCTION("""COMPUTED_VALUE"""),"Engineer III")</f>
        <v>Engineer III</v>
      </c>
      <c r="J2315" s="164" t="str">
        <f ca="1">IFERROR(__xludf.DUMMYFUNCTION("""COMPUTED_VALUE"""),"2023-03-022")</f>
        <v>2023-03-022</v>
      </c>
      <c r="K2315" s="164" t="str">
        <f ca="1">IFERROR(__xludf.DUMMYFUNCTION("""COMPUTED_VALUE"""),"Engr. Raymund John Patriarca")</f>
        <v>Engr. Raymund John Patriarca</v>
      </c>
      <c r="L2315" s="164" t="str">
        <f ca="1">IFERROR(__xludf.DUMMYFUNCTION("""COMPUTED_VALUE"""),"LTID")</f>
        <v>LTID</v>
      </c>
      <c r="M2315" s="164" t="str">
        <f ca="1">IFERROR(__xludf.DUMMYFUNCTION("""COMPUTED_VALUE"""),"SERVICEABLE")</f>
        <v>SERVICEABLE</v>
      </c>
      <c r="N2315" s="164"/>
    </row>
    <row r="2316" spans="1:14" ht="13.2" hidden="1">
      <c r="A2316" s="164" t="str">
        <f ca="1">IFERROR(__xludf.DUMMYFUNCTION("""COMPUTED_VALUE"""),"Region VI")</f>
        <v>Region VI</v>
      </c>
      <c r="B2316" s="164" t="str">
        <f ca="1">IFERROR(__xludf.DUMMYFUNCTION("""COMPUTED_VALUE"""),"REGIONAL OFFICE")</f>
        <v>REGIONAL OFFICE</v>
      </c>
      <c r="C2316" s="164" t="str">
        <f ca="1">IFERROR(__xludf.DUMMYFUNCTION("""COMPUTED_VALUE"""),"TOTAL STATION – GEOMAX TOTAL STATION ZOOM 50")</f>
        <v>TOTAL STATION – GEOMAX TOTAL STATION ZOOM 50</v>
      </c>
      <c r="D2316" s="164" t="str">
        <f ca="1">IFERROR(__xludf.DUMMYFUNCTION("""COMPUTED_VALUE"""),"₱ 648,000.00")</f>
        <v>₱ 648,000.00</v>
      </c>
      <c r="E2316" s="164"/>
      <c r="F2316" s="164" t="str">
        <f ca="1">IFERROR(__xludf.DUMMYFUNCTION("""COMPUTED_VALUE"""),"2023-05-01-10201SP18-01")</f>
        <v>2023-05-01-10201SP18-01</v>
      </c>
      <c r="G2316" s="164" t="str">
        <f ca="1">IFERROR(__xludf.DUMMYFUNCTION("""COMPUTED_VALUE"""),"SN: 2839946")</f>
        <v>SN: 2839946</v>
      </c>
      <c r="H2316" s="164" t="str">
        <f ca="1">IFERROR(__xludf.DUMMYFUNCTION("""COMPUTED_VALUE"""),"Rey P. Parreño")</f>
        <v>Rey P. Parreño</v>
      </c>
      <c r="I2316" s="164" t="str">
        <f ca="1">IFERROR(__xludf.DUMMYFUNCTION("""COMPUTED_VALUE"""),"ARPO II")</f>
        <v>ARPO II</v>
      </c>
      <c r="J2316" s="164" t="str">
        <f ca="1">IFERROR(__xludf.DUMMYFUNCTION("""COMPUTED_VALUE"""),"2023-11- 078")</f>
        <v>2023-11- 078</v>
      </c>
      <c r="K2316" s="164" t="str">
        <f ca="1">IFERROR(__xludf.DUMMYFUNCTION("""COMPUTED_VALUE"""),"Rey P. Parreño")</f>
        <v>Rey P. Parreño</v>
      </c>
      <c r="L2316" s="164" t="str">
        <f ca="1">IFERROR(__xludf.DUMMYFUNCTION("""COMPUTED_VALUE"""),"LTID")</f>
        <v>LTID</v>
      </c>
      <c r="M2316" s="164" t="str">
        <f ca="1">IFERROR(__xludf.DUMMYFUNCTION("""COMPUTED_VALUE"""),"SERVICEABLE")</f>
        <v>SERVICEABLE</v>
      </c>
      <c r="N2316" s="164"/>
    </row>
    <row r="2317" spans="1:14" ht="13.2" hidden="1">
      <c r="A2317" s="164" t="str">
        <f ca="1">IFERROR(__xludf.DUMMYFUNCTION("""COMPUTED_VALUE"""),"Region VI")</f>
        <v>Region VI</v>
      </c>
      <c r="B2317" s="164" t="str">
        <f ca="1">IFERROR(__xludf.DUMMYFUNCTION("""COMPUTED_VALUE"""),"REGIONAL OFFICE")</f>
        <v>REGIONAL OFFICE</v>
      </c>
      <c r="C2317" s="164" t="str">
        <f ca="1">IFERROR(__xludf.DUMMYFUNCTION("""COMPUTED_VALUE"""),"TOTAL STATION – GEOMAX TOTAL STATION ZOOM 50")</f>
        <v>TOTAL STATION – GEOMAX TOTAL STATION ZOOM 50</v>
      </c>
      <c r="D2317" s="164" t="str">
        <f ca="1">IFERROR(__xludf.DUMMYFUNCTION("""COMPUTED_VALUE"""),"₱ 648,000.00")</f>
        <v>₱ 648,000.00</v>
      </c>
      <c r="E2317" s="164"/>
      <c r="F2317" s="164" t="str">
        <f ca="1">IFERROR(__xludf.DUMMYFUNCTION("""COMPUTED_VALUE"""),"2023-05-01-10201SP32-01")</f>
        <v>2023-05-01-10201SP32-01</v>
      </c>
      <c r="G2317" s="164"/>
      <c r="H2317" s="164" t="str">
        <f ca="1">IFERROR(__xludf.DUMMYFUNCTION("""COMPUTED_VALUE"""),"Engr. Raymund John Patriarca")</f>
        <v>Engr. Raymund John Patriarca</v>
      </c>
      <c r="I2317" s="164" t="str">
        <f ca="1">IFERROR(__xludf.DUMMYFUNCTION("""COMPUTED_VALUE"""),"Engineer III")</f>
        <v>Engineer III</v>
      </c>
      <c r="J2317" s="164" t="str">
        <f ca="1">IFERROR(__xludf.DUMMYFUNCTION("""COMPUTED_VALUE"""),"2023-03-023")</f>
        <v>2023-03-023</v>
      </c>
      <c r="K2317" s="164" t="str">
        <f ca="1">IFERROR(__xludf.DUMMYFUNCTION("""COMPUTED_VALUE"""),"Engr. Raymund John Patriarca")</f>
        <v>Engr. Raymund John Patriarca</v>
      </c>
      <c r="L2317" s="164" t="str">
        <f ca="1">IFERROR(__xludf.DUMMYFUNCTION("""COMPUTED_VALUE"""),"LTID")</f>
        <v>LTID</v>
      </c>
      <c r="M2317" s="164" t="str">
        <f ca="1">IFERROR(__xludf.DUMMYFUNCTION("""COMPUTED_VALUE"""),"SERVICEABLE")</f>
        <v>SERVICEABLE</v>
      </c>
      <c r="N2317" s="164"/>
    </row>
    <row r="2318" spans="1:14" ht="13.2" hidden="1">
      <c r="A2318" s="164" t="str">
        <f ca="1">IFERROR(__xludf.DUMMYFUNCTION("""COMPUTED_VALUE"""),"Region VI")</f>
        <v>Region VI</v>
      </c>
      <c r="B2318" s="164" t="str">
        <f ca="1">IFERROR(__xludf.DUMMYFUNCTION("""COMPUTED_VALUE"""),"REGIONAL OFFICE")</f>
        <v>REGIONAL OFFICE</v>
      </c>
      <c r="C2318" s="164" t="str">
        <f ca="1">IFERROR(__xludf.DUMMYFUNCTION("""COMPUTED_VALUE"""),"HANDHELD GPS – MODEL P6")</f>
        <v>HANDHELD GPS – MODEL P6</v>
      </c>
      <c r="D2318" s="164" t="str">
        <f ca="1">IFERROR(__xludf.DUMMYFUNCTION("""COMPUTED_VALUE"""),"₱ 79,000.00")</f>
        <v>₱ 79,000.00</v>
      </c>
      <c r="E2318" s="164"/>
      <c r="F2318" s="164" t="str">
        <f ca="1">IFERROR(__xludf.DUMMYFUNCTION("""COMPUTED_VALUE"""),"2023-05-14-10202SP18-01")</f>
        <v>2023-05-14-10202SP18-01</v>
      </c>
      <c r="G2318" s="164"/>
      <c r="H2318" s="164" t="str">
        <f ca="1">IFERROR(__xludf.DUMMYFUNCTION("""COMPUTED_VALUE"""),"Engr. Raymund John Patriarca")</f>
        <v>Engr. Raymund John Patriarca</v>
      </c>
      <c r="I2318" s="164" t="str">
        <f ca="1">IFERROR(__xludf.DUMMYFUNCTION("""COMPUTED_VALUE"""),"Engineer III")</f>
        <v>Engineer III</v>
      </c>
      <c r="J2318" s="164" t="str">
        <f ca="1">IFERROR(__xludf.DUMMYFUNCTION("""COMPUTED_VALUE"""),"2023-03-024")</f>
        <v>2023-03-024</v>
      </c>
      <c r="K2318" s="164" t="str">
        <f ca="1">IFERROR(__xludf.DUMMYFUNCTION("""COMPUTED_VALUE"""),"Engr. Raymund John Patriarca")</f>
        <v>Engr. Raymund John Patriarca</v>
      </c>
      <c r="L2318" s="164" t="str">
        <f ca="1">IFERROR(__xludf.DUMMYFUNCTION("""COMPUTED_VALUE"""),"LTID")</f>
        <v>LTID</v>
      </c>
      <c r="M2318" s="164" t="str">
        <f ca="1">IFERROR(__xludf.DUMMYFUNCTION("""COMPUTED_VALUE"""),"SERVICEABLE")</f>
        <v>SERVICEABLE</v>
      </c>
      <c r="N2318" s="164"/>
    </row>
    <row r="2319" spans="1:14" ht="13.2" hidden="1">
      <c r="A2319" s="164" t="str">
        <f ca="1">IFERROR(__xludf.DUMMYFUNCTION("""COMPUTED_VALUE"""),"Region VI")</f>
        <v>Region VI</v>
      </c>
      <c r="B2319" s="164" t="str">
        <f ca="1">IFERROR(__xludf.DUMMYFUNCTION("""COMPUTED_VALUE"""),"REGIONAL OFFICE")</f>
        <v>REGIONAL OFFICE</v>
      </c>
      <c r="C2319" s="164" t="str">
        <f ca="1">IFERROR(__xludf.DUMMYFUNCTION("""COMPUTED_VALUE"""),"HANDHELD GPS – MODEL P6")</f>
        <v>HANDHELD GPS – MODEL P6</v>
      </c>
      <c r="D2319" s="164" t="str">
        <f ca="1">IFERROR(__xludf.DUMMYFUNCTION("""COMPUTED_VALUE"""),"₱ 79,000.00")</f>
        <v>₱ 79,000.00</v>
      </c>
      <c r="E2319" s="164"/>
      <c r="F2319" s="164" t="str">
        <f ca="1">IFERROR(__xludf.DUMMYFUNCTION("""COMPUTED_VALUE"""),"2023-05-14-10202SP60-01")</f>
        <v>2023-05-14-10202SP60-01</v>
      </c>
      <c r="G2319" s="164"/>
      <c r="H2319" s="164" t="str">
        <f ca="1">IFERROR(__xludf.DUMMYFUNCTION("""COMPUTED_VALUE"""),"Engr. Raymund John Patriarca")</f>
        <v>Engr. Raymund John Patriarca</v>
      </c>
      <c r="I2319" s="164" t="str">
        <f ca="1">IFERROR(__xludf.DUMMYFUNCTION("""COMPUTED_VALUE"""),"Engineer III")</f>
        <v>Engineer III</v>
      </c>
      <c r="J2319" s="164" t="str">
        <f ca="1">IFERROR(__xludf.DUMMYFUNCTION("""COMPUTED_VALUE"""),"2023-10-047")</f>
        <v>2023-10-047</v>
      </c>
      <c r="K2319" s="164" t="str">
        <f ca="1">IFERROR(__xludf.DUMMYFUNCTION("""COMPUTED_VALUE"""),"Engr. Raymund John Patriarca")</f>
        <v>Engr. Raymund John Patriarca</v>
      </c>
      <c r="L2319" s="164" t="str">
        <f ca="1">IFERROR(__xludf.DUMMYFUNCTION("""COMPUTED_VALUE"""),"LTID")</f>
        <v>LTID</v>
      </c>
      <c r="M2319" s="164" t="str">
        <f ca="1">IFERROR(__xludf.DUMMYFUNCTION("""COMPUTED_VALUE"""),"SERVICEABLE")</f>
        <v>SERVICEABLE</v>
      </c>
      <c r="N2319" s="164"/>
    </row>
    <row r="2320" spans="1:14" ht="13.2" hidden="1">
      <c r="A2320" s="164" t="str">
        <f ca="1">IFERROR(__xludf.DUMMYFUNCTION("""COMPUTED_VALUE"""),"Region VI")</f>
        <v>Region VI</v>
      </c>
      <c r="B2320" s="164" t="str">
        <f ca="1">IFERROR(__xludf.DUMMYFUNCTION("""COMPUTED_VALUE"""),"REGIONAL OFFICE")</f>
        <v>REGIONAL OFFICE</v>
      </c>
      <c r="C2320" s="164" t="str">
        <f ca="1">IFERROR(__xludf.DUMMYFUNCTION("""COMPUTED_VALUE"""),"Desktop Computer – (Lenovo M70T)")</f>
        <v>Desktop Computer – (Lenovo M70T)</v>
      </c>
      <c r="D2320" s="164" t="str">
        <f ca="1">IFERROR(__xludf.DUMMYFUNCTION("""COMPUTED_VALUE"""),"₱ 75,468.00")</f>
        <v>₱ 75,468.00</v>
      </c>
      <c r="E2320" s="164"/>
      <c r="F2320" s="164" t="str">
        <f ca="1">IFERROR(__xludf.DUMMYFUNCTION("""COMPUTED_VALUE"""),"2023-05-03-10201SP1219-01")</f>
        <v>2023-05-03-10201SP1219-01</v>
      </c>
      <c r="G2320" s="164"/>
      <c r="H2320" s="164" t="str">
        <f ca="1">IFERROR(__xludf.DUMMYFUNCTION("""COMPUTED_VALUE"""),"Barbara D. Gadaoni")</f>
        <v>Barbara D. Gadaoni</v>
      </c>
      <c r="I2320" s="164" t="str">
        <f ca="1">IFERROR(__xludf.DUMMYFUNCTION("""COMPUTED_VALUE"""),"Accountant III")</f>
        <v>Accountant III</v>
      </c>
      <c r="J2320" s="164" t="str">
        <f ca="1">IFERROR(__xludf.DUMMYFUNCTION("""COMPUTED_VALUE"""),"2023-04-025")</f>
        <v>2023-04-025</v>
      </c>
      <c r="K2320" s="164" t="str">
        <f ca="1">IFERROR(__xludf.DUMMYFUNCTION("""COMPUTED_VALUE"""),"Barbara D. Gadaoni")</f>
        <v>Barbara D. Gadaoni</v>
      </c>
      <c r="L2320" s="164" t="str">
        <f ca="1">IFERROR(__xludf.DUMMYFUNCTION("""COMPUTED_VALUE"""),"SPLIT/Accounting")</f>
        <v>SPLIT/Accounting</v>
      </c>
      <c r="M2320" s="164" t="str">
        <f ca="1">IFERROR(__xludf.DUMMYFUNCTION("""COMPUTED_VALUE"""),"SERVICEABLE")</f>
        <v>SERVICEABLE</v>
      </c>
      <c r="N2320" s="164"/>
    </row>
    <row r="2321" spans="1:14" ht="13.2" hidden="1">
      <c r="A2321" s="164" t="str">
        <f ca="1">IFERROR(__xludf.DUMMYFUNCTION("""COMPUTED_VALUE"""),"Region VI")</f>
        <v>Region VI</v>
      </c>
      <c r="B2321" s="164" t="str">
        <f ca="1">IFERROR(__xludf.DUMMYFUNCTION("""COMPUTED_VALUE"""),"REGIONAL OFFICE")</f>
        <v>REGIONAL OFFICE</v>
      </c>
      <c r="C2321" s="164" t="str">
        <f ca="1">IFERROR(__xludf.DUMMYFUNCTION("""COMPUTED_VALUE"""),"Desktop Computer – (Lenovo M70T)")</f>
        <v>Desktop Computer – (Lenovo M70T)</v>
      </c>
      <c r="D2321" s="164" t="str">
        <f ca="1">IFERROR(__xludf.DUMMYFUNCTION("""COMPUTED_VALUE"""),"₱ 75,468.00")</f>
        <v>₱ 75,468.00</v>
      </c>
      <c r="E2321" s="164"/>
      <c r="F2321" s="164" t="str">
        <f ca="1">IFERROR(__xludf.DUMMYFUNCTION("""COMPUTED_VALUE"""),"2023-05-03-10201SP1220-01")</f>
        <v>2023-05-03-10201SP1220-01</v>
      </c>
      <c r="G2321" s="164"/>
      <c r="H2321" s="164" t="str">
        <f ca="1">IFERROR(__xludf.DUMMYFUNCTION("""COMPUTED_VALUE"""),"Josieline Madera")</f>
        <v>Josieline Madera</v>
      </c>
      <c r="I2321" s="164" t="str">
        <f ca="1">IFERROR(__xludf.DUMMYFUNCTION("""COMPUTED_VALUE"""),"Budget Officer III")</f>
        <v>Budget Officer III</v>
      </c>
      <c r="J2321" s="164" t="str">
        <f ca="1">IFERROR(__xludf.DUMMYFUNCTION("""COMPUTED_VALUE"""),"2023-04-026")</f>
        <v>2023-04-026</v>
      </c>
      <c r="K2321" s="164" t="str">
        <f ca="1">IFERROR(__xludf.DUMMYFUNCTION("""COMPUTED_VALUE"""),"Josieline Madera")</f>
        <v>Josieline Madera</v>
      </c>
      <c r="L2321" s="164" t="str">
        <f ca="1">IFERROR(__xludf.DUMMYFUNCTION("""COMPUTED_VALUE"""),"SPLIT/Budget")</f>
        <v>SPLIT/Budget</v>
      </c>
      <c r="M2321" s="164" t="str">
        <f ca="1">IFERROR(__xludf.DUMMYFUNCTION("""COMPUTED_VALUE"""),"SERVICEABLE")</f>
        <v>SERVICEABLE</v>
      </c>
      <c r="N2321" s="164"/>
    </row>
    <row r="2322" spans="1:14" ht="13.2" hidden="1">
      <c r="A2322" s="164" t="str">
        <f ca="1">IFERROR(__xludf.DUMMYFUNCTION("""COMPUTED_VALUE"""),"Region VI")</f>
        <v>Region VI</v>
      </c>
      <c r="B2322" s="164" t="str">
        <f ca="1">IFERROR(__xludf.DUMMYFUNCTION("""COMPUTED_VALUE"""),"REGIONAL OFFICE")</f>
        <v>REGIONAL OFFICE</v>
      </c>
      <c r="C2322" s="164" t="str">
        <f ca="1">IFERROR(__xludf.DUMMYFUNCTION("""COMPUTED_VALUE"""),"Desktop Computer – (Lenovo M70T)")</f>
        <v>Desktop Computer – (Lenovo M70T)</v>
      </c>
      <c r="D2322" s="164" t="str">
        <f ca="1">IFERROR(__xludf.DUMMYFUNCTION("""COMPUTED_VALUE"""),"₱ 75,468.00")</f>
        <v>₱ 75,468.00</v>
      </c>
      <c r="E2322" s="164"/>
      <c r="F2322" s="164" t="str">
        <f ca="1">IFERROR(__xludf.DUMMYFUNCTION("""COMPUTED_VALUE"""),"2023-05-03-10201SP1221-01")</f>
        <v>2023-05-03-10201SP1221-01</v>
      </c>
      <c r="G2322" s="164"/>
      <c r="H2322" s="164" t="str">
        <f ca="1">IFERROR(__xludf.DUMMYFUNCTION("""COMPUTED_VALUE"""),"Atty. Geony L. Gregorio")</f>
        <v>Atty. Geony L. Gregorio</v>
      </c>
      <c r="I2322" s="164" t="str">
        <f ca="1">IFERROR(__xludf.DUMMYFUNCTION("""COMPUTED_VALUE"""),"Atty. V")</f>
        <v>Atty. V</v>
      </c>
      <c r="J2322" s="164" t="str">
        <f ca="1">IFERROR(__xludf.DUMMYFUNCTION("""COMPUTED_VALUE"""),"2023-04-027")</f>
        <v>2023-04-027</v>
      </c>
      <c r="K2322" s="164" t="str">
        <f ca="1">IFERROR(__xludf.DUMMYFUNCTION("""COMPUTED_VALUE"""),"Atty. Geony L. Gregorio")</f>
        <v>Atty. Geony L. Gregorio</v>
      </c>
      <c r="L2322" s="164" t="str">
        <f ca="1">IFERROR(__xludf.DUMMYFUNCTION("""COMPUTED_VALUE"""),"SPLIT/Legal")</f>
        <v>SPLIT/Legal</v>
      </c>
      <c r="M2322" s="164" t="str">
        <f ca="1">IFERROR(__xludf.DUMMYFUNCTION("""COMPUTED_VALUE"""),"SERVICEABLE")</f>
        <v>SERVICEABLE</v>
      </c>
      <c r="N2322" s="164"/>
    </row>
    <row r="2323" spans="1:14" ht="13.2" hidden="1">
      <c r="A2323" s="164" t="str">
        <f ca="1">IFERROR(__xludf.DUMMYFUNCTION("""COMPUTED_VALUE"""),"Region VI")</f>
        <v>Region VI</v>
      </c>
      <c r="B2323" s="164" t="str">
        <f ca="1">IFERROR(__xludf.DUMMYFUNCTION("""COMPUTED_VALUE"""),"REGIONAL OFFICE")</f>
        <v>REGIONAL OFFICE</v>
      </c>
      <c r="C2323" s="164" t="str">
        <f ca="1">IFERROR(__xludf.DUMMYFUNCTION("""COMPUTED_VALUE"""),"Desktop Computer – (Lenovo M70T)")</f>
        <v>Desktop Computer – (Lenovo M70T)</v>
      </c>
      <c r="D2323" s="164" t="str">
        <f ca="1">IFERROR(__xludf.DUMMYFUNCTION("""COMPUTED_VALUE"""),"₱ 75,468.00")</f>
        <v>₱ 75,468.00</v>
      </c>
      <c r="E2323" s="164"/>
      <c r="F2323" s="164" t="str">
        <f ca="1">IFERROR(__xludf.DUMMYFUNCTION("""COMPUTED_VALUE"""),"2023-05-03-10201SP1222-01")</f>
        <v>2023-05-03-10201SP1222-01</v>
      </c>
      <c r="G2323" s="164"/>
      <c r="H2323" s="164" t="str">
        <f ca="1">IFERROR(__xludf.DUMMYFUNCTION("""COMPUTED_VALUE"""),"Ozelle Tellie O. Tarrosa")</f>
        <v>Ozelle Tellie O. Tarrosa</v>
      </c>
      <c r="I2323" s="164" t="str">
        <f ca="1">IFERROR(__xludf.DUMMYFUNCTION("""COMPUTED_VALUE"""),"Planning Officer V")</f>
        <v>Planning Officer V</v>
      </c>
      <c r="J2323" s="164" t="str">
        <f ca="1">IFERROR(__xludf.DUMMYFUNCTION("""COMPUTED_VALUE"""),"2023-04-028")</f>
        <v>2023-04-028</v>
      </c>
      <c r="K2323" s="164" t="str">
        <f ca="1">IFERROR(__xludf.DUMMYFUNCTION("""COMPUTED_VALUE"""),"Ozelle Tellie O. Tarrosa")</f>
        <v>Ozelle Tellie O. Tarrosa</v>
      </c>
      <c r="L2323" s="164" t="str">
        <f ca="1">IFERROR(__xludf.DUMMYFUNCTION("""COMPUTED_VALUE"""),"Office of the RCAO")</f>
        <v>Office of the RCAO</v>
      </c>
      <c r="M2323" s="164" t="str">
        <f ca="1">IFERROR(__xludf.DUMMYFUNCTION("""COMPUTED_VALUE"""),"SERVICEABLE")</f>
        <v>SERVICEABLE</v>
      </c>
      <c r="N2323" s="164"/>
    </row>
    <row r="2324" spans="1:14" ht="13.2" hidden="1">
      <c r="A2324" s="164" t="str">
        <f ca="1">IFERROR(__xludf.DUMMYFUNCTION("""COMPUTED_VALUE"""),"Region VI")</f>
        <v>Region VI</v>
      </c>
      <c r="B2324" s="164" t="str">
        <f ca="1">IFERROR(__xludf.DUMMYFUNCTION("""COMPUTED_VALUE"""),"REGIONAL OFFICE")</f>
        <v>REGIONAL OFFICE</v>
      </c>
      <c r="C2324" s="164" t="str">
        <f ca="1">IFERROR(__xludf.DUMMYFUNCTION("""COMPUTED_VALUE"""),"Desktop Computer – (Lenovo M70T)")</f>
        <v>Desktop Computer – (Lenovo M70T)</v>
      </c>
      <c r="D2324" s="164" t="str">
        <f ca="1">IFERROR(__xludf.DUMMYFUNCTION("""COMPUTED_VALUE"""),"₱ 75,468.00")</f>
        <v>₱ 75,468.00</v>
      </c>
      <c r="E2324" s="164"/>
      <c r="F2324" s="164" t="str">
        <f ca="1">IFERROR(__xludf.DUMMYFUNCTION("""COMPUTED_VALUE"""),"2023-05-03-10201SP1223-01")</f>
        <v>2023-05-03-10201SP1223-01</v>
      </c>
      <c r="G2324" s="164"/>
      <c r="H2324" s="164" t="str">
        <f ca="1">IFERROR(__xludf.DUMMYFUNCTION("""COMPUTED_VALUE"""),"Atty. Sheila B. Enciso")</f>
        <v>Atty. Sheila B. Enciso</v>
      </c>
      <c r="I2324" s="164" t="str">
        <f ca="1">IFERROR(__xludf.DUMMYFUNCTION("""COMPUTED_VALUE"""),"Regional Director")</f>
        <v>Regional Director</v>
      </c>
      <c r="J2324" s="164" t="str">
        <f ca="1">IFERROR(__xludf.DUMMYFUNCTION("""COMPUTED_VALUE"""),"2023-04-029")</f>
        <v>2023-04-029</v>
      </c>
      <c r="K2324" s="164" t="str">
        <f ca="1">IFERROR(__xludf.DUMMYFUNCTION("""COMPUTED_VALUE"""),"Atty. Sheila B. Enciso")</f>
        <v>Atty. Sheila B. Enciso</v>
      </c>
      <c r="L2324" s="164" t="str">
        <f ca="1">IFERROR(__xludf.DUMMYFUNCTION("""COMPUTED_VALUE"""),"Office of the Regional Director")</f>
        <v>Office of the Regional Director</v>
      </c>
      <c r="M2324" s="164" t="str">
        <f ca="1">IFERROR(__xludf.DUMMYFUNCTION("""COMPUTED_VALUE"""),"SERVICEABLE")</f>
        <v>SERVICEABLE</v>
      </c>
      <c r="N2324" s="164"/>
    </row>
    <row r="2325" spans="1:14" ht="13.2" hidden="1">
      <c r="A2325" s="164" t="str">
        <f ca="1">IFERROR(__xludf.DUMMYFUNCTION("""COMPUTED_VALUE"""),"Region VI")</f>
        <v>Region VI</v>
      </c>
      <c r="B2325" s="164" t="str">
        <f ca="1">IFERROR(__xludf.DUMMYFUNCTION("""COMPUTED_VALUE"""),"REGIONAL OFFICE")</f>
        <v>REGIONAL OFFICE</v>
      </c>
      <c r="C2325" s="164" t="str">
        <f ca="1">IFERROR(__xludf.DUMMYFUNCTION("""COMPUTED_VALUE"""),"Desktop Computer – (Lenovo M70T)")</f>
        <v>Desktop Computer – (Lenovo M70T)</v>
      </c>
      <c r="D2325" s="164" t="str">
        <f ca="1">IFERROR(__xludf.DUMMYFUNCTION("""COMPUTED_VALUE"""),"₱ 75,468.00")</f>
        <v>₱ 75,468.00</v>
      </c>
      <c r="E2325" s="164"/>
      <c r="F2325" s="164" t="str">
        <f ca="1">IFERROR(__xludf.DUMMYFUNCTION("""COMPUTED_VALUE"""),"2023-05-03-10201SP1224-01")</f>
        <v>2023-05-03-10201SP1224-01</v>
      </c>
      <c r="G2325" s="164"/>
      <c r="H2325" s="164" t="str">
        <f ca="1">IFERROR(__xludf.DUMMYFUNCTION("""COMPUTED_VALUE"""),"Lourdes F. Novilla")</f>
        <v>Lourdes F. Novilla</v>
      </c>
      <c r="I2325" s="164" t="str">
        <f ca="1">IFERROR(__xludf.DUMMYFUNCTION("""COMPUTED_VALUE"""),"OIC - Assistant Regional Director")</f>
        <v>OIC - Assistant Regional Director</v>
      </c>
      <c r="J2325" s="164" t="str">
        <f ca="1">IFERROR(__xludf.DUMMYFUNCTION("""COMPUTED_VALUE"""),"2023-04-030")</f>
        <v>2023-04-030</v>
      </c>
      <c r="K2325" s="164" t="str">
        <f ca="1">IFERROR(__xludf.DUMMYFUNCTION("""COMPUTED_VALUE"""),"Lourdes F. Novilla")</f>
        <v>Lourdes F. Novilla</v>
      </c>
      <c r="L2325" s="164" t="str">
        <f ca="1">IFERROR(__xludf.DUMMYFUNCTION("""COMPUTED_VALUE"""),"Office of the Assistant Regional Director for Admin &amp; Legal")</f>
        <v>Office of the Assistant Regional Director for Admin &amp; Legal</v>
      </c>
      <c r="M2325" s="164" t="str">
        <f ca="1">IFERROR(__xludf.DUMMYFUNCTION("""COMPUTED_VALUE"""),"SERVICEABLE")</f>
        <v>SERVICEABLE</v>
      </c>
      <c r="N2325" s="164"/>
    </row>
    <row r="2326" spans="1:14" ht="13.2" hidden="1">
      <c r="A2326" s="164" t="str">
        <f ca="1">IFERROR(__xludf.DUMMYFUNCTION("""COMPUTED_VALUE"""),"Region VI")</f>
        <v>Region VI</v>
      </c>
      <c r="B2326" s="164" t="str">
        <f ca="1">IFERROR(__xludf.DUMMYFUNCTION("""COMPUTED_VALUE"""),"REGIONAL OFFICE")</f>
        <v>REGIONAL OFFICE</v>
      </c>
      <c r="C2326" s="164" t="str">
        <f ca="1">IFERROR(__xludf.DUMMYFUNCTION("""COMPUTED_VALUE"""),"Desktop Computer – (Lenovo M70T)")</f>
        <v>Desktop Computer – (Lenovo M70T)</v>
      </c>
      <c r="D2326" s="164" t="str">
        <f ca="1">IFERROR(__xludf.DUMMYFUNCTION("""COMPUTED_VALUE"""),"₱ 75,468.00")</f>
        <v>₱ 75,468.00</v>
      </c>
      <c r="E2326" s="164"/>
      <c r="F2326" s="164" t="str">
        <f ca="1">IFERROR(__xludf.DUMMYFUNCTION("""COMPUTED_VALUE"""),"2023-05-03-10201SP1225-01")</f>
        <v>2023-05-03-10201SP1225-01</v>
      </c>
      <c r="G2326" s="164"/>
      <c r="H2326" s="164" t="str">
        <f ca="1">IFERROR(__xludf.DUMMYFUNCTION("""COMPUTED_VALUE"""),"Rosario G. Hermonio")</f>
        <v>Rosario G. Hermonio</v>
      </c>
      <c r="I2326" s="164" t="str">
        <f ca="1">IFERROR(__xludf.DUMMYFUNCTION("""COMPUTED_VALUE"""),"SARPO")</f>
        <v>SARPO</v>
      </c>
      <c r="J2326" s="164" t="str">
        <f ca="1">IFERROR(__xludf.DUMMYFUNCTION("""COMPUTED_VALUE"""),"2023-04-031")</f>
        <v>2023-04-031</v>
      </c>
      <c r="K2326" s="164" t="str">
        <f ca="1">IFERROR(__xludf.DUMMYFUNCTION("""COMPUTED_VALUE"""),"Rosario G. Hermonio")</f>
        <v>Rosario G. Hermonio</v>
      </c>
      <c r="L2326" s="164" t="str">
        <f ca="1">IFERROR(__xludf.DUMMYFUNCTION("""COMPUTED_VALUE"""),"SPLIT/Procurement Unit")</f>
        <v>SPLIT/Procurement Unit</v>
      </c>
      <c r="M2326" s="164" t="str">
        <f ca="1">IFERROR(__xludf.DUMMYFUNCTION("""COMPUTED_VALUE"""),"SERVICEABLE")</f>
        <v>SERVICEABLE</v>
      </c>
      <c r="N2326" s="164"/>
    </row>
    <row r="2327" spans="1:14" ht="13.2" hidden="1">
      <c r="A2327" s="164" t="str">
        <f ca="1">IFERROR(__xludf.DUMMYFUNCTION("""COMPUTED_VALUE"""),"Region VI")</f>
        <v>Region VI</v>
      </c>
      <c r="B2327" s="164" t="str">
        <f ca="1">IFERROR(__xludf.DUMMYFUNCTION("""COMPUTED_VALUE"""),"REGIONAL OFFICE")</f>
        <v>REGIONAL OFFICE</v>
      </c>
      <c r="C2327" s="164" t="str">
        <f ca="1">IFERROR(__xludf.DUMMYFUNCTION("""COMPUTED_VALUE"""),"Desktop Computer – (Lenovo M70T)")</f>
        <v>Desktop Computer – (Lenovo M70T)</v>
      </c>
      <c r="D2327" s="164" t="str">
        <f ca="1">IFERROR(__xludf.DUMMYFUNCTION("""COMPUTED_VALUE"""),"₱ 75,468.00")</f>
        <v>₱ 75,468.00</v>
      </c>
      <c r="E2327" s="164"/>
      <c r="F2327" s="164" t="str">
        <f ca="1">IFERROR(__xludf.DUMMYFUNCTION("""COMPUTED_VALUE"""),"2023-05-03-10201SP1226-01")</f>
        <v>2023-05-03-10201SP1226-01</v>
      </c>
      <c r="G2327" s="164"/>
      <c r="H2327" s="164" t="str">
        <f ca="1">IFERROR(__xludf.DUMMYFUNCTION("""COMPUTED_VALUE"""),"Rosario G. Hermonio")</f>
        <v>Rosario G. Hermonio</v>
      </c>
      <c r="I2327" s="164" t="str">
        <f ca="1">IFERROR(__xludf.DUMMYFUNCTION("""COMPUTED_VALUE"""),"SARPO")</f>
        <v>SARPO</v>
      </c>
      <c r="J2327" s="164" t="str">
        <f ca="1">IFERROR(__xludf.DUMMYFUNCTION("""COMPUTED_VALUE"""),"2023-04-031")</f>
        <v>2023-04-031</v>
      </c>
      <c r="K2327" s="164" t="str">
        <f ca="1">IFERROR(__xludf.DUMMYFUNCTION("""COMPUTED_VALUE"""),"Rosario G. Hermonio")</f>
        <v>Rosario G. Hermonio</v>
      </c>
      <c r="L2327" s="164" t="str">
        <f ca="1">IFERROR(__xludf.DUMMYFUNCTION("""COMPUTED_VALUE"""),"SPLIT/Procurement Unit")</f>
        <v>SPLIT/Procurement Unit</v>
      </c>
      <c r="M2327" s="164" t="str">
        <f ca="1">IFERROR(__xludf.DUMMYFUNCTION("""COMPUTED_VALUE"""),"SERVICEABLE")</f>
        <v>SERVICEABLE</v>
      </c>
      <c r="N2327" s="164"/>
    </row>
    <row r="2328" spans="1:14" ht="13.2" hidden="1">
      <c r="A2328" s="164" t="str">
        <f ca="1">IFERROR(__xludf.DUMMYFUNCTION("""COMPUTED_VALUE"""),"Region VI")</f>
        <v>Region VI</v>
      </c>
      <c r="B2328" s="164" t="str">
        <f ca="1">IFERROR(__xludf.DUMMYFUNCTION("""COMPUTED_VALUE"""),"REGIONAL OFFICE")</f>
        <v>REGIONAL OFFICE</v>
      </c>
      <c r="C2328" s="164" t="str">
        <f ca="1">IFERROR(__xludf.DUMMYFUNCTION("""COMPUTED_VALUE"""),"Desktop Computer – (Lenovo M70T)")</f>
        <v>Desktop Computer – (Lenovo M70T)</v>
      </c>
      <c r="D2328" s="164" t="str">
        <f ca="1">IFERROR(__xludf.DUMMYFUNCTION("""COMPUTED_VALUE"""),"₱ 75,468.00")</f>
        <v>₱ 75,468.00</v>
      </c>
      <c r="E2328" s="164"/>
      <c r="F2328" s="164" t="str">
        <f ca="1">IFERROR(__xludf.DUMMYFUNCTION("""COMPUTED_VALUE"""),"2023-05-03-10201SP1227-01")</f>
        <v>2023-05-03-10201SP1227-01</v>
      </c>
      <c r="G2328" s="164"/>
      <c r="H2328" s="164" t="str">
        <f ca="1">IFERROR(__xludf.DUMMYFUNCTION("""COMPUTED_VALUE"""),"Leonor Juliet J. Lena")</f>
        <v>Leonor Juliet J. Lena</v>
      </c>
      <c r="I2328" s="164" t="str">
        <f ca="1">IFERROR(__xludf.DUMMYFUNCTION("""COMPUTED_VALUE"""),"CARPO")</f>
        <v>CARPO</v>
      </c>
      <c r="J2328" s="164" t="str">
        <f ca="1">IFERROR(__xludf.DUMMYFUNCTION("""COMPUTED_VALUE"""),"2023-04-032")</f>
        <v>2023-04-032</v>
      </c>
      <c r="K2328" s="164" t="str">
        <f ca="1">IFERROR(__xludf.DUMMYFUNCTION("""COMPUTED_VALUE"""),"Leonor Juliet J. Lena")</f>
        <v>Leonor Juliet J. Lena</v>
      </c>
      <c r="L2328" s="164" t="str">
        <f ca="1">IFERROR(__xludf.DUMMYFUNCTION("""COMPUTED_VALUE"""),"PBDD")</f>
        <v>PBDD</v>
      </c>
      <c r="M2328" s="164" t="str">
        <f ca="1">IFERROR(__xludf.DUMMYFUNCTION("""COMPUTED_VALUE"""),"SERVICEABLE")</f>
        <v>SERVICEABLE</v>
      </c>
      <c r="N2328" s="164"/>
    </row>
    <row r="2329" spans="1:14" ht="13.2" hidden="1">
      <c r="A2329" s="164" t="str">
        <f ca="1">IFERROR(__xludf.DUMMYFUNCTION("""COMPUTED_VALUE"""),"Region VI")</f>
        <v>Region VI</v>
      </c>
      <c r="B2329" s="164" t="str">
        <f ca="1">IFERROR(__xludf.DUMMYFUNCTION("""COMPUTED_VALUE"""),"REGIONAL OFFICE")</f>
        <v>REGIONAL OFFICE</v>
      </c>
      <c r="C2329" s="164" t="str">
        <f ca="1">IFERROR(__xludf.DUMMYFUNCTION("""COMPUTED_VALUE"""),"Desktop Computer – (Lenovo M70T)")</f>
        <v>Desktop Computer – (Lenovo M70T)</v>
      </c>
      <c r="D2329" s="164" t="str">
        <f ca="1">IFERROR(__xludf.DUMMYFUNCTION("""COMPUTED_VALUE"""),"₱ 75,468.00")</f>
        <v>₱ 75,468.00</v>
      </c>
      <c r="E2329" s="164"/>
      <c r="F2329" s="164" t="str">
        <f ca="1">IFERROR(__xludf.DUMMYFUNCTION("""COMPUTED_VALUE"""),"2023-05-03-10201SP1229-01")</f>
        <v>2023-05-03-10201SP1229-01</v>
      </c>
      <c r="G2329" s="164"/>
      <c r="H2329" s="164" t="str">
        <f ca="1">IFERROR(__xludf.DUMMYFUNCTION("""COMPUTED_VALUE"""),"Ferolyn Joy J. Tim yiman")</f>
        <v>Ferolyn Joy J. Tim yiman</v>
      </c>
      <c r="I2329" s="164" t="str">
        <f ca="1">IFERROR(__xludf.DUMMYFUNCTION("""COMPUTED_VALUE"""),"OIC - CARPO")</f>
        <v>OIC - CARPO</v>
      </c>
      <c r="J2329" s="164" t="str">
        <f ca="1">IFERROR(__xludf.DUMMYFUNCTION("""COMPUTED_VALUE"""),"2023-04-033")</f>
        <v>2023-04-033</v>
      </c>
      <c r="K2329" s="164" t="str">
        <f ca="1">IFERROR(__xludf.DUMMYFUNCTION("""COMPUTED_VALUE"""),"Ferolyn Joy J. Tim yiman")</f>
        <v>Ferolyn Joy J. Tim yiman</v>
      </c>
      <c r="L2329" s="164" t="str">
        <f ca="1">IFERROR(__xludf.DUMMYFUNCTION("""COMPUTED_VALUE"""),"LTID")</f>
        <v>LTID</v>
      </c>
      <c r="M2329" s="164" t="str">
        <f ca="1">IFERROR(__xludf.DUMMYFUNCTION("""COMPUTED_VALUE"""),"SERVICEABLE")</f>
        <v>SERVICEABLE</v>
      </c>
      <c r="N2329" s="164"/>
    </row>
    <row r="2330" spans="1:14" ht="13.2" hidden="1">
      <c r="A2330" s="164" t="str">
        <f ca="1">IFERROR(__xludf.DUMMYFUNCTION("""COMPUTED_VALUE"""),"Region VI")</f>
        <v>Region VI</v>
      </c>
      <c r="B2330" s="164" t="str">
        <f ca="1">IFERROR(__xludf.DUMMYFUNCTION("""COMPUTED_VALUE"""),"REGIONAL OFFICE")</f>
        <v>REGIONAL OFFICE</v>
      </c>
      <c r="C2330" s="164" t="str">
        <f ca="1">IFERROR(__xludf.DUMMYFUNCTION("""COMPUTED_VALUE"""),"Desktop Computer – (Lenovo M70T)")</f>
        <v>Desktop Computer – (Lenovo M70T)</v>
      </c>
      <c r="D2330" s="164" t="str">
        <f ca="1">IFERROR(__xludf.DUMMYFUNCTION("""COMPUTED_VALUE"""),"₱ 75,468.00")</f>
        <v>₱ 75,468.00</v>
      </c>
      <c r="E2330" s="164"/>
      <c r="F2330" s="164" t="str">
        <f ca="1">IFERROR(__xludf.DUMMYFUNCTION("""COMPUTED_VALUE"""),"2023-05-03-10201SP1230-01")</f>
        <v>2023-05-03-10201SP1230-01</v>
      </c>
      <c r="G2330" s="164"/>
      <c r="H2330" s="164" t="str">
        <f ca="1">IFERROR(__xludf.DUMMYFUNCTION("""COMPUTED_VALUE"""),"Ferolyn Joy J. Tim yiman")</f>
        <v>Ferolyn Joy J. Tim yiman</v>
      </c>
      <c r="I2330" s="164" t="str">
        <f ca="1">IFERROR(__xludf.DUMMYFUNCTION("""COMPUTED_VALUE"""),"OIC - CARPO")</f>
        <v>OIC - CARPO</v>
      </c>
      <c r="J2330" s="164" t="str">
        <f ca="1">IFERROR(__xludf.DUMMYFUNCTION("""COMPUTED_VALUE"""),"2023-04-033")</f>
        <v>2023-04-033</v>
      </c>
      <c r="K2330" s="164" t="str">
        <f ca="1">IFERROR(__xludf.DUMMYFUNCTION("""COMPUTED_VALUE"""),"Ferolyn Joy J. Tim yiman")</f>
        <v>Ferolyn Joy J. Tim yiman</v>
      </c>
      <c r="L2330" s="164" t="str">
        <f ca="1">IFERROR(__xludf.DUMMYFUNCTION("""COMPUTED_VALUE"""),"SPLIT/LTID")</f>
        <v>SPLIT/LTID</v>
      </c>
      <c r="M2330" s="164" t="str">
        <f ca="1">IFERROR(__xludf.DUMMYFUNCTION("""COMPUTED_VALUE"""),"SERVICEABLE")</f>
        <v>SERVICEABLE</v>
      </c>
      <c r="N2330" s="164"/>
    </row>
    <row r="2331" spans="1:14" ht="13.2" hidden="1">
      <c r="A2331" s="164" t="str">
        <f ca="1">IFERROR(__xludf.DUMMYFUNCTION("""COMPUTED_VALUE"""),"Region VI")</f>
        <v>Region VI</v>
      </c>
      <c r="B2331" s="164" t="str">
        <f ca="1">IFERROR(__xludf.DUMMYFUNCTION("""COMPUTED_VALUE"""),"REGIONAL OFFICE")</f>
        <v>REGIONAL OFFICE</v>
      </c>
      <c r="C2331" s="164" t="str">
        <f ca="1">IFERROR(__xludf.DUMMYFUNCTION("""COMPUTED_VALUE"""),"Desktop Computer – (Lenovo M70T)")</f>
        <v>Desktop Computer – (Lenovo M70T)</v>
      </c>
      <c r="D2331" s="164" t="str">
        <f ca="1">IFERROR(__xludf.DUMMYFUNCTION("""COMPUTED_VALUE"""),"₱ 75,468.00")</f>
        <v>₱ 75,468.00</v>
      </c>
      <c r="E2331" s="164"/>
      <c r="F2331" s="164" t="str">
        <f ca="1">IFERROR(__xludf.DUMMYFUNCTION("""COMPUTED_VALUE"""),"2023-05-03-10201SP1231-01")</f>
        <v>2023-05-03-10201SP1231-01</v>
      </c>
      <c r="G2331" s="164"/>
      <c r="H2331" s="164" t="str">
        <f ca="1">IFERROR(__xludf.DUMMYFUNCTION("""COMPUTED_VALUE"""),"Ferolyn Joy J. Timtiman")</f>
        <v>Ferolyn Joy J. Timtiman</v>
      </c>
      <c r="I2331" s="164" t="str">
        <f ca="1">IFERROR(__xludf.DUMMYFUNCTION("""COMPUTED_VALUE"""),"OIC - CARPO")</f>
        <v>OIC - CARPO</v>
      </c>
      <c r="J2331" s="164" t="str">
        <f ca="1">IFERROR(__xludf.DUMMYFUNCTION("""COMPUTED_VALUE"""),"2023-04-033")</f>
        <v>2023-04-033</v>
      </c>
      <c r="K2331" s="164" t="str">
        <f ca="1">IFERROR(__xludf.DUMMYFUNCTION("""COMPUTED_VALUE"""),"Ferolyn Joy J. Tim yiman")</f>
        <v>Ferolyn Joy J. Tim yiman</v>
      </c>
      <c r="L2331" s="164" t="str">
        <f ca="1">IFERROR(__xludf.DUMMYFUNCTION("""COMPUTED_VALUE"""),"SPLIT/LTID")</f>
        <v>SPLIT/LTID</v>
      </c>
      <c r="M2331" s="164" t="str">
        <f ca="1">IFERROR(__xludf.DUMMYFUNCTION("""COMPUTED_VALUE"""),"SERVICEABLE")</f>
        <v>SERVICEABLE</v>
      </c>
      <c r="N2331" s="164"/>
    </row>
    <row r="2332" spans="1:14" ht="13.2" hidden="1">
      <c r="A2332" s="164" t="str">
        <f ca="1">IFERROR(__xludf.DUMMYFUNCTION("""COMPUTED_VALUE"""),"Region VI")</f>
        <v>Region VI</v>
      </c>
      <c r="B2332" s="164" t="str">
        <f ca="1">IFERROR(__xludf.DUMMYFUNCTION("""COMPUTED_VALUE"""),"REGIONAL OFFICE")</f>
        <v>REGIONAL OFFICE</v>
      </c>
      <c r="C2332" s="164" t="str">
        <f ca="1">IFERROR(__xludf.DUMMYFUNCTION("""COMPUTED_VALUE"""),"Desktop Computer – (Lenovo M70T)")</f>
        <v>Desktop Computer – (Lenovo M70T)</v>
      </c>
      <c r="D2332" s="164" t="str">
        <f ca="1">IFERROR(__xludf.DUMMYFUNCTION("""COMPUTED_VALUE"""),"₱ 75,468.00")</f>
        <v>₱ 75,468.00</v>
      </c>
      <c r="E2332" s="164"/>
      <c r="F2332" s="164" t="str">
        <f ca="1">IFERROR(__xludf.DUMMYFUNCTION("""COMPUTED_VALUE"""),"2023-05-03-10201SP1232-01")</f>
        <v>2023-05-03-10201SP1232-01</v>
      </c>
      <c r="G2332" s="164"/>
      <c r="H2332" s="164" t="str">
        <f ca="1">IFERROR(__xludf.DUMMYFUNCTION("""COMPUTED_VALUE"""),"Ferolyn Joy J. Timtiman")</f>
        <v>Ferolyn Joy J. Timtiman</v>
      </c>
      <c r="I2332" s="164" t="str">
        <f ca="1">IFERROR(__xludf.DUMMYFUNCTION("""COMPUTED_VALUE"""),"OIC - CARPO")</f>
        <v>OIC - CARPO</v>
      </c>
      <c r="J2332" s="164" t="str">
        <f ca="1">IFERROR(__xludf.DUMMYFUNCTION("""COMPUTED_VALUE"""),"2023-04-033")</f>
        <v>2023-04-033</v>
      </c>
      <c r="K2332" s="164" t="str">
        <f ca="1">IFERROR(__xludf.DUMMYFUNCTION("""COMPUTED_VALUE"""),"Ferolyn Joy J. Tim yiman")</f>
        <v>Ferolyn Joy J. Tim yiman</v>
      </c>
      <c r="L2332" s="164" t="str">
        <f ca="1">IFERROR(__xludf.DUMMYFUNCTION("""COMPUTED_VALUE"""),"SPLIT/LTID")</f>
        <v>SPLIT/LTID</v>
      </c>
      <c r="M2332" s="164" t="str">
        <f ca="1">IFERROR(__xludf.DUMMYFUNCTION("""COMPUTED_VALUE"""),"SERVICEABLE")</f>
        <v>SERVICEABLE</v>
      </c>
      <c r="N2332" s="164"/>
    </row>
    <row r="2333" spans="1:14" ht="13.2" hidden="1">
      <c r="A2333" s="164" t="str">
        <f ca="1">IFERROR(__xludf.DUMMYFUNCTION("""COMPUTED_VALUE"""),"Region VI")</f>
        <v>Region VI</v>
      </c>
      <c r="B2333" s="164" t="str">
        <f ca="1">IFERROR(__xludf.DUMMYFUNCTION("""COMPUTED_VALUE"""),"REGIONAL OFFICE")</f>
        <v>REGIONAL OFFICE</v>
      </c>
      <c r="C2333" s="164" t="str">
        <f ca="1">IFERROR(__xludf.DUMMYFUNCTION("""COMPUTED_VALUE"""),"Desktop Computer – (Lenovo M70T)")</f>
        <v>Desktop Computer – (Lenovo M70T)</v>
      </c>
      <c r="D2333" s="164" t="str">
        <f ca="1">IFERROR(__xludf.DUMMYFUNCTION("""COMPUTED_VALUE"""),"₱ 75,468.00")</f>
        <v>₱ 75,468.00</v>
      </c>
      <c r="E2333" s="164"/>
      <c r="F2333" s="164" t="str">
        <f ca="1">IFERROR(__xludf.DUMMYFUNCTION("""COMPUTED_VALUE"""),"2023-05-03-10201SP1228-01")</f>
        <v>2023-05-03-10201SP1228-01</v>
      </c>
      <c r="G2333" s="164"/>
      <c r="H2333" s="164" t="str">
        <f ca="1">IFERROR(__xludf.DUMMYFUNCTION("""COMPUTED_VALUE"""),"Sonia C. Montinola")</f>
        <v>Sonia C. Montinola</v>
      </c>
      <c r="I2333" s="164" t="str">
        <f ca="1">IFERROR(__xludf.DUMMYFUNCTION("""COMPUTED_VALUE"""),"SARPO")</f>
        <v>SARPO</v>
      </c>
      <c r="J2333" s="164" t="str">
        <f ca="1">IFERROR(__xludf.DUMMYFUNCTION("""COMPUTED_VALUE"""),"2023-04-034")</f>
        <v>2023-04-034</v>
      </c>
      <c r="K2333" s="164" t="str">
        <f ca="1">IFERROR(__xludf.DUMMYFUNCTION("""COMPUTED_VALUE"""),"Sonia C. Montinola")</f>
        <v>Sonia C. Montinola</v>
      </c>
      <c r="L2333" s="164" t="str">
        <f ca="1">IFERROR(__xludf.DUMMYFUNCTION("""COMPUTED_VALUE"""),"PBDD")</f>
        <v>PBDD</v>
      </c>
      <c r="M2333" s="164" t="str">
        <f ca="1">IFERROR(__xludf.DUMMYFUNCTION("""COMPUTED_VALUE"""),"SERVICEABLE")</f>
        <v>SERVICEABLE</v>
      </c>
      <c r="N2333" s="164"/>
    </row>
    <row r="2334" spans="1:14" ht="13.2" hidden="1">
      <c r="A2334" s="164" t="str">
        <f ca="1">IFERROR(__xludf.DUMMYFUNCTION("""COMPUTED_VALUE"""),"Region VI")</f>
        <v>Region VI</v>
      </c>
      <c r="B2334" s="164" t="str">
        <f ca="1">IFERROR(__xludf.DUMMYFUNCTION("""COMPUTED_VALUE"""),"REGIONAL OFFICE")</f>
        <v>REGIONAL OFFICE</v>
      </c>
      <c r="C2334" s="164" t="str">
        <f ca="1">IFERROR(__xludf.DUMMYFUNCTION("""COMPUTED_VALUE"""),"Desktop Computer – (HP Pro SFF 280G9)")</f>
        <v>Desktop Computer – (HP Pro SFF 280G9)</v>
      </c>
      <c r="D2334" s="164" t="str">
        <f ca="1">IFERROR(__xludf.DUMMYFUNCTION("""COMPUTED_VALUE"""),"₱ 78,898.00")</f>
        <v>₱ 78,898.00</v>
      </c>
      <c r="E2334" s="164"/>
      <c r="F2334" s="164" t="str">
        <f ca="1">IFERROR(__xludf.DUMMYFUNCTION("""COMPUTED_VALUE"""),"2023-05-03-10201SP83-01")</f>
        <v>2023-05-03-10201SP83-01</v>
      </c>
      <c r="G2334" s="164"/>
      <c r="H2334" s="164" t="str">
        <f ca="1">IFERROR(__xludf.DUMMYFUNCTION("""COMPUTED_VALUE"""),"Luzviminda A. De la Cruz")</f>
        <v>Luzviminda A. De la Cruz</v>
      </c>
      <c r="I2334" s="164" t="str">
        <f ca="1">IFERROR(__xludf.DUMMYFUNCTION("""COMPUTED_VALUE"""),"Records Officer III")</f>
        <v>Records Officer III</v>
      </c>
      <c r="J2334" s="164" t="str">
        <f ca="1">IFERROR(__xludf.DUMMYFUNCTION("""COMPUTED_VALUE"""),"2023-09-036")</f>
        <v>2023-09-036</v>
      </c>
      <c r="K2334" s="164" t="str">
        <f ca="1">IFERROR(__xludf.DUMMYFUNCTION("""COMPUTED_VALUE"""),"Luzviminda A. De la Cruz")</f>
        <v>Luzviminda A. De la Cruz</v>
      </c>
      <c r="L2334" s="164" t="str">
        <f ca="1">IFERROR(__xludf.DUMMYFUNCTION("""COMPUTED_VALUE"""),"Records Section")</f>
        <v>Records Section</v>
      </c>
      <c r="M2334" s="164" t="str">
        <f ca="1">IFERROR(__xludf.DUMMYFUNCTION("""COMPUTED_VALUE"""),"SERVICEABLE")</f>
        <v>SERVICEABLE</v>
      </c>
      <c r="N2334" s="164"/>
    </row>
    <row r="2335" spans="1:14" ht="13.2" hidden="1">
      <c r="A2335" s="164" t="str">
        <f ca="1">IFERROR(__xludf.DUMMYFUNCTION("""COMPUTED_VALUE"""),"Region VI")</f>
        <v>Region VI</v>
      </c>
      <c r="B2335" s="164" t="str">
        <f ca="1">IFERROR(__xludf.DUMMYFUNCTION("""COMPUTED_VALUE"""),"REGIONAL OFFICE")</f>
        <v>REGIONAL OFFICE</v>
      </c>
      <c r="C2335" s="164" t="str">
        <f ca="1">IFERROR(__xludf.DUMMYFUNCTION("""COMPUTED_VALUE"""),"Desktop Computer – (HP Pro SFF 280G9)")</f>
        <v>Desktop Computer – (HP Pro SFF 280G9)</v>
      </c>
      <c r="D2335" s="164" t="str">
        <f ca="1">IFERROR(__xludf.DUMMYFUNCTION("""COMPUTED_VALUE"""),"₱ 78,898.00")</f>
        <v>₱ 78,898.00</v>
      </c>
      <c r="E2335" s="164"/>
      <c r="F2335" s="164" t="str">
        <f ca="1">IFERROR(__xludf.DUMMYFUNCTION("""COMPUTED_VALUE"""),"2023-05-03-10201SP84-01")</f>
        <v>2023-05-03-10201SP84-01</v>
      </c>
      <c r="G2335" s="164"/>
      <c r="H2335" s="164" t="str">
        <f ca="1">IFERROR(__xludf.DUMMYFUNCTION("""COMPUTED_VALUE"""),"Jo-Ann S. Balogo")</f>
        <v>Jo-Ann S. Balogo</v>
      </c>
      <c r="I2335" s="164" t="str">
        <f ca="1">IFERROR(__xludf.DUMMYFUNCTION("""COMPUTED_VALUE"""),"AA VI")</f>
        <v>AA VI</v>
      </c>
      <c r="J2335" s="164" t="str">
        <f ca="1">IFERROR(__xludf.DUMMYFUNCTION("""COMPUTED_VALUE"""),"2023-09-037")</f>
        <v>2023-09-037</v>
      </c>
      <c r="K2335" s="164" t="str">
        <f ca="1">IFERROR(__xludf.DUMMYFUNCTION("""COMPUTED_VALUE"""),"Jo-Ann S. Balogo")</f>
        <v>Jo-Ann S. Balogo</v>
      </c>
      <c r="L2335" s="164" t="str">
        <f ca="1">IFERROR(__xludf.DUMMYFUNCTION("""COMPUTED_VALUE"""),"Office of the Regional Director")</f>
        <v>Office of the Regional Director</v>
      </c>
      <c r="M2335" s="164" t="str">
        <f ca="1">IFERROR(__xludf.DUMMYFUNCTION("""COMPUTED_VALUE"""),"SERVICEABLE")</f>
        <v>SERVICEABLE</v>
      </c>
      <c r="N2335" s="164"/>
    </row>
    <row r="2336" spans="1:14" ht="13.2" hidden="1">
      <c r="A2336" s="164" t="str">
        <f ca="1">IFERROR(__xludf.DUMMYFUNCTION("""COMPUTED_VALUE"""),"Region VI")</f>
        <v>Region VI</v>
      </c>
      <c r="B2336" s="164" t="str">
        <f ca="1">IFERROR(__xludf.DUMMYFUNCTION("""COMPUTED_VALUE"""),"REGIONAL OFFICE")</f>
        <v>REGIONAL OFFICE</v>
      </c>
      <c r="C2336" s="164" t="str">
        <f ca="1">IFERROR(__xludf.DUMMYFUNCTION("""COMPUTED_VALUE"""),"Desktop Computer – (HP Pro SFF 280G9)")</f>
        <v>Desktop Computer – (HP Pro SFF 280G9)</v>
      </c>
      <c r="D2336" s="164" t="str">
        <f ca="1">IFERROR(__xludf.DUMMYFUNCTION("""COMPUTED_VALUE"""),"₱ 78,898.00")</f>
        <v>₱ 78,898.00</v>
      </c>
      <c r="E2336" s="164"/>
      <c r="F2336" s="164" t="str">
        <f ca="1">IFERROR(__xludf.DUMMYFUNCTION("""COMPUTED_VALUE"""),"2023-05-03-10201SP85-01")</f>
        <v>2023-05-03-10201SP85-01</v>
      </c>
      <c r="G2336" s="164"/>
      <c r="H2336" s="164" t="str">
        <f ca="1">IFERROR(__xludf.DUMMYFUNCTION("""COMPUTED_VALUE"""),"Pamela S. Jamili")</f>
        <v>Pamela S. Jamili</v>
      </c>
      <c r="I2336" s="164" t="str">
        <f ca="1">IFERROR(__xludf.DUMMYFUNCTION("""COMPUTED_VALUE"""),"Statistician II")</f>
        <v>Statistician II</v>
      </c>
      <c r="J2336" s="164" t="str">
        <f ca="1">IFERROR(__xludf.DUMMYFUNCTION("""COMPUTED_VALUE"""),"2023-09-038")</f>
        <v>2023-09-038</v>
      </c>
      <c r="K2336" s="164" t="str">
        <f ca="1">IFERROR(__xludf.DUMMYFUNCTION("""COMPUTED_VALUE"""),"Pamela S. Jamili")</f>
        <v>Pamela S. Jamili</v>
      </c>
      <c r="L2336" s="164" t="str">
        <f ca="1">IFERROR(__xludf.DUMMYFUNCTION("""COMPUTED_VALUE"""),"Personnel Section")</f>
        <v>Personnel Section</v>
      </c>
      <c r="M2336" s="164" t="str">
        <f ca="1">IFERROR(__xludf.DUMMYFUNCTION("""COMPUTED_VALUE"""),"SERVICEABLE")</f>
        <v>SERVICEABLE</v>
      </c>
      <c r="N2336" s="164"/>
    </row>
    <row r="2337" spans="1:14" ht="13.2" hidden="1">
      <c r="A2337" s="164" t="str">
        <f ca="1">IFERROR(__xludf.DUMMYFUNCTION("""COMPUTED_VALUE"""),"Region VI")</f>
        <v>Region VI</v>
      </c>
      <c r="B2337" s="164" t="str">
        <f ca="1">IFERROR(__xludf.DUMMYFUNCTION("""COMPUTED_VALUE"""),"REGIONAL OFFICE")</f>
        <v>REGIONAL OFFICE</v>
      </c>
      <c r="C2337" s="164" t="str">
        <f ca="1">IFERROR(__xludf.DUMMYFUNCTION("""COMPUTED_VALUE"""),"Desktop Computer – (HP Pro SFF 280G9)")</f>
        <v>Desktop Computer – (HP Pro SFF 280G9)</v>
      </c>
      <c r="D2337" s="164" t="str">
        <f ca="1">IFERROR(__xludf.DUMMYFUNCTION("""COMPUTED_VALUE"""),"₱ 78,898.00")</f>
        <v>₱ 78,898.00</v>
      </c>
      <c r="E2337" s="164"/>
      <c r="F2337" s="164" t="str">
        <f ca="1">IFERROR(__xludf.DUMMYFUNCTION("""COMPUTED_VALUE"""),"2023-05-03-10201SP86-01")</f>
        <v>2023-05-03-10201SP86-01</v>
      </c>
      <c r="G2337" s="164"/>
      <c r="H2337" s="164" t="str">
        <f ca="1">IFERROR(__xludf.DUMMYFUNCTION("""COMPUTED_VALUE"""),"Ferolyn Joy J. Timtiman")</f>
        <v>Ferolyn Joy J. Timtiman</v>
      </c>
      <c r="I2337" s="164" t="str">
        <f ca="1">IFERROR(__xludf.DUMMYFUNCTION("""COMPUTED_VALUE"""),"OIC - CARPO")</f>
        <v>OIC - CARPO</v>
      </c>
      <c r="J2337" s="164" t="str">
        <f ca="1">IFERROR(__xludf.DUMMYFUNCTION("""COMPUTED_VALUE"""),"2023-09-039")</f>
        <v>2023-09-039</v>
      </c>
      <c r="K2337" s="164" t="str">
        <f ca="1">IFERROR(__xludf.DUMMYFUNCTION("""COMPUTED_VALUE"""),"Ferolyn Joy J. Tim yiman")</f>
        <v>Ferolyn Joy J. Tim yiman</v>
      </c>
      <c r="L2337" s="164" t="str">
        <f ca="1">IFERROR(__xludf.DUMMYFUNCTION("""COMPUTED_VALUE"""),"LTID")</f>
        <v>LTID</v>
      </c>
      <c r="M2337" s="164" t="str">
        <f ca="1">IFERROR(__xludf.DUMMYFUNCTION("""COMPUTED_VALUE"""),"SERVICEABLE")</f>
        <v>SERVICEABLE</v>
      </c>
      <c r="N2337" s="164"/>
    </row>
    <row r="2338" spans="1:14" ht="13.2" hidden="1">
      <c r="A2338" s="164" t="str">
        <f ca="1">IFERROR(__xludf.DUMMYFUNCTION("""COMPUTED_VALUE"""),"Region VI")</f>
        <v>Region VI</v>
      </c>
      <c r="B2338" s="164" t="str">
        <f ca="1">IFERROR(__xludf.DUMMYFUNCTION("""COMPUTED_VALUE"""),"REGIONAL OFFICE")</f>
        <v>REGIONAL OFFICE</v>
      </c>
      <c r="C2338" s="164" t="str">
        <f ca="1">IFERROR(__xludf.DUMMYFUNCTION("""COMPUTED_VALUE"""),"Desktop Computer – (HP Pro SFF 280G9)")</f>
        <v>Desktop Computer – (HP Pro SFF 280G9)</v>
      </c>
      <c r="D2338" s="164" t="str">
        <f ca="1">IFERROR(__xludf.DUMMYFUNCTION("""COMPUTED_VALUE"""),"₱ 78,898.00")</f>
        <v>₱ 78,898.00</v>
      </c>
      <c r="E2338" s="164"/>
      <c r="F2338" s="164" t="str">
        <f ca="1">IFERROR(__xludf.DUMMYFUNCTION("""COMPUTED_VALUE"""),"2023-05-03-10201SP87-01")</f>
        <v>2023-05-03-10201SP87-01</v>
      </c>
      <c r="G2338" s="164"/>
      <c r="H2338" s="164" t="str">
        <f ca="1">IFERROR(__xludf.DUMMYFUNCTION("""COMPUTED_VALUE"""),"Ferolyn Joy J. Timtiman")</f>
        <v>Ferolyn Joy J. Timtiman</v>
      </c>
      <c r="I2338" s="164" t="str">
        <f ca="1">IFERROR(__xludf.DUMMYFUNCTION("""COMPUTED_VALUE"""),"OIC - CARPO")</f>
        <v>OIC - CARPO</v>
      </c>
      <c r="J2338" s="164" t="str">
        <f ca="1">IFERROR(__xludf.DUMMYFUNCTION("""COMPUTED_VALUE"""),"2023-09-040")</f>
        <v>2023-09-040</v>
      </c>
      <c r="K2338" s="164" t="str">
        <f ca="1">IFERROR(__xludf.DUMMYFUNCTION("""COMPUTED_VALUE"""),"Ferolyn Joy J. Tim yiman")</f>
        <v>Ferolyn Joy J. Tim yiman</v>
      </c>
      <c r="L2338" s="164" t="str">
        <f ca="1">IFERROR(__xludf.DUMMYFUNCTION("""COMPUTED_VALUE"""),"LTID")</f>
        <v>LTID</v>
      </c>
      <c r="M2338" s="164" t="str">
        <f ca="1">IFERROR(__xludf.DUMMYFUNCTION("""COMPUTED_VALUE"""),"SERVICEABLE")</f>
        <v>SERVICEABLE</v>
      </c>
      <c r="N2338" s="164"/>
    </row>
    <row r="2339" spans="1:14" ht="13.2" hidden="1">
      <c r="A2339" s="164" t="str">
        <f ca="1">IFERROR(__xludf.DUMMYFUNCTION("""COMPUTED_VALUE"""),"Region VI")</f>
        <v>Region VI</v>
      </c>
      <c r="B2339" s="164" t="str">
        <f ca="1">IFERROR(__xludf.DUMMYFUNCTION("""COMPUTED_VALUE"""),"REGIONAL OFFICE")</f>
        <v>REGIONAL OFFICE</v>
      </c>
      <c r="C2339" s="164" t="str">
        <f ca="1">IFERROR(__xludf.DUMMYFUNCTION("""COMPUTED_VALUE"""),"Desktop Computer – (HP Pro SFF 280G9)")</f>
        <v>Desktop Computer – (HP Pro SFF 280G9)</v>
      </c>
      <c r="D2339" s="164" t="str">
        <f ca="1">IFERROR(__xludf.DUMMYFUNCTION("""COMPUTED_VALUE"""),"₱ 78,898.00")</f>
        <v>₱ 78,898.00</v>
      </c>
      <c r="E2339" s="164"/>
      <c r="F2339" s="164" t="str">
        <f ca="1">IFERROR(__xludf.DUMMYFUNCTION("""COMPUTED_VALUE"""),"2023-05-03-10201SP88-01")</f>
        <v>2023-05-03-10201SP88-01</v>
      </c>
      <c r="G2339" s="164"/>
      <c r="H2339" s="164" t="str">
        <f ca="1">IFERROR(__xludf.DUMMYFUNCTION("""COMPUTED_VALUE"""),"Engr. Raymund John Patriarca")</f>
        <v>Engr. Raymund John Patriarca</v>
      </c>
      <c r="I2339" s="164" t="str">
        <f ca="1">IFERROR(__xludf.DUMMYFUNCTION("""COMPUTED_VALUE"""),"Engineer III")</f>
        <v>Engineer III</v>
      </c>
      <c r="J2339" s="164" t="str">
        <f ca="1">IFERROR(__xludf.DUMMYFUNCTION("""COMPUTED_VALUE"""),"2023-09-044")</f>
        <v>2023-09-044</v>
      </c>
      <c r="K2339" s="164" t="str">
        <f ca="1">IFERROR(__xludf.DUMMYFUNCTION("""COMPUTED_VALUE"""),"Engr. Raymund John Patriarca")</f>
        <v>Engr. Raymund John Patriarca</v>
      </c>
      <c r="L2339" s="164" t="str">
        <f ca="1">IFERROR(__xludf.DUMMYFUNCTION("""COMPUTED_VALUE"""),"LTID")</f>
        <v>LTID</v>
      </c>
      <c r="M2339" s="164" t="str">
        <f ca="1">IFERROR(__xludf.DUMMYFUNCTION("""COMPUTED_VALUE"""),"SERVICEABLE")</f>
        <v>SERVICEABLE</v>
      </c>
      <c r="N2339" s="164"/>
    </row>
    <row r="2340" spans="1:14" ht="13.2" hidden="1">
      <c r="A2340" s="164" t="str">
        <f ca="1">IFERROR(__xludf.DUMMYFUNCTION("""COMPUTED_VALUE"""),"Region VI")</f>
        <v>Region VI</v>
      </c>
      <c r="B2340" s="164" t="str">
        <f ca="1">IFERROR(__xludf.DUMMYFUNCTION("""COMPUTED_VALUE"""),"REGIONAL OFFICE")</f>
        <v>REGIONAL OFFICE</v>
      </c>
      <c r="C2340" s="164" t="str">
        <f ca="1">IFERROR(__xludf.DUMMYFUNCTION("""COMPUTED_VALUE"""),"Desktop Computer – (HP Pro SFF 280G9)")</f>
        <v>Desktop Computer – (HP Pro SFF 280G9)</v>
      </c>
      <c r="D2340" s="164" t="str">
        <f ca="1">IFERROR(__xludf.DUMMYFUNCTION("""COMPUTED_VALUE"""),"₱ 78,898.00")</f>
        <v>₱ 78,898.00</v>
      </c>
      <c r="E2340" s="164"/>
      <c r="F2340" s="164" t="str">
        <f ca="1">IFERROR(__xludf.DUMMYFUNCTION("""COMPUTED_VALUE"""),"2023-05-03-10201SP89-01")</f>
        <v>2023-05-03-10201SP89-01</v>
      </c>
      <c r="G2340" s="164"/>
      <c r="H2340" s="164" t="str">
        <f ca="1">IFERROR(__xludf.DUMMYFUNCTION("""COMPUTED_VALUE"""),"Engr. Raymund John Patriarca")</f>
        <v>Engr. Raymund John Patriarca</v>
      </c>
      <c r="I2340" s="164" t="str">
        <f ca="1">IFERROR(__xludf.DUMMYFUNCTION("""COMPUTED_VALUE"""),"Engineer III")</f>
        <v>Engineer III</v>
      </c>
      <c r="J2340" s="164" t="str">
        <f ca="1">IFERROR(__xludf.DUMMYFUNCTION("""COMPUTED_VALUE"""),"2023-09-044")</f>
        <v>2023-09-044</v>
      </c>
      <c r="K2340" s="164" t="str">
        <f ca="1">IFERROR(__xludf.DUMMYFUNCTION("""COMPUTED_VALUE"""),"Engr. Raymund John Patriarca")</f>
        <v>Engr. Raymund John Patriarca</v>
      </c>
      <c r="L2340" s="164" t="str">
        <f ca="1">IFERROR(__xludf.DUMMYFUNCTION("""COMPUTED_VALUE"""),"LTID")</f>
        <v>LTID</v>
      </c>
      <c r="M2340" s="164" t="str">
        <f ca="1">IFERROR(__xludf.DUMMYFUNCTION("""COMPUTED_VALUE"""),"SERVICEABLE")</f>
        <v>SERVICEABLE</v>
      </c>
      <c r="N2340" s="164"/>
    </row>
    <row r="2341" spans="1:14" ht="13.2" hidden="1">
      <c r="A2341" s="164" t="str">
        <f ca="1">IFERROR(__xludf.DUMMYFUNCTION("""COMPUTED_VALUE"""),"Region VI")</f>
        <v>Region VI</v>
      </c>
      <c r="B2341" s="164" t="str">
        <f ca="1">IFERROR(__xludf.DUMMYFUNCTION("""COMPUTED_VALUE"""),"REGIONAL OFFICE")</f>
        <v>REGIONAL OFFICE</v>
      </c>
      <c r="C2341" s="164" t="str">
        <f ca="1">IFERROR(__xludf.DUMMYFUNCTION("""COMPUTED_VALUE"""),"Laptop – (ACER EXTENSA EX215-55G i7)")</f>
        <v>Laptop – (ACER EXTENSA EX215-55G i7)</v>
      </c>
      <c r="D2341" s="164" t="str">
        <f ca="1">IFERROR(__xludf.DUMMYFUNCTION("""COMPUTED_VALUE"""),"₱ 59,500.00")</f>
        <v>₱ 59,500.00</v>
      </c>
      <c r="E2341" s="164"/>
      <c r="F2341" s="164" t="str">
        <f ca="1">IFERROR(__xludf.DUMMYFUNCTION("""COMPUTED_VALUE"""),"2023-05-03-10201SP141-01")</f>
        <v>2023-05-03-10201SP141-01</v>
      </c>
      <c r="G2341" s="164"/>
      <c r="H2341" s="164" t="str">
        <f ca="1">IFERROR(__xludf.DUMMYFUNCTION("""COMPUTED_VALUE"""),"Ferolyn Joy J. Timtiman")</f>
        <v>Ferolyn Joy J. Timtiman</v>
      </c>
      <c r="I2341" s="164" t="str">
        <f ca="1">IFERROR(__xludf.DUMMYFUNCTION("""COMPUTED_VALUE"""),"OIC - CARPO")</f>
        <v>OIC - CARPO</v>
      </c>
      <c r="J2341" s="164" t="str">
        <f ca="1">IFERROR(__xludf.DUMMYFUNCTION("""COMPUTED_VALUE"""),"2023-09-041")</f>
        <v>2023-09-041</v>
      </c>
      <c r="K2341" s="164" t="str">
        <f ca="1">IFERROR(__xludf.DUMMYFUNCTION("""COMPUTED_VALUE"""),"Ferolyn Joy J. Timtiman")</f>
        <v>Ferolyn Joy J. Timtiman</v>
      </c>
      <c r="L2341" s="164" t="str">
        <f ca="1">IFERROR(__xludf.DUMMYFUNCTION("""COMPUTED_VALUE"""),"LTID")</f>
        <v>LTID</v>
      </c>
      <c r="M2341" s="164" t="str">
        <f ca="1">IFERROR(__xludf.DUMMYFUNCTION("""COMPUTED_VALUE"""),"SERVICEABLE")</f>
        <v>SERVICEABLE</v>
      </c>
      <c r="N2341" s="164"/>
    </row>
    <row r="2342" spans="1:14" ht="13.2" hidden="1">
      <c r="A2342" s="164" t="str">
        <f ca="1">IFERROR(__xludf.DUMMYFUNCTION("""COMPUTED_VALUE"""),"Region VI")</f>
        <v>Region VI</v>
      </c>
      <c r="B2342" s="164" t="str">
        <f ca="1">IFERROR(__xludf.DUMMYFUNCTION("""COMPUTED_VALUE"""),"REGIONAL OFFICE")</f>
        <v>REGIONAL OFFICE</v>
      </c>
      <c r="C2342" s="164" t="str">
        <f ca="1">IFERROR(__xludf.DUMMYFUNCTION("""COMPUTED_VALUE"""),"Laptop – (ACER EXTENSA EX215-55G i7)")</f>
        <v>Laptop – (ACER EXTENSA EX215-55G i7)</v>
      </c>
      <c r="D2342" s="164" t="str">
        <f ca="1">IFERROR(__xludf.DUMMYFUNCTION("""COMPUTED_VALUE"""),"₱ 59,500.00")</f>
        <v>₱ 59,500.00</v>
      </c>
      <c r="E2342" s="164"/>
      <c r="F2342" s="164" t="str">
        <f ca="1">IFERROR(__xludf.DUMMYFUNCTION("""COMPUTED_VALUE"""),"2023-05-03-10201SP142-01")</f>
        <v>2023-05-03-10201SP142-01</v>
      </c>
      <c r="G2342" s="164"/>
      <c r="H2342" s="164" t="str">
        <f ca="1">IFERROR(__xludf.DUMMYFUNCTION("""COMPUTED_VALUE"""),"Atty. Jose Maria C. Combatir")</f>
        <v>Atty. Jose Maria C. Combatir</v>
      </c>
      <c r="I2342" s="164" t="str">
        <f ca="1">IFERROR(__xludf.DUMMYFUNCTION("""COMPUTED_VALUE"""),"RARAD")</f>
        <v>RARAD</v>
      </c>
      <c r="J2342" s="164" t="str">
        <f ca="1">IFERROR(__xludf.DUMMYFUNCTION("""COMPUTED_VALUE"""),"2023-09-042")</f>
        <v>2023-09-042</v>
      </c>
      <c r="K2342" s="164" t="str">
        <f ca="1">IFERROR(__xludf.DUMMYFUNCTION("""COMPUTED_VALUE"""),"Atty. Jose Maria C. Combatir")</f>
        <v>Atty. Jose Maria C. Combatir</v>
      </c>
      <c r="L2342" s="164" t="str">
        <f ca="1">IFERROR(__xludf.DUMMYFUNCTION("""COMPUTED_VALUE"""),"DARAB")</f>
        <v>DARAB</v>
      </c>
      <c r="M2342" s="164" t="str">
        <f ca="1">IFERROR(__xludf.DUMMYFUNCTION("""COMPUTED_VALUE"""),"SERVICEABLE")</f>
        <v>SERVICEABLE</v>
      </c>
      <c r="N2342" s="164"/>
    </row>
    <row r="2343" spans="1:14" ht="13.2" hidden="1">
      <c r="A2343" s="164" t="str">
        <f ca="1">IFERROR(__xludf.DUMMYFUNCTION("""COMPUTED_VALUE"""),"Region VI")</f>
        <v>Region VI</v>
      </c>
      <c r="B2343" s="164" t="str">
        <f ca="1">IFERROR(__xludf.DUMMYFUNCTION("""COMPUTED_VALUE"""),"REGIONAL OFFICE")</f>
        <v>REGIONAL OFFICE</v>
      </c>
      <c r="C2343" s="164" t="str">
        <f ca="1">IFERROR(__xludf.DUMMYFUNCTION("""COMPUTED_VALUE"""),"Laptop – (ACER EXTENSA EX215-55G i7)")</f>
        <v>Laptop – (ACER EXTENSA EX215-55G i7)</v>
      </c>
      <c r="D2343" s="164" t="str">
        <f ca="1">IFERROR(__xludf.DUMMYFUNCTION("""COMPUTED_VALUE"""),"₱ 59,500.00")</f>
        <v>₱ 59,500.00</v>
      </c>
      <c r="E2343" s="164"/>
      <c r="F2343" s="164" t="str">
        <f ca="1">IFERROR(__xludf.DUMMYFUNCTION("""COMPUTED_VALUE"""),"2023-05-03-10201SP143-01")</f>
        <v>2023-05-03-10201SP143-01</v>
      </c>
      <c r="G2343" s="164"/>
      <c r="H2343" s="164" t="str">
        <f ca="1">IFERROR(__xludf.DUMMYFUNCTION("""COMPUTED_VALUE"""),"Melissa S. Dapat")</f>
        <v>Melissa S. Dapat</v>
      </c>
      <c r="I2343" s="164" t="str">
        <f ca="1">IFERROR(__xludf.DUMMYFUNCTION("""COMPUTED_VALUE"""),"INFOSA")</f>
        <v>INFOSA</v>
      </c>
      <c r="J2343" s="164" t="str">
        <f ca="1">IFERROR(__xludf.DUMMYFUNCTION("""COMPUTED_VALUE"""),"2023-09-043")</f>
        <v>2023-09-043</v>
      </c>
      <c r="K2343" s="164" t="str">
        <f ca="1">IFERROR(__xludf.DUMMYFUNCTION("""COMPUTED_VALUE"""),"Melissa S. Dapat")</f>
        <v>Melissa S. Dapat</v>
      </c>
      <c r="L2343" s="164" t="str">
        <f ca="1">IFERROR(__xludf.DUMMYFUNCTION("""COMPUTED_VALUE"""),"Planning Unit")</f>
        <v>Planning Unit</v>
      </c>
      <c r="M2343" s="164" t="str">
        <f ca="1">IFERROR(__xludf.DUMMYFUNCTION("""COMPUTED_VALUE"""),"SERVICEABLE")</f>
        <v>SERVICEABLE</v>
      </c>
      <c r="N2343" s="164"/>
    </row>
    <row r="2344" spans="1:14" ht="13.2" hidden="1">
      <c r="A2344" s="164" t="str">
        <f ca="1">IFERROR(__xludf.DUMMYFUNCTION("""COMPUTED_VALUE"""),"Region VI")</f>
        <v>Region VI</v>
      </c>
      <c r="B2344" s="164" t="str">
        <f ca="1">IFERROR(__xludf.DUMMYFUNCTION("""COMPUTED_VALUE"""),"REGIONAL OFFICE")</f>
        <v>REGIONAL OFFICE</v>
      </c>
      <c r="C2344" s="164" t="str">
        <f ca="1">IFERROR(__xludf.DUMMYFUNCTION("""COMPUTED_VALUE"""),"Laptop – (ACER EXTENSA EX215-55G i7)")</f>
        <v>Laptop – (ACER EXTENSA EX215-55G i7)</v>
      </c>
      <c r="D2344" s="164" t="str">
        <f ca="1">IFERROR(__xludf.DUMMYFUNCTION("""COMPUTED_VALUE"""),"₱ 59,500.00")</f>
        <v>₱ 59,500.00</v>
      </c>
      <c r="E2344" s="164"/>
      <c r="F2344" s="164" t="str">
        <f ca="1">IFERROR(__xludf.DUMMYFUNCTION("""COMPUTED_VALUE"""),"2023-05-03-10201SP050-01")</f>
        <v>2023-05-03-10201SP050-01</v>
      </c>
      <c r="G2344" s="164"/>
      <c r="H2344" s="164" t="str">
        <f ca="1">IFERROR(__xludf.DUMMYFUNCTION("""COMPUTED_VALUE"""),"Leena Faith A. Villanueva")</f>
        <v>Leena Faith A. Villanueva</v>
      </c>
      <c r="I2344" s="164" t="str">
        <f ca="1">IFERROR(__xludf.DUMMYFUNCTION("""COMPUTED_VALUE"""),"Information Officer III")</f>
        <v>Information Officer III</v>
      </c>
      <c r="J2344" s="164" t="str">
        <f ca="1">IFERROR(__xludf.DUMMYFUNCTION("""COMPUTED_VALUE"""),"2023-07-035")</f>
        <v>2023-07-035</v>
      </c>
      <c r="K2344" s="164" t="str">
        <f ca="1">IFERROR(__xludf.DUMMYFUNCTION("""COMPUTED_VALUE"""),"Leena Faith A. Villanueva")</f>
        <v>Leena Faith A. Villanueva</v>
      </c>
      <c r="L2344" s="164" t="str">
        <f ca="1">IFERROR(__xludf.DUMMYFUNCTION("""COMPUTED_VALUE"""),"Information &amp; Education Unit")</f>
        <v>Information &amp; Education Unit</v>
      </c>
      <c r="M2344" s="164" t="str">
        <f ca="1">IFERROR(__xludf.DUMMYFUNCTION("""COMPUTED_VALUE"""),"SERVICEABLE")</f>
        <v>SERVICEABLE</v>
      </c>
      <c r="N2344" s="164"/>
    </row>
    <row r="2345" spans="1:14" ht="13.2" hidden="1">
      <c r="A2345" s="164" t="str">
        <f ca="1">IFERROR(__xludf.DUMMYFUNCTION("""COMPUTED_VALUE"""),"Region VI")</f>
        <v>Region VI</v>
      </c>
      <c r="B2345" s="164" t="str">
        <f ca="1">IFERROR(__xludf.DUMMYFUNCTION("""COMPUTED_VALUE"""),"REGIONAL OFFICE")</f>
        <v>REGIONAL OFFICE</v>
      </c>
      <c r="C2345" s="164" t="str">
        <f ca="1">IFERROR(__xludf.DUMMYFUNCTION("""COMPUTED_VALUE"""),"A3 PRINTER (BROTHER)")</f>
        <v>A3 PRINTER (BROTHER)</v>
      </c>
      <c r="D2345" s="164" t="str">
        <f ca="1">IFERROR(__xludf.DUMMYFUNCTION("""COMPUTED_VALUE"""),"₱ 33,508.00")</f>
        <v>₱ 33,508.00</v>
      </c>
      <c r="E2345" s="164"/>
      <c r="F2345" s="164" t="str">
        <f ca="1">IFERROR(__xludf.DUMMYFUNCTION("""COMPUTED_VALUE"""),"HV-SPLIT-102-24-05-044")</f>
        <v>HV-SPLIT-102-24-05-044</v>
      </c>
      <c r="G2345" s="164"/>
      <c r="H2345" s="164" t="str">
        <f ca="1">IFERROR(__xludf.DUMMYFUNCTION("""COMPUTED_VALUE"""),"ATTY SHEILA B. ENCISO")</f>
        <v>ATTY SHEILA B. ENCISO</v>
      </c>
      <c r="I2345" s="164" t="str">
        <f ca="1">IFERROR(__xludf.DUMMYFUNCTION("""COMPUTED_VALUE"""),"Regional Director")</f>
        <v>Regional Director</v>
      </c>
      <c r="J2345" s="164" t="str">
        <f ca="1">IFERROR(__xludf.DUMMYFUNCTION("""COMPUTED_VALUE"""),"2024-03-007")</f>
        <v>2024-03-007</v>
      </c>
      <c r="K2345" s="164"/>
      <c r="L2345" s="164" t="str">
        <f ca="1">IFERROR(__xludf.DUMMYFUNCTION("""COMPUTED_VALUE"""),"DARRO VI")</f>
        <v>DARRO VI</v>
      </c>
      <c r="M2345" s="164" t="str">
        <f ca="1">IFERROR(__xludf.DUMMYFUNCTION("""COMPUTED_VALUE"""),"SERVICEABLE")</f>
        <v>SERVICEABLE</v>
      </c>
      <c r="N2345" s="164"/>
    </row>
    <row r="2346" spans="1:14" ht="13.2" hidden="1">
      <c r="A2346" s="164" t="str">
        <f ca="1">IFERROR(__xludf.DUMMYFUNCTION("""COMPUTED_VALUE"""),"Region VI")</f>
        <v>Region VI</v>
      </c>
      <c r="B2346" s="164" t="str">
        <f ca="1">IFERROR(__xludf.DUMMYFUNCTION("""COMPUTED_VALUE"""),"REGIONAL OFFICE")</f>
        <v>REGIONAL OFFICE</v>
      </c>
      <c r="C2346" s="164" t="str">
        <f ca="1">IFERROR(__xludf.DUMMYFUNCTION("""COMPUTED_VALUE"""),"PLOTTER (3IN1)")</f>
        <v>PLOTTER (3IN1)</v>
      </c>
      <c r="D2346" s="164" t="str">
        <f ca="1">IFERROR(__xludf.DUMMYFUNCTION("""COMPUTED_VALUE"""),"₱ 648,000.00")</f>
        <v>₱ 648,000.00</v>
      </c>
      <c r="E2346" s="164"/>
      <c r="F2346" s="164" t="str">
        <f ca="1">IFERROR(__xludf.DUMMYFUNCTION("""COMPUTED_VALUE"""),"2024-05-13-10204SP12-O1")</f>
        <v>2024-05-13-10204SP12-O1</v>
      </c>
      <c r="G2346" s="164"/>
      <c r="H2346" s="164" t="str">
        <f ca="1">IFERROR(__xludf.DUMMYFUNCTION("""COMPUTED_VALUE"""),"TBD")</f>
        <v>TBD</v>
      </c>
      <c r="I2346" s="164" t="str">
        <f ca="1">IFERROR(__xludf.DUMMYFUNCTION("""COMPUTED_VALUE"""),"TBD")</f>
        <v>TBD</v>
      </c>
      <c r="J2346" s="164" t="str">
        <f ca="1">IFERROR(__xludf.DUMMYFUNCTION("""COMPUTED_VALUE"""),"TBD")</f>
        <v>TBD</v>
      </c>
      <c r="K2346" s="164" t="str">
        <f ca="1">IFERROR(__xludf.DUMMYFUNCTION("""COMPUTED_VALUE"""),"TBD")</f>
        <v>TBD</v>
      </c>
      <c r="L2346" s="164" t="str">
        <f ca="1">IFERROR(__xludf.DUMMYFUNCTION("""COMPUTED_VALUE"""),"TBD")</f>
        <v>TBD</v>
      </c>
      <c r="M2346" s="164" t="str">
        <f ca="1">IFERROR(__xludf.DUMMYFUNCTION("""COMPUTED_VALUE"""),"SERVICEABLE")</f>
        <v>SERVICEABLE</v>
      </c>
      <c r="N2346" s="164"/>
    </row>
    <row r="2347" spans="1:14" ht="13.2" hidden="1">
      <c r="A2347" s="164" t="str">
        <f ca="1">IFERROR(__xludf.DUMMYFUNCTION("""COMPUTED_VALUE"""),"Region VI")</f>
        <v>Region VI</v>
      </c>
      <c r="B2347" s="164" t="str">
        <f ca="1">IFERROR(__xludf.DUMMYFUNCTION("""COMPUTED_VALUE"""),"REGIONAL OFFICE")</f>
        <v>REGIONAL OFFICE</v>
      </c>
      <c r="C2347" s="164" t="str">
        <f ca="1">IFERROR(__xludf.DUMMYFUNCTION("""COMPUTED_VALUE"""),"ACER TRAVELMATE")</f>
        <v>ACER TRAVELMATE</v>
      </c>
      <c r="D2347" s="164" t="str">
        <f ca="1">IFERROR(__xludf.DUMMYFUNCTION("""COMPUTED_VALUE"""),"₱ 46,580.00")</f>
        <v>₱ 46,580.00</v>
      </c>
      <c r="E2347" s="164"/>
      <c r="F2347" s="164" t="str">
        <f ca="1">IFERROR(__xludf.DUMMYFUNCTION("""COMPUTED_VALUE"""),"2024-05-03-10202SP-312-01")</f>
        <v>2024-05-03-10202SP-312-01</v>
      </c>
      <c r="G2347" s="164"/>
      <c r="H2347" s="164" t="str">
        <f ca="1">IFERROR(__xludf.DUMMYFUNCTION("""COMPUTED_VALUE"""),"LEENA FAITH VILLANUEVA")</f>
        <v>LEENA FAITH VILLANUEVA</v>
      </c>
      <c r="I2347" s="164" t="str">
        <f ca="1">IFERROR(__xludf.DUMMYFUNCTION("""COMPUTED_VALUE"""),"Information Officer III")</f>
        <v>Information Officer III</v>
      </c>
      <c r="J2347" s="164"/>
      <c r="K2347" s="164" t="str">
        <f ca="1">IFERROR(__xludf.DUMMYFUNCTION("""COMPUTED_VALUE"""),"LEENA FAITH VILLANUEVA")</f>
        <v>LEENA FAITH VILLANUEVA</v>
      </c>
      <c r="L2347" s="164" t="str">
        <f ca="1">IFERROR(__xludf.DUMMYFUNCTION("""COMPUTED_VALUE"""),"Information &amp; Education Unit")</f>
        <v>Information &amp; Education Unit</v>
      </c>
      <c r="M2347" s="164" t="str">
        <f ca="1">IFERROR(__xludf.DUMMYFUNCTION("""COMPUTED_VALUE"""),"SERVICEABLE")</f>
        <v>SERVICEABLE</v>
      </c>
      <c r="N2347" s="164"/>
    </row>
    <row r="2348" spans="1:14" ht="13.2" hidden="1">
      <c r="A2348" s="164" t="str">
        <f ca="1">IFERROR(__xludf.DUMMYFUNCTION("""COMPUTED_VALUE"""),"Region VI")</f>
        <v>Region VI</v>
      </c>
      <c r="B2348" s="164" t="str">
        <f ca="1">IFERROR(__xludf.DUMMYFUNCTION("""COMPUTED_VALUE"""),"REGIONAL OFFICE")</f>
        <v>REGIONAL OFFICE</v>
      </c>
      <c r="C2348" s="164" t="str">
        <f ca="1">IFERROR(__xludf.DUMMYFUNCTION("""COMPUTED_VALUE"""),"ACER TRAVELMATE")</f>
        <v>ACER TRAVELMATE</v>
      </c>
      <c r="D2348" s="164" t="str">
        <f ca="1">IFERROR(__xludf.DUMMYFUNCTION("""COMPUTED_VALUE"""),"₱ 46,580.00")</f>
        <v>₱ 46,580.00</v>
      </c>
      <c r="E2348" s="164"/>
      <c r="F2348" s="164" t="str">
        <f ca="1">IFERROR(__xludf.DUMMYFUNCTION("""COMPUTED_VALUE"""),"2024-05-03-10202SP-252-01")</f>
        <v>2024-05-03-10202SP-252-01</v>
      </c>
      <c r="G2348" s="164"/>
      <c r="H2348" s="164" t="str">
        <f ca="1">IFERROR(__xludf.DUMMYFUNCTION("""COMPUTED_VALUE"""),"SONIA S MONTINOLA")</f>
        <v>SONIA S MONTINOLA</v>
      </c>
      <c r="I2348" s="164" t="str">
        <f ca="1">IFERROR(__xludf.DUMMYFUNCTION("""COMPUTED_VALUE"""),"ESS COORDINATOR")</f>
        <v>ESS COORDINATOR</v>
      </c>
      <c r="J2348" s="164"/>
      <c r="K2348" s="164" t="str">
        <f ca="1">IFERROR(__xludf.DUMMYFUNCTION("""COMPUTED_VALUE"""),"SONIA S MONTINOLA")</f>
        <v>SONIA S MONTINOLA</v>
      </c>
      <c r="L2348" s="164" t="str">
        <f ca="1">IFERROR(__xludf.DUMMYFUNCTION("""COMPUTED_VALUE"""),"DARRO VI")</f>
        <v>DARRO VI</v>
      </c>
      <c r="M2348" s="164" t="str">
        <f ca="1">IFERROR(__xludf.DUMMYFUNCTION("""COMPUTED_VALUE"""),"SERVICEABLE")</f>
        <v>SERVICEABLE</v>
      </c>
      <c r="N2348" s="164"/>
    </row>
    <row r="2349" spans="1:14" ht="13.2" hidden="1">
      <c r="A2349" s="164" t="str">
        <f ca="1">IFERROR(__xludf.DUMMYFUNCTION("""COMPUTED_VALUE"""),"Region VI")</f>
        <v>Region VI</v>
      </c>
      <c r="B2349" s="164" t="str">
        <f ca="1">IFERROR(__xludf.DUMMYFUNCTION("""COMPUTED_VALUE"""),"ILOILO")</f>
        <v>ILOILO</v>
      </c>
      <c r="C2349" s="164" t="str">
        <f ca="1">IFERROR(__xludf.DUMMYFUNCTION("""COMPUTED_VALUE"""),"Photocopier Machine – Kyocera")</f>
        <v>Photocopier Machine – Kyocera</v>
      </c>
      <c r="D2349" s="164" t="str">
        <f ca="1">IFERROR(__xludf.DUMMYFUNCTION("""COMPUTED_VALUE"""),"₱ 84,500.00")</f>
        <v>₱ 84,500.00</v>
      </c>
      <c r="E2349" s="164"/>
      <c r="F2349" s="164" t="str">
        <f ca="1">IFERROR(__xludf.DUMMYFUNCTION("""COMPUTED_VALUE"""),"2022-05-02-10202SP48-01")</f>
        <v>2022-05-02-10202SP48-01</v>
      </c>
      <c r="G2349" s="164"/>
      <c r="H2349" s="164" t="str">
        <f ca="1">IFERROR(__xludf.DUMMYFUNCTION("""COMPUTED_VALUE"""),"HARRIET A. LOOT")</f>
        <v>HARRIET A. LOOT</v>
      </c>
      <c r="I2349" s="164" t="str">
        <f ca="1">IFERROR(__xludf.DUMMYFUNCTION("""COMPUTED_VALUE"""),"PARPO II")</f>
        <v>PARPO II</v>
      </c>
      <c r="J2349" s="164" t="str">
        <f ca="1">IFERROR(__xludf.DUMMYFUNCTION("""COMPUTED_VALUE"""),"2022-12-376")</f>
        <v>2022-12-376</v>
      </c>
      <c r="K2349" s="164" t="str">
        <f ca="1">IFERROR(__xludf.DUMMYFUNCTION("""COMPUTED_VALUE"""),"Project SPLIT Admin Office")</f>
        <v>Project SPLIT Admin Office</v>
      </c>
      <c r="L2349" s="164" t="str">
        <f ca="1">IFERROR(__xludf.DUMMYFUNCTION("""COMPUTED_VALUE"""),"Office of the PARPO")</f>
        <v>Office of the PARPO</v>
      </c>
      <c r="M2349" s="164" t="str">
        <f ca="1">IFERROR(__xludf.DUMMYFUNCTION("""COMPUTED_VALUE"""),"SERVICEABLE")</f>
        <v>SERVICEABLE</v>
      </c>
      <c r="N2349" s="164"/>
    </row>
    <row r="2350" spans="1:14" ht="13.2" hidden="1">
      <c r="A2350" s="164" t="str">
        <f ca="1">IFERROR(__xludf.DUMMYFUNCTION("""COMPUTED_VALUE"""),"Region VI")</f>
        <v>Region VI</v>
      </c>
      <c r="B2350" s="164" t="str">
        <f ca="1">IFERROR(__xludf.DUMMYFUNCTION("""COMPUTED_VALUE"""),"ILOILO")</f>
        <v>ILOILO</v>
      </c>
      <c r="C2350" s="164" t="str">
        <f ca="1">IFERROR(__xludf.DUMMYFUNCTION("""COMPUTED_VALUE"""),"Desktop Computer – (Lenovo M70T)")</f>
        <v>Desktop Computer – (Lenovo M70T)</v>
      </c>
      <c r="D2350" s="164" t="str">
        <f ca="1">IFERROR(__xludf.DUMMYFUNCTION("""COMPUTED_VALUE"""),"₱ 75,468.00")</f>
        <v>₱ 75,468.00</v>
      </c>
      <c r="E2350" s="164"/>
      <c r="F2350" s="164" t="str">
        <f ca="1">IFERROR(__xludf.DUMMYFUNCTION("""COMPUTED_VALUE"""),"2023-05-03-10201SP1187-01")</f>
        <v>2023-05-03-10201SP1187-01</v>
      </c>
      <c r="G2350" s="164"/>
      <c r="H2350" s="164" t="str">
        <f ca="1">IFERROR(__xludf.DUMMYFUNCTION("""COMPUTED_VALUE"""),"Niña Joy I. Godinez")</f>
        <v>Niña Joy I. Godinez</v>
      </c>
      <c r="I2350" s="164" t="str">
        <f ca="1">IFERROR(__xludf.DUMMYFUNCTION("""COMPUTED_VALUE"""),"ARPT")</f>
        <v>ARPT</v>
      </c>
      <c r="J2350" s="164" t="str">
        <f ca="1">IFERROR(__xludf.DUMMYFUNCTION("""COMPUTED_VALUE"""),"2023-04-393")</f>
        <v>2023-04-393</v>
      </c>
      <c r="K2350" s="164" t="str">
        <f ca="1">IFERROR(__xludf.DUMMYFUNCTION("""COMPUTED_VALUE"""),"Jenelyn Cerbas")</f>
        <v>Jenelyn Cerbas</v>
      </c>
      <c r="L2350" s="164" t="str">
        <f ca="1">IFERROR(__xludf.DUMMYFUNCTION("""COMPUTED_VALUE"""),"LTID")</f>
        <v>LTID</v>
      </c>
      <c r="M2350" s="164" t="str">
        <f ca="1">IFERROR(__xludf.DUMMYFUNCTION("""COMPUTED_VALUE"""),"SERVICEABLE")</f>
        <v>SERVICEABLE</v>
      </c>
      <c r="N2350" s="164"/>
    </row>
    <row r="2351" spans="1:14" ht="13.2" hidden="1">
      <c r="A2351" s="164" t="str">
        <f ca="1">IFERROR(__xludf.DUMMYFUNCTION("""COMPUTED_VALUE"""),"Region VI")</f>
        <v>Region VI</v>
      </c>
      <c r="B2351" s="164" t="str">
        <f ca="1">IFERROR(__xludf.DUMMYFUNCTION("""COMPUTED_VALUE"""),"ILOILO")</f>
        <v>ILOILO</v>
      </c>
      <c r="C2351" s="164" t="str">
        <f ca="1">IFERROR(__xludf.DUMMYFUNCTION("""COMPUTED_VALUE"""),"Desktop Computer – (Lenovo M70T)")</f>
        <v>Desktop Computer – (Lenovo M70T)</v>
      </c>
      <c r="D2351" s="164" t="str">
        <f ca="1">IFERROR(__xludf.DUMMYFUNCTION("""COMPUTED_VALUE"""),"₱ 75,468.00")</f>
        <v>₱ 75,468.00</v>
      </c>
      <c r="E2351" s="164"/>
      <c r="F2351" s="164" t="str">
        <f ca="1">IFERROR(__xludf.DUMMYFUNCTION("""COMPUTED_VALUE"""),"2023-05-03-10201SP1188-01")</f>
        <v>2023-05-03-10201SP1188-01</v>
      </c>
      <c r="G2351" s="164"/>
      <c r="H2351" s="164" t="str">
        <f ca="1">IFERROR(__xludf.DUMMYFUNCTION("""COMPUTED_VALUE"""),"Myra E. Alacre")</f>
        <v>Myra E. Alacre</v>
      </c>
      <c r="I2351" s="164" t="str">
        <f ca="1">IFERROR(__xludf.DUMMYFUNCTION("""COMPUTED_VALUE"""),"Senior Agrarian Reform Program Technologist")</f>
        <v>Senior Agrarian Reform Program Technologist</v>
      </c>
      <c r="J2351" s="164" t="str">
        <f ca="1">IFERROR(__xludf.DUMMYFUNCTION("""COMPUTED_VALUE"""),"2023-04-394")</f>
        <v>2023-04-394</v>
      </c>
      <c r="K2351" s="164" t="str">
        <f ca="1">IFERROR(__xludf.DUMMYFUNCTION("""COMPUTED_VALUE"""),"Patrick Ryan C. Huyan(COS - SPLIT)")</f>
        <v>Patrick Ryan C. Huyan(COS - SPLIT)</v>
      </c>
      <c r="L2351" s="164" t="str">
        <f ca="1">IFERROR(__xludf.DUMMYFUNCTION("""COMPUTED_VALUE"""),"LTID")</f>
        <v>LTID</v>
      </c>
      <c r="M2351" s="164" t="str">
        <f ca="1">IFERROR(__xludf.DUMMYFUNCTION("""COMPUTED_VALUE"""),"SERVICEABLE")</f>
        <v>SERVICEABLE</v>
      </c>
      <c r="N2351" s="164"/>
    </row>
    <row r="2352" spans="1:14" ht="13.2" hidden="1">
      <c r="A2352" s="164" t="str">
        <f ca="1">IFERROR(__xludf.DUMMYFUNCTION("""COMPUTED_VALUE"""),"Region VI")</f>
        <v>Region VI</v>
      </c>
      <c r="B2352" s="164" t="str">
        <f ca="1">IFERROR(__xludf.DUMMYFUNCTION("""COMPUTED_VALUE"""),"ILOILO")</f>
        <v>ILOILO</v>
      </c>
      <c r="C2352" s="164" t="str">
        <f ca="1">IFERROR(__xludf.DUMMYFUNCTION("""COMPUTED_VALUE"""),"Desktop Computer – (Lenovo M70T)")</f>
        <v>Desktop Computer – (Lenovo M70T)</v>
      </c>
      <c r="D2352" s="164" t="str">
        <f ca="1">IFERROR(__xludf.DUMMYFUNCTION("""COMPUTED_VALUE"""),"₱ 75,468.00")</f>
        <v>₱ 75,468.00</v>
      </c>
      <c r="E2352" s="164"/>
      <c r="F2352" s="164" t="str">
        <f ca="1">IFERROR(__xludf.DUMMYFUNCTION("""COMPUTED_VALUE"""),"2023-05-03-10201SP1189-01")</f>
        <v>2023-05-03-10201SP1189-01</v>
      </c>
      <c r="G2352" s="164"/>
      <c r="H2352" s="164" t="str">
        <f ca="1">IFERROR(__xludf.DUMMYFUNCTION("""COMPUTED_VALUE"""),"Alfred B. Beare")</f>
        <v>Alfred B. Beare</v>
      </c>
      <c r="I2352" s="164" t="str">
        <f ca="1">IFERROR(__xludf.DUMMYFUNCTION("""COMPUTED_VALUE"""),"CARPO-LTID")</f>
        <v>CARPO-LTID</v>
      </c>
      <c r="J2352" s="164" t="str">
        <f ca="1">IFERROR(__xludf.DUMMYFUNCTION("""COMPUTED_VALUE"""),"2023-04-395")</f>
        <v>2023-04-395</v>
      </c>
      <c r="K2352" s="164" t="str">
        <f ca="1">IFERROR(__xludf.DUMMYFUNCTION("""COMPUTED_VALUE"""),"Theresa Hortillosa")</f>
        <v>Theresa Hortillosa</v>
      </c>
      <c r="L2352" s="164" t="str">
        <f ca="1">IFERROR(__xludf.DUMMYFUNCTION("""COMPUTED_VALUE"""),"LTID")</f>
        <v>LTID</v>
      </c>
      <c r="M2352" s="164" t="str">
        <f ca="1">IFERROR(__xludf.DUMMYFUNCTION("""COMPUTED_VALUE"""),"SERVICEABLE")</f>
        <v>SERVICEABLE</v>
      </c>
      <c r="N2352" s="164"/>
    </row>
    <row r="2353" spans="1:14" ht="13.2" hidden="1">
      <c r="A2353" s="164" t="str">
        <f ca="1">IFERROR(__xludf.DUMMYFUNCTION("""COMPUTED_VALUE"""),"Region VI")</f>
        <v>Region VI</v>
      </c>
      <c r="B2353" s="164" t="str">
        <f ca="1">IFERROR(__xludf.DUMMYFUNCTION("""COMPUTED_VALUE"""),"ILOILO")</f>
        <v>ILOILO</v>
      </c>
      <c r="C2353" s="164" t="str">
        <f ca="1">IFERROR(__xludf.DUMMYFUNCTION("""COMPUTED_VALUE"""),"Desktop Computer – (Lenovo M70T)")</f>
        <v>Desktop Computer – (Lenovo M70T)</v>
      </c>
      <c r="D2353" s="164" t="str">
        <f ca="1">IFERROR(__xludf.DUMMYFUNCTION("""COMPUTED_VALUE"""),"₱ 75,468.00")</f>
        <v>₱ 75,468.00</v>
      </c>
      <c r="E2353" s="164"/>
      <c r="F2353" s="164" t="str">
        <f ca="1">IFERROR(__xludf.DUMMYFUNCTION("""COMPUTED_VALUE"""),"2023-05-03-10201SP1190-01")</f>
        <v>2023-05-03-10201SP1190-01</v>
      </c>
      <c r="G2353" s="164"/>
      <c r="H2353" s="164" t="str">
        <f ca="1">IFERROR(__xludf.DUMMYFUNCTION("""COMPUTED_VALUE"""),"ATTY. DIARLIE PEBE B. PELAEZ-NAGAYNAY")</f>
        <v>ATTY. DIARLIE PEBE B. PELAEZ-NAGAYNAY</v>
      </c>
      <c r="I2353" s="164" t="str">
        <f ca="1">IFERROR(__xludf.DUMMYFUNCTION("""COMPUTED_VALUE"""),"ATTORNEY V")</f>
        <v>ATTORNEY V</v>
      </c>
      <c r="J2353" s="164" t="str">
        <f ca="1">IFERROR(__xludf.DUMMYFUNCTION("""COMPUTED_VALUE"""),"2023-04-396")</f>
        <v>2023-04-396</v>
      </c>
      <c r="K2353" s="164" t="str">
        <f ca="1">IFERROR(__xludf.DUMMYFUNCTION("""COMPUTED_VALUE"""),"Rachelle Joy Degayo(COS)")</f>
        <v>Rachelle Joy Degayo(COS)</v>
      </c>
      <c r="L2353" s="164" t="str">
        <f ca="1">IFERROR(__xludf.DUMMYFUNCTION("""COMPUTED_VALUE"""),"LEGAL OFFICE")</f>
        <v>LEGAL OFFICE</v>
      </c>
      <c r="M2353" s="164" t="str">
        <f ca="1">IFERROR(__xludf.DUMMYFUNCTION("""COMPUTED_VALUE"""),"SERVICEABLE")</f>
        <v>SERVICEABLE</v>
      </c>
      <c r="N2353" s="164"/>
    </row>
    <row r="2354" spans="1:14" ht="13.2" hidden="1">
      <c r="A2354" s="164" t="str">
        <f ca="1">IFERROR(__xludf.DUMMYFUNCTION("""COMPUTED_VALUE"""),"Region VI")</f>
        <v>Region VI</v>
      </c>
      <c r="B2354" s="164" t="str">
        <f ca="1">IFERROR(__xludf.DUMMYFUNCTION("""COMPUTED_VALUE"""),"ILOILO")</f>
        <v>ILOILO</v>
      </c>
      <c r="C2354" s="164" t="str">
        <f ca="1">IFERROR(__xludf.DUMMYFUNCTION("""COMPUTED_VALUE"""),"Desktop Computer – (Lenovo M70T)")</f>
        <v>Desktop Computer – (Lenovo M70T)</v>
      </c>
      <c r="D2354" s="164" t="str">
        <f ca="1">IFERROR(__xludf.DUMMYFUNCTION("""COMPUTED_VALUE"""),"₱ 75,468.00")</f>
        <v>₱ 75,468.00</v>
      </c>
      <c r="E2354" s="164"/>
      <c r="F2354" s="164" t="str">
        <f ca="1">IFERROR(__xludf.DUMMYFUNCTION("""COMPUTED_VALUE"""),"2023-05-03-10201SP1191-01")</f>
        <v>2023-05-03-10201SP1191-01</v>
      </c>
      <c r="G2354" s="164"/>
      <c r="H2354" s="164" t="str">
        <f ca="1">IFERROR(__xludf.DUMMYFUNCTION("""COMPUTED_VALUE"""),"Joesal May Sumbilla")</f>
        <v>Joesal May Sumbilla</v>
      </c>
      <c r="I2354" s="164" t="str">
        <f ca="1">IFERROR(__xludf.DUMMYFUNCTION("""COMPUTED_VALUE"""),"ARPT")</f>
        <v>ARPT</v>
      </c>
      <c r="J2354" s="164" t="str">
        <f ca="1">IFERROR(__xludf.DUMMYFUNCTION("""COMPUTED_VALUE"""),"2023-04-397")</f>
        <v>2023-04-397</v>
      </c>
      <c r="K2354" s="164" t="str">
        <f ca="1">IFERROR(__xludf.DUMMYFUNCTION("""COMPUTED_VALUE"""),"Donna Huervana")</f>
        <v>Donna Huervana</v>
      </c>
      <c r="L2354" s="164" t="str">
        <f ca="1">IFERROR(__xludf.DUMMYFUNCTION("""COMPUTED_VALUE"""),"LTID")</f>
        <v>LTID</v>
      </c>
      <c r="M2354" s="164" t="str">
        <f ca="1">IFERROR(__xludf.DUMMYFUNCTION("""COMPUTED_VALUE"""),"SERVICEABLE")</f>
        <v>SERVICEABLE</v>
      </c>
      <c r="N2354" s="164"/>
    </row>
    <row r="2355" spans="1:14" ht="13.2" hidden="1">
      <c r="A2355" s="164" t="str">
        <f ca="1">IFERROR(__xludf.DUMMYFUNCTION("""COMPUTED_VALUE"""),"Region VI")</f>
        <v>Region VI</v>
      </c>
      <c r="B2355" s="164" t="str">
        <f ca="1">IFERROR(__xludf.DUMMYFUNCTION("""COMPUTED_VALUE"""),"ILOILO")</f>
        <v>ILOILO</v>
      </c>
      <c r="C2355" s="164" t="str">
        <f ca="1">IFERROR(__xludf.DUMMYFUNCTION("""COMPUTED_VALUE"""),"Desktop Computer – (Lenovo M70T)")</f>
        <v>Desktop Computer – (Lenovo M70T)</v>
      </c>
      <c r="D2355" s="164" t="str">
        <f ca="1">IFERROR(__xludf.DUMMYFUNCTION("""COMPUTED_VALUE"""),"₱ 75,468.00")</f>
        <v>₱ 75,468.00</v>
      </c>
      <c r="E2355" s="164"/>
      <c r="F2355" s="164" t="str">
        <f ca="1">IFERROR(__xludf.DUMMYFUNCTION("""COMPUTED_VALUE"""),"2023-05-03-10201SP1192-01")</f>
        <v>2023-05-03-10201SP1192-01</v>
      </c>
      <c r="G2355" s="164"/>
      <c r="H2355" s="164" t="str">
        <f ca="1">IFERROR(__xludf.DUMMYFUNCTION("""COMPUTED_VALUE"""),"Rey P. Parreño")</f>
        <v>Rey P. Parreño</v>
      </c>
      <c r="I2355" s="164" t="str">
        <f ca="1">IFERROR(__xludf.DUMMYFUNCTION("""COMPUTED_VALUE"""),"Agrarian Reform Program Officer II")</f>
        <v>Agrarian Reform Program Officer II</v>
      </c>
      <c r="J2355" s="164" t="str">
        <f ca="1">IFERROR(__xludf.DUMMYFUNCTION("""COMPUTED_VALUE"""),"2023-04-398")</f>
        <v>2023-04-398</v>
      </c>
      <c r="K2355" s="164" t="str">
        <f ca="1">IFERROR(__xludf.DUMMYFUNCTION("""COMPUTED_VALUE"""),"Engr. Norevic D. Andig")</f>
        <v>Engr. Norevic D. Andig</v>
      </c>
      <c r="L2355" s="164" t="str">
        <f ca="1">IFERROR(__xludf.DUMMYFUNCTION("""COMPUTED_VALUE"""),"LTID")</f>
        <v>LTID</v>
      </c>
      <c r="M2355" s="164" t="str">
        <f ca="1">IFERROR(__xludf.DUMMYFUNCTION("""COMPUTED_VALUE"""),"SERVICEABLE")</f>
        <v>SERVICEABLE</v>
      </c>
      <c r="N2355" s="164"/>
    </row>
    <row r="2356" spans="1:14" ht="13.2" hidden="1">
      <c r="A2356" s="164" t="str">
        <f ca="1">IFERROR(__xludf.DUMMYFUNCTION("""COMPUTED_VALUE"""),"Region VI")</f>
        <v>Region VI</v>
      </c>
      <c r="B2356" s="164" t="str">
        <f ca="1">IFERROR(__xludf.DUMMYFUNCTION("""COMPUTED_VALUE"""),"ILOILO")</f>
        <v>ILOILO</v>
      </c>
      <c r="C2356" s="164" t="str">
        <f ca="1">IFERROR(__xludf.DUMMYFUNCTION("""COMPUTED_VALUE"""),"Desktop Computer – (Lenovo M70T)")</f>
        <v>Desktop Computer – (Lenovo M70T)</v>
      </c>
      <c r="D2356" s="164" t="str">
        <f ca="1">IFERROR(__xludf.DUMMYFUNCTION("""COMPUTED_VALUE"""),"₱ 75,468.00")</f>
        <v>₱ 75,468.00</v>
      </c>
      <c r="E2356" s="164"/>
      <c r="F2356" s="164" t="str">
        <f ca="1">IFERROR(__xludf.DUMMYFUNCTION("""COMPUTED_VALUE"""),"2023-05-03-10201SP1193-01")</f>
        <v>2023-05-03-10201SP1193-01</v>
      </c>
      <c r="G2356" s="164"/>
      <c r="H2356" s="164" t="str">
        <f ca="1">IFERROR(__xludf.DUMMYFUNCTION("""COMPUTED_VALUE"""),"Rey P. Parreño")</f>
        <v>Rey P. Parreño</v>
      </c>
      <c r="I2356" s="164" t="str">
        <f ca="1">IFERROR(__xludf.DUMMYFUNCTION("""COMPUTED_VALUE"""),"Agrarian Reform Program Officer II")</f>
        <v>Agrarian Reform Program Officer II</v>
      </c>
      <c r="J2356" s="164" t="str">
        <f ca="1">IFERROR(__xludf.DUMMYFUNCTION("""COMPUTED_VALUE"""),"2023-04-399")</f>
        <v>2023-04-399</v>
      </c>
      <c r="K2356" s="164" t="str">
        <f ca="1">IFERROR(__xludf.DUMMYFUNCTION("""COMPUTED_VALUE"""),"Rey P. Parreño")</f>
        <v>Rey P. Parreño</v>
      </c>
      <c r="L2356" s="164" t="str">
        <f ca="1">IFERROR(__xludf.DUMMYFUNCTION("""COMPUTED_VALUE"""),"LTID")</f>
        <v>LTID</v>
      </c>
      <c r="M2356" s="164" t="str">
        <f ca="1">IFERROR(__xludf.DUMMYFUNCTION("""COMPUTED_VALUE"""),"SERVICEABLE")</f>
        <v>SERVICEABLE</v>
      </c>
      <c r="N2356" s="164"/>
    </row>
    <row r="2357" spans="1:14" ht="13.2" hidden="1">
      <c r="A2357" s="164" t="str">
        <f ca="1">IFERROR(__xludf.DUMMYFUNCTION("""COMPUTED_VALUE"""),"Region VI")</f>
        <v>Region VI</v>
      </c>
      <c r="B2357" s="164" t="str">
        <f ca="1">IFERROR(__xludf.DUMMYFUNCTION("""COMPUTED_VALUE"""),"ILOILO")</f>
        <v>ILOILO</v>
      </c>
      <c r="C2357" s="164" t="str">
        <f ca="1">IFERROR(__xludf.DUMMYFUNCTION("""COMPUTED_VALUE"""),"Desktop Computer – (Lenovo M70T)")</f>
        <v>Desktop Computer – (Lenovo M70T)</v>
      </c>
      <c r="D2357" s="164" t="str">
        <f ca="1">IFERROR(__xludf.DUMMYFUNCTION("""COMPUTED_VALUE"""),"₱ 75,468.00")</f>
        <v>₱ 75,468.00</v>
      </c>
      <c r="E2357" s="164"/>
      <c r="F2357" s="164" t="str">
        <f ca="1">IFERROR(__xludf.DUMMYFUNCTION("""COMPUTED_VALUE"""),"2023-05-03-10201SP1194-01")</f>
        <v>2023-05-03-10201SP1194-01</v>
      </c>
      <c r="G2357" s="164"/>
      <c r="H2357" s="164" t="str">
        <f ca="1">IFERROR(__xludf.DUMMYFUNCTION("""COMPUTED_VALUE"""),"Joecris Montenid")</f>
        <v>Joecris Montenid</v>
      </c>
      <c r="I2357" s="164" t="str">
        <f ca="1">IFERROR(__xludf.DUMMYFUNCTION("""COMPUTED_VALUE"""),"ARPO I")</f>
        <v>ARPO I</v>
      </c>
      <c r="J2357" s="164" t="str">
        <f ca="1">IFERROR(__xludf.DUMMYFUNCTION("""COMPUTED_VALUE"""),"2023-04-400")</f>
        <v>2023-04-400</v>
      </c>
      <c r="K2357" s="164" t="str">
        <f ca="1">IFERROR(__xludf.DUMMYFUNCTION("""COMPUTED_VALUE"""),"Joecris Montenid")</f>
        <v>Joecris Montenid</v>
      </c>
      <c r="L2357" s="164" t="str">
        <f ca="1">IFERROR(__xludf.DUMMYFUNCTION("""COMPUTED_VALUE"""),"PBDD")</f>
        <v>PBDD</v>
      </c>
      <c r="M2357" s="164" t="str">
        <f ca="1">IFERROR(__xludf.DUMMYFUNCTION("""COMPUTED_VALUE"""),"SERVICEABLE")</f>
        <v>SERVICEABLE</v>
      </c>
      <c r="N2357" s="164"/>
    </row>
    <row r="2358" spans="1:14" ht="13.2" hidden="1">
      <c r="A2358" s="164" t="str">
        <f ca="1">IFERROR(__xludf.DUMMYFUNCTION("""COMPUTED_VALUE"""),"Region VI")</f>
        <v>Region VI</v>
      </c>
      <c r="B2358" s="164" t="str">
        <f ca="1">IFERROR(__xludf.DUMMYFUNCTION("""COMPUTED_VALUE"""),"ILOILO")</f>
        <v>ILOILO</v>
      </c>
      <c r="C2358" s="164" t="str">
        <f ca="1">IFERROR(__xludf.DUMMYFUNCTION("""COMPUTED_VALUE"""),"Desktop Computer – (Lenovo M70T)")</f>
        <v>Desktop Computer – (Lenovo M70T)</v>
      </c>
      <c r="D2358" s="164" t="str">
        <f ca="1">IFERROR(__xludf.DUMMYFUNCTION("""COMPUTED_VALUE"""),"₱ 75,468.00")</f>
        <v>₱ 75,468.00</v>
      </c>
      <c r="E2358" s="164"/>
      <c r="F2358" s="164" t="str">
        <f ca="1">IFERROR(__xludf.DUMMYFUNCTION("""COMPUTED_VALUE"""),"2023-05-03-10201SP1195-01")</f>
        <v>2023-05-03-10201SP1195-01</v>
      </c>
      <c r="G2358" s="164"/>
      <c r="H2358" s="164" t="str">
        <f ca="1">IFERROR(__xludf.DUMMYFUNCTION("""COMPUTED_VALUE"""),"Alfred B. Beare")</f>
        <v>Alfred B. Beare</v>
      </c>
      <c r="I2358" s="164" t="str">
        <f ca="1">IFERROR(__xludf.DUMMYFUNCTION("""COMPUTED_VALUE"""),"CARPO-LTID")</f>
        <v>CARPO-LTID</v>
      </c>
      <c r="J2358" s="164" t="str">
        <f ca="1">IFERROR(__xludf.DUMMYFUNCTION("""COMPUTED_VALUE"""),"2023-04-401")</f>
        <v>2023-04-401</v>
      </c>
      <c r="K2358" s="164" t="str">
        <f ca="1">IFERROR(__xludf.DUMMYFUNCTION("""COMPUTED_VALUE"""),"Collen Amolar(COS - SPLIT)")</f>
        <v>Collen Amolar(COS - SPLIT)</v>
      </c>
      <c r="L2358" s="164" t="str">
        <f ca="1">IFERROR(__xludf.DUMMYFUNCTION("""COMPUTED_VALUE"""),"LTID")</f>
        <v>LTID</v>
      </c>
      <c r="M2358" s="164" t="str">
        <f ca="1">IFERROR(__xludf.DUMMYFUNCTION("""COMPUTED_VALUE"""),"SERVICEABLE")</f>
        <v>SERVICEABLE</v>
      </c>
      <c r="N2358" s="164"/>
    </row>
    <row r="2359" spans="1:14" ht="13.2" hidden="1">
      <c r="A2359" s="164" t="str">
        <f ca="1">IFERROR(__xludf.DUMMYFUNCTION("""COMPUTED_VALUE"""),"Region VI")</f>
        <v>Region VI</v>
      </c>
      <c r="B2359" s="164" t="str">
        <f ca="1">IFERROR(__xludf.DUMMYFUNCTION("""COMPUTED_VALUE"""),"ILOILO")</f>
        <v>ILOILO</v>
      </c>
      <c r="C2359" s="164" t="str">
        <f ca="1">IFERROR(__xludf.DUMMYFUNCTION("""COMPUTED_VALUE"""),"Desktop Computer – (Lenovo M70T)")</f>
        <v>Desktop Computer – (Lenovo M70T)</v>
      </c>
      <c r="D2359" s="164" t="str">
        <f ca="1">IFERROR(__xludf.DUMMYFUNCTION("""COMPUTED_VALUE"""),"₱ 75,468.00")</f>
        <v>₱ 75,468.00</v>
      </c>
      <c r="E2359" s="164"/>
      <c r="F2359" s="164" t="str">
        <f ca="1">IFERROR(__xludf.DUMMYFUNCTION("""COMPUTED_VALUE"""),"2023-05-03-10201SP1196-01")</f>
        <v>2023-05-03-10201SP1196-01</v>
      </c>
      <c r="G2359" s="164"/>
      <c r="H2359" s="164" t="str">
        <f ca="1">IFERROR(__xludf.DUMMYFUNCTION("""COMPUTED_VALUE"""),"Harriet A. Loot")</f>
        <v>Harriet A. Loot</v>
      </c>
      <c r="I2359" s="164" t="str">
        <f ca="1">IFERROR(__xludf.DUMMYFUNCTION("""COMPUTED_VALUE"""),"PARPO II")</f>
        <v>PARPO II</v>
      </c>
      <c r="J2359" s="164" t="str">
        <f ca="1">IFERROR(__xludf.DUMMYFUNCTION("""COMPUTED_VALUE"""),"2023-04-402")</f>
        <v>2023-04-402</v>
      </c>
      <c r="K2359" s="164" t="str">
        <f ca="1">IFERROR(__xludf.DUMMYFUNCTION("""COMPUTED_VALUE"""),"Harriet A. Loot")</f>
        <v>Harriet A. Loot</v>
      </c>
      <c r="L2359" s="164" t="str">
        <f ca="1">IFERROR(__xludf.DUMMYFUNCTION("""COMPUTED_VALUE"""),"OFFICE OF THE PARPO")</f>
        <v>OFFICE OF THE PARPO</v>
      </c>
      <c r="M2359" s="164" t="str">
        <f ca="1">IFERROR(__xludf.DUMMYFUNCTION("""COMPUTED_VALUE"""),"SERVICEABLE")</f>
        <v>SERVICEABLE</v>
      </c>
      <c r="N2359" s="164"/>
    </row>
    <row r="2360" spans="1:14" ht="13.2" hidden="1">
      <c r="A2360" s="164" t="str">
        <f ca="1">IFERROR(__xludf.DUMMYFUNCTION("""COMPUTED_VALUE"""),"Region VI")</f>
        <v>Region VI</v>
      </c>
      <c r="B2360" s="164" t="str">
        <f ca="1">IFERROR(__xludf.DUMMYFUNCTION("""COMPUTED_VALUE"""),"ILOILO")</f>
        <v>ILOILO</v>
      </c>
      <c r="C2360" s="164" t="str">
        <f ca="1">IFERROR(__xludf.DUMMYFUNCTION("""COMPUTED_VALUE"""),"Desktop Computer – (Lenovo M70T)")</f>
        <v>Desktop Computer – (Lenovo M70T)</v>
      </c>
      <c r="D2360" s="164" t="str">
        <f ca="1">IFERROR(__xludf.DUMMYFUNCTION("""COMPUTED_VALUE"""),"₱ 75,468.00")</f>
        <v>₱ 75,468.00</v>
      </c>
      <c r="E2360" s="164"/>
      <c r="F2360" s="164" t="str">
        <f ca="1">IFERROR(__xludf.DUMMYFUNCTION("""COMPUTED_VALUE"""),"2023-05-03-10201SP1197-01")</f>
        <v>2023-05-03-10201SP1197-01</v>
      </c>
      <c r="G2360" s="164"/>
      <c r="H2360" s="164" t="str">
        <f ca="1">IFERROR(__xludf.DUMMYFUNCTION("""COMPUTED_VALUE"""),"Josella A. Alegario")</f>
        <v>Josella A. Alegario</v>
      </c>
      <c r="I2360" s="164" t="str">
        <f ca="1">IFERROR(__xludf.DUMMYFUNCTION("""COMPUTED_VALUE"""),"Chief Administrative Officer")</f>
        <v>Chief Administrative Officer</v>
      </c>
      <c r="J2360" s="164" t="str">
        <f ca="1">IFERROR(__xludf.DUMMYFUNCTION("""COMPUTED_VALUE"""),"2023-04-403")</f>
        <v>2023-04-403</v>
      </c>
      <c r="K2360" s="164" t="str">
        <f ca="1">IFERROR(__xludf.DUMMYFUNCTION("""COMPUTED_VALUE"""),"Josella A. Alegario")</f>
        <v>Josella A. Alegario</v>
      </c>
      <c r="L2360" s="164" t="str">
        <f ca="1">IFERROR(__xludf.DUMMYFUNCTION("""COMPUTED_VALUE"""),"STOD")</f>
        <v>STOD</v>
      </c>
      <c r="M2360" s="164" t="str">
        <f ca="1">IFERROR(__xludf.DUMMYFUNCTION("""COMPUTED_VALUE"""),"SERVICEABLE")</f>
        <v>SERVICEABLE</v>
      </c>
      <c r="N2360" s="164"/>
    </row>
    <row r="2361" spans="1:14" ht="13.2" hidden="1">
      <c r="A2361" s="164" t="str">
        <f ca="1">IFERROR(__xludf.DUMMYFUNCTION("""COMPUTED_VALUE"""),"Region VI")</f>
        <v>Region VI</v>
      </c>
      <c r="B2361" s="164" t="str">
        <f ca="1">IFERROR(__xludf.DUMMYFUNCTION("""COMPUTED_VALUE"""),"ILOILO")</f>
        <v>ILOILO</v>
      </c>
      <c r="C2361" s="164" t="str">
        <f ca="1">IFERROR(__xludf.DUMMYFUNCTION("""COMPUTED_VALUE"""),"Desktop Computer – (Lenovo M70T)")</f>
        <v>Desktop Computer – (Lenovo M70T)</v>
      </c>
      <c r="D2361" s="164" t="str">
        <f ca="1">IFERROR(__xludf.DUMMYFUNCTION("""COMPUTED_VALUE"""),"₱ 75,468.00")</f>
        <v>₱ 75,468.00</v>
      </c>
      <c r="E2361" s="164"/>
      <c r="F2361" s="164" t="str">
        <f ca="1">IFERROR(__xludf.DUMMYFUNCTION("""COMPUTED_VALUE"""),"2023-05-03-10201SP1198-01")</f>
        <v>2023-05-03-10201SP1198-01</v>
      </c>
      <c r="G2361" s="164"/>
      <c r="H2361" s="164" t="str">
        <f ca="1">IFERROR(__xludf.DUMMYFUNCTION("""COMPUTED_VALUE"""),"Shannen Marie S. Londres")</f>
        <v>Shannen Marie S. Londres</v>
      </c>
      <c r="I2361" s="164" t="str">
        <f ca="1">IFERROR(__xludf.DUMMYFUNCTION("""COMPUTED_VALUE"""),"Planning Officer II")</f>
        <v>Planning Officer II</v>
      </c>
      <c r="J2361" s="164" t="str">
        <f ca="1">IFERROR(__xludf.DUMMYFUNCTION("""COMPUTED_VALUE"""),"2023-04-404")</f>
        <v>2023-04-404</v>
      </c>
      <c r="K2361" s="164" t="str">
        <f ca="1">IFERROR(__xludf.DUMMYFUNCTION("""COMPUTED_VALUE"""),"Charmaine Alabot(COS - SPLIT)")</f>
        <v>Charmaine Alabot(COS - SPLIT)</v>
      </c>
      <c r="L2361" s="164" t="str">
        <f ca="1">IFERROR(__xludf.DUMMYFUNCTION("""COMPUTED_VALUE"""),"PLANNING OFFICE")</f>
        <v>PLANNING OFFICE</v>
      </c>
      <c r="M2361" s="164" t="str">
        <f ca="1">IFERROR(__xludf.DUMMYFUNCTION("""COMPUTED_VALUE"""),"SERVICEABLE")</f>
        <v>SERVICEABLE</v>
      </c>
      <c r="N2361" s="164"/>
    </row>
    <row r="2362" spans="1:14" ht="13.2" hidden="1">
      <c r="A2362" s="164" t="str">
        <f ca="1">IFERROR(__xludf.DUMMYFUNCTION("""COMPUTED_VALUE"""),"Region VI")</f>
        <v>Region VI</v>
      </c>
      <c r="B2362" s="164" t="str">
        <f ca="1">IFERROR(__xludf.DUMMYFUNCTION("""COMPUTED_VALUE"""),"ILOILO")</f>
        <v>ILOILO</v>
      </c>
      <c r="C2362" s="164" t="str">
        <f ca="1">IFERROR(__xludf.DUMMYFUNCTION("""COMPUTED_VALUE"""),"Desktop Computer – (Lenovo M70T)")</f>
        <v>Desktop Computer – (Lenovo M70T)</v>
      </c>
      <c r="D2362" s="164" t="str">
        <f ca="1">IFERROR(__xludf.DUMMYFUNCTION("""COMPUTED_VALUE"""),"₱ 75,468.00")</f>
        <v>₱ 75,468.00</v>
      </c>
      <c r="E2362" s="164"/>
      <c r="F2362" s="164" t="str">
        <f ca="1">IFERROR(__xludf.DUMMYFUNCTION("""COMPUTED_VALUE"""),"2023-05-03-10201SP1199-01")</f>
        <v>2023-05-03-10201SP1199-01</v>
      </c>
      <c r="G2362" s="164"/>
      <c r="H2362" s="164" t="str">
        <f ca="1">IFERROR(__xludf.DUMMYFUNCTION("""COMPUTED_VALUE"""),"Celina C. Candoleta")</f>
        <v>Celina C. Candoleta</v>
      </c>
      <c r="I2362" s="164" t="str">
        <f ca="1">IFERROR(__xludf.DUMMYFUNCTION("""COMPUTED_VALUE"""),"CARPO-PBDD")</f>
        <v>CARPO-PBDD</v>
      </c>
      <c r="J2362" s="164" t="str">
        <f ca="1">IFERROR(__xludf.DUMMYFUNCTION("""COMPUTED_VALUE"""),"2023-04-405")</f>
        <v>2023-04-405</v>
      </c>
      <c r="K2362" s="164" t="str">
        <f ca="1">IFERROR(__xludf.DUMMYFUNCTION("""COMPUTED_VALUE"""),"Ann Karmelee Huyan")</f>
        <v>Ann Karmelee Huyan</v>
      </c>
      <c r="L2362" s="164"/>
      <c r="M2362" s="164" t="str">
        <f ca="1">IFERROR(__xludf.DUMMYFUNCTION("""COMPUTED_VALUE"""),"SERVICEABLE")</f>
        <v>SERVICEABLE</v>
      </c>
      <c r="N2362" s="164"/>
    </row>
    <row r="2363" spans="1:14" ht="13.2" hidden="1">
      <c r="A2363" s="164" t="str">
        <f ca="1">IFERROR(__xludf.DUMMYFUNCTION("""COMPUTED_VALUE"""),"Region VI")</f>
        <v>Region VI</v>
      </c>
      <c r="B2363" s="164" t="str">
        <f ca="1">IFERROR(__xludf.DUMMYFUNCTION("""COMPUTED_VALUE"""),"ILOILO")</f>
        <v>ILOILO</v>
      </c>
      <c r="C2363" s="164" t="str">
        <f ca="1">IFERROR(__xludf.DUMMYFUNCTION("""COMPUTED_VALUE"""),"Desktop Computer – (Lenovo M70T)")</f>
        <v>Desktop Computer – (Lenovo M70T)</v>
      </c>
      <c r="D2363" s="164" t="str">
        <f ca="1">IFERROR(__xludf.DUMMYFUNCTION("""COMPUTED_VALUE"""),"₱ 75,468.00")</f>
        <v>₱ 75,468.00</v>
      </c>
      <c r="E2363" s="164"/>
      <c r="F2363" s="164" t="str">
        <f ca="1">IFERROR(__xludf.DUMMYFUNCTION("""COMPUTED_VALUE"""),"2023-05-03-10201SP1200-01")</f>
        <v>2023-05-03-10201SP1200-01</v>
      </c>
      <c r="G2363" s="164"/>
      <c r="H2363" s="164" t="str">
        <f ca="1">IFERROR(__xludf.DUMMYFUNCTION("""COMPUTED_VALUE"""),"Josella A. Alegario")</f>
        <v>Josella A. Alegario</v>
      </c>
      <c r="I2363" s="164" t="str">
        <f ca="1">IFERROR(__xludf.DUMMYFUNCTION("""COMPUTED_VALUE"""),"Chief Administrative Officer")</f>
        <v>Chief Administrative Officer</v>
      </c>
      <c r="J2363" s="164" t="str">
        <f ca="1">IFERROR(__xludf.DUMMYFUNCTION("""COMPUTED_VALUE"""),"2023-04-406")</f>
        <v>2023-04-406</v>
      </c>
      <c r="K2363" s="164" t="str">
        <f ca="1">IFERROR(__xludf.DUMMYFUNCTION("""COMPUTED_VALUE"""),"Ric Jessan Obregoso(COS - SPLIT)")</f>
        <v>Ric Jessan Obregoso(COS - SPLIT)</v>
      </c>
      <c r="L2363" s="164" t="str">
        <f ca="1">IFERROR(__xludf.DUMMYFUNCTION("""COMPUTED_VALUE"""),"STOD")</f>
        <v>STOD</v>
      </c>
      <c r="M2363" s="164" t="str">
        <f ca="1">IFERROR(__xludf.DUMMYFUNCTION("""COMPUTED_VALUE"""),"SERVICEABLE")</f>
        <v>SERVICEABLE</v>
      </c>
      <c r="N2363" s="164"/>
    </row>
    <row r="2364" spans="1:14" ht="13.2" hidden="1">
      <c r="A2364" s="164" t="str">
        <f ca="1">IFERROR(__xludf.DUMMYFUNCTION("""COMPUTED_VALUE"""),"Region VI")</f>
        <v>Region VI</v>
      </c>
      <c r="B2364" s="164" t="str">
        <f ca="1">IFERROR(__xludf.DUMMYFUNCTION("""COMPUTED_VALUE"""),"ILOILO")</f>
        <v>ILOILO</v>
      </c>
      <c r="C2364" s="164" t="str">
        <f ca="1">IFERROR(__xludf.DUMMYFUNCTION("""COMPUTED_VALUE"""),"Desktop Computer – (Lenovo M70T)")</f>
        <v>Desktop Computer – (Lenovo M70T)</v>
      </c>
      <c r="D2364" s="164" t="str">
        <f ca="1">IFERROR(__xludf.DUMMYFUNCTION("""COMPUTED_VALUE"""),"₱ 75,468.00")</f>
        <v>₱ 75,468.00</v>
      </c>
      <c r="E2364" s="164"/>
      <c r="F2364" s="164" t="str">
        <f ca="1">IFERROR(__xludf.DUMMYFUNCTION("""COMPUTED_VALUE"""),"2023-05-03-10201SP1201-01")</f>
        <v>2023-05-03-10201SP1201-01</v>
      </c>
      <c r="G2364" s="164"/>
      <c r="H2364" s="164" t="str">
        <f ca="1">IFERROR(__xludf.DUMMYFUNCTION("""COMPUTED_VALUE"""),"Harriet A. Loot")</f>
        <v>Harriet A. Loot</v>
      </c>
      <c r="I2364" s="164" t="str">
        <f ca="1">IFERROR(__xludf.DUMMYFUNCTION("""COMPUTED_VALUE"""),"PARPO II")</f>
        <v>PARPO II</v>
      </c>
      <c r="J2364" s="164" t="str">
        <f ca="1">IFERROR(__xludf.DUMMYFUNCTION("""COMPUTED_VALUE"""),"2023-04-407")</f>
        <v>2023-04-407</v>
      </c>
      <c r="K2364" s="164" t="str">
        <f ca="1">IFERROR(__xludf.DUMMYFUNCTION("""COMPUTED_VALUE"""),"Niña Joy I. Godinez")</f>
        <v>Niña Joy I. Godinez</v>
      </c>
      <c r="L2364" s="164" t="str">
        <f ca="1">IFERROR(__xludf.DUMMYFUNCTION("""COMPUTED_VALUE"""),"OFFICE OF THE PARPO")</f>
        <v>OFFICE OF THE PARPO</v>
      </c>
      <c r="M2364" s="164" t="str">
        <f ca="1">IFERROR(__xludf.DUMMYFUNCTION("""COMPUTED_VALUE"""),"SERVICEABLE")</f>
        <v>SERVICEABLE</v>
      </c>
      <c r="N2364" s="164"/>
    </row>
    <row r="2365" spans="1:14" ht="13.2" hidden="1">
      <c r="A2365" s="164" t="str">
        <f ca="1">IFERROR(__xludf.DUMMYFUNCTION("""COMPUTED_VALUE"""),"Region VI")</f>
        <v>Region VI</v>
      </c>
      <c r="B2365" s="164" t="str">
        <f ca="1">IFERROR(__xludf.DUMMYFUNCTION("""COMPUTED_VALUE"""),"ILOILO")</f>
        <v>ILOILO</v>
      </c>
      <c r="C2365" s="164" t="str">
        <f ca="1">IFERROR(__xludf.DUMMYFUNCTION("""COMPUTED_VALUE"""),"Desktop Computer – (Lenovo M70T)")</f>
        <v>Desktop Computer – (Lenovo M70T)</v>
      </c>
      <c r="D2365" s="164" t="str">
        <f ca="1">IFERROR(__xludf.DUMMYFUNCTION("""COMPUTED_VALUE"""),"₱ 75,468.00")</f>
        <v>₱ 75,468.00</v>
      </c>
      <c r="E2365" s="164"/>
      <c r="F2365" s="164" t="str">
        <f ca="1">IFERROR(__xludf.DUMMYFUNCTION("""COMPUTED_VALUE"""),"2023-05-03-10201SP1202-01")</f>
        <v>2023-05-03-10201SP1202-01</v>
      </c>
      <c r="G2365" s="164"/>
      <c r="H2365" s="164" t="str">
        <f ca="1">IFERROR(__xludf.DUMMYFUNCTION("""COMPUTED_VALUE"""),"Alfred B. Beare")</f>
        <v>Alfred B. Beare</v>
      </c>
      <c r="I2365" s="164" t="str">
        <f ca="1">IFERROR(__xludf.DUMMYFUNCTION("""COMPUTED_VALUE"""),"CARPO-LTID")</f>
        <v>CARPO-LTID</v>
      </c>
      <c r="J2365" s="164" t="str">
        <f ca="1">IFERROR(__xludf.DUMMYFUNCTION("""COMPUTED_VALUE"""),"2023-04-408")</f>
        <v>2023-04-408</v>
      </c>
      <c r="K2365" s="164" t="str">
        <f ca="1">IFERROR(__xludf.DUMMYFUNCTION("""COMPUTED_VALUE"""),"Risil Joy Silubrico(COS - SPLIT)")</f>
        <v>Risil Joy Silubrico(COS - SPLIT)</v>
      </c>
      <c r="L2365" s="164" t="str">
        <f ca="1">IFERROR(__xludf.DUMMYFUNCTION("""COMPUTED_VALUE"""),"LTID")</f>
        <v>LTID</v>
      </c>
      <c r="M2365" s="164" t="str">
        <f ca="1">IFERROR(__xludf.DUMMYFUNCTION("""COMPUTED_VALUE"""),"SERVICEABLE")</f>
        <v>SERVICEABLE</v>
      </c>
      <c r="N2365" s="164"/>
    </row>
    <row r="2366" spans="1:14" ht="13.2" hidden="1">
      <c r="A2366" s="164" t="str">
        <f ca="1">IFERROR(__xludf.DUMMYFUNCTION("""COMPUTED_VALUE"""),"Region VI")</f>
        <v>Region VI</v>
      </c>
      <c r="B2366" s="164" t="str">
        <f ca="1">IFERROR(__xludf.DUMMYFUNCTION("""COMPUTED_VALUE"""),"ILOILO")</f>
        <v>ILOILO</v>
      </c>
      <c r="C2366" s="164" t="str">
        <f ca="1">IFERROR(__xludf.DUMMYFUNCTION("""COMPUTED_VALUE"""),"Laptop – (ACER EXTENSA EX215-55G i7)")</f>
        <v>Laptop – (ACER EXTENSA EX215-55G i7)</v>
      </c>
      <c r="D2366" s="164" t="str">
        <f ca="1">IFERROR(__xludf.DUMMYFUNCTION("""COMPUTED_VALUE"""),"₱ 59,500.00")</f>
        <v>₱ 59,500.00</v>
      </c>
      <c r="E2366" s="164"/>
      <c r="F2366" s="164" t="str">
        <f ca="1">IFERROR(__xludf.DUMMYFUNCTION("""COMPUTED_VALUE"""),"2023-05-03-10202SP132-01")</f>
        <v>2023-05-03-10202SP132-01</v>
      </c>
      <c r="G2366" s="164"/>
      <c r="H2366" s="164" t="str">
        <f ca="1">IFERROR(__xludf.DUMMYFUNCTION("""COMPUTED_VALUE"""),"ATTY. DIARLIE PEBE B. PELAEZ-NAGAYNAY")</f>
        <v>ATTY. DIARLIE PEBE B. PELAEZ-NAGAYNAY</v>
      </c>
      <c r="I2366" s="164" t="str">
        <f ca="1">IFERROR(__xludf.DUMMYFUNCTION("""COMPUTED_VALUE"""),"ATTORNEY V")</f>
        <v>ATTORNEY V</v>
      </c>
      <c r="J2366" s="164" t="str">
        <f ca="1">IFERROR(__xludf.DUMMYFUNCTION("""COMPUTED_VALUE"""),"2023-08-413")</f>
        <v>2023-08-413</v>
      </c>
      <c r="K2366" s="164" t="str">
        <f ca="1">IFERROR(__xludf.DUMMYFUNCTION("""COMPUTED_VALUE"""),"ATTY. DIARLIE PEBE B. PELAEZ-NAGAYNAY")</f>
        <v>ATTY. DIARLIE PEBE B. PELAEZ-NAGAYNAY</v>
      </c>
      <c r="L2366" s="164" t="str">
        <f ca="1">IFERROR(__xludf.DUMMYFUNCTION("""COMPUTED_VALUE"""),"LEGAL OFFICE")</f>
        <v>LEGAL OFFICE</v>
      </c>
      <c r="M2366" s="164" t="str">
        <f ca="1">IFERROR(__xludf.DUMMYFUNCTION("""COMPUTED_VALUE"""),"SERVICEABLE")</f>
        <v>SERVICEABLE</v>
      </c>
      <c r="N2366" s="164"/>
    </row>
    <row r="2367" spans="1:14" ht="13.2" hidden="1">
      <c r="A2367" s="164" t="str">
        <f ca="1">IFERROR(__xludf.DUMMYFUNCTION("""COMPUTED_VALUE"""),"Region VI")</f>
        <v>Region VI</v>
      </c>
      <c r="B2367" s="164" t="str">
        <f ca="1">IFERROR(__xludf.DUMMYFUNCTION("""COMPUTED_VALUE"""),"ILOILO")</f>
        <v>ILOILO</v>
      </c>
      <c r="C2367" s="164" t="str">
        <f ca="1">IFERROR(__xludf.DUMMYFUNCTION("""COMPUTED_VALUE"""),"Laptop – (ACER EXTENSA EX215-55G i7)")</f>
        <v>Laptop – (ACER EXTENSA EX215-55G i7)</v>
      </c>
      <c r="D2367" s="164" t="str">
        <f ca="1">IFERROR(__xludf.DUMMYFUNCTION("""COMPUTED_VALUE"""),"₱ 59,500.00")</f>
        <v>₱ 59,500.00</v>
      </c>
      <c r="E2367" s="164"/>
      <c r="F2367" s="164" t="str">
        <f ca="1">IFERROR(__xludf.DUMMYFUNCTION("""COMPUTED_VALUE"""),"2023-05-03-10202SP131-01")</f>
        <v>2023-05-03-10202SP131-01</v>
      </c>
      <c r="G2367" s="164"/>
      <c r="H2367" s="164" t="str">
        <f ca="1">IFERROR(__xludf.DUMMYFUNCTION("""COMPUTED_VALUE"""),"SHANNEN MARIE S. LONDRES")</f>
        <v>SHANNEN MARIE S. LONDRES</v>
      </c>
      <c r="I2367" s="164" t="str">
        <f ca="1">IFERROR(__xludf.DUMMYFUNCTION("""COMPUTED_VALUE"""),"Planning Officer II")</f>
        <v>Planning Officer II</v>
      </c>
      <c r="J2367" s="164" t="str">
        <f ca="1">IFERROR(__xludf.DUMMYFUNCTION("""COMPUTED_VALUE"""),"2023-08-414")</f>
        <v>2023-08-414</v>
      </c>
      <c r="K2367" s="164" t="str">
        <f ca="1">IFERROR(__xludf.DUMMYFUNCTION("""COMPUTED_VALUE"""),"SHANNEN MARIE S. LONDRES")</f>
        <v>SHANNEN MARIE S. LONDRES</v>
      </c>
      <c r="L2367" s="164" t="str">
        <f ca="1">IFERROR(__xludf.DUMMYFUNCTION("""COMPUTED_VALUE"""),"PLANNING OFFICE")</f>
        <v>PLANNING OFFICE</v>
      </c>
      <c r="M2367" s="164" t="str">
        <f ca="1">IFERROR(__xludf.DUMMYFUNCTION("""COMPUTED_VALUE"""),"SERVICEABLE")</f>
        <v>SERVICEABLE</v>
      </c>
      <c r="N2367" s="164"/>
    </row>
    <row r="2368" spans="1:14" ht="13.2" hidden="1">
      <c r="A2368" s="164" t="str">
        <f ca="1">IFERROR(__xludf.DUMMYFUNCTION("""COMPUTED_VALUE"""),"Region VI")</f>
        <v>Region VI</v>
      </c>
      <c r="B2368" s="164" t="str">
        <f ca="1">IFERROR(__xludf.DUMMYFUNCTION("""COMPUTED_VALUE"""),"ILOILO")</f>
        <v>ILOILO</v>
      </c>
      <c r="C2368" s="164" t="str">
        <f ca="1">IFERROR(__xludf.DUMMYFUNCTION("""COMPUTED_VALUE"""),"Laptop – (ACER EXTENSA EX215-55G i7)")</f>
        <v>Laptop – (ACER EXTENSA EX215-55G i7)</v>
      </c>
      <c r="D2368" s="164" t="str">
        <f ca="1">IFERROR(__xludf.DUMMYFUNCTION("""COMPUTED_VALUE"""),"₱ 59,500.00")</f>
        <v>₱ 59,500.00</v>
      </c>
      <c r="E2368" s="164"/>
      <c r="F2368" s="164" t="str">
        <f ca="1">IFERROR(__xludf.DUMMYFUNCTION("""COMPUTED_VALUE"""),"2023-05-03-10202SP130-01")</f>
        <v>2023-05-03-10202SP130-01</v>
      </c>
      <c r="G2368" s="164"/>
      <c r="H2368" s="164" t="str">
        <f ca="1">IFERROR(__xludf.DUMMYFUNCTION("""COMPUTED_VALUE"""),"HARRIET A. LOOT")</f>
        <v>HARRIET A. LOOT</v>
      </c>
      <c r="I2368" s="164" t="str">
        <f ca="1">IFERROR(__xludf.DUMMYFUNCTION("""COMPUTED_VALUE"""),"PARPO II")</f>
        <v>PARPO II</v>
      </c>
      <c r="J2368" s="164" t="str">
        <f ca="1">IFERROR(__xludf.DUMMYFUNCTION("""COMPUTED_VALUE"""),"2023-08-415")</f>
        <v>2023-08-415</v>
      </c>
      <c r="K2368" s="164" t="str">
        <f ca="1">IFERROR(__xludf.DUMMYFUNCTION("""COMPUTED_VALUE"""),"HUNCEEN SECUGAL")</f>
        <v>HUNCEEN SECUGAL</v>
      </c>
      <c r="L2368" s="164" t="str">
        <f ca="1">IFERROR(__xludf.DUMMYFUNCTION("""COMPUTED_VALUE"""),"Office of the PARPO")</f>
        <v>Office of the PARPO</v>
      </c>
      <c r="M2368" s="164" t="str">
        <f ca="1">IFERROR(__xludf.DUMMYFUNCTION("""COMPUTED_VALUE"""),"SERVICEABLE")</f>
        <v>SERVICEABLE</v>
      </c>
      <c r="N2368" s="164"/>
    </row>
    <row r="2369" spans="1:14" ht="13.2" hidden="1">
      <c r="A2369" s="164" t="str">
        <f ca="1">IFERROR(__xludf.DUMMYFUNCTION("""COMPUTED_VALUE"""),"Region VI")</f>
        <v>Region VI</v>
      </c>
      <c r="B2369" s="164" t="str">
        <f ca="1">IFERROR(__xludf.DUMMYFUNCTION("""COMPUTED_VALUE"""),"ILOILO")</f>
        <v>ILOILO</v>
      </c>
      <c r="C2369" s="164" t="str">
        <f ca="1">IFERROR(__xludf.DUMMYFUNCTION("""COMPUTED_VALUE"""),"Laptop – (ACER EXTENSA EX215-55G i7)")</f>
        <v>Laptop – (ACER EXTENSA EX215-55G i7)</v>
      </c>
      <c r="D2369" s="164" t="str">
        <f ca="1">IFERROR(__xludf.DUMMYFUNCTION("""COMPUTED_VALUE"""),"₱ 59,500.00")</f>
        <v>₱ 59,500.00</v>
      </c>
      <c r="E2369" s="164"/>
      <c r="F2369" s="164" t="str">
        <f ca="1">IFERROR(__xludf.DUMMYFUNCTION("""COMPUTED_VALUE"""),"2023-05-03-10202SP129-01")</f>
        <v>2023-05-03-10202SP129-01</v>
      </c>
      <c r="G2369" s="164"/>
      <c r="H2369" s="164" t="str">
        <f ca="1">IFERROR(__xludf.DUMMYFUNCTION("""COMPUTED_VALUE"""),"CELINA C. CANDOLETA")</f>
        <v>CELINA C. CANDOLETA</v>
      </c>
      <c r="I2369" s="164" t="str">
        <f ca="1">IFERROR(__xludf.DUMMYFUNCTION("""COMPUTED_VALUE"""),"CARPO-PBDD")</f>
        <v>CARPO-PBDD</v>
      </c>
      <c r="J2369" s="164" t="str">
        <f ca="1">IFERROR(__xludf.DUMMYFUNCTION("""COMPUTED_VALUE"""),"2023-08-416")</f>
        <v>2023-08-416</v>
      </c>
      <c r="K2369" s="164" t="str">
        <f ca="1">IFERROR(__xludf.DUMMYFUNCTION("""COMPUTED_VALUE"""),"CELINA C. CANDOLETA")</f>
        <v>CELINA C. CANDOLETA</v>
      </c>
      <c r="L2369" s="164" t="str">
        <f ca="1">IFERROR(__xludf.DUMMYFUNCTION("""COMPUTED_VALUE"""),"PBDD")</f>
        <v>PBDD</v>
      </c>
      <c r="M2369" s="164" t="str">
        <f ca="1">IFERROR(__xludf.DUMMYFUNCTION("""COMPUTED_VALUE"""),"SERVICEABLE")</f>
        <v>SERVICEABLE</v>
      </c>
      <c r="N2369" s="164"/>
    </row>
    <row r="2370" spans="1:14" ht="13.2" hidden="1">
      <c r="A2370" s="164" t="str">
        <f ca="1">IFERROR(__xludf.DUMMYFUNCTION("""COMPUTED_VALUE"""),"Region VI")</f>
        <v>Region VI</v>
      </c>
      <c r="B2370" s="164" t="str">
        <f ca="1">IFERROR(__xludf.DUMMYFUNCTION("""COMPUTED_VALUE"""),"ILOILO")</f>
        <v>ILOILO</v>
      </c>
      <c r="C2370" s="164" t="str">
        <f ca="1">IFERROR(__xludf.DUMMYFUNCTION("""COMPUTED_VALUE"""),"Desktop Computer – (HP Pro SFF 280G9)")</f>
        <v>Desktop Computer – (HP Pro SFF 280G9)</v>
      </c>
      <c r="D2370" s="164" t="str">
        <f ca="1">IFERROR(__xludf.DUMMYFUNCTION("""COMPUTED_VALUE"""),"₱ 78,898.00")</f>
        <v>₱ 78,898.00</v>
      </c>
      <c r="E2370" s="164"/>
      <c r="F2370" s="164" t="str">
        <f ca="1">IFERROR(__xludf.DUMMYFUNCTION("""COMPUTED_VALUE"""),"2023-05-03-10201SP62-01")</f>
        <v>2023-05-03-10201SP62-01</v>
      </c>
      <c r="G2370" s="164"/>
      <c r="H2370" s="164" t="str">
        <f ca="1">IFERROR(__xludf.DUMMYFUNCTION("""COMPUTED_VALUE"""),"ENGR. JOSE ROY B. NAPUD")</f>
        <v>ENGR. JOSE ROY B. NAPUD</v>
      </c>
      <c r="I2370" s="164" t="str">
        <f ca="1">IFERROR(__xludf.DUMMYFUNCTION("""COMPUTED_VALUE"""),"AO IV / Budget Officer II")</f>
        <v>AO IV / Budget Officer II</v>
      </c>
      <c r="J2370" s="164" t="str">
        <f ca="1">IFERROR(__xludf.DUMMYFUNCTION("""COMPUTED_VALUE"""),"2023-08-423")</f>
        <v>2023-08-423</v>
      </c>
      <c r="K2370" s="164" t="str">
        <f ca="1">IFERROR(__xludf.DUMMYFUNCTION("""COMPUTED_VALUE"""),"JEAN MARIE PEGAROT")</f>
        <v>JEAN MARIE PEGAROT</v>
      </c>
      <c r="L2370" s="164" t="str">
        <f ca="1">IFERROR(__xludf.DUMMYFUNCTION("""COMPUTED_VALUE"""),"Budget Section")</f>
        <v>Budget Section</v>
      </c>
      <c r="M2370" s="164" t="str">
        <f ca="1">IFERROR(__xludf.DUMMYFUNCTION("""COMPUTED_VALUE"""),"SERVICEABLE")</f>
        <v>SERVICEABLE</v>
      </c>
      <c r="N2370" s="164"/>
    </row>
    <row r="2371" spans="1:14" ht="13.2" hidden="1">
      <c r="A2371" s="164" t="str">
        <f ca="1">IFERROR(__xludf.DUMMYFUNCTION("""COMPUTED_VALUE"""),"Region VI")</f>
        <v>Region VI</v>
      </c>
      <c r="B2371" s="164" t="str">
        <f ca="1">IFERROR(__xludf.DUMMYFUNCTION("""COMPUTED_VALUE"""),"ILOILO")</f>
        <v>ILOILO</v>
      </c>
      <c r="C2371" s="164" t="str">
        <f ca="1">IFERROR(__xludf.DUMMYFUNCTION("""COMPUTED_VALUE"""),"Desktop Computer – (HP Pro SFF 280G9)")</f>
        <v>Desktop Computer – (HP Pro SFF 280G9)</v>
      </c>
      <c r="D2371" s="164" t="str">
        <f ca="1">IFERROR(__xludf.DUMMYFUNCTION("""COMPUTED_VALUE"""),"₱ 78,898.00")</f>
        <v>₱ 78,898.00</v>
      </c>
      <c r="E2371" s="164"/>
      <c r="F2371" s="164" t="str">
        <f ca="1">IFERROR(__xludf.DUMMYFUNCTION("""COMPUTED_VALUE"""),"2023-05-03-1020ISP64-01")</f>
        <v>2023-05-03-1020ISP64-01</v>
      </c>
      <c r="G2371" s="164"/>
      <c r="H2371" s="164" t="str">
        <f ca="1">IFERROR(__xludf.DUMMYFUNCTION("""COMPUTED_VALUE"""),"LORELYN C. TARONAS")</f>
        <v>LORELYN C. TARONAS</v>
      </c>
      <c r="I2371" s="164" t="str">
        <f ca="1">IFERROR(__xludf.DUMMYFUNCTION("""COMPUTED_VALUE"""),"SRPT")</f>
        <v>SRPT</v>
      </c>
      <c r="J2371" s="164" t="str">
        <f ca="1">IFERROR(__xludf.DUMMYFUNCTION("""COMPUTED_VALUE"""),"2023-08-424")</f>
        <v>2023-08-424</v>
      </c>
      <c r="K2371" s="164" t="str">
        <f ca="1">IFERROR(__xludf.DUMMYFUNCTION("""COMPUTED_VALUE"""),"RIZHIA PASCUA(COS - SPLIT)")</f>
        <v>RIZHIA PASCUA(COS - SPLIT)</v>
      </c>
      <c r="L2371" s="164" t="str">
        <f ca="1">IFERROR(__xludf.DUMMYFUNCTION("""COMPUTED_VALUE"""),"LTID")</f>
        <v>LTID</v>
      </c>
      <c r="M2371" s="164" t="str">
        <f ca="1">IFERROR(__xludf.DUMMYFUNCTION("""COMPUTED_VALUE"""),"SERVICEABLE")</f>
        <v>SERVICEABLE</v>
      </c>
      <c r="N2371" s="164"/>
    </row>
    <row r="2372" spans="1:14" ht="13.2" hidden="1">
      <c r="A2372" s="164" t="str">
        <f ca="1">IFERROR(__xludf.DUMMYFUNCTION("""COMPUTED_VALUE"""),"Region VI")</f>
        <v>Region VI</v>
      </c>
      <c r="B2372" s="164" t="str">
        <f ca="1">IFERROR(__xludf.DUMMYFUNCTION("""COMPUTED_VALUE"""),"ILOILO")</f>
        <v>ILOILO</v>
      </c>
      <c r="C2372" s="164" t="str">
        <f ca="1">IFERROR(__xludf.DUMMYFUNCTION("""COMPUTED_VALUE"""),"Desktop Computer – (HP Pro SFF 280G9)")</f>
        <v>Desktop Computer – (HP Pro SFF 280G9)</v>
      </c>
      <c r="D2372" s="164" t="str">
        <f ca="1">IFERROR(__xludf.DUMMYFUNCTION("""COMPUTED_VALUE"""),"₱ 78,898.00")</f>
        <v>₱ 78,898.00</v>
      </c>
      <c r="E2372" s="164"/>
      <c r="F2372" s="164" t="str">
        <f ca="1">IFERROR(__xludf.DUMMYFUNCTION("""COMPUTED_VALUE"""),"2023-05-03-1020ISP63-01")</f>
        <v>2023-05-03-1020ISP63-01</v>
      </c>
      <c r="G2372" s="164"/>
      <c r="H2372" s="164" t="str">
        <f ca="1">IFERROR(__xludf.DUMMYFUNCTION("""COMPUTED_VALUE"""),"ALFRED B. BEARE")</f>
        <v>ALFRED B. BEARE</v>
      </c>
      <c r="I2372" s="164" t="str">
        <f ca="1">IFERROR(__xludf.DUMMYFUNCTION("""COMPUTED_VALUE"""),"CARPO-LTID")</f>
        <v>CARPO-LTID</v>
      </c>
      <c r="J2372" s="164" t="str">
        <f ca="1">IFERROR(__xludf.DUMMYFUNCTION("""COMPUTED_VALUE"""),"2023-08-425")</f>
        <v>2023-08-425</v>
      </c>
      <c r="K2372" s="164" t="str">
        <f ca="1">IFERROR(__xludf.DUMMYFUNCTION("""COMPUTED_VALUE"""),"RAYMUND AGUILAR(COS - SPLIT)")</f>
        <v>RAYMUND AGUILAR(COS - SPLIT)</v>
      </c>
      <c r="L2372" s="164" t="str">
        <f ca="1">IFERROR(__xludf.DUMMYFUNCTION("""COMPUTED_VALUE"""),"LTID")</f>
        <v>LTID</v>
      </c>
      <c r="M2372" s="164" t="str">
        <f ca="1">IFERROR(__xludf.DUMMYFUNCTION("""COMPUTED_VALUE"""),"SERVICEABLE")</f>
        <v>SERVICEABLE</v>
      </c>
      <c r="N2372" s="164"/>
    </row>
    <row r="2373" spans="1:14" ht="13.2" hidden="1">
      <c r="A2373" s="164" t="str">
        <f ca="1">IFERROR(__xludf.DUMMYFUNCTION("""COMPUTED_VALUE"""),"Region VI")</f>
        <v>Region VI</v>
      </c>
      <c r="B2373" s="164" t="str">
        <f ca="1">IFERROR(__xludf.DUMMYFUNCTION("""COMPUTED_VALUE"""),"ILOILO")</f>
        <v>ILOILO</v>
      </c>
      <c r="C2373" s="164" t="str">
        <f ca="1">IFERROR(__xludf.DUMMYFUNCTION("""COMPUTED_VALUE"""),"Desktop Computer – (HP Pro SFF 280G9)")</f>
        <v>Desktop Computer – (HP Pro SFF 280G9)</v>
      </c>
      <c r="D2373" s="164" t="str">
        <f ca="1">IFERROR(__xludf.DUMMYFUNCTION("""COMPUTED_VALUE"""),"₱ 78,898.00")</f>
        <v>₱ 78,898.00</v>
      </c>
      <c r="E2373" s="164"/>
      <c r="F2373" s="164" t="str">
        <f ca="1">IFERROR(__xludf.DUMMYFUNCTION("""COMPUTED_VALUE"""),"2023-05-03-1020ISP66-01")</f>
        <v>2023-05-03-1020ISP66-01</v>
      </c>
      <c r="G2373" s="164"/>
      <c r="H2373" s="164" t="str">
        <f ca="1">IFERROR(__xludf.DUMMYFUNCTION("""COMPUTED_VALUE"""),"MARIAN M. JIMANGA")</f>
        <v>MARIAN M. JIMANGA</v>
      </c>
      <c r="I2373" s="164" t="str">
        <f ca="1">IFERROR(__xludf.DUMMYFUNCTION("""COMPUTED_VALUE"""),"MARPO")</f>
        <v>MARPO</v>
      </c>
      <c r="J2373" s="164" t="str">
        <f ca="1">IFERROR(__xludf.DUMMYFUNCTION("""COMPUTED_VALUE"""),"2023-08-426")</f>
        <v>2023-08-426</v>
      </c>
      <c r="K2373" s="164" t="str">
        <f ca="1">IFERROR(__xludf.DUMMYFUNCTION("""COMPUTED_VALUE"""),"EUGENE ESTAMPADOR(COS - SPLIT)")</f>
        <v>EUGENE ESTAMPADOR(COS - SPLIT)</v>
      </c>
      <c r="L2373" s="164" t="str">
        <f ca="1">IFERROR(__xludf.DUMMYFUNCTION("""COMPUTED_VALUE"""),"PASSI CITY")</f>
        <v>PASSI CITY</v>
      </c>
      <c r="M2373" s="164" t="str">
        <f ca="1">IFERROR(__xludf.DUMMYFUNCTION("""COMPUTED_VALUE"""),"SERVICEABLE")</f>
        <v>SERVICEABLE</v>
      </c>
      <c r="N2373" s="164"/>
    </row>
    <row r="2374" spans="1:14" ht="13.2" hidden="1">
      <c r="A2374" s="164" t="str">
        <f ca="1">IFERROR(__xludf.DUMMYFUNCTION("""COMPUTED_VALUE"""),"Region VI")</f>
        <v>Region VI</v>
      </c>
      <c r="B2374" s="164" t="str">
        <f ca="1">IFERROR(__xludf.DUMMYFUNCTION("""COMPUTED_VALUE"""),"ILOILO")</f>
        <v>ILOILO</v>
      </c>
      <c r="C2374" s="164" t="str">
        <f ca="1">IFERROR(__xludf.DUMMYFUNCTION("""COMPUTED_VALUE"""),"Desktop Computer – (HP Pro SFF 280G9)")</f>
        <v>Desktop Computer – (HP Pro SFF 280G9)</v>
      </c>
      <c r="D2374" s="164" t="str">
        <f ca="1">IFERROR(__xludf.DUMMYFUNCTION("""COMPUTED_VALUE"""),"₱ 78,898.00")</f>
        <v>₱ 78,898.00</v>
      </c>
      <c r="E2374" s="164"/>
      <c r="F2374" s="164" t="str">
        <f ca="1">IFERROR(__xludf.DUMMYFUNCTION("""COMPUTED_VALUE"""),"2023-05-03-1020ISP65-01")</f>
        <v>2023-05-03-1020ISP65-01</v>
      </c>
      <c r="G2374" s="164"/>
      <c r="H2374" s="164" t="str">
        <f ca="1">IFERROR(__xludf.DUMMYFUNCTION("""COMPUTED_VALUE"""),"HARRIET A. LOOT")</f>
        <v>HARRIET A. LOOT</v>
      </c>
      <c r="I2374" s="164" t="str">
        <f ca="1">IFERROR(__xludf.DUMMYFUNCTION("""COMPUTED_VALUE"""),"PARPO II")</f>
        <v>PARPO II</v>
      </c>
      <c r="J2374" s="164" t="str">
        <f ca="1">IFERROR(__xludf.DUMMYFUNCTION("""COMPUTED_VALUE"""),"2023-08-427")</f>
        <v>2023-08-427</v>
      </c>
      <c r="K2374" s="164" t="str">
        <f ca="1">IFERROR(__xludf.DUMMYFUNCTION("""COMPUTED_VALUE"""),"JERLYN GABAYERON(COS - SPLIT)")</f>
        <v>JERLYN GABAYERON(COS - SPLIT)</v>
      </c>
      <c r="L2374" s="164" t="str">
        <f ca="1">IFERROR(__xludf.DUMMYFUNCTION("""COMPUTED_VALUE"""),"Office of the PARPO")</f>
        <v>Office of the PARPO</v>
      </c>
      <c r="M2374" s="164" t="str">
        <f ca="1">IFERROR(__xludf.DUMMYFUNCTION("""COMPUTED_VALUE"""),"SERVICEABLE")</f>
        <v>SERVICEABLE</v>
      </c>
      <c r="N2374" s="164"/>
    </row>
    <row r="2375" spans="1:14" ht="13.2" hidden="1">
      <c r="A2375" s="164" t="str">
        <f ca="1">IFERROR(__xludf.DUMMYFUNCTION("""COMPUTED_VALUE"""),"Region VI")</f>
        <v>Region VI</v>
      </c>
      <c r="B2375" s="164" t="str">
        <f ca="1">IFERROR(__xludf.DUMMYFUNCTION("""COMPUTED_VALUE"""),"ILOILO")</f>
        <v>ILOILO</v>
      </c>
      <c r="C2375" s="164" t="str">
        <f ca="1">IFERROR(__xludf.DUMMYFUNCTION("""COMPUTED_VALUE"""),"A3 PRINTER (BROTHER)")</f>
        <v>A3 PRINTER (BROTHER)</v>
      </c>
      <c r="D2375" s="164" t="str">
        <f ca="1">IFERROR(__xludf.DUMMYFUNCTION("""COMPUTED_VALUE"""),"₱ 33,508.00")</f>
        <v>₱ 33,508.00</v>
      </c>
      <c r="E2375" s="164"/>
      <c r="F2375" s="164" t="str">
        <f ca="1">IFERROR(__xludf.DUMMYFUNCTION("""COMPUTED_VALUE"""),"HV-SPLIT-102-24-05-087")</f>
        <v>HV-SPLIT-102-24-05-087</v>
      </c>
      <c r="G2375" s="164"/>
      <c r="H2375" s="164" t="str">
        <f ca="1">IFERROR(__xludf.DUMMYFUNCTION("""COMPUTED_VALUE"""),"ATTY SHEILA B. ENCISO")</f>
        <v>ATTY SHEILA B. ENCISO</v>
      </c>
      <c r="I2375" s="164" t="str">
        <f ca="1">IFERROR(__xludf.DUMMYFUNCTION("""COMPUTED_VALUE"""),"Regional Director")</f>
        <v>Regional Director</v>
      </c>
      <c r="J2375" s="164" t="str">
        <f ca="1">IFERROR(__xludf.DUMMYFUNCTION("""COMPUTED_VALUE"""),"2024-03-007")</f>
        <v>2024-03-007</v>
      </c>
      <c r="K2375" s="164"/>
      <c r="L2375" s="164" t="str">
        <f ca="1">IFERROR(__xludf.DUMMYFUNCTION("""COMPUTED_VALUE"""),"DARPO ILOILO")</f>
        <v>DARPO ILOILO</v>
      </c>
      <c r="M2375" s="164" t="str">
        <f ca="1">IFERROR(__xludf.DUMMYFUNCTION("""COMPUTED_VALUE"""),"SERVICEABLE")</f>
        <v>SERVICEABLE</v>
      </c>
      <c r="N2375" s="164"/>
    </row>
    <row r="2376" spans="1:14" ht="13.2" hidden="1">
      <c r="A2376" s="164" t="str">
        <f ca="1">IFERROR(__xludf.DUMMYFUNCTION("""COMPUTED_VALUE"""),"Region VI")</f>
        <v>Region VI</v>
      </c>
      <c r="B2376" s="164" t="str">
        <f ca="1">IFERROR(__xludf.DUMMYFUNCTION("""COMPUTED_VALUE"""),"CAPIZ")</f>
        <v>CAPIZ</v>
      </c>
      <c r="C2376" s="164" t="str">
        <f ca="1">IFERROR(__xludf.DUMMYFUNCTION("""COMPUTED_VALUE"""),"Photocopier Machine – Kyocera")</f>
        <v>Photocopier Machine – Kyocera</v>
      </c>
      <c r="D2376" s="164" t="str">
        <f ca="1">IFERROR(__xludf.DUMMYFUNCTION("""COMPUTED_VALUE"""),"₱ 84,500.00")</f>
        <v>₱ 84,500.00</v>
      </c>
      <c r="E2376" s="164"/>
      <c r="F2376" s="164" t="str">
        <f ca="1">IFERROR(__xludf.DUMMYFUNCTION("""COMPUTED_VALUE"""),"2022-05-02-10202SP45-01")</f>
        <v>2022-05-02-10202SP45-01</v>
      </c>
      <c r="G2376" s="164" t="str">
        <f ca="1">IFERROR(__xludf.DUMMYFUNCTION("""COMPUTED_VALUE"""),"RNK2700175")</f>
        <v>RNK2700175</v>
      </c>
      <c r="H2376" s="164" t="str">
        <f ca="1">IFERROR(__xludf.DUMMYFUNCTION("""COMPUTED_VALUE"""),"ALONA D. ALBANCES")</f>
        <v>ALONA D. ALBANCES</v>
      </c>
      <c r="I2376" s="164" t="str">
        <f ca="1">IFERROR(__xludf.DUMMYFUNCTION("""COMPUTED_VALUE"""),"PARPO I/provincial Grievance Redness Mechanism (GRM) Coordinator")</f>
        <v>PARPO I/provincial Grievance Redness Mechanism (GRM) Coordinator</v>
      </c>
      <c r="J2376" s="164" t="str">
        <f ca="1">IFERROR(__xludf.DUMMYFUNCTION("""COMPUTED_VALUE"""),"2022-10-0001")</f>
        <v>2022-10-0001</v>
      </c>
      <c r="K2376" s="164" t="str">
        <f ca="1">IFERROR(__xludf.DUMMYFUNCTION("""COMPUTED_VALUE"""),"ALONA D. ALBANCES")</f>
        <v>ALONA D. ALBANCES</v>
      </c>
      <c r="L2376" s="164" t="str">
        <f ca="1">IFERROR(__xludf.DUMMYFUNCTION("""COMPUTED_VALUE"""),"PARPO I")</f>
        <v>PARPO I</v>
      </c>
      <c r="M2376" s="164" t="str">
        <f ca="1">IFERROR(__xludf.DUMMYFUNCTION("""COMPUTED_VALUE"""),"SERVICEABLE")</f>
        <v>SERVICEABLE</v>
      </c>
      <c r="N2376" s="164"/>
    </row>
    <row r="2377" spans="1:14" ht="13.2" hidden="1">
      <c r="A2377" s="164" t="str">
        <f ca="1">IFERROR(__xludf.DUMMYFUNCTION("""COMPUTED_VALUE"""),"Region VI")</f>
        <v>Region VI</v>
      </c>
      <c r="B2377" s="164" t="str">
        <f ca="1">IFERROR(__xludf.DUMMYFUNCTION("""COMPUTED_VALUE"""),"CAPIZ")</f>
        <v>CAPIZ</v>
      </c>
      <c r="C2377" s="164" t="str">
        <f ca="1">IFERROR(__xludf.DUMMYFUNCTION("""COMPUTED_VALUE"""),"Desktop Computer – (Lenovo M70T)")</f>
        <v>Desktop Computer – (Lenovo M70T)</v>
      </c>
      <c r="D2377" s="164" t="str">
        <f ca="1">IFERROR(__xludf.DUMMYFUNCTION("""COMPUTED_VALUE"""),"₱ 75,468.00")</f>
        <v>₱ 75,468.00</v>
      </c>
      <c r="E2377" s="164"/>
      <c r="F2377" s="164" t="str">
        <f ca="1">IFERROR(__xludf.DUMMYFUNCTION("""COMPUTED_VALUE"""),"2023-05-03-10201SP1139-01")</f>
        <v>2023-05-03-10201SP1139-01</v>
      </c>
      <c r="G2377" s="164"/>
      <c r="H2377" s="164" t="str">
        <f ca="1">IFERROR(__xludf.DUMMYFUNCTION("""COMPUTED_VALUE"""),"JOSEPHINE O. CONSING")</f>
        <v>JOSEPHINE O. CONSING</v>
      </c>
      <c r="I2377" s="164" t="str">
        <f ca="1">IFERROR(__xludf.DUMMYFUNCTION("""COMPUTED_VALUE"""),"BUDGET OFFICER II / PROVINCIAL PROJECT BUDGET OFFICER")</f>
        <v>BUDGET OFFICER II / PROVINCIAL PROJECT BUDGET OFFICER</v>
      </c>
      <c r="J2377" s="164" t="str">
        <f ca="1">IFERROR(__xludf.DUMMYFUNCTION("""COMPUTED_VALUE"""),"2023-05-0011")</f>
        <v>2023-05-0011</v>
      </c>
      <c r="K2377" s="164" t="str">
        <f ca="1">IFERROR(__xludf.DUMMYFUNCTION("""COMPUTED_VALUE"""),"JOSEPHINE O. CONSING")</f>
        <v>JOSEPHINE O. CONSING</v>
      </c>
      <c r="L2377" s="164" t="str">
        <f ca="1">IFERROR(__xludf.DUMMYFUNCTION("""COMPUTED_VALUE"""),"STOD")</f>
        <v>STOD</v>
      </c>
      <c r="M2377" s="164" t="str">
        <f ca="1">IFERROR(__xludf.DUMMYFUNCTION("""COMPUTED_VALUE"""),"SERVICEABLE")</f>
        <v>SERVICEABLE</v>
      </c>
      <c r="N2377" s="164"/>
    </row>
    <row r="2378" spans="1:14" ht="13.2" hidden="1">
      <c r="A2378" s="164" t="str">
        <f ca="1">IFERROR(__xludf.DUMMYFUNCTION("""COMPUTED_VALUE"""),"Region VI")</f>
        <v>Region VI</v>
      </c>
      <c r="B2378" s="164" t="str">
        <f ca="1">IFERROR(__xludf.DUMMYFUNCTION("""COMPUTED_VALUE"""),"CAPIZ")</f>
        <v>CAPIZ</v>
      </c>
      <c r="C2378" s="164" t="str">
        <f ca="1">IFERROR(__xludf.DUMMYFUNCTION("""COMPUTED_VALUE"""),"Desktop Computer – (Lenovo M70T)")</f>
        <v>Desktop Computer – (Lenovo M70T)</v>
      </c>
      <c r="D2378" s="164" t="str">
        <f ca="1">IFERROR(__xludf.DUMMYFUNCTION("""COMPUTED_VALUE"""),"₱ 75,468.00")</f>
        <v>₱ 75,468.00</v>
      </c>
      <c r="E2378" s="164"/>
      <c r="F2378" s="164" t="str">
        <f ca="1">IFERROR(__xludf.DUMMYFUNCTION("""COMPUTED_VALUE"""),"2023-05-03-10201SP1140-01")</f>
        <v>2023-05-03-10201SP1140-01</v>
      </c>
      <c r="G2378" s="164"/>
      <c r="H2378" s="164" t="str">
        <f ca="1">IFERROR(__xludf.DUMMYFUNCTION("""COMPUTED_VALUE"""),"JOCELYN D. BALTERO")</f>
        <v>JOCELYN D. BALTERO</v>
      </c>
      <c r="I2378" s="164" t="str">
        <f ca="1">IFERROR(__xludf.DUMMYFUNCTION("""COMPUTED_VALUE"""),"PERSONNEL OFFICER")</f>
        <v>PERSONNEL OFFICER</v>
      </c>
      <c r="J2378" s="164" t="str">
        <f ca="1">IFERROR(__xludf.DUMMYFUNCTION("""COMPUTED_VALUE"""),"2023-05-0012")</f>
        <v>2023-05-0012</v>
      </c>
      <c r="K2378" s="164" t="str">
        <f ca="1">IFERROR(__xludf.DUMMYFUNCTION("""COMPUTED_VALUE"""),"JOCELYN D. BALTERO")</f>
        <v>JOCELYN D. BALTERO</v>
      </c>
      <c r="L2378" s="164" t="str">
        <f ca="1">IFERROR(__xludf.DUMMYFUNCTION("""COMPUTED_VALUE"""),"STOD")</f>
        <v>STOD</v>
      </c>
      <c r="M2378" s="164" t="str">
        <f ca="1">IFERROR(__xludf.DUMMYFUNCTION("""COMPUTED_VALUE"""),"SERVICEABLE")</f>
        <v>SERVICEABLE</v>
      </c>
      <c r="N2378" s="164"/>
    </row>
    <row r="2379" spans="1:14" ht="13.2" hidden="1">
      <c r="A2379" s="164" t="str">
        <f ca="1">IFERROR(__xludf.DUMMYFUNCTION("""COMPUTED_VALUE"""),"Region VI")</f>
        <v>Region VI</v>
      </c>
      <c r="B2379" s="164" t="str">
        <f ca="1">IFERROR(__xludf.DUMMYFUNCTION("""COMPUTED_VALUE"""),"CAPIZ")</f>
        <v>CAPIZ</v>
      </c>
      <c r="C2379" s="164" t="str">
        <f ca="1">IFERROR(__xludf.DUMMYFUNCTION("""COMPUTED_VALUE"""),"Desktop Computer – (Lenovo M70T)")</f>
        <v>Desktop Computer – (Lenovo M70T)</v>
      </c>
      <c r="D2379" s="164" t="str">
        <f ca="1">IFERROR(__xludf.DUMMYFUNCTION("""COMPUTED_VALUE"""),"₱ 75,468.00")</f>
        <v>₱ 75,468.00</v>
      </c>
      <c r="E2379" s="164"/>
      <c r="F2379" s="164" t="str">
        <f ca="1">IFERROR(__xludf.DUMMYFUNCTION("""COMPUTED_VALUE"""),"2023-05-03-10201SP1141-01")</f>
        <v>2023-05-03-10201SP1141-01</v>
      </c>
      <c r="G2379" s="164"/>
      <c r="H2379" s="164" t="str">
        <f ca="1">IFERROR(__xludf.DUMMYFUNCTION("""COMPUTED_VALUE"""),"NORA MAE D. MAQUIRAN")</f>
        <v>NORA MAE D. MAQUIRAN</v>
      </c>
      <c r="I2379" s="164" t="str">
        <f ca="1">IFERROR(__xludf.DUMMYFUNCTION("""COMPUTED_VALUE"""),"ACCOUNTANT II / PROVINCIAL PROJECT ACCOUNTANT")</f>
        <v>ACCOUNTANT II / PROVINCIAL PROJECT ACCOUNTANT</v>
      </c>
      <c r="J2379" s="164" t="str">
        <f ca="1">IFERROR(__xludf.DUMMYFUNCTION("""COMPUTED_VALUE"""),"2023-05-0013")</f>
        <v>2023-05-0013</v>
      </c>
      <c r="K2379" s="164" t="str">
        <f ca="1">IFERROR(__xludf.DUMMYFUNCTION("""COMPUTED_VALUE"""),"NORA MAE D. MAQUIRAN")</f>
        <v>NORA MAE D. MAQUIRAN</v>
      </c>
      <c r="L2379" s="164" t="str">
        <f ca="1">IFERROR(__xludf.DUMMYFUNCTION("""COMPUTED_VALUE"""),"STOD")</f>
        <v>STOD</v>
      </c>
      <c r="M2379" s="164" t="str">
        <f ca="1">IFERROR(__xludf.DUMMYFUNCTION("""COMPUTED_VALUE"""),"SERVICEABLE")</f>
        <v>SERVICEABLE</v>
      </c>
      <c r="N2379" s="164"/>
    </row>
    <row r="2380" spans="1:14" ht="13.2" hidden="1">
      <c r="A2380" s="164" t="str">
        <f ca="1">IFERROR(__xludf.DUMMYFUNCTION("""COMPUTED_VALUE"""),"Region VI")</f>
        <v>Region VI</v>
      </c>
      <c r="B2380" s="164" t="str">
        <f ca="1">IFERROR(__xludf.DUMMYFUNCTION("""COMPUTED_VALUE"""),"CAPIZ")</f>
        <v>CAPIZ</v>
      </c>
      <c r="C2380" s="164" t="str">
        <f ca="1">IFERROR(__xludf.DUMMYFUNCTION("""COMPUTED_VALUE"""),"Desktop Computer – (Lenovo M70T)")</f>
        <v>Desktop Computer – (Lenovo M70T)</v>
      </c>
      <c r="D2380" s="164" t="str">
        <f ca="1">IFERROR(__xludf.DUMMYFUNCTION("""COMPUTED_VALUE"""),"₱ 75,468.00")</f>
        <v>₱ 75,468.00</v>
      </c>
      <c r="E2380" s="164"/>
      <c r="F2380" s="164" t="str">
        <f ca="1">IFERROR(__xludf.DUMMYFUNCTION("""COMPUTED_VALUE"""),"2023-05-03-10201SP1142-01")</f>
        <v>2023-05-03-10201SP1142-01</v>
      </c>
      <c r="G2380" s="164"/>
      <c r="H2380" s="164" t="str">
        <f ca="1">IFERROR(__xludf.DUMMYFUNCTION("""COMPUTED_VALUE"""),"JELAINE A. LOREDO")</f>
        <v>JELAINE A. LOREDO</v>
      </c>
      <c r="I2380" s="164" t="str">
        <f ca="1">IFERROR(__xludf.DUMMYFUNCTION("""COMPUTED_VALUE"""),"ARPO I")</f>
        <v>ARPO I</v>
      </c>
      <c r="J2380" s="164" t="str">
        <f ca="1">IFERROR(__xludf.DUMMYFUNCTION("""COMPUTED_VALUE"""),"2023-05-0014")</f>
        <v>2023-05-0014</v>
      </c>
      <c r="K2380" s="164" t="str">
        <f ca="1">IFERROR(__xludf.DUMMYFUNCTION("""COMPUTED_VALUE"""),"JELAINE A. LOREDO")</f>
        <v>JELAINE A. LOREDO</v>
      </c>
      <c r="L2380" s="164" t="str">
        <f ca="1">IFERROR(__xludf.DUMMYFUNCTION("""COMPUTED_VALUE"""),"LTID")</f>
        <v>LTID</v>
      </c>
      <c r="M2380" s="164" t="str">
        <f ca="1">IFERROR(__xludf.DUMMYFUNCTION("""COMPUTED_VALUE"""),"SERVICEABLE")</f>
        <v>SERVICEABLE</v>
      </c>
      <c r="N2380" s="164"/>
    </row>
    <row r="2381" spans="1:14" ht="13.2" hidden="1">
      <c r="A2381" s="164" t="str">
        <f ca="1">IFERROR(__xludf.DUMMYFUNCTION("""COMPUTED_VALUE"""),"Region VI")</f>
        <v>Region VI</v>
      </c>
      <c r="B2381" s="164" t="str">
        <f ca="1">IFERROR(__xludf.DUMMYFUNCTION("""COMPUTED_VALUE"""),"CAPIZ")</f>
        <v>CAPIZ</v>
      </c>
      <c r="C2381" s="164" t="str">
        <f ca="1">IFERROR(__xludf.DUMMYFUNCTION("""COMPUTED_VALUE"""),"Desktop Computer – (Lenovo M70T)")</f>
        <v>Desktop Computer – (Lenovo M70T)</v>
      </c>
      <c r="D2381" s="164" t="str">
        <f ca="1">IFERROR(__xludf.DUMMYFUNCTION("""COMPUTED_VALUE"""),"₱ 75,468.00")</f>
        <v>₱ 75,468.00</v>
      </c>
      <c r="E2381" s="164"/>
      <c r="F2381" s="164" t="str">
        <f ca="1">IFERROR(__xludf.DUMMYFUNCTION("""COMPUTED_VALUE"""),"2023-05-03-10201SP1143-01")</f>
        <v>2023-05-03-10201SP1143-01</v>
      </c>
      <c r="G2381" s="164"/>
      <c r="H2381" s="164" t="str">
        <f ca="1">IFERROR(__xludf.DUMMYFUNCTION("""COMPUTED_VALUE"""),"JAIRA A. DELA PEÑA")</f>
        <v>JAIRA A. DELA PEÑA</v>
      </c>
      <c r="I2381" s="164" t="str">
        <f ca="1">IFERROR(__xludf.DUMMYFUNCTION("""COMPUTED_VALUE"""),"ARPT")</f>
        <v>ARPT</v>
      </c>
      <c r="J2381" s="164" t="str">
        <f ca="1">IFERROR(__xludf.DUMMYFUNCTION("""COMPUTED_VALUE"""),"2023-05-0015")</f>
        <v>2023-05-0015</v>
      </c>
      <c r="K2381" s="164" t="str">
        <f ca="1">IFERROR(__xludf.DUMMYFUNCTION("""COMPUTED_VALUE"""),"JAIRA A. DELA PEÑA")</f>
        <v>JAIRA A. DELA PEÑA</v>
      </c>
      <c r="L2381" s="164" t="str">
        <f ca="1">IFERROR(__xludf.DUMMYFUNCTION("""COMPUTED_VALUE"""),"LTID")</f>
        <v>LTID</v>
      </c>
      <c r="M2381" s="164" t="str">
        <f ca="1">IFERROR(__xludf.DUMMYFUNCTION("""COMPUTED_VALUE"""),"SERVICEABLE")</f>
        <v>SERVICEABLE</v>
      </c>
      <c r="N2381" s="164"/>
    </row>
    <row r="2382" spans="1:14" ht="13.2" hidden="1">
      <c r="A2382" s="164" t="str">
        <f ca="1">IFERROR(__xludf.DUMMYFUNCTION("""COMPUTED_VALUE"""),"Region VI")</f>
        <v>Region VI</v>
      </c>
      <c r="B2382" s="164" t="str">
        <f ca="1">IFERROR(__xludf.DUMMYFUNCTION("""COMPUTED_VALUE"""),"CAPIZ")</f>
        <v>CAPIZ</v>
      </c>
      <c r="C2382" s="164" t="str">
        <f ca="1">IFERROR(__xludf.DUMMYFUNCTION("""COMPUTED_VALUE"""),"Desktop Computer – (Lenovo M70T)")</f>
        <v>Desktop Computer – (Lenovo M70T)</v>
      </c>
      <c r="D2382" s="164" t="str">
        <f ca="1">IFERROR(__xludf.DUMMYFUNCTION("""COMPUTED_VALUE"""),"₱ 75,468.00")</f>
        <v>₱ 75,468.00</v>
      </c>
      <c r="E2382" s="164"/>
      <c r="F2382" s="164" t="str">
        <f ca="1">IFERROR(__xludf.DUMMYFUNCTION("""COMPUTED_VALUE"""),"2023-05-03-10201SP1144-01")</f>
        <v>2023-05-03-10201SP1144-01</v>
      </c>
      <c r="G2382" s="164"/>
      <c r="H2382" s="164" t="str">
        <f ca="1">IFERROR(__xludf.DUMMYFUNCTION("""COMPUTED_VALUE"""),"JOMARI Y. GREGORE")</f>
        <v>JOMARI Y. GREGORE</v>
      </c>
      <c r="I2382" s="164" t="str">
        <f ca="1">IFERROR(__xludf.DUMMYFUNCTION("""COMPUTED_VALUE"""),"ARPT / PROVINCIAL DENR/LRA-ROD SURVEY COORDINATOR")</f>
        <v>ARPT / PROVINCIAL DENR/LRA-ROD SURVEY COORDINATOR</v>
      </c>
      <c r="J2382" s="164" t="str">
        <f ca="1">IFERROR(__xludf.DUMMYFUNCTION("""COMPUTED_VALUE"""),"2023-05-0016")</f>
        <v>2023-05-0016</v>
      </c>
      <c r="K2382" s="164" t="str">
        <f ca="1">IFERROR(__xludf.DUMMYFUNCTION("""COMPUTED_VALUE"""),"JOMARI Y. GREGORE")</f>
        <v>JOMARI Y. GREGORE</v>
      </c>
      <c r="L2382" s="164" t="str">
        <f ca="1">IFERROR(__xludf.DUMMYFUNCTION("""COMPUTED_VALUE"""),"LTID")</f>
        <v>LTID</v>
      </c>
      <c r="M2382" s="164" t="str">
        <f ca="1">IFERROR(__xludf.DUMMYFUNCTION("""COMPUTED_VALUE"""),"SERVICEABLE")</f>
        <v>SERVICEABLE</v>
      </c>
      <c r="N2382" s="164"/>
    </row>
    <row r="2383" spans="1:14" ht="13.2" hidden="1">
      <c r="A2383" s="164" t="str">
        <f ca="1">IFERROR(__xludf.DUMMYFUNCTION("""COMPUTED_VALUE"""),"Region VI")</f>
        <v>Region VI</v>
      </c>
      <c r="B2383" s="164" t="str">
        <f ca="1">IFERROR(__xludf.DUMMYFUNCTION("""COMPUTED_VALUE"""),"CAPIZ")</f>
        <v>CAPIZ</v>
      </c>
      <c r="C2383" s="164" t="str">
        <f ca="1">IFERROR(__xludf.DUMMYFUNCTION("""COMPUTED_VALUE"""),"Desktop Computer – (Lenovo M70T)")</f>
        <v>Desktop Computer – (Lenovo M70T)</v>
      </c>
      <c r="D2383" s="164" t="str">
        <f ca="1">IFERROR(__xludf.DUMMYFUNCTION("""COMPUTED_VALUE"""),"₱ 75,468.00")</f>
        <v>₱ 75,468.00</v>
      </c>
      <c r="E2383" s="164"/>
      <c r="F2383" s="164" t="str">
        <f ca="1">IFERROR(__xludf.DUMMYFUNCTION("""COMPUTED_VALUE"""),"2023-05-03-10201SP1145-01")</f>
        <v>2023-05-03-10201SP1145-01</v>
      </c>
      <c r="G2383" s="164"/>
      <c r="H2383" s="164" t="str">
        <f ca="1">IFERROR(__xludf.DUMMYFUNCTION("""COMPUTED_VALUE"""),"LALAINE P. MATILLANO")</f>
        <v>LALAINE P. MATILLANO</v>
      </c>
      <c r="I2383" s="164" t="str">
        <f ca="1">IFERROR(__xludf.DUMMYFUNCTION("""COMPUTED_VALUE"""),"ARPO II")</f>
        <v>ARPO II</v>
      </c>
      <c r="J2383" s="164" t="str">
        <f ca="1">IFERROR(__xludf.DUMMYFUNCTION("""COMPUTED_VALUE"""),"2023-05-0017")</f>
        <v>2023-05-0017</v>
      </c>
      <c r="K2383" s="164" t="str">
        <f ca="1">IFERROR(__xludf.DUMMYFUNCTION("""COMPUTED_VALUE"""),"LALAINE P. MATILLANO")</f>
        <v>LALAINE P. MATILLANO</v>
      </c>
      <c r="L2383" s="164" t="str">
        <f ca="1">IFERROR(__xludf.DUMMYFUNCTION("""COMPUTED_VALUE"""),"LTID")</f>
        <v>LTID</v>
      </c>
      <c r="M2383" s="164" t="str">
        <f ca="1">IFERROR(__xludf.DUMMYFUNCTION("""COMPUTED_VALUE"""),"SERVICEABLE")</f>
        <v>SERVICEABLE</v>
      </c>
      <c r="N2383" s="164"/>
    </row>
    <row r="2384" spans="1:14" ht="13.2" hidden="1">
      <c r="A2384" s="164" t="str">
        <f ca="1">IFERROR(__xludf.DUMMYFUNCTION("""COMPUTED_VALUE"""),"Region VI")</f>
        <v>Region VI</v>
      </c>
      <c r="B2384" s="164" t="str">
        <f ca="1">IFERROR(__xludf.DUMMYFUNCTION("""COMPUTED_VALUE"""),"CAPIZ")</f>
        <v>CAPIZ</v>
      </c>
      <c r="C2384" s="164" t="str">
        <f ca="1">IFERROR(__xludf.DUMMYFUNCTION("""COMPUTED_VALUE"""),"Desktop Computer – (Lenovo M70T)")</f>
        <v>Desktop Computer – (Lenovo M70T)</v>
      </c>
      <c r="D2384" s="164" t="str">
        <f ca="1">IFERROR(__xludf.DUMMYFUNCTION("""COMPUTED_VALUE"""),"₱ 75,468.00")</f>
        <v>₱ 75,468.00</v>
      </c>
      <c r="E2384" s="164"/>
      <c r="F2384" s="164" t="str">
        <f ca="1">IFERROR(__xludf.DUMMYFUNCTION("""COMPUTED_VALUE"""),"2023-05-03-10201SP1146-01")</f>
        <v>2023-05-03-10201SP1146-01</v>
      </c>
      <c r="G2384" s="164"/>
      <c r="H2384" s="164" t="str">
        <f ca="1">IFERROR(__xludf.DUMMYFUNCTION("""COMPUTED_VALUE"""),"EDELENE P. HORARIO")</f>
        <v>EDELENE P. HORARIO</v>
      </c>
      <c r="I2384" s="164" t="str">
        <f ca="1">IFERROR(__xludf.DUMMYFUNCTION("""COMPUTED_VALUE"""),"ARPO II / PROVINCIAL MANAGEMENT INFORMATION SYSTEM COORDINATOR")</f>
        <v>ARPO II / PROVINCIAL MANAGEMENT INFORMATION SYSTEM COORDINATOR</v>
      </c>
      <c r="J2384" s="164" t="str">
        <f ca="1">IFERROR(__xludf.DUMMYFUNCTION("""COMPUTED_VALUE"""),"2023-05-0018")</f>
        <v>2023-05-0018</v>
      </c>
      <c r="K2384" s="164" t="str">
        <f ca="1">IFERROR(__xludf.DUMMYFUNCTION("""COMPUTED_VALUE"""),"EDELENE P. HORARIO")</f>
        <v>EDELENE P. HORARIO</v>
      </c>
      <c r="L2384" s="164" t="str">
        <f ca="1">IFERROR(__xludf.DUMMYFUNCTION("""COMPUTED_VALUE"""),"LTID")</f>
        <v>LTID</v>
      </c>
      <c r="M2384" s="164" t="str">
        <f ca="1">IFERROR(__xludf.DUMMYFUNCTION("""COMPUTED_VALUE"""),"SERVICEABLE")</f>
        <v>SERVICEABLE</v>
      </c>
      <c r="N2384" s="164"/>
    </row>
    <row r="2385" spans="1:14" ht="13.2" hidden="1">
      <c r="A2385" s="164" t="str">
        <f ca="1">IFERROR(__xludf.DUMMYFUNCTION("""COMPUTED_VALUE"""),"Region VI")</f>
        <v>Region VI</v>
      </c>
      <c r="B2385" s="164" t="str">
        <f ca="1">IFERROR(__xludf.DUMMYFUNCTION("""COMPUTED_VALUE"""),"CAPIZ")</f>
        <v>CAPIZ</v>
      </c>
      <c r="C2385" s="164" t="str">
        <f ca="1">IFERROR(__xludf.DUMMYFUNCTION("""COMPUTED_VALUE"""),"Desktop Computer – (Lenovo M70T)")</f>
        <v>Desktop Computer – (Lenovo M70T)</v>
      </c>
      <c r="D2385" s="164" t="str">
        <f ca="1">IFERROR(__xludf.DUMMYFUNCTION("""COMPUTED_VALUE"""),"₱ 75,468.00")</f>
        <v>₱ 75,468.00</v>
      </c>
      <c r="E2385" s="164"/>
      <c r="F2385" s="164" t="str">
        <f ca="1">IFERROR(__xludf.DUMMYFUNCTION("""COMPUTED_VALUE"""),"2023-05-03-10201SP1147-01")</f>
        <v>2023-05-03-10201SP1147-01</v>
      </c>
      <c r="G2385" s="164"/>
      <c r="H2385" s="164" t="str">
        <f ca="1">IFERROR(__xludf.DUMMYFUNCTION("""COMPUTED_VALUE"""),"ADORA L. ALVIDERA")</f>
        <v>ADORA L. ALVIDERA</v>
      </c>
      <c r="I2385" s="164" t="str">
        <f ca="1">IFERROR(__xludf.DUMMYFUNCTION("""COMPUTED_VALUE"""),"PLANNING OFFICER II / PROVINCIAL MONITORING AND EVALUATION COORDINATOR")</f>
        <v>PLANNING OFFICER II / PROVINCIAL MONITORING AND EVALUATION COORDINATOR</v>
      </c>
      <c r="J2385" s="164" t="str">
        <f ca="1">IFERROR(__xludf.DUMMYFUNCTION("""COMPUTED_VALUE"""),"2023-05-0019")</f>
        <v>2023-05-0019</v>
      </c>
      <c r="K2385" s="164" t="str">
        <f ca="1">IFERROR(__xludf.DUMMYFUNCTION("""COMPUTED_VALUE"""),"ADORA L. ALVIDERA")</f>
        <v>ADORA L. ALVIDERA</v>
      </c>
      <c r="L2385" s="164" t="str">
        <f ca="1">IFERROR(__xludf.DUMMYFUNCTION("""COMPUTED_VALUE"""),"STOD")</f>
        <v>STOD</v>
      </c>
      <c r="M2385" s="164" t="str">
        <f ca="1">IFERROR(__xludf.DUMMYFUNCTION("""COMPUTED_VALUE"""),"SERVICEABLE")</f>
        <v>SERVICEABLE</v>
      </c>
      <c r="N2385" s="164"/>
    </row>
    <row r="2386" spans="1:14" ht="13.2" hidden="1">
      <c r="A2386" s="164" t="str">
        <f ca="1">IFERROR(__xludf.DUMMYFUNCTION("""COMPUTED_VALUE"""),"Region VI")</f>
        <v>Region VI</v>
      </c>
      <c r="B2386" s="164" t="str">
        <f ca="1">IFERROR(__xludf.DUMMYFUNCTION("""COMPUTED_VALUE"""),"CAPIZ")</f>
        <v>CAPIZ</v>
      </c>
      <c r="C2386" s="164" t="str">
        <f ca="1">IFERROR(__xludf.DUMMYFUNCTION("""COMPUTED_VALUE"""),"Desktop Computer – (Lenovo M70T)")</f>
        <v>Desktop Computer – (Lenovo M70T)</v>
      </c>
      <c r="D2386" s="164" t="str">
        <f ca="1">IFERROR(__xludf.DUMMYFUNCTION("""COMPUTED_VALUE"""),"₱ 75,468.00")</f>
        <v>₱ 75,468.00</v>
      </c>
      <c r="E2386" s="164"/>
      <c r="F2386" s="164" t="str">
        <f ca="1">IFERROR(__xludf.DUMMYFUNCTION("""COMPUTED_VALUE"""),"2023-05-03-10201SP1148-01")</f>
        <v>2023-05-03-10201SP1148-01</v>
      </c>
      <c r="G2386" s="164"/>
      <c r="H2386" s="164" t="str">
        <f ca="1">IFERROR(__xludf.DUMMYFUNCTION("""COMPUTED_VALUE"""),"ROEL B. GALLAZA")</f>
        <v>ROEL B. GALLAZA</v>
      </c>
      <c r="I2386" s="164" t="str">
        <f ca="1">IFERROR(__xludf.DUMMYFUNCTION("""COMPUTED_VALUE"""),"CARPO-LTID / PROVINCIAL PARCELIZATION COMPONENT AND FIELD VALIDATION TEAM COORDINATOR")</f>
        <v>CARPO-LTID / PROVINCIAL PARCELIZATION COMPONENT AND FIELD VALIDATION TEAM COORDINATOR</v>
      </c>
      <c r="J2386" s="164" t="str">
        <f ca="1">IFERROR(__xludf.DUMMYFUNCTION("""COMPUTED_VALUE"""),"2023-05-0020")</f>
        <v>2023-05-0020</v>
      </c>
      <c r="K2386" s="164" t="str">
        <f ca="1">IFERROR(__xludf.DUMMYFUNCTION("""COMPUTED_VALUE"""),"ROEL B. GALLAZA")</f>
        <v>ROEL B. GALLAZA</v>
      </c>
      <c r="L2386" s="164" t="str">
        <f ca="1">IFERROR(__xludf.DUMMYFUNCTION("""COMPUTED_VALUE"""),"LTID")</f>
        <v>LTID</v>
      </c>
      <c r="M2386" s="164" t="str">
        <f ca="1">IFERROR(__xludf.DUMMYFUNCTION("""COMPUTED_VALUE"""),"SERVICEABLE")</f>
        <v>SERVICEABLE</v>
      </c>
      <c r="N2386" s="164"/>
    </row>
    <row r="2387" spans="1:14" ht="13.2" hidden="1">
      <c r="A2387" s="164" t="str">
        <f ca="1">IFERROR(__xludf.DUMMYFUNCTION("""COMPUTED_VALUE"""),"Region VI")</f>
        <v>Region VI</v>
      </c>
      <c r="B2387" s="164" t="str">
        <f ca="1">IFERROR(__xludf.DUMMYFUNCTION("""COMPUTED_VALUE"""),"CAPIZ")</f>
        <v>CAPIZ</v>
      </c>
      <c r="C2387" s="164" t="str">
        <f ca="1">IFERROR(__xludf.DUMMYFUNCTION("""COMPUTED_VALUE"""),"Desktop Computer – (Lenovo M70T)")</f>
        <v>Desktop Computer – (Lenovo M70T)</v>
      </c>
      <c r="D2387" s="164" t="str">
        <f ca="1">IFERROR(__xludf.DUMMYFUNCTION("""COMPUTED_VALUE"""),"₱ 75,468.00")</f>
        <v>₱ 75,468.00</v>
      </c>
      <c r="E2387" s="164"/>
      <c r="F2387" s="164" t="str">
        <f ca="1">IFERROR(__xludf.DUMMYFUNCTION("""COMPUTED_VALUE"""),"2023-05-03-10201SP1149-01")</f>
        <v>2023-05-03-10201SP1149-01</v>
      </c>
      <c r="G2387" s="164"/>
      <c r="H2387" s="164" t="str">
        <f ca="1">IFERROR(__xludf.DUMMYFUNCTION("""COMPUTED_VALUE"""),"LEA L. UBIERNA")</f>
        <v>LEA L. UBIERNA</v>
      </c>
      <c r="I2387" s="164" t="str">
        <f ca="1">IFERROR(__xludf.DUMMYFUNCTION("""COMPUTED_VALUE"""),"CARPO-PBDD / PROVINCIAL ESS COORDINATOR")</f>
        <v>CARPO-PBDD / PROVINCIAL ESS COORDINATOR</v>
      </c>
      <c r="J2387" s="164" t="str">
        <f ca="1">IFERROR(__xludf.DUMMYFUNCTION("""COMPUTED_VALUE"""),"2023-05-0021")</f>
        <v>2023-05-0021</v>
      </c>
      <c r="K2387" s="164" t="str">
        <f ca="1">IFERROR(__xludf.DUMMYFUNCTION("""COMPUTED_VALUE"""),"LEA L. UBIERNA")</f>
        <v>LEA L. UBIERNA</v>
      </c>
      <c r="L2387" s="164" t="str">
        <f ca="1">IFERROR(__xludf.DUMMYFUNCTION("""COMPUTED_VALUE"""),"PBDD")</f>
        <v>PBDD</v>
      </c>
      <c r="M2387" s="164" t="str">
        <f ca="1">IFERROR(__xludf.DUMMYFUNCTION("""COMPUTED_VALUE"""),"SERVICEABLE")</f>
        <v>SERVICEABLE</v>
      </c>
      <c r="N2387" s="164"/>
    </row>
    <row r="2388" spans="1:14" ht="13.2" hidden="1">
      <c r="A2388" s="164" t="str">
        <f ca="1">IFERROR(__xludf.DUMMYFUNCTION("""COMPUTED_VALUE"""),"Region VI")</f>
        <v>Region VI</v>
      </c>
      <c r="B2388" s="164" t="str">
        <f ca="1">IFERROR(__xludf.DUMMYFUNCTION("""COMPUTED_VALUE"""),"CAPIZ")</f>
        <v>CAPIZ</v>
      </c>
      <c r="C2388" s="164" t="str">
        <f ca="1">IFERROR(__xludf.DUMMYFUNCTION("""COMPUTED_VALUE"""),"Desktop Computer – (Lenovo M70T)")</f>
        <v>Desktop Computer – (Lenovo M70T)</v>
      </c>
      <c r="D2388" s="164" t="str">
        <f ca="1">IFERROR(__xludf.DUMMYFUNCTION("""COMPUTED_VALUE"""),"₱ 75,468.00")</f>
        <v>₱ 75,468.00</v>
      </c>
      <c r="E2388" s="164"/>
      <c r="F2388" s="164" t="str">
        <f ca="1">IFERROR(__xludf.DUMMYFUNCTION("""COMPUTED_VALUE"""),"2023-05-03-10201SP1150-01")</f>
        <v>2023-05-03-10201SP1150-01</v>
      </c>
      <c r="G2388" s="164"/>
      <c r="H2388" s="164" t="str">
        <f ca="1">IFERROR(__xludf.DUMMYFUNCTION("""COMPUTED_VALUE"""),"GERALD AMATA")</f>
        <v>GERALD AMATA</v>
      </c>
      <c r="I2388" s="164" t="str">
        <f ca="1">IFERROR(__xludf.DUMMYFUNCTION("""COMPUTED_VALUE"""),"ARPT")</f>
        <v>ARPT</v>
      </c>
      <c r="J2388" s="164" t="str">
        <f ca="1">IFERROR(__xludf.DUMMYFUNCTION("""COMPUTED_VALUE"""),"2023-05-0022")</f>
        <v>2023-05-0022</v>
      </c>
      <c r="K2388" s="164" t="str">
        <f ca="1">IFERROR(__xludf.DUMMYFUNCTION("""COMPUTED_VALUE"""),"GERALD AMATA")</f>
        <v>GERALD AMATA</v>
      </c>
      <c r="L2388" s="164" t="str">
        <f ca="1">IFERROR(__xludf.DUMMYFUNCTION("""COMPUTED_VALUE"""),"LTID")</f>
        <v>LTID</v>
      </c>
      <c r="M2388" s="164" t="str">
        <f ca="1">IFERROR(__xludf.DUMMYFUNCTION("""COMPUTED_VALUE"""),"SERVICEABLE")</f>
        <v>SERVICEABLE</v>
      </c>
      <c r="N2388" s="164"/>
    </row>
    <row r="2389" spans="1:14" ht="13.2" hidden="1">
      <c r="A2389" s="164" t="str">
        <f ca="1">IFERROR(__xludf.DUMMYFUNCTION("""COMPUTED_VALUE"""),"Region VI")</f>
        <v>Region VI</v>
      </c>
      <c r="B2389" s="164" t="str">
        <f ca="1">IFERROR(__xludf.DUMMYFUNCTION("""COMPUTED_VALUE"""),"CAPIZ")</f>
        <v>CAPIZ</v>
      </c>
      <c r="C2389" s="164" t="str">
        <f ca="1">IFERROR(__xludf.DUMMYFUNCTION("""COMPUTED_VALUE"""),"Desktop Computer – (Lenovo M70T)")</f>
        <v>Desktop Computer – (Lenovo M70T)</v>
      </c>
      <c r="D2389" s="164" t="str">
        <f ca="1">IFERROR(__xludf.DUMMYFUNCTION("""COMPUTED_VALUE"""),"₱ 75,468.00")</f>
        <v>₱ 75,468.00</v>
      </c>
      <c r="E2389" s="164"/>
      <c r="F2389" s="164" t="str">
        <f ca="1">IFERROR(__xludf.DUMMYFUNCTION("""COMPUTED_VALUE"""),"2023-05-03-10201SP1151-01")</f>
        <v>2023-05-03-10201SP1151-01</v>
      </c>
      <c r="G2389" s="164"/>
      <c r="H2389" s="164" t="str">
        <f ca="1">IFERROR(__xludf.DUMMYFUNCTION("""COMPUTED_VALUE"""),"MARBIE GRACE CALUB")</f>
        <v>MARBIE GRACE CALUB</v>
      </c>
      <c r="I2389" s="164" t="str">
        <f ca="1">IFERROR(__xludf.DUMMYFUNCTION("""COMPUTED_VALUE"""),"ENGR. II")</f>
        <v>ENGR. II</v>
      </c>
      <c r="J2389" s="164" t="str">
        <f ca="1">IFERROR(__xludf.DUMMYFUNCTION("""COMPUTED_VALUE"""),"2023-05-0023")</f>
        <v>2023-05-0023</v>
      </c>
      <c r="K2389" s="164" t="str">
        <f ca="1">IFERROR(__xludf.DUMMYFUNCTION("""COMPUTED_VALUE"""),"MARBIE GRACE CALUB")</f>
        <v>MARBIE GRACE CALUB</v>
      </c>
      <c r="L2389" s="164" t="str">
        <f ca="1">IFERROR(__xludf.DUMMYFUNCTION("""COMPUTED_VALUE"""),"LTID")</f>
        <v>LTID</v>
      </c>
      <c r="M2389" s="164" t="str">
        <f ca="1">IFERROR(__xludf.DUMMYFUNCTION("""COMPUTED_VALUE"""),"SERVICEABLE")</f>
        <v>SERVICEABLE</v>
      </c>
      <c r="N2389" s="164"/>
    </row>
    <row r="2390" spans="1:14" ht="13.2" hidden="1">
      <c r="A2390" s="164" t="str">
        <f ca="1">IFERROR(__xludf.DUMMYFUNCTION("""COMPUTED_VALUE"""),"Region VI")</f>
        <v>Region VI</v>
      </c>
      <c r="B2390" s="164" t="str">
        <f ca="1">IFERROR(__xludf.DUMMYFUNCTION("""COMPUTED_VALUE"""),"CAPIZ")</f>
        <v>CAPIZ</v>
      </c>
      <c r="C2390" s="164" t="str">
        <f ca="1">IFERROR(__xludf.DUMMYFUNCTION("""COMPUTED_VALUE"""),"Desktop Computer – (Lenovo M70T)")</f>
        <v>Desktop Computer – (Lenovo M70T)</v>
      </c>
      <c r="D2390" s="164" t="str">
        <f ca="1">IFERROR(__xludf.DUMMYFUNCTION("""COMPUTED_VALUE"""),"₱ 75,468.00")</f>
        <v>₱ 75,468.00</v>
      </c>
      <c r="E2390" s="164"/>
      <c r="F2390" s="164" t="str">
        <f ca="1">IFERROR(__xludf.DUMMYFUNCTION("""COMPUTED_VALUE"""),"2023-05-03-10201SP1152-01")</f>
        <v>2023-05-03-10201SP1152-01</v>
      </c>
      <c r="G2390" s="164"/>
      <c r="H2390" s="164" t="str">
        <f ca="1">IFERROR(__xludf.DUMMYFUNCTION("""COMPUTED_VALUE"""),"IMMA JOY MARCELO")</f>
        <v>IMMA JOY MARCELO</v>
      </c>
      <c r="I2390" s="164" t="str">
        <f ca="1">IFERROR(__xludf.DUMMYFUNCTION("""COMPUTED_VALUE"""),"ARPO I")</f>
        <v>ARPO I</v>
      </c>
      <c r="J2390" s="164" t="str">
        <f ca="1">IFERROR(__xludf.DUMMYFUNCTION("""COMPUTED_VALUE"""),"2023-05-0024")</f>
        <v>2023-05-0024</v>
      </c>
      <c r="K2390" s="164" t="str">
        <f ca="1">IFERROR(__xludf.DUMMYFUNCTION("""COMPUTED_VALUE"""),"IMMA JOY MARCELO")</f>
        <v>IMMA JOY MARCELO</v>
      </c>
      <c r="L2390" s="164" t="str">
        <f ca="1">IFERROR(__xludf.DUMMYFUNCTION("""COMPUTED_VALUE"""),"STOD")</f>
        <v>STOD</v>
      </c>
      <c r="M2390" s="164" t="str">
        <f ca="1">IFERROR(__xludf.DUMMYFUNCTION("""COMPUTED_VALUE"""),"SERVICEABLE")</f>
        <v>SERVICEABLE</v>
      </c>
      <c r="N2390" s="164"/>
    </row>
    <row r="2391" spans="1:14" ht="13.2" hidden="1">
      <c r="A2391" s="164" t="str">
        <f ca="1">IFERROR(__xludf.DUMMYFUNCTION("""COMPUTED_VALUE"""),"Region VI")</f>
        <v>Region VI</v>
      </c>
      <c r="B2391" s="164" t="str">
        <f ca="1">IFERROR(__xludf.DUMMYFUNCTION("""COMPUTED_VALUE"""),"CAPIZ")</f>
        <v>CAPIZ</v>
      </c>
      <c r="C2391" s="164" t="str">
        <f ca="1">IFERROR(__xludf.DUMMYFUNCTION("""COMPUTED_VALUE"""),"Desktop Computer – (Lenovo M70T)")</f>
        <v>Desktop Computer – (Lenovo M70T)</v>
      </c>
      <c r="D2391" s="164" t="str">
        <f ca="1">IFERROR(__xludf.DUMMYFUNCTION("""COMPUTED_VALUE"""),"₱ 75,468.00")</f>
        <v>₱ 75,468.00</v>
      </c>
      <c r="E2391" s="164"/>
      <c r="F2391" s="164" t="str">
        <f ca="1">IFERROR(__xludf.DUMMYFUNCTION("""COMPUTED_VALUE"""),"2023-05-03-10201SP1153-01")</f>
        <v>2023-05-03-10201SP1153-01</v>
      </c>
      <c r="G2391" s="164"/>
      <c r="H2391" s="164" t="str">
        <f ca="1">IFERROR(__xludf.DUMMYFUNCTION("""COMPUTED_VALUE"""),"MARY GRACE DEOCAMPO")</f>
        <v>MARY GRACE DEOCAMPO</v>
      </c>
      <c r="I2391" s="164" t="str">
        <f ca="1">IFERROR(__xludf.DUMMYFUNCTION("""COMPUTED_VALUE"""),"ADMIN. ASST. II")</f>
        <v>ADMIN. ASST. II</v>
      </c>
      <c r="J2391" s="164" t="str">
        <f ca="1">IFERROR(__xludf.DUMMYFUNCTION("""COMPUTED_VALUE"""),"2023-05-0025")</f>
        <v>2023-05-0025</v>
      </c>
      <c r="K2391" s="164" t="str">
        <f ca="1">IFERROR(__xludf.DUMMYFUNCTION("""COMPUTED_VALUE"""),"MARY GRACE DEOCAMPO")</f>
        <v>MARY GRACE DEOCAMPO</v>
      </c>
      <c r="L2391" s="164" t="str">
        <f ca="1">IFERROR(__xludf.DUMMYFUNCTION("""COMPUTED_VALUE"""),"STO")</f>
        <v>STO</v>
      </c>
      <c r="M2391" s="164" t="str">
        <f ca="1">IFERROR(__xludf.DUMMYFUNCTION("""COMPUTED_VALUE"""),"SERVICEABLE")</f>
        <v>SERVICEABLE</v>
      </c>
      <c r="N2391" s="164"/>
    </row>
    <row r="2392" spans="1:14" ht="13.2" hidden="1">
      <c r="A2392" s="164" t="str">
        <f ca="1">IFERROR(__xludf.DUMMYFUNCTION("""COMPUTED_VALUE"""),"Region VI")</f>
        <v>Region VI</v>
      </c>
      <c r="B2392" s="164" t="str">
        <f ca="1">IFERROR(__xludf.DUMMYFUNCTION("""COMPUTED_VALUE"""),"CAPIZ")</f>
        <v>CAPIZ</v>
      </c>
      <c r="C2392" s="164" t="str">
        <f ca="1">IFERROR(__xludf.DUMMYFUNCTION("""COMPUTED_VALUE"""),"Desktop Computer – (Lenovo M70T)")</f>
        <v>Desktop Computer – (Lenovo M70T)</v>
      </c>
      <c r="D2392" s="164" t="str">
        <f ca="1">IFERROR(__xludf.DUMMYFUNCTION("""COMPUTED_VALUE"""),"₱ 75,468.00")</f>
        <v>₱ 75,468.00</v>
      </c>
      <c r="E2392" s="164"/>
      <c r="F2392" s="164" t="str">
        <f ca="1">IFERROR(__xludf.DUMMYFUNCTION("""COMPUTED_VALUE"""),"2023-05-03-10201SP1154-01")</f>
        <v>2023-05-03-10201SP1154-01</v>
      </c>
      <c r="G2392" s="164"/>
      <c r="H2392" s="164" t="str">
        <f ca="1">IFERROR(__xludf.DUMMYFUNCTION("""COMPUTED_VALUE"""),"LUCY EMPERADO")</f>
        <v>LUCY EMPERADO</v>
      </c>
      <c r="I2392" s="164" t="str">
        <f ca="1">IFERROR(__xludf.DUMMYFUNCTION("""COMPUTED_VALUE"""),"ARPO II")</f>
        <v>ARPO II</v>
      </c>
      <c r="J2392" s="164" t="str">
        <f ca="1">IFERROR(__xludf.DUMMYFUNCTION("""COMPUTED_VALUE"""),"2023-05-0026")</f>
        <v>2023-05-0026</v>
      </c>
      <c r="K2392" s="164" t="str">
        <f ca="1">IFERROR(__xludf.DUMMYFUNCTION("""COMPUTED_VALUE"""),"LUCY EMPERADO")</f>
        <v>LUCY EMPERADO</v>
      </c>
      <c r="L2392" s="164" t="str">
        <f ca="1">IFERROR(__xludf.DUMMYFUNCTION("""COMPUTED_VALUE"""),"LTID")</f>
        <v>LTID</v>
      </c>
      <c r="M2392" s="164" t="str">
        <f ca="1">IFERROR(__xludf.DUMMYFUNCTION("""COMPUTED_VALUE"""),"SERVICEABLE")</f>
        <v>SERVICEABLE</v>
      </c>
      <c r="N2392" s="164"/>
    </row>
    <row r="2393" spans="1:14" ht="13.2" hidden="1">
      <c r="A2393" s="164" t="str">
        <f ca="1">IFERROR(__xludf.DUMMYFUNCTION("""COMPUTED_VALUE"""),"Region VI")</f>
        <v>Region VI</v>
      </c>
      <c r="B2393" s="164" t="str">
        <f ca="1">IFERROR(__xludf.DUMMYFUNCTION("""COMPUTED_VALUE"""),"CAPIZ")</f>
        <v>CAPIZ</v>
      </c>
      <c r="C2393" s="164" t="str">
        <f ca="1">IFERROR(__xludf.DUMMYFUNCTION("""COMPUTED_VALUE"""),"Laptop – (ACER EXTENSA EX215-55G i7)")</f>
        <v>Laptop – (ACER EXTENSA EX215-55G i7)</v>
      </c>
      <c r="D2393" s="164" t="str">
        <f ca="1">IFERROR(__xludf.DUMMYFUNCTION("""COMPUTED_VALUE"""),"₱ 59,500.00")</f>
        <v>₱ 59,500.00</v>
      </c>
      <c r="E2393" s="164"/>
      <c r="F2393" s="164" t="str">
        <f ca="1">IFERROR(__xludf.DUMMYFUNCTION("""COMPUTED_VALUE"""),"2023-05-03-10202SP124-01")</f>
        <v>2023-05-03-10202SP124-01</v>
      </c>
      <c r="G2393" s="164"/>
      <c r="H2393" s="164" t="str">
        <f ca="1">IFERROR(__xludf.DUMMYFUNCTION("""COMPUTED_VALUE"""),"ALONA D. ALBANCES")</f>
        <v>ALONA D. ALBANCES</v>
      </c>
      <c r="I2393" s="164" t="str">
        <f ca="1">IFERROR(__xludf.DUMMYFUNCTION("""COMPUTED_VALUE"""),"PARPO I/ PROVINCIAL GRIEVANCE REDNESS MECHANISM (GRM) COORDINATOR")</f>
        <v>PARPO I/ PROVINCIAL GRIEVANCE REDNESS MECHANISM (GRM) COORDINATOR</v>
      </c>
      <c r="J2393" s="164" t="str">
        <f ca="1">IFERROR(__xludf.DUMMYFUNCTION("""COMPUTED_VALUE"""),"2023-09-0029")</f>
        <v>2023-09-0029</v>
      </c>
      <c r="K2393" s="164" t="str">
        <f ca="1">IFERROR(__xludf.DUMMYFUNCTION("""COMPUTED_VALUE"""),"ALONA D. ALBANCES")</f>
        <v>ALONA D. ALBANCES</v>
      </c>
      <c r="L2393" s="164" t="str">
        <f ca="1">IFERROR(__xludf.DUMMYFUNCTION("""COMPUTED_VALUE"""),"PARPO I")</f>
        <v>PARPO I</v>
      </c>
      <c r="M2393" s="164" t="str">
        <f ca="1">IFERROR(__xludf.DUMMYFUNCTION("""COMPUTED_VALUE"""),"SERVICEABLE")</f>
        <v>SERVICEABLE</v>
      </c>
      <c r="N2393" s="164"/>
    </row>
    <row r="2394" spans="1:14" ht="13.2" hidden="1">
      <c r="A2394" s="164" t="str">
        <f ca="1">IFERROR(__xludf.DUMMYFUNCTION("""COMPUTED_VALUE"""),"Region VI")</f>
        <v>Region VI</v>
      </c>
      <c r="B2394" s="164" t="str">
        <f ca="1">IFERROR(__xludf.DUMMYFUNCTION("""COMPUTED_VALUE"""),"CAPIZ")</f>
        <v>CAPIZ</v>
      </c>
      <c r="C2394" s="164" t="str">
        <f ca="1">IFERROR(__xludf.DUMMYFUNCTION("""COMPUTED_VALUE"""),"Laptop – (ACER EXTENSA EX215-55G i7)")</f>
        <v>Laptop – (ACER EXTENSA EX215-55G i7)</v>
      </c>
      <c r="D2394" s="164" t="str">
        <f ca="1">IFERROR(__xludf.DUMMYFUNCTION("""COMPUTED_VALUE"""),"₱ 59,500.00")</f>
        <v>₱ 59,500.00</v>
      </c>
      <c r="E2394" s="164"/>
      <c r="F2394" s="164" t="str">
        <f ca="1">IFERROR(__xludf.DUMMYFUNCTION("""COMPUTED_VALUE"""),"2023-05-03-10202SP125-01")</f>
        <v>2023-05-03-10202SP125-01</v>
      </c>
      <c r="G2394" s="164"/>
      <c r="H2394" s="164" t="str">
        <f ca="1">IFERROR(__xludf.DUMMYFUNCTION("""COMPUTED_VALUE"""),"ROEL B. GALLAZA")</f>
        <v>ROEL B. GALLAZA</v>
      </c>
      <c r="I2394" s="164" t="str">
        <f ca="1">IFERROR(__xludf.DUMMYFUNCTION("""COMPUTED_VALUE"""),"CARPO-LTID / PROVINCIAL PARCELIZATION COMPONENT AND FIELD VALIDATION TEAM COORDINATOR")</f>
        <v>CARPO-LTID / PROVINCIAL PARCELIZATION COMPONENT AND FIELD VALIDATION TEAM COORDINATOR</v>
      </c>
      <c r="J2394" s="164" t="str">
        <f ca="1">IFERROR(__xludf.DUMMYFUNCTION("""COMPUTED_VALUE"""),"2023-09-0030")</f>
        <v>2023-09-0030</v>
      </c>
      <c r="K2394" s="164" t="str">
        <f ca="1">IFERROR(__xludf.DUMMYFUNCTION("""COMPUTED_VALUE"""),"ROEL B. GALLAZA")</f>
        <v>ROEL B. GALLAZA</v>
      </c>
      <c r="L2394" s="164" t="str">
        <f ca="1">IFERROR(__xludf.DUMMYFUNCTION("""COMPUTED_VALUE"""),"LTID")</f>
        <v>LTID</v>
      </c>
      <c r="M2394" s="164" t="str">
        <f ca="1">IFERROR(__xludf.DUMMYFUNCTION("""COMPUTED_VALUE"""),"SERVICEABLE")</f>
        <v>SERVICEABLE</v>
      </c>
      <c r="N2394" s="164"/>
    </row>
    <row r="2395" spans="1:14" ht="13.2" hidden="1">
      <c r="A2395" s="164" t="str">
        <f ca="1">IFERROR(__xludf.DUMMYFUNCTION("""COMPUTED_VALUE"""),"Region VI")</f>
        <v>Region VI</v>
      </c>
      <c r="B2395" s="164" t="str">
        <f ca="1">IFERROR(__xludf.DUMMYFUNCTION("""COMPUTED_VALUE"""),"CAPIZ")</f>
        <v>CAPIZ</v>
      </c>
      <c r="C2395" s="164" t="str">
        <f ca="1">IFERROR(__xludf.DUMMYFUNCTION("""COMPUTED_VALUE"""),"Laptop – (ACER EXTENSA EX215-55G i7)")</f>
        <v>Laptop – (ACER EXTENSA EX215-55G i7)</v>
      </c>
      <c r="D2395" s="164" t="str">
        <f ca="1">IFERROR(__xludf.DUMMYFUNCTION("""COMPUTED_VALUE"""),"₱ 59,500.00")</f>
        <v>₱ 59,500.00</v>
      </c>
      <c r="E2395" s="164"/>
      <c r="F2395" s="164" t="str">
        <f ca="1">IFERROR(__xludf.DUMMYFUNCTION("""COMPUTED_VALUE"""),"2023-05-03-10202SP126-01")</f>
        <v>2023-05-03-10202SP126-01</v>
      </c>
      <c r="G2395" s="164"/>
      <c r="H2395" s="164" t="str">
        <f ca="1">IFERROR(__xludf.DUMMYFUNCTION("""COMPUTED_VALUE"""),"JOSEPHINE O CONSING")</f>
        <v>JOSEPHINE O CONSING</v>
      </c>
      <c r="I2395" s="164" t="str">
        <f ca="1">IFERROR(__xludf.DUMMYFUNCTION("""COMPUTED_VALUE"""),"BUDGET OFFICER II / PROVINCIAL PROJECT BUDGET OFFICER")</f>
        <v>BUDGET OFFICER II / PROVINCIAL PROJECT BUDGET OFFICER</v>
      </c>
      <c r="J2395" s="164" t="str">
        <f ca="1">IFERROR(__xludf.DUMMYFUNCTION("""COMPUTED_VALUE"""),"2023-09-0031")</f>
        <v>2023-09-0031</v>
      </c>
      <c r="K2395" s="164" t="str">
        <f ca="1">IFERROR(__xludf.DUMMYFUNCTION("""COMPUTED_VALUE"""),"JOSEPHINE O CONSING")</f>
        <v>JOSEPHINE O CONSING</v>
      </c>
      <c r="L2395" s="164" t="str">
        <f ca="1">IFERROR(__xludf.DUMMYFUNCTION("""COMPUTED_VALUE"""),"STOD")</f>
        <v>STOD</v>
      </c>
      <c r="M2395" s="164" t="str">
        <f ca="1">IFERROR(__xludf.DUMMYFUNCTION("""COMPUTED_VALUE"""),"SERVICEABLE")</f>
        <v>SERVICEABLE</v>
      </c>
      <c r="N2395" s="164"/>
    </row>
    <row r="2396" spans="1:14" ht="13.2" hidden="1">
      <c r="A2396" s="164" t="str">
        <f ca="1">IFERROR(__xludf.DUMMYFUNCTION("""COMPUTED_VALUE"""),"Region VI")</f>
        <v>Region VI</v>
      </c>
      <c r="B2396" s="164" t="str">
        <f ca="1">IFERROR(__xludf.DUMMYFUNCTION("""COMPUTED_VALUE"""),"CAPIZ")</f>
        <v>CAPIZ</v>
      </c>
      <c r="C2396" s="164" t="str">
        <f ca="1">IFERROR(__xludf.DUMMYFUNCTION("""COMPUTED_VALUE"""),"Laptop – (ACER EXTENSA EX215-55G i7)")</f>
        <v>Laptop – (ACER EXTENSA EX215-55G i7)</v>
      </c>
      <c r="D2396" s="164" t="str">
        <f ca="1">IFERROR(__xludf.DUMMYFUNCTION("""COMPUTED_VALUE"""),"₱ 59,500.00")</f>
        <v>₱ 59,500.00</v>
      </c>
      <c r="E2396" s="164"/>
      <c r="F2396" s="164" t="str">
        <f ca="1">IFERROR(__xludf.DUMMYFUNCTION("""COMPUTED_VALUE"""),"2023-05-03-10202SP53-01")</f>
        <v>2023-05-03-10202SP53-01</v>
      </c>
      <c r="G2396" s="164"/>
      <c r="H2396" s="164" t="str">
        <f ca="1">IFERROR(__xludf.DUMMYFUNCTION("""COMPUTED_VALUE"""),"MA. RONALYN D. CAÑAS")</f>
        <v>MA. RONALYN D. CAÑAS</v>
      </c>
      <c r="I2396" s="164" t="str">
        <f ca="1">IFERROR(__xludf.DUMMYFUNCTION("""COMPUTED_VALUE"""),"AO IV / PROVINCIAL PROJECT PROCUREMENT OFFICER")</f>
        <v>AO IV / PROVINCIAL PROJECT PROCUREMENT OFFICER</v>
      </c>
      <c r="J2396" s="164" t="str">
        <f ca="1">IFERROR(__xludf.DUMMYFUNCTION("""COMPUTED_VALUE"""),"2023-09-0032")</f>
        <v>2023-09-0032</v>
      </c>
      <c r="K2396" s="164" t="str">
        <f ca="1">IFERROR(__xludf.DUMMYFUNCTION("""COMPUTED_VALUE"""),"MA. RONALYN D. CAÑAS")</f>
        <v>MA. RONALYN D. CAÑAS</v>
      </c>
      <c r="L2396" s="164" t="str">
        <f ca="1">IFERROR(__xludf.DUMMYFUNCTION("""COMPUTED_VALUE"""),"STOD")</f>
        <v>STOD</v>
      </c>
      <c r="M2396" s="164" t="str">
        <f ca="1">IFERROR(__xludf.DUMMYFUNCTION("""COMPUTED_VALUE"""),"SERVICEABLE")</f>
        <v>SERVICEABLE</v>
      </c>
      <c r="N2396" s="164"/>
    </row>
    <row r="2397" spans="1:14" ht="13.2" hidden="1">
      <c r="A2397" s="164" t="str">
        <f ca="1">IFERROR(__xludf.DUMMYFUNCTION("""COMPUTED_VALUE"""),"Region VI")</f>
        <v>Region VI</v>
      </c>
      <c r="B2397" s="164" t="str">
        <f ca="1">IFERROR(__xludf.DUMMYFUNCTION("""COMPUTED_VALUE"""),"CAPIZ")</f>
        <v>CAPIZ</v>
      </c>
      <c r="C2397" s="164" t="str">
        <f ca="1">IFERROR(__xludf.DUMMYFUNCTION("""COMPUTED_VALUE"""),"HANDHELD GPS – MODEL P6")</f>
        <v>HANDHELD GPS – MODEL P6</v>
      </c>
      <c r="D2397" s="164" t="str">
        <f ca="1">IFERROR(__xludf.DUMMYFUNCTION("""COMPUTED_VALUE"""),"₱ 79,000.00")</f>
        <v>₱ 79,000.00</v>
      </c>
      <c r="E2397" s="164"/>
      <c r="F2397" s="164" t="str">
        <f ca="1">IFERROR(__xludf.DUMMYFUNCTION("""COMPUTED_VALUE"""),"2023-05-14-10202SP57-01")</f>
        <v>2023-05-14-10202SP57-01</v>
      </c>
      <c r="G2397" s="164"/>
      <c r="H2397" s="164" t="str">
        <f ca="1">IFERROR(__xludf.DUMMYFUNCTION("""COMPUTED_VALUE"""),"JOMARI Y. GREGORE")</f>
        <v>JOMARI Y. GREGORE</v>
      </c>
      <c r="I2397" s="164" t="str">
        <f ca="1">IFERROR(__xludf.DUMMYFUNCTION("""COMPUTED_VALUE"""),"BUDGET OFFICER II / PROVINCIAL PROJECT")</f>
        <v>BUDGET OFFICER II / PROVINCIAL PROJECT</v>
      </c>
      <c r="J2397" s="164" t="str">
        <f ca="1">IFERROR(__xludf.DUMMYFUNCTION("""COMPUTED_VALUE"""),"2023-10-0034")</f>
        <v>2023-10-0034</v>
      </c>
      <c r="K2397" s="164" t="str">
        <f ca="1">IFERROR(__xludf.DUMMYFUNCTION("""COMPUTED_VALUE"""),"JOMARI Y. GREGORE")</f>
        <v>JOMARI Y. GREGORE</v>
      </c>
      <c r="L2397" s="164" t="str">
        <f ca="1">IFERROR(__xludf.DUMMYFUNCTION("""COMPUTED_VALUE"""),"LTID")</f>
        <v>LTID</v>
      </c>
      <c r="M2397" s="164" t="str">
        <f ca="1">IFERROR(__xludf.DUMMYFUNCTION("""COMPUTED_VALUE"""),"SERVICEABLE")</f>
        <v>SERVICEABLE</v>
      </c>
      <c r="N2397" s="164"/>
    </row>
    <row r="2398" spans="1:14" ht="13.2" hidden="1">
      <c r="A2398" s="164" t="str">
        <f ca="1">IFERROR(__xludf.DUMMYFUNCTION("""COMPUTED_VALUE"""),"Region VI")</f>
        <v>Region VI</v>
      </c>
      <c r="B2398" s="164" t="str">
        <f ca="1">IFERROR(__xludf.DUMMYFUNCTION("""COMPUTED_VALUE"""),"CAPIZ")</f>
        <v>CAPIZ</v>
      </c>
      <c r="C2398" s="164" t="str">
        <f ca="1">IFERROR(__xludf.DUMMYFUNCTION("""COMPUTED_VALUE"""),"A3 PRINTER (BROTHER)")</f>
        <v>A3 PRINTER (BROTHER)</v>
      </c>
      <c r="D2398" s="164" t="str">
        <f ca="1">IFERROR(__xludf.DUMMYFUNCTION("""COMPUTED_VALUE"""),"₱ 33,508.00")</f>
        <v>₱ 33,508.00</v>
      </c>
      <c r="E2398" s="164"/>
      <c r="F2398" s="164" t="str">
        <f ca="1">IFERROR(__xludf.DUMMYFUNCTION("""COMPUTED_VALUE"""),"HV-SPLIT-102-24-05-094")</f>
        <v>HV-SPLIT-102-24-05-094</v>
      </c>
      <c r="G2398" s="164"/>
      <c r="H2398" s="164" t="str">
        <f ca="1">IFERROR(__xludf.DUMMYFUNCTION("""COMPUTED_VALUE"""),"ATTY SHEILA B. ENCISO")</f>
        <v>ATTY SHEILA B. ENCISO</v>
      </c>
      <c r="I2398" s="164" t="str">
        <f ca="1">IFERROR(__xludf.DUMMYFUNCTION("""COMPUTED_VALUE"""),"Regional Director")</f>
        <v>Regional Director</v>
      </c>
      <c r="J2398" s="164" t="str">
        <f ca="1">IFERROR(__xludf.DUMMYFUNCTION("""COMPUTED_VALUE"""),"2024-03-007")</f>
        <v>2024-03-007</v>
      </c>
      <c r="K2398" s="164"/>
      <c r="L2398" s="164" t="str">
        <f ca="1">IFERROR(__xludf.DUMMYFUNCTION("""COMPUTED_VALUE"""),"DARPO CAPIZ")</f>
        <v>DARPO CAPIZ</v>
      </c>
      <c r="M2398" s="164" t="str">
        <f ca="1">IFERROR(__xludf.DUMMYFUNCTION("""COMPUTED_VALUE"""),"SERVICEABLE")</f>
        <v>SERVICEABLE</v>
      </c>
      <c r="N2398" s="164"/>
    </row>
    <row r="2399" spans="1:14" ht="13.2" hidden="1">
      <c r="A2399" s="164" t="str">
        <f ca="1">IFERROR(__xludf.DUMMYFUNCTION("""COMPUTED_VALUE"""),"Region VI")</f>
        <v>Region VI</v>
      </c>
      <c r="B2399" s="164" t="str">
        <f ca="1">IFERROR(__xludf.DUMMYFUNCTION("""COMPUTED_VALUE"""),"ANTIQUE")</f>
        <v>ANTIQUE</v>
      </c>
      <c r="C2399" s="164" t="str">
        <f ca="1">IFERROR(__xludf.DUMMYFUNCTION("""COMPUTED_VALUE"""),"Desktop Computer – (Lenovo M70T)")</f>
        <v>Desktop Computer – (Lenovo M70T)</v>
      </c>
      <c r="D2399" s="164" t="str">
        <f ca="1">IFERROR(__xludf.DUMMYFUNCTION("""COMPUTED_VALUE"""),"₱ 75,468.00")</f>
        <v>₱ 75,468.00</v>
      </c>
      <c r="E2399" s="164"/>
      <c r="F2399" s="164" t="str">
        <f ca="1">IFERROR(__xludf.DUMMYFUNCTION("""COMPUTED_VALUE"""),"2023-05-03-10201SP1155-01")</f>
        <v>2023-05-03-10201SP1155-01</v>
      </c>
      <c r="G2399" s="164"/>
      <c r="H2399" s="164" t="str">
        <f ca="1">IFERROR(__xludf.DUMMYFUNCTION("""COMPUTED_VALUE"""),"ANGELO C. FEBRERO")</f>
        <v>ANGELO C. FEBRERO</v>
      </c>
      <c r="I2399" s="164" t="str">
        <f ca="1">IFERROR(__xludf.DUMMYFUNCTION("""COMPUTED_VALUE"""),"Planning Officer II/ M &amp; E Coordinator")</f>
        <v>Planning Officer II/ M &amp; E Coordinator</v>
      </c>
      <c r="J2399" s="164" t="str">
        <f ca="1">IFERROR(__xludf.DUMMYFUNCTION("""COMPUTED_VALUE"""),"2023-05-03-001")</f>
        <v>2023-05-03-001</v>
      </c>
      <c r="K2399" s="164" t="str">
        <f ca="1">IFERROR(__xludf.DUMMYFUNCTION("""COMPUTED_VALUE"""),"ANGELO C. FEBRERO")</f>
        <v>ANGELO C. FEBRERO</v>
      </c>
      <c r="L2399" s="164" t="str">
        <f ca="1">IFERROR(__xludf.DUMMYFUNCTION("""COMPUTED_VALUE"""),"DARPO-STOD")</f>
        <v>DARPO-STOD</v>
      </c>
      <c r="M2399" s="164" t="str">
        <f ca="1">IFERROR(__xludf.DUMMYFUNCTION("""COMPUTED_VALUE"""),"SERVICEABLE")</f>
        <v>SERVICEABLE</v>
      </c>
      <c r="N2399" s="164"/>
    </row>
    <row r="2400" spans="1:14" ht="13.2" hidden="1">
      <c r="A2400" s="164" t="str">
        <f ca="1">IFERROR(__xludf.DUMMYFUNCTION("""COMPUTED_VALUE"""),"Region VI")</f>
        <v>Region VI</v>
      </c>
      <c r="B2400" s="164" t="str">
        <f ca="1">IFERROR(__xludf.DUMMYFUNCTION("""COMPUTED_VALUE"""),"ANTIQUE")</f>
        <v>ANTIQUE</v>
      </c>
      <c r="C2400" s="164" t="str">
        <f ca="1">IFERROR(__xludf.DUMMYFUNCTION("""COMPUTED_VALUE"""),"Desktop Computer – (Lenovo M70T)")</f>
        <v>Desktop Computer – (Lenovo M70T)</v>
      </c>
      <c r="D2400" s="164" t="str">
        <f ca="1">IFERROR(__xludf.DUMMYFUNCTION("""COMPUTED_VALUE"""),"₱ 75,468.00")</f>
        <v>₱ 75,468.00</v>
      </c>
      <c r="E2400" s="164"/>
      <c r="F2400" s="164" t="str">
        <f ca="1">IFERROR(__xludf.DUMMYFUNCTION("""COMPUTED_VALUE"""),"2023-05-03-10201SP1156-01")</f>
        <v>2023-05-03-10201SP1156-01</v>
      </c>
      <c r="G2400" s="164"/>
      <c r="H2400" s="164" t="str">
        <f ca="1">IFERROR(__xludf.DUMMYFUNCTION("""COMPUTED_VALUE"""),"GEORGE M. TORENTE")</f>
        <v>GEORGE M. TORENTE</v>
      </c>
      <c r="I2400" s="164" t="str">
        <f ca="1">IFERROR(__xludf.DUMMYFUNCTION("""COMPUTED_VALUE"""),"OIC-CARPO-LTID/ Parcelization Component and FVT Coordinator")</f>
        <v>OIC-CARPO-LTID/ Parcelization Component and FVT Coordinator</v>
      </c>
      <c r="J2400" s="164" t="str">
        <f ca="1">IFERROR(__xludf.DUMMYFUNCTION("""COMPUTED_VALUE"""),"2023-05-03-002")</f>
        <v>2023-05-03-002</v>
      </c>
      <c r="K2400" s="164" t="str">
        <f ca="1">IFERROR(__xludf.DUMMYFUNCTION("""COMPUTED_VALUE"""),"GIDEON DUANE PE")</f>
        <v>GIDEON DUANE PE</v>
      </c>
      <c r="L2400" s="164" t="str">
        <f ca="1">IFERROR(__xludf.DUMMYFUNCTION("""COMPUTED_VALUE"""),"DARPO-LTID")</f>
        <v>DARPO-LTID</v>
      </c>
      <c r="M2400" s="164" t="str">
        <f ca="1">IFERROR(__xludf.DUMMYFUNCTION("""COMPUTED_VALUE"""),"SERVICEABLE")</f>
        <v>SERVICEABLE</v>
      </c>
      <c r="N2400" s="164"/>
    </row>
    <row r="2401" spans="1:14" ht="13.2" hidden="1">
      <c r="A2401" s="164" t="str">
        <f ca="1">IFERROR(__xludf.DUMMYFUNCTION("""COMPUTED_VALUE"""),"Region VI")</f>
        <v>Region VI</v>
      </c>
      <c r="B2401" s="164" t="str">
        <f ca="1">IFERROR(__xludf.DUMMYFUNCTION("""COMPUTED_VALUE"""),"ANTIQUE")</f>
        <v>ANTIQUE</v>
      </c>
      <c r="C2401" s="164" t="str">
        <f ca="1">IFERROR(__xludf.DUMMYFUNCTION("""COMPUTED_VALUE"""),"Desktop Computer – (Lenovo M70T)")</f>
        <v>Desktop Computer – (Lenovo M70T)</v>
      </c>
      <c r="D2401" s="164" t="str">
        <f ca="1">IFERROR(__xludf.DUMMYFUNCTION("""COMPUTED_VALUE"""),"₱ 75,468.00")</f>
        <v>₱ 75,468.00</v>
      </c>
      <c r="E2401" s="164"/>
      <c r="F2401" s="164" t="str">
        <f ca="1">IFERROR(__xludf.DUMMYFUNCTION("""COMPUTED_VALUE"""),"2023-05-03-10201SP1157-01")</f>
        <v>2023-05-03-10201SP1157-01</v>
      </c>
      <c r="G2401" s="164"/>
      <c r="H2401" s="164" t="str">
        <f ca="1">IFERROR(__xludf.DUMMYFUNCTION("""COMPUTED_VALUE"""),"GEORGE M. TORENTE")</f>
        <v>GEORGE M. TORENTE</v>
      </c>
      <c r="I2401" s="164" t="str">
        <f ca="1">IFERROR(__xludf.DUMMYFUNCTION("""COMPUTED_VALUE"""),"OIC-CARPO-LTID/ Parcelization Component and FVT Coordinator")</f>
        <v>OIC-CARPO-LTID/ Parcelization Component and FVT Coordinator</v>
      </c>
      <c r="J2401" s="164" t="str">
        <f ca="1">IFERROR(__xludf.DUMMYFUNCTION("""COMPUTED_VALUE"""),"2023-05-03-003")</f>
        <v>2023-05-03-003</v>
      </c>
      <c r="K2401" s="164" t="str">
        <f ca="1">IFERROR(__xludf.DUMMYFUNCTION("""COMPUTED_VALUE"""),"CHRISTINE JOY MILITANTE")</f>
        <v>CHRISTINE JOY MILITANTE</v>
      </c>
      <c r="L2401" s="164" t="str">
        <f ca="1">IFERROR(__xludf.DUMMYFUNCTION("""COMPUTED_VALUE"""),"DARPO-LTID")</f>
        <v>DARPO-LTID</v>
      </c>
      <c r="M2401" s="164" t="str">
        <f ca="1">IFERROR(__xludf.DUMMYFUNCTION("""COMPUTED_VALUE"""),"SERVICEABLE")</f>
        <v>SERVICEABLE</v>
      </c>
      <c r="N2401" s="164"/>
    </row>
    <row r="2402" spans="1:14" ht="13.2" hidden="1">
      <c r="A2402" s="164" t="str">
        <f ca="1">IFERROR(__xludf.DUMMYFUNCTION("""COMPUTED_VALUE"""),"Region VI")</f>
        <v>Region VI</v>
      </c>
      <c r="B2402" s="164" t="str">
        <f ca="1">IFERROR(__xludf.DUMMYFUNCTION("""COMPUTED_VALUE"""),"ANTIQUE")</f>
        <v>ANTIQUE</v>
      </c>
      <c r="C2402" s="164" t="str">
        <f ca="1">IFERROR(__xludf.DUMMYFUNCTION("""COMPUTED_VALUE"""),"Desktop Computer – (Lenovo M70T)")</f>
        <v>Desktop Computer – (Lenovo M70T)</v>
      </c>
      <c r="D2402" s="164" t="str">
        <f ca="1">IFERROR(__xludf.DUMMYFUNCTION("""COMPUTED_VALUE"""),"₱ 75,468.00")</f>
        <v>₱ 75,468.00</v>
      </c>
      <c r="E2402" s="164"/>
      <c r="F2402" s="164" t="str">
        <f ca="1">IFERROR(__xludf.DUMMYFUNCTION("""COMPUTED_VALUE"""),"2023-05-03-10201SP1158-01")</f>
        <v>2023-05-03-10201SP1158-01</v>
      </c>
      <c r="G2402" s="164"/>
      <c r="H2402" s="164" t="str">
        <f ca="1">IFERROR(__xludf.DUMMYFUNCTION("""COMPUTED_VALUE"""),"GEORGE M. TORENTE")</f>
        <v>GEORGE M. TORENTE</v>
      </c>
      <c r="I2402" s="164" t="str">
        <f ca="1">IFERROR(__xludf.DUMMYFUNCTION("""COMPUTED_VALUE"""),"Cartographer II/Uploader")</f>
        <v>Cartographer II/Uploader</v>
      </c>
      <c r="J2402" s="164" t="str">
        <f ca="1">IFERROR(__xludf.DUMMYFUNCTION("""COMPUTED_VALUE"""),"2023-05-03-004")</f>
        <v>2023-05-03-004</v>
      </c>
      <c r="K2402" s="164" t="str">
        <f ca="1">IFERROR(__xludf.DUMMYFUNCTION("""COMPUTED_VALUE"""),"GIOSANNI G. AMPIG")</f>
        <v>GIOSANNI G. AMPIG</v>
      </c>
      <c r="L2402" s="164" t="str">
        <f ca="1">IFERROR(__xludf.DUMMYFUNCTION("""COMPUTED_VALUE"""),"DARPO-LTID")</f>
        <v>DARPO-LTID</v>
      </c>
      <c r="M2402" s="164" t="str">
        <f ca="1">IFERROR(__xludf.DUMMYFUNCTION("""COMPUTED_VALUE"""),"SERVICEABLE")</f>
        <v>SERVICEABLE</v>
      </c>
      <c r="N2402" s="164"/>
    </row>
    <row r="2403" spans="1:14" ht="13.2" hidden="1">
      <c r="A2403" s="164" t="str">
        <f ca="1">IFERROR(__xludf.DUMMYFUNCTION("""COMPUTED_VALUE"""),"Region VI")</f>
        <v>Region VI</v>
      </c>
      <c r="B2403" s="164" t="str">
        <f ca="1">IFERROR(__xludf.DUMMYFUNCTION("""COMPUTED_VALUE"""),"ANTIQUE")</f>
        <v>ANTIQUE</v>
      </c>
      <c r="C2403" s="164" t="str">
        <f ca="1">IFERROR(__xludf.DUMMYFUNCTION("""COMPUTED_VALUE"""),"Desktop Computer – (Lenovo M70T)")</f>
        <v>Desktop Computer – (Lenovo M70T)</v>
      </c>
      <c r="D2403" s="164" t="str">
        <f ca="1">IFERROR(__xludf.DUMMYFUNCTION("""COMPUTED_VALUE"""),"₱ 75,468.00")</f>
        <v>₱ 75,468.00</v>
      </c>
      <c r="E2403" s="164"/>
      <c r="F2403" s="164" t="str">
        <f ca="1">IFERROR(__xludf.DUMMYFUNCTION("""COMPUTED_VALUE"""),"2023-05-03-10201SP1159-01")</f>
        <v>2023-05-03-10201SP1159-01</v>
      </c>
      <c r="G2403" s="164"/>
      <c r="H2403" s="164" t="str">
        <f ca="1">IFERROR(__xludf.DUMMYFUNCTION("""COMPUTED_VALUE"""),"IAN DAVE A. ACUISA")</f>
        <v>IAN DAVE A. ACUISA</v>
      </c>
      <c r="I2403" s="164" t="str">
        <f ca="1">IFERROR(__xludf.DUMMYFUNCTION("""COMPUTED_VALUE"""),"ARPO I/KOBO Toolbox Administrator")</f>
        <v>ARPO I/KOBO Toolbox Administrator</v>
      </c>
      <c r="J2403" s="164" t="str">
        <f ca="1">IFERROR(__xludf.DUMMYFUNCTION("""COMPUTED_VALUE"""),"2023-05-03-005")</f>
        <v>2023-05-03-005</v>
      </c>
      <c r="K2403" s="164" t="str">
        <f ca="1">IFERROR(__xludf.DUMMYFUNCTION("""COMPUTED_VALUE"""),"IAN DAVE A. ACUISA")</f>
        <v>IAN DAVE A. ACUISA</v>
      </c>
      <c r="L2403" s="164" t="str">
        <f ca="1">IFERROR(__xludf.DUMMYFUNCTION("""COMPUTED_VALUE"""),"DARPO-Office of the PARPO II")</f>
        <v>DARPO-Office of the PARPO II</v>
      </c>
      <c r="M2403" s="164" t="str">
        <f ca="1">IFERROR(__xludf.DUMMYFUNCTION("""COMPUTED_VALUE"""),"SERVICEABLE")</f>
        <v>SERVICEABLE</v>
      </c>
      <c r="N2403" s="164"/>
    </row>
    <row r="2404" spans="1:14" ht="13.2" hidden="1">
      <c r="A2404" s="164" t="str">
        <f ca="1">IFERROR(__xludf.DUMMYFUNCTION("""COMPUTED_VALUE"""),"Region VI")</f>
        <v>Region VI</v>
      </c>
      <c r="B2404" s="164" t="str">
        <f ca="1">IFERROR(__xludf.DUMMYFUNCTION("""COMPUTED_VALUE"""),"ANTIQUE")</f>
        <v>ANTIQUE</v>
      </c>
      <c r="C2404" s="164" t="str">
        <f ca="1">IFERROR(__xludf.DUMMYFUNCTION("""COMPUTED_VALUE"""),"Desktop Computer – (Lenovo M70T)")</f>
        <v>Desktop Computer – (Lenovo M70T)</v>
      </c>
      <c r="D2404" s="164" t="str">
        <f ca="1">IFERROR(__xludf.DUMMYFUNCTION("""COMPUTED_VALUE"""),"₱ 75,468.00")</f>
        <v>₱ 75,468.00</v>
      </c>
      <c r="E2404" s="164"/>
      <c r="F2404" s="164" t="str">
        <f ca="1">IFERROR(__xludf.DUMMYFUNCTION("""COMPUTED_VALUE"""),"2023-05-03-10201SP1160-01")</f>
        <v>2023-05-03-10201SP1160-01</v>
      </c>
      <c r="G2404" s="164"/>
      <c r="H2404" s="164" t="str">
        <f ca="1">IFERROR(__xludf.DUMMYFUNCTION("""COMPUTED_VALUE"""),"YVE ANNE YVONNE S. AGUIRRE")</f>
        <v>YVE ANNE YVONNE S. AGUIRRE</v>
      </c>
      <c r="I2404" s="164" t="str">
        <f ca="1">IFERROR(__xludf.DUMMYFUNCTION("""COMPUTED_VALUE"""),"Acting Personnel Officer")</f>
        <v>Acting Personnel Officer</v>
      </c>
      <c r="J2404" s="164" t="str">
        <f ca="1">IFERROR(__xludf.DUMMYFUNCTION("""COMPUTED_VALUE"""),"2023-05-03-006")</f>
        <v>2023-05-03-006</v>
      </c>
      <c r="K2404" s="164" t="str">
        <f ca="1">IFERROR(__xludf.DUMMYFUNCTION("""COMPUTED_VALUE"""),"EDISON L. DAGAS")</f>
        <v>EDISON L. DAGAS</v>
      </c>
      <c r="L2404" s="164" t="str">
        <f ca="1">IFERROR(__xludf.DUMMYFUNCTION("""COMPUTED_VALUE"""),"DARPO-STOD")</f>
        <v>DARPO-STOD</v>
      </c>
      <c r="M2404" s="164" t="str">
        <f ca="1">IFERROR(__xludf.DUMMYFUNCTION("""COMPUTED_VALUE"""),"SERVICEABLE")</f>
        <v>SERVICEABLE</v>
      </c>
      <c r="N2404" s="164"/>
    </row>
    <row r="2405" spans="1:14" ht="13.2" hidden="1">
      <c r="A2405" s="164" t="str">
        <f ca="1">IFERROR(__xludf.DUMMYFUNCTION("""COMPUTED_VALUE"""),"Region VI")</f>
        <v>Region VI</v>
      </c>
      <c r="B2405" s="164" t="str">
        <f ca="1">IFERROR(__xludf.DUMMYFUNCTION("""COMPUTED_VALUE"""),"ANTIQUE")</f>
        <v>ANTIQUE</v>
      </c>
      <c r="C2405" s="164" t="str">
        <f ca="1">IFERROR(__xludf.DUMMYFUNCTION("""COMPUTED_VALUE"""),"Desktop Computer – (Lenovo M70T)")</f>
        <v>Desktop Computer – (Lenovo M70T)</v>
      </c>
      <c r="D2405" s="164" t="str">
        <f ca="1">IFERROR(__xludf.DUMMYFUNCTION("""COMPUTED_VALUE"""),"₱ 75,468.00")</f>
        <v>₱ 75,468.00</v>
      </c>
      <c r="E2405" s="164"/>
      <c r="F2405" s="164" t="str">
        <f ca="1">IFERROR(__xludf.DUMMYFUNCTION("""COMPUTED_VALUE"""),"2023-05-03-10201SP1161-01")</f>
        <v>2023-05-03-10201SP1161-01</v>
      </c>
      <c r="G2405" s="164"/>
      <c r="H2405" s="164" t="str">
        <f ca="1">IFERROR(__xludf.DUMMYFUNCTION("""COMPUTED_VALUE"""),"ATTY CARL RUPERT C. MUELA")</f>
        <v>ATTY CARL RUPERT C. MUELA</v>
      </c>
      <c r="I2405" s="164" t="str">
        <f ca="1">IFERROR(__xludf.DUMMYFUNCTION("""COMPUTED_VALUE"""),"CHIEF LEGAL/LEGAL OFFICER")</f>
        <v>CHIEF LEGAL/LEGAL OFFICER</v>
      </c>
      <c r="J2405" s="164" t="str">
        <f ca="1">IFERROR(__xludf.DUMMYFUNCTION("""COMPUTED_VALUE"""),"2023-05-03-007")</f>
        <v>2023-05-03-007</v>
      </c>
      <c r="K2405" s="164" t="str">
        <f ca="1">IFERROR(__xludf.DUMMYFUNCTION("""COMPUTED_VALUE"""),"ATTY CARL RUPERT C. MUELA")</f>
        <v>ATTY CARL RUPERT C. MUELA</v>
      </c>
      <c r="L2405" s="164" t="str">
        <f ca="1">IFERROR(__xludf.DUMMYFUNCTION("""COMPUTED_VALUE"""),"DARPO-LEGAL")</f>
        <v>DARPO-LEGAL</v>
      </c>
      <c r="M2405" s="164" t="str">
        <f ca="1">IFERROR(__xludf.DUMMYFUNCTION("""COMPUTED_VALUE"""),"SERVICEABLE")</f>
        <v>SERVICEABLE</v>
      </c>
      <c r="N2405" s="164"/>
    </row>
    <row r="2406" spans="1:14" ht="13.2" hidden="1">
      <c r="A2406" s="164" t="str">
        <f ca="1">IFERROR(__xludf.DUMMYFUNCTION("""COMPUTED_VALUE"""),"Region VI")</f>
        <v>Region VI</v>
      </c>
      <c r="B2406" s="164" t="str">
        <f ca="1">IFERROR(__xludf.DUMMYFUNCTION("""COMPUTED_VALUE"""),"ANTIQUE")</f>
        <v>ANTIQUE</v>
      </c>
      <c r="C2406" s="164" t="str">
        <f ca="1">IFERROR(__xludf.DUMMYFUNCTION("""COMPUTED_VALUE"""),"Desktop Computer – (Lenovo M70T)")</f>
        <v>Desktop Computer – (Lenovo M70T)</v>
      </c>
      <c r="D2406" s="164" t="str">
        <f ca="1">IFERROR(__xludf.DUMMYFUNCTION("""COMPUTED_VALUE"""),"₱ 75,468.00")</f>
        <v>₱ 75,468.00</v>
      </c>
      <c r="E2406" s="164"/>
      <c r="F2406" s="164" t="str">
        <f ca="1">IFERROR(__xludf.DUMMYFUNCTION("""COMPUTED_VALUE"""),"2023-05-03-10201SP1162-01")</f>
        <v>2023-05-03-10201SP1162-01</v>
      </c>
      <c r="G2406" s="164"/>
      <c r="H2406" s="164" t="str">
        <f ca="1">IFERROR(__xludf.DUMMYFUNCTION("""COMPUTED_VALUE"""),"MARIGOLD G. GELITO")</f>
        <v>MARIGOLD G. GELITO</v>
      </c>
      <c r="I2406" s="164" t="str">
        <f ca="1">IFERROR(__xludf.DUMMYFUNCTION("""COMPUTED_VALUE"""),"AO IV-GSS/PROJECT PROCUREMENT COORDINATOR")</f>
        <v>AO IV-GSS/PROJECT PROCUREMENT COORDINATOR</v>
      </c>
      <c r="J2406" s="164" t="str">
        <f ca="1">IFERROR(__xludf.DUMMYFUNCTION("""COMPUTED_VALUE"""),"2023-05-03-008")</f>
        <v>2023-05-03-008</v>
      </c>
      <c r="K2406" s="164" t="str">
        <f ca="1">IFERROR(__xludf.DUMMYFUNCTION("""COMPUTED_VALUE"""),"JOEVENE S. DUBRIA")</f>
        <v>JOEVENE S. DUBRIA</v>
      </c>
      <c r="L2406" s="164" t="str">
        <f ca="1">IFERROR(__xludf.DUMMYFUNCTION("""COMPUTED_VALUE"""),"DARPO-STOD-GS")</f>
        <v>DARPO-STOD-GS</v>
      </c>
      <c r="M2406" s="164" t="str">
        <f ca="1">IFERROR(__xludf.DUMMYFUNCTION("""COMPUTED_VALUE"""),"SERVICEABLE")</f>
        <v>SERVICEABLE</v>
      </c>
      <c r="N2406" s="164"/>
    </row>
    <row r="2407" spans="1:14" ht="13.2" hidden="1">
      <c r="A2407" s="164" t="str">
        <f ca="1">IFERROR(__xludf.DUMMYFUNCTION("""COMPUTED_VALUE"""),"Region VI")</f>
        <v>Region VI</v>
      </c>
      <c r="B2407" s="164" t="str">
        <f ca="1">IFERROR(__xludf.DUMMYFUNCTION("""COMPUTED_VALUE"""),"ANTIQUE")</f>
        <v>ANTIQUE</v>
      </c>
      <c r="C2407" s="164" t="str">
        <f ca="1">IFERROR(__xludf.DUMMYFUNCTION("""COMPUTED_VALUE"""),"Desktop Computer – (Lenovo M70T)")</f>
        <v>Desktop Computer – (Lenovo M70T)</v>
      </c>
      <c r="D2407" s="164" t="str">
        <f ca="1">IFERROR(__xludf.DUMMYFUNCTION("""COMPUTED_VALUE"""),"₱ 75,468.00")</f>
        <v>₱ 75,468.00</v>
      </c>
      <c r="E2407" s="164"/>
      <c r="F2407" s="164" t="str">
        <f ca="1">IFERROR(__xludf.DUMMYFUNCTION("""COMPUTED_VALUE"""),"2023-05-03-10201SP1163-01")</f>
        <v>2023-05-03-10201SP1163-01</v>
      </c>
      <c r="G2407" s="164"/>
      <c r="H2407" s="164" t="str">
        <f ca="1">IFERROR(__xludf.DUMMYFUNCTION("""COMPUTED_VALUE"""),"SUZETTE P. CHECA")</f>
        <v>SUZETTE P. CHECA</v>
      </c>
      <c r="I2407" s="164" t="str">
        <f ca="1">IFERROR(__xludf.DUMMYFUNCTION("""COMPUTED_VALUE"""),"MARPO")</f>
        <v>MARPO</v>
      </c>
      <c r="J2407" s="164" t="str">
        <f ca="1">IFERROR(__xludf.DUMMYFUNCTION("""COMPUTED_VALUE"""),"2023-05-03-009")</f>
        <v>2023-05-03-009</v>
      </c>
      <c r="K2407" s="164" t="str">
        <f ca="1">IFERROR(__xludf.DUMMYFUNCTION("""COMPUTED_VALUE"""),"SUZETTE P. CHECA")</f>
        <v>SUZETTE P. CHECA</v>
      </c>
      <c r="L2407" s="164" t="str">
        <f ca="1">IFERROR(__xludf.DUMMYFUNCTION("""COMPUTED_VALUE"""),"DARMO-Cluster 1")</f>
        <v>DARMO-Cluster 1</v>
      </c>
      <c r="M2407" s="164" t="str">
        <f ca="1">IFERROR(__xludf.DUMMYFUNCTION("""COMPUTED_VALUE"""),"SERVICEABLE")</f>
        <v>SERVICEABLE</v>
      </c>
      <c r="N2407" s="164"/>
    </row>
    <row r="2408" spans="1:14" ht="13.2" hidden="1">
      <c r="A2408" s="164" t="str">
        <f ca="1">IFERROR(__xludf.DUMMYFUNCTION("""COMPUTED_VALUE"""),"Region VI")</f>
        <v>Region VI</v>
      </c>
      <c r="B2408" s="164" t="str">
        <f ca="1">IFERROR(__xludf.DUMMYFUNCTION("""COMPUTED_VALUE"""),"ANTIQUE")</f>
        <v>ANTIQUE</v>
      </c>
      <c r="C2408" s="164" t="str">
        <f ca="1">IFERROR(__xludf.DUMMYFUNCTION("""COMPUTED_VALUE"""),"Desktop Computer – (Lenovo M70T)")</f>
        <v>Desktop Computer – (Lenovo M70T)</v>
      </c>
      <c r="D2408" s="164" t="str">
        <f ca="1">IFERROR(__xludf.DUMMYFUNCTION("""COMPUTED_VALUE"""),"₱ 75,468.00")</f>
        <v>₱ 75,468.00</v>
      </c>
      <c r="E2408" s="164"/>
      <c r="F2408" s="164" t="str">
        <f ca="1">IFERROR(__xludf.DUMMYFUNCTION("""COMPUTED_VALUE"""),"2023-05-03-10201SP1164-01")</f>
        <v>2023-05-03-10201SP1164-01</v>
      </c>
      <c r="G2408" s="164"/>
      <c r="H2408" s="164" t="str">
        <f ca="1">IFERROR(__xludf.DUMMYFUNCTION("""COMPUTED_VALUE"""),"LUCY LIN N. GOMEZ")</f>
        <v>LUCY LIN N. GOMEZ</v>
      </c>
      <c r="I2408" s="164" t="str">
        <f ca="1">IFERROR(__xludf.DUMMYFUNCTION("""COMPUTED_VALUE"""),"MARPO")</f>
        <v>MARPO</v>
      </c>
      <c r="J2408" s="164" t="str">
        <f ca="1">IFERROR(__xludf.DUMMYFUNCTION("""COMPUTED_VALUE"""),"2023-05-03-010")</f>
        <v>2023-05-03-010</v>
      </c>
      <c r="K2408" s="164" t="str">
        <f ca="1">IFERROR(__xludf.DUMMYFUNCTION("""COMPUTED_VALUE"""),"LUCY LIN N. GOMEZ")</f>
        <v>LUCY LIN N. GOMEZ</v>
      </c>
      <c r="L2408" s="164" t="str">
        <f ca="1">IFERROR(__xludf.DUMMYFUNCTION("""COMPUTED_VALUE"""),"DARMO-Cluster 2")</f>
        <v>DARMO-Cluster 2</v>
      </c>
      <c r="M2408" s="164" t="str">
        <f ca="1">IFERROR(__xludf.DUMMYFUNCTION("""COMPUTED_VALUE"""),"SERVICEABLE")</f>
        <v>SERVICEABLE</v>
      </c>
      <c r="N2408" s="164"/>
    </row>
    <row r="2409" spans="1:14" ht="13.2" hidden="1">
      <c r="A2409" s="164" t="str">
        <f ca="1">IFERROR(__xludf.DUMMYFUNCTION("""COMPUTED_VALUE"""),"Region VI")</f>
        <v>Region VI</v>
      </c>
      <c r="B2409" s="164" t="str">
        <f ca="1">IFERROR(__xludf.DUMMYFUNCTION("""COMPUTED_VALUE"""),"ANTIQUE")</f>
        <v>ANTIQUE</v>
      </c>
      <c r="C2409" s="164" t="str">
        <f ca="1">IFERROR(__xludf.DUMMYFUNCTION("""COMPUTED_VALUE"""),"Desktop Computer – (Lenovo M70T)")</f>
        <v>Desktop Computer – (Lenovo M70T)</v>
      </c>
      <c r="D2409" s="164" t="str">
        <f ca="1">IFERROR(__xludf.DUMMYFUNCTION("""COMPUTED_VALUE"""),"₱ 75,468.00")</f>
        <v>₱ 75,468.00</v>
      </c>
      <c r="E2409" s="164"/>
      <c r="F2409" s="164" t="str">
        <f ca="1">IFERROR(__xludf.DUMMYFUNCTION("""COMPUTED_VALUE"""),"2023-05-03-10201SP1165-01")</f>
        <v>2023-05-03-10201SP1165-01</v>
      </c>
      <c r="G2409" s="164"/>
      <c r="H2409" s="164" t="str">
        <f ca="1">IFERROR(__xludf.DUMMYFUNCTION("""COMPUTED_VALUE"""),"FLORENCE A. SASI")</f>
        <v>FLORENCE A. SASI</v>
      </c>
      <c r="I2409" s="164" t="str">
        <f ca="1">IFERROR(__xludf.DUMMYFUNCTION("""COMPUTED_VALUE"""),"MARPO")</f>
        <v>MARPO</v>
      </c>
      <c r="J2409" s="164" t="str">
        <f ca="1">IFERROR(__xludf.DUMMYFUNCTION("""COMPUTED_VALUE"""),"2023-05-03-011")</f>
        <v>2023-05-03-011</v>
      </c>
      <c r="K2409" s="164" t="str">
        <f ca="1">IFERROR(__xludf.DUMMYFUNCTION("""COMPUTED_VALUE"""),"FLORENCE A. SASI")</f>
        <v>FLORENCE A. SASI</v>
      </c>
      <c r="L2409" s="164" t="str">
        <f ca="1">IFERROR(__xludf.DUMMYFUNCTION("""COMPUTED_VALUE"""),"DARMO-Cluster 3")</f>
        <v>DARMO-Cluster 3</v>
      </c>
      <c r="M2409" s="164" t="str">
        <f ca="1">IFERROR(__xludf.DUMMYFUNCTION("""COMPUTED_VALUE"""),"SERVICEABLE")</f>
        <v>SERVICEABLE</v>
      </c>
      <c r="N2409" s="164"/>
    </row>
    <row r="2410" spans="1:14" ht="13.2" hidden="1">
      <c r="A2410" s="164" t="str">
        <f ca="1">IFERROR(__xludf.DUMMYFUNCTION("""COMPUTED_VALUE"""),"Region VI")</f>
        <v>Region VI</v>
      </c>
      <c r="B2410" s="164" t="str">
        <f ca="1">IFERROR(__xludf.DUMMYFUNCTION("""COMPUTED_VALUE"""),"ANTIQUE")</f>
        <v>ANTIQUE</v>
      </c>
      <c r="C2410" s="164" t="str">
        <f ca="1">IFERROR(__xludf.DUMMYFUNCTION("""COMPUTED_VALUE"""),"Desktop Computer – (Lenovo M70T)")</f>
        <v>Desktop Computer – (Lenovo M70T)</v>
      </c>
      <c r="D2410" s="164" t="str">
        <f ca="1">IFERROR(__xludf.DUMMYFUNCTION("""COMPUTED_VALUE"""),"₱ 75,468.00")</f>
        <v>₱ 75,468.00</v>
      </c>
      <c r="E2410" s="164"/>
      <c r="F2410" s="164" t="str">
        <f ca="1">IFERROR(__xludf.DUMMYFUNCTION("""COMPUTED_VALUE"""),"2023-05-03-10201SP1166-01")</f>
        <v>2023-05-03-10201SP1166-01</v>
      </c>
      <c r="G2410" s="164"/>
      <c r="H2410" s="164" t="str">
        <f ca="1">IFERROR(__xludf.DUMMYFUNCTION("""COMPUTED_VALUE"""),"JOSELITO GERARDO A. LLANTINO")</f>
        <v>JOSELITO GERARDO A. LLANTINO</v>
      </c>
      <c r="I2410" s="164" t="str">
        <f ca="1">IFERROR(__xludf.DUMMYFUNCTION("""COMPUTED_VALUE"""),"MARPO")</f>
        <v>MARPO</v>
      </c>
      <c r="J2410" s="164" t="str">
        <f ca="1">IFERROR(__xludf.DUMMYFUNCTION("""COMPUTED_VALUE"""),"2023-05-03-012")</f>
        <v>2023-05-03-012</v>
      </c>
      <c r="K2410" s="164" t="str">
        <f ca="1">IFERROR(__xludf.DUMMYFUNCTION("""COMPUTED_VALUE"""),"JOSELITO GERARDO A. LLANTINO")</f>
        <v>JOSELITO GERARDO A. LLANTINO</v>
      </c>
      <c r="L2410" s="164" t="str">
        <f ca="1">IFERROR(__xludf.DUMMYFUNCTION("""COMPUTED_VALUE"""),"DARMO-Cluster 4")</f>
        <v>DARMO-Cluster 4</v>
      </c>
      <c r="M2410" s="164" t="str">
        <f ca="1">IFERROR(__xludf.DUMMYFUNCTION("""COMPUTED_VALUE"""),"SERVICEABLE")</f>
        <v>SERVICEABLE</v>
      </c>
      <c r="N2410" s="164"/>
    </row>
    <row r="2411" spans="1:14" ht="13.2" hidden="1">
      <c r="A2411" s="164" t="str">
        <f ca="1">IFERROR(__xludf.DUMMYFUNCTION("""COMPUTED_VALUE"""),"Region VI")</f>
        <v>Region VI</v>
      </c>
      <c r="B2411" s="164" t="str">
        <f ca="1">IFERROR(__xludf.DUMMYFUNCTION("""COMPUTED_VALUE"""),"ANTIQUE")</f>
        <v>ANTIQUE</v>
      </c>
      <c r="C2411" s="164" t="str">
        <f ca="1">IFERROR(__xludf.DUMMYFUNCTION("""COMPUTED_VALUE"""),"Desktop Computer – (Lenovo M70T)")</f>
        <v>Desktop Computer – (Lenovo M70T)</v>
      </c>
      <c r="D2411" s="164" t="str">
        <f ca="1">IFERROR(__xludf.DUMMYFUNCTION("""COMPUTED_VALUE"""),"₱ 75,468.00")</f>
        <v>₱ 75,468.00</v>
      </c>
      <c r="E2411" s="164"/>
      <c r="F2411" s="164" t="str">
        <f ca="1">IFERROR(__xludf.DUMMYFUNCTION("""COMPUTED_VALUE"""),"2023-05-03-10201SP1167-01")</f>
        <v>2023-05-03-10201SP1167-01</v>
      </c>
      <c r="G2411" s="164"/>
      <c r="H2411" s="164" t="str">
        <f ca="1">IFERROR(__xludf.DUMMYFUNCTION("""COMPUTED_VALUE"""),"NUEVA ERA C. PIDO")</f>
        <v>NUEVA ERA C. PIDO</v>
      </c>
      <c r="I2411" s="164" t="str">
        <f ca="1">IFERROR(__xludf.DUMMYFUNCTION("""COMPUTED_VALUE"""),"MARPO")</f>
        <v>MARPO</v>
      </c>
      <c r="J2411" s="164" t="str">
        <f ca="1">IFERROR(__xludf.DUMMYFUNCTION("""COMPUTED_VALUE"""),"2023-05-03-013")</f>
        <v>2023-05-03-013</v>
      </c>
      <c r="K2411" s="164" t="str">
        <f ca="1">IFERROR(__xludf.DUMMYFUNCTION("""COMPUTED_VALUE"""),"NUEVA ERA C. PIDO")</f>
        <v>NUEVA ERA C. PIDO</v>
      </c>
      <c r="L2411" s="164" t="str">
        <f ca="1">IFERROR(__xludf.DUMMYFUNCTION("""COMPUTED_VALUE"""),"DARMO-Cluster 5")</f>
        <v>DARMO-Cluster 5</v>
      </c>
      <c r="M2411" s="164" t="str">
        <f ca="1">IFERROR(__xludf.DUMMYFUNCTION("""COMPUTED_VALUE"""),"SERVICEABLE")</f>
        <v>SERVICEABLE</v>
      </c>
      <c r="N2411" s="164"/>
    </row>
    <row r="2412" spans="1:14" ht="13.2" hidden="1">
      <c r="A2412" s="164" t="str">
        <f ca="1">IFERROR(__xludf.DUMMYFUNCTION("""COMPUTED_VALUE"""),"Region VI")</f>
        <v>Region VI</v>
      </c>
      <c r="B2412" s="164" t="str">
        <f ca="1">IFERROR(__xludf.DUMMYFUNCTION("""COMPUTED_VALUE"""),"ANTIQUE")</f>
        <v>ANTIQUE</v>
      </c>
      <c r="C2412" s="164" t="str">
        <f ca="1">IFERROR(__xludf.DUMMYFUNCTION("""COMPUTED_VALUE"""),"Desktop Computer – (Lenovo M70T)")</f>
        <v>Desktop Computer – (Lenovo M70T)</v>
      </c>
      <c r="D2412" s="164" t="str">
        <f ca="1">IFERROR(__xludf.DUMMYFUNCTION("""COMPUTED_VALUE"""),"₱ 75,468.00")</f>
        <v>₱ 75,468.00</v>
      </c>
      <c r="E2412" s="164"/>
      <c r="F2412" s="164" t="str">
        <f ca="1">IFERROR(__xludf.DUMMYFUNCTION("""COMPUTED_VALUE"""),"2023-05-03-10201SP1168-01")</f>
        <v>2023-05-03-10201SP1168-01</v>
      </c>
      <c r="G2412" s="164"/>
      <c r="H2412" s="164" t="str">
        <f ca="1">IFERROR(__xludf.DUMMYFUNCTION("""COMPUTED_VALUE"""),"ANGELITA P. MAGRARE")</f>
        <v>ANGELITA P. MAGRARE</v>
      </c>
      <c r="I2412" s="164" t="str">
        <f ca="1">IFERROR(__xludf.DUMMYFUNCTION("""COMPUTED_VALUE"""),"OIC-MARPO")</f>
        <v>OIC-MARPO</v>
      </c>
      <c r="J2412" s="164" t="str">
        <f ca="1">IFERROR(__xludf.DUMMYFUNCTION("""COMPUTED_VALUE"""),"2023-05-03-014")</f>
        <v>2023-05-03-014</v>
      </c>
      <c r="K2412" s="164" t="str">
        <f ca="1">IFERROR(__xludf.DUMMYFUNCTION("""COMPUTED_VALUE"""),"ANGELITA P. MAGRARE")</f>
        <v>ANGELITA P. MAGRARE</v>
      </c>
      <c r="L2412" s="164" t="str">
        <f ca="1">IFERROR(__xludf.DUMMYFUNCTION("""COMPUTED_VALUE"""),"DARMO-Cluster 6")</f>
        <v>DARMO-Cluster 6</v>
      </c>
      <c r="M2412" s="164" t="str">
        <f ca="1">IFERROR(__xludf.DUMMYFUNCTION("""COMPUTED_VALUE"""),"SERVICEABLE")</f>
        <v>SERVICEABLE</v>
      </c>
      <c r="N2412" s="164"/>
    </row>
    <row r="2413" spans="1:14" ht="13.2" hidden="1">
      <c r="A2413" s="164" t="str">
        <f ca="1">IFERROR(__xludf.DUMMYFUNCTION("""COMPUTED_VALUE"""),"Region VI")</f>
        <v>Region VI</v>
      </c>
      <c r="B2413" s="164" t="str">
        <f ca="1">IFERROR(__xludf.DUMMYFUNCTION("""COMPUTED_VALUE"""),"ANTIQUE")</f>
        <v>ANTIQUE</v>
      </c>
      <c r="C2413" s="164" t="str">
        <f ca="1">IFERROR(__xludf.DUMMYFUNCTION("""COMPUTED_VALUE"""),"Desktop Computer – (Lenovo M70T)")</f>
        <v>Desktop Computer – (Lenovo M70T)</v>
      </c>
      <c r="D2413" s="164" t="str">
        <f ca="1">IFERROR(__xludf.DUMMYFUNCTION("""COMPUTED_VALUE"""),"₱ 75,468.00")</f>
        <v>₱ 75,468.00</v>
      </c>
      <c r="E2413" s="164"/>
      <c r="F2413" s="164" t="str">
        <f ca="1">IFERROR(__xludf.DUMMYFUNCTION("""COMPUTED_VALUE"""),"2023-05-03-10201SP1169-01")</f>
        <v>2023-05-03-10201SP1169-01</v>
      </c>
      <c r="G2413" s="164"/>
      <c r="H2413" s="164" t="str">
        <f ca="1">IFERROR(__xludf.DUMMYFUNCTION("""COMPUTED_VALUE"""),"LEO SALVADOR E. DUARTE")</f>
        <v>LEO SALVADOR E. DUARTE</v>
      </c>
      <c r="I2413" s="164" t="str">
        <f ca="1">IFERROR(__xludf.DUMMYFUNCTION("""COMPUTED_VALUE"""),"MARPO")</f>
        <v>MARPO</v>
      </c>
      <c r="J2413" s="164" t="str">
        <f ca="1">IFERROR(__xludf.DUMMYFUNCTION("""COMPUTED_VALUE"""),"2023-05-03-015")</f>
        <v>2023-05-03-015</v>
      </c>
      <c r="K2413" s="164" t="str">
        <f ca="1">IFERROR(__xludf.DUMMYFUNCTION("""COMPUTED_VALUE"""),"LEO SALVADOR E. DUARTE")</f>
        <v>LEO SALVADOR E. DUARTE</v>
      </c>
      <c r="L2413" s="164" t="str">
        <f ca="1">IFERROR(__xludf.DUMMYFUNCTION("""COMPUTED_VALUE"""),"DARMO-Cluster 7")</f>
        <v>DARMO-Cluster 7</v>
      </c>
      <c r="M2413" s="164" t="str">
        <f ca="1">IFERROR(__xludf.DUMMYFUNCTION("""COMPUTED_VALUE"""),"SERVICEABLE")</f>
        <v>SERVICEABLE</v>
      </c>
      <c r="N2413" s="164"/>
    </row>
    <row r="2414" spans="1:14" ht="13.2" hidden="1">
      <c r="A2414" s="164" t="str">
        <f ca="1">IFERROR(__xludf.DUMMYFUNCTION("""COMPUTED_VALUE"""),"Region VI")</f>
        <v>Region VI</v>
      </c>
      <c r="B2414" s="164" t="str">
        <f ca="1">IFERROR(__xludf.DUMMYFUNCTION("""COMPUTED_VALUE"""),"ANTIQUE")</f>
        <v>ANTIQUE</v>
      </c>
      <c r="C2414" s="164" t="str">
        <f ca="1">IFERROR(__xludf.DUMMYFUNCTION("""COMPUTED_VALUE"""),"Desktop Computer – (Lenovo M70T)")</f>
        <v>Desktop Computer – (Lenovo M70T)</v>
      </c>
      <c r="D2414" s="164" t="str">
        <f ca="1">IFERROR(__xludf.DUMMYFUNCTION("""COMPUTED_VALUE"""),"₱ 75,468.00")</f>
        <v>₱ 75,468.00</v>
      </c>
      <c r="E2414" s="164"/>
      <c r="F2414" s="164" t="str">
        <f ca="1">IFERROR(__xludf.DUMMYFUNCTION("""COMPUTED_VALUE"""),"2023-05-03-10201SP1170-01")</f>
        <v>2023-05-03-10201SP1170-01</v>
      </c>
      <c r="G2414" s="164"/>
      <c r="H2414" s="164" t="str">
        <f ca="1">IFERROR(__xludf.DUMMYFUNCTION("""COMPUTED_VALUE"""),"LALAINE R. VILLA")</f>
        <v>LALAINE R. VILLA</v>
      </c>
      <c r="I2414" s="164" t="str">
        <f ca="1">IFERROR(__xludf.DUMMYFUNCTION("""COMPUTED_VALUE"""),"OIC-MARPO")</f>
        <v>OIC-MARPO</v>
      </c>
      <c r="J2414" s="164" t="str">
        <f ca="1">IFERROR(__xludf.DUMMYFUNCTION("""COMPUTED_VALUE"""),"2023-05-03-016")</f>
        <v>2023-05-03-016</v>
      </c>
      <c r="K2414" s="164" t="str">
        <f ca="1">IFERROR(__xludf.DUMMYFUNCTION("""COMPUTED_VALUE"""),"LALAINE R. VILLA")</f>
        <v>LALAINE R. VILLA</v>
      </c>
      <c r="L2414" s="164" t="str">
        <f ca="1">IFERROR(__xludf.DUMMYFUNCTION("""COMPUTED_VALUE"""),"DARMO-Cluster 8")</f>
        <v>DARMO-Cluster 8</v>
      </c>
      <c r="M2414" s="164" t="str">
        <f ca="1">IFERROR(__xludf.DUMMYFUNCTION("""COMPUTED_VALUE"""),"SERVICEABLE")</f>
        <v>SERVICEABLE</v>
      </c>
      <c r="N2414" s="164"/>
    </row>
    <row r="2415" spans="1:14" ht="13.2" hidden="1">
      <c r="A2415" s="164" t="str">
        <f ca="1">IFERROR(__xludf.DUMMYFUNCTION("""COMPUTED_VALUE"""),"Region VI")</f>
        <v>Region VI</v>
      </c>
      <c r="B2415" s="164" t="str">
        <f ca="1">IFERROR(__xludf.DUMMYFUNCTION("""COMPUTED_VALUE"""),"ANTIQUE")</f>
        <v>ANTIQUE</v>
      </c>
      <c r="C2415" s="164" t="str">
        <f ca="1">IFERROR(__xludf.DUMMYFUNCTION("""COMPUTED_VALUE"""),"Desktop Computer – (HP Pro SFF 280G9)")</f>
        <v>Desktop Computer – (HP Pro SFF 280G9)</v>
      </c>
      <c r="D2415" s="164" t="str">
        <f ca="1">IFERROR(__xludf.DUMMYFUNCTION("""COMPUTED_VALUE"""),"₱ 78,898.00")</f>
        <v>₱ 78,898.00</v>
      </c>
      <c r="E2415" s="164"/>
      <c r="F2415" s="164" t="str">
        <f ca="1">IFERROR(__xludf.DUMMYFUNCTION("""COMPUTED_VALUE"""),"2023-05-03-10201SP49-01")</f>
        <v>2023-05-03-10201SP49-01</v>
      </c>
      <c r="G2415" s="164"/>
      <c r="H2415" s="164" t="str">
        <f ca="1">IFERROR(__xludf.DUMMYFUNCTION("""COMPUTED_VALUE"""),"ULYSSES M. VILLAFUERTE")</f>
        <v>ULYSSES M. VILLAFUERTE</v>
      </c>
      <c r="I2415" s="164" t="str">
        <f ca="1">IFERROR(__xludf.DUMMYFUNCTION("""COMPUTED_VALUE"""),"OIC-CARPO, ARBDSP/CBTA for Implementers/ESS Coordinator")</f>
        <v>OIC-CARPO, ARBDSP/CBTA for Implementers/ESS Coordinator</v>
      </c>
      <c r="J2415" s="164" t="str">
        <f ca="1">IFERROR(__xludf.DUMMYFUNCTION("""COMPUTED_VALUE"""),"2023-05-03-017")</f>
        <v>2023-05-03-017</v>
      </c>
      <c r="K2415" s="164" t="str">
        <f ca="1">IFERROR(__xludf.DUMMYFUNCTION("""COMPUTED_VALUE"""),"ARLENE A. QUICOY")</f>
        <v>ARLENE A. QUICOY</v>
      </c>
      <c r="L2415" s="164" t="str">
        <f ca="1">IFERROR(__xludf.DUMMYFUNCTION("""COMPUTED_VALUE"""),"DARPO-ARBDSP")</f>
        <v>DARPO-ARBDSP</v>
      </c>
      <c r="M2415" s="164" t="str">
        <f ca="1">IFERROR(__xludf.DUMMYFUNCTION("""COMPUTED_VALUE"""),"SERVICEABLE")</f>
        <v>SERVICEABLE</v>
      </c>
      <c r="N2415" s="164"/>
    </row>
    <row r="2416" spans="1:14" ht="13.2" hidden="1">
      <c r="A2416" s="164" t="str">
        <f ca="1">IFERROR(__xludf.DUMMYFUNCTION("""COMPUTED_VALUE"""),"Region VI")</f>
        <v>Region VI</v>
      </c>
      <c r="B2416" s="164" t="str">
        <f ca="1">IFERROR(__xludf.DUMMYFUNCTION("""COMPUTED_VALUE"""),"ANTIQUE")</f>
        <v>ANTIQUE</v>
      </c>
      <c r="C2416" s="164" t="str">
        <f ca="1">IFERROR(__xludf.DUMMYFUNCTION("""COMPUTED_VALUE"""),"Desktop Computer – (HP Pro SFF 280G9)")</f>
        <v>Desktop Computer – (HP Pro SFF 280G9)</v>
      </c>
      <c r="D2416" s="164" t="str">
        <f ca="1">IFERROR(__xludf.DUMMYFUNCTION("""COMPUTED_VALUE"""),"₱ 78,898.00")</f>
        <v>₱ 78,898.00</v>
      </c>
      <c r="E2416" s="164"/>
      <c r="F2416" s="164" t="str">
        <f ca="1">IFERROR(__xludf.DUMMYFUNCTION("""COMPUTED_VALUE"""),"2023-05-03-10201SP50-01")</f>
        <v>2023-05-03-10201SP50-01</v>
      </c>
      <c r="G2416" s="164"/>
      <c r="H2416" s="164" t="str">
        <f ca="1">IFERROR(__xludf.DUMMYFUNCTION("""COMPUTED_VALUE"""),"ATTY. REXINOR JOHN D. DEMOGENA")</f>
        <v>ATTY. REXINOR JOHN D. DEMOGENA</v>
      </c>
      <c r="I2416" s="164" t="str">
        <f ca="1">IFERROR(__xludf.DUMMYFUNCTION("""COMPUTED_VALUE"""),"PROVINCIAL ADJUDICATOR")</f>
        <v>PROVINCIAL ADJUDICATOR</v>
      </c>
      <c r="J2416" s="164" t="str">
        <f ca="1">IFERROR(__xludf.DUMMYFUNCTION("""COMPUTED_VALUE"""),"2023-05-03-018")</f>
        <v>2023-05-03-018</v>
      </c>
      <c r="K2416" s="164" t="str">
        <f ca="1">IFERROR(__xludf.DUMMYFUNCTION("""COMPUTED_VALUE"""),"MA. INES GARINGALAO")</f>
        <v>MA. INES GARINGALAO</v>
      </c>
      <c r="L2416" s="164" t="str">
        <f ca="1">IFERROR(__xludf.DUMMYFUNCTION("""COMPUTED_VALUE"""),"DARPO-PARAD")</f>
        <v>DARPO-PARAD</v>
      </c>
      <c r="M2416" s="164" t="str">
        <f ca="1">IFERROR(__xludf.DUMMYFUNCTION("""COMPUTED_VALUE"""),"SERVICEABLE")</f>
        <v>SERVICEABLE</v>
      </c>
      <c r="N2416" s="164"/>
    </row>
    <row r="2417" spans="1:14" ht="13.2" hidden="1">
      <c r="A2417" s="164" t="str">
        <f ca="1">IFERROR(__xludf.DUMMYFUNCTION("""COMPUTED_VALUE"""),"Region VI")</f>
        <v>Region VI</v>
      </c>
      <c r="B2417" s="164" t="str">
        <f ca="1">IFERROR(__xludf.DUMMYFUNCTION("""COMPUTED_VALUE"""),"ANTIQUE")</f>
        <v>ANTIQUE</v>
      </c>
      <c r="C2417" s="164" t="str">
        <f ca="1">IFERROR(__xludf.DUMMYFUNCTION("""COMPUTED_VALUE"""),"Desktop Computer – (HP Pro SFF 280G9)")</f>
        <v>Desktop Computer – (HP Pro SFF 280G9)</v>
      </c>
      <c r="D2417" s="164" t="str">
        <f ca="1">IFERROR(__xludf.DUMMYFUNCTION("""COMPUTED_VALUE"""),"₱ 78,898.00")</f>
        <v>₱ 78,898.00</v>
      </c>
      <c r="E2417" s="164"/>
      <c r="F2417" s="164" t="str">
        <f ca="1">IFERROR(__xludf.DUMMYFUNCTION("""COMPUTED_VALUE"""),"2023-05-03-10201SP51-01")</f>
        <v>2023-05-03-10201SP51-01</v>
      </c>
      <c r="G2417" s="164"/>
      <c r="H2417" s="164" t="str">
        <f ca="1">IFERROR(__xludf.DUMMYFUNCTION("""COMPUTED_VALUE"""),"RHODA BERNADETTE B. CASTILLON")</f>
        <v>RHODA BERNADETTE B. CASTILLON</v>
      </c>
      <c r="I2417" s="164" t="str">
        <f ca="1">IFERROR(__xludf.DUMMYFUNCTION("""COMPUTED_VALUE"""),"OIC-CAO/ Administrative &amp; Finance Officer")</f>
        <v>OIC-CAO/ Administrative &amp; Finance Officer</v>
      </c>
      <c r="J2417" s="164" t="str">
        <f ca="1">IFERROR(__xludf.DUMMYFUNCTION("""COMPUTED_VALUE"""),"2023-05-03-019")</f>
        <v>2023-05-03-019</v>
      </c>
      <c r="K2417" s="164" t="str">
        <f ca="1">IFERROR(__xludf.DUMMYFUNCTION("""COMPUTED_VALUE"""),"YVE ANNE YVONNE S. AGUIRRE")</f>
        <v>YVE ANNE YVONNE S. AGUIRRE</v>
      </c>
      <c r="L2417" s="164" t="str">
        <f ca="1">IFERROR(__xludf.DUMMYFUNCTION("""COMPUTED_VALUE"""),"DARPO-STOD")</f>
        <v>DARPO-STOD</v>
      </c>
      <c r="M2417" s="164" t="str">
        <f ca="1">IFERROR(__xludf.DUMMYFUNCTION("""COMPUTED_VALUE"""),"SERVICEABLE")</f>
        <v>SERVICEABLE</v>
      </c>
      <c r="N2417" s="164"/>
    </row>
    <row r="2418" spans="1:14" ht="13.2" hidden="1">
      <c r="A2418" s="164" t="str">
        <f ca="1">IFERROR(__xludf.DUMMYFUNCTION("""COMPUTED_VALUE"""),"Region VI")</f>
        <v>Region VI</v>
      </c>
      <c r="B2418" s="164" t="str">
        <f ca="1">IFERROR(__xludf.DUMMYFUNCTION("""COMPUTED_VALUE"""),"ANTIQUE")</f>
        <v>ANTIQUE</v>
      </c>
      <c r="C2418" s="164" t="str">
        <f ca="1">IFERROR(__xludf.DUMMYFUNCTION("""COMPUTED_VALUE"""),"Desktop Computer – (HP Pro SFF 280G9)")</f>
        <v>Desktop Computer – (HP Pro SFF 280G9)</v>
      </c>
      <c r="D2418" s="164" t="str">
        <f ca="1">IFERROR(__xludf.DUMMYFUNCTION("""COMPUTED_VALUE"""),"₱ 78,898.00")</f>
        <v>₱ 78,898.00</v>
      </c>
      <c r="E2418" s="164"/>
      <c r="F2418" s="164" t="str">
        <f ca="1">IFERROR(__xludf.DUMMYFUNCTION("""COMPUTED_VALUE"""),"2023-05-03-10201SP52-01")</f>
        <v>2023-05-03-10201SP52-01</v>
      </c>
      <c r="G2418" s="164"/>
      <c r="H2418" s="164" t="str">
        <f ca="1">IFERROR(__xludf.DUMMYFUNCTION("""COMPUTED_VALUE"""),"RHODA BERNADETTE B. CASTILLON")</f>
        <v>RHODA BERNADETTE B. CASTILLON</v>
      </c>
      <c r="I2418" s="164" t="str">
        <f ca="1">IFERROR(__xludf.DUMMYFUNCTION("""COMPUTED_VALUE"""),"OIC-CAO/Admin &amp; Finance Office")</f>
        <v>OIC-CAO/Admin &amp; Finance Office</v>
      </c>
      <c r="J2418" s="164" t="str">
        <f ca="1">IFERROR(__xludf.DUMMYFUNCTION("""COMPUTED_VALUE"""),"2023-05-03-020")</f>
        <v>2023-05-03-020</v>
      </c>
      <c r="K2418" s="164" t="str">
        <f ca="1">IFERROR(__xludf.DUMMYFUNCTION("""COMPUTED_VALUE"""),"ZEANYREN M. QUILINO")</f>
        <v>ZEANYREN M. QUILINO</v>
      </c>
      <c r="L2418" s="164" t="str">
        <f ca="1">IFERROR(__xludf.DUMMYFUNCTION("""COMPUTED_VALUE"""),"DARPO-STOD")</f>
        <v>DARPO-STOD</v>
      </c>
      <c r="M2418" s="164" t="str">
        <f ca="1">IFERROR(__xludf.DUMMYFUNCTION("""COMPUTED_VALUE"""),"SERVICEABLE")</f>
        <v>SERVICEABLE</v>
      </c>
      <c r="N2418" s="164"/>
    </row>
    <row r="2419" spans="1:14" ht="13.2" hidden="1">
      <c r="A2419" s="164" t="str">
        <f ca="1">IFERROR(__xludf.DUMMYFUNCTION("""COMPUTED_VALUE"""),"Region VI")</f>
        <v>Region VI</v>
      </c>
      <c r="B2419" s="164" t="str">
        <f ca="1">IFERROR(__xludf.DUMMYFUNCTION("""COMPUTED_VALUE"""),"ANTIQUE")</f>
        <v>ANTIQUE</v>
      </c>
      <c r="C2419" s="164" t="str">
        <f ca="1">IFERROR(__xludf.DUMMYFUNCTION("""COMPUTED_VALUE"""),"Desktop Computer – (HP Pro SFF 280G9)")</f>
        <v>Desktop Computer – (HP Pro SFF 280G9)</v>
      </c>
      <c r="D2419" s="164" t="str">
        <f ca="1">IFERROR(__xludf.DUMMYFUNCTION("""COMPUTED_VALUE"""),"₱ 78,898.00")</f>
        <v>₱ 78,898.00</v>
      </c>
      <c r="E2419" s="164"/>
      <c r="F2419" s="164" t="str">
        <f ca="1">IFERROR(__xludf.DUMMYFUNCTION("""COMPUTED_VALUE"""),"2023-05-03-10201SP53-01")</f>
        <v>2023-05-03-10201SP53-01</v>
      </c>
      <c r="G2419" s="164"/>
      <c r="H2419" s="164" t="str">
        <f ca="1">IFERROR(__xludf.DUMMYFUNCTION("""COMPUTED_VALUE"""),"GEORGE M. TORENTE")</f>
        <v>GEORGE M. TORENTE</v>
      </c>
      <c r="I2419" s="164" t="str">
        <f ca="1">IFERROR(__xludf.DUMMYFUNCTION("""COMPUTED_VALUE"""),"OIC-CARPO-LTID/ Parcelization Component and FVT Coordinator")</f>
        <v>OIC-CARPO-LTID/ Parcelization Component and FVT Coordinator</v>
      </c>
      <c r="J2419" s="164" t="str">
        <f ca="1">IFERROR(__xludf.DUMMYFUNCTION("""COMPUTED_VALUE"""),"2023-05-03-021")</f>
        <v>2023-05-03-021</v>
      </c>
      <c r="K2419" s="164" t="str">
        <f ca="1">IFERROR(__xludf.DUMMYFUNCTION("""COMPUTED_VALUE"""),"GEORGE M. TORENTE")</f>
        <v>GEORGE M. TORENTE</v>
      </c>
      <c r="L2419" s="164" t="str">
        <f ca="1">IFERROR(__xludf.DUMMYFUNCTION("""COMPUTED_VALUE"""),"DARPO-LTID")</f>
        <v>DARPO-LTID</v>
      </c>
      <c r="M2419" s="164" t="str">
        <f ca="1">IFERROR(__xludf.DUMMYFUNCTION("""COMPUTED_VALUE"""),"SERVICEABLE")</f>
        <v>SERVICEABLE</v>
      </c>
      <c r="N2419" s="164"/>
    </row>
    <row r="2420" spans="1:14" ht="13.2" hidden="1">
      <c r="A2420" s="164" t="str">
        <f ca="1">IFERROR(__xludf.DUMMYFUNCTION("""COMPUTED_VALUE"""),"Region VI")</f>
        <v>Region VI</v>
      </c>
      <c r="B2420" s="164" t="str">
        <f ca="1">IFERROR(__xludf.DUMMYFUNCTION("""COMPUTED_VALUE"""),"ANTIQUE")</f>
        <v>ANTIQUE</v>
      </c>
      <c r="C2420" s="164" t="str">
        <f ca="1">IFERROR(__xludf.DUMMYFUNCTION("""COMPUTED_VALUE"""),"Laptop – (ACER EXTENSA EX215-55G i7)")</f>
        <v>Laptop – (ACER EXTENSA EX215-55G i7)</v>
      </c>
      <c r="D2420" s="164" t="str">
        <f ca="1">IFERROR(__xludf.DUMMYFUNCTION("""COMPUTED_VALUE"""),"₱ 59,500.00")</f>
        <v>₱ 59,500.00</v>
      </c>
      <c r="E2420" s="164"/>
      <c r="F2420" s="164" t="str">
        <f ca="1">IFERROR(__xludf.DUMMYFUNCTION("""COMPUTED_VALUE"""),"2023-05-03-10202SP120-01")</f>
        <v>2023-05-03-10202SP120-01</v>
      </c>
      <c r="G2420" s="164"/>
      <c r="H2420" s="164" t="str">
        <f ca="1">IFERROR(__xludf.DUMMYFUNCTION("""COMPUTED_VALUE"""),"DANIELLE LOUISE M. LOPEZ")</f>
        <v>DANIELLE LOUISE M. LOPEZ</v>
      </c>
      <c r="I2420" s="164" t="str">
        <f ca="1">IFERROR(__xludf.DUMMYFUNCTION("""COMPUTED_VALUE"""),"GEODETIC ENGINEER/DENR/LRA-ROD Coordinator")</f>
        <v>GEODETIC ENGINEER/DENR/LRA-ROD Coordinator</v>
      </c>
      <c r="J2420" s="164" t="str">
        <f ca="1">IFERROR(__xludf.DUMMYFUNCTION("""COMPUTED_VALUE"""),"2023-05-03-01")</f>
        <v>2023-05-03-01</v>
      </c>
      <c r="K2420" s="164" t="str">
        <f ca="1">IFERROR(__xludf.DUMMYFUNCTION("""COMPUTED_VALUE"""),"DANIELLE LOUISE M. LOPEZ")</f>
        <v>DANIELLE LOUISE M. LOPEZ</v>
      </c>
      <c r="L2420" s="164" t="str">
        <f ca="1">IFERROR(__xludf.DUMMYFUNCTION("""COMPUTED_VALUE"""),"DARPO-LTID")</f>
        <v>DARPO-LTID</v>
      </c>
      <c r="M2420" s="164" t="str">
        <f ca="1">IFERROR(__xludf.DUMMYFUNCTION("""COMPUTED_VALUE"""),"SERVICEABLE")</f>
        <v>SERVICEABLE</v>
      </c>
      <c r="N2420" s="164"/>
    </row>
    <row r="2421" spans="1:14" ht="13.2" hidden="1">
      <c r="A2421" s="164" t="str">
        <f ca="1">IFERROR(__xludf.DUMMYFUNCTION("""COMPUTED_VALUE"""),"Region VI")</f>
        <v>Region VI</v>
      </c>
      <c r="B2421" s="164" t="str">
        <f ca="1">IFERROR(__xludf.DUMMYFUNCTION("""COMPUTED_VALUE"""),"ANTIQUE")</f>
        <v>ANTIQUE</v>
      </c>
      <c r="C2421" s="164" t="str">
        <f ca="1">IFERROR(__xludf.DUMMYFUNCTION("""COMPUTED_VALUE"""),"Laptop – (ACER EXTENSA EX215-55G i7)")</f>
        <v>Laptop – (ACER EXTENSA EX215-55G i7)</v>
      </c>
      <c r="D2421" s="164" t="str">
        <f ca="1">IFERROR(__xludf.DUMMYFUNCTION("""COMPUTED_VALUE"""),"₱ 59,500.00")</f>
        <v>₱ 59,500.00</v>
      </c>
      <c r="E2421" s="164"/>
      <c r="F2421" s="164" t="str">
        <f ca="1">IFERROR(__xludf.DUMMYFUNCTION("""COMPUTED_VALUE"""),"2023-05-03-10202SP121-01")</f>
        <v>2023-05-03-10202SP121-01</v>
      </c>
      <c r="G2421" s="164"/>
      <c r="H2421" s="164" t="str">
        <f ca="1">IFERROR(__xludf.DUMMYFUNCTION("""COMPUTED_VALUE"""),"GEORGE M. TORENTE")</f>
        <v>GEORGE M. TORENTE</v>
      </c>
      <c r="I2421" s="164" t="str">
        <f ca="1">IFERROR(__xludf.DUMMYFUNCTION("""COMPUTED_VALUE"""),"OIC-CARPO-LTID/ Parcelization Component and FVT Coordinator")</f>
        <v>OIC-CARPO-LTID/ Parcelization Component and FVT Coordinator</v>
      </c>
      <c r="J2421" s="164" t="str">
        <f ca="1">IFERROR(__xludf.DUMMYFUNCTION("""COMPUTED_VALUE"""),"2023-05-03-02")</f>
        <v>2023-05-03-02</v>
      </c>
      <c r="K2421" s="164" t="str">
        <f ca="1">IFERROR(__xludf.DUMMYFUNCTION("""COMPUTED_VALUE"""),"GEORGE M. TORENTE")</f>
        <v>GEORGE M. TORENTE</v>
      </c>
      <c r="L2421" s="164" t="str">
        <f ca="1">IFERROR(__xludf.DUMMYFUNCTION("""COMPUTED_VALUE"""),"DARPO-LTID")</f>
        <v>DARPO-LTID</v>
      </c>
      <c r="M2421" s="164" t="str">
        <f ca="1">IFERROR(__xludf.DUMMYFUNCTION("""COMPUTED_VALUE"""),"SERVICEABLE")</f>
        <v>SERVICEABLE</v>
      </c>
      <c r="N2421" s="164"/>
    </row>
    <row r="2422" spans="1:14" ht="13.2" hidden="1">
      <c r="A2422" s="164" t="str">
        <f ca="1">IFERROR(__xludf.DUMMYFUNCTION("""COMPUTED_VALUE"""),"Region VI")</f>
        <v>Region VI</v>
      </c>
      <c r="B2422" s="164" t="str">
        <f ca="1">IFERROR(__xludf.DUMMYFUNCTION("""COMPUTED_VALUE"""),"ANTIQUE")</f>
        <v>ANTIQUE</v>
      </c>
      <c r="C2422" s="164" t="str">
        <f ca="1">IFERROR(__xludf.DUMMYFUNCTION("""COMPUTED_VALUE"""),"Laptop – (ACER EXTENSA EX215-55G i7)")</f>
        <v>Laptop – (ACER EXTENSA EX215-55G i7)</v>
      </c>
      <c r="D2422" s="164" t="str">
        <f ca="1">IFERROR(__xludf.DUMMYFUNCTION("""COMPUTED_VALUE"""),"₱ 59,500.00")</f>
        <v>₱ 59,500.00</v>
      </c>
      <c r="E2422" s="164"/>
      <c r="F2422" s="164" t="str">
        <f ca="1">IFERROR(__xludf.DUMMYFUNCTION("""COMPUTED_VALUE"""),"2023-05-03-10202SP122-01")</f>
        <v>2023-05-03-10202SP122-01</v>
      </c>
      <c r="G2422" s="164"/>
      <c r="H2422" s="164" t="str">
        <f ca="1">IFERROR(__xludf.DUMMYFUNCTION("""COMPUTED_VALUE"""),"ULYSSES M. VILLAFUERTE")</f>
        <v>ULYSSES M. VILLAFUERTE</v>
      </c>
      <c r="I2422" s="164" t="str">
        <f ca="1">IFERROR(__xludf.DUMMYFUNCTION("""COMPUTED_VALUE"""),"OIC CARPO-ARBDSP/CBTA for Implementers/ESS Coordinator")</f>
        <v>OIC CARPO-ARBDSP/CBTA for Implementers/ESS Coordinator</v>
      </c>
      <c r="J2422" s="164" t="str">
        <f ca="1">IFERROR(__xludf.DUMMYFUNCTION("""COMPUTED_VALUE"""),"2023-05-03-03")</f>
        <v>2023-05-03-03</v>
      </c>
      <c r="K2422" s="164" t="str">
        <f ca="1">IFERROR(__xludf.DUMMYFUNCTION("""COMPUTED_VALUE"""),"ULYSSES M. VILLAFUERTE")</f>
        <v>ULYSSES M. VILLAFUERTE</v>
      </c>
      <c r="L2422" s="164" t="str">
        <f ca="1">IFERROR(__xludf.DUMMYFUNCTION("""COMPUTED_VALUE"""),"DARPO-ARBDSP")</f>
        <v>DARPO-ARBDSP</v>
      </c>
      <c r="M2422" s="164" t="str">
        <f ca="1">IFERROR(__xludf.DUMMYFUNCTION("""COMPUTED_VALUE"""),"SERVICEABLE")</f>
        <v>SERVICEABLE</v>
      </c>
      <c r="N2422" s="164"/>
    </row>
    <row r="2423" spans="1:14" ht="13.2" hidden="1">
      <c r="A2423" s="164" t="str">
        <f ca="1">IFERROR(__xludf.DUMMYFUNCTION("""COMPUTED_VALUE"""),"Region VI")</f>
        <v>Region VI</v>
      </c>
      <c r="B2423" s="164" t="str">
        <f ca="1">IFERROR(__xludf.DUMMYFUNCTION("""COMPUTED_VALUE"""),"ANTIQUE")</f>
        <v>ANTIQUE</v>
      </c>
      <c r="C2423" s="164" t="str">
        <f ca="1">IFERROR(__xludf.DUMMYFUNCTION("""COMPUTED_VALUE"""),"Laptop – (ACER EXTENSA EX215-55G i7)")</f>
        <v>Laptop – (ACER EXTENSA EX215-55G i7)</v>
      </c>
      <c r="D2423" s="164" t="str">
        <f ca="1">IFERROR(__xludf.DUMMYFUNCTION("""COMPUTED_VALUE"""),"₱ 59,500.00")</f>
        <v>₱ 59,500.00</v>
      </c>
      <c r="E2423" s="164"/>
      <c r="F2423" s="164" t="str">
        <f ca="1">IFERROR(__xludf.DUMMYFUNCTION("""COMPUTED_VALUE"""),"2023-05-03-10202SP123-01")</f>
        <v>2023-05-03-10202SP123-01</v>
      </c>
      <c r="G2423" s="164"/>
      <c r="H2423" s="164" t="str">
        <f ca="1">IFERROR(__xludf.DUMMYFUNCTION("""COMPUTED_VALUE"""),"ANGELO C. FEBRERO")</f>
        <v>ANGELO C. FEBRERO</v>
      </c>
      <c r="I2423" s="164" t="str">
        <f ca="1">IFERROR(__xludf.DUMMYFUNCTION("""COMPUTED_VALUE"""),"PLANNING OFFICER II/ M &amp; E COORDINATOR")</f>
        <v>PLANNING OFFICER II/ M &amp; E COORDINATOR</v>
      </c>
      <c r="J2423" s="164" t="str">
        <f ca="1">IFERROR(__xludf.DUMMYFUNCTION("""COMPUTED_VALUE"""),"2023-05-03-04")</f>
        <v>2023-05-03-04</v>
      </c>
      <c r="K2423" s="164" t="str">
        <f ca="1">IFERROR(__xludf.DUMMYFUNCTION("""COMPUTED_VALUE"""),"ANGELO C. FEBRERO")</f>
        <v>ANGELO C. FEBRERO</v>
      </c>
      <c r="L2423" s="164" t="str">
        <f ca="1">IFERROR(__xludf.DUMMYFUNCTION("""COMPUTED_VALUE"""),"DARPO-STOD")</f>
        <v>DARPO-STOD</v>
      </c>
      <c r="M2423" s="164" t="str">
        <f ca="1">IFERROR(__xludf.DUMMYFUNCTION("""COMPUTED_VALUE"""),"SERVICEABLE")</f>
        <v>SERVICEABLE</v>
      </c>
      <c r="N2423" s="164"/>
    </row>
    <row r="2424" spans="1:14" ht="13.2" hidden="1">
      <c r="A2424" s="164" t="str">
        <f ca="1">IFERROR(__xludf.DUMMYFUNCTION("""COMPUTED_VALUE"""),"Region VI")</f>
        <v>Region VI</v>
      </c>
      <c r="B2424" s="164" t="str">
        <f ca="1">IFERROR(__xludf.DUMMYFUNCTION("""COMPUTED_VALUE"""),"ANTIQUE")</f>
        <v>ANTIQUE</v>
      </c>
      <c r="C2424" s="164" t="str">
        <f ca="1">IFERROR(__xludf.DUMMYFUNCTION("""COMPUTED_VALUE"""),"Photocopier Machine – Kyocera")</f>
        <v>Photocopier Machine – Kyocera</v>
      </c>
      <c r="D2424" s="164" t="str">
        <f ca="1">IFERROR(__xludf.DUMMYFUNCTION("""COMPUTED_VALUE"""),"₱ 84,500.00")</f>
        <v>₱ 84,500.00</v>
      </c>
      <c r="E2424" s="164"/>
      <c r="F2424" s="164" t="str">
        <f ca="1">IFERROR(__xludf.DUMMYFUNCTION("""COMPUTED_VALUE"""),"2022-05-02-10202SP50-01")</f>
        <v>2022-05-02-10202SP50-01</v>
      </c>
      <c r="G2424" s="164" t="str">
        <f ca="1">IFERROR(__xludf.DUMMYFUNCTION("""COMPUTED_VALUE"""),"RNK2700200")</f>
        <v>RNK2700200</v>
      </c>
      <c r="H2424" s="164" t="str">
        <f ca="1">IFERROR(__xludf.DUMMYFUNCTION("""COMPUTED_VALUE"""),"GEORGE M. TORENTE")</f>
        <v>GEORGE M. TORENTE</v>
      </c>
      <c r="I2424" s="164" t="str">
        <f ca="1">IFERROR(__xludf.DUMMYFUNCTION("""COMPUTED_VALUE"""),"OIC-CARPO-LTID/ Parcelization Component and FVT Coordinator")</f>
        <v>OIC-CARPO-LTID/ Parcelization Component and FVT Coordinator</v>
      </c>
      <c r="J2424" s="164" t="str">
        <f ca="1">IFERROR(__xludf.DUMMYFUNCTION("""COMPUTED_VALUE"""),"2022-05-02-001")</f>
        <v>2022-05-02-001</v>
      </c>
      <c r="K2424" s="164" t="str">
        <f ca="1">IFERROR(__xludf.DUMMYFUNCTION("""COMPUTED_VALUE"""),"George M. Torente")</f>
        <v>George M. Torente</v>
      </c>
      <c r="L2424" s="164" t="str">
        <f ca="1">IFERROR(__xludf.DUMMYFUNCTION("""COMPUTED_VALUE"""),"DARPO-LTID")</f>
        <v>DARPO-LTID</v>
      </c>
      <c r="M2424" s="164" t="str">
        <f ca="1">IFERROR(__xludf.DUMMYFUNCTION("""COMPUTED_VALUE"""),"SERVICEABLE")</f>
        <v>SERVICEABLE</v>
      </c>
      <c r="N2424" s="164"/>
    </row>
    <row r="2425" spans="1:14" ht="13.2" hidden="1">
      <c r="A2425" s="164" t="str">
        <f ca="1">IFERROR(__xludf.DUMMYFUNCTION("""COMPUTED_VALUE"""),"Region VI")</f>
        <v>Region VI</v>
      </c>
      <c r="B2425" s="164" t="str">
        <f ca="1">IFERROR(__xludf.DUMMYFUNCTION("""COMPUTED_VALUE"""),"ANTIQUE")</f>
        <v>ANTIQUE</v>
      </c>
      <c r="C2425" s="164" t="str">
        <f ca="1">IFERROR(__xludf.DUMMYFUNCTION("""COMPUTED_VALUE"""),"Photocopier Machine – Kyocera")</f>
        <v>Photocopier Machine – Kyocera</v>
      </c>
      <c r="D2425" s="164" t="str">
        <f ca="1">IFERROR(__xludf.DUMMYFUNCTION("""COMPUTED_VALUE"""),"₱ 84,500.00")</f>
        <v>₱ 84,500.00</v>
      </c>
      <c r="E2425" s="164"/>
      <c r="F2425" s="164" t="str">
        <f ca="1">IFERROR(__xludf.DUMMYFUNCTION("""COMPUTED_VALUE"""),"2022-05-02-10202SP49-01")</f>
        <v>2022-05-02-10202SP49-01</v>
      </c>
      <c r="G2425" s="164"/>
      <c r="H2425" s="164" t="str">
        <f ca="1">IFERROR(__xludf.DUMMYFUNCTION("""COMPUTED_VALUE"""),"GEORGE M. TORENTE")</f>
        <v>GEORGE M. TORENTE</v>
      </c>
      <c r="I2425" s="164" t="str">
        <f ca="1">IFERROR(__xludf.DUMMYFUNCTION("""COMPUTED_VALUE"""),"OIC-CARPO-LTID/ Parcelization Component and FVT Coordinator")</f>
        <v>OIC-CARPO-LTID/ Parcelization Component and FVT Coordinator</v>
      </c>
      <c r="J2425" s="164" t="str">
        <f ca="1">IFERROR(__xludf.DUMMYFUNCTION("""COMPUTED_VALUE"""),"2023-05-14-01")</f>
        <v>2023-05-14-01</v>
      </c>
      <c r="K2425" s="164" t="str">
        <f ca="1">IFERROR(__xludf.DUMMYFUNCTION("""COMPUTED_VALUE"""),"GEORGE M. TORENTE")</f>
        <v>GEORGE M. TORENTE</v>
      </c>
      <c r="L2425" s="164" t="str">
        <f ca="1">IFERROR(__xludf.DUMMYFUNCTION("""COMPUTED_VALUE"""),"DARPO-LTID")</f>
        <v>DARPO-LTID</v>
      </c>
      <c r="M2425" s="164" t="str">
        <f ca="1">IFERROR(__xludf.DUMMYFUNCTION("""COMPUTED_VALUE"""),"SERVICEABLE")</f>
        <v>SERVICEABLE</v>
      </c>
      <c r="N2425" s="164" t="str">
        <f ca="1">IFERROR(__xludf.DUMMYFUNCTION("""COMPUTED_VALUE"""),"REG 8 NAPUNTA")</f>
        <v>REG 8 NAPUNTA</v>
      </c>
    </row>
    <row r="2426" spans="1:14" ht="13.2" hidden="1">
      <c r="A2426" s="164" t="str">
        <f ca="1">IFERROR(__xludf.DUMMYFUNCTION("""COMPUTED_VALUE"""),"Region VI")</f>
        <v>Region VI</v>
      </c>
      <c r="B2426" s="164" t="str">
        <f ca="1">IFERROR(__xludf.DUMMYFUNCTION("""COMPUTED_VALUE"""),"ANTIQUE")</f>
        <v>ANTIQUE</v>
      </c>
      <c r="C2426" s="164" t="str">
        <f ca="1">IFERROR(__xludf.DUMMYFUNCTION("""COMPUTED_VALUE"""),"A3 PRINTER (BROTHER)")</f>
        <v>A3 PRINTER (BROTHER)</v>
      </c>
      <c r="D2426" s="164" t="str">
        <f ca="1">IFERROR(__xludf.DUMMYFUNCTION("""COMPUTED_VALUE"""),"₱ 33,508.00")</f>
        <v>₱ 33,508.00</v>
      </c>
      <c r="E2426" s="164"/>
      <c r="F2426" s="164" t="str">
        <f ca="1">IFERROR(__xludf.DUMMYFUNCTION("""COMPUTED_VALUE"""),"HV-SPLIT-102-24-05-096")</f>
        <v>HV-SPLIT-102-24-05-096</v>
      </c>
      <c r="G2426" s="164"/>
      <c r="H2426" s="164" t="str">
        <f ca="1">IFERROR(__xludf.DUMMYFUNCTION("""COMPUTED_VALUE"""),"ATTY SHEILA B. ENCISO")</f>
        <v>ATTY SHEILA B. ENCISO</v>
      </c>
      <c r="I2426" s="164" t="str">
        <f ca="1">IFERROR(__xludf.DUMMYFUNCTION("""COMPUTED_VALUE"""),"Regional Director")</f>
        <v>Regional Director</v>
      </c>
      <c r="J2426" s="164" t="str">
        <f ca="1">IFERROR(__xludf.DUMMYFUNCTION("""COMPUTED_VALUE"""),"2024-03-007")</f>
        <v>2024-03-007</v>
      </c>
      <c r="K2426" s="164"/>
      <c r="L2426" s="164" t="str">
        <f ca="1">IFERROR(__xludf.DUMMYFUNCTION("""COMPUTED_VALUE"""),"DARPO ANTIQUE")</f>
        <v>DARPO ANTIQUE</v>
      </c>
      <c r="M2426" s="164" t="str">
        <f ca="1">IFERROR(__xludf.DUMMYFUNCTION("""COMPUTED_VALUE"""),"SERVICEABLE")</f>
        <v>SERVICEABLE</v>
      </c>
      <c r="N2426" s="164"/>
    </row>
    <row r="2427" spans="1:14" ht="13.2" hidden="1">
      <c r="A2427" s="164" t="str">
        <f ca="1">IFERROR(__xludf.DUMMYFUNCTION("""COMPUTED_VALUE"""),"Region VI")</f>
        <v>Region VI</v>
      </c>
      <c r="B2427" s="164" t="str">
        <f ca="1">IFERROR(__xludf.DUMMYFUNCTION("""COMPUTED_VALUE"""),"AKLAN")</f>
        <v>AKLAN</v>
      </c>
      <c r="C2427" s="164" t="str">
        <f ca="1">IFERROR(__xludf.DUMMYFUNCTION("""COMPUTED_VALUE"""),"Photocopier Machine – Kyocera")</f>
        <v>Photocopier Machine – Kyocera</v>
      </c>
      <c r="D2427" s="164" t="str">
        <f ca="1">IFERROR(__xludf.DUMMYFUNCTION("""COMPUTED_VALUE"""),"₱ 84,500.00")</f>
        <v>₱ 84,500.00</v>
      </c>
      <c r="E2427" s="164"/>
      <c r="F2427" s="164" t="str">
        <f ca="1">IFERROR(__xludf.DUMMYFUNCTION("""COMPUTED_VALUE"""),"2022-05-02-10202SP46-01")</f>
        <v>2022-05-02-10202SP46-01</v>
      </c>
      <c r="G2427" s="164" t="str">
        <f ca="1">IFERROR(__xludf.DUMMYFUNCTION("""COMPUTED_VALUE"""),"RNK2700180")</f>
        <v>RNK2700180</v>
      </c>
      <c r="H2427" s="164" t="str">
        <f ca="1">IFERROR(__xludf.DUMMYFUNCTION("""COMPUTED_VALUE"""),"Marissa O. Mendoza")</f>
        <v>Marissa O. Mendoza</v>
      </c>
      <c r="I2427" s="164" t="str">
        <f ca="1">IFERROR(__xludf.DUMMYFUNCTION("""COMPUTED_VALUE"""),"CAO")</f>
        <v>CAO</v>
      </c>
      <c r="J2427" s="164" t="str">
        <f ca="1">IFERROR(__xludf.DUMMYFUNCTION("""COMPUTED_VALUE"""),"S-2022-10-001")</f>
        <v>S-2022-10-001</v>
      </c>
      <c r="K2427" s="164" t="str">
        <f ca="1">IFERROR(__xludf.DUMMYFUNCTION("""COMPUTED_VALUE"""),"Marissa O. Mendoza")</f>
        <v>Marissa O. Mendoza</v>
      </c>
      <c r="L2427" s="164" t="str">
        <f ca="1">IFERROR(__xludf.DUMMYFUNCTION("""COMPUTED_VALUE"""),"STOD")</f>
        <v>STOD</v>
      </c>
      <c r="M2427" s="164" t="str">
        <f ca="1">IFERROR(__xludf.DUMMYFUNCTION("""COMPUTED_VALUE"""),"SERVICEABLE")</f>
        <v>SERVICEABLE</v>
      </c>
      <c r="N2427" s="164"/>
    </row>
    <row r="2428" spans="1:14" ht="13.2" hidden="1">
      <c r="A2428" s="164" t="str">
        <f ca="1">IFERROR(__xludf.DUMMYFUNCTION("""COMPUTED_VALUE"""),"Region VI")</f>
        <v>Region VI</v>
      </c>
      <c r="B2428" s="164" t="str">
        <f ca="1">IFERROR(__xludf.DUMMYFUNCTION("""COMPUTED_VALUE"""),"AKLAN")</f>
        <v>AKLAN</v>
      </c>
      <c r="C2428" s="164" t="str">
        <f ca="1">IFERROR(__xludf.DUMMYFUNCTION("""COMPUTED_VALUE"""),"Desktop Computer – (Lenovo M70T)")</f>
        <v>Desktop Computer – (Lenovo M70T)</v>
      </c>
      <c r="D2428" s="164" t="str">
        <f ca="1">IFERROR(__xludf.DUMMYFUNCTION("""COMPUTED_VALUE"""),"₱ 75,468.00")</f>
        <v>₱ 75,468.00</v>
      </c>
      <c r="E2428" s="164"/>
      <c r="F2428" s="164" t="str">
        <f ca="1">IFERROR(__xludf.DUMMYFUNCTION("""COMPUTED_VALUE"""),"2023-05-03-10201SP1138-01")</f>
        <v>2023-05-03-10201SP1138-01</v>
      </c>
      <c r="G2428" s="164"/>
      <c r="H2428" s="164" t="str">
        <f ca="1">IFERROR(__xludf.DUMMYFUNCTION("""COMPUTED_VALUE"""),"John V. Bustamante")</f>
        <v>John V. Bustamante</v>
      </c>
      <c r="I2428" s="164" t="str">
        <f ca="1">IFERROR(__xludf.DUMMYFUNCTION("""COMPUTED_VALUE"""),"MARPO")</f>
        <v>MARPO</v>
      </c>
      <c r="J2428" s="164" t="str">
        <f ca="1">IFERROR(__xludf.DUMMYFUNCTION("""COMPUTED_VALUE"""),"S-2023-05-001a")</f>
        <v>S-2023-05-001a</v>
      </c>
      <c r="K2428" s="164" t="str">
        <f ca="1">IFERROR(__xludf.DUMMYFUNCTION("""COMPUTED_VALUE"""),"John V. Bustamante")</f>
        <v>John V. Bustamante</v>
      </c>
      <c r="L2428" s="164" t="str">
        <f ca="1">IFERROR(__xludf.DUMMYFUNCTION("""COMPUTED_VALUE"""),"DARMO C-4")</f>
        <v>DARMO C-4</v>
      </c>
      <c r="M2428" s="164" t="str">
        <f ca="1">IFERROR(__xludf.DUMMYFUNCTION("""COMPUTED_VALUE"""),"SERVICEABLE")</f>
        <v>SERVICEABLE</v>
      </c>
      <c r="N2428" s="164"/>
    </row>
    <row r="2429" spans="1:14" ht="13.2" hidden="1">
      <c r="A2429" s="164" t="str">
        <f ca="1">IFERROR(__xludf.DUMMYFUNCTION("""COMPUTED_VALUE"""),"Region VI")</f>
        <v>Region VI</v>
      </c>
      <c r="B2429" s="164" t="str">
        <f ca="1">IFERROR(__xludf.DUMMYFUNCTION("""COMPUTED_VALUE"""),"AKLAN")</f>
        <v>AKLAN</v>
      </c>
      <c r="C2429" s="164" t="str">
        <f ca="1">IFERROR(__xludf.DUMMYFUNCTION("""COMPUTED_VALUE"""),"Desktop Computer – (Lenovo M70T)")</f>
        <v>Desktop Computer – (Lenovo M70T)</v>
      </c>
      <c r="D2429" s="164" t="str">
        <f ca="1">IFERROR(__xludf.DUMMYFUNCTION("""COMPUTED_VALUE"""),"₱ 75,468.00")</f>
        <v>₱ 75,468.00</v>
      </c>
      <c r="E2429" s="164"/>
      <c r="F2429" s="164" t="str">
        <f ca="1">IFERROR(__xludf.DUMMYFUNCTION("""COMPUTED_VALUE"""),"2023-05-03-10201SP1137-01")</f>
        <v>2023-05-03-10201SP1137-01</v>
      </c>
      <c r="G2429" s="164"/>
      <c r="H2429" s="164" t="str">
        <f ca="1">IFERROR(__xludf.DUMMYFUNCTION("""COMPUTED_VALUE"""),"Jocel P. Pastrana")</f>
        <v>Jocel P. Pastrana</v>
      </c>
      <c r="I2429" s="164" t="str">
        <f ca="1">IFERROR(__xludf.DUMMYFUNCTION("""COMPUTED_VALUE"""),"MARPO")</f>
        <v>MARPO</v>
      </c>
      <c r="J2429" s="164" t="str">
        <f ca="1">IFERROR(__xludf.DUMMYFUNCTION("""COMPUTED_VALUE"""),"S-2023-05-001b")</f>
        <v>S-2023-05-001b</v>
      </c>
      <c r="K2429" s="164" t="str">
        <f ca="1">IFERROR(__xludf.DUMMYFUNCTION("""COMPUTED_VALUE"""),"Jocel P. Pastrana")</f>
        <v>Jocel P. Pastrana</v>
      </c>
      <c r="L2429" s="164" t="str">
        <f ca="1">IFERROR(__xludf.DUMMYFUNCTION("""COMPUTED_VALUE"""),"DARMO C-3")</f>
        <v>DARMO C-3</v>
      </c>
      <c r="M2429" s="164" t="str">
        <f ca="1">IFERROR(__xludf.DUMMYFUNCTION("""COMPUTED_VALUE"""),"SERVICEABLE")</f>
        <v>SERVICEABLE</v>
      </c>
      <c r="N2429" s="164"/>
    </row>
    <row r="2430" spans="1:14" ht="13.2" hidden="1">
      <c r="A2430" s="164" t="str">
        <f ca="1">IFERROR(__xludf.DUMMYFUNCTION("""COMPUTED_VALUE"""),"Region VI")</f>
        <v>Region VI</v>
      </c>
      <c r="B2430" s="164" t="str">
        <f ca="1">IFERROR(__xludf.DUMMYFUNCTION("""COMPUTED_VALUE"""),"AKLAN")</f>
        <v>AKLAN</v>
      </c>
      <c r="C2430" s="164" t="str">
        <f ca="1">IFERROR(__xludf.DUMMYFUNCTION("""COMPUTED_VALUE"""),"Desktop Computer – (Lenovo M70T)")</f>
        <v>Desktop Computer – (Lenovo M70T)</v>
      </c>
      <c r="D2430" s="164" t="str">
        <f ca="1">IFERROR(__xludf.DUMMYFUNCTION("""COMPUTED_VALUE"""),"₱ 75,468.00")</f>
        <v>₱ 75,468.00</v>
      </c>
      <c r="E2430" s="164"/>
      <c r="F2430" s="164" t="str">
        <f ca="1">IFERROR(__xludf.DUMMYFUNCTION("""COMPUTED_VALUE"""),"2023-05-03-10201SP1136-01")</f>
        <v>2023-05-03-10201SP1136-01</v>
      </c>
      <c r="G2430" s="164"/>
      <c r="H2430" s="164" t="str">
        <f ca="1">IFERROR(__xludf.DUMMYFUNCTION("""COMPUTED_VALUE"""),"Lourdes Socorro C. Pongyan")</f>
        <v>Lourdes Socorro C. Pongyan</v>
      </c>
      <c r="I2430" s="164" t="str">
        <f ca="1">IFERROR(__xludf.DUMMYFUNCTION("""COMPUTED_VALUE"""),"MARPO")</f>
        <v>MARPO</v>
      </c>
      <c r="J2430" s="164" t="str">
        <f ca="1">IFERROR(__xludf.DUMMYFUNCTION("""COMPUTED_VALUE"""),"S-2023-05-001c")</f>
        <v>S-2023-05-001c</v>
      </c>
      <c r="K2430" s="164" t="str">
        <f ca="1">IFERROR(__xludf.DUMMYFUNCTION("""COMPUTED_VALUE"""),"Lourdes Socorro C. Pongyan")</f>
        <v>Lourdes Socorro C. Pongyan</v>
      </c>
      <c r="L2430" s="164" t="str">
        <f ca="1">IFERROR(__xludf.DUMMYFUNCTION("""COMPUTED_VALUE"""),"DARMO C-2")</f>
        <v>DARMO C-2</v>
      </c>
      <c r="M2430" s="164" t="str">
        <f ca="1">IFERROR(__xludf.DUMMYFUNCTION("""COMPUTED_VALUE"""),"SERVICEABLE")</f>
        <v>SERVICEABLE</v>
      </c>
      <c r="N2430" s="164"/>
    </row>
    <row r="2431" spans="1:14" ht="13.2" hidden="1">
      <c r="A2431" s="164" t="str">
        <f ca="1">IFERROR(__xludf.DUMMYFUNCTION("""COMPUTED_VALUE"""),"Region VI")</f>
        <v>Region VI</v>
      </c>
      <c r="B2431" s="164" t="str">
        <f ca="1">IFERROR(__xludf.DUMMYFUNCTION("""COMPUTED_VALUE"""),"AKLAN")</f>
        <v>AKLAN</v>
      </c>
      <c r="C2431" s="164" t="str">
        <f ca="1">IFERROR(__xludf.DUMMYFUNCTION("""COMPUTED_VALUE"""),"Desktop Computer – (Lenovo M70T)")</f>
        <v>Desktop Computer – (Lenovo M70T)</v>
      </c>
      <c r="D2431" s="164" t="str">
        <f ca="1">IFERROR(__xludf.DUMMYFUNCTION("""COMPUTED_VALUE"""),"₱ 75,468.00")</f>
        <v>₱ 75,468.00</v>
      </c>
      <c r="E2431" s="164"/>
      <c r="F2431" s="164" t="str">
        <f ca="1">IFERROR(__xludf.DUMMYFUNCTION("""COMPUTED_VALUE"""),"2023-05-03-10201SP1135-01")</f>
        <v>2023-05-03-10201SP1135-01</v>
      </c>
      <c r="G2431" s="164"/>
      <c r="H2431" s="164" t="str">
        <f ca="1">IFERROR(__xludf.DUMMYFUNCTION("""COMPUTED_VALUE"""),"Helen D. Tilano")</f>
        <v>Helen D. Tilano</v>
      </c>
      <c r="I2431" s="164" t="str">
        <f ca="1">IFERROR(__xludf.DUMMYFUNCTION("""COMPUTED_VALUE"""),"ARPO II")</f>
        <v>ARPO II</v>
      </c>
      <c r="J2431" s="164" t="str">
        <f ca="1">IFERROR(__xludf.DUMMYFUNCTION("""COMPUTED_VALUE"""),"S-2023-05-001d")</f>
        <v>S-2023-05-001d</v>
      </c>
      <c r="K2431" s="164" t="str">
        <f ca="1">IFERROR(__xludf.DUMMYFUNCTION("""COMPUTED_VALUE"""),"Helen D. Tilano")</f>
        <v>Helen D. Tilano</v>
      </c>
      <c r="L2431" s="164" t="str">
        <f ca="1">IFERROR(__xludf.DUMMYFUNCTION("""COMPUTED_VALUE"""),"LTID")</f>
        <v>LTID</v>
      </c>
      <c r="M2431" s="164" t="str">
        <f ca="1">IFERROR(__xludf.DUMMYFUNCTION("""COMPUTED_VALUE"""),"SERVICEABLE")</f>
        <v>SERVICEABLE</v>
      </c>
      <c r="N2431" s="164"/>
    </row>
    <row r="2432" spans="1:14" ht="13.2" hidden="1">
      <c r="A2432" s="164" t="str">
        <f ca="1">IFERROR(__xludf.DUMMYFUNCTION("""COMPUTED_VALUE"""),"Region VI")</f>
        <v>Region VI</v>
      </c>
      <c r="B2432" s="164" t="str">
        <f ca="1">IFERROR(__xludf.DUMMYFUNCTION("""COMPUTED_VALUE"""),"AKLAN")</f>
        <v>AKLAN</v>
      </c>
      <c r="C2432" s="164" t="str">
        <f ca="1">IFERROR(__xludf.DUMMYFUNCTION("""COMPUTED_VALUE"""),"Desktop Computer – (Lenovo M70T)")</f>
        <v>Desktop Computer – (Lenovo M70T)</v>
      </c>
      <c r="D2432" s="164" t="str">
        <f ca="1">IFERROR(__xludf.DUMMYFUNCTION("""COMPUTED_VALUE"""),"₱ 75,468.00")</f>
        <v>₱ 75,468.00</v>
      </c>
      <c r="E2432" s="164"/>
      <c r="F2432" s="164" t="str">
        <f ca="1">IFERROR(__xludf.DUMMYFUNCTION("""COMPUTED_VALUE"""),"2023-05-03-10201SP1134-01")</f>
        <v>2023-05-03-10201SP1134-01</v>
      </c>
      <c r="G2432" s="164"/>
      <c r="H2432" s="164" t="str">
        <f ca="1">IFERROR(__xludf.DUMMYFUNCTION("""COMPUTED_VALUE"""),"Jesus Infante L. Ycay")</f>
        <v>Jesus Infante L. Ycay</v>
      </c>
      <c r="I2432" s="164" t="str">
        <f ca="1">IFERROR(__xludf.DUMMYFUNCTION("""COMPUTED_VALUE"""),"MARPO")</f>
        <v>MARPO</v>
      </c>
      <c r="J2432" s="164" t="str">
        <f ca="1">IFERROR(__xludf.DUMMYFUNCTION("""COMPUTED_VALUE"""),"S-2023-05-001e")</f>
        <v>S-2023-05-001e</v>
      </c>
      <c r="K2432" s="164" t="str">
        <f ca="1">IFERROR(__xludf.DUMMYFUNCTION("""COMPUTED_VALUE"""),"Jesus Infante L. Ycay")</f>
        <v>Jesus Infante L. Ycay</v>
      </c>
      <c r="L2432" s="164" t="str">
        <f ca="1">IFERROR(__xludf.DUMMYFUNCTION("""COMPUTED_VALUE"""),"DARMO C-1")</f>
        <v>DARMO C-1</v>
      </c>
      <c r="M2432" s="164" t="str">
        <f ca="1">IFERROR(__xludf.DUMMYFUNCTION("""COMPUTED_VALUE"""),"SERVICEABLE")</f>
        <v>SERVICEABLE</v>
      </c>
      <c r="N2432" s="164"/>
    </row>
    <row r="2433" spans="1:14" ht="13.2" hidden="1">
      <c r="A2433" s="164" t="str">
        <f ca="1">IFERROR(__xludf.DUMMYFUNCTION("""COMPUTED_VALUE"""),"Region VI")</f>
        <v>Region VI</v>
      </c>
      <c r="B2433" s="164" t="str">
        <f ca="1">IFERROR(__xludf.DUMMYFUNCTION("""COMPUTED_VALUE"""),"AKLAN")</f>
        <v>AKLAN</v>
      </c>
      <c r="C2433" s="164" t="str">
        <f ca="1">IFERROR(__xludf.DUMMYFUNCTION("""COMPUTED_VALUE"""),"Desktop Computer – (Lenovo M70T)")</f>
        <v>Desktop Computer – (Lenovo M70T)</v>
      </c>
      <c r="D2433" s="164" t="str">
        <f ca="1">IFERROR(__xludf.DUMMYFUNCTION("""COMPUTED_VALUE"""),"₱ 75,468.00")</f>
        <v>₱ 75,468.00</v>
      </c>
      <c r="E2433" s="164"/>
      <c r="F2433" s="164" t="str">
        <f ca="1">IFERROR(__xludf.DUMMYFUNCTION("""COMPUTED_VALUE"""),"2023-05-03-10201SP1133-01")</f>
        <v>2023-05-03-10201SP1133-01</v>
      </c>
      <c r="G2433" s="164"/>
      <c r="H2433" s="164" t="str">
        <f ca="1">IFERROR(__xludf.DUMMYFUNCTION("""COMPUTED_VALUE"""),"Analyn N. Miral")</f>
        <v>Analyn N. Miral</v>
      </c>
      <c r="I2433" s="164" t="str">
        <f ca="1">IFERROR(__xludf.DUMMYFUNCTION("""COMPUTED_VALUE"""),"AO IV")</f>
        <v>AO IV</v>
      </c>
      <c r="J2433" s="164" t="str">
        <f ca="1">IFERROR(__xludf.DUMMYFUNCTION("""COMPUTED_VALUE"""),"S-2023-05-001f")</f>
        <v>S-2023-05-001f</v>
      </c>
      <c r="K2433" s="164" t="str">
        <f ca="1">IFERROR(__xludf.DUMMYFUNCTION("""COMPUTED_VALUE"""),"Analyn N. Miral")</f>
        <v>Analyn N. Miral</v>
      </c>
      <c r="L2433" s="164" t="str">
        <f ca="1">IFERROR(__xludf.DUMMYFUNCTION("""COMPUTED_VALUE"""),"STOD")</f>
        <v>STOD</v>
      </c>
      <c r="M2433" s="164" t="str">
        <f ca="1">IFERROR(__xludf.DUMMYFUNCTION("""COMPUTED_VALUE"""),"SERVICEABLE")</f>
        <v>SERVICEABLE</v>
      </c>
      <c r="N2433" s="164"/>
    </row>
    <row r="2434" spans="1:14" ht="13.2" hidden="1">
      <c r="A2434" s="164" t="str">
        <f ca="1">IFERROR(__xludf.DUMMYFUNCTION("""COMPUTED_VALUE"""),"Region VI")</f>
        <v>Region VI</v>
      </c>
      <c r="B2434" s="164" t="str">
        <f ca="1">IFERROR(__xludf.DUMMYFUNCTION("""COMPUTED_VALUE"""),"AKLAN")</f>
        <v>AKLAN</v>
      </c>
      <c r="C2434" s="164" t="str">
        <f ca="1">IFERROR(__xludf.DUMMYFUNCTION("""COMPUTED_VALUE"""),"Desktop Computer – (Lenovo M70T)")</f>
        <v>Desktop Computer – (Lenovo M70T)</v>
      </c>
      <c r="D2434" s="164" t="str">
        <f ca="1">IFERROR(__xludf.DUMMYFUNCTION("""COMPUTED_VALUE"""),"₱ 75,468.00")</f>
        <v>₱ 75,468.00</v>
      </c>
      <c r="E2434" s="164"/>
      <c r="F2434" s="164" t="str">
        <f ca="1">IFERROR(__xludf.DUMMYFUNCTION("""COMPUTED_VALUE"""),"2023-05-03-10201SP1132-01")</f>
        <v>2023-05-03-10201SP1132-01</v>
      </c>
      <c r="G2434" s="164"/>
      <c r="H2434" s="164" t="str">
        <f ca="1">IFERROR(__xludf.DUMMYFUNCTION("""COMPUTED_VALUE"""),"Mary Ann R. Barrera")</f>
        <v>Mary Ann R. Barrera</v>
      </c>
      <c r="I2434" s="164" t="str">
        <f ca="1">IFERROR(__xludf.DUMMYFUNCTION("""COMPUTED_VALUE"""),"SARPO")</f>
        <v>SARPO</v>
      </c>
      <c r="J2434" s="164" t="str">
        <f ca="1">IFERROR(__xludf.DUMMYFUNCTION("""COMPUTED_VALUE"""),"S-2023-05-001g")</f>
        <v>S-2023-05-001g</v>
      </c>
      <c r="K2434" s="164" t="str">
        <f ca="1">IFERROR(__xludf.DUMMYFUNCTION("""COMPUTED_VALUE"""),"Mary Ann R. Barrera")</f>
        <v>Mary Ann R. Barrera</v>
      </c>
      <c r="L2434" s="164" t="str">
        <f ca="1">IFERROR(__xludf.DUMMYFUNCTION("""COMPUTED_VALUE"""),"LTID")</f>
        <v>LTID</v>
      </c>
      <c r="M2434" s="164" t="str">
        <f ca="1">IFERROR(__xludf.DUMMYFUNCTION("""COMPUTED_VALUE"""),"SERVICEABLE")</f>
        <v>SERVICEABLE</v>
      </c>
      <c r="N2434" s="164"/>
    </row>
    <row r="2435" spans="1:14" ht="13.2" hidden="1">
      <c r="A2435" s="164" t="str">
        <f ca="1">IFERROR(__xludf.DUMMYFUNCTION("""COMPUTED_VALUE"""),"Region VI")</f>
        <v>Region VI</v>
      </c>
      <c r="B2435" s="164" t="str">
        <f ca="1">IFERROR(__xludf.DUMMYFUNCTION("""COMPUTED_VALUE"""),"AKLAN")</f>
        <v>AKLAN</v>
      </c>
      <c r="C2435" s="164" t="str">
        <f ca="1">IFERROR(__xludf.DUMMYFUNCTION("""COMPUTED_VALUE"""),"Desktop Computer – (Lenovo M70T)")</f>
        <v>Desktop Computer – (Lenovo M70T)</v>
      </c>
      <c r="D2435" s="164" t="str">
        <f ca="1">IFERROR(__xludf.DUMMYFUNCTION("""COMPUTED_VALUE"""),"₱ 75,468.00")</f>
        <v>₱ 75,468.00</v>
      </c>
      <c r="E2435" s="164"/>
      <c r="F2435" s="164" t="str">
        <f ca="1">IFERROR(__xludf.DUMMYFUNCTION("""COMPUTED_VALUE"""),"2023-05-03-10201SP1131-01")</f>
        <v>2023-05-03-10201SP1131-01</v>
      </c>
      <c r="G2435" s="164"/>
      <c r="H2435" s="164" t="str">
        <f ca="1">IFERROR(__xludf.DUMMYFUNCTION("""COMPUTED_VALUE"""),"Atty. Jose Rowell C. Declaro")</f>
        <v>Atty. Jose Rowell C. Declaro</v>
      </c>
      <c r="I2435" s="164" t="str">
        <f ca="1">IFERROR(__xludf.DUMMYFUNCTION("""COMPUTED_VALUE"""),"ATTY. V/CHIEF")</f>
        <v>ATTY. V/CHIEF</v>
      </c>
      <c r="J2435" s="164" t="str">
        <f ca="1">IFERROR(__xludf.DUMMYFUNCTION("""COMPUTED_VALUE"""),"S-2023-05-001h")</f>
        <v>S-2023-05-001h</v>
      </c>
      <c r="K2435" s="164" t="str">
        <f ca="1">IFERROR(__xludf.DUMMYFUNCTION("""COMPUTED_VALUE"""),"Atty. Jose Rowell C. Declaro")</f>
        <v>Atty. Jose Rowell C. Declaro</v>
      </c>
      <c r="L2435" s="164" t="str">
        <f ca="1">IFERROR(__xludf.DUMMYFUNCTION("""COMPUTED_VALUE"""),"LEGAL")</f>
        <v>LEGAL</v>
      </c>
      <c r="M2435" s="164" t="str">
        <f ca="1">IFERROR(__xludf.DUMMYFUNCTION("""COMPUTED_VALUE"""),"SERVICEABLE")</f>
        <v>SERVICEABLE</v>
      </c>
      <c r="N2435" s="164"/>
    </row>
    <row r="2436" spans="1:14" ht="13.2" hidden="1">
      <c r="A2436" s="164" t="str">
        <f ca="1">IFERROR(__xludf.DUMMYFUNCTION("""COMPUTED_VALUE"""),"Region VI")</f>
        <v>Region VI</v>
      </c>
      <c r="B2436" s="164" t="str">
        <f ca="1">IFERROR(__xludf.DUMMYFUNCTION("""COMPUTED_VALUE"""),"AKLAN")</f>
        <v>AKLAN</v>
      </c>
      <c r="C2436" s="164" t="str">
        <f ca="1">IFERROR(__xludf.DUMMYFUNCTION("""COMPUTED_VALUE"""),"Desktop Computer – (Lenovo M70T)")</f>
        <v>Desktop Computer – (Lenovo M70T)</v>
      </c>
      <c r="D2436" s="164" t="str">
        <f ca="1">IFERROR(__xludf.DUMMYFUNCTION("""COMPUTED_VALUE"""),"₱ 75,468.00")</f>
        <v>₱ 75,468.00</v>
      </c>
      <c r="E2436" s="164"/>
      <c r="F2436" s="164" t="str">
        <f ca="1">IFERROR(__xludf.DUMMYFUNCTION("""COMPUTED_VALUE"""),"2023-05-03-10201SP1130-01")</f>
        <v>2023-05-03-10201SP1130-01</v>
      </c>
      <c r="G2436" s="164"/>
      <c r="H2436" s="164" t="str">
        <f ca="1">IFERROR(__xludf.DUMMYFUNCTION("""COMPUTED_VALUE"""),"Ma. Teresa C. Valencia")</f>
        <v>Ma. Teresa C. Valencia</v>
      </c>
      <c r="I2436" s="164" t="str">
        <f ca="1">IFERROR(__xludf.DUMMYFUNCTION("""COMPUTED_VALUE"""),"PARPO II")</f>
        <v>PARPO II</v>
      </c>
      <c r="J2436" s="164" t="str">
        <f ca="1">IFERROR(__xludf.DUMMYFUNCTION("""COMPUTED_VALUE"""),"S-2023-05-001i")</f>
        <v>S-2023-05-001i</v>
      </c>
      <c r="K2436" s="164" t="str">
        <f ca="1">IFERROR(__xludf.DUMMYFUNCTION("""COMPUTED_VALUE"""),"Ma. Teresa C. Valencia")</f>
        <v>Ma. Teresa C. Valencia</v>
      </c>
      <c r="L2436" s="164" t="str">
        <f ca="1">IFERROR(__xludf.DUMMYFUNCTION("""COMPUTED_VALUE"""),"PARPO II")</f>
        <v>PARPO II</v>
      </c>
      <c r="M2436" s="164" t="str">
        <f ca="1">IFERROR(__xludf.DUMMYFUNCTION("""COMPUTED_VALUE"""),"SERVICEABLE")</f>
        <v>SERVICEABLE</v>
      </c>
      <c r="N2436" s="164"/>
    </row>
    <row r="2437" spans="1:14" ht="13.2" hidden="1">
      <c r="A2437" s="164" t="str">
        <f ca="1">IFERROR(__xludf.DUMMYFUNCTION("""COMPUTED_VALUE"""),"Region VI")</f>
        <v>Region VI</v>
      </c>
      <c r="B2437" s="164" t="str">
        <f ca="1">IFERROR(__xludf.DUMMYFUNCTION("""COMPUTED_VALUE"""),"AKLAN")</f>
        <v>AKLAN</v>
      </c>
      <c r="C2437" s="164" t="str">
        <f ca="1">IFERROR(__xludf.DUMMYFUNCTION("""COMPUTED_VALUE"""),"Desktop Computer – (Lenovo M70T)")</f>
        <v>Desktop Computer – (Lenovo M70T)</v>
      </c>
      <c r="D2437" s="164" t="str">
        <f ca="1">IFERROR(__xludf.DUMMYFUNCTION("""COMPUTED_VALUE"""),"₱ 75,468.00")</f>
        <v>₱ 75,468.00</v>
      </c>
      <c r="E2437" s="164"/>
      <c r="F2437" s="164" t="str">
        <f ca="1">IFERROR(__xludf.DUMMYFUNCTION("""COMPUTED_VALUE"""),"2023-05-03-10201SP1129-01")</f>
        <v>2023-05-03-10201SP1129-01</v>
      </c>
      <c r="G2437" s="164"/>
      <c r="H2437" s="164" t="str">
        <f ca="1">IFERROR(__xludf.DUMMYFUNCTION("""COMPUTED_VALUE"""),"Engr. Ernesto T. Anino")</f>
        <v>Engr. Ernesto T. Anino</v>
      </c>
      <c r="I2437" s="164" t="str">
        <f ca="1">IFERROR(__xludf.DUMMYFUNCTION("""COMPUTED_VALUE"""),"PARPO I")</f>
        <v>PARPO I</v>
      </c>
      <c r="J2437" s="164" t="str">
        <f ca="1">IFERROR(__xludf.DUMMYFUNCTION("""COMPUTED_VALUE"""),"S-2023-05-001j")</f>
        <v>S-2023-05-001j</v>
      </c>
      <c r="K2437" s="164" t="str">
        <f ca="1">IFERROR(__xludf.DUMMYFUNCTION("""COMPUTED_VALUE"""),"Engr. Ernesto T. Anino")</f>
        <v>Engr. Ernesto T. Anino</v>
      </c>
      <c r="L2437" s="164" t="str">
        <f ca="1">IFERROR(__xludf.DUMMYFUNCTION("""COMPUTED_VALUE"""),"PARPO I")</f>
        <v>PARPO I</v>
      </c>
      <c r="M2437" s="164" t="str">
        <f ca="1">IFERROR(__xludf.DUMMYFUNCTION("""COMPUTED_VALUE"""),"SERVICEABLE")</f>
        <v>SERVICEABLE</v>
      </c>
      <c r="N2437" s="164"/>
    </row>
    <row r="2438" spans="1:14" ht="13.2" hidden="1">
      <c r="A2438" s="164" t="str">
        <f ca="1">IFERROR(__xludf.DUMMYFUNCTION("""COMPUTED_VALUE"""),"Region VI")</f>
        <v>Region VI</v>
      </c>
      <c r="B2438" s="164" t="str">
        <f ca="1">IFERROR(__xludf.DUMMYFUNCTION("""COMPUTED_VALUE"""),"AKLAN")</f>
        <v>AKLAN</v>
      </c>
      <c r="C2438" s="164" t="str">
        <f ca="1">IFERROR(__xludf.DUMMYFUNCTION("""COMPUTED_VALUE"""),"Desktop Computer – (Lenovo M70T)")</f>
        <v>Desktop Computer – (Lenovo M70T)</v>
      </c>
      <c r="D2438" s="164" t="str">
        <f ca="1">IFERROR(__xludf.DUMMYFUNCTION("""COMPUTED_VALUE"""),"₱ 75,468.00")</f>
        <v>₱ 75,468.00</v>
      </c>
      <c r="E2438" s="164"/>
      <c r="F2438" s="164" t="str">
        <f ca="1">IFERROR(__xludf.DUMMYFUNCTION("""COMPUTED_VALUE"""),"2023-05-03-10201SP1128-01")</f>
        <v>2023-05-03-10201SP1128-01</v>
      </c>
      <c r="G2438" s="164"/>
      <c r="H2438" s="164" t="str">
        <f ca="1">IFERROR(__xludf.DUMMYFUNCTION("""COMPUTED_VALUE"""),"Engr. Nora I. Dela Rosa")</f>
        <v>Engr. Nora I. Dela Rosa</v>
      </c>
      <c r="I2438" s="164" t="str">
        <f ca="1">IFERROR(__xludf.DUMMYFUNCTION("""COMPUTED_VALUE"""),"OIC CARPO - PBDD")</f>
        <v>OIC CARPO - PBDD</v>
      </c>
      <c r="J2438" s="164" t="str">
        <f ca="1">IFERROR(__xludf.DUMMYFUNCTION("""COMPUTED_VALUE"""),"S-2023-05-001k")</f>
        <v>S-2023-05-001k</v>
      </c>
      <c r="K2438" s="164" t="str">
        <f ca="1">IFERROR(__xludf.DUMMYFUNCTION("""COMPUTED_VALUE"""),"Engr. Nora I. Dela Rosa")</f>
        <v>Engr. Nora I. Dela Rosa</v>
      </c>
      <c r="L2438" s="164" t="str">
        <f ca="1">IFERROR(__xludf.DUMMYFUNCTION("""COMPUTED_VALUE"""),"PBDD")</f>
        <v>PBDD</v>
      </c>
      <c r="M2438" s="164" t="str">
        <f ca="1">IFERROR(__xludf.DUMMYFUNCTION("""COMPUTED_VALUE"""),"SERVICEABLE")</f>
        <v>SERVICEABLE</v>
      </c>
      <c r="N2438" s="164"/>
    </row>
    <row r="2439" spans="1:14" ht="13.2" hidden="1">
      <c r="A2439" s="164" t="str">
        <f ca="1">IFERROR(__xludf.DUMMYFUNCTION("""COMPUTED_VALUE"""),"Region VI")</f>
        <v>Region VI</v>
      </c>
      <c r="B2439" s="164" t="str">
        <f ca="1">IFERROR(__xludf.DUMMYFUNCTION("""COMPUTED_VALUE"""),"AKLAN")</f>
        <v>AKLAN</v>
      </c>
      <c r="C2439" s="164" t="str">
        <f ca="1">IFERROR(__xludf.DUMMYFUNCTION("""COMPUTED_VALUE"""),"Desktop Computer – (Lenovo M70T)")</f>
        <v>Desktop Computer – (Lenovo M70T)</v>
      </c>
      <c r="D2439" s="164" t="str">
        <f ca="1">IFERROR(__xludf.DUMMYFUNCTION("""COMPUTED_VALUE"""),"₱ 75,468.00")</f>
        <v>₱ 75,468.00</v>
      </c>
      <c r="E2439" s="164"/>
      <c r="F2439" s="164" t="str">
        <f ca="1">IFERROR(__xludf.DUMMYFUNCTION("""COMPUTED_VALUE"""),"2023-05-03-10201SP1127-01")</f>
        <v>2023-05-03-10201SP1127-01</v>
      </c>
      <c r="G2439" s="164"/>
      <c r="H2439" s="164" t="str">
        <f ca="1">IFERROR(__xludf.DUMMYFUNCTION("""COMPUTED_VALUE"""),"Jersie Jane D. Malihan")</f>
        <v>Jersie Jane D. Malihan</v>
      </c>
      <c r="I2439" s="164" t="str">
        <f ca="1">IFERROR(__xludf.DUMMYFUNCTION("""COMPUTED_VALUE"""),"ACCOUNTANT II")</f>
        <v>ACCOUNTANT II</v>
      </c>
      <c r="J2439" s="164" t="str">
        <f ca="1">IFERROR(__xludf.DUMMYFUNCTION("""COMPUTED_VALUE"""),"S-2023-05-001l")</f>
        <v>S-2023-05-001l</v>
      </c>
      <c r="K2439" s="164" t="str">
        <f ca="1">IFERROR(__xludf.DUMMYFUNCTION("""COMPUTED_VALUE"""),"Jersie Jane D. Malihan")</f>
        <v>Jersie Jane D. Malihan</v>
      </c>
      <c r="L2439" s="164" t="str">
        <f ca="1">IFERROR(__xludf.DUMMYFUNCTION("""COMPUTED_VALUE"""),"STOD")</f>
        <v>STOD</v>
      </c>
      <c r="M2439" s="164" t="str">
        <f ca="1">IFERROR(__xludf.DUMMYFUNCTION("""COMPUTED_VALUE"""),"SERVICEABLE")</f>
        <v>SERVICEABLE</v>
      </c>
      <c r="N2439" s="164"/>
    </row>
    <row r="2440" spans="1:14" ht="13.2" hidden="1">
      <c r="A2440" s="164" t="str">
        <f ca="1">IFERROR(__xludf.DUMMYFUNCTION("""COMPUTED_VALUE"""),"Region VI")</f>
        <v>Region VI</v>
      </c>
      <c r="B2440" s="164" t="str">
        <f ca="1">IFERROR(__xludf.DUMMYFUNCTION("""COMPUTED_VALUE"""),"AKLAN")</f>
        <v>AKLAN</v>
      </c>
      <c r="C2440" s="164" t="str">
        <f ca="1">IFERROR(__xludf.DUMMYFUNCTION("""COMPUTED_VALUE"""),"Desktop Computer – (Lenovo M70T)")</f>
        <v>Desktop Computer – (Lenovo M70T)</v>
      </c>
      <c r="D2440" s="164" t="str">
        <f ca="1">IFERROR(__xludf.DUMMYFUNCTION("""COMPUTED_VALUE"""),"₱ 75,468.00")</f>
        <v>₱ 75,468.00</v>
      </c>
      <c r="E2440" s="164"/>
      <c r="F2440" s="164" t="str">
        <f ca="1">IFERROR(__xludf.DUMMYFUNCTION("""COMPUTED_VALUE"""),"2023-05-03-10201SP1126-01")</f>
        <v>2023-05-03-10201SP1126-01</v>
      </c>
      <c r="G2440" s="164"/>
      <c r="H2440" s="164" t="str">
        <f ca="1">IFERROR(__xludf.DUMMYFUNCTION("""COMPUTED_VALUE"""),"Nimia Grace D. Pahilga")</f>
        <v>Nimia Grace D. Pahilga</v>
      </c>
      <c r="I2440" s="164" t="str">
        <f ca="1">IFERROR(__xludf.DUMMYFUNCTION("""COMPUTED_VALUE"""),"AO IV")</f>
        <v>AO IV</v>
      </c>
      <c r="J2440" s="164" t="str">
        <f ca="1">IFERROR(__xludf.DUMMYFUNCTION("""COMPUTED_VALUE"""),"S-2023-05-001m")</f>
        <v>S-2023-05-001m</v>
      </c>
      <c r="K2440" s="164" t="str">
        <f ca="1">IFERROR(__xludf.DUMMYFUNCTION("""COMPUTED_VALUE"""),"Nimia Grace D. Pahilga")</f>
        <v>Nimia Grace D. Pahilga</v>
      </c>
      <c r="L2440" s="164" t="str">
        <f ca="1">IFERROR(__xludf.DUMMYFUNCTION("""COMPUTED_VALUE"""),"STOD")</f>
        <v>STOD</v>
      </c>
      <c r="M2440" s="164" t="str">
        <f ca="1">IFERROR(__xludf.DUMMYFUNCTION("""COMPUTED_VALUE"""),"SERVICEABLE")</f>
        <v>SERVICEABLE</v>
      </c>
      <c r="N2440" s="164"/>
    </row>
    <row r="2441" spans="1:14" ht="13.2" hidden="1">
      <c r="A2441" s="164" t="str">
        <f ca="1">IFERROR(__xludf.DUMMYFUNCTION("""COMPUTED_VALUE"""),"Region VI")</f>
        <v>Region VI</v>
      </c>
      <c r="B2441" s="164" t="str">
        <f ca="1">IFERROR(__xludf.DUMMYFUNCTION("""COMPUTED_VALUE"""),"AKLAN")</f>
        <v>AKLAN</v>
      </c>
      <c r="C2441" s="164" t="str">
        <f ca="1">IFERROR(__xludf.DUMMYFUNCTION("""COMPUTED_VALUE"""),"Desktop Computer – (Lenovo M70T)")</f>
        <v>Desktop Computer – (Lenovo M70T)</v>
      </c>
      <c r="D2441" s="164" t="str">
        <f ca="1">IFERROR(__xludf.DUMMYFUNCTION("""COMPUTED_VALUE"""),"₱ 75,468.00")</f>
        <v>₱ 75,468.00</v>
      </c>
      <c r="E2441" s="164"/>
      <c r="F2441" s="164" t="str">
        <f ca="1">IFERROR(__xludf.DUMMYFUNCTION("""COMPUTED_VALUE"""),"2023-05-03-10201SP1125-01")</f>
        <v>2023-05-03-10201SP1125-01</v>
      </c>
      <c r="G2441" s="164"/>
      <c r="H2441" s="164" t="str">
        <f ca="1">IFERROR(__xludf.DUMMYFUNCTION("""COMPUTED_VALUE"""),"Mark Ferdinand G. Abueg")</f>
        <v>Mark Ferdinand G. Abueg</v>
      </c>
      <c r="I2441" s="164" t="str">
        <f ca="1">IFERROR(__xludf.DUMMYFUNCTION("""COMPUTED_VALUE"""),"PLANNING OFFICER II")</f>
        <v>PLANNING OFFICER II</v>
      </c>
      <c r="J2441" s="164" t="str">
        <f ca="1">IFERROR(__xludf.DUMMYFUNCTION("""COMPUTED_VALUE"""),"S-2023-05-001n")</f>
        <v>S-2023-05-001n</v>
      </c>
      <c r="K2441" s="164" t="str">
        <f ca="1">IFERROR(__xludf.DUMMYFUNCTION("""COMPUTED_VALUE"""),"Mark Ferdinand G. Abueg")</f>
        <v>Mark Ferdinand G. Abueg</v>
      </c>
      <c r="L2441" s="164" t="str">
        <f ca="1">IFERROR(__xludf.DUMMYFUNCTION("""COMPUTED_VALUE"""),"STOD")</f>
        <v>STOD</v>
      </c>
      <c r="M2441" s="164" t="str">
        <f ca="1">IFERROR(__xludf.DUMMYFUNCTION("""COMPUTED_VALUE"""),"SERVICEABLE")</f>
        <v>SERVICEABLE</v>
      </c>
      <c r="N2441" s="164"/>
    </row>
    <row r="2442" spans="1:14" ht="13.2" hidden="1">
      <c r="A2442" s="164" t="str">
        <f ca="1">IFERROR(__xludf.DUMMYFUNCTION("""COMPUTED_VALUE"""),"Region VI")</f>
        <v>Region VI</v>
      </c>
      <c r="B2442" s="164" t="str">
        <f ca="1">IFERROR(__xludf.DUMMYFUNCTION("""COMPUTED_VALUE"""),"AKLAN")</f>
        <v>AKLAN</v>
      </c>
      <c r="C2442" s="164" t="str">
        <f ca="1">IFERROR(__xludf.DUMMYFUNCTION("""COMPUTED_VALUE"""),"Desktop Computer – (Lenovo M70T)")</f>
        <v>Desktop Computer – (Lenovo M70T)</v>
      </c>
      <c r="D2442" s="164" t="str">
        <f ca="1">IFERROR(__xludf.DUMMYFUNCTION("""COMPUTED_VALUE"""),"₱ 75,468.00")</f>
        <v>₱ 75,468.00</v>
      </c>
      <c r="E2442" s="164"/>
      <c r="F2442" s="164" t="str">
        <f ca="1">IFERROR(__xludf.DUMMYFUNCTION("""COMPUTED_VALUE"""),"2023-05-03-10201SP1124-01")</f>
        <v>2023-05-03-10201SP1124-01</v>
      </c>
      <c r="G2442" s="164"/>
      <c r="H2442" s="164" t="str">
        <f ca="1">IFERROR(__xludf.DUMMYFUNCTION("""COMPUTED_VALUE"""),"Nenia Joy U. Castor")</f>
        <v>Nenia Joy U. Castor</v>
      </c>
      <c r="I2442" s="164" t="str">
        <f ca="1">IFERROR(__xludf.DUMMYFUNCTION("""COMPUTED_VALUE"""),"ASSISTANT STAT.")</f>
        <v>ASSISTANT STAT.</v>
      </c>
      <c r="J2442" s="164" t="str">
        <f ca="1">IFERROR(__xludf.DUMMYFUNCTION("""COMPUTED_VALUE"""),"S-2023-05-001o")</f>
        <v>S-2023-05-001o</v>
      </c>
      <c r="K2442" s="164" t="str">
        <f ca="1">IFERROR(__xludf.DUMMYFUNCTION("""COMPUTED_VALUE"""),"Nenia Joy U. Castor")</f>
        <v>Nenia Joy U. Castor</v>
      </c>
      <c r="L2442" s="164" t="str">
        <f ca="1">IFERROR(__xludf.DUMMYFUNCTION("""COMPUTED_VALUE"""),"LTID")</f>
        <v>LTID</v>
      </c>
      <c r="M2442" s="164" t="str">
        <f ca="1">IFERROR(__xludf.DUMMYFUNCTION("""COMPUTED_VALUE"""),"SERVICEABLE")</f>
        <v>SERVICEABLE</v>
      </c>
      <c r="N2442" s="164"/>
    </row>
    <row r="2443" spans="1:14" ht="13.2" hidden="1">
      <c r="A2443" s="164" t="str">
        <f ca="1">IFERROR(__xludf.DUMMYFUNCTION("""COMPUTED_VALUE"""),"Region VI")</f>
        <v>Region VI</v>
      </c>
      <c r="B2443" s="164" t="str">
        <f ca="1">IFERROR(__xludf.DUMMYFUNCTION("""COMPUTED_VALUE"""),"AKLAN")</f>
        <v>AKLAN</v>
      </c>
      <c r="C2443" s="164" t="str">
        <f ca="1">IFERROR(__xludf.DUMMYFUNCTION("""COMPUTED_VALUE"""),"Desktop Computer – (Lenovo M70T)")</f>
        <v>Desktop Computer – (Lenovo M70T)</v>
      </c>
      <c r="D2443" s="164" t="str">
        <f ca="1">IFERROR(__xludf.DUMMYFUNCTION("""COMPUTED_VALUE"""),"₱ 75,468.00")</f>
        <v>₱ 75,468.00</v>
      </c>
      <c r="E2443" s="164"/>
      <c r="F2443" s="164" t="str">
        <f ca="1">IFERROR(__xludf.DUMMYFUNCTION("""COMPUTED_VALUE"""),"2023-05-03-10201SP1123-01")</f>
        <v>2023-05-03-10201SP1123-01</v>
      </c>
      <c r="G2443" s="164"/>
      <c r="H2443" s="164" t="str">
        <f ca="1">IFERROR(__xludf.DUMMYFUNCTION("""COMPUTED_VALUE"""),"Irene C. Hilario")</f>
        <v>Irene C. Hilario</v>
      </c>
      <c r="I2443" s="164" t="str">
        <f ca="1">IFERROR(__xludf.DUMMYFUNCTION("""COMPUTED_VALUE"""),"ASSISTANT STAT.")</f>
        <v>ASSISTANT STAT.</v>
      </c>
      <c r="J2443" s="164" t="str">
        <f ca="1">IFERROR(__xludf.DUMMYFUNCTION("""COMPUTED_VALUE"""),"S-2023-05-001p")</f>
        <v>S-2023-05-001p</v>
      </c>
      <c r="K2443" s="164" t="str">
        <f ca="1">IFERROR(__xludf.DUMMYFUNCTION("""COMPUTED_VALUE"""),"Irene C. Hilario")</f>
        <v>Irene C. Hilario</v>
      </c>
      <c r="L2443" s="164" t="str">
        <f ca="1">IFERROR(__xludf.DUMMYFUNCTION("""COMPUTED_VALUE"""),"LTID")</f>
        <v>LTID</v>
      </c>
      <c r="M2443" s="164" t="str">
        <f ca="1">IFERROR(__xludf.DUMMYFUNCTION("""COMPUTED_VALUE"""),"SERVICEABLE")</f>
        <v>SERVICEABLE</v>
      </c>
      <c r="N2443" s="164"/>
    </row>
    <row r="2444" spans="1:14" ht="13.2" hidden="1">
      <c r="A2444" s="164" t="str">
        <f ca="1">IFERROR(__xludf.DUMMYFUNCTION("""COMPUTED_VALUE"""),"Region VI")</f>
        <v>Region VI</v>
      </c>
      <c r="B2444" s="164" t="str">
        <f ca="1">IFERROR(__xludf.DUMMYFUNCTION("""COMPUTED_VALUE"""),"AKLAN")</f>
        <v>AKLAN</v>
      </c>
      <c r="C2444" s="164" t="str">
        <f ca="1">IFERROR(__xludf.DUMMYFUNCTION("""COMPUTED_VALUE"""),"Laptop – (ACER EXTENSA EX215-55G i7)")</f>
        <v>Laptop – (ACER EXTENSA EX215-55G i7)</v>
      </c>
      <c r="D2444" s="164" t="str">
        <f ca="1">IFERROR(__xludf.DUMMYFUNCTION("""COMPUTED_VALUE"""),"₱ 59,500.00")</f>
        <v>₱ 59,500.00</v>
      </c>
      <c r="E2444" s="164"/>
      <c r="F2444" s="164" t="str">
        <f ca="1">IFERROR(__xludf.DUMMYFUNCTION("""COMPUTED_VALUE"""),"2023-05-03-10202SP51-01")</f>
        <v>2023-05-03-10202SP51-01</v>
      </c>
      <c r="G2444" s="164"/>
      <c r="H2444" s="164" t="str">
        <f ca="1">IFERROR(__xludf.DUMMYFUNCTION("""COMPUTED_VALUE"""),"Cathelene K. Pantoja")</f>
        <v>Cathelene K. Pantoja</v>
      </c>
      <c r="I2444" s="164" t="str">
        <f ca="1">IFERROR(__xludf.DUMMYFUNCTION("""COMPUTED_VALUE"""),"ARPO I")</f>
        <v>ARPO I</v>
      </c>
      <c r="J2444" s="164" t="str">
        <f ca="1">IFERROR(__xludf.DUMMYFUNCTION("""COMPUTED_VALUE"""),"S-2023-07-001v")</f>
        <v>S-2023-07-001v</v>
      </c>
      <c r="K2444" s="164" t="str">
        <f ca="1">IFERROR(__xludf.DUMMYFUNCTION("""COMPUTED_VALUE"""),"Cathelene K. Pantoja")</f>
        <v>Cathelene K. Pantoja</v>
      </c>
      <c r="L2444" s="164" t="str">
        <f ca="1">IFERROR(__xludf.DUMMYFUNCTION("""COMPUTED_VALUE"""),"PBDD")</f>
        <v>PBDD</v>
      </c>
      <c r="M2444" s="164" t="str">
        <f ca="1">IFERROR(__xludf.DUMMYFUNCTION("""COMPUTED_VALUE"""),"SERVICEABLE")</f>
        <v>SERVICEABLE</v>
      </c>
      <c r="N2444" s="164"/>
    </row>
    <row r="2445" spans="1:14" ht="13.2" hidden="1">
      <c r="A2445" s="164" t="str">
        <f ca="1">IFERROR(__xludf.DUMMYFUNCTION("""COMPUTED_VALUE"""),"Region VI")</f>
        <v>Region VI</v>
      </c>
      <c r="B2445" s="164" t="str">
        <f ca="1">IFERROR(__xludf.DUMMYFUNCTION("""COMPUTED_VALUE"""),"AKLAN")</f>
        <v>AKLAN</v>
      </c>
      <c r="C2445" s="164" t="str">
        <f ca="1">IFERROR(__xludf.DUMMYFUNCTION("""COMPUTED_VALUE"""),"Laptop – (ACER EXTENSA EX215-55G i7)")</f>
        <v>Laptop – (ACER EXTENSA EX215-55G i7)</v>
      </c>
      <c r="D2445" s="164" t="str">
        <f ca="1">IFERROR(__xludf.DUMMYFUNCTION("""COMPUTED_VALUE"""),"₱ 59,500.00")</f>
        <v>₱ 59,500.00</v>
      </c>
      <c r="E2445" s="164"/>
      <c r="F2445" s="164" t="str">
        <f ca="1">IFERROR(__xludf.DUMMYFUNCTION("""COMPUTED_VALUE"""),"2023-05-03-10202SP119-01")</f>
        <v>2023-05-03-10202SP119-01</v>
      </c>
      <c r="G2445" s="164"/>
      <c r="H2445" s="164" t="str">
        <f ca="1">IFERROR(__xludf.DUMMYFUNCTION("""COMPUTED_VALUE"""),"Marissa O. Mendoza")</f>
        <v>Marissa O. Mendoza</v>
      </c>
      <c r="I2445" s="164" t="str">
        <f ca="1">IFERROR(__xludf.DUMMYFUNCTION("""COMPUTED_VALUE"""),"CAO")</f>
        <v>CAO</v>
      </c>
      <c r="J2445" s="164" t="str">
        <f ca="1">IFERROR(__xludf.DUMMYFUNCTION("""COMPUTED_VALUE"""),"S-2023-08-007b")</f>
        <v>S-2023-08-007b</v>
      </c>
      <c r="K2445" s="164" t="str">
        <f ca="1">IFERROR(__xludf.DUMMYFUNCTION("""COMPUTED_VALUE"""),"Marissa O. Mendoza")</f>
        <v>Marissa O. Mendoza</v>
      </c>
      <c r="L2445" s="164" t="str">
        <f ca="1">IFERROR(__xludf.DUMMYFUNCTION("""COMPUTED_VALUE"""),"STOD")</f>
        <v>STOD</v>
      </c>
      <c r="M2445" s="164" t="str">
        <f ca="1">IFERROR(__xludf.DUMMYFUNCTION("""COMPUTED_VALUE"""),"SERVICEABLE")</f>
        <v>SERVICEABLE</v>
      </c>
      <c r="N2445" s="164"/>
    </row>
    <row r="2446" spans="1:14" ht="13.2" hidden="1">
      <c r="A2446" s="164" t="str">
        <f ca="1">IFERROR(__xludf.DUMMYFUNCTION("""COMPUTED_VALUE"""),"Region VI")</f>
        <v>Region VI</v>
      </c>
      <c r="B2446" s="164" t="str">
        <f ca="1">IFERROR(__xludf.DUMMYFUNCTION("""COMPUTED_VALUE"""),"AKLAN")</f>
        <v>AKLAN</v>
      </c>
      <c r="C2446" s="164" t="str">
        <f ca="1">IFERROR(__xludf.DUMMYFUNCTION("""COMPUTED_VALUE"""),"Laptop – (ACER EXTENSA EX215-55G i7)")</f>
        <v>Laptop – (ACER EXTENSA EX215-55G i7)</v>
      </c>
      <c r="D2446" s="164" t="str">
        <f ca="1">IFERROR(__xludf.DUMMYFUNCTION("""COMPUTED_VALUE"""),"₱ 59,500.00")</f>
        <v>₱ 59,500.00</v>
      </c>
      <c r="E2446" s="164"/>
      <c r="F2446" s="164" t="str">
        <f ca="1">IFERROR(__xludf.DUMMYFUNCTION("""COMPUTED_VALUE"""),"2023-05-03-10202SP118-01")</f>
        <v>2023-05-03-10202SP118-01</v>
      </c>
      <c r="G2446" s="164"/>
      <c r="H2446" s="164" t="str">
        <f ca="1">IFERROR(__xludf.DUMMYFUNCTION("""COMPUTED_VALUE"""),"Vision Faith R. Bernaldo")</f>
        <v>Vision Faith R. Bernaldo</v>
      </c>
      <c r="I2446" s="164" t="str">
        <f ca="1">IFERROR(__xludf.DUMMYFUNCTION("""COMPUTED_VALUE"""),"ENGINEER II")</f>
        <v>ENGINEER II</v>
      </c>
      <c r="J2446" s="164" t="str">
        <f ca="1">IFERROR(__xludf.DUMMYFUNCTION("""COMPUTED_VALUE"""),"S-2023-08-007c")</f>
        <v>S-2023-08-007c</v>
      </c>
      <c r="K2446" s="164" t="str">
        <f ca="1">IFERROR(__xludf.DUMMYFUNCTION("""COMPUTED_VALUE"""),"Vision Faith R. Bernaldo")</f>
        <v>Vision Faith R. Bernaldo</v>
      </c>
      <c r="L2446" s="164" t="str">
        <f ca="1">IFERROR(__xludf.DUMMYFUNCTION("""COMPUTED_VALUE"""),"LTID")</f>
        <v>LTID</v>
      </c>
      <c r="M2446" s="164" t="str">
        <f ca="1">IFERROR(__xludf.DUMMYFUNCTION("""COMPUTED_VALUE"""),"SERVICEABLE")</f>
        <v>SERVICEABLE</v>
      </c>
      <c r="N2446" s="164"/>
    </row>
    <row r="2447" spans="1:14" ht="13.2" hidden="1">
      <c r="A2447" s="164" t="str">
        <f ca="1">IFERROR(__xludf.DUMMYFUNCTION("""COMPUTED_VALUE"""),"Region VI")</f>
        <v>Region VI</v>
      </c>
      <c r="B2447" s="164" t="str">
        <f ca="1">IFERROR(__xludf.DUMMYFUNCTION("""COMPUTED_VALUE"""),"AKLAN")</f>
        <v>AKLAN</v>
      </c>
      <c r="C2447" s="164" t="str">
        <f ca="1">IFERROR(__xludf.DUMMYFUNCTION("""COMPUTED_VALUE"""),"Desktop Computer – (HP Pro SFF 280G9)")</f>
        <v>Desktop Computer – (HP Pro SFF 280G9)</v>
      </c>
      <c r="D2447" s="164" t="str">
        <f ca="1">IFERROR(__xludf.DUMMYFUNCTION("""COMPUTED_VALUE"""),"₱ 78,898.00")</f>
        <v>₱ 78,898.00</v>
      </c>
      <c r="E2447" s="164"/>
      <c r="F2447" s="164" t="str">
        <f ca="1">IFERROR(__xludf.DUMMYFUNCTION("""COMPUTED_VALUE"""),"2023-05-03-10201SP45-01")</f>
        <v>2023-05-03-10201SP45-01</v>
      </c>
      <c r="G2447" s="164"/>
      <c r="H2447" s="164" t="str">
        <f ca="1">IFERROR(__xludf.DUMMYFUNCTION("""COMPUTED_VALUE"""),"Vique Philsin Q. Villanueva")</f>
        <v>Vique Philsin Q. Villanueva</v>
      </c>
      <c r="I2447" s="164" t="str">
        <f ca="1">IFERROR(__xludf.DUMMYFUNCTION("""COMPUTED_VALUE"""),"ARPO I")</f>
        <v>ARPO I</v>
      </c>
      <c r="J2447" s="164" t="str">
        <f ca="1">IFERROR(__xludf.DUMMYFUNCTION("""COMPUTED_VALUE"""),"S-2023-08-007d")</f>
        <v>S-2023-08-007d</v>
      </c>
      <c r="K2447" s="164" t="str">
        <f ca="1">IFERROR(__xludf.DUMMYFUNCTION("""COMPUTED_VALUE"""),"Vique Philsin Q. Villanueva")</f>
        <v>Vique Philsin Q. Villanueva</v>
      </c>
      <c r="L2447" s="164" t="str">
        <f ca="1">IFERROR(__xludf.DUMMYFUNCTION("""COMPUTED_VALUE"""),"STOD")</f>
        <v>STOD</v>
      </c>
      <c r="M2447" s="164" t="str">
        <f ca="1">IFERROR(__xludf.DUMMYFUNCTION("""COMPUTED_VALUE"""),"SERVICEABLE")</f>
        <v>SERVICEABLE</v>
      </c>
      <c r="N2447" s="164"/>
    </row>
    <row r="2448" spans="1:14" ht="13.2" hidden="1">
      <c r="A2448" s="164" t="str">
        <f ca="1">IFERROR(__xludf.DUMMYFUNCTION("""COMPUTED_VALUE"""),"Region VI")</f>
        <v>Region VI</v>
      </c>
      <c r="B2448" s="164" t="str">
        <f ca="1">IFERROR(__xludf.DUMMYFUNCTION("""COMPUTED_VALUE"""),"AKLAN")</f>
        <v>AKLAN</v>
      </c>
      <c r="C2448" s="164" t="str">
        <f ca="1">IFERROR(__xludf.DUMMYFUNCTION("""COMPUTED_VALUE"""),"Desktop Computer – (HP Pro SFF 280G9)")</f>
        <v>Desktop Computer – (HP Pro SFF 280G9)</v>
      </c>
      <c r="D2448" s="164" t="str">
        <f ca="1">IFERROR(__xludf.DUMMYFUNCTION("""COMPUTED_VALUE"""),"₱ 78,898.00")</f>
        <v>₱ 78,898.00</v>
      </c>
      <c r="E2448" s="164"/>
      <c r="F2448" s="164" t="str">
        <f ca="1">IFERROR(__xludf.DUMMYFUNCTION("""COMPUTED_VALUE"""),"2023-05-03-10201SP46-01")</f>
        <v>2023-05-03-10201SP46-01</v>
      </c>
      <c r="G2448" s="164"/>
      <c r="H2448" s="164" t="str">
        <f ca="1">IFERROR(__xludf.DUMMYFUNCTION("""COMPUTED_VALUE"""),"Emilie M. Jimera")</f>
        <v>Emilie M. Jimera</v>
      </c>
      <c r="I2448" s="164" t="str">
        <f ca="1">IFERROR(__xludf.DUMMYFUNCTION("""COMPUTED_VALUE"""),"BUDGET OFFICER II")</f>
        <v>BUDGET OFFICER II</v>
      </c>
      <c r="J2448" s="164" t="str">
        <f ca="1">IFERROR(__xludf.DUMMYFUNCTION("""COMPUTED_VALUE"""),"S-2023-08-007e")</f>
        <v>S-2023-08-007e</v>
      </c>
      <c r="K2448" s="164" t="str">
        <f ca="1">IFERROR(__xludf.DUMMYFUNCTION("""COMPUTED_VALUE"""),"Emilie M. Jimera")</f>
        <v>Emilie M. Jimera</v>
      </c>
      <c r="L2448" s="164" t="str">
        <f ca="1">IFERROR(__xludf.DUMMYFUNCTION("""COMPUTED_VALUE"""),"STOD")</f>
        <v>STOD</v>
      </c>
      <c r="M2448" s="164" t="str">
        <f ca="1">IFERROR(__xludf.DUMMYFUNCTION("""COMPUTED_VALUE"""),"SERVICEABLE")</f>
        <v>SERVICEABLE</v>
      </c>
      <c r="N2448" s="164"/>
    </row>
    <row r="2449" spans="1:14" ht="13.2" hidden="1">
      <c r="A2449" s="164" t="str">
        <f ca="1">IFERROR(__xludf.DUMMYFUNCTION("""COMPUTED_VALUE"""),"Region VI")</f>
        <v>Region VI</v>
      </c>
      <c r="B2449" s="164" t="str">
        <f ca="1">IFERROR(__xludf.DUMMYFUNCTION("""COMPUTED_VALUE"""),"AKLAN")</f>
        <v>AKLAN</v>
      </c>
      <c r="C2449" s="164" t="str">
        <f ca="1">IFERROR(__xludf.DUMMYFUNCTION("""COMPUTED_VALUE"""),"Desktop Computer – (HP Pro SFF 280G9)")</f>
        <v>Desktop Computer – (HP Pro SFF 280G9)</v>
      </c>
      <c r="D2449" s="164" t="str">
        <f ca="1">IFERROR(__xludf.DUMMYFUNCTION("""COMPUTED_VALUE"""),"₱ 78,898.00")</f>
        <v>₱ 78,898.00</v>
      </c>
      <c r="E2449" s="164"/>
      <c r="F2449" s="164" t="str">
        <f ca="1">IFERROR(__xludf.DUMMYFUNCTION("""COMPUTED_VALUE"""),"2023-05-03-10201SP47-01")</f>
        <v>2023-05-03-10201SP47-01</v>
      </c>
      <c r="G2449" s="164"/>
      <c r="H2449" s="164" t="str">
        <f ca="1">IFERROR(__xludf.DUMMYFUNCTION("""COMPUTED_VALUE"""),"Donna Mae S. Gallardo")</f>
        <v>Donna Mae S. Gallardo</v>
      </c>
      <c r="I2449" s="164" t="str">
        <f ca="1">IFERROR(__xludf.DUMMYFUNCTION("""COMPUTED_VALUE"""),"ARPO II")</f>
        <v>ARPO II</v>
      </c>
      <c r="J2449" s="164" t="str">
        <f ca="1">IFERROR(__xludf.DUMMYFUNCTION("""COMPUTED_VALUE"""),"S-2023-08-007f")</f>
        <v>S-2023-08-007f</v>
      </c>
      <c r="K2449" s="164" t="str">
        <f ca="1">IFERROR(__xludf.DUMMYFUNCTION("""COMPUTED_VALUE"""),"Donna Mae S. Gallardo")</f>
        <v>Donna Mae S. Gallardo</v>
      </c>
      <c r="L2449" s="164" t="str">
        <f ca="1">IFERROR(__xludf.DUMMYFUNCTION("""COMPUTED_VALUE"""),"LEGAL")</f>
        <v>LEGAL</v>
      </c>
      <c r="M2449" s="164" t="str">
        <f ca="1">IFERROR(__xludf.DUMMYFUNCTION("""COMPUTED_VALUE"""),"SERVICEABLE")</f>
        <v>SERVICEABLE</v>
      </c>
      <c r="N2449" s="164"/>
    </row>
    <row r="2450" spans="1:14" ht="13.2" hidden="1">
      <c r="A2450" s="164" t="str">
        <f ca="1">IFERROR(__xludf.DUMMYFUNCTION("""COMPUTED_VALUE"""),"Region VI")</f>
        <v>Region VI</v>
      </c>
      <c r="B2450" s="164" t="str">
        <f ca="1">IFERROR(__xludf.DUMMYFUNCTION("""COMPUTED_VALUE"""),"AKLAN")</f>
        <v>AKLAN</v>
      </c>
      <c r="C2450" s="164" t="str">
        <f ca="1">IFERROR(__xludf.DUMMYFUNCTION("""COMPUTED_VALUE"""),"Desktop Computer – (HP Pro SFF 280G9)")</f>
        <v>Desktop Computer – (HP Pro SFF 280G9)</v>
      </c>
      <c r="D2450" s="164" t="str">
        <f ca="1">IFERROR(__xludf.DUMMYFUNCTION("""COMPUTED_VALUE"""),"₱ 78,898.00")</f>
        <v>₱ 78,898.00</v>
      </c>
      <c r="E2450" s="164"/>
      <c r="F2450" s="164" t="str">
        <f ca="1">IFERROR(__xludf.DUMMYFUNCTION("""COMPUTED_VALUE"""),"2023-05-03-10201SP48-01")</f>
        <v>2023-05-03-10201SP48-01</v>
      </c>
      <c r="G2450" s="164"/>
      <c r="H2450" s="164" t="str">
        <f ca="1">IFERROR(__xludf.DUMMYFUNCTION("""COMPUTED_VALUE"""),"Vision Faith R. Bernaldo")</f>
        <v>Vision Faith R. Bernaldo</v>
      </c>
      <c r="I2450" s="164" t="str">
        <f ca="1">IFERROR(__xludf.DUMMYFUNCTION("""COMPUTED_VALUE"""),"ENGINEER II")</f>
        <v>ENGINEER II</v>
      </c>
      <c r="J2450" s="164" t="str">
        <f ca="1">IFERROR(__xludf.DUMMYFUNCTION("""COMPUTED_VALUE"""),"S-2023-08-007g")</f>
        <v>S-2023-08-007g</v>
      </c>
      <c r="K2450" s="164" t="str">
        <f ca="1">IFERROR(__xludf.DUMMYFUNCTION("""COMPUTED_VALUE"""),"Vision Faith R. Bernaldo")</f>
        <v>Vision Faith R. Bernaldo</v>
      </c>
      <c r="L2450" s="164" t="str">
        <f ca="1">IFERROR(__xludf.DUMMYFUNCTION("""COMPUTED_VALUE"""),"LTID")</f>
        <v>LTID</v>
      </c>
      <c r="M2450" s="164" t="str">
        <f ca="1">IFERROR(__xludf.DUMMYFUNCTION("""COMPUTED_VALUE"""),"SERVICEABLE")</f>
        <v>SERVICEABLE</v>
      </c>
      <c r="N2450" s="164"/>
    </row>
    <row r="2451" spans="1:14" ht="13.2" hidden="1">
      <c r="A2451" s="164" t="str">
        <f ca="1">IFERROR(__xludf.DUMMYFUNCTION("""COMPUTED_VALUE"""),"Region VI")</f>
        <v>Region VI</v>
      </c>
      <c r="B2451" s="164" t="str">
        <f ca="1">IFERROR(__xludf.DUMMYFUNCTION("""COMPUTED_VALUE"""),"AKLAN")</f>
        <v>AKLAN</v>
      </c>
      <c r="C2451" s="164" t="str">
        <f ca="1">IFERROR(__xludf.DUMMYFUNCTION("""COMPUTED_VALUE"""),"HANDHELD GPS – MODEL P6")</f>
        <v>HANDHELD GPS – MODEL P6</v>
      </c>
      <c r="D2451" s="164" t="str">
        <f ca="1">IFERROR(__xludf.DUMMYFUNCTION("""COMPUTED_VALUE"""),"₱ 79,000.00")</f>
        <v>₱ 79,000.00</v>
      </c>
      <c r="E2451" s="164"/>
      <c r="F2451" s="164" t="str">
        <f ca="1">IFERROR(__xludf.DUMMYFUNCTION("""COMPUTED_VALUE"""),"2023-05-14-10202SP55-01")</f>
        <v>2023-05-14-10202SP55-01</v>
      </c>
      <c r="G2451" s="164"/>
      <c r="H2451" s="164" t="str">
        <f ca="1">IFERROR(__xludf.DUMMYFUNCTION("""COMPUTED_VALUE"""),"Vision Faith R. Bernaldo")</f>
        <v>Vision Faith R. Bernaldo</v>
      </c>
      <c r="I2451" s="164" t="str">
        <f ca="1">IFERROR(__xludf.DUMMYFUNCTION("""COMPUTED_VALUE"""),"ENGINEER II")</f>
        <v>ENGINEER II</v>
      </c>
      <c r="J2451" s="164" t="str">
        <f ca="1">IFERROR(__xludf.DUMMYFUNCTION("""COMPUTED_VALUE"""),"S-2023-10-012")</f>
        <v>S-2023-10-012</v>
      </c>
      <c r="K2451" s="164" t="str">
        <f ca="1">IFERROR(__xludf.DUMMYFUNCTION("""COMPUTED_VALUE"""),"Vision Faith R. Bernaldo")</f>
        <v>Vision Faith R. Bernaldo</v>
      </c>
      <c r="L2451" s="164" t="str">
        <f ca="1">IFERROR(__xludf.DUMMYFUNCTION("""COMPUTED_VALUE"""),"LTID")</f>
        <v>LTID</v>
      </c>
      <c r="M2451" s="164" t="str">
        <f ca="1">IFERROR(__xludf.DUMMYFUNCTION("""COMPUTED_VALUE"""),"SERVICEABLE")</f>
        <v>SERVICEABLE</v>
      </c>
      <c r="N2451" s="164"/>
    </row>
    <row r="2452" spans="1:14" ht="13.2" hidden="1">
      <c r="A2452" s="164" t="str">
        <f ca="1">IFERROR(__xludf.DUMMYFUNCTION("""COMPUTED_VALUE"""),"Region VI")</f>
        <v>Region VI</v>
      </c>
      <c r="B2452" s="164" t="str">
        <f ca="1">IFERROR(__xludf.DUMMYFUNCTION("""COMPUTED_VALUE"""),"AKLAN")</f>
        <v>AKLAN</v>
      </c>
      <c r="C2452" s="164" t="str">
        <f ca="1">IFERROR(__xludf.DUMMYFUNCTION("""COMPUTED_VALUE"""),"A3 PRINTER (BROTHER)")</f>
        <v>A3 PRINTER (BROTHER)</v>
      </c>
      <c r="D2452" s="164" t="str">
        <f ca="1">IFERROR(__xludf.DUMMYFUNCTION("""COMPUTED_VALUE"""),"₱ 33,508.00")</f>
        <v>₱ 33,508.00</v>
      </c>
      <c r="E2452" s="164"/>
      <c r="F2452" s="164" t="str">
        <f ca="1">IFERROR(__xludf.DUMMYFUNCTION("""COMPUTED_VALUE"""),"HV-SPLIT-102-24-05-098")</f>
        <v>HV-SPLIT-102-24-05-098</v>
      </c>
      <c r="G2452" s="164"/>
      <c r="H2452" s="164" t="str">
        <f ca="1">IFERROR(__xludf.DUMMYFUNCTION("""COMPUTED_VALUE"""),"ATTY SHEILA B. ENCISO")</f>
        <v>ATTY SHEILA B. ENCISO</v>
      </c>
      <c r="I2452" s="164" t="str">
        <f ca="1">IFERROR(__xludf.DUMMYFUNCTION("""COMPUTED_VALUE"""),"Regional Director")</f>
        <v>Regional Director</v>
      </c>
      <c r="J2452" s="164" t="str">
        <f ca="1">IFERROR(__xludf.DUMMYFUNCTION("""COMPUTED_VALUE"""),"2024-03-007")</f>
        <v>2024-03-007</v>
      </c>
      <c r="K2452" s="164"/>
      <c r="L2452" s="164" t="str">
        <f ca="1">IFERROR(__xludf.DUMMYFUNCTION("""COMPUTED_VALUE"""),"DARPO AKLAN")</f>
        <v>DARPO AKLAN</v>
      </c>
      <c r="M2452" s="164" t="str">
        <f ca="1">IFERROR(__xludf.DUMMYFUNCTION("""COMPUTED_VALUE"""),"SERVICEABLE")</f>
        <v>SERVICEABLE</v>
      </c>
      <c r="N2452" s="164"/>
    </row>
    <row r="2453" spans="1:14" ht="13.2" hidden="1">
      <c r="A2453" s="164" t="str">
        <f ca="1">IFERROR(__xludf.DUMMYFUNCTION("""COMPUTED_VALUE"""),"Region VI")</f>
        <v>Region VI</v>
      </c>
      <c r="B2453" s="164" t="str">
        <f ca="1">IFERROR(__xludf.DUMMYFUNCTION("""COMPUTED_VALUE"""),"GUIMARAS")</f>
        <v>GUIMARAS</v>
      </c>
      <c r="C2453" s="164" t="str">
        <f ca="1">IFERROR(__xludf.DUMMYFUNCTION("""COMPUTED_VALUE"""),"Desktop Computer – (Lenovo M70T)")</f>
        <v>Desktop Computer – (Lenovo M70T)</v>
      </c>
      <c r="D2453" s="164" t="str">
        <f ca="1">IFERROR(__xludf.DUMMYFUNCTION("""COMPUTED_VALUE"""),"₱ 75,468.00")</f>
        <v>₱ 75,468.00</v>
      </c>
      <c r="E2453" s="164"/>
      <c r="F2453" s="164" t="str">
        <f ca="1">IFERROR(__xludf.DUMMYFUNCTION("""COMPUTED_VALUE"""),"2023-10-0001SPLITIT")</f>
        <v>2023-10-0001SPLITIT</v>
      </c>
      <c r="G2453" s="164"/>
      <c r="H2453" s="164" t="str">
        <f ca="1">IFERROR(__xludf.DUMMYFUNCTION("""COMPUTED_VALUE"""),"VAIL MICHAEL NAGAYNAY")</f>
        <v>VAIL MICHAEL NAGAYNAY</v>
      </c>
      <c r="I2453" s="164" t="str">
        <f ca="1">IFERROR(__xludf.DUMMYFUNCTION("""COMPUTED_VALUE"""),"OIC-ATTY VI/CHIEF LEGAL OFFICE")</f>
        <v>OIC-ATTY VI/CHIEF LEGAL OFFICE</v>
      </c>
      <c r="J2453" s="164" t="str">
        <f ca="1">IFERROR(__xludf.DUMMYFUNCTION("""COMPUTED_VALUE"""),"2023-10-0001SPLIT")</f>
        <v>2023-10-0001SPLIT</v>
      </c>
      <c r="K2453" s="164" t="str">
        <f ca="1">IFERROR(__xludf.DUMMYFUNCTION("""COMPUTED_VALUE"""),"VAIL MICHAEL NAGAYNAY")</f>
        <v>VAIL MICHAEL NAGAYNAY</v>
      </c>
      <c r="L2453" s="164" t="str">
        <f ca="1">IFERROR(__xludf.DUMMYFUNCTION("""COMPUTED_VALUE"""),"LEGAL")</f>
        <v>LEGAL</v>
      </c>
      <c r="M2453" s="164" t="str">
        <f ca="1">IFERROR(__xludf.DUMMYFUNCTION("""COMPUTED_VALUE"""),"SERVICEABLE")</f>
        <v>SERVICEABLE</v>
      </c>
      <c r="N2453" s="164"/>
    </row>
    <row r="2454" spans="1:14" ht="13.2" hidden="1">
      <c r="A2454" s="164" t="str">
        <f ca="1">IFERROR(__xludf.DUMMYFUNCTION("""COMPUTED_VALUE"""),"Region VI")</f>
        <v>Region VI</v>
      </c>
      <c r="B2454" s="164" t="str">
        <f ca="1">IFERROR(__xludf.DUMMYFUNCTION("""COMPUTED_VALUE"""),"GUIMARAS")</f>
        <v>GUIMARAS</v>
      </c>
      <c r="C2454" s="164" t="str">
        <f ca="1">IFERROR(__xludf.DUMMYFUNCTION("""COMPUTED_VALUE"""),"Desktop Computer – (Lenovo M70T)")</f>
        <v>Desktop Computer – (Lenovo M70T)</v>
      </c>
      <c r="D2454" s="164" t="str">
        <f ca="1">IFERROR(__xludf.DUMMYFUNCTION("""COMPUTED_VALUE"""),"₱ 75,468.00")</f>
        <v>₱ 75,468.00</v>
      </c>
      <c r="E2454" s="164"/>
      <c r="F2454" s="164" t="str">
        <f ca="1">IFERROR(__xludf.DUMMYFUNCTION("""COMPUTED_VALUE"""),"2023-10-0003SPLITIT")</f>
        <v>2023-10-0003SPLITIT</v>
      </c>
      <c r="G2454" s="164"/>
      <c r="H2454" s="164" t="str">
        <f ca="1">IFERROR(__xludf.DUMMYFUNCTION("""COMPUTED_VALUE"""),"DHANIKKA HUALDE")</f>
        <v>DHANIKKA HUALDE</v>
      </c>
      <c r="I2454" s="164" t="str">
        <f ca="1">IFERROR(__xludf.DUMMYFUNCTION("""COMPUTED_VALUE"""),"ARPO I")</f>
        <v>ARPO I</v>
      </c>
      <c r="J2454" s="164" t="str">
        <f ca="1">IFERROR(__xludf.DUMMYFUNCTION("""COMPUTED_VALUE"""),"2023-10-0003SPLIT")</f>
        <v>2023-10-0003SPLIT</v>
      </c>
      <c r="K2454" s="164" t="str">
        <f ca="1">IFERROR(__xludf.DUMMYFUNCTION("""COMPUTED_VALUE"""),"DHANIKKA HUALDE")</f>
        <v>DHANIKKA HUALDE</v>
      </c>
      <c r="L2454" s="164" t="str">
        <f ca="1">IFERROR(__xludf.DUMMYFUNCTION("""COMPUTED_VALUE"""),"ARBDSP")</f>
        <v>ARBDSP</v>
      </c>
      <c r="M2454" s="164" t="str">
        <f ca="1">IFERROR(__xludf.DUMMYFUNCTION("""COMPUTED_VALUE"""),"SERVICEABLE")</f>
        <v>SERVICEABLE</v>
      </c>
      <c r="N2454" s="164"/>
    </row>
    <row r="2455" spans="1:14" ht="13.2" hidden="1">
      <c r="A2455" s="164" t="str">
        <f ca="1">IFERROR(__xludf.DUMMYFUNCTION("""COMPUTED_VALUE"""),"Region VI")</f>
        <v>Region VI</v>
      </c>
      <c r="B2455" s="164" t="str">
        <f ca="1">IFERROR(__xludf.DUMMYFUNCTION("""COMPUTED_VALUE"""),"GUIMARAS")</f>
        <v>GUIMARAS</v>
      </c>
      <c r="C2455" s="164" t="str">
        <f ca="1">IFERROR(__xludf.DUMMYFUNCTION("""COMPUTED_VALUE"""),"Desktop Computer – (Lenovo M70T)")</f>
        <v>Desktop Computer – (Lenovo M70T)</v>
      </c>
      <c r="D2455" s="164" t="str">
        <f ca="1">IFERROR(__xludf.DUMMYFUNCTION("""COMPUTED_VALUE"""),"₱ 75,468.00")</f>
        <v>₱ 75,468.00</v>
      </c>
      <c r="E2455" s="164"/>
      <c r="F2455" s="164" t="str">
        <f ca="1">IFERROR(__xludf.DUMMYFUNCTION("""COMPUTED_VALUE"""),"2023-10-0004SPLITIT")</f>
        <v>2023-10-0004SPLITIT</v>
      </c>
      <c r="G2455" s="164"/>
      <c r="H2455" s="164" t="str">
        <f ca="1">IFERROR(__xludf.DUMMYFUNCTION("""COMPUTED_VALUE"""),"ANA MARIE BELGA")</f>
        <v>ANA MARIE BELGA</v>
      </c>
      <c r="I2455" s="164" t="str">
        <f ca="1">IFERROR(__xludf.DUMMYFUNCTION("""COMPUTED_VALUE"""),"PLANNING OFFICER II")</f>
        <v>PLANNING OFFICER II</v>
      </c>
      <c r="J2455" s="164" t="str">
        <f ca="1">IFERROR(__xludf.DUMMYFUNCTION("""COMPUTED_VALUE"""),"2023-10-0004SPLIT")</f>
        <v>2023-10-0004SPLIT</v>
      </c>
      <c r="K2455" s="164" t="str">
        <f ca="1">IFERROR(__xludf.DUMMYFUNCTION("""COMPUTED_VALUE"""),"ANA MARIE BELGA")</f>
        <v>ANA MARIE BELGA</v>
      </c>
      <c r="L2455" s="164" t="str">
        <f ca="1">IFERROR(__xludf.DUMMYFUNCTION("""COMPUTED_VALUE"""),"STOD")</f>
        <v>STOD</v>
      </c>
      <c r="M2455" s="164" t="str">
        <f ca="1">IFERROR(__xludf.DUMMYFUNCTION("""COMPUTED_VALUE"""),"SERVICEABLE")</f>
        <v>SERVICEABLE</v>
      </c>
      <c r="N2455" s="164"/>
    </row>
    <row r="2456" spans="1:14" ht="13.2" hidden="1">
      <c r="A2456" s="164" t="str">
        <f ca="1">IFERROR(__xludf.DUMMYFUNCTION("""COMPUTED_VALUE"""),"Region VI")</f>
        <v>Region VI</v>
      </c>
      <c r="B2456" s="164" t="str">
        <f ca="1">IFERROR(__xludf.DUMMYFUNCTION("""COMPUTED_VALUE"""),"GUIMARAS")</f>
        <v>GUIMARAS</v>
      </c>
      <c r="C2456" s="164" t="str">
        <f ca="1">IFERROR(__xludf.DUMMYFUNCTION("""COMPUTED_VALUE"""),"Desktop Computer – (Lenovo M70T)")</f>
        <v>Desktop Computer – (Lenovo M70T)</v>
      </c>
      <c r="D2456" s="164" t="str">
        <f ca="1">IFERROR(__xludf.DUMMYFUNCTION("""COMPUTED_VALUE"""),"₱ 75,468.00")</f>
        <v>₱ 75,468.00</v>
      </c>
      <c r="E2456" s="164"/>
      <c r="F2456" s="164" t="str">
        <f ca="1">IFERROR(__xludf.DUMMYFUNCTION("""COMPUTED_VALUE"""),"2023-10-0005SPLITIT")</f>
        <v>2023-10-0005SPLITIT</v>
      </c>
      <c r="G2456" s="164"/>
      <c r="H2456" s="164" t="str">
        <f ca="1">IFERROR(__xludf.DUMMYFUNCTION("""COMPUTED_VALUE"""),"MYLYN NOBLEZA")</f>
        <v>MYLYN NOBLEZA</v>
      </c>
      <c r="I2456" s="164" t="str">
        <f ca="1">IFERROR(__xludf.DUMMYFUNCTION("""COMPUTED_VALUE"""),"ACCOUNTANT II")</f>
        <v>ACCOUNTANT II</v>
      </c>
      <c r="J2456" s="164" t="str">
        <f ca="1">IFERROR(__xludf.DUMMYFUNCTION("""COMPUTED_VALUE"""),"2023-10-0005SPLIT")</f>
        <v>2023-10-0005SPLIT</v>
      </c>
      <c r="K2456" s="164" t="str">
        <f ca="1">IFERROR(__xludf.DUMMYFUNCTION("""COMPUTED_VALUE"""),"MYLYN NOBLEZA")</f>
        <v>MYLYN NOBLEZA</v>
      </c>
      <c r="L2456" s="164" t="str">
        <f ca="1">IFERROR(__xludf.DUMMYFUNCTION("""COMPUTED_VALUE"""),"STOD")</f>
        <v>STOD</v>
      </c>
      <c r="M2456" s="164" t="str">
        <f ca="1">IFERROR(__xludf.DUMMYFUNCTION("""COMPUTED_VALUE"""),"SERVICEABLE")</f>
        <v>SERVICEABLE</v>
      </c>
      <c r="N2456" s="164"/>
    </row>
    <row r="2457" spans="1:14" ht="13.2" hidden="1">
      <c r="A2457" s="164" t="str">
        <f ca="1">IFERROR(__xludf.DUMMYFUNCTION("""COMPUTED_VALUE"""),"Region VI")</f>
        <v>Region VI</v>
      </c>
      <c r="B2457" s="164" t="str">
        <f ca="1">IFERROR(__xludf.DUMMYFUNCTION("""COMPUTED_VALUE"""),"GUIMARAS")</f>
        <v>GUIMARAS</v>
      </c>
      <c r="C2457" s="164" t="str">
        <f ca="1">IFERROR(__xludf.DUMMYFUNCTION("""COMPUTED_VALUE"""),"Desktop Computer – (Lenovo M70T)")</f>
        <v>Desktop Computer – (Lenovo M70T)</v>
      </c>
      <c r="D2457" s="164" t="str">
        <f ca="1">IFERROR(__xludf.DUMMYFUNCTION("""COMPUTED_VALUE"""),"₱ 75,468.00")</f>
        <v>₱ 75,468.00</v>
      </c>
      <c r="E2457" s="164"/>
      <c r="F2457" s="164" t="str">
        <f ca="1">IFERROR(__xludf.DUMMYFUNCTION("""COMPUTED_VALUE"""),"2023-10-0006SPLITIT")</f>
        <v>2023-10-0006SPLITIT</v>
      </c>
      <c r="G2457" s="164"/>
      <c r="H2457" s="164" t="str">
        <f ca="1">IFERROR(__xludf.DUMMYFUNCTION("""COMPUTED_VALUE"""),"MAILEN GALAS")</f>
        <v>MAILEN GALAS</v>
      </c>
      <c r="I2457" s="164" t="str">
        <f ca="1">IFERROR(__xludf.DUMMYFUNCTION("""COMPUTED_VALUE"""),"AO IV/HRMO II")</f>
        <v>AO IV/HRMO II</v>
      </c>
      <c r="J2457" s="164" t="str">
        <f ca="1">IFERROR(__xludf.DUMMYFUNCTION("""COMPUTED_VALUE"""),"2023-10-0006SPLIT")</f>
        <v>2023-10-0006SPLIT</v>
      </c>
      <c r="K2457" s="164" t="str">
        <f ca="1">IFERROR(__xludf.DUMMYFUNCTION("""COMPUTED_VALUE"""),"MAILEN GALAS")</f>
        <v>MAILEN GALAS</v>
      </c>
      <c r="L2457" s="164" t="str">
        <f ca="1">IFERROR(__xludf.DUMMYFUNCTION("""COMPUTED_VALUE"""),"STOD")</f>
        <v>STOD</v>
      </c>
      <c r="M2457" s="164" t="str">
        <f ca="1">IFERROR(__xludf.DUMMYFUNCTION("""COMPUTED_VALUE"""),"SERVICEABLE")</f>
        <v>SERVICEABLE</v>
      </c>
      <c r="N2457" s="164"/>
    </row>
    <row r="2458" spans="1:14" ht="13.2" hidden="1">
      <c r="A2458" s="164" t="str">
        <f ca="1">IFERROR(__xludf.DUMMYFUNCTION("""COMPUTED_VALUE"""),"Region VI")</f>
        <v>Region VI</v>
      </c>
      <c r="B2458" s="164" t="str">
        <f ca="1">IFERROR(__xludf.DUMMYFUNCTION("""COMPUTED_VALUE"""),"GUIMARAS")</f>
        <v>GUIMARAS</v>
      </c>
      <c r="C2458" s="164" t="str">
        <f ca="1">IFERROR(__xludf.DUMMYFUNCTION("""COMPUTED_VALUE"""),"Desktop Computer – (Lenovo M70T)")</f>
        <v>Desktop Computer – (Lenovo M70T)</v>
      </c>
      <c r="D2458" s="164" t="str">
        <f ca="1">IFERROR(__xludf.DUMMYFUNCTION("""COMPUTED_VALUE"""),"₱ 75,468.00")</f>
        <v>₱ 75,468.00</v>
      </c>
      <c r="E2458" s="164"/>
      <c r="F2458" s="164" t="str">
        <f ca="1">IFERROR(__xludf.DUMMYFUNCTION("""COMPUTED_VALUE"""),"2023-10-0008SPLITIT")</f>
        <v>2023-10-0008SPLITIT</v>
      </c>
      <c r="G2458" s="164"/>
      <c r="H2458" s="164" t="str">
        <f ca="1">IFERROR(__xludf.DUMMYFUNCTION("""COMPUTED_VALUE"""),"MANUEL VELASCO")</f>
        <v>MANUEL VELASCO</v>
      </c>
      <c r="I2458" s="164" t="str">
        <f ca="1">IFERROR(__xludf.DUMMYFUNCTION("""COMPUTED_VALUE"""),"OIC-PARPO II")</f>
        <v>OIC-PARPO II</v>
      </c>
      <c r="J2458" s="164" t="str">
        <f ca="1">IFERROR(__xludf.DUMMYFUNCTION("""COMPUTED_VALUE"""),"2023-10-0008SPLIT")</f>
        <v>2023-10-0008SPLIT</v>
      </c>
      <c r="K2458" s="164" t="str">
        <f ca="1">IFERROR(__xludf.DUMMYFUNCTION("""COMPUTED_VALUE"""),"MANUEL VELASCO")</f>
        <v>MANUEL VELASCO</v>
      </c>
      <c r="L2458" s="164" t="str">
        <f ca="1">IFERROR(__xludf.DUMMYFUNCTION("""COMPUTED_VALUE"""),"PARO's OFFICE")</f>
        <v>PARO's OFFICE</v>
      </c>
      <c r="M2458" s="164" t="str">
        <f ca="1">IFERROR(__xludf.DUMMYFUNCTION("""COMPUTED_VALUE"""),"SERVICEABLE")</f>
        <v>SERVICEABLE</v>
      </c>
      <c r="N2458" s="164"/>
    </row>
    <row r="2459" spans="1:14" ht="13.2" hidden="1">
      <c r="A2459" s="164" t="str">
        <f ca="1">IFERROR(__xludf.DUMMYFUNCTION("""COMPUTED_VALUE"""),"Region VI")</f>
        <v>Region VI</v>
      </c>
      <c r="B2459" s="164" t="str">
        <f ca="1">IFERROR(__xludf.DUMMYFUNCTION("""COMPUTED_VALUE"""),"GUIMARAS")</f>
        <v>GUIMARAS</v>
      </c>
      <c r="C2459" s="164" t="str">
        <f ca="1">IFERROR(__xludf.DUMMYFUNCTION("""COMPUTED_VALUE"""),"Desktop Computer – (Lenovo M70T)")</f>
        <v>Desktop Computer – (Lenovo M70T)</v>
      </c>
      <c r="D2459" s="164" t="str">
        <f ca="1">IFERROR(__xludf.DUMMYFUNCTION("""COMPUTED_VALUE"""),"₱ 75,468.00")</f>
        <v>₱ 75,468.00</v>
      </c>
      <c r="E2459" s="164"/>
      <c r="F2459" s="164" t="str">
        <f ca="1">IFERROR(__xludf.DUMMYFUNCTION("""COMPUTED_VALUE"""),"2023-10-0009SPLITIT")</f>
        <v>2023-10-0009SPLITIT</v>
      </c>
      <c r="G2459" s="164"/>
      <c r="H2459" s="164" t="str">
        <f ca="1">IFERROR(__xludf.DUMMYFUNCTION("""COMPUTED_VALUE"""),"ANGEL BELGA")</f>
        <v>ANGEL BELGA</v>
      </c>
      <c r="I2459" s="164" t="str">
        <f ca="1">IFERROR(__xludf.DUMMYFUNCTION("""COMPUTED_VALUE"""),"MARPO/LTI COORDINATOR")</f>
        <v>MARPO/LTI COORDINATOR</v>
      </c>
      <c r="J2459" s="164" t="str">
        <f ca="1">IFERROR(__xludf.DUMMYFUNCTION("""COMPUTED_VALUE"""),"2023-10-0009SPLIT")</f>
        <v>2023-10-0009SPLIT</v>
      </c>
      <c r="K2459" s="164" t="str">
        <f ca="1">IFERROR(__xludf.DUMMYFUNCTION("""COMPUTED_VALUE"""),"ANGEL BELGA")</f>
        <v>ANGEL BELGA</v>
      </c>
      <c r="L2459" s="164" t="str">
        <f ca="1">IFERROR(__xludf.DUMMYFUNCTION("""COMPUTED_VALUE"""),"LTI DIVISION")</f>
        <v>LTI DIVISION</v>
      </c>
      <c r="M2459" s="164" t="str">
        <f ca="1">IFERROR(__xludf.DUMMYFUNCTION("""COMPUTED_VALUE"""),"SERVICEABLE")</f>
        <v>SERVICEABLE</v>
      </c>
      <c r="N2459" s="164"/>
    </row>
    <row r="2460" spans="1:14" ht="13.2" hidden="1">
      <c r="A2460" s="164" t="str">
        <f ca="1">IFERROR(__xludf.DUMMYFUNCTION("""COMPUTED_VALUE"""),"Region VI")</f>
        <v>Region VI</v>
      </c>
      <c r="B2460" s="164" t="str">
        <f ca="1">IFERROR(__xludf.DUMMYFUNCTION("""COMPUTED_VALUE"""),"GUIMARAS")</f>
        <v>GUIMARAS</v>
      </c>
      <c r="C2460" s="164" t="str">
        <f ca="1">IFERROR(__xludf.DUMMYFUNCTION("""COMPUTED_VALUE"""),"Desktop Computer – (Lenovo M70T)")</f>
        <v>Desktop Computer – (Lenovo M70T)</v>
      </c>
      <c r="D2460" s="164" t="str">
        <f ca="1">IFERROR(__xludf.DUMMYFUNCTION("""COMPUTED_VALUE"""),"₱ 75,468.00")</f>
        <v>₱ 75,468.00</v>
      </c>
      <c r="E2460" s="164"/>
      <c r="F2460" s="164" t="str">
        <f ca="1">IFERROR(__xludf.DUMMYFUNCTION("""COMPUTED_VALUE"""),"2023-10-0010SPLITIT")</f>
        <v>2023-10-0010SPLITIT</v>
      </c>
      <c r="G2460" s="164"/>
      <c r="H2460" s="164" t="str">
        <f ca="1">IFERROR(__xludf.DUMMYFUNCTION("""COMPUTED_VALUE"""),"JENNY ROSE GALFO")</f>
        <v>JENNY ROSE GALFO</v>
      </c>
      <c r="I2460" s="164" t="str">
        <f ca="1">IFERROR(__xludf.DUMMYFUNCTION("""COMPUTED_VALUE"""),"ARPTECH")</f>
        <v>ARPTECH</v>
      </c>
      <c r="J2460" s="164" t="str">
        <f ca="1">IFERROR(__xludf.DUMMYFUNCTION("""COMPUTED_VALUE"""),"2023-10-0010SPLIT")</f>
        <v>2023-10-0010SPLIT</v>
      </c>
      <c r="K2460" s="164" t="str">
        <f ca="1">IFERROR(__xludf.DUMMYFUNCTION("""COMPUTED_VALUE"""),"JENNY ROSE GALFO")</f>
        <v>JENNY ROSE GALFO</v>
      </c>
      <c r="L2460" s="164" t="str">
        <f ca="1">IFERROR(__xludf.DUMMYFUNCTION("""COMPUTED_VALUE"""),"LTI DIVISION")</f>
        <v>LTI DIVISION</v>
      </c>
      <c r="M2460" s="164" t="str">
        <f ca="1">IFERROR(__xludf.DUMMYFUNCTION("""COMPUTED_VALUE"""),"SERVICEABLE")</f>
        <v>SERVICEABLE</v>
      </c>
      <c r="N2460" s="164"/>
    </row>
    <row r="2461" spans="1:14" ht="13.2" hidden="1">
      <c r="A2461" s="164" t="str">
        <f ca="1">IFERROR(__xludf.DUMMYFUNCTION("""COMPUTED_VALUE"""),"Region VI")</f>
        <v>Region VI</v>
      </c>
      <c r="B2461" s="164" t="str">
        <f ca="1">IFERROR(__xludf.DUMMYFUNCTION("""COMPUTED_VALUE"""),"GUIMARAS")</f>
        <v>GUIMARAS</v>
      </c>
      <c r="C2461" s="164" t="str">
        <f ca="1">IFERROR(__xludf.DUMMYFUNCTION("""COMPUTED_VALUE"""),"Desktop Computer – (Lenovo M70T)")</f>
        <v>Desktop Computer – (Lenovo M70T)</v>
      </c>
      <c r="D2461" s="164" t="str">
        <f ca="1">IFERROR(__xludf.DUMMYFUNCTION("""COMPUTED_VALUE"""),"₱ 75,468.00")</f>
        <v>₱ 75,468.00</v>
      </c>
      <c r="E2461" s="164"/>
      <c r="F2461" s="164" t="str">
        <f ca="1">IFERROR(__xludf.DUMMYFUNCTION("""COMPUTED_VALUE"""),"2023-10-0011SPLITIT")</f>
        <v>2023-10-0011SPLITIT</v>
      </c>
      <c r="G2461" s="164"/>
      <c r="H2461" s="164" t="str">
        <f ca="1">IFERROR(__xludf.DUMMYFUNCTION("""COMPUTED_VALUE"""),"JUNGIE EMATA")</f>
        <v>JUNGIE EMATA</v>
      </c>
      <c r="I2461" s="164" t="str">
        <f ca="1">IFERROR(__xludf.DUMMYFUNCTION("""COMPUTED_VALUE"""),"ARPTECH")</f>
        <v>ARPTECH</v>
      </c>
      <c r="J2461" s="164" t="str">
        <f ca="1">IFERROR(__xludf.DUMMYFUNCTION("""COMPUTED_VALUE"""),"2023-10-0011SPLIT")</f>
        <v>2023-10-0011SPLIT</v>
      </c>
      <c r="K2461" s="164" t="str">
        <f ca="1">IFERROR(__xludf.DUMMYFUNCTION("""COMPUTED_VALUE"""),"JUNGIE EMATA")</f>
        <v>JUNGIE EMATA</v>
      </c>
      <c r="L2461" s="164" t="str">
        <f ca="1">IFERROR(__xludf.DUMMYFUNCTION("""COMPUTED_VALUE"""),"LTI DIVISION")</f>
        <v>LTI DIVISION</v>
      </c>
      <c r="M2461" s="164" t="str">
        <f ca="1">IFERROR(__xludf.DUMMYFUNCTION("""COMPUTED_VALUE"""),"SERVICEABLE")</f>
        <v>SERVICEABLE</v>
      </c>
      <c r="N2461" s="164"/>
    </row>
    <row r="2462" spans="1:14" ht="13.2" hidden="1">
      <c r="A2462" s="164" t="str">
        <f ca="1">IFERROR(__xludf.DUMMYFUNCTION("""COMPUTED_VALUE"""),"Region VI")</f>
        <v>Region VI</v>
      </c>
      <c r="B2462" s="164" t="str">
        <f ca="1">IFERROR(__xludf.DUMMYFUNCTION("""COMPUTED_VALUE"""),"GUIMARAS")</f>
        <v>GUIMARAS</v>
      </c>
      <c r="C2462" s="164" t="str">
        <f ca="1">IFERROR(__xludf.DUMMYFUNCTION("""COMPUTED_VALUE"""),"Desktop Computer – (Lenovo M70T)")</f>
        <v>Desktop Computer – (Lenovo M70T)</v>
      </c>
      <c r="D2462" s="164" t="str">
        <f ca="1">IFERROR(__xludf.DUMMYFUNCTION("""COMPUTED_VALUE"""),"₱ 75,468.00")</f>
        <v>₱ 75,468.00</v>
      </c>
      <c r="E2462" s="164"/>
      <c r="F2462" s="164" t="str">
        <f ca="1">IFERROR(__xludf.DUMMYFUNCTION("""COMPUTED_VALUE"""),"2023-10-0012SPLITIT")</f>
        <v>2023-10-0012SPLITIT</v>
      </c>
      <c r="G2462" s="164"/>
      <c r="H2462" s="164" t="str">
        <f ca="1">IFERROR(__xludf.DUMMYFUNCTION("""COMPUTED_VALUE"""),"JOHN MARK ISOGON")</f>
        <v>JOHN MARK ISOGON</v>
      </c>
      <c r="I2462" s="164" t="str">
        <f ca="1">IFERROR(__xludf.DUMMYFUNCTION("""COMPUTED_VALUE"""),"ARPO I")</f>
        <v>ARPO I</v>
      </c>
      <c r="J2462" s="164" t="str">
        <f ca="1">IFERROR(__xludf.DUMMYFUNCTION("""COMPUTED_VALUE"""),"2023-10-0012SPLIT")</f>
        <v>2023-10-0012SPLIT</v>
      </c>
      <c r="K2462" s="164" t="str">
        <f ca="1">IFERROR(__xludf.DUMMYFUNCTION("""COMPUTED_VALUE"""),"JOHN MARK ISOGON")</f>
        <v>JOHN MARK ISOGON</v>
      </c>
      <c r="L2462" s="164" t="str">
        <f ca="1">IFERROR(__xludf.DUMMYFUNCTION("""COMPUTED_VALUE"""),"LTI DIVISION")</f>
        <v>LTI DIVISION</v>
      </c>
      <c r="M2462" s="164" t="str">
        <f ca="1">IFERROR(__xludf.DUMMYFUNCTION("""COMPUTED_VALUE"""),"SERVICEABLE")</f>
        <v>SERVICEABLE</v>
      </c>
      <c r="N2462" s="164"/>
    </row>
    <row r="2463" spans="1:14" ht="13.2" hidden="1">
      <c r="A2463" s="164" t="str">
        <f ca="1">IFERROR(__xludf.DUMMYFUNCTION("""COMPUTED_VALUE"""),"Region VI")</f>
        <v>Region VI</v>
      </c>
      <c r="B2463" s="164" t="str">
        <f ca="1">IFERROR(__xludf.DUMMYFUNCTION("""COMPUTED_VALUE"""),"GUIMARAS")</f>
        <v>GUIMARAS</v>
      </c>
      <c r="C2463" s="164" t="str">
        <f ca="1">IFERROR(__xludf.DUMMYFUNCTION("""COMPUTED_VALUE"""),"Desktop Computer – (Lenovo M70T)")</f>
        <v>Desktop Computer – (Lenovo M70T)</v>
      </c>
      <c r="D2463" s="164" t="str">
        <f ca="1">IFERROR(__xludf.DUMMYFUNCTION("""COMPUTED_VALUE"""),"₱ 75,468.00")</f>
        <v>₱ 75,468.00</v>
      </c>
      <c r="E2463" s="164"/>
      <c r="F2463" s="164" t="str">
        <f ca="1">IFERROR(__xludf.DUMMYFUNCTION("""COMPUTED_VALUE"""),"2023-10-0014SPLITIT")</f>
        <v>2023-10-0014SPLITIT</v>
      </c>
      <c r="G2463" s="164"/>
      <c r="H2463" s="164" t="str">
        <f ca="1">IFERROR(__xludf.DUMMYFUNCTION("""COMPUTED_VALUE"""),"DAISY ANG")</f>
        <v>DAISY ANG</v>
      </c>
      <c r="I2463" s="164" t="str">
        <f ca="1">IFERROR(__xludf.DUMMYFUNCTION("""COMPUTED_VALUE"""),"ARPO I")</f>
        <v>ARPO I</v>
      </c>
      <c r="J2463" s="164" t="str">
        <f ca="1">IFERROR(__xludf.DUMMYFUNCTION("""COMPUTED_VALUE"""),"2023-10-0014SPLIT")</f>
        <v>2023-10-0014SPLIT</v>
      </c>
      <c r="K2463" s="164" t="str">
        <f ca="1">IFERROR(__xludf.DUMMYFUNCTION("""COMPUTED_VALUE"""),"DAISY ANG")</f>
        <v>DAISY ANG</v>
      </c>
      <c r="L2463" s="164" t="str">
        <f ca="1">IFERROR(__xludf.DUMMYFUNCTION("""COMPUTED_VALUE"""),"LTI DIVISION")</f>
        <v>LTI DIVISION</v>
      </c>
      <c r="M2463" s="164" t="str">
        <f ca="1">IFERROR(__xludf.DUMMYFUNCTION("""COMPUTED_VALUE"""),"SERVICEABLE")</f>
        <v>SERVICEABLE</v>
      </c>
      <c r="N2463" s="164"/>
    </row>
    <row r="2464" spans="1:14" ht="13.2" hidden="1">
      <c r="A2464" s="164" t="str">
        <f ca="1">IFERROR(__xludf.DUMMYFUNCTION("""COMPUTED_VALUE"""),"Region VI")</f>
        <v>Region VI</v>
      </c>
      <c r="B2464" s="164" t="str">
        <f ca="1">IFERROR(__xludf.DUMMYFUNCTION("""COMPUTED_VALUE"""),"GUIMARAS")</f>
        <v>GUIMARAS</v>
      </c>
      <c r="C2464" s="164" t="str">
        <f ca="1">IFERROR(__xludf.DUMMYFUNCTION("""COMPUTED_VALUE"""),"Desktop Computer – (Lenovo M70T)")</f>
        <v>Desktop Computer – (Lenovo M70T)</v>
      </c>
      <c r="D2464" s="164" t="str">
        <f ca="1">IFERROR(__xludf.DUMMYFUNCTION("""COMPUTED_VALUE"""),"₱ 75,468.00")</f>
        <v>₱ 75,468.00</v>
      </c>
      <c r="E2464" s="164"/>
      <c r="F2464" s="164" t="str">
        <f ca="1">IFERROR(__xludf.DUMMYFUNCTION("""COMPUTED_VALUE"""),"2023-10-0015SPLITIT")</f>
        <v>2023-10-0015SPLITIT</v>
      </c>
      <c r="G2464" s="164"/>
      <c r="H2464" s="164" t="str">
        <f ca="1">IFERROR(__xludf.DUMMYFUNCTION("""COMPUTED_VALUE"""),"MELROSE JIMENEZ")</f>
        <v>MELROSE JIMENEZ</v>
      </c>
      <c r="I2464" s="164" t="str">
        <f ca="1">IFERROR(__xludf.DUMMYFUNCTION("""COMPUTED_VALUE"""),"SARPTECH")</f>
        <v>SARPTECH</v>
      </c>
      <c r="J2464" s="164" t="str">
        <f ca="1">IFERROR(__xludf.DUMMYFUNCTION("""COMPUTED_VALUE"""),"2023-10-0015SPLIT")</f>
        <v>2023-10-0015SPLIT</v>
      </c>
      <c r="K2464" s="164" t="str">
        <f ca="1">IFERROR(__xludf.DUMMYFUNCTION("""COMPUTED_VALUE"""),"MELROSE JIMENEZ")</f>
        <v>MELROSE JIMENEZ</v>
      </c>
      <c r="L2464" s="164" t="str">
        <f ca="1">IFERROR(__xludf.DUMMYFUNCTION("""COMPUTED_VALUE"""),"ARBDSP")</f>
        <v>ARBDSP</v>
      </c>
      <c r="M2464" s="164" t="str">
        <f ca="1">IFERROR(__xludf.DUMMYFUNCTION("""COMPUTED_VALUE"""),"SERVICEABLE")</f>
        <v>SERVICEABLE</v>
      </c>
      <c r="N2464" s="164"/>
    </row>
    <row r="2465" spans="1:14" ht="13.2" hidden="1">
      <c r="A2465" s="164" t="str">
        <f ca="1">IFERROR(__xludf.DUMMYFUNCTION("""COMPUTED_VALUE"""),"Region VI")</f>
        <v>Region VI</v>
      </c>
      <c r="B2465" s="164" t="str">
        <f ca="1">IFERROR(__xludf.DUMMYFUNCTION("""COMPUTED_VALUE"""),"GUIMARAS")</f>
        <v>GUIMARAS</v>
      </c>
      <c r="C2465" s="164" t="str">
        <f ca="1">IFERROR(__xludf.DUMMYFUNCTION("""COMPUTED_VALUE"""),"Desktop Computer – (Lenovo M70T)")</f>
        <v>Desktop Computer – (Lenovo M70T)</v>
      </c>
      <c r="D2465" s="164" t="str">
        <f ca="1">IFERROR(__xludf.DUMMYFUNCTION("""COMPUTED_VALUE"""),"₱ 75,468.00")</f>
        <v>₱ 75,468.00</v>
      </c>
      <c r="E2465" s="164"/>
      <c r="F2465" s="164" t="str">
        <f ca="1">IFERROR(__xludf.DUMMYFUNCTION("""COMPUTED_VALUE"""),"2023-10-0016SPLITIT")</f>
        <v>2023-10-0016SPLITIT</v>
      </c>
      <c r="G2465" s="164"/>
      <c r="H2465" s="164" t="str">
        <f ca="1">IFERROR(__xludf.DUMMYFUNCTION("""COMPUTED_VALUE"""),"HARRIETA GEDALANGA")</f>
        <v>HARRIETA GEDALANGA</v>
      </c>
      <c r="I2465" s="164" t="str">
        <f ca="1">IFERROR(__xludf.DUMMYFUNCTION("""COMPUTED_VALUE"""),"MARPO")</f>
        <v>MARPO</v>
      </c>
      <c r="J2465" s="164" t="str">
        <f ca="1">IFERROR(__xludf.DUMMYFUNCTION("""COMPUTED_VALUE"""),"2023-10-0016SPLIT")</f>
        <v>2023-10-0016SPLIT</v>
      </c>
      <c r="K2465" s="164" t="str">
        <f ca="1">IFERROR(__xludf.DUMMYFUNCTION("""COMPUTED_VALUE"""),"HARRIETA GEDALANGA")</f>
        <v>HARRIETA GEDALANGA</v>
      </c>
      <c r="L2465" s="164" t="str">
        <f ca="1">IFERROR(__xludf.DUMMYFUNCTION("""COMPUTED_VALUE"""),"MARO-JORDAN")</f>
        <v>MARO-JORDAN</v>
      </c>
      <c r="M2465" s="164" t="str">
        <f ca="1">IFERROR(__xludf.DUMMYFUNCTION("""COMPUTED_VALUE"""),"SERVICEABLE")</f>
        <v>SERVICEABLE</v>
      </c>
      <c r="N2465" s="164"/>
    </row>
    <row r="2466" spans="1:14" ht="13.2" hidden="1">
      <c r="A2466" s="164" t="str">
        <f ca="1">IFERROR(__xludf.DUMMYFUNCTION("""COMPUTED_VALUE"""),"Region VI")</f>
        <v>Region VI</v>
      </c>
      <c r="B2466" s="164" t="str">
        <f ca="1">IFERROR(__xludf.DUMMYFUNCTION("""COMPUTED_VALUE"""),"GUIMARAS")</f>
        <v>GUIMARAS</v>
      </c>
      <c r="C2466" s="164" t="str">
        <f ca="1">IFERROR(__xludf.DUMMYFUNCTION("""COMPUTED_VALUE"""),"Desktop Computer – (Lenovo M70T)")</f>
        <v>Desktop Computer – (Lenovo M70T)</v>
      </c>
      <c r="D2466" s="164" t="str">
        <f ca="1">IFERROR(__xludf.DUMMYFUNCTION("""COMPUTED_VALUE"""),"₱ 75,468.00")</f>
        <v>₱ 75,468.00</v>
      </c>
      <c r="E2466" s="164"/>
      <c r="F2466" s="164" t="str">
        <f ca="1">IFERROR(__xludf.DUMMYFUNCTION("""COMPUTED_VALUE"""),"2023-10-0017SPLITIT")</f>
        <v>2023-10-0017SPLITIT</v>
      </c>
      <c r="G2466" s="164"/>
      <c r="H2466" s="164" t="str">
        <f ca="1">IFERROR(__xludf.DUMMYFUNCTION("""COMPUTED_VALUE"""),"ROY BUNOL")</f>
        <v>ROY BUNOL</v>
      </c>
      <c r="I2466" s="164" t="str">
        <f ca="1">IFERROR(__xludf.DUMMYFUNCTION("""COMPUTED_VALUE"""),"ARPTECH")</f>
        <v>ARPTECH</v>
      </c>
      <c r="J2466" s="164" t="str">
        <f ca="1">IFERROR(__xludf.DUMMYFUNCTION("""COMPUTED_VALUE"""),"2023-10-0017SPLIT")</f>
        <v>2023-10-0017SPLIT</v>
      </c>
      <c r="K2466" s="164" t="str">
        <f ca="1">IFERROR(__xludf.DUMMYFUNCTION("""COMPUTED_VALUE"""),"ROY BUNOL")</f>
        <v>ROY BUNOL</v>
      </c>
      <c r="L2466" s="164" t="str">
        <f ca="1">IFERROR(__xludf.DUMMYFUNCTION("""COMPUTED_VALUE"""),"MARPO-NUEVA VALENCIA")</f>
        <v>MARPO-NUEVA VALENCIA</v>
      </c>
      <c r="M2466" s="164" t="str">
        <f ca="1">IFERROR(__xludf.DUMMYFUNCTION("""COMPUTED_VALUE"""),"SERVICEABLE")</f>
        <v>SERVICEABLE</v>
      </c>
      <c r="N2466" s="164"/>
    </row>
    <row r="2467" spans="1:14" ht="13.2" hidden="1">
      <c r="A2467" s="164" t="str">
        <f ca="1">IFERROR(__xludf.DUMMYFUNCTION("""COMPUTED_VALUE"""),"Region VI")</f>
        <v>Region VI</v>
      </c>
      <c r="B2467" s="164" t="str">
        <f ca="1">IFERROR(__xludf.DUMMYFUNCTION("""COMPUTED_VALUE"""),"GUIMARAS")</f>
        <v>GUIMARAS</v>
      </c>
      <c r="C2467" s="164" t="str">
        <f ca="1">IFERROR(__xludf.DUMMYFUNCTION("""COMPUTED_VALUE"""),"Desktop Computer – (Lenovo M70T)")</f>
        <v>Desktop Computer – (Lenovo M70T)</v>
      </c>
      <c r="D2467" s="164" t="str">
        <f ca="1">IFERROR(__xludf.DUMMYFUNCTION("""COMPUTED_VALUE"""),"₱ 75,468.00")</f>
        <v>₱ 75,468.00</v>
      </c>
      <c r="E2467" s="164"/>
      <c r="F2467" s="164" t="str">
        <f ca="1">IFERROR(__xludf.DUMMYFUNCTION("""COMPUTED_VALUE"""),"2023-10-0018SPLITIT")</f>
        <v>2023-10-0018SPLITIT</v>
      </c>
      <c r="G2467" s="164"/>
      <c r="H2467" s="164" t="str">
        <f ca="1">IFERROR(__xludf.DUMMYFUNCTION("""COMPUTED_VALUE"""),"JOHN MARC SORTIGOSA")</f>
        <v>JOHN MARC SORTIGOSA</v>
      </c>
      <c r="I2467" s="164" t="str">
        <f ca="1">IFERROR(__xludf.DUMMYFUNCTION("""COMPUTED_VALUE"""),"MARPO")</f>
        <v>MARPO</v>
      </c>
      <c r="J2467" s="164" t="str">
        <f ca="1">IFERROR(__xludf.DUMMYFUNCTION("""COMPUTED_VALUE"""),"2023-10-0018SPLIT")</f>
        <v>2023-10-0018SPLIT</v>
      </c>
      <c r="K2467" s="164" t="str">
        <f ca="1">IFERROR(__xludf.DUMMYFUNCTION("""COMPUTED_VALUE"""),"JOHN MARC SORTIGOSA")</f>
        <v>JOHN MARC SORTIGOSA</v>
      </c>
      <c r="L2467" s="164" t="str">
        <f ca="1">IFERROR(__xludf.DUMMYFUNCTION("""COMPUTED_VALUE"""),"MARPO-BUENAVISTA")</f>
        <v>MARPO-BUENAVISTA</v>
      </c>
      <c r="M2467" s="164" t="str">
        <f ca="1">IFERROR(__xludf.DUMMYFUNCTION("""COMPUTED_VALUE"""),"SERVICEABLE")</f>
        <v>SERVICEABLE</v>
      </c>
      <c r="N2467" s="164"/>
    </row>
    <row r="2468" spans="1:14" ht="13.2" hidden="1">
      <c r="A2468" s="164" t="str">
        <f ca="1">IFERROR(__xludf.DUMMYFUNCTION("""COMPUTED_VALUE"""),"Region VI")</f>
        <v>Region VI</v>
      </c>
      <c r="B2468" s="164" t="str">
        <f ca="1">IFERROR(__xludf.DUMMYFUNCTION("""COMPUTED_VALUE"""),"GUIMARAS")</f>
        <v>GUIMARAS</v>
      </c>
      <c r="C2468" s="164" t="str">
        <f ca="1">IFERROR(__xludf.DUMMYFUNCTION("""COMPUTED_VALUE"""),"Desktop Computer – (Lenovo M70T)")</f>
        <v>Desktop Computer – (Lenovo M70T)</v>
      </c>
      <c r="D2468" s="164" t="str">
        <f ca="1">IFERROR(__xludf.DUMMYFUNCTION("""COMPUTED_VALUE"""),"₱ 75,468.00")</f>
        <v>₱ 75,468.00</v>
      </c>
      <c r="E2468" s="164"/>
      <c r="F2468" s="164" t="str">
        <f ca="1">IFERROR(__xludf.DUMMYFUNCTION("""COMPUTED_VALUE"""),"2023-10-0019SPLITIT")</f>
        <v>2023-10-0019SPLITIT</v>
      </c>
      <c r="G2468" s="164"/>
      <c r="H2468" s="164" t="str">
        <f ca="1">IFERROR(__xludf.DUMMYFUNCTION("""COMPUTED_VALUE"""),"MARY JEAN TAMBALO")</f>
        <v>MARY JEAN TAMBALO</v>
      </c>
      <c r="I2468" s="164" t="str">
        <f ca="1">IFERROR(__xludf.DUMMYFUNCTION("""COMPUTED_VALUE"""),"SARPTECH")</f>
        <v>SARPTECH</v>
      </c>
      <c r="J2468" s="164" t="str">
        <f ca="1">IFERROR(__xludf.DUMMYFUNCTION("""COMPUTED_VALUE"""),"2023-10-0019SPLIT")</f>
        <v>2023-10-0019SPLIT</v>
      </c>
      <c r="K2468" s="164" t="str">
        <f ca="1">IFERROR(__xludf.DUMMYFUNCTION("""COMPUTED_VALUE"""),"MARY JEAN TAMBALO")</f>
        <v>MARY JEAN TAMBALO</v>
      </c>
      <c r="L2468" s="164" t="str">
        <f ca="1">IFERROR(__xludf.DUMMYFUNCTION("""COMPUTED_VALUE"""),"MARPO-SIBUNAG")</f>
        <v>MARPO-SIBUNAG</v>
      </c>
      <c r="M2468" s="164" t="str">
        <f ca="1">IFERROR(__xludf.DUMMYFUNCTION("""COMPUTED_VALUE"""),"SERVICEABLE")</f>
        <v>SERVICEABLE</v>
      </c>
      <c r="N2468" s="164"/>
    </row>
    <row r="2469" spans="1:14" ht="13.2" hidden="1">
      <c r="A2469" s="164" t="str">
        <f ca="1">IFERROR(__xludf.DUMMYFUNCTION("""COMPUTED_VALUE"""),"Region VI")</f>
        <v>Region VI</v>
      </c>
      <c r="B2469" s="164" t="str">
        <f ca="1">IFERROR(__xludf.DUMMYFUNCTION("""COMPUTED_VALUE"""),"GUIMARAS")</f>
        <v>GUIMARAS</v>
      </c>
      <c r="C2469" s="164" t="str">
        <f ca="1">IFERROR(__xludf.DUMMYFUNCTION("""COMPUTED_VALUE"""),"Desktop Computer – (HP Pro SFF 280G9)")</f>
        <v>Desktop Computer – (HP Pro SFF 280G9)</v>
      </c>
      <c r="D2469" s="164" t="str">
        <f ca="1">IFERROR(__xludf.DUMMYFUNCTION("""COMPUTED_VALUE"""),"₱ 78,898.00")</f>
        <v>₱ 78,898.00</v>
      </c>
      <c r="E2469" s="164"/>
      <c r="F2469" s="164" t="str">
        <f ca="1">IFERROR(__xludf.DUMMYFUNCTION("""COMPUTED_VALUE"""),"2023-10-0002SPLITIT")</f>
        <v>2023-10-0002SPLITIT</v>
      </c>
      <c r="G2469" s="164"/>
      <c r="H2469" s="164" t="str">
        <f ca="1">IFERROR(__xludf.DUMMYFUNCTION("""COMPUTED_VALUE"""),"NONALYN BALANO")</f>
        <v>NONALYN BALANO</v>
      </c>
      <c r="I2469" s="164" t="str">
        <f ca="1">IFERROR(__xludf.DUMMYFUNCTION("""COMPUTED_VALUE"""),"ARPO II")</f>
        <v>ARPO II</v>
      </c>
      <c r="J2469" s="164" t="str">
        <f ca="1">IFERROR(__xludf.DUMMYFUNCTION("""COMPUTED_VALUE"""),"2023-10-0002SPLIT")</f>
        <v>2023-10-0002SPLIT</v>
      </c>
      <c r="K2469" s="164" t="str">
        <f ca="1">IFERROR(__xludf.DUMMYFUNCTION("""COMPUTED_VALUE"""),"NONALYN BALANO")</f>
        <v>NONALYN BALANO</v>
      </c>
      <c r="L2469" s="164" t="str">
        <f ca="1">IFERROR(__xludf.DUMMYFUNCTION("""COMPUTED_VALUE"""),"ARBDSP")</f>
        <v>ARBDSP</v>
      </c>
      <c r="M2469" s="164" t="str">
        <f ca="1">IFERROR(__xludf.DUMMYFUNCTION("""COMPUTED_VALUE"""),"SERVICEABLE")</f>
        <v>SERVICEABLE</v>
      </c>
      <c r="N2469" s="164"/>
    </row>
    <row r="2470" spans="1:14" ht="13.2" hidden="1">
      <c r="A2470" s="164" t="str">
        <f ca="1">IFERROR(__xludf.DUMMYFUNCTION("""COMPUTED_VALUE"""),"Region VI")</f>
        <v>Region VI</v>
      </c>
      <c r="B2470" s="164" t="str">
        <f ca="1">IFERROR(__xludf.DUMMYFUNCTION("""COMPUTED_VALUE"""),"GUIMARAS")</f>
        <v>GUIMARAS</v>
      </c>
      <c r="C2470" s="164" t="str">
        <f ca="1">IFERROR(__xludf.DUMMYFUNCTION("""COMPUTED_VALUE"""),"Desktop Computer – (HP Pro SFF 280G9)")</f>
        <v>Desktop Computer – (HP Pro SFF 280G9)</v>
      </c>
      <c r="D2470" s="164" t="str">
        <f ca="1">IFERROR(__xludf.DUMMYFUNCTION("""COMPUTED_VALUE"""),"₱ 78,898.00")</f>
        <v>₱ 78,898.00</v>
      </c>
      <c r="E2470" s="164"/>
      <c r="F2470" s="164" t="str">
        <f ca="1">IFERROR(__xludf.DUMMYFUNCTION("""COMPUTED_VALUE"""),"2023-10-0007SPLITIT")</f>
        <v>2023-10-0007SPLITIT</v>
      </c>
      <c r="G2470" s="164"/>
      <c r="H2470" s="164" t="str">
        <f ca="1">IFERROR(__xludf.DUMMYFUNCTION("""COMPUTED_VALUE"""),"BON RYAN VARONA")</f>
        <v>BON RYAN VARONA</v>
      </c>
      <c r="I2470" s="164" t="str">
        <f ca="1">IFERROR(__xludf.DUMMYFUNCTION("""COMPUTED_VALUE"""),"AO IV/BUDGET OFFICER II")</f>
        <v>AO IV/BUDGET OFFICER II</v>
      </c>
      <c r="J2470" s="164" t="str">
        <f ca="1">IFERROR(__xludf.DUMMYFUNCTION("""COMPUTED_VALUE"""),"2023-10-0007SPLIT")</f>
        <v>2023-10-0007SPLIT</v>
      </c>
      <c r="K2470" s="164" t="str">
        <f ca="1">IFERROR(__xludf.DUMMYFUNCTION("""COMPUTED_VALUE"""),"BON RYAN VARONA")</f>
        <v>BON RYAN VARONA</v>
      </c>
      <c r="L2470" s="164" t="str">
        <f ca="1">IFERROR(__xludf.DUMMYFUNCTION("""COMPUTED_VALUE"""),"STOD")</f>
        <v>STOD</v>
      </c>
      <c r="M2470" s="164" t="str">
        <f ca="1">IFERROR(__xludf.DUMMYFUNCTION("""COMPUTED_VALUE"""),"SERVICEABLE")</f>
        <v>SERVICEABLE</v>
      </c>
      <c r="N2470" s="164"/>
    </row>
    <row r="2471" spans="1:14" ht="13.2" hidden="1">
      <c r="A2471" s="164" t="str">
        <f ca="1">IFERROR(__xludf.DUMMYFUNCTION("""COMPUTED_VALUE"""),"Region VI")</f>
        <v>Region VI</v>
      </c>
      <c r="B2471" s="164" t="str">
        <f ca="1">IFERROR(__xludf.DUMMYFUNCTION("""COMPUTED_VALUE"""),"GUIMARAS")</f>
        <v>GUIMARAS</v>
      </c>
      <c r="C2471" s="164" t="str">
        <f ca="1">IFERROR(__xludf.DUMMYFUNCTION("""COMPUTED_VALUE"""),"Desktop Computer – (HP Pro SFF 280G9)")</f>
        <v>Desktop Computer – (HP Pro SFF 280G9)</v>
      </c>
      <c r="D2471" s="164" t="str">
        <f ca="1">IFERROR(__xludf.DUMMYFUNCTION("""COMPUTED_VALUE"""),"₱ 78,898.00")</f>
        <v>₱ 78,898.00</v>
      </c>
      <c r="E2471" s="164"/>
      <c r="F2471" s="164" t="str">
        <f ca="1">IFERROR(__xludf.DUMMYFUNCTION("""COMPUTED_VALUE"""),"2023-10-0013SPLITIT")</f>
        <v>2023-10-0013SPLITIT</v>
      </c>
      <c r="G2471" s="164"/>
      <c r="H2471" s="164" t="str">
        <f ca="1">IFERROR(__xludf.DUMMYFUNCTION("""COMPUTED_VALUE"""),"LIZA CABARDO")</f>
        <v>LIZA CABARDO</v>
      </c>
      <c r="I2471" s="164" t="str">
        <f ca="1">IFERROR(__xludf.DUMMYFUNCTION("""COMPUTED_VALUE"""),"ARPO I")</f>
        <v>ARPO I</v>
      </c>
      <c r="J2471" s="164" t="str">
        <f ca="1">IFERROR(__xludf.DUMMYFUNCTION("""COMPUTED_VALUE"""),"2023-10-0013SPLIT")</f>
        <v>2023-10-0013SPLIT</v>
      </c>
      <c r="K2471" s="164" t="str">
        <f ca="1">IFERROR(__xludf.DUMMYFUNCTION("""COMPUTED_VALUE"""),"LIZA CABARDO")</f>
        <v>LIZA CABARDO</v>
      </c>
      <c r="L2471" s="164" t="str">
        <f ca="1">IFERROR(__xludf.DUMMYFUNCTION("""COMPUTED_VALUE"""),"LTI DIVISION")</f>
        <v>LTI DIVISION</v>
      </c>
      <c r="M2471" s="164" t="str">
        <f ca="1">IFERROR(__xludf.DUMMYFUNCTION("""COMPUTED_VALUE"""),"SERVICEABLE")</f>
        <v>SERVICEABLE</v>
      </c>
      <c r="N2471" s="164"/>
    </row>
    <row r="2472" spans="1:14" ht="13.2" hidden="1">
      <c r="A2472" s="164" t="str">
        <f ca="1">IFERROR(__xludf.DUMMYFUNCTION("""COMPUTED_VALUE"""),"Region VI")</f>
        <v>Region VI</v>
      </c>
      <c r="B2472" s="164" t="str">
        <f ca="1">IFERROR(__xludf.DUMMYFUNCTION("""COMPUTED_VALUE"""),"GUIMARAS")</f>
        <v>GUIMARAS</v>
      </c>
      <c r="C2472" s="164" t="str">
        <f ca="1">IFERROR(__xludf.DUMMYFUNCTION("""COMPUTED_VALUE"""),"Laptop – (ACER EXTENSA EX215-55G i7)")</f>
        <v>Laptop – (ACER EXTENSA EX215-55G i7)</v>
      </c>
      <c r="D2472" s="164" t="str">
        <f ca="1">IFERROR(__xludf.DUMMYFUNCTION("""COMPUTED_VALUE"""),"₱ 59,500.00")</f>
        <v>₱ 59,500.00</v>
      </c>
      <c r="E2472" s="164"/>
      <c r="F2472" s="164" t="str">
        <f ca="1">IFERROR(__xludf.DUMMYFUNCTION("""COMPUTED_VALUE"""),"2023-10-0020SPLITIT")</f>
        <v>2023-10-0020SPLITIT</v>
      </c>
      <c r="G2472" s="164"/>
      <c r="H2472" s="164" t="str">
        <f ca="1">IFERROR(__xludf.DUMMYFUNCTION("""COMPUTED_VALUE"""),"CHRISTINE ANN CHAVEZ")</f>
        <v>CHRISTINE ANN CHAVEZ</v>
      </c>
      <c r="I2472" s="164" t="str">
        <f ca="1">IFERROR(__xludf.DUMMYFUNCTION("""COMPUTED_VALUE"""),"GSS CHIEF/AO IV")</f>
        <v>GSS CHIEF/AO IV</v>
      </c>
      <c r="J2472" s="164" t="str">
        <f ca="1">IFERROR(__xludf.DUMMYFUNCTION("""COMPUTED_VALUE"""),"2023-10-0020SPLIT")</f>
        <v>2023-10-0020SPLIT</v>
      </c>
      <c r="K2472" s="164" t="str">
        <f ca="1">IFERROR(__xludf.DUMMYFUNCTION("""COMPUTED_VALUE"""),"CHRISTINE ANN CHAVEZ")</f>
        <v>CHRISTINE ANN CHAVEZ</v>
      </c>
      <c r="L2472" s="164" t="str">
        <f ca="1">IFERROR(__xludf.DUMMYFUNCTION("""COMPUTED_VALUE"""),"STOD")</f>
        <v>STOD</v>
      </c>
      <c r="M2472" s="164" t="str">
        <f ca="1">IFERROR(__xludf.DUMMYFUNCTION("""COMPUTED_VALUE"""),"SERVICEABLE")</f>
        <v>SERVICEABLE</v>
      </c>
      <c r="N2472" s="164"/>
    </row>
    <row r="2473" spans="1:14" ht="13.2" hidden="1">
      <c r="A2473" s="164" t="str">
        <f ca="1">IFERROR(__xludf.DUMMYFUNCTION("""COMPUTED_VALUE"""),"Region VI")</f>
        <v>Region VI</v>
      </c>
      <c r="B2473" s="164" t="str">
        <f ca="1">IFERROR(__xludf.DUMMYFUNCTION("""COMPUTED_VALUE"""),"GUIMARAS")</f>
        <v>GUIMARAS</v>
      </c>
      <c r="C2473" s="164" t="str">
        <f ca="1">IFERROR(__xludf.DUMMYFUNCTION("""COMPUTED_VALUE"""),"Laptop – (ACER EXTENSA EX215-55G i7)")</f>
        <v>Laptop – (ACER EXTENSA EX215-55G i7)</v>
      </c>
      <c r="D2473" s="164" t="str">
        <f ca="1">IFERROR(__xludf.DUMMYFUNCTION("""COMPUTED_VALUE"""),"₱ 59,500.00")</f>
        <v>₱ 59,500.00</v>
      </c>
      <c r="E2473" s="164"/>
      <c r="F2473" s="164" t="str">
        <f ca="1">IFERROR(__xludf.DUMMYFUNCTION("""COMPUTED_VALUE"""),"2023-10-0021SPLITIT")</f>
        <v>2023-10-0021SPLITIT</v>
      </c>
      <c r="G2473" s="164"/>
      <c r="H2473" s="164" t="str">
        <f ca="1">IFERROR(__xludf.DUMMYFUNCTION("""COMPUTED_VALUE"""),"LIZA CABARDO")</f>
        <v>LIZA CABARDO</v>
      </c>
      <c r="I2473" s="164" t="str">
        <f ca="1">IFERROR(__xludf.DUMMYFUNCTION("""COMPUTED_VALUE"""),"ARPO I")</f>
        <v>ARPO I</v>
      </c>
      <c r="J2473" s="164" t="str">
        <f ca="1">IFERROR(__xludf.DUMMYFUNCTION("""COMPUTED_VALUE"""),"2023-10-0021SPLIT")</f>
        <v>2023-10-0021SPLIT</v>
      </c>
      <c r="K2473" s="164" t="str">
        <f ca="1">IFERROR(__xludf.DUMMYFUNCTION("""COMPUTED_VALUE"""),"LIZA CABARDO")</f>
        <v>LIZA CABARDO</v>
      </c>
      <c r="L2473" s="164" t="str">
        <f ca="1">IFERROR(__xludf.DUMMYFUNCTION("""COMPUTED_VALUE"""),"LTI DIVISION")</f>
        <v>LTI DIVISION</v>
      </c>
      <c r="M2473" s="164" t="str">
        <f ca="1">IFERROR(__xludf.DUMMYFUNCTION("""COMPUTED_VALUE"""),"SERVICEABLE")</f>
        <v>SERVICEABLE</v>
      </c>
      <c r="N2473" s="164"/>
    </row>
    <row r="2474" spans="1:14" ht="13.2" hidden="1">
      <c r="A2474" s="164" t="str">
        <f ca="1">IFERROR(__xludf.DUMMYFUNCTION("""COMPUTED_VALUE"""),"Region VI")</f>
        <v>Region VI</v>
      </c>
      <c r="B2474" s="164" t="str">
        <f ca="1">IFERROR(__xludf.DUMMYFUNCTION("""COMPUTED_VALUE"""),"GUIMARAS")</f>
        <v>GUIMARAS</v>
      </c>
      <c r="C2474" s="164" t="str">
        <f ca="1">IFERROR(__xludf.DUMMYFUNCTION("""COMPUTED_VALUE"""),"Laptop – (ACER EXTENSA EX215-55G i7)")</f>
        <v>Laptop – (ACER EXTENSA EX215-55G i7)</v>
      </c>
      <c r="D2474" s="164" t="str">
        <f ca="1">IFERROR(__xludf.DUMMYFUNCTION("""COMPUTED_VALUE"""),"₱ 59,500.00")</f>
        <v>₱ 59,500.00</v>
      </c>
      <c r="E2474" s="164"/>
      <c r="F2474" s="164" t="str">
        <f ca="1">IFERROR(__xludf.DUMMYFUNCTION("""COMPUTED_VALUE"""),"2023-10-0022SPLITIT")</f>
        <v>2023-10-0022SPLITIT</v>
      </c>
      <c r="G2474" s="164"/>
      <c r="H2474" s="164" t="str">
        <f ca="1">IFERROR(__xludf.DUMMYFUNCTION("""COMPUTED_VALUE"""),"JOHN MARK ISOGON")</f>
        <v>JOHN MARK ISOGON</v>
      </c>
      <c r="I2474" s="164" t="str">
        <f ca="1">IFERROR(__xludf.DUMMYFUNCTION("""COMPUTED_VALUE"""),"ARPO I")</f>
        <v>ARPO I</v>
      </c>
      <c r="J2474" s="164" t="str">
        <f ca="1">IFERROR(__xludf.DUMMYFUNCTION("""COMPUTED_VALUE"""),"2023-10-0022SPLIT")</f>
        <v>2023-10-0022SPLIT</v>
      </c>
      <c r="K2474" s="164" t="str">
        <f ca="1">IFERROR(__xludf.DUMMYFUNCTION("""COMPUTED_VALUE"""),"JOHN MARK ISOGON")</f>
        <v>JOHN MARK ISOGON</v>
      </c>
      <c r="L2474" s="164" t="str">
        <f ca="1">IFERROR(__xludf.DUMMYFUNCTION("""COMPUTED_VALUE"""),"LTI DIVISION")</f>
        <v>LTI DIVISION</v>
      </c>
      <c r="M2474" s="164" t="str">
        <f ca="1">IFERROR(__xludf.DUMMYFUNCTION("""COMPUTED_VALUE"""),"SERVICEABLE")</f>
        <v>SERVICEABLE</v>
      </c>
      <c r="N2474" s="164"/>
    </row>
    <row r="2475" spans="1:14" ht="13.2" hidden="1">
      <c r="A2475" s="164" t="str">
        <f ca="1">IFERROR(__xludf.DUMMYFUNCTION("""COMPUTED_VALUE"""),"Region VI")</f>
        <v>Region VI</v>
      </c>
      <c r="B2475" s="164" t="str">
        <f ca="1">IFERROR(__xludf.DUMMYFUNCTION("""COMPUTED_VALUE"""),"GUIMARAS")</f>
        <v>GUIMARAS</v>
      </c>
      <c r="C2475" s="164" t="str">
        <f ca="1">IFERROR(__xludf.DUMMYFUNCTION("""COMPUTED_VALUE"""),"Photocopier Machine – Kyocera")</f>
        <v>Photocopier Machine – Kyocera</v>
      </c>
      <c r="D2475" s="164" t="str">
        <f ca="1">IFERROR(__xludf.DUMMYFUNCTION("""COMPUTED_VALUE"""),"₱ 84,500.00")</f>
        <v>₱ 84,500.00</v>
      </c>
      <c r="E2475" s="164"/>
      <c r="F2475" s="164" t="str">
        <f ca="1">IFERROR(__xludf.DUMMYFUNCTION("""COMPUTED_VALUE"""),"2022-05-02-10202SP47-01")</f>
        <v>2022-05-02-10202SP47-01</v>
      </c>
      <c r="G2475" s="164"/>
      <c r="H2475" s="164" t="str">
        <f ca="1">IFERROR(__xludf.DUMMYFUNCTION("""COMPUTED_VALUE"""),"DAISY ANG")</f>
        <v>DAISY ANG</v>
      </c>
      <c r="I2475" s="164" t="str">
        <f ca="1">IFERROR(__xludf.DUMMYFUNCTION("""COMPUTED_VALUE"""),"ARPO I")</f>
        <v>ARPO I</v>
      </c>
      <c r="J2475" s="164" t="str">
        <f ca="1">IFERROR(__xludf.DUMMYFUNCTION("""COMPUTED_VALUE"""),"2023-10-0001")</f>
        <v>2023-10-0001</v>
      </c>
      <c r="K2475" s="164" t="str">
        <f ca="1">IFERROR(__xludf.DUMMYFUNCTION("""COMPUTED_VALUE"""),"DAISY ANG")</f>
        <v>DAISY ANG</v>
      </c>
      <c r="L2475" s="164" t="str">
        <f ca="1">IFERROR(__xludf.DUMMYFUNCTION("""COMPUTED_VALUE"""),"LTI DIVISION")</f>
        <v>LTI DIVISION</v>
      </c>
      <c r="M2475" s="164" t="str">
        <f ca="1">IFERROR(__xludf.DUMMYFUNCTION("""COMPUTED_VALUE"""),"SERVICEABLE")</f>
        <v>SERVICEABLE</v>
      </c>
      <c r="N2475" s="164"/>
    </row>
    <row r="2476" spans="1:14" ht="13.2" hidden="1">
      <c r="A2476" s="164" t="str">
        <f ca="1">IFERROR(__xludf.DUMMYFUNCTION("""COMPUTED_VALUE"""),"Region VI")</f>
        <v>Region VI</v>
      </c>
      <c r="B2476" s="164" t="str">
        <f ca="1">IFERROR(__xludf.DUMMYFUNCTION("""COMPUTED_VALUE"""),"ILOILO")</f>
        <v>ILOILO</v>
      </c>
      <c r="C2476" s="164" t="str">
        <f ca="1">IFERROR(__xludf.DUMMYFUNCTION("""COMPUTED_VALUE"""),"Laptop – (ACER EXTENSA EX215-55G i7)")</f>
        <v>Laptop – (ACER EXTENSA EX215-55G i7)</v>
      </c>
      <c r="D2476" s="164" t="str">
        <f ca="1">IFERROR(__xludf.DUMMYFUNCTION("""COMPUTED_VALUE"""),"₱ 59,500.00")</f>
        <v>₱ 59,500.00</v>
      </c>
      <c r="E2476" s="164"/>
      <c r="F2476" s="164" t="str">
        <f ca="1">IFERROR(__xludf.DUMMYFUNCTION("""COMPUTED_VALUE"""),"2023-05-03-10202S55-01")</f>
        <v>2023-05-03-10202S55-01</v>
      </c>
      <c r="G2476" s="164"/>
      <c r="H2476" s="164" t="str">
        <f ca="1">IFERROR(__xludf.DUMMYFUNCTION("""COMPUTED_VALUE"""),"HARRIET A. LOOT")</f>
        <v>HARRIET A. LOOT</v>
      </c>
      <c r="I2476" s="164" t="str">
        <f ca="1">IFERROR(__xludf.DUMMYFUNCTION("""COMPUTED_VALUE"""),"PARPO II")</f>
        <v>PARPO II</v>
      </c>
      <c r="J2476" s="164" t="str">
        <f ca="1">IFERROR(__xludf.DUMMYFUNCTION("""COMPUTED_VALUE"""),"2023-08-415")</f>
        <v>2023-08-415</v>
      </c>
      <c r="K2476" s="164" t="str">
        <f ca="1">IFERROR(__xludf.DUMMYFUNCTION("""COMPUTED_VALUE"""),"HUNCEEN SECUGAL")</f>
        <v>HUNCEEN SECUGAL</v>
      </c>
      <c r="L2476" s="164" t="str">
        <f ca="1">IFERROR(__xludf.DUMMYFUNCTION("""COMPUTED_VALUE"""),"Office of the PARPO")</f>
        <v>Office of the PARPO</v>
      </c>
      <c r="M2476" s="164" t="str">
        <f ca="1">IFERROR(__xludf.DUMMYFUNCTION("""COMPUTED_VALUE"""),"SERVICEABLE")</f>
        <v>SERVICEABLE</v>
      </c>
      <c r="N2476" s="164"/>
    </row>
    <row r="2477" spans="1:14" ht="13.2" hidden="1">
      <c r="A2477" s="164" t="str">
        <f ca="1">IFERROR(__xludf.DUMMYFUNCTION("""COMPUTED_VALUE"""),"Region VI")</f>
        <v>Region VI</v>
      </c>
      <c r="B2477" s="164" t="str">
        <f ca="1">IFERROR(__xludf.DUMMYFUNCTION("""COMPUTED_VALUE"""),"ANTIQUE")</f>
        <v>ANTIQUE</v>
      </c>
      <c r="C2477" s="164" t="str">
        <f ca="1">IFERROR(__xludf.DUMMYFUNCTION("""COMPUTED_VALUE"""),"Laptop – (ACER EXTENSA EX215-55G i7)")</f>
        <v>Laptop – (ACER EXTENSA EX215-55G i7)</v>
      </c>
      <c r="D2477" s="164" t="str">
        <f ca="1">IFERROR(__xludf.DUMMYFUNCTION("""COMPUTED_VALUE"""),"₱ 59,500.00")</f>
        <v>₱ 59,500.00</v>
      </c>
      <c r="E2477" s="164"/>
      <c r="F2477" s="164" t="str">
        <f ca="1">IFERROR(__xludf.DUMMYFUNCTION("""COMPUTED_VALUE"""),"2023-05-03-10202SP52-01")</f>
        <v>2023-05-03-10202SP52-01</v>
      </c>
      <c r="G2477" s="164"/>
      <c r="H2477" s="164" t="str">
        <f ca="1">IFERROR(__xludf.DUMMYFUNCTION("""COMPUTED_VALUE"""),"GEORGE M. TORENTE")</f>
        <v>GEORGE M. TORENTE</v>
      </c>
      <c r="I2477" s="164" t="str">
        <f ca="1">IFERROR(__xludf.DUMMYFUNCTION("""COMPUTED_VALUE"""),"OIC-CARPO-LTID/ Parcelization Component and FVT Coordinator")</f>
        <v>OIC-CARPO-LTID/ Parcelization Component and FVT Coordinator</v>
      </c>
      <c r="J2477" s="164" t="str">
        <f ca="1">IFERROR(__xludf.DUMMYFUNCTION("""COMPUTED_VALUE"""),"2023-05-03-02")</f>
        <v>2023-05-03-02</v>
      </c>
      <c r="K2477" s="164" t="str">
        <f ca="1">IFERROR(__xludf.DUMMYFUNCTION("""COMPUTED_VALUE"""),"GEORGE M. TORENTE")</f>
        <v>GEORGE M. TORENTE</v>
      </c>
      <c r="L2477" s="164" t="str">
        <f ca="1">IFERROR(__xludf.DUMMYFUNCTION("""COMPUTED_VALUE"""),"DARPO-LTID")</f>
        <v>DARPO-LTID</v>
      </c>
      <c r="M2477" s="164" t="str">
        <f ca="1">IFERROR(__xludf.DUMMYFUNCTION("""COMPUTED_VALUE"""),"SERVICEABLE")</f>
        <v>SERVICEABLE</v>
      </c>
      <c r="N2477" s="164"/>
    </row>
    <row r="2478" spans="1:14" ht="13.2" hidden="1">
      <c r="A2478" s="164" t="str">
        <f ca="1">IFERROR(__xludf.DUMMYFUNCTION("""COMPUTED_VALUE"""),"Region VI")</f>
        <v>Region VI</v>
      </c>
      <c r="B2478" s="164" t="str">
        <f ca="1">IFERROR(__xludf.DUMMYFUNCTION("""COMPUTED_VALUE"""),"CAPIZ")</f>
        <v>CAPIZ</v>
      </c>
      <c r="C2478" s="164" t="str">
        <f ca="1">IFERROR(__xludf.DUMMYFUNCTION("""COMPUTED_VALUE"""),"Desktop Computer – (HP Pro SFF 280G9)")</f>
        <v>Desktop Computer – (HP Pro SFF 280G9)</v>
      </c>
      <c r="D2478" s="164" t="str">
        <f ca="1">IFERROR(__xludf.DUMMYFUNCTION("""COMPUTED_VALUE"""),"₱ 78,898.00")</f>
        <v>₱ 78,898.00</v>
      </c>
      <c r="E2478" s="164"/>
      <c r="F2478" s="164" t="str">
        <f ca="1">IFERROR(__xludf.DUMMYFUNCTION("""COMPUTED_VALUE"""),"2023-05-03-10201SP54")</f>
        <v>2023-05-03-10201SP54</v>
      </c>
      <c r="G2478" s="164"/>
      <c r="H2478" s="164" t="str">
        <f ca="1">IFERROR(__xludf.DUMMYFUNCTION("""COMPUTED_VALUE"""),"ARPO I")</f>
        <v>ARPO I</v>
      </c>
      <c r="I2478" s="164" t="str">
        <f ca="1">IFERROR(__xludf.DUMMYFUNCTION("""COMPUTED_VALUE"""),"S-2023-08-007d")</f>
        <v>S-2023-08-007d</v>
      </c>
      <c r="J2478" s="164" t="str">
        <f ca="1">IFERROR(__xludf.DUMMYFUNCTION("""COMPUTED_VALUE"""),"Vique Philsin Q. Villanueva")</f>
        <v>Vique Philsin Q. Villanueva</v>
      </c>
      <c r="K2478" s="164" t="str">
        <f ca="1">IFERROR(__xludf.DUMMYFUNCTION("""COMPUTED_VALUE"""),"STOD")</f>
        <v>STOD</v>
      </c>
      <c r="L2478" s="164" t="str">
        <f ca="1">IFERROR(__xludf.DUMMYFUNCTION("""COMPUTED_VALUE"""),"SERVICEABLE")</f>
        <v>SERVICEABLE</v>
      </c>
      <c r="M2478" s="164"/>
      <c r="N2478" s="164"/>
    </row>
    <row r="2479" spans="1:14" ht="13.2" hidden="1">
      <c r="A2479" s="164" t="str">
        <f ca="1">IFERROR(__xludf.DUMMYFUNCTION("""COMPUTED_VALUE"""),"Region VI")</f>
        <v>Region VI</v>
      </c>
      <c r="B2479" s="164" t="str">
        <f ca="1">IFERROR(__xludf.DUMMYFUNCTION("""COMPUTED_VALUE"""),"CAPIZ")</f>
        <v>CAPIZ</v>
      </c>
      <c r="C2479" s="164" t="str">
        <f ca="1">IFERROR(__xludf.DUMMYFUNCTION("""COMPUTED_VALUE"""),"Desktop Computer – (HP Pro SFF 280G9)")</f>
        <v>Desktop Computer – (HP Pro SFF 280G9)</v>
      </c>
      <c r="D2479" s="164" t="str">
        <f ca="1">IFERROR(__xludf.DUMMYFUNCTION("""COMPUTED_VALUE"""),"₱ 78,898.00")</f>
        <v>₱ 78,898.00</v>
      </c>
      <c r="E2479" s="164"/>
      <c r="F2479" s="164" t="str">
        <f ca="1">IFERROR(__xludf.DUMMYFUNCTION("""COMPUTED_VALUE"""),"2023-05-03-10201SP55")</f>
        <v>2023-05-03-10201SP55</v>
      </c>
      <c r="G2479" s="164"/>
      <c r="H2479" s="164" t="str">
        <f ca="1">IFERROR(__xludf.DUMMYFUNCTION("""COMPUTED_VALUE"""),"BUDGET OFFICER II")</f>
        <v>BUDGET OFFICER II</v>
      </c>
      <c r="I2479" s="164" t="str">
        <f ca="1">IFERROR(__xludf.DUMMYFUNCTION("""COMPUTED_VALUE"""),"S-2023-08-007e")</f>
        <v>S-2023-08-007e</v>
      </c>
      <c r="J2479" s="164" t="str">
        <f ca="1">IFERROR(__xludf.DUMMYFUNCTION("""COMPUTED_VALUE"""),"Emilie M. Jimera")</f>
        <v>Emilie M. Jimera</v>
      </c>
      <c r="K2479" s="164" t="str">
        <f ca="1">IFERROR(__xludf.DUMMYFUNCTION("""COMPUTED_VALUE"""),"STOD")</f>
        <v>STOD</v>
      </c>
      <c r="L2479" s="164" t="str">
        <f ca="1">IFERROR(__xludf.DUMMYFUNCTION("""COMPUTED_VALUE"""),"SERVICEABLE")</f>
        <v>SERVICEABLE</v>
      </c>
      <c r="M2479" s="164"/>
      <c r="N2479" s="164"/>
    </row>
    <row r="2480" spans="1:14" ht="13.2" hidden="1">
      <c r="A2480" s="164" t="str">
        <f ca="1">IFERROR(__xludf.DUMMYFUNCTION("""COMPUTED_VALUE"""),"Region VI")</f>
        <v>Region VI</v>
      </c>
      <c r="B2480" s="164" t="str">
        <f ca="1">IFERROR(__xludf.DUMMYFUNCTION("""COMPUTED_VALUE"""),"CAPIZ")</f>
        <v>CAPIZ</v>
      </c>
      <c r="C2480" s="164" t="str">
        <f ca="1">IFERROR(__xludf.DUMMYFUNCTION("""COMPUTED_VALUE"""),"Desktop Computer – (HP Pro SFF 280G9)")</f>
        <v>Desktop Computer – (HP Pro SFF 280G9)</v>
      </c>
      <c r="D2480" s="164" t="str">
        <f ca="1">IFERROR(__xludf.DUMMYFUNCTION("""COMPUTED_VALUE"""),"₱ 78,898.00")</f>
        <v>₱ 78,898.00</v>
      </c>
      <c r="E2480" s="164"/>
      <c r="F2480" s="164" t="str">
        <f ca="1">IFERROR(__xludf.DUMMYFUNCTION("""COMPUTED_VALUE"""),"2023-05-03-10201SP56")</f>
        <v>2023-05-03-10201SP56</v>
      </c>
      <c r="G2480" s="164"/>
      <c r="H2480" s="164" t="str">
        <f ca="1">IFERROR(__xludf.DUMMYFUNCTION("""COMPUTED_VALUE"""),"ARPO II")</f>
        <v>ARPO II</v>
      </c>
      <c r="I2480" s="164" t="str">
        <f ca="1">IFERROR(__xludf.DUMMYFUNCTION("""COMPUTED_VALUE"""),"S-2023-08-007f")</f>
        <v>S-2023-08-007f</v>
      </c>
      <c r="J2480" s="164" t="str">
        <f ca="1">IFERROR(__xludf.DUMMYFUNCTION("""COMPUTED_VALUE"""),"Donna Mae S. Gallardo")</f>
        <v>Donna Mae S. Gallardo</v>
      </c>
      <c r="K2480" s="164" t="str">
        <f ca="1">IFERROR(__xludf.DUMMYFUNCTION("""COMPUTED_VALUE"""),"LEGAL")</f>
        <v>LEGAL</v>
      </c>
      <c r="L2480" s="164" t="str">
        <f ca="1">IFERROR(__xludf.DUMMYFUNCTION("""COMPUTED_VALUE"""),"SERVICEABLE")</f>
        <v>SERVICEABLE</v>
      </c>
      <c r="M2480" s="164"/>
      <c r="N2480" s="164"/>
    </row>
    <row r="2481" spans="1:14" ht="13.2" hidden="1">
      <c r="A2481" s="164" t="str">
        <f ca="1">IFERROR(__xludf.DUMMYFUNCTION("""COMPUTED_VALUE"""),"Region VI")</f>
        <v>Region VI</v>
      </c>
      <c r="B2481" s="164" t="str">
        <f ca="1">IFERROR(__xludf.DUMMYFUNCTION("""COMPUTED_VALUE"""),"CAPIZ")</f>
        <v>CAPIZ</v>
      </c>
      <c r="C2481" s="164" t="str">
        <f ca="1">IFERROR(__xludf.DUMMYFUNCTION("""COMPUTED_VALUE"""),"Desktop Computer – (HP Pro SFF 280G9)")</f>
        <v>Desktop Computer – (HP Pro SFF 280G9)</v>
      </c>
      <c r="D2481" s="164" t="str">
        <f ca="1">IFERROR(__xludf.DUMMYFUNCTION("""COMPUTED_VALUE"""),"₱ 78,898.00")</f>
        <v>₱ 78,898.00</v>
      </c>
      <c r="E2481" s="164"/>
      <c r="F2481" s="164" t="str">
        <f ca="1">IFERROR(__xludf.DUMMYFUNCTION("""COMPUTED_VALUE"""),"2023-05-03-10201SP57")</f>
        <v>2023-05-03-10201SP57</v>
      </c>
      <c r="G2481" s="164"/>
      <c r="H2481" s="164" t="str">
        <f ca="1">IFERROR(__xludf.DUMMYFUNCTION("""COMPUTED_VALUE"""),"ENGINEER II")</f>
        <v>ENGINEER II</v>
      </c>
      <c r="I2481" s="164" t="str">
        <f ca="1">IFERROR(__xludf.DUMMYFUNCTION("""COMPUTED_VALUE"""),"S-2023-08-007g")</f>
        <v>S-2023-08-007g</v>
      </c>
      <c r="J2481" s="164" t="str">
        <f ca="1">IFERROR(__xludf.DUMMYFUNCTION("""COMPUTED_VALUE"""),"Vision Faith R. Bernaldo")</f>
        <v>Vision Faith R. Bernaldo</v>
      </c>
      <c r="K2481" s="164" t="str">
        <f ca="1">IFERROR(__xludf.DUMMYFUNCTION("""COMPUTED_VALUE"""),"LTID")</f>
        <v>LTID</v>
      </c>
      <c r="L2481" s="164" t="str">
        <f ca="1">IFERROR(__xludf.DUMMYFUNCTION("""COMPUTED_VALUE"""),"SERVICEABLE")</f>
        <v>SERVICEABLE</v>
      </c>
      <c r="M2481" s="164"/>
      <c r="N2481" s="164"/>
    </row>
    <row r="2482" spans="1:14" ht="13.2" hidden="1">
      <c r="A2482" s="164" t="str">
        <f ca="1">IFERROR(__xludf.DUMMYFUNCTION("""COMPUTED_VALUE"""),"Region VI")</f>
        <v>Region VI</v>
      </c>
      <c r="B2482" s="164" t="str">
        <f ca="1">IFERROR(__xludf.DUMMYFUNCTION("""COMPUTED_VALUE"""),"CAPIZ")</f>
        <v>CAPIZ</v>
      </c>
      <c r="C2482" s="164" t="str">
        <f ca="1">IFERROR(__xludf.DUMMYFUNCTION("""COMPUTED_VALUE"""),"Desktop Computer – (HP Pro SFF 280G9)")</f>
        <v>Desktop Computer – (HP Pro SFF 280G9)</v>
      </c>
      <c r="D2482" s="164" t="str">
        <f ca="1">IFERROR(__xludf.DUMMYFUNCTION("""COMPUTED_VALUE"""),"₱ 78,898.00")</f>
        <v>₱ 78,898.00</v>
      </c>
      <c r="E2482" s="164"/>
      <c r="F2482" s="164" t="str">
        <f ca="1">IFERROR(__xludf.DUMMYFUNCTION("""COMPUTED_VALUE"""),"2023-05-03-10201SP58")</f>
        <v>2023-05-03-10201SP58</v>
      </c>
      <c r="G2482" s="164"/>
      <c r="H2482" s="164" t="str">
        <f ca="1">IFERROR(__xludf.DUMMYFUNCTION("""COMPUTED_VALUE"""),"ARPO II")</f>
        <v>ARPO II</v>
      </c>
      <c r="I2482" s="164" t="str">
        <f ca="1">IFERROR(__xludf.DUMMYFUNCTION("""COMPUTED_VALUE"""),"2023-10-0002SPLIT")</f>
        <v>2023-10-0002SPLIT</v>
      </c>
      <c r="J2482" s="164" t="str">
        <f ca="1">IFERROR(__xludf.DUMMYFUNCTION("""COMPUTED_VALUE"""),"NONALYN BALANO")</f>
        <v>NONALYN BALANO</v>
      </c>
      <c r="K2482" s="164" t="str">
        <f ca="1">IFERROR(__xludf.DUMMYFUNCTION("""COMPUTED_VALUE"""),"ARBDSP")</f>
        <v>ARBDSP</v>
      </c>
      <c r="L2482" s="164" t="str">
        <f ca="1">IFERROR(__xludf.DUMMYFUNCTION("""COMPUTED_VALUE"""),"SERVICEABLE")</f>
        <v>SERVICEABLE</v>
      </c>
      <c r="M2482" s="164"/>
      <c r="N2482" s="164"/>
    </row>
    <row r="2483" spans="1:14" ht="13.2" hidden="1">
      <c r="A2483" s="164" t="str">
        <f ca="1">IFERROR(__xludf.DUMMYFUNCTION("""COMPUTED_VALUE"""),"Region VI")</f>
        <v>Region VI</v>
      </c>
      <c r="B2483" s="164" t="str">
        <f ca="1">IFERROR(__xludf.DUMMYFUNCTION("""COMPUTED_VALUE"""),"ILOILO")</f>
        <v>ILOILO</v>
      </c>
      <c r="C2483" s="164" t="str">
        <f ca="1">IFERROR(__xludf.DUMMYFUNCTION("""COMPUTED_VALUE"""),"HANDHELD GPS – MODEL P6")</f>
        <v>HANDHELD GPS – MODEL P6</v>
      </c>
      <c r="D2483" s="164" t="str">
        <f ca="1">IFERROR(__xludf.DUMMYFUNCTION("""COMPUTED_VALUE"""),"₱ 79,000.00")</f>
        <v>₱ 79,000.00</v>
      </c>
      <c r="E2483" s="164"/>
      <c r="F2483" s="164" t="str">
        <f ca="1">IFERROR(__xludf.DUMMYFUNCTION("""COMPUTED_VALUE"""),"2023-05-14-2020SP58-01")</f>
        <v>2023-05-14-2020SP58-01</v>
      </c>
      <c r="G2483" s="164"/>
      <c r="H2483" s="164" t="str">
        <f ca="1">IFERROR(__xludf.DUMMYFUNCTION("""COMPUTED_VALUE"""),"Engr. Raymund John Patriarca")</f>
        <v>Engr. Raymund John Patriarca</v>
      </c>
      <c r="I2483" s="164" t="str">
        <f ca="1">IFERROR(__xludf.DUMMYFUNCTION("""COMPUTED_VALUE"""),"Engineer III")</f>
        <v>Engineer III</v>
      </c>
      <c r="J2483" s="164" t="str">
        <f ca="1">IFERROR(__xludf.DUMMYFUNCTION("""COMPUTED_VALUE"""),"2023-10-047")</f>
        <v>2023-10-047</v>
      </c>
      <c r="K2483" s="164" t="str">
        <f ca="1">IFERROR(__xludf.DUMMYFUNCTION("""COMPUTED_VALUE"""),"Engr. Raymund John Patriarca")</f>
        <v>Engr. Raymund John Patriarca</v>
      </c>
      <c r="L2483" s="164" t="str">
        <f ca="1">IFERROR(__xludf.DUMMYFUNCTION("""COMPUTED_VALUE"""),"LTID")</f>
        <v>LTID</v>
      </c>
      <c r="M2483" s="164" t="str">
        <f ca="1">IFERROR(__xludf.DUMMYFUNCTION("""COMPUTED_VALUE"""),"SERVICEABLE")</f>
        <v>SERVICEABLE</v>
      </c>
      <c r="N2483" s="164"/>
    </row>
    <row r="2484" spans="1:14" ht="13.2" hidden="1">
      <c r="A2484" s="164" t="str">
        <f ca="1">IFERROR(__xludf.DUMMYFUNCTION("""COMPUTED_VALUE"""),"Region VI")</f>
        <v>Region VI</v>
      </c>
      <c r="B2484" s="164" t="str">
        <f ca="1">IFERROR(__xludf.DUMMYFUNCTION("""COMPUTED_VALUE"""),"ANTIQUE")</f>
        <v>ANTIQUE</v>
      </c>
      <c r="C2484" s="164" t="str">
        <f ca="1">IFERROR(__xludf.DUMMYFUNCTION("""COMPUTED_VALUE"""),"HANDHELD GPS – MODEL P6")</f>
        <v>HANDHELD GPS – MODEL P6</v>
      </c>
      <c r="D2484" s="164" t="str">
        <f ca="1">IFERROR(__xludf.DUMMYFUNCTION("""COMPUTED_VALUE"""),"₱ 79,000.00")</f>
        <v>₱ 79,000.00</v>
      </c>
      <c r="E2484" s="164"/>
      <c r="F2484" s="164" t="str">
        <f ca="1">IFERROR(__xludf.DUMMYFUNCTION("""COMPUTED_VALUE"""),"2023-05-14-2020SP56-01")</f>
        <v>2023-05-14-2020SP56-01</v>
      </c>
      <c r="G2484" s="164"/>
      <c r="H2484" s="164" t="str">
        <f ca="1">IFERROR(__xludf.DUMMYFUNCTION("""COMPUTED_VALUE"""),"JOMARI Y. GREGORE")</f>
        <v>JOMARI Y. GREGORE</v>
      </c>
      <c r="I2484" s="164" t="str">
        <f ca="1">IFERROR(__xludf.DUMMYFUNCTION("""COMPUTED_VALUE"""),"BUDGET OFFICER II / PROVINCIAL PROJECT")</f>
        <v>BUDGET OFFICER II / PROVINCIAL PROJECT</v>
      </c>
      <c r="J2484" s="164" t="str">
        <f ca="1">IFERROR(__xludf.DUMMYFUNCTION("""COMPUTED_VALUE"""),"2023-10-0034")</f>
        <v>2023-10-0034</v>
      </c>
      <c r="K2484" s="164" t="str">
        <f ca="1">IFERROR(__xludf.DUMMYFUNCTION("""COMPUTED_VALUE"""),"JOMARI Y. GREGORE")</f>
        <v>JOMARI Y. GREGORE</v>
      </c>
      <c r="L2484" s="164" t="str">
        <f ca="1">IFERROR(__xludf.DUMMYFUNCTION("""COMPUTED_VALUE"""),"LTID")</f>
        <v>LTID</v>
      </c>
      <c r="M2484" s="164" t="str">
        <f ca="1">IFERROR(__xludf.DUMMYFUNCTION("""COMPUTED_VALUE"""),"SERVICEABLE")</f>
        <v>SERVICEABLE</v>
      </c>
      <c r="N2484" s="164"/>
    </row>
    <row r="2485" spans="1:14" ht="13.2" hidden="1">
      <c r="A2485" s="164" t="str">
        <f ca="1">IFERROR(__xludf.DUMMYFUNCTION("""COMPUTED_VALUE"""),"Region VI")</f>
        <v>Region VI</v>
      </c>
      <c r="B2485" s="164" t="str">
        <f ca="1">IFERROR(__xludf.DUMMYFUNCTION("""COMPUTED_VALUE"""),"AKLAN")</f>
        <v>AKLAN</v>
      </c>
      <c r="C2485" s="164" t="str">
        <f ca="1">IFERROR(__xludf.DUMMYFUNCTION("""COMPUTED_VALUE"""),"HANDHELD GPS – MODEL P6")</f>
        <v>HANDHELD GPS – MODEL P6</v>
      </c>
      <c r="D2485" s="164" t="str">
        <f ca="1">IFERROR(__xludf.DUMMYFUNCTION("""COMPUTED_VALUE"""),"₱ 79,000.00")</f>
        <v>₱ 79,000.00</v>
      </c>
      <c r="E2485" s="164"/>
      <c r="F2485" s="164" t="str">
        <f ca="1">IFERROR(__xludf.DUMMYFUNCTION("""COMPUTED_VALUE"""),"2023-05-14-2020SP55-01")</f>
        <v>2023-05-14-2020SP55-01</v>
      </c>
      <c r="G2485" s="164"/>
      <c r="H2485" s="164" t="str">
        <f ca="1">IFERROR(__xludf.DUMMYFUNCTION("""COMPUTED_VALUE"""),"Vision Faith R. Bernaldo")</f>
        <v>Vision Faith R. Bernaldo</v>
      </c>
      <c r="I2485" s="164" t="str">
        <f ca="1">IFERROR(__xludf.DUMMYFUNCTION("""COMPUTED_VALUE"""),"ENGINEER II")</f>
        <v>ENGINEER II</v>
      </c>
      <c r="J2485" s="164" t="str">
        <f ca="1">IFERROR(__xludf.DUMMYFUNCTION("""COMPUTED_VALUE"""),"S-2023-10-012")</f>
        <v>S-2023-10-012</v>
      </c>
      <c r="K2485" s="164" t="str">
        <f ca="1">IFERROR(__xludf.DUMMYFUNCTION("""COMPUTED_VALUE"""),"Vision Faith R. Bernaldo")</f>
        <v>Vision Faith R. Bernaldo</v>
      </c>
      <c r="L2485" s="164" t="str">
        <f ca="1">IFERROR(__xludf.DUMMYFUNCTION("""COMPUTED_VALUE"""),"LTID")</f>
        <v>LTID</v>
      </c>
      <c r="M2485" s="164" t="str">
        <f ca="1">IFERROR(__xludf.DUMMYFUNCTION("""COMPUTED_VALUE"""),"SERVICEABLE")</f>
        <v>SERVICEABLE</v>
      </c>
      <c r="N2485" s="164"/>
    </row>
    <row r="2486" spans="1:14" ht="13.2" hidden="1">
      <c r="A2486" s="164" t="str">
        <f ca="1">IFERROR(__xludf.DUMMYFUNCTION("""COMPUTED_VALUE"""),"Region VI")</f>
        <v>Region VI</v>
      </c>
      <c r="B2486" s="164" t="str">
        <f ca="1">IFERROR(__xludf.DUMMYFUNCTION("""COMPUTED_VALUE"""),"REGIONAL OFFICE")</f>
        <v>REGIONAL OFFICE</v>
      </c>
      <c r="C2486" s="164" t="str">
        <f ca="1">IFERROR(__xludf.DUMMYFUNCTION("""COMPUTED_VALUE"""),"Desktop Computer – (MSI PRO DP180)")</f>
        <v>Desktop Computer – (MSI PRO DP180)</v>
      </c>
      <c r="D2486" s="164" t="str">
        <f ca="1">IFERROR(__xludf.DUMMYFUNCTION("""COMPUTED_VALUE"""),"₱ 49,300.00")</f>
        <v>₱ 49,300.00</v>
      </c>
      <c r="E2486" s="164"/>
      <c r="F2486" s="164" t="str">
        <f ca="1">IFERROR(__xludf.DUMMYFUNCTION("""COMPUTED_VALUE"""),"HVSPLIT-102-24-05-01-065")</f>
        <v>HVSPLIT-102-24-05-01-065</v>
      </c>
      <c r="G2486" s="164"/>
      <c r="H2486" s="164" t="str">
        <f ca="1">IFERROR(__xludf.DUMMYFUNCTION("""COMPUTED_VALUE"""),"Ferolyn Joy J. Tim yiman")</f>
        <v>Ferolyn Joy J. Tim yiman</v>
      </c>
      <c r="I2486" s="164" t="str">
        <f ca="1">IFERROR(__xludf.DUMMYFUNCTION("""COMPUTED_VALUE"""),"OIC - CARPO")</f>
        <v>OIC - CARPO</v>
      </c>
      <c r="J2486" s="164" t="str">
        <f ca="1">IFERROR(__xludf.DUMMYFUNCTION("""COMPUTED_VALUE"""),"2023-04-033")</f>
        <v>2023-04-033</v>
      </c>
      <c r="K2486" s="164" t="str">
        <f ca="1">IFERROR(__xludf.DUMMYFUNCTION("""COMPUTED_VALUE"""),"Ferolyn Joy J. Tim yiman")</f>
        <v>Ferolyn Joy J. Tim yiman</v>
      </c>
      <c r="L2486" s="164" t="str">
        <f ca="1">IFERROR(__xludf.DUMMYFUNCTION("""COMPUTED_VALUE"""),"SPLIT/LTID")</f>
        <v>SPLIT/LTID</v>
      </c>
      <c r="M2486" s="164" t="str">
        <f ca="1">IFERROR(__xludf.DUMMYFUNCTION("""COMPUTED_VALUE"""),"SERVICEABLE")</f>
        <v>SERVICEABLE</v>
      </c>
      <c r="N2486" s="164"/>
    </row>
    <row r="2487" spans="1:14" ht="13.2" hidden="1">
      <c r="A2487" s="164" t="str">
        <f ca="1">IFERROR(__xludf.DUMMYFUNCTION("""COMPUTED_VALUE"""),"Region VI")</f>
        <v>Region VI</v>
      </c>
      <c r="B2487" s="164" t="str">
        <f ca="1">IFERROR(__xludf.DUMMYFUNCTION("""COMPUTED_VALUE"""),"REGIONAL OFFICE")</f>
        <v>REGIONAL OFFICE</v>
      </c>
      <c r="C2487" s="164" t="str">
        <f ca="1">IFERROR(__xludf.DUMMYFUNCTION("""COMPUTED_VALUE"""),"Desktop Computer – (MSI PRO DP180)")</f>
        <v>Desktop Computer – (MSI PRO DP180)</v>
      </c>
      <c r="D2487" s="164" t="str">
        <f ca="1">IFERROR(__xludf.DUMMYFUNCTION("""COMPUTED_VALUE"""),"₱ 49,300.00")</f>
        <v>₱ 49,300.00</v>
      </c>
      <c r="E2487" s="164"/>
      <c r="F2487" s="164" t="str">
        <f ca="1">IFERROR(__xludf.DUMMYFUNCTION("""COMPUTED_VALUE"""),"HVSPLIT-102-24-05-01-066")</f>
        <v>HVSPLIT-102-24-05-01-066</v>
      </c>
      <c r="G2487" s="164"/>
      <c r="H2487" s="164" t="str">
        <f ca="1">IFERROR(__xludf.DUMMYFUNCTION("""COMPUTED_VALUE"""),"Ferolyn Joy J. Tim yiman")</f>
        <v>Ferolyn Joy J. Tim yiman</v>
      </c>
      <c r="I2487" s="164" t="str">
        <f ca="1">IFERROR(__xludf.DUMMYFUNCTION("""COMPUTED_VALUE"""),"OIC - CARPO")</f>
        <v>OIC - CARPO</v>
      </c>
      <c r="J2487" s="164" t="str">
        <f ca="1">IFERROR(__xludf.DUMMYFUNCTION("""COMPUTED_VALUE"""),"2023-04-034")</f>
        <v>2023-04-034</v>
      </c>
      <c r="K2487" s="164" t="str">
        <f ca="1">IFERROR(__xludf.DUMMYFUNCTION("""COMPUTED_VALUE"""),"Ferolyn Joy J. Tim yiman")</f>
        <v>Ferolyn Joy J. Tim yiman</v>
      </c>
      <c r="L2487" s="164" t="str">
        <f ca="1">IFERROR(__xludf.DUMMYFUNCTION("""COMPUTED_VALUE"""),"SPLIT/LTID")</f>
        <v>SPLIT/LTID</v>
      </c>
      <c r="M2487" s="164" t="str">
        <f ca="1">IFERROR(__xludf.DUMMYFUNCTION("""COMPUTED_VALUE"""),"SERVICEABLE")</f>
        <v>SERVICEABLE</v>
      </c>
      <c r="N2487" s="164"/>
    </row>
    <row r="2488" spans="1:14" ht="13.2" hidden="1">
      <c r="A2488" s="164" t="str">
        <f ca="1">IFERROR(__xludf.DUMMYFUNCTION("""COMPUTED_VALUE"""),"Region VI")</f>
        <v>Region VI</v>
      </c>
      <c r="B2488" s="164" t="str">
        <f ca="1">IFERROR(__xludf.DUMMYFUNCTION("""COMPUTED_VALUE"""),"REGIONAL OFFICE")</f>
        <v>REGIONAL OFFICE</v>
      </c>
      <c r="C2488" s="164" t="str">
        <f ca="1">IFERROR(__xludf.DUMMYFUNCTION("""COMPUTED_VALUE"""),"Desktop Computer – (MSI PRO DP180)")</f>
        <v>Desktop Computer – (MSI PRO DP180)</v>
      </c>
      <c r="D2488" s="164" t="str">
        <f ca="1">IFERROR(__xludf.DUMMYFUNCTION("""COMPUTED_VALUE"""),"₱ 49,300.00")</f>
        <v>₱ 49,300.00</v>
      </c>
      <c r="E2488" s="164"/>
      <c r="F2488" s="164" t="str">
        <f ca="1">IFERROR(__xludf.DUMMYFUNCTION("""COMPUTED_VALUE"""),"HVSPLIT-102-24-05-01-174")</f>
        <v>HVSPLIT-102-24-05-01-174</v>
      </c>
      <c r="G2488" s="164"/>
      <c r="H2488" s="164" t="str">
        <f ca="1">IFERROR(__xludf.DUMMYFUNCTION("""COMPUTED_VALUE"""),"Ferolyn Joy J. Tim yiman")</f>
        <v>Ferolyn Joy J. Tim yiman</v>
      </c>
      <c r="I2488" s="164" t="str">
        <f ca="1">IFERROR(__xludf.DUMMYFUNCTION("""COMPUTED_VALUE"""),"OIC - CARPO")</f>
        <v>OIC - CARPO</v>
      </c>
      <c r="J2488" s="164" t="str">
        <f ca="1">IFERROR(__xludf.DUMMYFUNCTION("""COMPUTED_VALUE"""),"2023-04-035")</f>
        <v>2023-04-035</v>
      </c>
      <c r="K2488" s="164" t="str">
        <f ca="1">IFERROR(__xludf.DUMMYFUNCTION("""COMPUTED_VALUE"""),"Ferolyn Joy J. Tim yiman")</f>
        <v>Ferolyn Joy J. Tim yiman</v>
      </c>
      <c r="L2488" s="164" t="str">
        <f ca="1">IFERROR(__xludf.DUMMYFUNCTION("""COMPUTED_VALUE"""),"SPLIT/LTID")</f>
        <v>SPLIT/LTID</v>
      </c>
      <c r="M2488" s="164" t="str">
        <f ca="1">IFERROR(__xludf.DUMMYFUNCTION("""COMPUTED_VALUE"""),"SERVICEABLE")</f>
        <v>SERVICEABLE</v>
      </c>
      <c r="N2488" s="164"/>
    </row>
    <row r="2489" spans="1:14" ht="13.2" hidden="1">
      <c r="A2489" s="164" t="str">
        <f ca="1">IFERROR(__xludf.DUMMYFUNCTION("""COMPUTED_VALUE"""),"Region VI")</f>
        <v>Region VI</v>
      </c>
      <c r="B2489" s="164" t="str">
        <f ca="1">IFERROR(__xludf.DUMMYFUNCTION("""COMPUTED_VALUE"""),"REGIONAL OFFICE")</f>
        <v>REGIONAL OFFICE</v>
      </c>
      <c r="C2489" s="164" t="str">
        <f ca="1">IFERROR(__xludf.DUMMYFUNCTION("""COMPUTED_VALUE"""),"Desktop Computer – (MSI PRO DP180)")</f>
        <v>Desktop Computer – (MSI PRO DP180)</v>
      </c>
      <c r="D2489" s="164" t="str">
        <f ca="1">IFERROR(__xludf.DUMMYFUNCTION("""COMPUTED_VALUE"""),"₱ 49,300.00")</f>
        <v>₱ 49,300.00</v>
      </c>
      <c r="E2489" s="164"/>
      <c r="F2489" s="164" t="str">
        <f ca="1">IFERROR(__xludf.DUMMYFUNCTION("""COMPUTED_VALUE"""),"HVSPLIT-102-24-05-01-409")</f>
        <v>HVSPLIT-102-24-05-01-409</v>
      </c>
      <c r="G2489" s="164"/>
      <c r="H2489" s="164" t="str">
        <f ca="1">IFERROR(__xludf.DUMMYFUNCTION("""COMPUTED_VALUE"""),"Ferolyn Joy J. Tim yiman")</f>
        <v>Ferolyn Joy J. Tim yiman</v>
      </c>
      <c r="I2489" s="164" t="str">
        <f ca="1">IFERROR(__xludf.DUMMYFUNCTION("""COMPUTED_VALUE"""),"OIC - CARPO")</f>
        <v>OIC - CARPO</v>
      </c>
      <c r="J2489" s="164" t="str">
        <f ca="1">IFERROR(__xludf.DUMMYFUNCTION("""COMPUTED_VALUE"""),"2023-04-036")</f>
        <v>2023-04-036</v>
      </c>
      <c r="K2489" s="164" t="str">
        <f ca="1">IFERROR(__xludf.DUMMYFUNCTION("""COMPUTED_VALUE"""),"Ferolyn Joy J. Tim yiman")</f>
        <v>Ferolyn Joy J. Tim yiman</v>
      </c>
      <c r="L2489" s="164" t="str">
        <f ca="1">IFERROR(__xludf.DUMMYFUNCTION("""COMPUTED_VALUE"""),"SPLIT/LTID")</f>
        <v>SPLIT/LTID</v>
      </c>
      <c r="M2489" s="164" t="str">
        <f ca="1">IFERROR(__xludf.DUMMYFUNCTION("""COMPUTED_VALUE"""),"SERVICEABLE")</f>
        <v>SERVICEABLE</v>
      </c>
      <c r="N2489" s="164"/>
    </row>
    <row r="2490" spans="1:14" ht="13.2" hidden="1">
      <c r="A2490" s="164" t="str">
        <f ca="1">IFERROR(__xludf.DUMMYFUNCTION("""COMPUTED_VALUE"""),"Region VI")</f>
        <v>Region VI</v>
      </c>
      <c r="B2490" s="164" t="str">
        <f ca="1">IFERROR(__xludf.DUMMYFUNCTION("""COMPUTED_VALUE"""),"REGIONAL OFFICE")</f>
        <v>REGIONAL OFFICE</v>
      </c>
      <c r="C2490" s="164" t="str">
        <f ca="1">IFERROR(__xludf.DUMMYFUNCTION("""COMPUTED_VALUE"""),"Desktop Computer – (MSI PRO DP180)")</f>
        <v>Desktop Computer – (MSI PRO DP180)</v>
      </c>
      <c r="D2490" s="164" t="str">
        <f ca="1">IFERROR(__xludf.DUMMYFUNCTION("""COMPUTED_VALUE"""),"₱ 49,300.00")</f>
        <v>₱ 49,300.00</v>
      </c>
      <c r="E2490" s="164"/>
      <c r="F2490" s="164" t="str">
        <f ca="1">IFERROR(__xludf.DUMMYFUNCTION("""COMPUTED_VALUE"""),"HVSPLIT-102-24-05-01-410")</f>
        <v>HVSPLIT-102-24-05-01-410</v>
      </c>
      <c r="G2490" s="164"/>
      <c r="H2490" s="164" t="str">
        <f ca="1">IFERROR(__xludf.DUMMYFUNCTION("""COMPUTED_VALUE"""),"Ferolyn Joy J. Tim yiman")</f>
        <v>Ferolyn Joy J. Tim yiman</v>
      </c>
      <c r="I2490" s="164" t="str">
        <f ca="1">IFERROR(__xludf.DUMMYFUNCTION("""COMPUTED_VALUE"""),"OIC - CARPO")</f>
        <v>OIC - CARPO</v>
      </c>
      <c r="J2490" s="164" t="str">
        <f ca="1">IFERROR(__xludf.DUMMYFUNCTION("""COMPUTED_VALUE"""),"2023-04-037")</f>
        <v>2023-04-037</v>
      </c>
      <c r="K2490" s="164" t="str">
        <f ca="1">IFERROR(__xludf.DUMMYFUNCTION("""COMPUTED_VALUE"""),"Ferolyn Joy J. Tim yiman")</f>
        <v>Ferolyn Joy J. Tim yiman</v>
      </c>
      <c r="L2490" s="164" t="str">
        <f ca="1">IFERROR(__xludf.DUMMYFUNCTION("""COMPUTED_VALUE"""),"SPLIT/LTID")</f>
        <v>SPLIT/LTID</v>
      </c>
      <c r="M2490" s="164" t="str">
        <f ca="1">IFERROR(__xludf.DUMMYFUNCTION("""COMPUTED_VALUE"""),"SERVICEABLE")</f>
        <v>SERVICEABLE</v>
      </c>
      <c r="N2490" s="164"/>
    </row>
    <row r="2491" spans="1:14" ht="13.2" hidden="1">
      <c r="A2491" s="164" t="str">
        <f ca="1">IFERROR(__xludf.DUMMYFUNCTION("""COMPUTED_VALUE"""),"Region VI")</f>
        <v>Region VI</v>
      </c>
      <c r="B2491" s="164" t="str">
        <f ca="1">IFERROR(__xludf.DUMMYFUNCTION("""COMPUTED_VALUE"""),"REGIONAL OFFICE")</f>
        <v>REGIONAL OFFICE</v>
      </c>
      <c r="C2491" s="164" t="str">
        <f ca="1">IFERROR(__xludf.DUMMYFUNCTION("""COMPUTED_VALUE"""),"Desktop Computer – (MSI PRO DP180)")</f>
        <v>Desktop Computer – (MSI PRO DP180)</v>
      </c>
      <c r="D2491" s="164" t="str">
        <f ca="1">IFERROR(__xludf.DUMMYFUNCTION("""COMPUTED_VALUE"""),"₱ 49,300.00")</f>
        <v>₱ 49,300.00</v>
      </c>
      <c r="E2491" s="164"/>
      <c r="F2491" s="164" t="str">
        <f ca="1">IFERROR(__xludf.DUMMYFUNCTION("""COMPUTED_VALUE"""),"HVSPLIT-102-24-05-01-411")</f>
        <v>HVSPLIT-102-24-05-01-411</v>
      </c>
      <c r="G2491" s="164"/>
      <c r="H2491" s="164" t="str">
        <f ca="1">IFERROR(__xludf.DUMMYFUNCTION("""COMPUTED_VALUE"""),"Ferolyn Joy J. Tim yiman")</f>
        <v>Ferolyn Joy J. Tim yiman</v>
      </c>
      <c r="I2491" s="164" t="str">
        <f ca="1">IFERROR(__xludf.DUMMYFUNCTION("""COMPUTED_VALUE"""),"OIC - CARPO")</f>
        <v>OIC - CARPO</v>
      </c>
      <c r="J2491" s="164" t="str">
        <f ca="1">IFERROR(__xludf.DUMMYFUNCTION("""COMPUTED_VALUE"""),"2023-04-038")</f>
        <v>2023-04-038</v>
      </c>
      <c r="K2491" s="164" t="str">
        <f ca="1">IFERROR(__xludf.DUMMYFUNCTION("""COMPUTED_VALUE"""),"Ferolyn Joy J. Tim yiman")</f>
        <v>Ferolyn Joy J. Tim yiman</v>
      </c>
      <c r="L2491" s="164" t="str">
        <f ca="1">IFERROR(__xludf.DUMMYFUNCTION("""COMPUTED_VALUE"""),"SPLIT/LTID")</f>
        <v>SPLIT/LTID</v>
      </c>
      <c r="M2491" s="164" t="str">
        <f ca="1">IFERROR(__xludf.DUMMYFUNCTION("""COMPUTED_VALUE"""),"SERVICEABLE")</f>
        <v>SERVICEABLE</v>
      </c>
      <c r="N2491" s="164"/>
    </row>
    <row r="2492" spans="1:14" ht="13.2" hidden="1">
      <c r="A2492" s="164" t="str">
        <f ca="1">IFERROR(__xludf.DUMMYFUNCTION("""COMPUTED_VALUE"""),"Region VI")</f>
        <v>Region VI</v>
      </c>
      <c r="B2492" s="164" t="str">
        <f ca="1">IFERROR(__xludf.DUMMYFUNCTION("""COMPUTED_VALUE"""),"REGIONAL OFFICE")</f>
        <v>REGIONAL OFFICE</v>
      </c>
      <c r="C2492" s="164" t="str">
        <f ca="1">IFERROR(__xludf.DUMMYFUNCTION("""COMPUTED_VALUE"""),"Desktop Computer – (MSI PRO DP180)")</f>
        <v>Desktop Computer – (MSI PRO DP180)</v>
      </c>
      <c r="D2492" s="164" t="str">
        <f ca="1">IFERROR(__xludf.DUMMYFUNCTION("""COMPUTED_VALUE"""),"₱ 49,300.00")</f>
        <v>₱ 49,300.00</v>
      </c>
      <c r="E2492" s="164"/>
      <c r="F2492" s="164" t="str">
        <f ca="1">IFERROR(__xludf.DUMMYFUNCTION("""COMPUTED_VALUE"""),"HVSPLIT-102-24-05-01-412")</f>
        <v>HVSPLIT-102-24-05-01-412</v>
      </c>
      <c r="G2492" s="164"/>
      <c r="H2492" s="164" t="str">
        <f ca="1">IFERROR(__xludf.DUMMYFUNCTION("""COMPUTED_VALUE"""),"Ferolyn Joy J. Tim yiman")</f>
        <v>Ferolyn Joy J. Tim yiman</v>
      </c>
      <c r="I2492" s="164" t="str">
        <f ca="1">IFERROR(__xludf.DUMMYFUNCTION("""COMPUTED_VALUE"""),"OIC - CARPO")</f>
        <v>OIC - CARPO</v>
      </c>
      <c r="J2492" s="164" t="str">
        <f ca="1">IFERROR(__xludf.DUMMYFUNCTION("""COMPUTED_VALUE"""),"2023-04-039")</f>
        <v>2023-04-039</v>
      </c>
      <c r="K2492" s="164" t="str">
        <f ca="1">IFERROR(__xludf.DUMMYFUNCTION("""COMPUTED_VALUE"""),"Ferolyn Joy J. Tim yiman")</f>
        <v>Ferolyn Joy J. Tim yiman</v>
      </c>
      <c r="L2492" s="164" t="str">
        <f ca="1">IFERROR(__xludf.DUMMYFUNCTION("""COMPUTED_VALUE"""),"SPLIT/LTID")</f>
        <v>SPLIT/LTID</v>
      </c>
      <c r="M2492" s="164" t="str">
        <f ca="1">IFERROR(__xludf.DUMMYFUNCTION("""COMPUTED_VALUE"""),"SERVICEABLE")</f>
        <v>SERVICEABLE</v>
      </c>
      <c r="N2492" s="164"/>
    </row>
    <row r="2493" spans="1:14" ht="13.2" hidden="1">
      <c r="A2493" s="164" t="str">
        <f ca="1">IFERROR(__xludf.DUMMYFUNCTION("""COMPUTED_VALUE"""),"Region VI")</f>
        <v>Region VI</v>
      </c>
      <c r="B2493" s="164" t="str">
        <f ca="1">IFERROR(__xludf.DUMMYFUNCTION("""COMPUTED_VALUE"""),"REGIONAL OFFICE")</f>
        <v>REGIONAL OFFICE</v>
      </c>
      <c r="C2493" s="164" t="str">
        <f ca="1">IFERROR(__xludf.DUMMYFUNCTION("""COMPUTED_VALUE"""),"Desktop Computer – (MSI PRO DP180)")</f>
        <v>Desktop Computer – (MSI PRO DP180)</v>
      </c>
      <c r="D2493" s="164" t="str">
        <f ca="1">IFERROR(__xludf.DUMMYFUNCTION("""COMPUTED_VALUE"""),"₱ 49,300.00")</f>
        <v>₱ 49,300.00</v>
      </c>
      <c r="E2493" s="164"/>
      <c r="F2493" s="164" t="str">
        <f ca="1">IFERROR(__xludf.DUMMYFUNCTION("""COMPUTED_VALUE"""),"HVSPLIT-102-24-05-01-413")</f>
        <v>HVSPLIT-102-24-05-01-413</v>
      </c>
      <c r="G2493" s="164"/>
      <c r="H2493" s="164" t="str">
        <f ca="1">IFERROR(__xludf.DUMMYFUNCTION("""COMPUTED_VALUE"""),"Ferolyn Joy J. Tim yiman")</f>
        <v>Ferolyn Joy J. Tim yiman</v>
      </c>
      <c r="I2493" s="164" t="str">
        <f ca="1">IFERROR(__xludf.DUMMYFUNCTION("""COMPUTED_VALUE"""),"OIC - CARPO")</f>
        <v>OIC - CARPO</v>
      </c>
      <c r="J2493" s="164" t="str">
        <f ca="1">IFERROR(__xludf.DUMMYFUNCTION("""COMPUTED_VALUE"""),"2023-04-040")</f>
        <v>2023-04-040</v>
      </c>
      <c r="K2493" s="164" t="str">
        <f ca="1">IFERROR(__xludf.DUMMYFUNCTION("""COMPUTED_VALUE"""),"Ferolyn Joy J. Tim yiman")</f>
        <v>Ferolyn Joy J. Tim yiman</v>
      </c>
      <c r="L2493" s="164" t="str">
        <f ca="1">IFERROR(__xludf.DUMMYFUNCTION("""COMPUTED_VALUE"""),"SPLIT/LTID")</f>
        <v>SPLIT/LTID</v>
      </c>
      <c r="M2493" s="164" t="str">
        <f ca="1">IFERROR(__xludf.DUMMYFUNCTION("""COMPUTED_VALUE"""),"SERVICEABLE")</f>
        <v>SERVICEABLE</v>
      </c>
      <c r="N2493" s="164"/>
    </row>
    <row r="2494" spans="1:14" ht="13.2" hidden="1">
      <c r="A2494" s="164" t="str">
        <f ca="1">IFERROR(__xludf.DUMMYFUNCTION("""COMPUTED_VALUE"""),"Region VI")</f>
        <v>Region VI</v>
      </c>
      <c r="B2494" s="164" t="str">
        <f ca="1">IFERROR(__xludf.DUMMYFUNCTION("""COMPUTED_VALUE"""),"REGIONAL OFFICE")</f>
        <v>REGIONAL OFFICE</v>
      </c>
      <c r="C2494" s="164" t="str">
        <f ca="1">IFERROR(__xludf.DUMMYFUNCTION("""COMPUTED_VALUE"""),"Desktop Computer – (MSI PRO DP180)")</f>
        <v>Desktop Computer – (MSI PRO DP180)</v>
      </c>
      <c r="D2494" s="164" t="str">
        <f ca="1">IFERROR(__xludf.DUMMYFUNCTION("""COMPUTED_VALUE"""),"₱ 49,300.00")</f>
        <v>₱ 49,300.00</v>
      </c>
      <c r="E2494" s="164"/>
      <c r="F2494" s="164" t="str">
        <f ca="1">IFERROR(__xludf.DUMMYFUNCTION("""COMPUTED_VALUE"""),"HVSPLIT-102-24-05-01-414")</f>
        <v>HVSPLIT-102-24-05-01-414</v>
      </c>
      <c r="G2494" s="164"/>
      <c r="H2494" s="164" t="str">
        <f ca="1">IFERROR(__xludf.DUMMYFUNCTION("""COMPUTED_VALUE"""),"Ferolyn Joy J. Tim yiman")</f>
        <v>Ferolyn Joy J. Tim yiman</v>
      </c>
      <c r="I2494" s="164" t="str">
        <f ca="1">IFERROR(__xludf.DUMMYFUNCTION("""COMPUTED_VALUE"""),"OIC - CARPO")</f>
        <v>OIC - CARPO</v>
      </c>
      <c r="J2494" s="164" t="str">
        <f ca="1">IFERROR(__xludf.DUMMYFUNCTION("""COMPUTED_VALUE"""),"2023-04-041")</f>
        <v>2023-04-041</v>
      </c>
      <c r="K2494" s="164" t="str">
        <f ca="1">IFERROR(__xludf.DUMMYFUNCTION("""COMPUTED_VALUE"""),"Ferolyn Joy J. Tim yiman")</f>
        <v>Ferolyn Joy J. Tim yiman</v>
      </c>
      <c r="L2494" s="164" t="str">
        <f ca="1">IFERROR(__xludf.DUMMYFUNCTION("""COMPUTED_VALUE"""),"SPLIT/LTID")</f>
        <v>SPLIT/LTID</v>
      </c>
      <c r="M2494" s="164" t="str">
        <f ca="1">IFERROR(__xludf.DUMMYFUNCTION("""COMPUTED_VALUE"""),"SERVICEABLE")</f>
        <v>SERVICEABLE</v>
      </c>
      <c r="N2494" s="164"/>
    </row>
    <row r="2495" spans="1:14" ht="13.2" hidden="1">
      <c r="A2495" s="164" t="str">
        <f ca="1">IFERROR(__xludf.DUMMYFUNCTION("""COMPUTED_VALUE"""),"Region VI")</f>
        <v>Region VI</v>
      </c>
      <c r="B2495" s="164" t="str">
        <f ca="1">IFERROR(__xludf.DUMMYFUNCTION("""COMPUTED_VALUE"""),"REGIONAL OFFICE")</f>
        <v>REGIONAL OFFICE</v>
      </c>
      <c r="C2495" s="164" t="str">
        <f ca="1">IFERROR(__xludf.DUMMYFUNCTION("""COMPUTED_VALUE"""),"Desktop Computer – (MSI PRO DP180)")</f>
        <v>Desktop Computer – (MSI PRO DP180)</v>
      </c>
      <c r="D2495" s="164" t="str">
        <f ca="1">IFERROR(__xludf.DUMMYFUNCTION("""COMPUTED_VALUE"""),"₱ 49,300.00")</f>
        <v>₱ 49,300.00</v>
      </c>
      <c r="E2495" s="164"/>
      <c r="F2495" s="164" t="str">
        <f ca="1">IFERROR(__xludf.DUMMYFUNCTION("""COMPUTED_VALUE"""),"HVSPLIT-102-24-05-01-415")</f>
        <v>HVSPLIT-102-24-05-01-415</v>
      </c>
      <c r="G2495" s="164"/>
      <c r="H2495" s="164" t="str">
        <f ca="1">IFERROR(__xludf.DUMMYFUNCTION("""COMPUTED_VALUE"""),"Ferolyn Joy J. Tim yiman")</f>
        <v>Ferolyn Joy J. Tim yiman</v>
      </c>
      <c r="I2495" s="164" t="str">
        <f ca="1">IFERROR(__xludf.DUMMYFUNCTION("""COMPUTED_VALUE"""),"OIC - CARPO")</f>
        <v>OIC - CARPO</v>
      </c>
      <c r="J2495" s="164" t="str">
        <f ca="1">IFERROR(__xludf.DUMMYFUNCTION("""COMPUTED_VALUE"""),"2023-04-042")</f>
        <v>2023-04-042</v>
      </c>
      <c r="K2495" s="164" t="str">
        <f ca="1">IFERROR(__xludf.DUMMYFUNCTION("""COMPUTED_VALUE"""),"Ferolyn Joy J. Tim yiman")</f>
        <v>Ferolyn Joy J. Tim yiman</v>
      </c>
      <c r="L2495" s="164" t="str">
        <f ca="1">IFERROR(__xludf.DUMMYFUNCTION("""COMPUTED_VALUE"""),"SPLIT/LTID")</f>
        <v>SPLIT/LTID</v>
      </c>
      <c r="M2495" s="164" t="str">
        <f ca="1">IFERROR(__xludf.DUMMYFUNCTION("""COMPUTED_VALUE"""),"SERVICEABLE")</f>
        <v>SERVICEABLE</v>
      </c>
      <c r="N2495" s="164"/>
    </row>
    <row r="2496" spans="1:14" ht="13.2" hidden="1">
      <c r="A2496" s="164" t="str">
        <f ca="1">IFERROR(__xludf.DUMMYFUNCTION("""COMPUTED_VALUE"""),"Region VI")</f>
        <v>Region VI</v>
      </c>
      <c r="B2496" s="164" t="str">
        <f ca="1">IFERROR(__xludf.DUMMYFUNCTION("""COMPUTED_VALUE"""),"REGIONAL OFFICE")</f>
        <v>REGIONAL OFFICE</v>
      </c>
      <c r="C2496" s="164" t="str">
        <f ca="1">IFERROR(__xludf.DUMMYFUNCTION("""COMPUTED_VALUE"""),"Desktop Computer – (MSI PRO DP180)")</f>
        <v>Desktop Computer – (MSI PRO DP180)</v>
      </c>
      <c r="D2496" s="164" t="str">
        <f ca="1">IFERROR(__xludf.DUMMYFUNCTION("""COMPUTED_VALUE"""),"₱ 49,300.00")</f>
        <v>₱ 49,300.00</v>
      </c>
      <c r="E2496" s="164"/>
      <c r="F2496" s="164" t="str">
        <f ca="1">IFERROR(__xludf.DUMMYFUNCTION("""COMPUTED_VALUE"""),"HVSPLIT-102-24-05-01-416")</f>
        <v>HVSPLIT-102-24-05-01-416</v>
      </c>
      <c r="G2496" s="164"/>
      <c r="H2496" s="164" t="str">
        <f ca="1">IFERROR(__xludf.DUMMYFUNCTION("""COMPUTED_VALUE"""),"Ferolyn Joy J. Tim yiman")</f>
        <v>Ferolyn Joy J. Tim yiman</v>
      </c>
      <c r="I2496" s="164" t="str">
        <f ca="1">IFERROR(__xludf.DUMMYFUNCTION("""COMPUTED_VALUE"""),"OIC - CARPO")</f>
        <v>OIC - CARPO</v>
      </c>
      <c r="J2496" s="164" t="str">
        <f ca="1">IFERROR(__xludf.DUMMYFUNCTION("""COMPUTED_VALUE"""),"2023-04-043")</f>
        <v>2023-04-043</v>
      </c>
      <c r="K2496" s="164" t="str">
        <f ca="1">IFERROR(__xludf.DUMMYFUNCTION("""COMPUTED_VALUE"""),"Ferolyn Joy J. Tim yiman")</f>
        <v>Ferolyn Joy J. Tim yiman</v>
      </c>
      <c r="L2496" s="164" t="str">
        <f ca="1">IFERROR(__xludf.DUMMYFUNCTION("""COMPUTED_VALUE"""),"SPLIT/LTID")</f>
        <v>SPLIT/LTID</v>
      </c>
      <c r="M2496" s="164" t="str">
        <f ca="1">IFERROR(__xludf.DUMMYFUNCTION("""COMPUTED_VALUE"""),"SERVICEABLE")</f>
        <v>SERVICEABLE</v>
      </c>
      <c r="N2496" s="164"/>
    </row>
    <row r="2497" spans="1:14" ht="13.2" hidden="1">
      <c r="A2497" s="164" t="str">
        <f ca="1">IFERROR(__xludf.DUMMYFUNCTION("""COMPUTED_VALUE"""),"Region VI")</f>
        <v>Region VI</v>
      </c>
      <c r="B2497" s="164" t="str">
        <f ca="1">IFERROR(__xludf.DUMMYFUNCTION("""COMPUTED_VALUE"""),"REGIONAL OFFICE")</f>
        <v>REGIONAL OFFICE</v>
      </c>
      <c r="C2497" s="164" t="str">
        <f ca="1">IFERROR(__xludf.DUMMYFUNCTION("""COMPUTED_VALUE"""),"Desktop Computer – (MSI PRO DP180)")</f>
        <v>Desktop Computer – (MSI PRO DP180)</v>
      </c>
      <c r="D2497" s="164" t="str">
        <f ca="1">IFERROR(__xludf.DUMMYFUNCTION("""COMPUTED_VALUE"""),"₱ 49,300.00")</f>
        <v>₱ 49,300.00</v>
      </c>
      <c r="E2497" s="164"/>
      <c r="F2497" s="164" t="str">
        <f ca="1">IFERROR(__xludf.DUMMYFUNCTION("""COMPUTED_VALUE"""),"HVSPLIT-102-24-05-01-417")</f>
        <v>HVSPLIT-102-24-05-01-417</v>
      </c>
      <c r="G2497" s="164"/>
      <c r="H2497" s="164" t="str">
        <f ca="1">IFERROR(__xludf.DUMMYFUNCTION("""COMPUTED_VALUE"""),"Ferolyn Joy J. Tim yiman")</f>
        <v>Ferolyn Joy J. Tim yiman</v>
      </c>
      <c r="I2497" s="164" t="str">
        <f ca="1">IFERROR(__xludf.DUMMYFUNCTION("""COMPUTED_VALUE"""),"OIC - CARPO")</f>
        <v>OIC - CARPO</v>
      </c>
      <c r="J2497" s="164" t="str">
        <f ca="1">IFERROR(__xludf.DUMMYFUNCTION("""COMPUTED_VALUE"""),"2023-04-044")</f>
        <v>2023-04-044</v>
      </c>
      <c r="K2497" s="164" t="str">
        <f ca="1">IFERROR(__xludf.DUMMYFUNCTION("""COMPUTED_VALUE"""),"Ferolyn Joy J. Tim yiman")</f>
        <v>Ferolyn Joy J. Tim yiman</v>
      </c>
      <c r="L2497" s="164" t="str">
        <f ca="1">IFERROR(__xludf.DUMMYFUNCTION("""COMPUTED_VALUE"""),"SPLIT/LTID")</f>
        <v>SPLIT/LTID</v>
      </c>
      <c r="M2497" s="164" t="str">
        <f ca="1">IFERROR(__xludf.DUMMYFUNCTION("""COMPUTED_VALUE"""),"SERVICEABLE")</f>
        <v>SERVICEABLE</v>
      </c>
      <c r="N2497" s="164"/>
    </row>
    <row r="2498" spans="1:14" ht="13.2" hidden="1">
      <c r="A2498" s="164" t="str">
        <f ca="1">IFERROR(__xludf.DUMMYFUNCTION("""COMPUTED_VALUE"""),"Region VI")</f>
        <v>Region VI</v>
      </c>
      <c r="B2498" s="164" t="str">
        <f ca="1">IFERROR(__xludf.DUMMYFUNCTION("""COMPUTED_VALUE"""),"REGIONAL OFFICE")</f>
        <v>REGIONAL OFFICE</v>
      </c>
      <c r="C2498" s="164" t="str">
        <f ca="1">IFERROR(__xludf.DUMMYFUNCTION("""COMPUTED_VALUE"""),"Desktop Computer – (MSI PRO DP180)")</f>
        <v>Desktop Computer – (MSI PRO DP180)</v>
      </c>
      <c r="D2498" s="164" t="str">
        <f ca="1">IFERROR(__xludf.DUMMYFUNCTION("""COMPUTED_VALUE"""),"₱ 49,300.00")</f>
        <v>₱ 49,300.00</v>
      </c>
      <c r="E2498" s="164"/>
      <c r="F2498" s="164" t="str">
        <f ca="1">IFERROR(__xludf.DUMMYFUNCTION("""COMPUTED_VALUE"""),"HVSPLIT-102-24-05-01-418")</f>
        <v>HVSPLIT-102-24-05-01-418</v>
      </c>
      <c r="G2498" s="164"/>
      <c r="H2498" s="164" t="str">
        <f ca="1">IFERROR(__xludf.DUMMYFUNCTION("""COMPUTED_VALUE"""),"Ferolyn Joy J. Tim yiman")</f>
        <v>Ferolyn Joy J. Tim yiman</v>
      </c>
      <c r="I2498" s="164" t="str">
        <f ca="1">IFERROR(__xludf.DUMMYFUNCTION("""COMPUTED_VALUE"""),"OIC - CARPO")</f>
        <v>OIC - CARPO</v>
      </c>
      <c r="J2498" s="164" t="str">
        <f ca="1">IFERROR(__xludf.DUMMYFUNCTION("""COMPUTED_VALUE"""),"2023-04-045")</f>
        <v>2023-04-045</v>
      </c>
      <c r="K2498" s="164" t="str">
        <f ca="1">IFERROR(__xludf.DUMMYFUNCTION("""COMPUTED_VALUE"""),"Ferolyn Joy J. Tim yiman")</f>
        <v>Ferolyn Joy J. Tim yiman</v>
      </c>
      <c r="L2498" s="164" t="str">
        <f ca="1">IFERROR(__xludf.DUMMYFUNCTION("""COMPUTED_VALUE"""),"SPLIT/LTID")</f>
        <v>SPLIT/LTID</v>
      </c>
      <c r="M2498" s="164" t="str">
        <f ca="1">IFERROR(__xludf.DUMMYFUNCTION("""COMPUTED_VALUE"""),"SERVICEABLE")</f>
        <v>SERVICEABLE</v>
      </c>
      <c r="N2498" s="164"/>
    </row>
    <row r="2499" spans="1:14" ht="13.2" hidden="1">
      <c r="A2499" s="164" t="str">
        <f ca="1">IFERROR(__xludf.DUMMYFUNCTION("""COMPUTED_VALUE"""),"Region VI")</f>
        <v>Region VI</v>
      </c>
      <c r="B2499" s="164" t="str">
        <f ca="1">IFERROR(__xludf.DUMMYFUNCTION("""COMPUTED_VALUE"""),"REGIONAL OFFICE")</f>
        <v>REGIONAL OFFICE</v>
      </c>
      <c r="C2499" s="164" t="str">
        <f ca="1">IFERROR(__xludf.DUMMYFUNCTION("""COMPUTED_VALUE"""),"Desktop Computer – (MSI PRO DP180)")</f>
        <v>Desktop Computer – (MSI PRO DP180)</v>
      </c>
      <c r="D2499" s="164" t="str">
        <f ca="1">IFERROR(__xludf.DUMMYFUNCTION("""COMPUTED_VALUE"""),"₱ 49,300.00")</f>
        <v>₱ 49,300.00</v>
      </c>
      <c r="E2499" s="164"/>
      <c r="F2499" s="164" t="str">
        <f ca="1">IFERROR(__xludf.DUMMYFUNCTION("""COMPUTED_VALUE"""),"HVSPLIT-102-24-05-01-419")</f>
        <v>HVSPLIT-102-24-05-01-419</v>
      </c>
      <c r="G2499" s="164"/>
      <c r="H2499" s="164" t="str">
        <f ca="1">IFERROR(__xludf.DUMMYFUNCTION("""COMPUTED_VALUE"""),"Ferolyn Joy J. Tim yiman")</f>
        <v>Ferolyn Joy J. Tim yiman</v>
      </c>
      <c r="I2499" s="164" t="str">
        <f ca="1">IFERROR(__xludf.DUMMYFUNCTION("""COMPUTED_VALUE"""),"OIC - CARPO")</f>
        <v>OIC - CARPO</v>
      </c>
      <c r="J2499" s="164" t="str">
        <f ca="1">IFERROR(__xludf.DUMMYFUNCTION("""COMPUTED_VALUE"""),"2023-04-046")</f>
        <v>2023-04-046</v>
      </c>
      <c r="K2499" s="164" t="str">
        <f ca="1">IFERROR(__xludf.DUMMYFUNCTION("""COMPUTED_VALUE"""),"Ferolyn Joy J. Tim yiman")</f>
        <v>Ferolyn Joy J. Tim yiman</v>
      </c>
      <c r="L2499" s="164" t="str">
        <f ca="1">IFERROR(__xludf.DUMMYFUNCTION("""COMPUTED_VALUE"""),"SPLIT/LTID")</f>
        <v>SPLIT/LTID</v>
      </c>
      <c r="M2499" s="164" t="str">
        <f ca="1">IFERROR(__xludf.DUMMYFUNCTION("""COMPUTED_VALUE"""),"SERVICEABLE")</f>
        <v>SERVICEABLE</v>
      </c>
      <c r="N2499" s="164"/>
    </row>
    <row r="2500" spans="1:14" ht="13.2" hidden="1">
      <c r="A2500" s="164" t="str">
        <f ca="1">IFERROR(__xludf.DUMMYFUNCTION("""COMPUTED_VALUE"""),"Region VI")</f>
        <v>Region VI</v>
      </c>
      <c r="B2500" s="164" t="str">
        <f ca="1">IFERROR(__xludf.DUMMYFUNCTION("""COMPUTED_VALUE"""),"REGIONAL OFFICE")</f>
        <v>REGIONAL OFFICE</v>
      </c>
      <c r="C2500" s="164" t="str">
        <f ca="1">IFERROR(__xludf.DUMMYFUNCTION("""COMPUTED_VALUE"""),"Desktop Computer – (MSI PRO DP180)")</f>
        <v>Desktop Computer – (MSI PRO DP180)</v>
      </c>
      <c r="D2500" s="164" t="str">
        <f ca="1">IFERROR(__xludf.DUMMYFUNCTION("""COMPUTED_VALUE"""),"₱ 49,300.00")</f>
        <v>₱ 49,300.00</v>
      </c>
      <c r="E2500" s="164"/>
      <c r="F2500" s="164" t="str">
        <f ca="1">IFERROR(__xludf.DUMMYFUNCTION("""COMPUTED_VALUE"""),"HVSPLIT-102-24-05-01-420")</f>
        <v>HVSPLIT-102-24-05-01-420</v>
      </c>
      <c r="G2500" s="164"/>
      <c r="H2500" s="164" t="str">
        <f ca="1">IFERROR(__xludf.DUMMYFUNCTION("""COMPUTED_VALUE"""),"Ferolyn Joy J. Tim yiman")</f>
        <v>Ferolyn Joy J. Tim yiman</v>
      </c>
      <c r="I2500" s="164" t="str">
        <f ca="1">IFERROR(__xludf.DUMMYFUNCTION("""COMPUTED_VALUE"""),"OIC - CARPO")</f>
        <v>OIC - CARPO</v>
      </c>
      <c r="J2500" s="164" t="str">
        <f ca="1">IFERROR(__xludf.DUMMYFUNCTION("""COMPUTED_VALUE"""),"2023-04-047")</f>
        <v>2023-04-047</v>
      </c>
      <c r="K2500" s="164" t="str">
        <f ca="1">IFERROR(__xludf.DUMMYFUNCTION("""COMPUTED_VALUE"""),"Ferolyn Joy J. Tim yiman")</f>
        <v>Ferolyn Joy J. Tim yiman</v>
      </c>
      <c r="L2500" s="164" t="str">
        <f ca="1">IFERROR(__xludf.DUMMYFUNCTION("""COMPUTED_VALUE"""),"SPLIT/LTID")</f>
        <v>SPLIT/LTID</v>
      </c>
      <c r="M2500" s="164" t="str">
        <f ca="1">IFERROR(__xludf.DUMMYFUNCTION("""COMPUTED_VALUE"""),"SERVICEABLE")</f>
        <v>SERVICEABLE</v>
      </c>
      <c r="N2500" s="164"/>
    </row>
    <row r="2501" spans="1:14" ht="13.2" hidden="1">
      <c r="A2501" s="164" t="str">
        <f ca="1">IFERROR(__xludf.DUMMYFUNCTION("""COMPUTED_VALUE"""),"Region VI")</f>
        <v>Region VI</v>
      </c>
      <c r="B2501" s="164" t="str">
        <f ca="1">IFERROR(__xludf.DUMMYFUNCTION("""COMPUTED_VALUE"""),"REGIONAL OFFICE")</f>
        <v>REGIONAL OFFICE</v>
      </c>
      <c r="C2501" s="164" t="str">
        <f ca="1">IFERROR(__xludf.DUMMYFUNCTION("""COMPUTED_VALUE"""),"Desktop Computer – (MSI PRO DP180)")</f>
        <v>Desktop Computer – (MSI PRO DP180)</v>
      </c>
      <c r="D2501" s="164" t="str">
        <f ca="1">IFERROR(__xludf.DUMMYFUNCTION("""COMPUTED_VALUE"""),"₱ 49,300.00")</f>
        <v>₱ 49,300.00</v>
      </c>
      <c r="E2501" s="164"/>
      <c r="F2501" s="164" t="str">
        <f ca="1">IFERROR(__xludf.DUMMYFUNCTION("""COMPUTED_VALUE"""),"HVSPLIT-102-24-05-01-421")</f>
        <v>HVSPLIT-102-24-05-01-421</v>
      </c>
      <c r="G2501" s="164"/>
      <c r="H2501" s="164" t="str">
        <f ca="1">IFERROR(__xludf.DUMMYFUNCTION("""COMPUTED_VALUE"""),"Ferolyn Joy J. Tim yiman")</f>
        <v>Ferolyn Joy J. Tim yiman</v>
      </c>
      <c r="I2501" s="164" t="str">
        <f ca="1">IFERROR(__xludf.DUMMYFUNCTION("""COMPUTED_VALUE"""),"OIC - CARPO")</f>
        <v>OIC - CARPO</v>
      </c>
      <c r="J2501" s="164" t="str">
        <f ca="1">IFERROR(__xludf.DUMMYFUNCTION("""COMPUTED_VALUE"""),"2023-04-048")</f>
        <v>2023-04-048</v>
      </c>
      <c r="K2501" s="164" t="str">
        <f ca="1">IFERROR(__xludf.DUMMYFUNCTION("""COMPUTED_VALUE"""),"Ferolyn Joy J. Tim yiman")</f>
        <v>Ferolyn Joy J. Tim yiman</v>
      </c>
      <c r="L2501" s="164" t="str">
        <f ca="1">IFERROR(__xludf.DUMMYFUNCTION("""COMPUTED_VALUE"""),"SPLIT/LTID")</f>
        <v>SPLIT/LTID</v>
      </c>
      <c r="M2501" s="164" t="str">
        <f ca="1">IFERROR(__xludf.DUMMYFUNCTION("""COMPUTED_VALUE"""),"SERVICEABLE")</f>
        <v>SERVICEABLE</v>
      </c>
      <c r="N2501" s="164"/>
    </row>
    <row r="2502" spans="1:14" ht="13.2" hidden="1">
      <c r="A2502" s="164" t="str">
        <f ca="1">IFERROR(__xludf.DUMMYFUNCTION("""COMPUTED_VALUE"""),"Region VI")</f>
        <v>Region VI</v>
      </c>
      <c r="B2502" s="164" t="str">
        <f ca="1">IFERROR(__xludf.DUMMYFUNCTION("""COMPUTED_VALUE"""),"REGIONAL OFFICE")</f>
        <v>REGIONAL OFFICE</v>
      </c>
      <c r="C2502" s="164" t="str">
        <f ca="1">IFERROR(__xludf.DUMMYFUNCTION("""COMPUTED_VALUE"""),"Desktop Computer – (MSI PRO DP180)")</f>
        <v>Desktop Computer – (MSI PRO DP180)</v>
      </c>
      <c r="D2502" s="164" t="str">
        <f ca="1">IFERROR(__xludf.DUMMYFUNCTION("""COMPUTED_VALUE"""),"₱ 49,300.00")</f>
        <v>₱ 49,300.00</v>
      </c>
      <c r="E2502" s="164"/>
      <c r="F2502" s="164" t="str">
        <f ca="1">IFERROR(__xludf.DUMMYFUNCTION("""COMPUTED_VALUE"""),"HVSPLIT-102-24-05-01-422")</f>
        <v>HVSPLIT-102-24-05-01-422</v>
      </c>
      <c r="G2502" s="164"/>
      <c r="H2502" s="164" t="str">
        <f ca="1">IFERROR(__xludf.DUMMYFUNCTION("""COMPUTED_VALUE"""),"Ferolyn Joy J. Tim yiman")</f>
        <v>Ferolyn Joy J. Tim yiman</v>
      </c>
      <c r="I2502" s="164" t="str">
        <f ca="1">IFERROR(__xludf.DUMMYFUNCTION("""COMPUTED_VALUE"""),"OIC - CARPO")</f>
        <v>OIC - CARPO</v>
      </c>
      <c r="J2502" s="164" t="str">
        <f ca="1">IFERROR(__xludf.DUMMYFUNCTION("""COMPUTED_VALUE"""),"2023-04-049")</f>
        <v>2023-04-049</v>
      </c>
      <c r="K2502" s="164" t="str">
        <f ca="1">IFERROR(__xludf.DUMMYFUNCTION("""COMPUTED_VALUE"""),"Ferolyn Joy J. Tim yiman")</f>
        <v>Ferolyn Joy J. Tim yiman</v>
      </c>
      <c r="L2502" s="164" t="str">
        <f ca="1">IFERROR(__xludf.DUMMYFUNCTION("""COMPUTED_VALUE"""),"SPLIT/LTID")</f>
        <v>SPLIT/LTID</v>
      </c>
      <c r="M2502" s="164" t="str">
        <f ca="1">IFERROR(__xludf.DUMMYFUNCTION("""COMPUTED_VALUE"""),"SERVICEABLE")</f>
        <v>SERVICEABLE</v>
      </c>
      <c r="N2502" s="164"/>
    </row>
    <row r="2503" spans="1:14" ht="13.2" hidden="1">
      <c r="A2503" s="164" t="str">
        <f ca="1">IFERROR(__xludf.DUMMYFUNCTION("""COMPUTED_VALUE"""),"Region VI")</f>
        <v>Region VI</v>
      </c>
      <c r="B2503" s="164" t="str">
        <f ca="1">IFERROR(__xludf.DUMMYFUNCTION("""COMPUTED_VALUE"""),"REGIONAL OFFICE")</f>
        <v>REGIONAL OFFICE</v>
      </c>
      <c r="C2503" s="164" t="str">
        <f ca="1">IFERROR(__xludf.DUMMYFUNCTION("""COMPUTED_VALUE"""),"Desktop Computer – (MSI PRO DP180)")</f>
        <v>Desktop Computer – (MSI PRO DP180)</v>
      </c>
      <c r="D2503" s="164" t="str">
        <f ca="1">IFERROR(__xludf.DUMMYFUNCTION("""COMPUTED_VALUE"""),"₱ 49,300.00")</f>
        <v>₱ 49,300.00</v>
      </c>
      <c r="E2503" s="164"/>
      <c r="F2503" s="164" t="str">
        <f ca="1">IFERROR(__xludf.DUMMYFUNCTION("""COMPUTED_VALUE"""),"HVSPLIT-102-24-05-01-423")</f>
        <v>HVSPLIT-102-24-05-01-423</v>
      </c>
      <c r="G2503" s="164"/>
      <c r="H2503" s="164" t="str">
        <f ca="1">IFERROR(__xludf.DUMMYFUNCTION("""COMPUTED_VALUE"""),"Ferolyn Joy J. Tim yiman")</f>
        <v>Ferolyn Joy J. Tim yiman</v>
      </c>
      <c r="I2503" s="164" t="str">
        <f ca="1">IFERROR(__xludf.DUMMYFUNCTION("""COMPUTED_VALUE"""),"OIC - CARPO")</f>
        <v>OIC - CARPO</v>
      </c>
      <c r="J2503" s="164" t="str">
        <f ca="1">IFERROR(__xludf.DUMMYFUNCTION("""COMPUTED_VALUE"""),"2023-04-050")</f>
        <v>2023-04-050</v>
      </c>
      <c r="K2503" s="164" t="str">
        <f ca="1">IFERROR(__xludf.DUMMYFUNCTION("""COMPUTED_VALUE"""),"Ferolyn Joy J. Tim yiman")</f>
        <v>Ferolyn Joy J. Tim yiman</v>
      </c>
      <c r="L2503" s="164" t="str">
        <f ca="1">IFERROR(__xludf.DUMMYFUNCTION("""COMPUTED_VALUE"""),"SPLIT/LTID")</f>
        <v>SPLIT/LTID</v>
      </c>
      <c r="M2503" s="164" t="str">
        <f ca="1">IFERROR(__xludf.DUMMYFUNCTION("""COMPUTED_VALUE"""),"SERVICEABLE")</f>
        <v>SERVICEABLE</v>
      </c>
      <c r="N2503" s="164"/>
    </row>
    <row r="2504" spans="1:14" ht="13.2" hidden="1">
      <c r="A2504" s="164" t="str">
        <f ca="1">IFERROR(__xludf.DUMMYFUNCTION("""COMPUTED_VALUE"""),"Region VI")</f>
        <v>Region VI</v>
      </c>
      <c r="B2504" s="164" t="str">
        <f ca="1">IFERROR(__xludf.DUMMYFUNCTION("""COMPUTED_VALUE"""),"REGIONAL OFFICE")</f>
        <v>REGIONAL OFFICE</v>
      </c>
      <c r="C2504" s="164" t="str">
        <f ca="1">IFERROR(__xludf.DUMMYFUNCTION("""COMPUTED_VALUE"""),"Desktop Computer – (MSI PRO DP180)")</f>
        <v>Desktop Computer – (MSI PRO DP180)</v>
      </c>
      <c r="D2504" s="164" t="str">
        <f ca="1">IFERROR(__xludf.DUMMYFUNCTION("""COMPUTED_VALUE"""),"₱ 49,300.00")</f>
        <v>₱ 49,300.00</v>
      </c>
      <c r="E2504" s="164"/>
      <c r="F2504" s="164" t="str">
        <f ca="1">IFERROR(__xludf.DUMMYFUNCTION("""COMPUTED_VALUE"""),"HVSPLIT-102-24-05-01-424")</f>
        <v>HVSPLIT-102-24-05-01-424</v>
      </c>
      <c r="G2504" s="164"/>
      <c r="H2504" s="164" t="str">
        <f ca="1">IFERROR(__xludf.DUMMYFUNCTION("""COMPUTED_VALUE"""),"Ferolyn Joy J. Tim yiman")</f>
        <v>Ferolyn Joy J. Tim yiman</v>
      </c>
      <c r="I2504" s="164" t="str">
        <f ca="1">IFERROR(__xludf.DUMMYFUNCTION("""COMPUTED_VALUE"""),"OIC - CARPO")</f>
        <v>OIC - CARPO</v>
      </c>
      <c r="J2504" s="164" t="str">
        <f ca="1">IFERROR(__xludf.DUMMYFUNCTION("""COMPUTED_VALUE"""),"2023-04-051")</f>
        <v>2023-04-051</v>
      </c>
      <c r="K2504" s="164" t="str">
        <f ca="1">IFERROR(__xludf.DUMMYFUNCTION("""COMPUTED_VALUE"""),"Ferolyn Joy J. Tim yiman")</f>
        <v>Ferolyn Joy J. Tim yiman</v>
      </c>
      <c r="L2504" s="164" t="str">
        <f ca="1">IFERROR(__xludf.DUMMYFUNCTION("""COMPUTED_VALUE"""),"SPLIT/LTID")</f>
        <v>SPLIT/LTID</v>
      </c>
      <c r="M2504" s="164" t="str">
        <f ca="1">IFERROR(__xludf.DUMMYFUNCTION("""COMPUTED_VALUE"""),"SERVICEABLE")</f>
        <v>SERVICEABLE</v>
      </c>
      <c r="N2504" s="164"/>
    </row>
    <row r="2505" spans="1:14" ht="13.2" hidden="1">
      <c r="A2505" s="164" t="str">
        <f ca="1">IFERROR(__xludf.DUMMYFUNCTION("""COMPUTED_VALUE"""),"Region VI")</f>
        <v>Region VI</v>
      </c>
      <c r="B2505" s="164" t="str">
        <f ca="1">IFERROR(__xludf.DUMMYFUNCTION("""COMPUTED_VALUE"""),"REGIONAL OFFICE")</f>
        <v>REGIONAL OFFICE</v>
      </c>
      <c r="C2505" s="164" t="str">
        <f ca="1">IFERROR(__xludf.DUMMYFUNCTION("""COMPUTED_VALUE"""),"Desktop Computer – (MSI PRO DP180)")</f>
        <v>Desktop Computer – (MSI PRO DP180)</v>
      </c>
      <c r="D2505" s="164" t="str">
        <f ca="1">IFERROR(__xludf.DUMMYFUNCTION("""COMPUTED_VALUE"""),"₱ 49,300.00")</f>
        <v>₱ 49,300.00</v>
      </c>
      <c r="E2505" s="164"/>
      <c r="F2505" s="164" t="str">
        <f ca="1">IFERROR(__xludf.DUMMYFUNCTION("""COMPUTED_VALUE"""),"HVSPLIT-102-24-05-01-425")</f>
        <v>HVSPLIT-102-24-05-01-425</v>
      </c>
      <c r="G2505" s="164"/>
      <c r="H2505" s="164" t="str">
        <f ca="1">IFERROR(__xludf.DUMMYFUNCTION("""COMPUTED_VALUE"""),"Ferolyn Joy J. Tim yiman")</f>
        <v>Ferolyn Joy J. Tim yiman</v>
      </c>
      <c r="I2505" s="164" t="str">
        <f ca="1">IFERROR(__xludf.DUMMYFUNCTION("""COMPUTED_VALUE"""),"OIC - CARPO")</f>
        <v>OIC - CARPO</v>
      </c>
      <c r="J2505" s="164" t="str">
        <f ca="1">IFERROR(__xludf.DUMMYFUNCTION("""COMPUTED_VALUE"""),"2023-04-052")</f>
        <v>2023-04-052</v>
      </c>
      <c r="K2505" s="164" t="str">
        <f ca="1">IFERROR(__xludf.DUMMYFUNCTION("""COMPUTED_VALUE"""),"Ferolyn Joy J. Tim yiman")</f>
        <v>Ferolyn Joy J. Tim yiman</v>
      </c>
      <c r="L2505" s="164" t="str">
        <f ca="1">IFERROR(__xludf.DUMMYFUNCTION("""COMPUTED_VALUE"""),"SPLIT/LTID")</f>
        <v>SPLIT/LTID</v>
      </c>
      <c r="M2505" s="164" t="str">
        <f ca="1">IFERROR(__xludf.DUMMYFUNCTION("""COMPUTED_VALUE"""),"SERVICEABLE")</f>
        <v>SERVICEABLE</v>
      </c>
      <c r="N2505" s="164"/>
    </row>
    <row r="2506" spans="1:14" ht="13.2" hidden="1">
      <c r="A2506" s="164" t="str">
        <f ca="1">IFERROR(__xludf.DUMMYFUNCTION("""COMPUTED_VALUE"""),"Region VI")</f>
        <v>Region VI</v>
      </c>
      <c r="B2506" s="164" t="str">
        <f ca="1">IFERROR(__xludf.DUMMYFUNCTION("""COMPUTED_VALUE"""),"REGIONAL OFFICE")</f>
        <v>REGIONAL OFFICE</v>
      </c>
      <c r="C2506" s="164" t="str">
        <f ca="1">IFERROR(__xludf.DUMMYFUNCTION("""COMPUTED_VALUE"""),"Desktop Computer – (MSI PRO DP180)")</f>
        <v>Desktop Computer – (MSI PRO DP180)</v>
      </c>
      <c r="D2506" s="164" t="str">
        <f ca="1">IFERROR(__xludf.DUMMYFUNCTION("""COMPUTED_VALUE"""),"₱ 49,300.00")</f>
        <v>₱ 49,300.00</v>
      </c>
      <c r="E2506" s="164"/>
      <c r="F2506" s="164" t="str">
        <f ca="1">IFERROR(__xludf.DUMMYFUNCTION("""COMPUTED_VALUE"""),"HVSPLIT-102-24-05-01-426")</f>
        <v>HVSPLIT-102-24-05-01-426</v>
      </c>
      <c r="G2506" s="164"/>
      <c r="H2506" s="164" t="str">
        <f ca="1">IFERROR(__xludf.DUMMYFUNCTION("""COMPUTED_VALUE"""),"Ferolyn Joy J. Tim yiman")</f>
        <v>Ferolyn Joy J. Tim yiman</v>
      </c>
      <c r="I2506" s="164" t="str">
        <f ca="1">IFERROR(__xludf.DUMMYFUNCTION("""COMPUTED_VALUE"""),"OIC - CARPO")</f>
        <v>OIC - CARPO</v>
      </c>
      <c r="J2506" s="164" t="str">
        <f ca="1">IFERROR(__xludf.DUMMYFUNCTION("""COMPUTED_VALUE"""),"2023-04-053")</f>
        <v>2023-04-053</v>
      </c>
      <c r="K2506" s="164" t="str">
        <f ca="1">IFERROR(__xludf.DUMMYFUNCTION("""COMPUTED_VALUE"""),"Ferolyn Joy J. Tim yiman")</f>
        <v>Ferolyn Joy J. Tim yiman</v>
      </c>
      <c r="L2506" s="164" t="str">
        <f ca="1">IFERROR(__xludf.DUMMYFUNCTION("""COMPUTED_VALUE"""),"SPLIT/LTID")</f>
        <v>SPLIT/LTID</v>
      </c>
      <c r="M2506" s="164" t="str">
        <f ca="1">IFERROR(__xludf.DUMMYFUNCTION("""COMPUTED_VALUE"""),"SERVICEABLE")</f>
        <v>SERVICEABLE</v>
      </c>
      <c r="N2506" s="164"/>
    </row>
    <row r="2507" spans="1:14" ht="13.2" hidden="1">
      <c r="A2507" s="164" t="str">
        <f ca="1">IFERROR(__xludf.DUMMYFUNCTION("""COMPUTED_VALUE"""),"Region VI")</f>
        <v>Region VI</v>
      </c>
      <c r="B2507" s="164" t="str">
        <f ca="1">IFERROR(__xludf.DUMMYFUNCTION("""COMPUTED_VALUE"""),"REGIONAL OFFICE")</f>
        <v>REGIONAL OFFICE</v>
      </c>
      <c r="C2507" s="164" t="str">
        <f ca="1">IFERROR(__xludf.DUMMYFUNCTION("""COMPUTED_VALUE"""),"Desktop Computer – (MSI PRO DP180)")</f>
        <v>Desktop Computer – (MSI PRO DP180)</v>
      </c>
      <c r="D2507" s="164" t="str">
        <f ca="1">IFERROR(__xludf.DUMMYFUNCTION("""COMPUTED_VALUE"""),"₱ 49,300.00")</f>
        <v>₱ 49,300.00</v>
      </c>
      <c r="E2507" s="164"/>
      <c r="F2507" s="164" t="str">
        <f ca="1">IFERROR(__xludf.DUMMYFUNCTION("""COMPUTED_VALUE"""),"HVSPLIT-102-24-05-01-427")</f>
        <v>HVSPLIT-102-24-05-01-427</v>
      </c>
      <c r="G2507" s="164"/>
      <c r="H2507" s="164" t="str">
        <f ca="1">IFERROR(__xludf.DUMMYFUNCTION("""COMPUTED_VALUE"""),"Ferolyn Joy J. Tim yiman")</f>
        <v>Ferolyn Joy J. Tim yiman</v>
      </c>
      <c r="I2507" s="164" t="str">
        <f ca="1">IFERROR(__xludf.DUMMYFUNCTION("""COMPUTED_VALUE"""),"OIC - CARPO")</f>
        <v>OIC - CARPO</v>
      </c>
      <c r="J2507" s="164" t="str">
        <f ca="1">IFERROR(__xludf.DUMMYFUNCTION("""COMPUTED_VALUE"""),"2023-04-054")</f>
        <v>2023-04-054</v>
      </c>
      <c r="K2507" s="164" t="str">
        <f ca="1">IFERROR(__xludf.DUMMYFUNCTION("""COMPUTED_VALUE"""),"Ferolyn Joy J. Tim yiman")</f>
        <v>Ferolyn Joy J. Tim yiman</v>
      </c>
      <c r="L2507" s="164" t="str">
        <f ca="1">IFERROR(__xludf.DUMMYFUNCTION("""COMPUTED_VALUE"""),"SPLIT/LTID")</f>
        <v>SPLIT/LTID</v>
      </c>
      <c r="M2507" s="164" t="str">
        <f ca="1">IFERROR(__xludf.DUMMYFUNCTION("""COMPUTED_VALUE"""),"SERVICEABLE")</f>
        <v>SERVICEABLE</v>
      </c>
      <c r="N2507" s="164"/>
    </row>
    <row r="2508" spans="1:14" ht="13.2" hidden="1">
      <c r="A2508" s="164" t="str">
        <f ca="1">IFERROR(__xludf.DUMMYFUNCTION("""COMPUTED_VALUE"""),"Region VI")</f>
        <v>Region VI</v>
      </c>
      <c r="B2508" s="164" t="str">
        <f ca="1">IFERROR(__xludf.DUMMYFUNCTION("""COMPUTED_VALUE"""),"REGIONAL OFFICE")</f>
        <v>REGIONAL OFFICE</v>
      </c>
      <c r="C2508" s="164" t="str">
        <f ca="1">IFERROR(__xludf.DUMMYFUNCTION("""COMPUTED_VALUE"""),"Desktop Computer – (MSI PRO DP180)")</f>
        <v>Desktop Computer – (MSI PRO DP180)</v>
      </c>
      <c r="D2508" s="164" t="str">
        <f ca="1">IFERROR(__xludf.DUMMYFUNCTION("""COMPUTED_VALUE"""),"₱ 49,300.00")</f>
        <v>₱ 49,300.00</v>
      </c>
      <c r="E2508" s="164"/>
      <c r="F2508" s="164" t="str">
        <f ca="1">IFERROR(__xludf.DUMMYFUNCTION("""COMPUTED_VALUE"""),"HVSPLIT-102-24-05-01-428")</f>
        <v>HVSPLIT-102-24-05-01-428</v>
      </c>
      <c r="G2508" s="164"/>
      <c r="H2508" s="164" t="str">
        <f ca="1">IFERROR(__xludf.DUMMYFUNCTION("""COMPUTED_VALUE"""),"Ferolyn Joy J. Tim yiman")</f>
        <v>Ferolyn Joy J. Tim yiman</v>
      </c>
      <c r="I2508" s="164" t="str">
        <f ca="1">IFERROR(__xludf.DUMMYFUNCTION("""COMPUTED_VALUE"""),"OIC - CARPO")</f>
        <v>OIC - CARPO</v>
      </c>
      <c r="J2508" s="164" t="str">
        <f ca="1">IFERROR(__xludf.DUMMYFUNCTION("""COMPUTED_VALUE"""),"2023-04-055")</f>
        <v>2023-04-055</v>
      </c>
      <c r="K2508" s="164" t="str">
        <f ca="1">IFERROR(__xludf.DUMMYFUNCTION("""COMPUTED_VALUE"""),"Ferolyn Joy J. Tim yiman")</f>
        <v>Ferolyn Joy J. Tim yiman</v>
      </c>
      <c r="L2508" s="164" t="str">
        <f ca="1">IFERROR(__xludf.DUMMYFUNCTION("""COMPUTED_VALUE"""),"SPLIT/LTID")</f>
        <v>SPLIT/LTID</v>
      </c>
      <c r="M2508" s="164" t="str">
        <f ca="1">IFERROR(__xludf.DUMMYFUNCTION("""COMPUTED_VALUE"""),"SERVICEABLE")</f>
        <v>SERVICEABLE</v>
      </c>
      <c r="N2508" s="164"/>
    </row>
    <row r="2509" spans="1:14" ht="13.2" hidden="1">
      <c r="A2509" s="164" t="str">
        <f ca="1">IFERROR(__xludf.DUMMYFUNCTION("""COMPUTED_VALUE"""),"Region VI")</f>
        <v>Region VI</v>
      </c>
      <c r="B2509" s="164" t="str">
        <f ca="1">IFERROR(__xludf.DUMMYFUNCTION("""COMPUTED_VALUE"""),"REGIONAL OFFICE")</f>
        <v>REGIONAL OFFICE</v>
      </c>
      <c r="C2509" s="164" t="str">
        <f ca="1">IFERROR(__xludf.DUMMYFUNCTION("""COMPUTED_VALUE"""),"Desktop Computer – (MSI PRO DP180)")</f>
        <v>Desktop Computer – (MSI PRO DP180)</v>
      </c>
      <c r="D2509" s="164" t="str">
        <f ca="1">IFERROR(__xludf.DUMMYFUNCTION("""COMPUTED_VALUE"""),"₱ 49,300.00")</f>
        <v>₱ 49,300.00</v>
      </c>
      <c r="E2509" s="164"/>
      <c r="F2509" s="164" t="str">
        <f ca="1">IFERROR(__xludf.DUMMYFUNCTION("""COMPUTED_VALUE"""),"HVSPLIT-102-24-05-01-429")</f>
        <v>HVSPLIT-102-24-05-01-429</v>
      </c>
      <c r="G2509" s="164"/>
      <c r="H2509" s="164" t="str">
        <f ca="1">IFERROR(__xludf.DUMMYFUNCTION("""COMPUTED_VALUE"""),"Ferolyn Joy J. Tim yiman")</f>
        <v>Ferolyn Joy J. Tim yiman</v>
      </c>
      <c r="I2509" s="164" t="str">
        <f ca="1">IFERROR(__xludf.DUMMYFUNCTION("""COMPUTED_VALUE"""),"OIC - CARPO")</f>
        <v>OIC - CARPO</v>
      </c>
      <c r="J2509" s="164" t="str">
        <f ca="1">IFERROR(__xludf.DUMMYFUNCTION("""COMPUTED_VALUE"""),"2023-04-056")</f>
        <v>2023-04-056</v>
      </c>
      <c r="K2509" s="164" t="str">
        <f ca="1">IFERROR(__xludf.DUMMYFUNCTION("""COMPUTED_VALUE"""),"Ferolyn Joy J. Tim yiman")</f>
        <v>Ferolyn Joy J. Tim yiman</v>
      </c>
      <c r="L2509" s="164" t="str">
        <f ca="1">IFERROR(__xludf.DUMMYFUNCTION("""COMPUTED_VALUE"""),"SPLIT/LTID")</f>
        <v>SPLIT/LTID</v>
      </c>
      <c r="M2509" s="164" t="str">
        <f ca="1">IFERROR(__xludf.DUMMYFUNCTION("""COMPUTED_VALUE"""),"SERVICEABLE")</f>
        <v>SERVICEABLE</v>
      </c>
      <c r="N2509" s="164"/>
    </row>
    <row r="2510" spans="1:14" ht="13.2" hidden="1">
      <c r="A2510" s="164" t="str">
        <f ca="1">IFERROR(__xludf.DUMMYFUNCTION("""COMPUTED_VALUE"""),"Region VI")</f>
        <v>Region VI</v>
      </c>
      <c r="B2510" s="164" t="str">
        <f ca="1">IFERROR(__xludf.DUMMYFUNCTION("""COMPUTED_VALUE"""),"REGIONAL OFFICE")</f>
        <v>REGIONAL OFFICE</v>
      </c>
      <c r="C2510" s="164" t="str">
        <f ca="1">IFERROR(__xludf.DUMMYFUNCTION("""COMPUTED_VALUE"""),"Desktop Computer – (MSI PRO DP180)")</f>
        <v>Desktop Computer – (MSI PRO DP180)</v>
      </c>
      <c r="D2510" s="164" t="str">
        <f ca="1">IFERROR(__xludf.DUMMYFUNCTION("""COMPUTED_VALUE"""),"₱ 49,301.00")</f>
        <v>₱ 49,301.00</v>
      </c>
      <c r="E2510" s="164"/>
      <c r="F2510" s="164" t="str">
        <f ca="1">IFERROR(__xludf.DUMMYFUNCTION("""COMPUTED_VALUE"""),"HVSPLIT-102-24-05-01-430")</f>
        <v>HVSPLIT-102-24-05-01-430</v>
      </c>
      <c r="G2510" s="164"/>
      <c r="H2510" s="164" t="str">
        <f ca="1">IFERROR(__xludf.DUMMYFUNCTION("""COMPUTED_VALUE"""),"Ferolyn Joy J. Tim yiman")</f>
        <v>Ferolyn Joy J. Tim yiman</v>
      </c>
      <c r="I2510" s="164" t="str">
        <f ca="1">IFERROR(__xludf.DUMMYFUNCTION("""COMPUTED_VALUE"""),"OIC - CARPO")</f>
        <v>OIC - CARPO</v>
      </c>
      <c r="J2510" s="164" t="str">
        <f ca="1">IFERROR(__xludf.DUMMYFUNCTION("""COMPUTED_VALUE"""),"2023-04-057")</f>
        <v>2023-04-057</v>
      </c>
      <c r="K2510" s="164" t="str">
        <f ca="1">IFERROR(__xludf.DUMMYFUNCTION("""COMPUTED_VALUE"""),"Ferolyn Joy J. Tim yiman")</f>
        <v>Ferolyn Joy J. Tim yiman</v>
      </c>
      <c r="L2510" s="164" t="str">
        <f ca="1">IFERROR(__xludf.DUMMYFUNCTION("""COMPUTED_VALUE"""),"SPLIT/LTID")</f>
        <v>SPLIT/LTID</v>
      </c>
      <c r="M2510" s="164" t="str">
        <f ca="1">IFERROR(__xludf.DUMMYFUNCTION("""COMPUTED_VALUE"""),"SERVICEABLE")</f>
        <v>SERVICEABLE</v>
      </c>
      <c r="N2510" s="164"/>
    </row>
    <row r="2511" spans="1:14" ht="13.2" hidden="1">
      <c r="A2511" s="164" t="str">
        <f ca="1">IFERROR(__xludf.DUMMYFUNCTION("""COMPUTED_VALUE"""),"Region VI")</f>
        <v>Region VI</v>
      </c>
      <c r="B2511" s="164" t="str">
        <f ca="1">IFERROR(__xludf.DUMMYFUNCTION("""COMPUTED_VALUE"""),"REGIONAL OFFICE")</f>
        <v>REGIONAL OFFICE</v>
      </c>
      <c r="C2511" s="164" t="str">
        <f ca="1">IFERROR(__xludf.DUMMYFUNCTION("""COMPUTED_VALUE"""),"Desktop Computer – (MSI PRO DP180)")</f>
        <v>Desktop Computer – (MSI PRO DP180)</v>
      </c>
      <c r="D2511" s="164" t="str">
        <f ca="1">IFERROR(__xludf.DUMMYFUNCTION("""COMPUTED_VALUE"""),"₱49,301.00")</f>
        <v>₱49,301.00</v>
      </c>
      <c r="E2511" s="164"/>
      <c r="F2511" s="164" t="str">
        <f ca="1">IFERROR(__xludf.DUMMYFUNCTION("""COMPUTED_VALUE"""),"HVSPLIT-102-24-05-01-057")</f>
        <v>HVSPLIT-102-24-05-01-057</v>
      </c>
      <c r="G2511" s="164"/>
      <c r="H2511" s="164" t="str">
        <f ca="1">IFERROR(__xludf.DUMMYFUNCTION("""COMPUTED_VALUE"""),"Ferolyn Joy J. Tim yiman")</f>
        <v>Ferolyn Joy J. Tim yiman</v>
      </c>
      <c r="I2511" s="164" t="str">
        <f ca="1">IFERROR(__xludf.DUMMYFUNCTION("""COMPUTED_VALUE"""),"OIC - CARPO")</f>
        <v>OIC - CARPO</v>
      </c>
      <c r="J2511" s="164" t="str">
        <f ca="1">IFERROR(__xludf.DUMMYFUNCTION("""COMPUTED_VALUE"""),"2023-04-057")</f>
        <v>2023-04-057</v>
      </c>
      <c r="K2511" s="164" t="str">
        <f ca="1">IFERROR(__xludf.DUMMYFUNCTION("""COMPUTED_VALUE"""),"Ferolyn Joy J. Tim yiman")</f>
        <v>Ferolyn Joy J. Tim yiman</v>
      </c>
      <c r="L2511" s="164" t="str">
        <f ca="1">IFERROR(__xludf.DUMMYFUNCTION("""COMPUTED_VALUE"""),"SPLIT/LTID")</f>
        <v>SPLIT/LTID</v>
      </c>
      <c r="M2511" s="164" t="str">
        <f ca="1">IFERROR(__xludf.DUMMYFUNCTION("""COMPUTED_VALUE"""),"SERVICEABLE")</f>
        <v>SERVICEABLE</v>
      </c>
      <c r="N2511" s="164" t="str">
        <f ca="1">IFERROR(__xludf.DUMMYFUNCTION("""COMPUTED_VALUE"""),"central office")</f>
        <v>central office</v>
      </c>
    </row>
    <row r="2512" spans="1:14" ht="13.2" hidden="1">
      <c r="A2512" s="164" t="str">
        <f ca="1">IFERROR(__xludf.DUMMYFUNCTION("""COMPUTED_VALUE"""),"Region VI")</f>
        <v>Region VI</v>
      </c>
      <c r="B2512" s="164" t="str">
        <f ca="1">IFERROR(__xludf.DUMMYFUNCTION("""COMPUTED_VALUE"""),"REGIONAL OFFICE")</f>
        <v>REGIONAL OFFICE</v>
      </c>
      <c r="C2512" s="164" t="str">
        <f ca="1">IFERROR(__xludf.DUMMYFUNCTION("""COMPUTED_VALUE"""),"Double Cabin Pick-up Vehicles – Mitsubishi Strada")</f>
        <v>Double Cabin Pick-up Vehicles – Mitsubishi Strada</v>
      </c>
      <c r="D2512" s="164" t="str">
        <f ca="1">IFERROR(__xludf.DUMMYFUNCTION("""COMPUTED_VALUE"""),"₱ 1,752,400.00")</f>
        <v>₱ 1,752,400.00</v>
      </c>
      <c r="E2512" s="164"/>
      <c r="F2512" s="164" t="str">
        <f ca="1">IFERROR(__xludf.DUMMYFUNCTION("""COMPUTED_VALUE"""),"2023-06-01-10201SP01-01")</f>
        <v>2023-06-01-10201SP01-01</v>
      </c>
      <c r="G2512" s="164" t="str">
        <f ca="1">IFERROR(__xludf.DUMMYFUNCTION("""COMPUTED_VALUE"""),"Y3-B065/SNC 1052/NFX 1661")</f>
        <v>Y3-B065/SNC 1052/NFX 1661</v>
      </c>
      <c r="H2512" s="164"/>
      <c r="I2512" s="164"/>
      <c r="J2512" s="164" t="str">
        <f ca="1">IFERROR(__xludf.DUMMYFUNCTION("""COMPUTED_VALUE"""),"2023-09-001MV")</f>
        <v>2023-09-001MV</v>
      </c>
      <c r="K2512" s="164"/>
      <c r="L2512" s="164"/>
      <c r="M2512" s="164" t="str">
        <f ca="1">IFERROR(__xludf.DUMMYFUNCTION("""COMPUTED_VALUE"""),"SERVICEABLE")</f>
        <v>SERVICEABLE</v>
      </c>
      <c r="N2512" s="164"/>
    </row>
    <row r="2513" spans="1:14" ht="13.2" hidden="1">
      <c r="A2513" s="164" t="str">
        <f ca="1">IFERROR(__xludf.DUMMYFUNCTION("""COMPUTED_VALUE"""),"Region VI")</f>
        <v>Region VI</v>
      </c>
      <c r="B2513" s="164" t="str">
        <f ca="1">IFERROR(__xludf.DUMMYFUNCTION("""COMPUTED_VALUE"""),"REGIONAL OFFICE")</f>
        <v>REGIONAL OFFICE</v>
      </c>
      <c r="C2513" s="164" t="str">
        <f ca="1">IFERROR(__xludf.DUMMYFUNCTION("""COMPUTED_VALUE"""),"Double Cabin Pick-up Vehicles – Mitsubishi Strada")</f>
        <v>Double Cabin Pick-up Vehicles – Mitsubishi Strada</v>
      </c>
      <c r="D2513" s="164" t="str">
        <f ca="1">IFERROR(__xludf.DUMMYFUNCTION("""COMPUTED_VALUE"""),"₱ 1,752,400.00")</f>
        <v>₱ 1,752,400.00</v>
      </c>
      <c r="E2513" s="164" t="str">
        <f ca="1">IFERROR(__xludf.DUMMYFUNCTION("""COMPUTED_VALUE"""),"₱ -")</f>
        <v>₱ -</v>
      </c>
      <c r="F2513" s="164" t="str">
        <f ca="1">IFERROR(__xludf.DUMMYFUNCTION("""COMPUTED_VALUE"""),"2023-06-01-10201SP85-01")</f>
        <v>2023-06-01-10201SP85-01</v>
      </c>
      <c r="G2513" s="164" t="str">
        <f ca="1">IFERROR(__xludf.DUMMYFUNCTION("""COMPUTED_VALUE"""),"SNC 1150")</f>
        <v>SNC 1150</v>
      </c>
      <c r="H2513" s="164" t="str">
        <f ca="1">IFERROR(__xludf.DUMMYFUNCTION("""COMPUTED_VALUE"""),"Lucrecia S. Taberna")</f>
        <v>Lucrecia S. Taberna</v>
      </c>
      <c r="I2513" s="164" t="str">
        <f ca="1">IFERROR(__xludf.DUMMYFUNCTION("""COMPUTED_VALUE"""),"Assistant Regional Director")</f>
        <v>Assistant Regional Director</v>
      </c>
      <c r="J2513" s="164" t="str">
        <f ca="1">IFERROR(__xludf.DUMMYFUNCTION("""COMPUTED_VALUE"""),"2023-10-046")</f>
        <v>2023-10-046</v>
      </c>
      <c r="K2513" s="164" t="str">
        <f ca="1">IFERROR(__xludf.DUMMYFUNCTION("""COMPUTED_VALUE"""),"Lucrecia S. Taberna")</f>
        <v>Lucrecia S. Taberna</v>
      </c>
      <c r="L2513" s="164" t="str">
        <f ca="1">IFERROR(__xludf.DUMMYFUNCTION("""COMPUTED_VALUE"""),"Office of the Assistant Regional Director for Operation")</f>
        <v>Office of the Assistant Regional Director for Operation</v>
      </c>
      <c r="M2513" s="164" t="str">
        <f ca="1">IFERROR(__xludf.DUMMYFUNCTION("""COMPUTED_VALUE"""),"SERVICEABLE")</f>
        <v>SERVICEABLE</v>
      </c>
      <c r="N2513" s="164"/>
    </row>
    <row r="2514" spans="1:14" ht="13.2" hidden="1">
      <c r="A2514" s="164" t="str">
        <f ca="1">IFERROR(__xludf.DUMMYFUNCTION("""COMPUTED_VALUE"""),"Region VI")</f>
        <v>Region VI</v>
      </c>
      <c r="B2514" s="164" t="str">
        <f ca="1">IFERROR(__xludf.DUMMYFUNCTION("""COMPUTED_VALUE"""),"ILOILO")</f>
        <v>ILOILO</v>
      </c>
      <c r="C2514" s="164" t="str">
        <f ca="1">IFERROR(__xludf.DUMMYFUNCTION("""COMPUTED_VALUE"""),"Motorcycle – (Honda XRL 150)")</f>
        <v>Motorcycle – (Honda XRL 150)</v>
      </c>
      <c r="D2514" s="164" t="str">
        <f ca="1">IFERROR(__xludf.DUMMYFUNCTION("""COMPUTED_VALUE"""),"₱ 124,900.00")</f>
        <v>₱ 124,900.00</v>
      </c>
      <c r="E2514" s="164" t="str">
        <f ca="1">IFERROR(__xludf.DUMMYFUNCTION("""COMPUTED_VALUE"""),"₱ -")</f>
        <v>₱ -</v>
      </c>
      <c r="F2514" s="164" t="str">
        <f ca="1">IFERROR(__xludf.DUMMYFUNCTION("""COMPUTED_VALUE"""),"2023-06-01-10202SP242-01")</f>
        <v>2023-06-01-10202SP242-01</v>
      </c>
      <c r="G2514" s="164" t="str">
        <f ca="1">IFERROR(__xludf.DUMMYFUNCTION("""COMPUTED_VALUE"""),"no plate available")</f>
        <v>no plate available</v>
      </c>
      <c r="H2514" s="164" t="str">
        <f ca="1">IFERROR(__xludf.DUMMYFUNCTION("""COMPUTED_VALUE"""),"HERNAN C. BUENAVENTURA")</f>
        <v>HERNAN C. BUENAVENTURA</v>
      </c>
      <c r="I2514" s="164" t="str">
        <f ca="1">IFERROR(__xludf.DUMMYFUNCTION("""COMPUTED_VALUE"""),"AO IV/ GSS Chief")</f>
        <v>AO IV/ GSS Chief</v>
      </c>
      <c r="J2514" s="164" t="str">
        <f ca="1">IFERROR(__xludf.DUMMYFUNCTION("""COMPUTED_VALUE"""),"2023-08-M81100")</f>
        <v>2023-08-M81100</v>
      </c>
      <c r="K2514" s="164" t="str">
        <f ca="1">IFERROR(__xludf.DUMMYFUNCTION("""COMPUTED_VALUE"""),"RAMIL M. ROSTATA(COS - SPLIT)")</f>
        <v>RAMIL M. ROSTATA(COS - SPLIT)</v>
      </c>
      <c r="L2514" s="164" t="str">
        <f ca="1">IFERROR(__xludf.DUMMYFUNCTION("""COMPUTED_VALUE"""),"General Services Section")</f>
        <v>General Services Section</v>
      </c>
      <c r="M2514" s="164" t="str">
        <f ca="1">IFERROR(__xludf.DUMMYFUNCTION("""COMPUTED_VALUE"""),"SERVICEABLE")</f>
        <v>SERVICEABLE</v>
      </c>
      <c r="N2514" s="164"/>
    </row>
    <row r="2515" spans="1:14" ht="13.2" hidden="1">
      <c r="A2515" s="164" t="str">
        <f ca="1">IFERROR(__xludf.DUMMYFUNCTION("""COMPUTED_VALUE"""),"Region VI")</f>
        <v>Region VI</v>
      </c>
      <c r="B2515" s="164" t="str">
        <f ca="1">IFERROR(__xludf.DUMMYFUNCTION("""COMPUTED_VALUE"""),"ILOILO")</f>
        <v>ILOILO</v>
      </c>
      <c r="C2515" s="164" t="str">
        <f ca="1">IFERROR(__xludf.DUMMYFUNCTION("""COMPUTED_VALUE"""),"Motorcycle – (Honda XRL 150)")</f>
        <v>Motorcycle – (Honda XRL 150)</v>
      </c>
      <c r="D2515" s="164" t="str">
        <f ca="1">IFERROR(__xludf.DUMMYFUNCTION("""COMPUTED_VALUE"""),"₱ 124,900.00")</f>
        <v>₱ 124,900.00</v>
      </c>
      <c r="E2515" s="164" t="str">
        <f ca="1">IFERROR(__xludf.DUMMYFUNCTION("""COMPUTED_VALUE"""),"₱ -")</f>
        <v>₱ -</v>
      </c>
      <c r="F2515" s="164" t="str">
        <f ca="1">IFERROR(__xludf.DUMMYFUNCTION("""COMPUTED_VALUE"""),"2023-06-01-10202SP243-01")</f>
        <v>2023-06-01-10202SP243-01</v>
      </c>
      <c r="G2515" s="164" t="str">
        <f ca="1">IFERROR(__xludf.DUMMYFUNCTION("""COMPUTED_VALUE"""),"no plate available")</f>
        <v>no plate available</v>
      </c>
      <c r="H2515" s="164" t="str">
        <f ca="1">IFERROR(__xludf.DUMMYFUNCTION("""COMPUTED_VALUE"""),"HERNAN C. BUENAVENTURA")</f>
        <v>HERNAN C. BUENAVENTURA</v>
      </c>
      <c r="I2515" s="164" t="str">
        <f ca="1">IFERROR(__xludf.DUMMYFUNCTION("""COMPUTED_VALUE"""),"AO IV/ GSS Chief")</f>
        <v>AO IV/ GSS Chief</v>
      </c>
      <c r="J2515" s="164" t="str">
        <f ca="1">IFERROR(__xludf.DUMMYFUNCTION("""COMPUTED_VALUE"""),"2023-08-M81101")</f>
        <v>2023-08-M81101</v>
      </c>
      <c r="K2515" s="164" t="str">
        <f ca="1">IFERROR(__xludf.DUMMYFUNCTION("""COMPUTED_VALUE"""),"Melchor Calugas(COS - SPLIT)")</f>
        <v>Melchor Calugas(COS - SPLIT)</v>
      </c>
      <c r="L2515" s="164" t="str">
        <f ca="1">IFERROR(__xludf.DUMMYFUNCTION("""COMPUTED_VALUE"""),"General Services Section")</f>
        <v>General Services Section</v>
      </c>
      <c r="M2515" s="164" t="str">
        <f ca="1">IFERROR(__xludf.DUMMYFUNCTION("""COMPUTED_VALUE"""),"SERVICEABLE")</f>
        <v>SERVICEABLE</v>
      </c>
      <c r="N2515" s="164"/>
    </row>
    <row r="2516" spans="1:14" ht="13.2" hidden="1">
      <c r="A2516" s="164" t="str">
        <f ca="1">IFERROR(__xludf.DUMMYFUNCTION("""COMPUTED_VALUE"""),"Region VI")</f>
        <v>Region VI</v>
      </c>
      <c r="B2516" s="164" t="str">
        <f ca="1">IFERROR(__xludf.DUMMYFUNCTION("""COMPUTED_VALUE"""),"ILOILO")</f>
        <v>ILOILO</v>
      </c>
      <c r="C2516" s="164" t="str">
        <f ca="1">IFERROR(__xludf.DUMMYFUNCTION("""COMPUTED_VALUE"""),"Motorcycle – (Honda XRL 150)")</f>
        <v>Motorcycle – (Honda XRL 150)</v>
      </c>
      <c r="D2516" s="164" t="str">
        <f ca="1">IFERROR(__xludf.DUMMYFUNCTION("""COMPUTED_VALUE"""),"₱ 124,900.00")</f>
        <v>₱ 124,900.00</v>
      </c>
      <c r="E2516" s="164" t="str">
        <f ca="1">IFERROR(__xludf.DUMMYFUNCTION("""COMPUTED_VALUE"""),"₱ -")</f>
        <v>₱ -</v>
      </c>
      <c r="F2516" s="164" t="str">
        <f ca="1">IFERROR(__xludf.DUMMYFUNCTION("""COMPUTED_VALUE"""),"2023-06-01-10202SP244-01")</f>
        <v>2023-06-01-10202SP244-01</v>
      </c>
      <c r="G2516" s="164" t="str">
        <f ca="1">IFERROR(__xludf.DUMMYFUNCTION("""COMPUTED_VALUE"""),"no plate available")</f>
        <v>no plate available</v>
      </c>
      <c r="H2516" s="164" t="str">
        <f ca="1">IFERROR(__xludf.DUMMYFUNCTION("""COMPUTED_VALUE"""),"REY P. PARREÑO")</f>
        <v>REY P. PARREÑO</v>
      </c>
      <c r="I2516" s="164" t="str">
        <f ca="1">IFERROR(__xludf.DUMMYFUNCTION("""COMPUTED_VALUE"""),"ARPO II")</f>
        <v>ARPO II</v>
      </c>
      <c r="J2516" s="164" t="str">
        <f ca="1">IFERROR(__xludf.DUMMYFUNCTION("""COMPUTED_VALUE"""),"2023-08-M81102")</f>
        <v>2023-08-M81102</v>
      </c>
      <c r="K2516" s="164" t="str">
        <f ca="1">IFERROR(__xludf.DUMMYFUNCTION("""COMPUTED_VALUE"""),"Rey P. Parreño")</f>
        <v>Rey P. Parreño</v>
      </c>
      <c r="L2516" s="164" t="str">
        <f ca="1">IFERROR(__xludf.DUMMYFUNCTION("""COMPUTED_VALUE"""),"LTID")</f>
        <v>LTID</v>
      </c>
      <c r="M2516" s="164" t="str">
        <f ca="1">IFERROR(__xludf.DUMMYFUNCTION("""COMPUTED_VALUE"""),"SERVICEABLE")</f>
        <v>SERVICEABLE</v>
      </c>
      <c r="N2516" s="164"/>
    </row>
    <row r="2517" spans="1:14" ht="13.2" hidden="1">
      <c r="A2517" s="164" t="str">
        <f ca="1">IFERROR(__xludf.DUMMYFUNCTION("""COMPUTED_VALUE"""),"Region VI")</f>
        <v>Region VI</v>
      </c>
      <c r="B2517" s="164" t="str">
        <f ca="1">IFERROR(__xludf.DUMMYFUNCTION("""COMPUTED_VALUE"""),"ILOILO")</f>
        <v>ILOILO</v>
      </c>
      <c r="C2517" s="164" t="str">
        <f ca="1">IFERROR(__xludf.DUMMYFUNCTION("""COMPUTED_VALUE"""),"Motorcycle – (Honda XRL 150)")</f>
        <v>Motorcycle – (Honda XRL 150)</v>
      </c>
      <c r="D2517" s="164" t="str">
        <f ca="1">IFERROR(__xludf.DUMMYFUNCTION("""COMPUTED_VALUE"""),"₱ 124,900.00")</f>
        <v>₱ 124,900.00</v>
      </c>
      <c r="E2517" s="164" t="str">
        <f ca="1">IFERROR(__xludf.DUMMYFUNCTION("""COMPUTED_VALUE"""),"₱ -")</f>
        <v>₱ -</v>
      </c>
      <c r="F2517" s="164" t="str">
        <f ca="1">IFERROR(__xludf.DUMMYFUNCTION("""COMPUTED_VALUE"""),"2023-06-01-10202SP245-01")</f>
        <v>2023-06-01-10202SP245-01</v>
      </c>
      <c r="G2517" s="164" t="str">
        <f ca="1">IFERROR(__xludf.DUMMYFUNCTION("""COMPUTED_VALUE"""),"no plate available")</f>
        <v>no plate available</v>
      </c>
      <c r="H2517" s="164" t="str">
        <f ca="1">IFERROR(__xludf.DUMMYFUNCTION("""COMPUTED_VALUE"""),"HERNAN C. BUENAVENTURA")</f>
        <v>HERNAN C. BUENAVENTURA</v>
      </c>
      <c r="I2517" s="164" t="str">
        <f ca="1">IFERROR(__xludf.DUMMYFUNCTION("""COMPUTED_VALUE"""),"AO IV/ GSS Chief")</f>
        <v>AO IV/ GSS Chief</v>
      </c>
      <c r="J2517" s="164" t="str">
        <f ca="1">IFERROR(__xludf.DUMMYFUNCTION("""COMPUTED_VALUE"""),"2023-08-M81103")</f>
        <v>2023-08-M81103</v>
      </c>
      <c r="K2517" s="164" t="str">
        <f ca="1">IFERROR(__xludf.DUMMYFUNCTION("""COMPUTED_VALUE"""),"Denmark Caol-olan(COS - SPLIT)")</f>
        <v>Denmark Caol-olan(COS - SPLIT)</v>
      </c>
      <c r="L2517" s="164" t="str">
        <f ca="1">IFERROR(__xludf.DUMMYFUNCTION("""COMPUTED_VALUE"""),"General Services Section")</f>
        <v>General Services Section</v>
      </c>
      <c r="M2517" s="164" t="str">
        <f ca="1">IFERROR(__xludf.DUMMYFUNCTION("""COMPUTED_VALUE"""),"SERVICEABLE")</f>
        <v>SERVICEABLE</v>
      </c>
      <c r="N2517" s="164"/>
    </row>
    <row r="2518" spans="1:14" ht="13.2" hidden="1">
      <c r="A2518" s="164" t="str">
        <f ca="1">IFERROR(__xludf.DUMMYFUNCTION("""COMPUTED_VALUE"""),"Region VI")</f>
        <v>Region VI</v>
      </c>
      <c r="B2518" s="164" t="str">
        <f ca="1">IFERROR(__xludf.DUMMYFUNCTION("""COMPUTED_VALUE"""),"ILOILO")</f>
        <v>ILOILO</v>
      </c>
      <c r="C2518" s="164" t="str">
        <f ca="1">IFERROR(__xludf.DUMMYFUNCTION("""COMPUTED_VALUE"""),"Motorcycle – (Honda XRL 150)")</f>
        <v>Motorcycle – (Honda XRL 150)</v>
      </c>
      <c r="D2518" s="164" t="str">
        <f ca="1">IFERROR(__xludf.DUMMYFUNCTION("""COMPUTED_VALUE"""),"₱ 124,900.00")</f>
        <v>₱ 124,900.00</v>
      </c>
      <c r="E2518" s="164" t="str">
        <f ca="1">IFERROR(__xludf.DUMMYFUNCTION("""COMPUTED_VALUE"""),"₱ -")</f>
        <v>₱ -</v>
      </c>
      <c r="F2518" s="164" t="str">
        <f ca="1">IFERROR(__xludf.DUMMYFUNCTION("""COMPUTED_VALUE"""),"2023-06-01-10202SP246-01")</f>
        <v>2023-06-01-10202SP246-01</v>
      </c>
      <c r="G2518" s="164" t="str">
        <f ca="1">IFERROR(__xludf.DUMMYFUNCTION("""COMPUTED_VALUE"""),"no plate available")</f>
        <v>no plate available</v>
      </c>
      <c r="H2518" s="164" t="str">
        <f ca="1">IFERROR(__xludf.DUMMYFUNCTION("""COMPUTED_VALUE"""),"HERNAN C. BUENAVENTURA")</f>
        <v>HERNAN C. BUENAVENTURA</v>
      </c>
      <c r="I2518" s="164" t="str">
        <f ca="1">IFERROR(__xludf.DUMMYFUNCTION("""COMPUTED_VALUE"""),"AO IV/ GSS Chief")</f>
        <v>AO IV/ GSS Chief</v>
      </c>
      <c r="J2518" s="164" t="str">
        <f ca="1">IFERROR(__xludf.DUMMYFUNCTION("""COMPUTED_VALUE"""),"2023-08-M81104")</f>
        <v>2023-08-M81104</v>
      </c>
      <c r="K2518" s="164" t="str">
        <f ca="1">IFERROR(__xludf.DUMMYFUNCTION("""COMPUTED_VALUE"""),"Patrick John Pahigdana(COS - SPLIT)")</f>
        <v>Patrick John Pahigdana(COS - SPLIT)</v>
      </c>
      <c r="L2518" s="164" t="str">
        <f ca="1">IFERROR(__xludf.DUMMYFUNCTION("""COMPUTED_VALUE"""),"General Services Section")</f>
        <v>General Services Section</v>
      </c>
      <c r="M2518" s="164" t="str">
        <f ca="1">IFERROR(__xludf.DUMMYFUNCTION("""COMPUTED_VALUE"""),"SERVICEABLE")</f>
        <v>SERVICEABLE</v>
      </c>
      <c r="N2518" s="164"/>
    </row>
    <row r="2519" spans="1:14" ht="13.2" hidden="1">
      <c r="A2519" s="164" t="str">
        <f ca="1">IFERROR(__xludf.DUMMYFUNCTION("""COMPUTED_VALUE"""),"Region VI")</f>
        <v>Region VI</v>
      </c>
      <c r="B2519" s="164" t="str">
        <f ca="1">IFERROR(__xludf.DUMMYFUNCTION("""COMPUTED_VALUE"""),"ILOILO")</f>
        <v>ILOILO</v>
      </c>
      <c r="C2519" s="164" t="str">
        <f ca="1">IFERROR(__xludf.DUMMYFUNCTION("""COMPUTED_VALUE"""),"Motorcycle – (Honda XRL 150)")</f>
        <v>Motorcycle – (Honda XRL 150)</v>
      </c>
      <c r="D2519" s="164" t="str">
        <f ca="1">IFERROR(__xludf.DUMMYFUNCTION("""COMPUTED_VALUE"""),"₱ 124,900.00")</f>
        <v>₱ 124,900.00</v>
      </c>
      <c r="E2519" s="164" t="str">
        <f ca="1">IFERROR(__xludf.DUMMYFUNCTION("""COMPUTED_VALUE"""),"₱ -")</f>
        <v>₱ -</v>
      </c>
      <c r="F2519" s="164" t="str">
        <f ca="1">IFERROR(__xludf.DUMMYFUNCTION("""COMPUTED_VALUE"""),"2023-06-01-10202SP247-02")</f>
        <v>2023-06-01-10202SP247-02</v>
      </c>
      <c r="G2519" s="164" t="str">
        <f ca="1">IFERROR(__xludf.DUMMYFUNCTION("""COMPUTED_VALUE"""),"no plate available")</f>
        <v>no plate available</v>
      </c>
      <c r="H2519" s="164" t="str">
        <f ca="1">IFERROR(__xludf.DUMMYFUNCTION("""COMPUTED_VALUE"""),"HERNAN C. BUENAVENTURA")</f>
        <v>HERNAN C. BUENAVENTURA</v>
      </c>
      <c r="I2519" s="164" t="str">
        <f ca="1">IFERROR(__xludf.DUMMYFUNCTION("""COMPUTED_VALUE"""),"AO IV/ GSS Chief")</f>
        <v>AO IV/ GSS Chief</v>
      </c>
      <c r="J2519" s="164" t="str">
        <f ca="1">IFERROR(__xludf.DUMMYFUNCTION("""COMPUTED_VALUE"""),"2023-08-M81105")</f>
        <v>2023-08-M81105</v>
      </c>
      <c r="K2519" s="164" t="str">
        <f ca="1">IFERROR(__xludf.DUMMYFUNCTION("""COMPUTED_VALUE"""),"Reuben John Maca(COS - SPLIT)")</f>
        <v>Reuben John Maca(COS - SPLIT)</v>
      </c>
      <c r="L2519" s="164" t="str">
        <f ca="1">IFERROR(__xludf.DUMMYFUNCTION("""COMPUTED_VALUE"""),"General Services Section")</f>
        <v>General Services Section</v>
      </c>
      <c r="M2519" s="164" t="str">
        <f ca="1">IFERROR(__xludf.DUMMYFUNCTION("""COMPUTED_VALUE"""),"SERVICEABLE")</f>
        <v>SERVICEABLE</v>
      </c>
      <c r="N2519" s="164"/>
    </row>
    <row r="2520" spans="1:14" ht="13.2" hidden="1">
      <c r="A2520" s="164" t="str">
        <f ca="1">IFERROR(__xludf.DUMMYFUNCTION("""COMPUTED_VALUE"""),"Region VI")</f>
        <v>Region VI</v>
      </c>
      <c r="B2520" s="164" t="str">
        <f ca="1">IFERROR(__xludf.DUMMYFUNCTION("""COMPUTED_VALUE"""),"ILOILO")</f>
        <v>ILOILO</v>
      </c>
      <c r="C2520" s="164" t="str">
        <f ca="1">IFERROR(__xludf.DUMMYFUNCTION("""COMPUTED_VALUE"""),"Motorcycle – (Honda XRL 150)")</f>
        <v>Motorcycle – (Honda XRL 150)</v>
      </c>
      <c r="D2520" s="164" t="str">
        <f ca="1">IFERROR(__xludf.DUMMYFUNCTION("""COMPUTED_VALUE"""),"₱ 124,900.00")</f>
        <v>₱ 124,900.00</v>
      </c>
      <c r="E2520" s="164" t="str">
        <f ca="1">IFERROR(__xludf.DUMMYFUNCTION("""COMPUTED_VALUE"""),"₱ -")</f>
        <v>₱ -</v>
      </c>
      <c r="F2520" s="164" t="str">
        <f ca="1">IFERROR(__xludf.DUMMYFUNCTION("""COMPUTED_VALUE"""),"2023-06-01-10202SP248-01")</f>
        <v>2023-06-01-10202SP248-01</v>
      </c>
      <c r="G2520" s="164" t="str">
        <f ca="1">IFERROR(__xludf.DUMMYFUNCTION("""COMPUTED_VALUE"""),"no plate available")</f>
        <v>no plate available</v>
      </c>
      <c r="H2520" s="164" t="str">
        <f ca="1">IFERROR(__xludf.DUMMYFUNCTION("""COMPUTED_VALUE"""),"HERNAN C. BUENAVENTURA")</f>
        <v>HERNAN C. BUENAVENTURA</v>
      </c>
      <c r="I2520" s="164" t="str">
        <f ca="1">IFERROR(__xludf.DUMMYFUNCTION("""COMPUTED_VALUE"""),"AO IV/ GSS Chief")</f>
        <v>AO IV/ GSS Chief</v>
      </c>
      <c r="J2520" s="164" t="str">
        <f ca="1">IFERROR(__xludf.DUMMYFUNCTION("""COMPUTED_VALUE"""),"2023-07-3-19")</f>
        <v>2023-07-3-19</v>
      </c>
      <c r="K2520" s="164" t="str">
        <f ca="1">IFERROR(__xludf.DUMMYFUNCTION("""COMPUTED_VALUE"""),"HERNAN C. BUENAVENTURA")</f>
        <v>HERNAN C. BUENAVENTURA</v>
      </c>
      <c r="L2520" s="164" t="str">
        <f ca="1">IFERROR(__xludf.DUMMYFUNCTION("""COMPUTED_VALUE"""),"General Services Section")</f>
        <v>General Services Section</v>
      </c>
      <c r="M2520" s="164" t="str">
        <f ca="1">IFERROR(__xludf.DUMMYFUNCTION("""COMPUTED_VALUE"""),"SERVICEABLE")</f>
        <v>SERVICEABLE</v>
      </c>
      <c r="N2520" s="164"/>
    </row>
    <row r="2521" spans="1:14" ht="13.2" hidden="1">
      <c r="A2521" s="164" t="str">
        <f ca="1">IFERROR(__xludf.DUMMYFUNCTION("""COMPUTED_VALUE"""),"Region VI")</f>
        <v>Region VI</v>
      </c>
      <c r="B2521" s="164" t="str">
        <f ca="1">IFERROR(__xludf.DUMMYFUNCTION("""COMPUTED_VALUE"""),"ILOILO")</f>
        <v>ILOILO</v>
      </c>
      <c r="C2521" s="164" t="str">
        <f ca="1">IFERROR(__xludf.DUMMYFUNCTION("""COMPUTED_VALUE"""),"Motorcycle – (Honda XRL 150)")</f>
        <v>Motorcycle – (Honda XRL 150)</v>
      </c>
      <c r="D2521" s="164" t="str">
        <f ca="1">IFERROR(__xludf.DUMMYFUNCTION("""COMPUTED_VALUE"""),"₱ 124,900.00")</f>
        <v>₱ 124,900.00</v>
      </c>
      <c r="E2521" s="164" t="str">
        <f ca="1">IFERROR(__xludf.DUMMYFUNCTION("""COMPUTED_VALUE"""),"₱ -")</f>
        <v>₱ -</v>
      </c>
      <c r="F2521" s="164" t="str">
        <f ca="1">IFERROR(__xludf.DUMMYFUNCTION("""COMPUTED_VALUE"""),"2023-06-01-10202SP249-01")</f>
        <v>2023-06-01-10202SP249-01</v>
      </c>
      <c r="G2521" s="164" t="str">
        <f ca="1">IFERROR(__xludf.DUMMYFUNCTION("""COMPUTED_VALUE"""),"no plate available")</f>
        <v>no plate available</v>
      </c>
      <c r="H2521" s="164" t="str">
        <f ca="1">IFERROR(__xludf.DUMMYFUNCTION("""COMPUTED_VALUE"""),"JOSELITO C. ALMIRANTE")</f>
        <v>JOSELITO C. ALMIRANTE</v>
      </c>
      <c r="I2521" s="164" t="str">
        <f ca="1">IFERROR(__xludf.DUMMYFUNCTION("""COMPUTED_VALUE"""),"SURVEYMAN")</f>
        <v>SURVEYMAN</v>
      </c>
      <c r="J2521" s="164" t="str">
        <f ca="1">IFERROR(__xludf.DUMMYFUNCTION("""COMPUTED_VALUE"""),"2023-08-M81106")</f>
        <v>2023-08-M81106</v>
      </c>
      <c r="K2521" s="164" t="str">
        <f ca="1">IFERROR(__xludf.DUMMYFUNCTION("""COMPUTED_VALUE"""),"JOSELITO C. ALMIRANTE")</f>
        <v>JOSELITO C. ALMIRANTE</v>
      </c>
      <c r="L2521" s="164" t="str">
        <f ca="1">IFERROR(__xludf.DUMMYFUNCTION("""COMPUTED_VALUE"""),"LTID")</f>
        <v>LTID</v>
      </c>
      <c r="M2521" s="164" t="str">
        <f ca="1">IFERROR(__xludf.DUMMYFUNCTION("""COMPUTED_VALUE"""),"SERVICEABLE")</f>
        <v>SERVICEABLE</v>
      </c>
      <c r="N2521" s="164"/>
    </row>
    <row r="2522" spans="1:14" ht="13.2" hidden="1">
      <c r="A2522" s="164" t="str">
        <f ca="1">IFERROR(__xludf.DUMMYFUNCTION("""COMPUTED_VALUE"""),"Region VI")</f>
        <v>Region VI</v>
      </c>
      <c r="B2522" s="164" t="str">
        <f ca="1">IFERROR(__xludf.DUMMYFUNCTION("""COMPUTED_VALUE"""),"ILOILO")</f>
        <v>ILOILO</v>
      </c>
      <c r="C2522" s="164" t="str">
        <f ca="1">IFERROR(__xludf.DUMMYFUNCTION("""COMPUTED_VALUE"""),"Motorcycle – (Honda XRL 150)")</f>
        <v>Motorcycle – (Honda XRL 150)</v>
      </c>
      <c r="D2522" s="164" t="str">
        <f ca="1">IFERROR(__xludf.DUMMYFUNCTION("""COMPUTED_VALUE"""),"₱ 124,900.00")</f>
        <v>₱ 124,900.00</v>
      </c>
      <c r="E2522" s="164" t="str">
        <f ca="1">IFERROR(__xludf.DUMMYFUNCTION("""COMPUTED_VALUE"""),"₱ -")</f>
        <v>₱ -</v>
      </c>
      <c r="F2522" s="164" t="str">
        <f ca="1">IFERROR(__xludf.DUMMYFUNCTION("""COMPUTED_VALUE"""),"2023-06-01-10202SP250-01")</f>
        <v>2023-06-01-10202SP250-01</v>
      </c>
      <c r="G2522" s="164" t="str">
        <f ca="1">IFERROR(__xludf.DUMMYFUNCTION("""COMPUTED_VALUE"""),"no plate available")</f>
        <v>no plate available</v>
      </c>
      <c r="H2522" s="164" t="str">
        <f ca="1">IFERROR(__xludf.DUMMYFUNCTION("""COMPUTED_VALUE"""),"HERNAN C. BUENAVENTURA")</f>
        <v>HERNAN C. BUENAVENTURA</v>
      </c>
      <c r="I2522" s="164" t="str">
        <f ca="1">IFERROR(__xludf.DUMMYFUNCTION("""COMPUTED_VALUE"""),"AO IV/ GSS Chief")</f>
        <v>AO IV/ GSS Chief</v>
      </c>
      <c r="J2522" s="164" t="str">
        <f ca="1">IFERROR(__xludf.DUMMYFUNCTION("""COMPUTED_VALUE"""),"2023-08-M81107")</f>
        <v>2023-08-M81107</v>
      </c>
      <c r="K2522" s="164" t="str">
        <f ca="1">IFERROR(__xludf.DUMMYFUNCTION("""COMPUTED_VALUE"""),"WILJOE CALIZO(COS - SPLIT)")</f>
        <v>WILJOE CALIZO(COS - SPLIT)</v>
      </c>
      <c r="L2522" s="164" t="str">
        <f ca="1">IFERROR(__xludf.DUMMYFUNCTION("""COMPUTED_VALUE"""),"General Services Section")</f>
        <v>General Services Section</v>
      </c>
      <c r="M2522" s="164" t="str">
        <f ca="1">IFERROR(__xludf.DUMMYFUNCTION("""COMPUTED_VALUE"""),"SERVICEABLE")</f>
        <v>SERVICEABLE</v>
      </c>
      <c r="N2522" s="164"/>
    </row>
    <row r="2523" spans="1:14" ht="13.2" hidden="1">
      <c r="A2523" s="164" t="str">
        <f ca="1">IFERROR(__xludf.DUMMYFUNCTION("""COMPUTED_VALUE"""),"Region VI")</f>
        <v>Region VI</v>
      </c>
      <c r="B2523" s="164" t="str">
        <f ca="1">IFERROR(__xludf.DUMMYFUNCTION("""COMPUTED_VALUE"""),"ILOILO")</f>
        <v>ILOILO</v>
      </c>
      <c r="C2523" s="164" t="str">
        <f ca="1">IFERROR(__xludf.DUMMYFUNCTION("""COMPUTED_VALUE"""),"Motorcycle – (Honda XRL 150)")</f>
        <v>Motorcycle – (Honda XRL 150)</v>
      </c>
      <c r="D2523" s="164" t="str">
        <f ca="1">IFERROR(__xludf.DUMMYFUNCTION("""COMPUTED_VALUE"""),"₱ 124,900.00")</f>
        <v>₱ 124,900.00</v>
      </c>
      <c r="E2523" s="164" t="str">
        <f ca="1">IFERROR(__xludf.DUMMYFUNCTION("""COMPUTED_VALUE"""),"₱ -")</f>
        <v>₱ -</v>
      </c>
      <c r="F2523" s="164" t="str">
        <f ca="1">IFERROR(__xludf.DUMMYFUNCTION("""COMPUTED_VALUE"""),"2023-06-01-10202SP233-01")</f>
        <v>2023-06-01-10202SP233-01</v>
      </c>
      <c r="G2523" s="164" t="str">
        <f ca="1">IFERROR(__xludf.DUMMYFUNCTION("""COMPUTED_VALUE"""),"no plate available")</f>
        <v>no plate available</v>
      </c>
      <c r="H2523" s="164" t="str">
        <f ca="1">IFERROR(__xludf.DUMMYFUNCTION("""COMPUTED_VALUE"""),"NELSON D. MONTAÑO")</f>
        <v>NELSON D. MONTAÑO</v>
      </c>
      <c r="I2523" s="164" t="str">
        <f ca="1">IFERROR(__xludf.DUMMYFUNCTION("""COMPUTED_VALUE"""),"ARPT")</f>
        <v>ARPT</v>
      </c>
      <c r="J2523" s="164" t="str">
        <f ca="1">IFERROR(__xludf.DUMMYFUNCTION("""COMPUTED_VALUE"""),"2023-08-M81108")</f>
        <v>2023-08-M81108</v>
      </c>
      <c r="K2523" s="164" t="str">
        <f ca="1">IFERROR(__xludf.DUMMYFUNCTION("""COMPUTED_VALUE"""),"NELSON D. MONTAÑO")</f>
        <v>NELSON D. MONTAÑO</v>
      </c>
      <c r="L2523" s="164" t="str">
        <f ca="1">IFERROR(__xludf.DUMMYFUNCTION("""COMPUTED_VALUE"""),"LTID")</f>
        <v>LTID</v>
      </c>
      <c r="M2523" s="164" t="str">
        <f ca="1">IFERROR(__xludf.DUMMYFUNCTION("""COMPUTED_VALUE"""),"SERVICEABLE")</f>
        <v>SERVICEABLE</v>
      </c>
      <c r="N2523" s="164"/>
    </row>
    <row r="2524" spans="1:14" ht="13.2" hidden="1">
      <c r="A2524" s="164" t="str">
        <f ca="1">IFERROR(__xludf.DUMMYFUNCTION("""COMPUTED_VALUE"""),"Region VI")</f>
        <v>Region VI</v>
      </c>
      <c r="B2524" s="164" t="str">
        <f ca="1">IFERROR(__xludf.DUMMYFUNCTION("""COMPUTED_VALUE"""),"ILOILO")</f>
        <v>ILOILO</v>
      </c>
      <c r="C2524" s="164" t="str">
        <f ca="1">IFERROR(__xludf.DUMMYFUNCTION("""COMPUTED_VALUE"""),"Motorcycle – (Honda XRL 150)")</f>
        <v>Motorcycle – (Honda XRL 150)</v>
      </c>
      <c r="D2524" s="164" t="str">
        <f ca="1">IFERROR(__xludf.DUMMYFUNCTION("""COMPUTED_VALUE"""),"₱ 124,900.00")</f>
        <v>₱ 124,900.00</v>
      </c>
      <c r="E2524" s="164" t="str">
        <f ca="1">IFERROR(__xludf.DUMMYFUNCTION("""COMPUTED_VALUE"""),"₱ -")</f>
        <v>₱ -</v>
      </c>
      <c r="F2524" s="164" t="str">
        <f ca="1">IFERROR(__xludf.DUMMYFUNCTION("""COMPUTED_VALUE"""),"2023-06-01-10202SP234-01")</f>
        <v>2023-06-01-10202SP234-01</v>
      </c>
      <c r="G2524" s="164" t="str">
        <f ca="1">IFERROR(__xludf.DUMMYFUNCTION("""COMPUTED_VALUE"""),"no plate available")</f>
        <v>no plate available</v>
      </c>
      <c r="H2524" s="164" t="str">
        <f ca="1">IFERROR(__xludf.DUMMYFUNCTION("""COMPUTED_VALUE"""),"CHRIS S. LABINGHISA")</f>
        <v>CHRIS S. LABINGHISA</v>
      </c>
      <c r="I2524" s="164" t="str">
        <f ca="1">IFERROR(__xludf.DUMMYFUNCTION("""COMPUTED_VALUE"""),"ARPT")</f>
        <v>ARPT</v>
      </c>
      <c r="J2524" s="164" t="str">
        <f ca="1">IFERROR(__xludf.DUMMYFUNCTION("""COMPUTED_VALUE"""),"2023-08-M81109")</f>
        <v>2023-08-M81109</v>
      </c>
      <c r="K2524" s="164" t="str">
        <f ca="1">IFERROR(__xludf.DUMMYFUNCTION("""COMPUTED_VALUE"""),"CHRIS S. LABINGHISA")</f>
        <v>CHRIS S. LABINGHISA</v>
      </c>
      <c r="L2524" s="164" t="str">
        <f ca="1">IFERROR(__xludf.DUMMYFUNCTION("""COMPUTED_VALUE"""),"LTID")</f>
        <v>LTID</v>
      </c>
      <c r="M2524" s="164" t="str">
        <f ca="1">IFERROR(__xludf.DUMMYFUNCTION("""COMPUTED_VALUE"""),"SERVICEABLE")</f>
        <v>SERVICEABLE</v>
      </c>
      <c r="N2524" s="164"/>
    </row>
    <row r="2525" spans="1:14" ht="13.2" hidden="1">
      <c r="A2525" s="164" t="str">
        <f ca="1">IFERROR(__xludf.DUMMYFUNCTION("""COMPUTED_VALUE"""),"Region VI")</f>
        <v>Region VI</v>
      </c>
      <c r="B2525" s="164" t="str">
        <f ca="1">IFERROR(__xludf.DUMMYFUNCTION("""COMPUTED_VALUE"""),"ILOILO")</f>
        <v>ILOILO</v>
      </c>
      <c r="C2525" s="164" t="str">
        <f ca="1">IFERROR(__xludf.DUMMYFUNCTION("""COMPUTED_VALUE"""),"Motorcycle – (Honda XRL 150)")</f>
        <v>Motorcycle – (Honda XRL 150)</v>
      </c>
      <c r="D2525" s="164" t="str">
        <f ca="1">IFERROR(__xludf.DUMMYFUNCTION("""COMPUTED_VALUE"""),"₱ 124,900.00")</f>
        <v>₱ 124,900.00</v>
      </c>
      <c r="E2525" s="164" t="str">
        <f ca="1">IFERROR(__xludf.DUMMYFUNCTION("""COMPUTED_VALUE"""),"₱ -")</f>
        <v>₱ -</v>
      </c>
      <c r="F2525" s="164" t="str">
        <f ca="1">IFERROR(__xludf.DUMMYFUNCTION("""COMPUTED_VALUE"""),"2023-06-01-10202SP235-01")</f>
        <v>2023-06-01-10202SP235-01</v>
      </c>
      <c r="G2525" s="164" t="str">
        <f ca="1">IFERROR(__xludf.DUMMYFUNCTION("""COMPUTED_VALUE"""),"no plate available")</f>
        <v>no plate available</v>
      </c>
      <c r="H2525" s="164" t="str">
        <f ca="1">IFERROR(__xludf.DUMMYFUNCTION("""COMPUTED_VALUE"""),"HERNAN C. BUENAVENTURA")</f>
        <v>HERNAN C. BUENAVENTURA</v>
      </c>
      <c r="I2525" s="164" t="str">
        <f ca="1">IFERROR(__xludf.DUMMYFUNCTION("""COMPUTED_VALUE"""),"AO IV/ GSS Chief")</f>
        <v>AO IV/ GSS Chief</v>
      </c>
      <c r="J2525" s="164" t="str">
        <f ca="1">IFERROR(__xludf.DUMMYFUNCTION("""COMPUTED_VALUE"""),"2023-08-M81110")</f>
        <v>2023-08-M81110</v>
      </c>
      <c r="K2525" s="164" t="str">
        <f ca="1">IFERROR(__xludf.DUMMYFUNCTION("""COMPUTED_VALUE"""),"EDUARDO III P. PENUELA(COS - SPLIT)")</f>
        <v>EDUARDO III P. PENUELA(COS - SPLIT)</v>
      </c>
      <c r="L2525" s="164" t="str">
        <f ca="1">IFERROR(__xludf.DUMMYFUNCTION("""COMPUTED_VALUE"""),"General Services Section")</f>
        <v>General Services Section</v>
      </c>
      <c r="M2525" s="164" t="str">
        <f ca="1">IFERROR(__xludf.DUMMYFUNCTION("""COMPUTED_VALUE"""),"SERVICEABLE")</f>
        <v>SERVICEABLE</v>
      </c>
      <c r="N2525" s="164"/>
    </row>
    <row r="2526" spans="1:14" ht="13.2" hidden="1">
      <c r="A2526" s="164" t="str">
        <f ca="1">IFERROR(__xludf.DUMMYFUNCTION("""COMPUTED_VALUE"""),"Region VI")</f>
        <v>Region VI</v>
      </c>
      <c r="B2526" s="164" t="str">
        <f ca="1">IFERROR(__xludf.DUMMYFUNCTION("""COMPUTED_VALUE"""),"ILOILO")</f>
        <v>ILOILO</v>
      </c>
      <c r="C2526" s="164" t="str">
        <f ca="1">IFERROR(__xludf.DUMMYFUNCTION("""COMPUTED_VALUE"""),"Motorcycle – (Honda XRL 150)")</f>
        <v>Motorcycle – (Honda XRL 150)</v>
      </c>
      <c r="D2526" s="164" t="str">
        <f ca="1">IFERROR(__xludf.DUMMYFUNCTION("""COMPUTED_VALUE"""),"₱ 124,900.00")</f>
        <v>₱ 124,900.00</v>
      </c>
      <c r="E2526" s="164" t="str">
        <f ca="1">IFERROR(__xludf.DUMMYFUNCTION("""COMPUTED_VALUE"""),"₱ -")</f>
        <v>₱ -</v>
      </c>
      <c r="F2526" s="164" t="str">
        <f ca="1">IFERROR(__xludf.DUMMYFUNCTION("""COMPUTED_VALUE"""),"2023-06-01-10202SP236-01")</f>
        <v>2023-06-01-10202SP236-01</v>
      </c>
      <c r="G2526" s="164" t="str">
        <f ca="1">IFERROR(__xludf.DUMMYFUNCTION("""COMPUTED_VALUE"""),"no plate available")</f>
        <v>no plate available</v>
      </c>
      <c r="H2526" s="164" t="str">
        <f ca="1">IFERROR(__xludf.DUMMYFUNCTION("""COMPUTED_VALUE"""),"RAY S. SOBREVEGA")</f>
        <v>RAY S. SOBREVEGA</v>
      </c>
      <c r="I2526" s="164" t="str">
        <f ca="1">IFERROR(__xludf.DUMMYFUNCTION("""COMPUTED_VALUE"""),"ADA IV")</f>
        <v>ADA IV</v>
      </c>
      <c r="J2526" s="164" t="str">
        <f ca="1">IFERROR(__xludf.DUMMYFUNCTION("""COMPUTED_VALUE"""),"2023-08-M81111")</f>
        <v>2023-08-M81111</v>
      </c>
      <c r="K2526" s="164" t="str">
        <f ca="1">IFERROR(__xludf.DUMMYFUNCTION("""COMPUTED_VALUE"""),"RAY S. SOBREVEGA")</f>
        <v>RAY S. SOBREVEGA</v>
      </c>
      <c r="L2526" s="164" t="str">
        <f ca="1">IFERROR(__xludf.DUMMYFUNCTION("""COMPUTED_VALUE"""),"General Services Section")</f>
        <v>General Services Section</v>
      </c>
      <c r="M2526" s="164" t="str">
        <f ca="1">IFERROR(__xludf.DUMMYFUNCTION("""COMPUTED_VALUE"""),"SERVICEABLE")</f>
        <v>SERVICEABLE</v>
      </c>
      <c r="N2526" s="164"/>
    </row>
    <row r="2527" spans="1:14" ht="13.2" hidden="1">
      <c r="A2527" s="164" t="str">
        <f ca="1">IFERROR(__xludf.DUMMYFUNCTION("""COMPUTED_VALUE"""),"Region VI")</f>
        <v>Region VI</v>
      </c>
      <c r="B2527" s="164" t="str">
        <f ca="1">IFERROR(__xludf.DUMMYFUNCTION("""COMPUTED_VALUE"""),"ILOILO")</f>
        <v>ILOILO</v>
      </c>
      <c r="C2527" s="164" t="str">
        <f ca="1">IFERROR(__xludf.DUMMYFUNCTION("""COMPUTED_VALUE"""),"Motorcycle – (Honda XRL 150)")</f>
        <v>Motorcycle – (Honda XRL 150)</v>
      </c>
      <c r="D2527" s="164" t="str">
        <f ca="1">IFERROR(__xludf.DUMMYFUNCTION("""COMPUTED_VALUE"""),"₱ 124,900.00")</f>
        <v>₱ 124,900.00</v>
      </c>
      <c r="E2527" s="164" t="str">
        <f ca="1">IFERROR(__xludf.DUMMYFUNCTION("""COMPUTED_VALUE"""),"₱ -")</f>
        <v>₱ -</v>
      </c>
      <c r="F2527" s="164" t="str">
        <f ca="1">IFERROR(__xludf.DUMMYFUNCTION("""COMPUTED_VALUE"""),"2023-06-01-10202SP237-01")</f>
        <v>2023-06-01-10202SP237-01</v>
      </c>
      <c r="G2527" s="164" t="str">
        <f ca="1">IFERROR(__xludf.DUMMYFUNCTION("""COMPUTED_VALUE"""),"no plate available")</f>
        <v>no plate available</v>
      </c>
      <c r="H2527" s="164" t="str">
        <f ca="1">IFERROR(__xludf.DUMMYFUNCTION("""COMPUTED_VALUE"""),"HERNAN C. BUENAVENTURA")</f>
        <v>HERNAN C. BUENAVENTURA</v>
      </c>
      <c r="I2527" s="164" t="str">
        <f ca="1">IFERROR(__xludf.DUMMYFUNCTION("""COMPUTED_VALUE"""),"AO IV/ GSS Chief")</f>
        <v>AO IV/ GSS Chief</v>
      </c>
      <c r="J2527" s="164" t="str">
        <f ca="1">IFERROR(__xludf.DUMMYFUNCTION("""COMPUTED_VALUE"""),"2023-08-M8112")</f>
        <v>2023-08-M8112</v>
      </c>
      <c r="K2527" s="164" t="str">
        <f ca="1">IFERROR(__xludf.DUMMYFUNCTION("""COMPUTED_VALUE"""),"Ace Paches(COS - SPLIT)")</f>
        <v>Ace Paches(COS - SPLIT)</v>
      </c>
      <c r="L2527" s="164" t="str">
        <f ca="1">IFERROR(__xludf.DUMMYFUNCTION("""COMPUTED_VALUE"""),"General Services Section")</f>
        <v>General Services Section</v>
      </c>
      <c r="M2527" s="164" t="str">
        <f ca="1">IFERROR(__xludf.DUMMYFUNCTION("""COMPUTED_VALUE"""),"SERVICEABLE")</f>
        <v>SERVICEABLE</v>
      </c>
      <c r="N2527" s="164"/>
    </row>
    <row r="2528" spans="1:14" ht="13.2" hidden="1">
      <c r="A2528" s="164" t="str">
        <f ca="1">IFERROR(__xludf.DUMMYFUNCTION("""COMPUTED_VALUE"""),"Region VI")</f>
        <v>Region VI</v>
      </c>
      <c r="B2528" s="164" t="str">
        <f ca="1">IFERROR(__xludf.DUMMYFUNCTION("""COMPUTED_VALUE"""),"ILOILO")</f>
        <v>ILOILO</v>
      </c>
      <c r="C2528" s="164" t="str">
        <f ca="1">IFERROR(__xludf.DUMMYFUNCTION("""COMPUTED_VALUE"""),"Motorcycle – (Honda XRL 150)")</f>
        <v>Motorcycle – (Honda XRL 150)</v>
      </c>
      <c r="D2528" s="164" t="str">
        <f ca="1">IFERROR(__xludf.DUMMYFUNCTION("""COMPUTED_VALUE"""),"₱ 124,900.00")</f>
        <v>₱ 124,900.00</v>
      </c>
      <c r="E2528" s="164" t="str">
        <f ca="1">IFERROR(__xludf.DUMMYFUNCTION("""COMPUTED_VALUE"""),"₱ -")</f>
        <v>₱ -</v>
      </c>
      <c r="F2528" s="164" t="str">
        <f ca="1">IFERROR(__xludf.DUMMYFUNCTION("""COMPUTED_VALUE"""),"2023-06-01-10202SP238-01")</f>
        <v>2023-06-01-10202SP238-01</v>
      </c>
      <c r="G2528" s="164" t="str">
        <f ca="1">IFERROR(__xludf.DUMMYFUNCTION("""COMPUTED_VALUE"""),"no plate available")</f>
        <v>no plate available</v>
      </c>
      <c r="H2528" s="164" t="str">
        <f ca="1">IFERROR(__xludf.DUMMYFUNCTION("""COMPUTED_VALUE"""),"Jed L. Quidato")</f>
        <v>Jed L. Quidato</v>
      </c>
      <c r="I2528" s="164" t="str">
        <f ca="1">IFERROR(__xludf.DUMMYFUNCTION("""COMPUTED_VALUE"""),"ARPO I")</f>
        <v>ARPO I</v>
      </c>
      <c r="J2528" s="164" t="str">
        <f ca="1">IFERROR(__xludf.DUMMYFUNCTION("""COMPUTED_VALUE"""),"2023-08-M8113")</f>
        <v>2023-08-M8113</v>
      </c>
      <c r="K2528" s="164" t="str">
        <f ca="1">IFERROR(__xludf.DUMMYFUNCTION("""COMPUTED_VALUE"""),"Jed L. Quidato")</f>
        <v>Jed L. Quidato</v>
      </c>
      <c r="L2528" s="164" t="str">
        <f ca="1">IFERROR(__xludf.DUMMYFUNCTION("""COMPUTED_VALUE"""),"PBDD")</f>
        <v>PBDD</v>
      </c>
      <c r="M2528" s="164" t="str">
        <f ca="1">IFERROR(__xludf.DUMMYFUNCTION("""COMPUTED_VALUE"""),"SERVICEABLE")</f>
        <v>SERVICEABLE</v>
      </c>
      <c r="N2528" s="164"/>
    </row>
    <row r="2529" spans="1:14" ht="13.2" hidden="1">
      <c r="A2529" s="164" t="str">
        <f ca="1">IFERROR(__xludf.DUMMYFUNCTION("""COMPUTED_VALUE"""),"Region VI")</f>
        <v>Region VI</v>
      </c>
      <c r="B2529" s="164" t="str">
        <f ca="1">IFERROR(__xludf.DUMMYFUNCTION("""COMPUTED_VALUE"""),"ILOILO")</f>
        <v>ILOILO</v>
      </c>
      <c r="C2529" s="164" t="str">
        <f ca="1">IFERROR(__xludf.DUMMYFUNCTION("""COMPUTED_VALUE"""),"Motorcycle – (Honda XRL 150)")</f>
        <v>Motorcycle – (Honda XRL 150)</v>
      </c>
      <c r="D2529" s="164" t="str">
        <f ca="1">IFERROR(__xludf.DUMMYFUNCTION("""COMPUTED_VALUE"""),"₱ 124,900.00")</f>
        <v>₱ 124,900.00</v>
      </c>
      <c r="E2529" s="164" t="str">
        <f ca="1">IFERROR(__xludf.DUMMYFUNCTION("""COMPUTED_VALUE"""),"₱ -")</f>
        <v>₱ -</v>
      </c>
      <c r="F2529" s="164" t="str">
        <f ca="1">IFERROR(__xludf.DUMMYFUNCTION("""COMPUTED_VALUE"""),"2023-06-01-10202SP239-01")</f>
        <v>2023-06-01-10202SP239-01</v>
      </c>
      <c r="G2529" s="164" t="str">
        <f ca="1">IFERROR(__xludf.DUMMYFUNCTION("""COMPUTED_VALUE"""),"no plate available")</f>
        <v>no plate available</v>
      </c>
      <c r="H2529" s="164" t="str">
        <f ca="1">IFERROR(__xludf.DUMMYFUNCTION("""COMPUTED_VALUE"""),"JOSECRIS R. MONTENID")</f>
        <v>JOSECRIS R. MONTENID</v>
      </c>
      <c r="I2529" s="164" t="str">
        <f ca="1">IFERROR(__xludf.DUMMYFUNCTION("""COMPUTED_VALUE"""),"ARPO I")</f>
        <v>ARPO I</v>
      </c>
      <c r="J2529" s="164" t="str">
        <f ca="1">IFERROR(__xludf.DUMMYFUNCTION("""COMPUTED_VALUE"""),"2023-08-M81114")</f>
        <v>2023-08-M81114</v>
      </c>
      <c r="K2529" s="164" t="str">
        <f ca="1">IFERROR(__xludf.DUMMYFUNCTION("""COMPUTED_VALUE"""),"JOSECRIS R. MONTENID")</f>
        <v>JOSECRIS R. MONTENID</v>
      </c>
      <c r="L2529" s="164" t="str">
        <f ca="1">IFERROR(__xludf.DUMMYFUNCTION("""COMPUTED_VALUE"""),"PBDD")</f>
        <v>PBDD</v>
      </c>
      <c r="M2529" s="164" t="str">
        <f ca="1">IFERROR(__xludf.DUMMYFUNCTION("""COMPUTED_VALUE"""),"SERVICEABLE")</f>
        <v>SERVICEABLE</v>
      </c>
      <c r="N2529" s="164"/>
    </row>
    <row r="2530" spans="1:14" ht="13.2" hidden="1">
      <c r="A2530" s="164" t="str">
        <f ca="1">IFERROR(__xludf.DUMMYFUNCTION("""COMPUTED_VALUE"""),"Region VI")</f>
        <v>Region VI</v>
      </c>
      <c r="B2530" s="164" t="str">
        <f ca="1">IFERROR(__xludf.DUMMYFUNCTION("""COMPUTED_VALUE"""),"ILOILO")</f>
        <v>ILOILO</v>
      </c>
      <c r="C2530" s="164" t="str">
        <f ca="1">IFERROR(__xludf.DUMMYFUNCTION("""COMPUTED_VALUE"""),"Motorcycle – (Honda XRL 150)")</f>
        <v>Motorcycle – (Honda XRL 150)</v>
      </c>
      <c r="D2530" s="164" t="str">
        <f ca="1">IFERROR(__xludf.DUMMYFUNCTION("""COMPUTED_VALUE"""),"₱ 124,900.00")</f>
        <v>₱ 124,900.00</v>
      </c>
      <c r="E2530" s="164" t="str">
        <f ca="1">IFERROR(__xludf.DUMMYFUNCTION("""COMPUTED_VALUE"""),"₱ -")</f>
        <v>₱ -</v>
      </c>
      <c r="F2530" s="164" t="str">
        <f ca="1">IFERROR(__xludf.DUMMYFUNCTION("""COMPUTED_VALUE"""),"2023-06-01-10202SP240-01")</f>
        <v>2023-06-01-10202SP240-01</v>
      </c>
      <c r="G2530" s="164" t="str">
        <f ca="1">IFERROR(__xludf.DUMMYFUNCTION("""COMPUTED_VALUE"""),"no plate available")</f>
        <v>no plate available</v>
      </c>
      <c r="H2530" s="164" t="str">
        <f ca="1">IFERROR(__xludf.DUMMYFUNCTION("""COMPUTED_VALUE"""),"HERNAN C. BUENAVENTURA")</f>
        <v>HERNAN C. BUENAVENTURA</v>
      </c>
      <c r="I2530" s="164" t="str">
        <f ca="1">IFERROR(__xludf.DUMMYFUNCTION("""COMPUTED_VALUE"""),"AO IV/ GSS Chief")</f>
        <v>AO IV/ GSS Chief</v>
      </c>
      <c r="J2530" s="164" t="str">
        <f ca="1">IFERROR(__xludf.DUMMYFUNCTION("""COMPUTED_VALUE"""),"2023-08-M81115")</f>
        <v>2023-08-M81115</v>
      </c>
      <c r="K2530" s="164" t="str">
        <f ca="1">IFERROR(__xludf.DUMMYFUNCTION("""COMPUTED_VALUE"""),"Robin Villena(COS - SPLIT)")</f>
        <v>Robin Villena(COS - SPLIT)</v>
      </c>
      <c r="L2530" s="164" t="str">
        <f ca="1">IFERROR(__xludf.DUMMYFUNCTION("""COMPUTED_VALUE"""),"General Services Section")</f>
        <v>General Services Section</v>
      </c>
      <c r="M2530" s="164" t="str">
        <f ca="1">IFERROR(__xludf.DUMMYFUNCTION("""COMPUTED_VALUE"""),"SERVICEABLE")</f>
        <v>SERVICEABLE</v>
      </c>
      <c r="N2530" s="164"/>
    </row>
    <row r="2531" spans="1:14" ht="13.2" hidden="1">
      <c r="A2531" s="164" t="str">
        <f ca="1">IFERROR(__xludf.DUMMYFUNCTION("""COMPUTED_VALUE"""),"Region VI")</f>
        <v>Region VI</v>
      </c>
      <c r="B2531" s="164" t="str">
        <f ca="1">IFERROR(__xludf.DUMMYFUNCTION("""COMPUTED_VALUE"""),"ILOILO")</f>
        <v>ILOILO</v>
      </c>
      <c r="C2531" s="164" t="str">
        <f ca="1">IFERROR(__xludf.DUMMYFUNCTION("""COMPUTED_VALUE"""),"Motorcycle – (Honda XRL 150)")</f>
        <v>Motorcycle – (Honda XRL 150)</v>
      </c>
      <c r="D2531" s="164" t="str">
        <f ca="1">IFERROR(__xludf.DUMMYFUNCTION("""COMPUTED_VALUE"""),"₱ 124,900.00")</f>
        <v>₱ 124,900.00</v>
      </c>
      <c r="E2531" s="164" t="str">
        <f ca="1">IFERROR(__xludf.DUMMYFUNCTION("""COMPUTED_VALUE"""),"₱ -")</f>
        <v>₱ -</v>
      </c>
      <c r="F2531" s="164" t="str">
        <f ca="1">IFERROR(__xludf.DUMMYFUNCTION("""COMPUTED_VALUE"""),"2023-06-01-10202SP241-01")</f>
        <v>2023-06-01-10202SP241-01</v>
      </c>
      <c r="G2531" s="164" t="str">
        <f ca="1">IFERROR(__xludf.DUMMYFUNCTION("""COMPUTED_VALUE"""),"no plate available")</f>
        <v>no plate available</v>
      </c>
      <c r="H2531" s="164" t="str">
        <f ca="1">IFERROR(__xludf.DUMMYFUNCTION("""COMPUTED_VALUE"""),"Oscar Louis B. Bunda")</f>
        <v>Oscar Louis B. Bunda</v>
      </c>
      <c r="I2531" s="164" t="str">
        <f ca="1">IFERROR(__xludf.DUMMYFUNCTION("""COMPUTED_VALUE"""),"ARPT")</f>
        <v>ARPT</v>
      </c>
      <c r="J2531" s="164" t="str">
        <f ca="1">IFERROR(__xludf.DUMMYFUNCTION("""COMPUTED_VALUE"""),"2023-08-M81116")</f>
        <v>2023-08-M81116</v>
      </c>
      <c r="K2531" s="164" t="str">
        <f ca="1">IFERROR(__xludf.DUMMYFUNCTION("""COMPUTED_VALUE"""),"Oscar Louis B. Bunda")</f>
        <v>Oscar Louis B. Bunda</v>
      </c>
      <c r="L2531" s="164" t="str">
        <f ca="1">IFERROR(__xludf.DUMMYFUNCTION("""COMPUTED_VALUE"""),"LTID")</f>
        <v>LTID</v>
      </c>
      <c r="M2531" s="164" t="str">
        <f ca="1">IFERROR(__xludf.DUMMYFUNCTION("""COMPUTED_VALUE"""),"SERVICEABLE")</f>
        <v>SERVICEABLE</v>
      </c>
      <c r="N2531" s="164"/>
    </row>
    <row r="2532" spans="1:14" ht="13.2" hidden="1">
      <c r="A2532" s="164" t="str">
        <f ca="1">IFERROR(__xludf.DUMMYFUNCTION("""COMPUTED_VALUE"""),"Region VI")</f>
        <v>Region VI</v>
      </c>
      <c r="B2532" s="164" t="str">
        <f ca="1">IFERROR(__xludf.DUMMYFUNCTION("""COMPUTED_VALUE"""),"ILOILO")</f>
        <v>ILOILO</v>
      </c>
      <c r="C2532" s="164" t="str">
        <f ca="1">IFERROR(__xludf.DUMMYFUNCTION("""COMPUTED_VALUE"""),"Double Cabin Pick-up Vehicles – Mitsubishi Strada")</f>
        <v>Double Cabin Pick-up Vehicles – Mitsubishi Strada</v>
      </c>
      <c r="D2532" s="164" t="str">
        <f ca="1">IFERROR(__xludf.DUMMYFUNCTION("""COMPUTED_VALUE"""),"₱ 1,752,400.00")</f>
        <v>₱ 1,752,400.00</v>
      </c>
      <c r="E2532" s="164" t="str">
        <f ca="1">IFERROR(__xludf.DUMMYFUNCTION("""COMPUTED_VALUE"""),"₱ -")</f>
        <v>₱ -</v>
      </c>
      <c r="F2532" s="164" t="str">
        <f ca="1">IFERROR(__xludf.DUMMYFUNCTION("""COMPUTED_VALUE"""),"2023-06-01-10201SP145-01")</f>
        <v>2023-06-01-10201SP145-01</v>
      </c>
      <c r="G2532" s="164" t="str">
        <f ca="1">IFERROR(__xludf.DUMMYFUNCTION("""COMPUTED_VALUE"""),"SNC 1206")</f>
        <v>SNC 1206</v>
      </c>
      <c r="H2532" s="164" t="str">
        <f ca="1">IFERROR(__xludf.DUMMYFUNCTION("""COMPUTED_VALUE"""),"HARRIET A. LOOT")</f>
        <v>HARRIET A. LOOT</v>
      </c>
      <c r="I2532" s="164" t="str">
        <f ca="1">IFERROR(__xludf.DUMMYFUNCTION("""COMPUTED_VALUE"""),"PARPO II")</f>
        <v>PARPO II</v>
      </c>
      <c r="J2532" s="164" t="str">
        <f ca="1">IFERROR(__xludf.DUMMYFUNCTION("""COMPUTED_VALUE"""),"2023-10-P1001")</f>
        <v>2023-10-P1001</v>
      </c>
      <c r="K2532" s="164" t="str">
        <f ca="1">IFERROR(__xludf.DUMMYFUNCTION("""COMPUTED_VALUE"""),"RAY S. SOBREVEGA")</f>
        <v>RAY S. SOBREVEGA</v>
      </c>
      <c r="L2532" s="164" t="str">
        <f ca="1">IFERROR(__xludf.DUMMYFUNCTION("""COMPUTED_VALUE"""),"Office of the PARPO")</f>
        <v>Office of the PARPO</v>
      </c>
      <c r="M2532" s="164" t="str">
        <f ca="1">IFERROR(__xludf.DUMMYFUNCTION("""COMPUTED_VALUE"""),"SERVICEABLE")</f>
        <v>SERVICEABLE</v>
      </c>
      <c r="N2532" s="164"/>
    </row>
    <row r="2533" spans="1:14" ht="13.2" hidden="1">
      <c r="A2533" s="164" t="str">
        <f ca="1">IFERROR(__xludf.DUMMYFUNCTION("""COMPUTED_VALUE"""),"Region VI")</f>
        <v>Region VI</v>
      </c>
      <c r="B2533" s="164" t="str">
        <f ca="1">IFERROR(__xludf.DUMMYFUNCTION("""COMPUTED_VALUE"""),"ILOILO")</f>
        <v>ILOILO</v>
      </c>
      <c r="C2533" s="164" t="str">
        <f ca="1">IFERROR(__xludf.DUMMYFUNCTION("""COMPUTED_VALUE"""),"Double Cabin Pick-up Vehicles – Mitsubishi Strada")</f>
        <v>Double Cabin Pick-up Vehicles – Mitsubishi Strada</v>
      </c>
      <c r="D2533" s="164" t="str">
        <f ca="1">IFERROR(__xludf.DUMMYFUNCTION("""COMPUTED_VALUE"""),"₱ 1,752,400.00")</f>
        <v>₱ 1,752,400.00</v>
      </c>
      <c r="E2533" s="164" t="str">
        <f ca="1">IFERROR(__xludf.DUMMYFUNCTION("""COMPUTED_VALUE"""),"₱ -")</f>
        <v>₱ -</v>
      </c>
      <c r="F2533" s="164" t="str">
        <f ca="1">IFERROR(__xludf.DUMMYFUNCTION("""COMPUTED_VALUE"""),"2023-06-01-10201SP144-01")</f>
        <v>2023-06-01-10201SP144-01</v>
      </c>
      <c r="G2533" s="164" t="str">
        <f ca="1">IFERROR(__xludf.DUMMYFUNCTION("""COMPUTED_VALUE"""),"SNC 1308")</f>
        <v>SNC 1308</v>
      </c>
      <c r="H2533" s="164" t="str">
        <f ca="1">IFERROR(__xludf.DUMMYFUNCTION("""COMPUTED_VALUE"""),"HARRIET A. LOOT")</f>
        <v>HARRIET A. LOOT</v>
      </c>
      <c r="I2533" s="164" t="str">
        <f ca="1">IFERROR(__xludf.DUMMYFUNCTION("""COMPUTED_VALUE"""),"PARPO II")</f>
        <v>PARPO II</v>
      </c>
      <c r="J2533" s="164" t="str">
        <f ca="1">IFERROR(__xludf.DUMMYFUNCTION("""COMPUTED_VALUE"""),"2023-10-P1002")</f>
        <v>2023-10-P1002</v>
      </c>
      <c r="K2533" s="164" t="str">
        <f ca="1">IFERROR(__xludf.DUMMYFUNCTION("""COMPUTED_VALUE"""),"HERNAN C. BUENAVENTURA")</f>
        <v>HERNAN C. BUENAVENTURA</v>
      </c>
      <c r="L2533" s="164" t="str">
        <f ca="1">IFERROR(__xludf.DUMMYFUNCTION("""COMPUTED_VALUE"""),"Office of the PARPO")</f>
        <v>Office of the PARPO</v>
      </c>
      <c r="M2533" s="164" t="str">
        <f ca="1">IFERROR(__xludf.DUMMYFUNCTION("""COMPUTED_VALUE"""),"SERVICEABLE")</f>
        <v>SERVICEABLE</v>
      </c>
      <c r="N2533" s="164"/>
    </row>
    <row r="2534" spans="1:14" ht="13.2" hidden="1">
      <c r="A2534" s="164" t="str">
        <f ca="1">IFERROR(__xludf.DUMMYFUNCTION("""COMPUTED_VALUE"""),"Region VI")</f>
        <v>Region VI</v>
      </c>
      <c r="B2534" s="164" t="str">
        <f ca="1">IFERROR(__xludf.DUMMYFUNCTION("""COMPUTED_VALUE"""),"CAPIZ")</f>
        <v>CAPIZ</v>
      </c>
      <c r="C2534" s="164" t="str">
        <f ca="1">IFERROR(__xludf.DUMMYFUNCTION("""COMPUTED_VALUE"""),"Motorcycle – (Honda XRL 150)")</f>
        <v>Motorcycle – (Honda XRL 150)</v>
      </c>
      <c r="D2534" s="164" t="str">
        <f ca="1">IFERROR(__xludf.DUMMYFUNCTION("""COMPUTED_VALUE"""),"₱ 124,900.00")</f>
        <v>₱ 124,900.00</v>
      </c>
      <c r="E2534" s="164" t="str">
        <f ca="1">IFERROR(__xludf.DUMMYFUNCTION("""COMPUTED_VALUE"""),"₱ -")</f>
        <v>₱ -</v>
      </c>
      <c r="F2534" s="164" t="str">
        <f ca="1">IFERROR(__xludf.DUMMYFUNCTION("""COMPUTED_VALUE"""),"2023-06-01-10202SP270-01")</f>
        <v>2023-06-01-10202SP270-01</v>
      </c>
      <c r="G2534" s="164" t="str">
        <f ca="1">IFERROR(__xludf.DUMMYFUNCTION("""COMPUTED_VALUE"""),"no plate available")</f>
        <v>no plate available</v>
      </c>
      <c r="H2534" s="164" t="str">
        <f ca="1">IFERROR(__xludf.DUMMYFUNCTION("""COMPUTED_VALUE"""),"RUTHER F. FADEROGAO")</f>
        <v>RUTHER F. FADEROGAO</v>
      </c>
      <c r="I2534" s="164" t="str">
        <f ca="1">IFERROR(__xludf.DUMMYFUNCTION("""COMPUTED_VALUE"""),"ARPO I")</f>
        <v>ARPO I</v>
      </c>
      <c r="J2534" s="164" t="str">
        <f ca="1">IFERROR(__xludf.DUMMYFUNCTION("""COMPUTED_VALUE"""),"2023-05-0001")</f>
        <v>2023-05-0001</v>
      </c>
      <c r="K2534" s="164" t="str">
        <f ca="1">IFERROR(__xludf.DUMMYFUNCTION("""COMPUTED_VALUE"""),"RUTHER F. FADEROGAO")</f>
        <v>RUTHER F. FADEROGAO</v>
      </c>
      <c r="L2534" s="164" t="str">
        <f ca="1">IFERROR(__xludf.DUMMYFUNCTION("""COMPUTED_VALUE"""),"PBDD")</f>
        <v>PBDD</v>
      </c>
      <c r="M2534" s="164" t="str">
        <f ca="1">IFERROR(__xludf.DUMMYFUNCTION("""COMPUTED_VALUE"""),"SERVICEABLE")</f>
        <v>SERVICEABLE</v>
      </c>
      <c r="N2534" s="164"/>
    </row>
    <row r="2535" spans="1:14" ht="13.2" hidden="1">
      <c r="A2535" s="164" t="str">
        <f ca="1">IFERROR(__xludf.DUMMYFUNCTION("""COMPUTED_VALUE"""),"Region VI")</f>
        <v>Region VI</v>
      </c>
      <c r="B2535" s="164" t="str">
        <f ca="1">IFERROR(__xludf.DUMMYFUNCTION("""COMPUTED_VALUE"""),"CAPIZ")</f>
        <v>CAPIZ</v>
      </c>
      <c r="C2535" s="164" t="str">
        <f ca="1">IFERROR(__xludf.DUMMYFUNCTION("""COMPUTED_VALUE"""),"Motorcycle – (Honda XRL 150)")</f>
        <v>Motorcycle – (Honda XRL 150)</v>
      </c>
      <c r="D2535" s="164" t="str">
        <f ca="1">IFERROR(__xludf.DUMMYFUNCTION("""COMPUTED_VALUE"""),"₱ 124,900.00")</f>
        <v>₱ 124,900.00</v>
      </c>
      <c r="E2535" s="164" t="str">
        <f ca="1">IFERROR(__xludf.DUMMYFUNCTION("""COMPUTED_VALUE"""),"₱ -")</f>
        <v>₱ -</v>
      </c>
      <c r="F2535" s="164" t="str">
        <f ca="1">IFERROR(__xludf.DUMMYFUNCTION("""COMPUTED_VALUE"""),"2023-06-01-10202SP271-01")</f>
        <v>2023-06-01-10202SP271-01</v>
      </c>
      <c r="G2535" s="164" t="str">
        <f ca="1">IFERROR(__xludf.DUMMYFUNCTION("""COMPUTED_VALUE"""),"no plate available")</f>
        <v>no plate available</v>
      </c>
      <c r="H2535" s="164" t="str">
        <f ca="1">IFERROR(__xludf.DUMMYFUNCTION("""COMPUTED_VALUE"""),"JOMARI Y. GREGORE")</f>
        <v>JOMARI Y. GREGORE</v>
      </c>
      <c r="I2535" s="164" t="str">
        <f ca="1">IFERROR(__xludf.DUMMYFUNCTION("""COMPUTED_VALUE"""),"ARPT / PROVINCIAL DENR/LRA-ROD SURVEY COORDINATOR")</f>
        <v>ARPT / PROVINCIAL DENR/LRA-ROD SURVEY COORDINATOR</v>
      </c>
      <c r="J2535" s="164" t="str">
        <f ca="1">IFERROR(__xludf.DUMMYFUNCTION("""COMPUTED_VALUE"""),"2023-05-0002")</f>
        <v>2023-05-0002</v>
      </c>
      <c r="K2535" s="164" t="str">
        <f ca="1">IFERROR(__xludf.DUMMYFUNCTION("""COMPUTED_VALUE"""),"JOMARI Y. GREGORE")</f>
        <v>JOMARI Y. GREGORE</v>
      </c>
      <c r="L2535" s="164" t="str">
        <f ca="1">IFERROR(__xludf.DUMMYFUNCTION("""COMPUTED_VALUE"""),"LTID")</f>
        <v>LTID</v>
      </c>
      <c r="M2535" s="164" t="str">
        <f ca="1">IFERROR(__xludf.DUMMYFUNCTION("""COMPUTED_VALUE"""),"SERVICEABLE")</f>
        <v>SERVICEABLE</v>
      </c>
      <c r="N2535" s="164"/>
    </row>
    <row r="2536" spans="1:14" ht="13.2" hidden="1">
      <c r="A2536" s="164" t="str">
        <f ca="1">IFERROR(__xludf.DUMMYFUNCTION("""COMPUTED_VALUE"""),"Region VI")</f>
        <v>Region VI</v>
      </c>
      <c r="B2536" s="164" t="str">
        <f ca="1">IFERROR(__xludf.DUMMYFUNCTION("""COMPUTED_VALUE"""),"CAPIZ")</f>
        <v>CAPIZ</v>
      </c>
      <c r="C2536" s="164" t="str">
        <f ca="1">IFERROR(__xludf.DUMMYFUNCTION("""COMPUTED_VALUE"""),"Motorcycle – (Honda XRL 150)")</f>
        <v>Motorcycle – (Honda XRL 150)</v>
      </c>
      <c r="D2536" s="164" t="str">
        <f ca="1">IFERROR(__xludf.DUMMYFUNCTION("""COMPUTED_VALUE"""),"₱ 124,900.00")</f>
        <v>₱ 124,900.00</v>
      </c>
      <c r="E2536" s="164" t="str">
        <f ca="1">IFERROR(__xludf.DUMMYFUNCTION("""COMPUTED_VALUE"""),"₱ -")</f>
        <v>₱ -</v>
      </c>
      <c r="F2536" s="164" t="str">
        <f ca="1">IFERROR(__xludf.DUMMYFUNCTION("""COMPUTED_VALUE"""),"2023-06-01-10202SP272-01")</f>
        <v>2023-06-01-10202SP272-01</v>
      </c>
      <c r="G2536" s="164" t="str">
        <f ca="1">IFERROR(__xludf.DUMMYFUNCTION("""COMPUTED_VALUE"""),"no plate available")</f>
        <v>no plate available</v>
      </c>
      <c r="H2536" s="164" t="str">
        <f ca="1">IFERROR(__xludf.DUMMYFUNCTION("""COMPUTED_VALUE"""),"SANITO S. BEDIONES JR.")</f>
        <v>SANITO S. BEDIONES JR.</v>
      </c>
      <c r="I2536" s="164" t="str">
        <f ca="1">IFERROR(__xludf.DUMMYFUNCTION("""COMPUTED_VALUE"""),"ARPT")</f>
        <v>ARPT</v>
      </c>
      <c r="J2536" s="164" t="str">
        <f ca="1">IFERROR(__xludf.DUMMYFUNCTION("""COMPUTED_VALUE"""),"2023-05-0003")</f>
        <v>2023-05-0003</v>
      </c>
      <c r="K2536" s="164" t="str">
        <f ca="1">IFERROR(__xludf.DUMMYFUNCTION("""COMPUTED_VALUE"""),"SANITO S. BEDIONES JR.")</f>
        <v>SANITO S. BEDIONES JR.</v>
      </c>
      <c r="L2536" s="164" t="str">
        <f ca="1">IFERROR(__xludf.DUMMYFUNCTION("""COMPUTED_VALUE"""),"DARMO - DAO")</f>
        <v>DARMO - DAO</v>
      </c>
      <c r="M2536" s="164" t="str">
        <f ca="1">IFERROR(__xludf.DUMMYFUNCTION("""COMPUTED_VALUE"""),"SERVICEABLE")</f>
        <v>SERVICEABLE</v>
      </c>
      <c r="N2536" s="164"/>
    </row>
    <row r="2537" spans="1:14" ht="13.2" hidden="1">
      <c r="A2537" s="164" t="str">
        <f ca="1">IFERROR(__xludf.DUMMYFUNCTION("""COMPUTED_VALUE"""),"Region VI")</f>
        <v>Region VI</v>
      </c>
      <c r="B2537" s="164" t="str">
        <f ca="1">IFERROR(__xludf.DUMMYFUNCTION("""COMPUTED_VALUE"""),"CAPIZ")</f>
        <v>CAPIZ</v>
      </c>
      <c r="C2537" s="164" t="str">
        <f ca="1">IFERROR(__xludf.DUMMYFUNCTION("""COMPUTED_VALUE"""),"Motorcycle – (Honda XRL 150)")</f>
        <v>Motorcycle – (Honda XRL 150)</v>
      </c>
      <c r="D2537" s="164" t="str">
        <f ca="1">IFERROR(__xludf.DUMMYFUNCTION("""COMPUTED_VALUE"""),"₱ 124,900.00")</f>
        <v>₱ 124,900.00</v>
      </c>
      <c r="E2537" s="164" t="str">
        <f ca="1">IFERROR(__xludf.DUMMYFUNCTION("""COMPUTED_VALUE"""),"₱ -")</f>
        <v>₱ -</v>
      </c>
      <c r="F2537" s="164" t="str">
        <f ca="1">IFERROR(__xludf.DUMMYFUNCTION("""COMPUTED_VALUE"""),"2023-06-01-10202SP273-01")</f>
        <v>2023-06-01-10202SP273-01</v>
      </c>
      <c r="G2537" s="164" t="str">
        <f ca="1">IFERROR(__xludf.DUMMYFUNCTION("""COMPUTED_VALUE"""),"no plate available")</f>
        <v>no plate available</v>
      </c>
      <c r="H2537" s="164" t="str">
        <f ca="1">IFERROR(__xludf.DUMMYFUNCTION("""COMPUTED_VALUE"""),"DENN MARK P. MACEDA")</f>
        <v>DENN MARK P. MACEDA</v>
      </c>
      <c r="I2537" s="164" t="str">
        <f ca="1">IFERROR(__xludf.DUMMYFUNCTION("""COMPUTED_VALUE"""),"ARPT")</f>
        <v>ARPT</v>
      </c>
      <c r="J2537" s="164" t="str">
        <f ca="1">IFERROR(__xludf.DUMMYFUNCTION("""COMPUTED_VALUE"""),"2023-05-0004")</f>
        <v>2023-05-0004</v>
      </c>
      <c r="K2537" s="164" t="str">
        <f ca="1">IFERROR(__xludf.DUMMYFUNCTION("""COMPUTED_VALUE"""),"DENN MARK P. MACEDA")</f>
        <v>DENN MARK P. MACEDA</v>
      </c>
      <c r="L2537" s="164" t="str">
        <f ca="1">IFERROR(__xludf.DUMMYFUNCTION("""COMPUTED_VALUE"""),"DARMO - DUMARAO")</f>
        <v>DARMO - DUMARAO</v>
      </c>
      <c r="M2537" s="164" t="str">
        <f ca="1">IFERROR(__xludf.DUMMYFUNCTION("""COMPUTED_VALUE"""),"SERVICEABLE")</f>
        <v>SERVICEABLE</v>
      </c>
      <c r="N2537" s="164"/>
    </row>
    <row r="2538" spans="1:14" ht="13.2" hidden="1">
      <c r="A2538" s="164" t="str">
        <f ca="1">IFERROR(__xludf.DUMMYFUNCTION("""COMPUTED_VALUE"""),"Region VI")</f>
        <v>Region VI</v>
      </c>
      <c r="B2538" s="164" t="str">
        <f ca="1">IFERROR(__xludf.DUMMYFUNCTION("""COMPUTED_VALUE"""),"CAPIZ")</f>
        <v>CAPIZ</v>
      </c>
      <c r="C2538" s="164" t="str">
        <f ca="1">IFERROR(__xludf.DUMMYFUNCTION("""COMPUTED_VALUE"""),"Motorcycle – (Honda XRL 150)")</f>
        <v>Motorcycle – (Honda XRL 150)</v>
      </c>
      <c r="D2538" s="164" t="str">
        <f ca="1">IFERROR(__xludf.DUMMYFUNCTION("""COMPUTED_VALUE"""),"₱ 124,900.00")</f>
        <v>₱ 124,900.00</v>
      </c>
      <c r="E2538" s="164" t="str">
        <f ca="1">IFERROR(__xludf.DUMMYFUNCTION("""COMPUTED_VALUE"""),"₱ -")</f>
        <v>₱ -</v>
      </c>
      <c r="F2538" s="164" t="str">
        <f ca="1">IFERROR(__xludf.DUMMYFUNCTION("""COMPUTED_VALUE"""),"2023-06-01-10202SP274-01")</f>
        <v>2023-06-01-10202SP274-01</v>
      </c>
      <c r="G2538" s="164" t="str">
        <f ca="1">IFERROR(__xludf.DUMMYFUNCTION("""COMPUTED_VALUE"""),"no plate available")</f>
        <v>no plate available</v>
      </c>
      <c r="H2538" s="164" t="str">
        <f ca="1">IFERROR(__xludf.DUMMYFUNCTION("""COMPUTED_VALUE"""),"JOEY O. TEFORA")</f>
        <v>JOEY O. TEFORA</v>
      </c>
      <c r="I2538" s="164" t="str">
        <f ca="1">IFERROR(__xludf.DUMMYFUNCTION("""COMPUTED_VALUE"""),"ARPT")</f>
        <v>ARPT</v>
      </c>
      <c r="J2538" s="164" t="str">
        <f ca="1">IFERROR(__xludf.DUMMYFUNCTION("""COMPUTED_VALUE"""),"2023-05-0005")</f>
        <v>2023-05-0005</v>
      </c>
      <c r="K2538" s="164" t="str">
        <f ca="1">IFERROR(__xludf.DUMMYFUNCTION("""COMPUTED_VALUE"""),"JOEY O. TEFORA")</f>
        <v>JOEY O. TEFORA</v>
      </c>
      <c r="L2538" s="164" t="str">
        <f ca="1">IFERROR(__xludf.DUMMYFUNCTION("""COMPUTED_VALUE"""),"DARMO-JAMINDAN")</f>
        <v>DARMO-JAMINDAN</v>
      </c>
      <c r="M2538" s="164" t="str">
        <f ca="1">IFERROR(__xludf.DUMMYFUNCTION("""COMPUTED_VALUE"""),"SERVICEABLE")</f>
        <v>SERVICEABLE</v>
      </c>
      <c r="N2538" s="164"/>
    </row>
    <row r="2539" spans="1:14" ht="13.2" hidden="1">
      <c r="A2539" s="164" t="str">
        <f ca="1">IFERROR(__xludf.DUMMYFUNCTION("""COMPUTED_VALUE"""),"Region VI")</f>
        <v>Region VI</v>
      </c>
      <c r="B2539" s="164" t="str">
        <f ca="1">IFERROR(__xludf.DUMMYFUNCTION("""COMPUTED_VALUE"""),"CAPIZ")</f>
        <v>CAPIZ</v>
      </c>
      <c r="C2539" s="164" t="str">
        <f ca="1">IFERROR(__xludf.DUMMYFUNCTION("""COMPUTED_VALUE"""),"Motorcycle – (Honda XRL 150)")</f>
        <v>Motorcycle – (Honda XRL 150)</v>
      </c>
      <c r="D2539" s="164" t="str">
        <f ca="1">IFERROR(__xludf.DUMMYFUNCTION("""COMPUTED_VALUE"""),"₱ 124,900.00")</f>
        <v>₱ 124,900.00</v>
      </c>
      <c r="E2539" s="164" t="str">
        <f ca="1">IFERROR(__xludf.DUMMYFUNCTION("""COMPUTED_VALUE"""),"₱ -")</f>
        <v>₱ -</v>
      </c>
      <c r="F2539" s="164" t="str">
        <f ca="1">IFERROR(__xludf.DUMMYFUNCTION("""COMPUTED_VALUE"""),"2023-06-01-10202SP275-01")</f>
        <v>2023-06-01-10202SP275-01</v>
      </c>
      <c r="G2539" s="164" t="str">
        <f ca="1">IFERROR(__xludf.DUMMYFUNCTION("""COMPUTED_VALUE"""),"no plate available")</f>
        <v>no plate available</v>
      </c>
      <c r="H2539" s="164" t="str">
        <f ca="1">IFERROR(__xludf.DUMMYFUNCTION("""COMPUTED_VALUE"""),"WILSON P. DORDAS III")</f>
        <v>WILSON P. DORDAS III</v>
      </c>
      <c r="I2539" s="164" t="str">
        <f ca="1">IFERROR(__xludf.DUMMYFUNCTION("""COMPUTED_VALUE"""),"SARPT")</f>
        <v>SARPT</v>
      </c>
      <c r="J2539" s="164" t="str">
        <f ca="1">IFERROR(__xludf.DUMMYFUNCTION("""COMPUTED_VALUE"""),"2023-05-0006")</f>
        <v>2023-05-0006</v>
      </c>
      <c r="K2539" s="164" t="str">
        <f ca="1">IFERROR(__xludf.DUMMYFUNCTION("""COMPUTED_VALUE"""),"WILSON P. DORDAS III")</f>
        <v>WILSON P. DORDAS III</v>
      </c>
      <c r="L2539" s="164" t="str">
        <f ca="1">IFERROR(__xludf.DUMMYFUNCTION("""COMPUTED_VALUE"""),"DARMO-MAAYON")</f>
        <v>DARMO-MAAYON</v>
      </c>
      <c r="M2539" s="164" t="str">
        <f ca="1">IFERROR(__xludf.DUMMYFUNCTION("""COMPUTED_VALUE"""),"SERVICEABLE")</f>
        <v>SERVICEABLE</v>
      </c>
      <c r="N2539" s="164"/>
    </row>
    <row r="2540" spans="1:14" ht="13.2" hidden="1">
      <c r="A2540" s="164" t="str">
        <f ca="1">IFERROR(__xludf.DUMMYFUNCTION("""COMPUTED_VALUE"""),"Region VI")</f>
        <v>Region VI</v>
      </c>
      <c r="B2540" s="164" t="str">
        <f ca="1">IFERROR(__xludf.DUMMYFUNCTION("""COMPUTED_VALUE"""),"CAPIZ")</f>
        <v>CAPIZ</v>
      </c>
      <c r="C2540" s="164" t="str">
        <f ca="1">IFERROR(__xludf.DUMMYFUNCTION("""COMPUTED_VALUE"""),"Motorcycle – (Honda XRL 150)")</f>
        <v>Motorcycle – (Honda XRL 150)</v>
      </c>
      <c r="D2540" s="164" t="str">
        <f ca="1">IFERROR(__xludf.DUMMYFUNCTION("""COMPUTED_VALUE"""),"₱ 124,900.00")</f>
        <v>₱ 124,900.00</v>
      </c>
      <c r="E2540" s="164" t="str">
        <f ca="1">IFERROR(__xludf.DUMMYFUNCTION("""COMPUTED_VALUE"""),"₱ -")</f>
        <v>₱ -</v>
      </c>
      <c r="F2540" s="164" t="str">
        <f ca="1">IFERROR(__xludf.DUMMYFUNCTION("""COMPUTED_VALUE"""),"2023-06-01-10202SP276-01")</f>
        <v>2023-06-01-10202SP276-01</v>
      </c>
      <c r="G2540" s="164" t="str">
        <f ca="1">IFERROR(__xludf.DUMMYFUNCTION("""COMPUTED_VALUE"""),"no plate available")</f>
        <v>no plate available</v>
      </c>
      <c r="H2540" s="164" t="str">
        <f ca="1">IFERROR(__xludf.DUMMYFUNCTION("""COMPUTED_VALUE"""),"TERI JOE C. PRETTA")</f>
        <v>TERI JOE C. PRETTA</v>
      </c>
      <c r="I2540" s="164" t="str">
        <f ca="1">IFERROR(__xludf.DUMMYFUNCTION("""COMPUTED_VALUE"""),"ARPT")</f>
        <v>ARPT</v>
      </c>
      <c r="J2540" s="164" t="str">
        <f ca="1">IFERROR(__xludf.DUMMYFUNCTION("""COMPUTED_VALUE"""),"2023-05-0007")</f>
        <v>2023-05-0007</v>
      </c>
      <c r="K2540" s="164" t="str">
        <f ca="1">IFERROR(__xludf.DUMMYFUNCTION("""COMPUTED_VALUE"""),"TERI JOE C. PRETTA")</f>
        <v>TERI JOE C. PRETTA</v>
      </c>
      <c r="L2540" s="164" t="str">
        <f ca="1">IFERROR(__xludf.DUMMYFUNCTION("""COMPUTED_VALUE"""),"DARMO-PONTEVEDRA/PANITAN")</f>
        <v>DARMO-PONTEVEDRA/PANITAN</v>
      </c>
      <c r="M2540" s="164" t="str">
        <f ca="1">IFERROR(__xludf.DUMMYFUNCTION("""COMPUTED_VALUE"""),"SERVICEABLE")</f>
        <v>SERVICEABLE</v>
      </c>
      <c r="N2540" s="164"/>
    </row>
    <row r="2541" spans="1:14" ht="13.2" hidden="1">
      <c r="A2541" s="164" t="str">
        <f ca="1">IFERROR(__xludf.DUMMYFUNCTION("""COMPUTED_VALUE"""),"Region VI")</f>
        <v>Region VI</v>
      </c>
      <c r="B2541" s="164" t="str">
        <f ca="1">IFERROR(__xludf.DUMMYFUNCTION("""COMPUTED_VALUE"""),"CAPIZ")</f>
        <v>CAPIZ</v>
      </c>
      <c r="C2541" s="164" t="str">
        <f ca="1">IFERROR(__xludf.DUMMYFUNCTION("""COMPUTED_VALUE"""),"Motorcycle – (Honda XRL 150)")</f>
        <v>Motorcycle – (Honda XRL 150)</v>
      </c>
      <c r="D2541" s="164" t="str">
        <f ca="1">IFERROR(__xludf.DUMMYFUNCTION("""COMPUTED_VALUE"""),"₱ 124,900.00")</f>
        <v>₱ 124,900.00</v>
      </c>
      <c r="E2541" s="164" t="str">
        <f ca="1">IFERROR(__xludf.DUMMYFUNCTION("""COMPUTED_VALUE"""),"₱ -")</f>
        <v>₱ -</v>
      </c>
      <c r="F2541" s="164" t="str">
        <f ca="1">IFERROR(__xludf.DUMMYFUNCTION("""COMPUTED_VALUE"""),"2023-06-01-10202SP277-01")</f>
        <v>2023-06-01-10202SP277-01</v>
      </c>
      <c r="G2541" s="164" t="str">
        <f ca="1">IFERROR(__xludf.DUMMYFUNCTION("""COMPUTED_VALUE"""),"no plate available")</f>
        <v>no plate available</v>
      </c>
      <c r="H2541" s="164" t="str">
        <f ca="1">IFERROR(__xludf.DUMMYFUNCTION("""COMPUTED_VALUE"""),"CHRISTIAN PAUL M. DOLOR")</f>
        <v>CHRISTIAN PAUL M. DOLOR</v>
      </c>
      <c r="I2541" s="164" t="str">
        <f ca="1">IFERROR(__xludf.DUMMYFUNCTION("""COMPUTED_VALUE"""),"ARPT")</f>
        <v>ARPT</v>
      </c>
      <c r="J2541" s="164" t="str">
        <f ca="1">IFERROR(__xludf.DUMMYFUNCTION("""COMPUTED_VALUE"""),"2023-05-0008")</f>
        <v>2023-05-0008</v>
      </c>
      <c r="K2541" s="164" t="str">
        <f ca="1">IFERROR(__xludf.DUMMYFUNCTION("""COMPUTED_VALUE"""),"CHRISTIAN PAUL M. DOLOR")</f>
        <v>CHRISTIAN PAUL M. DOLOR</v>
      </c>
      <c r="L2541" s="164" t="str">
        <f ca="1">IFERROR(__xludf.DUMMYFUNCTION("""COMPUTED_VALUE"""),"DARMO-PRES. ROXAS")</f>
        <v>DARMO-PRES. ROXAS</v>
      </c>
      <c r="M2541" s="164" t="str">
        <f ca="1">IFERROR(__xludf.DUMMYFUNCTION("""COMPUTED_VALUE"""),"SERVICEABLE")</f>
        <v>SERVICEABLE</v>
      </c>
      <c r="N2541" s="164"/>
    </row>
    <row r="2542" spans="1:14" ht="13.2" hidden="1">
      <c r="A2542" s="164" t="str">
        <f ca="1">IFERROR(__xludf.DUMMYFUNCTION("""COMPUTED_VALUE"""),"Region VI")</f>
        <v>Region VI</v>
      </c>
      <c r="B2542" s="164" t="str">
        <f ca="1">IFERROR(__xludf.DUMMYFUNCTION("""COMPUTED_VALUE"""),"CAPIZ")</f>
        <v>CAPIZ</v>
      </c>
      <c r="C2542" s="164" t="str">
        <f ca="1">IFERROR(__xludf.DUMMYFUNCTION("""COMPUTED_VALUE"""),"Motorcycle – (Honda XRL 150)")</f>
        <v>Motorcycle – (Honda XRL 150)</v>
      </c>
      <c r="D2542" s="164" t="str">
        <f ca="1">IFERROR(__xludf.DUMMYFUNCTION("""COMPUTED_VALUE"""),"₱ 124,900.00")</f>
        <v>₱ 124,900.00</v>
      </c>
      <c r="E2542" s="164" t="str">
        <f ca="1">IFERROR(__xludf.DUMMYFUNCTION("""COMPUTED_VALUE"""),"₱ -")</f>
        <v>₱ -</v>
      </c>
      <c r="F2542" s="164" t="str">
        <f ca="1">IFERROR(__xludf.DUMMYFUNCTION("""COMPUTED_VALUE"""),"2023-06-01-10202SP278-01")</f>
        <v>2023-06-01-10202SP278-01</v>
      </c>
      <c r="G2542" s="164" t="str">
        <f ca="1">IFERROR(__xludf.DUMMYFUNCTION("""COMPUTED_VALUE"""),"no plate available")</f>
        <v>no plate available</v>
      </c>
      <c r="H2542" s="164" t="str">
        <f ca="1">IFERROR(__xludf.DUMMYFUNCTION("""COMPUTED_VALUE"""),"JONALD D. DEGALA")</f>
        <v>JONALD D. DEGALA</v>
      </c>
      <c r="I2542" s="164" t="str">
        <f ca="1">IFERROR(__xludf.DUMMYFUNCTION("""COMPUTED_VALUE"""),"ARPT")</f>
        <v>ARPT</v>
      </c>
      <c r="J2542" s="164" t="str">
        <f ca="1">IFERROR(__xludf.DUMMYFUNCTION("""COMPUTED_VALUE"""),"2023-05-0009")</f>
        <v>2023-05-0009</v>
      </c>
      <c r="K2542" s="164" t="str">
        <f ca="1">IFERROR(__xludf.DUMMYFUNCTION("""COMPUTED_VALUE"""),"JONALD D. DEGALA")</f>
        <v>JONALD D. DEGALA</v>
      </c>
      <c r="L2542" s="164" t="str">
        <f ca="1">IFERROR(__xludf.DUMMYFUNCTION("""COMPUTED_VALUE"""),"DARMO-SIGMA")</f>
        <v>DARMO-SIGMA</v>
      </c>
      <c r="M2542" s="164" t="str">
        <f ca="1">IFERROR(__xludf.DUMMYFUNCTION("""COMPUTED_VALUE"""),"SERVICEABLE")</f>
        <v>SERVICEABLE</v>
      </c>
      <c r="N2542" s="164"/>
    </row>
    <row r="2543" spans="1:14" ht="13.2" hidden="1">
      <c r="A2543" s="164" t="str">
        <f ca="1">IFERROR(__xludf.DUMMYFUNCTION("""COMPUTED_VALUE"""),"Region VI")</f>
        <v>Region VI</v>
      </c>
      <c r="B2543" s="164" t="str">
        <f ca="1">IFERROR(__xludf.DUMMYFUNCTION("""COMPUTED_VALUE"""),"CAPIZ")</f>
        <v>CAPIZ</v>
      </c>
      <c r="C2543" s="164" t="str">
        <f ca="1">IFERROR(__xludf.DUMMYFUNCTION("""COMPUTED_VALUE"""),"Motorcycle – (Honda XRL 150)")</f>
        <v>Motorcycle – (Honda XRL 150)</v>
      </c>
      <c r="D2543" s="164" t="str">
        <f ca="1">IFERROR(__xludf.DUMMYFUNCTION("""COMPUTED_VALUE"""),"₱ 124,900.00")</f>
        <v>₱ 124,900.00</v>
      </c>
      <c r="E2543" s="164" t="str">
        <f ca="1">IFERROR(__xludf.DUMMYFUNCTION("""COMPUTED_VALUE"""),"₱ -")</f>
        <v>₱ -</v>
      </c>
      <c r="F2543" s="164" t="str">
        <f ca="1">IFERROR(__xludf.DUMMYFUNCTION("""COMPUTED_VALUE"""),"2023-06-01-10202SP279-01")</f>
        <v>2023-06-01-10202SP279-01</v>
      </c>
      <c r="G2543" s="164" t="str">
        <f ca="1">IFERROR(__xludf.DUMMYFUNCTION("""COMPUTED_VALUE"""),"no plate available")</f>
        <v>no plate available</v>
      </c>
      <c r="H2543" s="164" t="str">
        <f ca="1">IFERROR(__xludf.DUMMYFUNCTION("""COMPUTED_VALUE"""),"VERNEL F. FUTOLAN")</f>
        <v>VERNEL F. FUTOLAN</v>
      </c>
      <c r="I2543" s="164" t="str">
        <f ca="1">IFERROR(__xludf.DUMMYFUNCTION("""COMPUTED_VALUE"""),"ARPT")</f>
        <v>ARPT</v>
      </c>
      <c r="J2543" s="164" t="str">
        <f ca="1">IFERROR(__xludf.DUMMYFUNCTION("""COMPUTED_VALUE"""),"2023-05-0010")</f>
        <v>2023-05-0010</v>
      </c>
      <c r="K2543" s="164" t="str">
        <f ca="1">IFERROR(__xludf.DUMMYFUNCTION("""COMPUTED_VALUE"""),"VERNEL F. FUTOLAN")</f>
        <v>VERNEL F. FUTOLAN</v>
      </c>
      <c r="L2543" s="164" t="str">
        <f ca="1">IFERROR(__xludf.DUMMYFUNCTION("""COMPUTED_VALUE"""),"DARMO-TAPAZ")</f>
        <v>DARMO-TAPAZ</v>
      </c>
      <c r="M2543" s="164" t="str">
        <f ca="1">IFERROR(__xludf.DUMMYFUNCTION("""COMPUTED_VALUE"""),"SERVICEABLE")</f>
        <v>SERVICEABLE</v>
      </c>
      <c r="N2543" s="164"/>
    </row>
    <row r="2544" spans="1:14" ht="13.2" hidden="1">
      <c r="A2544" s="164" t="str">
        <f ca="1">IFERROR(__xludf.DUMMYFUNCTION("""COMPUTED_VALUE"""),"Region VI")</f>
        <v>Region VI</v>
      </c>
      <c r="B2544" s="164" t="str">
        <f ca="1">IFERROR(__xludf.DUMMYFUNCTION("""COMPUTED_VALUE"""),"CAPIZ")</f>
        <v>CAPIZ</v>
      </c>
      <c r="C2544" s="164" t="str">
        <f ca="1">IFERROR(__xludf.DUMMYFUNCTION("""COMPUTED_VALUE"""),"Double Cabin Pick-up Vehicles – Mitsubishi Strada")</f>
        <v>Double Cabin Pick-up Vehicles – Mitsubishi Strada</v>
      </c>
      <c r="D2544" s="164" t="str">
        <f ca="1">IFERROR(__xludf.DUMMYFUNCTION("""COMPUTED_VALUE"""),"₱ 1,752,400.00")</f>
        <v>₱ 1,752,400.00</v>
      </c>
      <c r="E2544" s="164" t="str">
        <f ca="1">IFERROR(__xludf.DUMMYFUNCTION("""COMPUTED_VALUE"""),"₱ -")</f>
        <v>₱ -</v>
      </c>
      <c r="F2544" s="164" t="str">
        <f ca="1">IFERROR(__xludf.DUMMYFUNCTION("""COMPUTED_VALUE"""),"2023-06-01-102001SP89-01")</f>
        <v>2023-06-01-102001SP89-01</v>
      </c>
      <c r="G2544" s="164" t="str">
        <f ca="1">IFERROR(__xludf.DUMMYFUNCTION("""COMPUTED_VALUE"""),"SNC 1059")</f>
        <v>SNC 1059</v>
      </c>
      <c r="H2544" s="164" t="str">
        <f ca="1">IFERROR(__xludf.DUMMYFUNCTION("""COMPUTED_VALUE"""),"MA. RONALYN D. CAÑAS")</f>
        <v>MA. RONALYN D. CAÑAS</v>
      </c>
      <c r="I2544" s="164" t="str">
        <f ca="1">IFERROR(__xludf.DUMMYFUNCTION("""COMPUTED_VALUE"""),"AO IV / PROVINCIAL PROJECT PROCUREMENT OFFICER")</f>
        <v>AO IV / PROVINCIAL PROJECT PROCUREMENT OFFICER</v>
      </c>
      <c r="J2544" s="164" t="str">
        <f ca="1">IFERROR(__xludf.DUMMYFUNCTION("""COMPUTED_VALUE"""),"2023-10-0035")</f>
        <v>2023-10-0035</v>
      </c>
      <c r="K2544" s="164" t="str">
        <f ca="1">IFERROR(__xludf.DUMMYFUNCTION("""COMPUTED_VALUE"""),"MA. RONALYN D. CAÑAS")</f>
        <v>MA. RONALYN D. CAÑAS</v>
      </c>
      <c r="L2544" s="164" t="str">
        <f ca="1">IFERROR(__xludf.DUMMYFUNCTION("""COMPUTED_VALUE"""),"GSS/STOD")</f>
        <v>GSS/STOD</v>
      </c>
      <c r="M2544" s="164" t="str">
        <f ca="1">IFERROR(__xludf.DUMMYFUNCTION("""COMPUTED_VALUE"""),"SERVICEABLE")</f>
        <v>SERVICEABLE</v>
      </c>
      <c r="N2544" s="164"/>
    </row>
    <row r="2545" spans="1:14" ht="13.2" hidden="1">
      <c r="A2545" s="164" t="str">
        <f ca="1">IFERROR(__xludf.DUMMYFUNCTION("""COMPUTED_VALUE"""),"Region VI")</f>
        <v>Region VI</v>
      </c>
      <c r="B2545" s="164" t="str">
        <f ca="1">IFERROR(__xludf.DUMMYFUNCTION("""COMPUTED_VALUE"""),"ANTIQUE")</f>
        <v>ANTIQUE</v>
      </c>
      <c r="C2545" s="164" t="str">
        <f ca="1">IFERROR(__xludf.DUMMYFUNCTION("""COMPUTED_VALUE"""),"Motorcycle – (Honda XRL 150)")</f>
        <v>Motorcycle – (Honda XRL 150)</v>
      </c>
      <c r="D2545" s="164" t="str">
        <f ca="1">IFERROR(__xludf.DUMMYFUNCTION("""COMPUTED_VALUE"""),"₱ 124,900.00")</f>
        <v>₱ 124,900.00</v>
      </c>
      <c r="E2545" s="164" t="str">
        <f ca="1">IFERROR(__xludf.DUMMYFUNCTION("""COMPUTED_VALUE"""),"₱ -")</f>
        <v>₱ -</v>
      </c>
      <c r="F2545" s="164" t="str">
        <f ca="1">IFERROR(__xludf.DUMMYFUNCTION("""COMPUTED_VALUE"""),"2023-06-01-10202SP255-01")</f>
        <v>2023-06-01-10202SP255-01</v>
      </c>
      <c r="G2545" s="164" t="str">
        <f ca="1">IFERROR(__xludf.DUMMYFUNCTION("""COMPUTED_VALUE"""),"no plate available")</f>
        <v>no plate available</v>
      </c>
      <c r="H2545" s="164" t="str">
        <f ca="1">IFERROR(__xludf.DUMMYFUNCTION("""COMPUTED_VALUE"""),"GIL P. TORDESILLAS")</f>
        <v>GIL P. TORDESILLAS</v>
      </c>
      <c r="I2545" s="164" t="str">
        <f ca="1">IFERROR(__xludf.DUMMYFUNCTION("""COMPUTED_VALUE"""),"SARPTECH")</f>
        <v>SARPTECH</v>
      </c>
      <c r="J2545" s="164" t="str">
        <f ca="1">IFERROR(__xludf.DUMMYFUNCTION("""COMPUTED_VALUE"""),"2023-06-01-001")</f>
        <v>2023-06-01-001</v>
      </c>
      <c r="K2545" s="164" t="str">
        <f ca="1">IFERROR(__xludf.DUMMYFUNCTION("""COMPUTED_VALUE"""),"GIL P. TORDESILLAS")</f>
        <v>GIL P. TORDESILLAS</v>
      </c>
      <c r="L2545" s="164" t="str">
        <f ca="1">IFERROR(__xludf.DUMMYFUNCTION("""COMPUTED_VALUE"""),"DARMO Cluster 7")</f>
        <v>DARMO Cluster 7</v>
      </c>
      <c r="M2545" s="164" t="str">
        <f ca="1">IFERROR(__xludf.DUMMYFUNCTION("""COMPUTED_VALUE"""),"SERVICEABLE")</f>
        <v>SERVICEABLE</v>
      </c>
      <c r="N2545" s="164"/>
    </row>
    <row r="2546" spans="1:14" ht="13.2" hidden="1">
      <c r="A2546" s="164" t="str">
        <f ca="1">IFERROR(__xludf.DUMMYFUNCTION("""COMPUTED_VALUE"""),"Region VI")</f>
        <v>Region VI</v>
      </c>
      <c r="B2546" s="164" t="str">
        <f ca="1">IFERROR(__xludf.DUMMYFUNCTION("""COMPUTED_VALUE"""),"ANTIQUE")</f>
        <v>ANTIQUE</v>
      </c>
      <c r="C2546" s="164" t="str">
        <f ca="1">IFERROR(__xludf.DUMMYFUNCTION("""COMPUTED_VALUE"""),"Motorcycle – (Honda XRL 150)")</f>
        <v>Motorcycle – (Honda XRL 150)</v>
      </c>
      <c r="D2546" s="164" t="str">
        <f ca="1">IFERROR(__xludf.DUMMYFUNCTION("""COMPUTED_VALUE"""),"₱ 124,900.00")</f>
        <v>₱ 124,900.00</v>
      </c>
      <c r="E2546" s="164" t="str">
        <f ca="1">IFERROR(__xludf.DUMMYFUNCTION("""COMPUTED_VALUE"""),"₱ -")</f>
        <v>₱ -</v>
      </c>
      <c r="F2546" s="164" t="str">
        <f ca="1">IFERROR(__xludf.DUMMYFUNCTION("""COMPUTED_VALUE"""),"2023-06-01-10202SP256-01")</f>
        <v>2023-06-01-10202SP256-01</v>
      </c>
      <c r="G2546" s="164" t="str">
        <f ca="1">IFERROR(__xludf.DUMMYFUNCTION("""COMPUTED_VALUE"""),"no plate available")</f>
        <v>no plate available</v>
      </c>
      <c r="H2546" s="164" t="str">
        <f ca="1">IFERROR(__xludf.DUMMYFUNCTION("""COMPUTED_VALUE"""),"ANGELO C. FEBRERO")</f>
        <v>ANGELO C. FEBRERO</v>
      </c>
      <c r="I2546" s="164" t="str">
        <f ca="1">IFERROR(__xludf.DUMMYFUNCTION("""COMPUTED_VALUE"""),"Planning Officer IV/M &amp; E Coordinator")</f>
        <v>Planning Officer IV/M &amp; E Coordinator</v>
      </c>
      <c r="J2546" s="164" t="str">
        <f ca="1">IFERROR(__xludf.DUMMYFUNCTION("""COMPUTED_VALUE"""),"2023-06-01-002")</f>
        <v>2023-06-01-002</v>
      </c>
      <c r="K2546" s="164" t="str">
        <f ca="1">IFERROR(__xludf.DUMMYFUNCTION("""COMPUTED_VALUE"""),"ANGELO C. FEBRERO")</f>
        <v>ANGELO C. FEBRERO</v>
      </c>
      <c r="L2546" s="164" t="str">
        <f ca="1">IFERROR(__xludf.DUMMYFUNCTION("""COMPUTED_VALUE"""),"DARPO-STOD")</f>
        <v>DARPO-STOD</v>
      </c>
      <c r="M2546" s="164" t="str">
        <f ca="1">IFERROR(__xludf.DUMMYFUNCTION("""COMPUTED_VALUE"""),"SERVICEABLE")</f>
        <v>SERVICEABLE</v>
      </c>
      <c r="N2546" s="164"/>
    </row>
    <row r="2547" spans="1:14" ht="13.2" hidden="1">
      <c r="A2547" s="164" t="str">
        <f ca="1">IFERROR(__xludf.DUMMYFUNCTION("""COMPUTED_VALUE"""),"Region VI")</f>
        <v>Region VI</v>
      </c>
      <c r="B2547" s="164" t="str">
        <f ca="1">IFERROR(__xludf.DUMMYFUNCTION("""COMPUTED_VALUE"""),"ANTIQUE")</f>
        <v>ANTIQUE</v>
      </c>
      <c r="C2547" s="164" t="str">
        <f ca="1">IFERROR(__xludf.DUMMYFUNCTION("""COMPUTED_VALUE"""),"Motorcycle – (Honda XRL 150)")</f>
        <v>Motorcycle – (Honda XRL 150)</v>
      </c>
      <c r="D2547" s="164" t="str">
        <f ca="1">IFERROR(__xludf.DUMMYFUNCTION("""COMPUTED_VALUE"""),"₱ 124,900.00")</f>
        <v>₱ 124,900.00</v>
      </c>
      <c r="E2547" s="164" t="str">
        <f ca="1">IFERROR(__xludf.DUMMYFUNCTION("""COMPUTED_VALUE"""),"₱ -")</f>
        <v>₱ -</v>
      </c>
      <c r="F2547" s="164" t="str">
        <f ca="1">IFERROR(__xludf.DUMMYFUNCTION("""COMPUTED_VALUE"""),"2023-06-01-10202SP257-01")</f>
        <v>2023-06-01-10202SP257-01</v>
      </c>
      <c r="G2547" s="164" t="str">
        <f ca="1">IFERROR(__xludf.DUMMYFUNCTION("""COMPUTED_VALUE"""),"no plate available")</f>
        <v>no plate available</v>
      </c>
      <c r="H2547" s="164" t="str">
        <f ca="1">IFERROR(__xludf.DUMMYFUNCTION("""COMPUTED_VALUE"""),"MARY FAITH G. SERRA")</f>
        <v>MARY FAITH G. SERRA</v>
      </c>
      <c r="I2547" s="164" t="str">
        <f ca="1">IFERROR(__xludf.DUMMYFUNCTION("""COMPUTED_VALUE"""),"ARPTECH")</f>
        <v>ARPTECH</v>
      </c>
      <c r="J2547" s="164" t="str">
        <f ca="1">IFERROR(__xludf.DUMMYFUNCTION("""COMPUTED_VALUE"""),"2023-06-01-003")</f>
        <v>2023-06-01-003</v>
      </c>
      <c r="K2547" s="164" t="str">
        <f ca="1">IFERROR(__xludf.DUMMYFUNCTION("""COMPUTED_VALUE"""),"MARY FAITH G. SERRA")</f>
        <v>MARY FAITH G. SERRA</v>
      </c>
      <c r="L2547" s="164" t="str">
        <f ca="1">IFERROR(__xludf.DUMMYFUNCTION("""COMPUTED_VALUE"""),"DARMO Cluster 2")</f>
        <v>DARMO Cluster 2</v>
      </c>
      <c r="M2547" s="164" t="str">
        <f ca="1">IFERROR(__xludf.DUMMYFUNCTION("""COMPUTED_VALUE"""),"SERVICEABLE")</f>
        <v>SERVICEABLE</v>
      </c>
      <c r="N2547" s="164"/>
    </row>
    <row r="2548" spans="1:14" ht="13.2" hidden="1">
      <c r="A2548" s="164" t="str">
        <f ca="1">IFERROR(__xludf.DUMMYFUNCTION("""COMPUTED_VALUE"""),"Region VI")</f>
        <v>Region VI</v>
      </c>
      <c r="B2548" s="164" t="str">
        <f ca="1">IFERROR(__xludf.DUMMYFUNCTION("""COMPUTED_VALUE"""),"ANTIQUE")</f>
        <v>ANTIQUE</v>
      </c>
      <c r="C2548" s="164" t="str">
        <f ca="1">IFERROR(__xludf.DUMMYFUNCTION("""COMPUTED_VALUE"""),"Motorcycle – (Honda XRL 150)")</f>
        <v>Motorcycle – (Honda XRL 150)</v>
      </c>
      <c r="D2548" s="164" t="str">
        <f ca="1">IFERROR(__xludf.DUMMYFUNCTION("""COMPUTED_VALUE"""),"₱ 124,900.00")</f>
        <v>₱ 124,900.00</v>
      </c>
      <c r="E2548" s="164" t="str">
        <f ca="1">IFERROR(__xludf.DUMMYFUNCTION("""COMPUTED_VALUE"""),"₱ -")</f>
        <v>₱ -</v>
      </c>
      <c r="F2548" s="164" t="str">
        <f ca="1">IFERROR(__xludf.DUMMYFUNCTION("""COMPUTED_VALUE"""),"2023-06-01-10202SP258-01")</f>
        <v>2023-06-01-10202SP258-01</v>
      </c>
      <c r="G2548" s="164" t="str">
        <f ca="1">IFERROR(__xludf.DUMMYFUNCTION("""COMPUTED_VALUE"""),"no plate available")</f>
        <v>no plate available</v>
      </c>
      <c r="H2548" s="164" t="str">
        <f ca="1">IFERROR(__xludf.DUMMYFUNCTION("""COMPUTED_VALUE"""),"JOSE BERNIE G. SANTILLAN")</f>
        <v>JOSE BERNIE G. SANTILLAN</v>
      </c>
      <c r="I2548" s="164" t="str">
        <f ca="1">IFERROR(__xludf.DUMMYFUNCTION("""COMPUTED_VALUE"""),"ARPTECH")</f>
        <v>ARPTECH</v>
      </c>
      <c r="J2548" s="164" t="str">
        <f ca="1">IFERROR(__xludf.DUMMYFUNCTION("""COMPUTED_VALUE"""),"2023-06-01-004")</f>
        <v>2023-06-01-004</v>
      </c>
      <c r="K2548" s="164" t="str">
        <f ca="1">IFERROR(__xludf.DUMMYFUNCTION("""COMPUTED_VALUE"""),"JOSE BERNIE G. SANTILLAN")</f>
        <v>JOSE BERNIE G. SANTILLAN</v>
      </c>
      <c r="L2548" s="164" t="str">
        <f ca="1">IFERROR(__xludf.DUMMYFUNCTION("""COMPUTED_VALUE"""),"DARMO-Cluster 1")</f>
        <v>DARMO-Cluster 1</v>
      </c>
      <c r="M2548" s="164" t="str">
        <f ca="1">IFERROR(__xludf.DUMMYFUNCTION("""COMPUTED_VALUE"""),"SERVICEABLE")</f>
        <v>SERVICEABLE</v>
      </c>
      <c r="N2548" s="164"/>
    </row>
    <row r="2549" spans="1:14" ht="13.2" hidden="1">
      <c r="A2549" s="164" t="str">
        <f ca="1">IFERROR(__xludf.DUMMYFUNCTION("""COMPUTED_VALUE"""),"Region VI")</f>
        <v>Region VI</v>
      </c>
      <c r="B2549" s="164" t="str">
        <f ca="1">IFERROR(__xludf.DUMMYFUNCTION("""COMPUTED_VALUE"""),"ANTIQUE")</f>
        <v>ANTIQUE</v>
      </c>
      <c r="C2549" s="164" t="str">
        <f ca="1">IFERROR(__xludf.DUMMYFUNCTION("""COMPUTED_VALUE"""),"Motorcycle – (Honda XRL 150)")</f>
        <v>Motorcycle – (Honda XRL 150)</v>
      </c>
      <c r="D2549" s="164" t="str">
        <f ca="1">IFERROR(__xludf.DUMMYFUNCTION("""COMPUTED_VALUE"""),"₱ 124,900.00")</f>
        <v>₱ 124,900.00</v>
      </c>
      <c r="E2549" s="164" t="str">
        <f ca="1">IFERROR(__xludf.DUMMYFUNCTION("""COMPUTED_VALUE"""),"₱ -")</f>
        <v>₱ -</v>
      </c>
      <c r="F2549" s="164" t="str">
        <f ca="1">IFERROR(__xludf.DUMMYFUNCTION("""COMPUTED_VALUE"""),"2023-06-01-10202SP259-01")</f>
        <v>2023-06-01-10202SP259-01</v>
      </c>
      <c r="G2549" s="164" t="str">
        <f ca="1">IFERROR(__xludf.DUMMYFUNCTION("""COMPUTED_VALUE"""),"no plate available")</f>
        <v>no plate available</v>
      </c>
      <c r="H2549" s="164" t="str">
        <f ca="1">IFERROR(__xludf.DUMMYFUNCTION("""COMPUTED_VALUE"""),"OLIVER M. NADONG")</f>
        <v>OLIVER M. NADONG</v>
      </c>
      <c r="I2549" s="164" t="str">
        <f ca="1">IFERROR(__xludf.DUMMYFUNCTION("""COMPUTED_VALUE"""),"ARPO I")</f>
        <v>ARPO I</v>
      </c>
      <c r="J2549" s="164" t="str">
        <f ca="1">IFERROR(__xludf.DUMMYFUNCTION("""COMPUTED_VALUE"""),"2023-06-01-005")</f>
        <v>2023-06-01-005</v>
      </c>
      <c r="K2549" s="164" t="str">
        <f ca="1">IFERROR(__xludf.DUMMYFUNCTION("""COMPUTED_VALUE"""),"OLIVER M. NADONG")</f>
        <v>OLIVER M. NADONG</v>
      </c>
      <c r="L2549" s="164" t="str">
        <f ca="1">IFERROR(__xludf.DUMMYFUNCTION("""COMPUTED_VALUE"""),"DARMO-Cluster 8")</f>
        <v>DARMO-Cluster 8</v>
      </c>
      <c r="M2549" s="164" t="str">
        <f ca="1">IFERROR(__xludf.DUMMYFUNCTION("""COMPUTED_VALUE"""),"SERVICEABLE")</f>
        <v>SERVICEABLE</v>
      </c>
      <c r="N2549" s="164"/>
    </row>
    <row r="2550" spans="1:14" ht="13.2" hidden="1">
      <c r="A2550" s="164" t="str">
        <f ca="1">IFERROR(__xludf.DUMMYFUNCTION("""COMPUTED_VALUE"""),"Region VI")</f>
        <v>Region VI</v>
      </c>
      <c r="B2550" s="164" t="str">
        <f ca="1">IFERROR(__xludf.DUMMYFUNCTION("""COMPUTED_VALUE"""),"ANTIQUE")</f>
        <v>ANTIQUE</v>
      </c>
      <c r="C2550" s="164" t="str">
        <f ca="1">IFERROR(__xludf.DUMMYFUNCTION("""COMPUTED_VALUE"""),"Motorcycle – (Honda XRL 150)")</f>
        <v>Motorcycle – (Honda XRL 150)</v>
      </c>
      <c r="D2550" s="164" t="str">
        <f ca="1">IFERROR(__xludf.DUMMYFUNCTION("""COMPUTED_VALUE"""),"₱ 124,900.00")</f>
        <v>₱ 124,900.00</v>
      </c>
      <c r="E2550" s="164" t="str">
        <f ca="1">IFERROR(__xludf.DUMMYFUNCTION("""COMPUTED_VALUE"""),"₱ -")</f>
        <v>₱ -</v>
      </c>
      <c r="F2550" s="164" t="str">
        <f ca="1">IFERROR(__xludf.DUMMYFUNCTION("""COMPUTED_VALUE"""),"2023-06-01-10202SP260-01")</f>
        <v>2023-06-01-10202SP260-01</v>
      </c>
      <c r="G2550" s="164" t="str">
        <f ca="1">IFERROR(__xludf.DUMMYFUNCTION("""COMPUTED_VALUE"""),"no plate available")</f>
        <v>no plate available</v>
      </c>
      <c r="H2550" s="164" t="str">
        <f ca="1">IFERROR(__xludf.DUMMYFUNCTION("""COMPUTED_VALUE"""),"NOEL B. PAGUNSAN")</f>
        <v>NOEL B. PAGUNSAN</v>
      </c>
      <c r="I2550" s="164" t="str">
        <f ca="1">IFERROR(__xludf.DUMMYFUNCTION("""COMPUTED_VALUE"""),"SARPO-")</f>
        <v>SARPO-</v>
      </c>
      <c r="J2550" s="164" t="str">
        <f ca="1">IFERROR(__xludf.DUMMYFUNCTION("""COMPUTED_VALUE"""),"2023-06-01-006")</f>
        <v>2023-06-01-006</v>
      </c>
      <c r="K2550" s="164" t="str">
        <f ca="1">IFERROR(__xludf.DUMMYFUNCTION("""COMPUTED_VALUE"""),"NOEL B. PAGUNSAN")</f>
        <v>NOEL B. PAGUNSAN</v>
      </c>
      <c r="L2550" s="164" t="str">
        <f ca="1">IFERROR(__xludf.DUMMYFUNCTION("""COMPUTED_VALUE"""),"DARPO-ARBDSP")</f>
        <v>DARPO-ARBDSP</v>
      </c>
      <c r="M2550" s="164" t="str">
        <f ca="1">IFERROR(__xludf.DUMMYFUNCTION("""COMPUTED_VALUE"""),"SERVICEABLE")</f>
        <v>SERVICEABLE</v>
      </c>
      <c r="N2550" s="164"/>
    </row>
    <row r="2551" spans="1:14" ht="13.2" hidden="1">
      <c r="A2551" s="164" t="str">
        <f ca="1">IFERROR(__xludf.DUMMYFUNCTION("""COMPUTED_VALUE"""),"Region VI")</f>
        <v>Region VI</v>
      </c>
      <c r="B2551" s="164" t="str">
        <f ca="1">IFERROR(__xludf.DUMMYFUNCTION("""COMPUTED_VALUE"""),"ANTIQUE")</f>
        <v>ANTIQUE</v>
      </c>
      <c r="C2551" s="164" t="str">
        <f ca="1">IFERROR(__xludf.DUMMYFUNCTION("""COMPUTED_VALUE"""),"Motorcycle – (Honda XRL 150)")</f>
        <v>Motorcycle – (Honda XRL 150)</v>
      </c>
      <c r="D2551" s="164" t="str">
        <f ca="1">IFERROR(__xludf.DUMMYFUNCTION("""COMPUTED_VALUE"""),"₱ 124,900.00")</f>
        <v>₱ 124,900.00</v>
      </c>
      <c r="E2551" s="164" t="str">
        <f ca="1">IFERROR(__xludf.DUMMYFUNCTION("""COMPUTED_VALUE"""),"₱ -")</f>
        <v>₱ -</v>
      </c>
      <c r="F2551" s="164" t="str">
        <f ca="1">IFERROR(__xludf.DUMMYFUNCTION("""COMPUTED_VALUE"""),"2023-06-01-10202SP261-01")</f>
        <v>2023-06-01-10202SP261-01</v>
      </c>
      <c r="G2551" s="164" t="str">
        <f ca="1">IFERROR(__xludf.DUMMYFUNCTION("""COMPUTED_VALUE"""),"no plate available")</f>
        <v>no plate available</v>
      </c>
      <c r="H2551" s="164" t="str">
        <f ca="1">IFERROR(__xludf.DUMMYFUNCTION("""COMPUTED_VALUE"""),"IAN DAVE A. ACUISA")</f>
        <v>IAN DAVE A. ACUISA</v>
      </c>
      <c r="I2551" s="164" t="str">
        <f ca="1">IFERROR(__xludf.DUMMYFUNCTION("""COMPUTED_VALUE"""),"ARPO I/KOBO TOOLBOX Administrator")</f>
        <v>ARPO I/KOBO TOOLBOX Administrator</v>
      </c>
      <c r="J2551" s="164" t="str">
        <f ca="1">IFERROR(__xludf.DUMMYFUNCTION("""COMPUTED_VALUE"""),"2023-06-01-007")</f>
        <v>2023-06-01-007</v>
      </c>
      <c r="K2551" s="164" t="str">
        <f ca="1">IFERROR(__xludf.DUMMYFUNCTION("""COMPUTED_VALUE"""),"IAN DAVE A. ACUISA")</f>
        <v>IAN DAVE A. ACUISA</v>
      </c>
      <c r="L2551" s="164" t="str">
        <f ca="1">IFERROR(__xludf.DUMMYFUNCTION("""COMPUTED_VALUE"""),"DARPO-OFFICE OF THE PARPO II")</f>
        <v>DARPO-OFFICE OF THE PARPO II</v>
      </c>
      <c r="M2551" s="164" t="str">
        <f ca="1">IFERROR(__xludf.DUMMYFUNCTION("""COMPUTED_VALUE"""),"SERVICEABLE")</f>
        <v>SERVICEABLE</v>
      </c>
      <c r="N2551" s="164"/>
    </row>
    <row r="2552" spans="1:14" ht="13.2" hidden="1">
      <c r="A2552" s="164" t="str">
        <f ca="1">IFERROR(__xludf.DUMMYFUNCTION("""COMPUTED_VALUE"""),"Region VI")</f>
        <v>Region VI</v>
      </c>
      <c r="B2552" s="164" t="str">
        <f ca="1">IFERROR(__xludf.DUMMYFUNCTION("""COMPUTED_VALUE"""),"ANTIQUE")</f>
        <v>ANTIQUE</v>
      </c>
      <c r="C2552" s="164" t="str">
        <f ca="1">IFERROR(__xludf.DUMMYFUNCTION("""COMPUTED_VALUE"""),"Motorcycle – (Honda XRL 150)")</f>
        <v>Motorcycle – (Honda XRL 150)</v>
      </c>
      <c r="D2552" s="164" t="str">
        <f ca="1">IFERROR(__xludf.DUMMYFUNCTION("""COMPUTED_VALUE"""),"₱ 124,900.00")</f>
        <v>₱ 124,900.00</v>
      </c>
      <c r="E2552" s="164" t="str">
        <f ca="1">IFERROR(__xludf.DUMMYFUNCTION("""COMPUTED_VALUE"""),"₱ -")</f>
        <v>₱ -</v>
      </c>
      <c r="F2552" s="164" t="str">
        <f ca="1">IFERROR(__xludf.DUMMYFUNCTION("""COMPUTED_VALUE"""),"2023-06-01-10202SP262-01")</f>
        <v>2023-06-01-10202SP262-01</v>
      </c>
      <c r="G2552" s="164" t="str">
        <f ca="1">IFERROR(__xludf.DUMMYFUNCTION("""COMPUTED_VALUE"""),"no plate available")</f>
        <v>no plate available</v>
      </c>
      <c r="H2552" s="164" t="str">
        <f ca="1">IFERROR(__xludf.DUMMYFUNCTION("""COMPUTED_VALUE"""),"PAT ALVIN S. CONIENDO")</f>
        <v>PAT ALVIN S. CONIENDO</v>
      </c>
      <c r="I2552" s="164" t="str">
        <f ca="1">IFERROR(__xludf.DUMMYFUNCTION("""COMPUTED_VALUE"""),"ARPTECH")</f>
        <v>ARPTECH</v>
      </c>
      <c r="J2552" s="164" t="str">
        <f ca="1">IFERROR(__xludf.DUMMYFUNCTION("""COMPUTED_VALUE"""),"2023-06-01-008")</f>
        <v>2023-06-01-008</v>
      </c>
      <c r="K2552" s="164" t="str">
        <f ca="1">IFERROR(__xludf.DUMMYFUNCTION("""COMPUTED_VALUE"""),"PAT ALVIN S. CONIENDO")</f>
        <v>PAT ALVIN S. CONIENDO</v>
      </c>
      <c r="L2552" s="164" t="str">
        <f ca="1">IFERROR(__xludf.DUMMYFUNCTION("""COMPUTED_VALUE"""),"DARMO-Cluster 6")</f>
        <v>DARMO-Cluster 6</v>
      </c>
      <c r="M2552" s="164" t="str">
        <f ca="1">IFERROR(__xludf.DUMMYFUNCTION("""COMPUTED_VALUE"""),"SERVICEABLE")</f>
        <v>SERVICEABLE</v>
      </c>
      <c r="N2552" s="164"/>
    </row>
    <row r="2553" spans="1:14" ht="13.2" hidden="1">
      <c r="A2553" s="164" t="str">
        <f ca="1">IFERROR(__xludf.DUMMYFUNCTION("""COMPUTED_VALUE"""),"Region VI")</f>
        <v>Region VI</v>
      </c>
      <c r="B2553" s="164" t="str">
        <f ca="1">IFERROR(__xludf.DUMMYFUNCTION("""COMPUTED_VALUE"""),"ANTIQUE")</f>
        <v>ANTIQUE</v>
      </c>
      <c r="C2553" s="164" t="str">
        <f ca="1">IFERROR(__xludf.DUMMYFUNCTION("""COMPUTED_VALUE"""),"Motorcycle – (Honda XRL 150)")</f>
        <v>Motorcycle – (Honda XRL 150)</v>
      </c>
      <c r="D2553" s="164" t="str">
        <f ca="1">IFERROR(__xludf.DUMMYFUNCTION("""COMPUTED_VALUE"""),"₱ 124,900.00")</f>
        <v>₱ 124,900.00</v>
      </c>
      <c r="E2553" s="164" t="str">
        <f ca="1">IFERROR(__xludf.DUMMYFUNCTION("""COMPUTED_VALUE"""),"₱ -")</f>
        <v>₱ -</v>
      </c>
      <c r="F2553" s="164" t="str">
        <f ca="1">IFERROR(__xludf.DUMMYFUNCTION("""COMPUTED_VALUE"""),"2023-06-01-10202SP263-01")</f>
        <v>2023-06-01-10202SP263-01</v>
      </c>
      <c r="G2553" s="164" t="str">
        <f ca="1">IFERROR(__xludf.DUMMYFUNCTION("""COMPUTED_VALUE"""),"no plate available")</f>
        <v>no plate available</v>
      </c>
      <c r="H2553" s="164" t="str">
        <f ca="1">IFERROR(__xludf.DUMMYFUNCTION("""COMPUTED_VALUE"""),"RONALYN FAITH V. SORIANO")</f>
        <v>RONALYN FAITH V. SORIANO</v>
      </c>
      <c r="I2553" s="164" t="str">
        <f ca="1">IFERROR(__xludf.DUMMYFUNCTION("""COMPUTED_VALUE"""),"ARPTECH")</f>
        <v>ARPTECH</v>
      </c>
      <c r="J2553" s="164" t="str">
        <f ca="1">IFERROR(__xludf.DUMMYFUNCTION("""COMPUTED_VALUE"""),"2023-06-01-009")</f>
        <v>2023-06-01-009</v>
      </c>
      <c r="K2553" s="164" t="str">
        <f ca="1">IFERROR(__xludf.DUMMYFUNCTION("""COMPUTED_VALUE"""),"RONALYN FAITH V. SORIANO")</f>
        <v>RONALYN FAITH V. SORIANO</v>
      </c>
      <c r="L2553" s="164" t="str">
        <f ca="1">IFERROR(__xludf.DUMMYFUNCTION("""COMPUTED_VALUE"""),"DARMO-Cluster 7")</f>
        <v>DARMO-Cluster 7</v>
      </c>
      <c r="M2553" s="164" t="str">
        <f ca="1">IFERROR(__xludf.DUMMYFUNCTION("""COMPUTED_VALUE"""),"SERVICEABLE")</f>
        <v>SERVICEABLE</v>
      </c>
      <c r="N2553" s="164"/>
    </row>
    <row r="2554" spans="1:14" ht="13.2" hidden="1">
      <c r="A2554" s="164" t="str">
        <f ca="1">IFERROR(__xludf.DUMMYFUNCTION("""COMPUTED_VALUE"""),"Region VI")</f>
        <v>Region VI</v>
      </c>
      <c r="B2554" s="164" t="str">
        <f ca="1">IFERROR(__xludf.DUMMYFUNCTION("""COMPUTED_VALUE"""),"ANTIQUE")</f>
        <v>ANTIQUE</v>
      </c>
      <c r="C2554" s="164" t="str">
        <f ca="1">IFERROR(__xludf.DUMMYFUNCTION("""COMPUTED_VALUE"""),"Motorcycle – (Honda XRL 150)")</f>
        <v>Motorcycle – (Honda XRL 150)</v>
      </c>
      <c r="D2554" s="164" t="str">
        <f ca="1">IFERROR(__xludf.DUMMYFUNCTION("""COMPUTED_VALUE"""),"₱ 124,900.00")</f>
        <v>₱ 124,900.00</v>
      </c>
      <c r="E2554" s="164" t="str">
        <f ca="1">IFERROR(__xludf.DUMMYFUNCTION("""COMPUTED_VALUE"""),"₱ -")</f>
        <v>₱ -</v>
      </c>
      <c r="F2554" s="164" t="str">
        <f ca="1">IFERROR(__xludf.DUMMYFUNCTION("""COMPUTED_VALUE"""),"2023-06-01-10202SP264-01")</f>
        <v>2023-06-01-10202SP264-01</v>
      </c>
      <c r="G2554" s="164" t="str">
        <f ca="1">IFERROR(__xludf.DUMMYFUNCTION("""COMPUTED_VALUE"""),"no plate available")</f>
        <v>no plate available</v>
      </c>
      <c r="H2554" s="164" t="str">
        <f ca="1">IFERROR(__xludf.DUMMYFUNCTION("""COMPUTED_VALUE"""),"JOSHUA G. PANALIGAN")</f>
        <v>JOSHUA G. PANALIGAN</v>
      </c>
      <c r="I2554" s="164" t="str">
        <f ca="1">IFERROR(__xludf.DUMMYFUNCTION("""COMPUTED_VALUE"""),"SARPTECH")</f>
        <v>SARPTECH</v>
      </c>
      <c r="J2554" s="164" t="str">
        <f ca="1">IFERROR(__xludf.DUMMYFUNCTION("""COMPUTED_VALUE"""),"2023-06-01-010")</f>
        <v>2023-06-01-010</v>
      </c>
      <c r="K2554" s="164" t="str">
        <f ca="1">IFERROR(__xludf.DUMMYFUNCTION("""COMPUTED_VALUE"""),"JOSHUA G. PANALIGAN")</f>
        <v>JOSHUA G. PANALIGAN</v>
      </c>
      <c r="L2554" s="164" t="str">
        <f ca="1">IFERROR(__xludf.DUMMYFUNCTION("""COMPUTED_VALUE"""),"DARMO-Cluster 3")</f>
        <v>DARMO-Cluster 3</v>
      </c>
      <c r="M2554" s="164" t="str">
        <f ca="1">IFERROR(__xludf.DUMMYFUNCTION("""COMPUTED_VALUE"""),"SERVICEABLE")</f>
        <v>SERVICEABLE</v>
      </c>
      <c r="N2554" s="164"/>
    </row>
    <row r="2555" spans="1:14" ht="13.2" hidden="1">
      <c r="A2555" s="164" t="str">
        <f ca="1">IFERROR(__xludf.DUMMYFUNCTION("""COMPUTED_VALUE"""),"Region VI")</f>
        <v>Region VI</v>
      </c>
      <c r="B2555" s="164" t="str">
        <f ca="1">IFERROR(__xludf.DUMMYFUNCTION("""COMPUTED_VALUE"""),"ANTIQUE")</f>
        <v>ANTIQUE</v>
      </c>
      <c r="C2555" s="164" t="str">
        <f ca="1">IFERROR(__xludf.DUMMYFUNCTION("""COMPUTED_VALUE"""),"Motorcycle – (Honda XRL 150)")</f>
        <v>Motorcycle – (Honda XRL 150)</v>
      </c>
      <c r="D2555" s="164" t="str">
        <f ca="1">IFERROR(__xludf.DUMMYFUNCTION("""COMPUTED_VALUE"""),"₱ 124,900.00")</f>
        <v>₱ 124,900.00</v>
      </c>
      <c r="E2555" s="164" t="str">
        <f ca="1">IFERROR(__xludf.DUMMYFUNCTION("""COMPUTED_VALUE"""),"₱ -")</f>
        <v>₱ -</v>
      </c>
      <c r="F2555" s="164" t="str">
        <f ca="1">IFERROR(__xludf.DUMMYFUNCTION("""COMPUTED_VALUE"""),"2023-06-01-10202SP265-01")</f>
        <v>2023-06-01-10202SP265-01</v>
      </c>
      <c r="G2555" s="164" t="str">
        <f ca="1">IFERROR(__xludf.DUMMYFUNCTION("""COMPUTED_VALUE"""),"no plate available")</f>
        <v>no plate available</v>
      </c>
      <c r="H2555" s="164" t="str">
        <f ca="1">IFERROR(__xludf.DUMMYFUNCTION("""COMPUTED_VALUE"""),"MIGUEL G. JOSE III")</f>
        <v>MIGUEL G. JOSE III</v>
      </c>
      <c r="I2555" s="164" t="str">
        <f ca="1">IFERROR(__xludf.DUMMYFUNCTION("""COMPUTED_VALUE"""),"ADMIN. AIDE VI (Procurement section)")</f>
        <v>ADMIN. AIDE VI (Procurement section)</v>
      </c>
      <c r="J2555" s="164" t="str">
        <f ca="1">IFERROR(__xludf.DUMMYFUNCTION("""COMPUTED_VALUE"""),"2023-06-01-011")</f>
        <v>2023-06-01-011</v>
      </c>
      <c r="K2555" s="164" t="str">
        <f ca="1">IFERROR(__xludf.DUMMYFUNCTION("""COMPUTED_VALUE"""),"MIGUEL G. JOSE III")</f>
        <v>MIGUEL G. JOSE III</v>
      </c>
      <c r="L2555" s="164" t="str">
        <f ca="1">IFERROR(__xludf.DUMMYFUNCTION("""COMPUTED_VALUE"""),"DARPO-STOD")</f>
        <v>DARPO-STOD</v>
      </c>
      <c r="M2555" s="164" t="str">
        <f ca="1">IFERROR(__xludf.DUMMYFUNCTION("""COMPUTED_VALUE"""),"SERVICEABLE")</f>
        <v>SERVICEABLE</v>
      </c>
      <c r="N2555" s="164"/>
    </row>
    <row r="2556" spans="1:14" ht="13.2" hidden="1">
      <c r="A2556" s="164" t="str">
        <f ca="1">IFERROR(__xludf.DUMMYFUNCTION("""COMPUTED_VALUE"""),"Region VI")</f>
        <v>Region VI</v>
      </c>
      <c r="B2556" s="164" t="str">
        <f ca="1">IFERROR(__xludf.DUMMYFUNCTION("""COMPUTED_VALUE"""),"ANTIQUE")</f>
        <v>ANTIQUE</v>
      </c>
      <c r="C2556" s="164" t="str">
        <f ca="1">IFERROR(__xludf.DUMMYFUNCTION("""COMPUTED_VALUE"""),"Motorcycle – (Honda XRL 150)")</f>
        <v>Motorcycle – (Honda XRL 150)</v>
      </c>
      <c r="D2556" s="164" t="str">
        <f ca="1">IFERROR(__xludf.DUMMYFUNCTION("""COMPUTED_VALUE"""),"₱ 124,900.00")</f>
        <v>₱ 124,900.00</v>
      </c>
      <c r="E2556" s="164" t="str">
        <f ca="1">IFERROR(__xludf.DUMMYFUNCTION("""COMPUTED_VALUE"""),"₱ -")</f>
        <v>₱ -</v>
      </c>
      <c r="F2556" s="164" t="str">
        <f ca="1">IFERROR(__xludf.DUMMYFUNCTION("""COMPUTED_VALUE"""),"2023-06-01-10202SP266-01")</f>
        <v>2023-06-01-10202SP266-01</v>
      </c>
      <c r="G2556" s="164" t="str">
        <f ca="1">IFERROR(__xludf.DUMMYFUNCTION("""COMPUTED_VALUE"""),"no plate available")</f>
        <v>no plate available</v>
      </c>
      <c r="H2556" s="164" t="str">
        <f ca="1">IFERROR(__xludf.DUMMYFUNCTION("""COMPUTED_VALUE"""),"CRIS JUDE DOLENDO")</f>
        <v>CRIS JUDE DOLENDO</v>
      </c>
      <c r="I2556" s="164" t="str">
        <f ca="1">IFERROR(__xludf.DUMMYFUNCTION("""COMPUTED_VALUE"""),"ARPTECH")</f>
        <v>ARPTECH</v>
      </c>
      <c r="J2556" s="164" t="str">
        <f ca="1">IFERROR(__xludf.DUMMYFUNCTION("""COMPUTED_VALUE"""),"2023-06-01-012")</f>
        <v>2023-06-01-012</v>
      </c>
      <c r="K2556" s="164" t="str">
        <f ca="1">IFERROR(__xludf.DUMMYFUNCTION("""COMPUTED_VALUE"""),"CRIS JUDE DOLENDO")</f>
        <v>CRIS JUDE DOLENDO</v>
      </c>
      <c r="L2556" s="164" t="str">
        <f ca="1">IFERROR(__xludf.DUMMYFUNCTION("""COMPUTED_VALUE"""),"DARMO-Cluster 4")</f>
        <v>DARMO-Cluster 4</v>
      </c>
      <c r="M2556" s="164" t="str">
        <f ca="1">IFERROR(__xludf.DUMMYFUNCTION("""COMPUTED_VALUE"""),"SERVICEABLE")</f>
        <v>SERVICEABLE</v>
      </c>
      <c r="N2556" s="164"/>
    </row>
    <row r="2557" spans="1:14" ht="13.2" hidden="1">
      <c r="A2557" s="164" t="str">
        <f ca="1">IFERROR(__xludf.DUMMYFUNCTION("""COMPUTED_VALUE"""),"Region VI")</f>
        <v>Region VI</v>
      </c>
      <c r="B2557" s="164" t="str">
        <f ca="1">IFERROR(__xludf.DUMMYFUNCTION("""COMPUTED_VALUE"""),"ANTIQUE")</f>
        <v>ANTIQUE</v>
      </c>
      <c r="C2557" s="164" t="str">
        <f ca="1">IFERROR(__xludf.DUMMYFUNCTION("""COMPUTED_VALUE"""),"Motorcycle – (Honda XRL 150)")</f>
        <v>Motorcycle – (Honda XRL 150)</v>
      </c>
      <c r="D2557" s="164" t="str">
        <f ca="1">IFERROR(__xludf.DUMMYFUNCTION("""COMPUTED_VALUE"""),"₱ 124,900.00")</f>
        <v>₱ 124,900.00</v>
      </c>
      <c r="E2557" s="164" t="str">
        <f ca="1">IFERROR(__xludf.DUMMYFUNCTION("""COMPUTED_VALUE"""),"₱ -")</f>
        <v>₱ -</v>
      </c>
      <c r="F2557" s="164" t="str">
        <f ca="1">IFERROR(__xludf.DUMMYFUNCTION("""COMPUTED_VALUE"""),"2023-06-01-10202SP267-01")</f>
        <v>2023-06-01-10202SP267-01</v>
      </c>
      <c r="G2557" s="164" t="str">
        <f ca="1">IFERROR(__xludf.DUMMYFUNCTION("""COMPUTED_VALUE"""),"no plate available")</f>
        <v>no plate available</v>
      </c>
      <c r="H2557" s="164" t="str">
        <f ca="1">IFERROR(__xludf.DUMMYFUNCTION("""COMPUTED_VALUE"""),"WILMER T. BELLEZA")</f>
        <v>WILMER T. BELLEZA</v>
      </c>
      <c r="I2557" s="164" t="str">
        <f ca="1">IFERROR(__xludf.DUMMYFUNCTION("""COMPUTED_VALUE"""),"SURVEYMAN")</f>
        <v>SURVEYMAN</v>
      </c>
      <c r="J2557" s="164" t="str">
        <f ca="1">IFERROR(__xludf.DUMMYFUNCTION("""COMPUTED_VALUE"""),"2023-06-01-013")</f>
        <v>2023-06-01-013</v>
      </c>
      <c r="K2557" s="164" t="str">
        <f ca="1">IFERROR(__xludf.DUMMYFUNCTION("""COMPUTED_VALUE"""),"WILMER T. BELLEZA")</f>
        <v>WILMER T. BELLEZA</v>
      </c>
      <c r="L2557" s="164" t="str">
        <f ca="1">IFERROR(__xludf.DUMMYFUNCTION("""COMPUTED_VALUE"""),"DARPO-LTID")</f>
        <v>DARPO-LTID</v>
      </c>
      <c r="M2557" s="164" t="str">
        <f ca="1">IFERROR(__xludf.DUMMYFUNCTION("""COMPUTED_VALUE"""),"SERVICEABLE")</f>
        <v>SERVICEABLE</v>
      </c>
      <c r="N2557" s="164"/>
    </row>
    <row r="2558" spans="1:14" ht="13.2" hidden="1">
      <c r="A2558" s="164" t="str">
        <f ca="1">IFERROR(__xludf.DUMMYFUNCTION("""COMPUTED_VALUE"""),"Region VI")</f>
        <v>Region VI</v>
      </c>
      <c r="B2558" s="164" t="str">
        <f ca="1">IFERROR(__xludf.DUMMYFUNCTION("""COMPUTED_VALUE"""),"ANTIQUE")</f>
        <v>ANTIQUE</v>
      </c>
      <c r="C2558" s="164" t="str">
        <f ca="1">IFERROR(__xludf.DUMMYFUNCTION("""COMPUTED_VALUE"""),"Motorcycle – (Honda XRL 150)")</f>
        <v>Motorcycle – (Honda XRL 150)</v>
      </c>
      <c r="D2558" s="164" t="str">
        <f ca="1">IFERROR(__xludf.DUMMYFUNCTION("""COMPUTED_VALUE"""),"₱ 124,900.00")</f>
        <v>₱ 124,900.00</v>
      </c>
      <c r="E2558" s="164" t="str">
        <f ca="1">IFERROR(__xludf.DUMMYFUNCTION("""COMPUTED_VALUE"""),"₱ -")</f>
        <v>₱ -</v>
      </c>
      <c r="F2558" s="164" t="str">
        <f ca="1">IFERROR(__xludf.DUMMYFUNCTION("""COMPUTED_VALUE"""),"2023-06-01-10202SP268-01")</f>
        <v>2023-06-01-10202SP268-01</v>
      </c>
      <c r="G2558" s="164" t="str">
        <f ca="1">IFERROR(__xludf.DUMMYFUNCTION("""COMPUTED_VALUE"""),"no plate available")</f>
        <v>no plate available</v>
      </c>
      <c r="H2558" s="164" t="str">
        <f ca="1">IFERROR(__xludf.DUMMYFUNCTION("""COMPUTED_VALUE"""),"JOHN PHILIP G. PACETE")</f>
        <v>JOHN PHILIP G. PACETE</v>
      </c>
      <c r="I2558" s="164" t="str">
        <f ca="1">IFERROR(__xludf.DUMMYFUNCTION("""COMPUTED_VALUE"""),"ENG'G AIDE")</f>
        <v>ENG'G AIDE</v>
      </c>
      <c r="J2558" s="164" t="str">
        <f ca="1">IFERROR(__xludf.DUMMYFUNCTION("""COMPUTED_VALUE"""),"2023-06-01-014")</f>
        <v>2023-06-01-014</v>
      </c>
      <c r="K2558" s="164" t="str">
        <f ca="1">IFERROR(__xludf.DUMMYFUNCTION("""COMPUTED_VALUE"""),"JOHN PHILIP G. PACETE")</f>
        <v>JOHN PHILIP G. PACETE</v>
      </c>
      <c r="L2558" s="164" t="str">
        <f ca="1">IFERROR(__xludf.DUMMYFUNCTION("""COMPUTED_VALUE"""),"DARPO-LTID")</f>
        <v>DARPO-LTID</v>
      </c>
      <c r="M2558" s="164" t="str">
        <f ca="1">IFERROR(__xludf.DUMMYFUNCTION("""COMPUTED_VALUE"""),"SERVICEABLE")</f>
        <v>SERVICEABLE</v>
      </c>
      <c r="N2558" s="164"/>
    </row>
    <row r="2559" spans="1:14" ht="13.2" hidden="1">
      <c r="A2559" s="164" t="str">
        <f ca="1">IFERROR(__xludf.DUMMYFUNCTION("""COMPUTED_VALUE"""),"Region VI")</f>
        <v>Region VI</v>
      </c>
      <c r="B2559" s="164" t="str">
        <f ca="1">IFERROR(__xludf.DUMMYFUNCTION("""COMPUTED_VALUE"""),"ANTIQUE")</f>
        <v>ANTIQUE</v>
      </c>
      <c r="C2559" s="164" t="str">
        <f ca="1">IFERROR(__xludf.DUMMYFUNCTION("""COMPUTED_VALUE"""),"Motorcycle – (Honda XRL 150)")</f>
        <v>Motorcycle – (Honda XRL 150)</v>
      </c>
      <c r="D2559" s="164" t="str">
        <f ca="1">IFERROR(__xludf.DUMMYFUNCTION("""COMPUTED_VALUE"""),"₱ 124,900.00")</f>
        <v>₱ 124,900.00</v>
      </c>
      <c r="E2559" s="164" t="str">
        <f ca="1">IFERROR(__xludf.DUMMYFUNCTION("""COMPUTED_VALUE"""),"₱ -")</f>
        <v>₱ -</v>
      </c>
      <c r="F2559" s="164" t="str">
        <f ca="1">IFERROR(__xludf.DUMMYFUNCTION("""COMPUTED_VALUE"""),"2023-06-01-10202SP269-01")</f>
        <v>2023-06-01-10202SP269-01</v>
      </c>
      <c r="G2559" s="164" t="str">
        <f ca="1">IFERROR(__xludf.DUMMYFUNCTION("""COMPUTED_VALUE"""),"no plate available")</f>
        <v>no plate available</v>
      </c>
      <c r="H2559" s="164" t="str">
        <f ca="1">IFERROR(__xludf.DUMMYFUNCTION("""COMPUTED_VALUE"""),"RAYMOND N. MANAGUIT")</f>
        <v>RAYMOND N. MANAGUIT</v>
      </c>
      <c r="I2559" s="164" t="str">
        <f ca="1">IFERROR(__xludf.DUMMYFUNCTION("""COMPUTED_VALUE"""),"ARPTECH")</f>
        <v>ARPTECH</v>
      </c>
      <c r="J2559" s="164" t="str">
        <f ca="1">IFERROR(__xludf.DUMMYFUNCTION("""COMPUTED_VALUE"""),"2023-06-01-015")</f>
        <v>2023-06-01-015</v>
      </c>
      <c r="K2559" s="164" t="str">
        <f ca="1">IFERROR(__xludf.DUMMYFUNCTION("""COMPUTED_VALUE"""),"RAYMOND N. MANAGUIT")</f>
        <v>RAYMOND N. MANAGUIT</v>
      </c>
      <c r="L2559" s="164" t="str">
        <f ca="1">IFERROR(__xludf.DUMMYFUNCTION("""COMPUTED_VALUE"""),"DARMO-Cluster 5")</f>
        <v>DARMO-Cluster 5</v>
      </c>
      <c r="M2559" s="164" t="str">
        <f ca="1">IFERROR(__xludf.DUMMYFUNCTION("""COMPUTED_VALUE"""),"SERVICEABLE")</f>
        <v>SERVICEABLE</v>
      </c>
      <c r="N2559" s="164"/>
    </row>
    <row r="2560" spans="1:14" ht="13.2" hidden="1">
      <c r="A2560" s="164" t="str">
        <f ca="1">IFERROR(__xludf.DUMMYFUNCTION("""COMPUTED_VALUE"""),"Region VI")</f>
        <v>Region VI</v>
      </c>
      <c r="B2560" s="164" t="str">
        <f ca="1">IFERROR(__xludf.DUMMYFUNCTION("""COMPUTED_VALUE"""),"ANTIQUE")</f>
        <v>ANTIQUE</v>
      </c>
      <c r="C2560" s="164" t="str">
        <f ca="1">IFERROR(__xludf.DUMMYFUNCTION("""COMPUTED_VALUE"""),"Double Cabin Pick-up Vehicles – Mitsubishi Strada")</f>
        <v>Double Cabin Pick-up Vehicles – Mitsubishi Strada</v>
      </c>
      <c r="D2560" s="164" t="str">
        <f ca="1">IFERROR(__xludf.DUMMYFUNCTION("""COMPUTED_VALUE"""),"₱ 1,752,400.00")</f>
        <v>₱ 1,752,400.00</v>
      </c>
      <c r="E2560" s="164" t="str">
        <f ca="1">IFERROR(__xludf.DUMMYFUNCTION("""COMPUTED_VALUE"""),"₱ -")</f>
        <v>₱ -</v>
      </c>
      <c r="F2560" s="164" t="str">
        <f ca="1">IFERROR(__xludf.DUMMYFUNCTION("""COMPUTED_VALUE"""),"2023-06-01-10201SP88-01")</f>
        <v>2023-06-01-10201SP88-01</v>
      </c>
      <c r="G2560" s="164" t="str">
        <f ca="1">IFERROR(__xludf.DUMMYFUNCTION("""COMPUTED_VALUE"""),"SNC 1124")</f>
        <v>SNC 1124</v>
      </c>
      <c r="H2560" s="164" t="str">
        <f ca="1">IFERROR(__xludf.DUMMYFUNCTION("""COMPUTED_VALUE"""),"FLORENTINO D. SILADAN")</f>
        <v>FLORENTINO D. SILADAN</v>
      </c>
      <c r="I2560" s="164" t="str">
        <f ca="1">IFERROR(__xludf.DUMMYFUNCTION("""COMPUTED_VALUE"""),"PARPO II/ Project Manager")</f>
        <v>PARPO II/ Project Manager</v>
      </c>
      <c r="J2560" s="164" t="str">
        <f ca="1">IFERROR(__xludf.DUMMYFUNCTION("""COMPUTED_VALUE"""),"2023-06-01-01")</f>
        <v>2023-06-01-01</v>
      </c>
      <c r="K2560" s="164" t="str">
        <f ca="1">IFERROR(__xludf.DUMMYFUNCTION("""COMPUTED_VALUE"""),"FLORENTINO D. SILADAN")</f>
        <v>FLORENTINO D. SILADAN</v>
      </c>
      <c r="L2560" s="164" t="str">
        <f ca="1">IFERROR(__xludf.DUMMYFUNCTION("""COMPUTED_VALUE"""),"ANTIQUE/DARPO-OFFICE OF THE PARPO II")</f>
        <v>ANTIQUE/DARPO-OFFICE OF THE PARPO II</v>
      </c>
      <c r="M2560" s="164" t="str">
        <f ca="1">IFERROR(__xludf.DUMMYFUNCTION("""COMPUTED_VALUE"""),"SERVICEABLE")</f>
        <v>SERVICEABLE</v>
      </c>
      <c r="N2560" s="164"/>
    </row>
    <row r="2561" spans="1:14" ht="13.2" hidden="1">
      <c r="A2561" s="164" t="str">
        <f ca="1">IFERROR(__xludf.DUMMYFUNCTION("""COMPUTED_VALUE"""),"Region VI")</f>
        <v>Region VI</v>
      </c>
      <c r="B2561" s="164" t="str">
        <f ca="1">IFERROR(__xludf.DUMMYFUNCTION("""COMPUTED_VALUE"""),"AKLAN")</f>
        <v>AKLAN</v>
      </c>
      <c r="C2561" s="164" t="str">
        <f ca="1">IFERROR(__xludf.DUMMYFUNCTION("""COMPUTED_VALUE"""),"Motorcycle – (Honda XRL 150)")</f>
        <v>Motorcycle – (Honda XRL 150)</v>
      </c>
      <c r="D2561" s="164" t="str">
        <f ca="1">IFERROR(__xludf.DUMMYFUNCTION("""COMPUTED_VALUE"""),"₱ 124,900.00")</f>
        <v>₱ 124,900.00</v>
      </c>
      <c r="E2561" s="164" t="str">
        <f ca="1">IFERROR(__xludf.DUMMYFUNCTION("""COMPUTED_VALUE"""),"₱ -")</f>
        <v>₱ -</v>
      </c>
      <c r="F2561" s="164" t="str">
        <f ca="1">IFERROR(__xludf.DUMMYFUNCTION("""COMPUTED_VALUE"""),"2023-06-01-10202SP226-01")</f>
        <v>2023-06-01-10202SP226-01</v>
      </c>
      <c r="G2561" s="164" t="str">
        <f ca="1">IFERROR(__xludf.DUMMYFUNCTION("""COMPUTED_VALUE"""),"no plate available")</f>
        <v>no plate available</v>
      </c>
      <c r="H2561" s="164" t="str">
        <f ca="1">IFERROR(__xludf.DUMMYFUNCTION("""COMPUTED_VALUE"""),"Excel E. Dalupang")</f>
        <v>Excel E. Dalupang</v>
      </c>
      <c r="I2561" s="164" t="str">
        <f ca="1">IFERROR(__xludf.DUMMYFUNCTION("""COMPUTED_VALUE"""),"AA IV")</f>
        <v>AA IV</v>
      </c>
      <c r="J2561" s="164" t="str">
        <f ca="1">IFERROR(__xludf.DUMMYFUNCTION("""COMPUTED_VALUE"""),"S-2023-05-001q")</f>
        <v>S-2023-05-001q</v>
      </c>
      <c r="K2561" s="164" t="str">
        <f ca="1">IFERROR(__xludf.DUMMYFUNCTION("""COMPUTED_VALUE"""),"Excel E. Dalupang")</f>
        <v>Excel E. Dalupang</v>
      </c>
      <c r="L2561" s="164" t="str">
        <f ca="1">IFERROR(__xludf.DUMMYFUNCTION("""COMPUTED_VALUE"""),"STOD")</f>
        <v>STOD</v>
      </c>
      <c r="M2561" s="164" t="str">
        <f ca="1">IFERROR(__xludf.DUMMYFUNCTION("""COMPUTED_VALUE"""),"SERVICEABLE")</f>
        <v>SERVICEABLE</v>
      </c>
      <c r="N2561" s="164"/>
    </row>
    <row r="2562" spans="1:14" ht="13.2" hidden="1">
      <c r="A2562" s="164" t="str">
        <f ca="1">IFERROR(__xludf.DUMMYFUNCTION("""COMPUTED_VALUE"""),"Region VI")</f>
        <v>Region VI</v>
      </c>
      <c r="B2562" s="164" t="str">
        <f ca="1">IFERROR(__xludf.DUMMYFUNCTION("""COMPUTED_VALUE"""),"AKLAN")</f>
        <v>AKLAN</v>
      </c>
      <c r="C2562" s="164" t="str">
        <f ca="1">IFERROR(__xludf.DUMMYFUNCTION("""COMPUTED_VALUE"""),"Motorcycle – (Honda XRL 150)")</f>
        <v>Motorcycle – (Honda XRL 150)</v>
      </c>
      <c r="D2562" s="164" t="str">
        <f ca="1">IFERROR(__xludf.DUMMYFUNCTION("""COMPUTED_VALUE"""),"₱ 124,900.00")</f>
        <v>₱ 124,900.00</v>
      </c>
      <c r="E2562" s="164" t="str">
        <f ca="1">IFERROR(__xludf.DUMMYFUNCTION("""COMPUTED_VALUE"""),"₱ -")</f>
        <v>₱ -</v>
      </c>
      <c r="F2562" s="164" t="str">
        <f ca="1">IFERROR(__xludf.DUMMYFUNCTION("""COMPUTED_VALUE"""),"2023-06-01-10202SP227-01")</f>
        <v>2023-06-01-10202SP227-01</v>
      </c>
      <c r="G2562" s="164" t="str">
        <f ca="1">IFERROR(__xludf.DUMMYFUNCTION("""COMPUTED_VALUE"""),"no plate available")</f>
        <v>no plate available</v>
      </c>
      <c r="H2562" s="164" t="str">
        <f ca="1">IFERROR(__xludf.DUMMYFUNCTION("""COMPUTED_VALUE"""),"Ronald Jim P. Gasis")</f>
        <v>Ronald Jim P. Gasis</v>
      </c>
      <c r="I2562" s="164" t="str">
        <f ca="1">IFERROR(__xludf.DUMMYFUNCTION("""COMPUTED_VALUE"""),"SARPT")</f>
        <v>SARPT</v>
      </c>
      <c r="J2562" s="164" t="str">
        <f ca="1">IFERROR(__xludf.DUMMYFUNCTION("""COMPUTED_VALUE"""),"S-2023-05-001r")</f>
        <v>S-2023-05-001r</v>
      </c>
      <c r="K2562" s="164" t="str">
        <f ca="1">IFERROR(__xludf.DUMMYFUNCTION("""COMPUTED_VALUE"""),"Ronald Jim P. Gasis")</f>
        <v>Ronald Jim P. Gasis</v>
      </c>
      <c r="L2562" s="164" t="str">
        <f ca="1">IFERROR(__xludf.DUMMYFUNCTION("""COMPUTED_VALUE"""),"DARMO C-1")</f>
        <v>DARMO C-1</v>
      </c>
      <c r="M2562" s="164" t="str">
        <f ca="1">IFERROR(__xludf.DUMMYFUNCTION("""COMPUTED_VALUE"""),"SERVICEABLE")</f>
        <v>SERVICEABLE</v>
      </c>
      <c r="N2562" s="164"/>
    </row>
    <row r="2563" spans="1:14" ht="13.2" hidden="1">
      <c r="A2563" s="164" t="str">
        <f ca="1">IFERROR(__xludf.DUMMYFUNCTION("""COMPUTED_VALUE"""),"Region VI")</f>
        <v>Region VI</v>
      </c>
      <c r="B2563" s="164" t="str">
        <f ca="1">IFERROR(__xludf.DUMMYFUNCTION("""COMPUTED_VALUE"""),"AKLAN")</f>
        <v>AKLAN</v>
      </c>
      <c r="C2563" s="164" t="str">
        <f ca="1">IFERROR(__xludf.DUMMYFUNCTION("""COMPUTED_VALUE"""),"Motorcycle – (Honda XRL 150)")</f>
        <v>Motorcycle – (Honda XRL 150)</v>
      </c>
      <c r="D2563" s="164" t="str">
        <f ca="1">IFERROR(__xludf.DUMMYFUNCTION("""COMPUTED_VALUE"""),"₱ 124,900.00")</f>
        <v>₱ 124,900.00</v>
      </c>
      <c r="E2563" s="164" t="str">
        <f ca="1">IFERROR(__xludf.DUMMYFUNCTION("""COMPUTED_VALUE"""),"₱ -")</f>
        <v>₱ -</v>
      </c>
      <c r="F2563" s="164" t="str">
        <f ca="1">IFERROR(__xludf.DUMMYFUNCTION("""COMPUTED_VALUE"""),"2023-06-01-10202SP228-01")</f>
        <v>2023-06-01-10202SP228-01</v>
      </c>
      <c r="G2563" s="164" t="str">
        <f ca="1">IFERROR(__xludf.DUMMYFUNCTION("""COMPUTED_VALUE"""),"no plate available")</f>
        <v>no plate available</v>
      </c>
      <c r="H2563" s="164" t="str">
        <f ca="1">IFERROR(__xludf.DUMMYFUNCTION("""COMPUTED_VALUE"""),"Naven C. Alcedo")</f>
        <v>Naven C. Alcedo</v>
      </c>
      <c r="I2563" s="164" t="str">
        <f ca="1">IFERROR(__xludf.DUMMYFUNCTION("""COMPUTED_VALUE"""),"ARPO I")</f>
        <v>ARPO I</v>
      </c>
      <c r="J2563" s="164" t="str">
        <f ca="1">IFERROR(__xludf.DUMMYFUNCTION("""COMPUTED_VALUE"""),"S-2023-05-001s")</f>
        <v>S-2023-05-001s</v>
      </c>
      <c r="K2563" s="164" t="str">
        <f ca="1">IFERROR(__xludf.DUMMYFUNCTION("""COMPUTED_VALUE"""),"Naven C. Alcedo")</f>
        <v>Naven C. Alcedo</v>
      </c>
      <c r="L2563" s="164" t="str">
        <f ca="1">IFERROR(__xludf.DUMMYFUNCTION("""COMPUTED_VALUE"""),"DARMO C-2")</f>
        <v>DARMO C-2</v>
      </c>
      <c r="M2563" s="164" t="str">
        <f ca="1">IFERROR(__xludf.DUMMYFUNCTION("""COMPUTED_VALUE"""),"SERVICEABLE")</f>
        <v>SERVICEABLE</v>
      </c>
      <c r="N2563" s="164"/>
    </row>
    <row r="2564" spans="1:14" ht="13.2" hidden="1">
      <c r="A2564" s="164" t="str">
        <f ca="1">IFERROR(__xludf.DUMMYFUNCTION("""COMPUTED_VALUE"""),"Region VI")</f>
        <v>Region VI</v>
      </c>
      <c r="B2564" s="164" t="str">
        <f ca="1">IFERROR(__xludf.DUMMYFUNCTION("""COMPUTED_VALUE"""),"AKLAN")</f>
        <v>AKLAN</v>
      </c>
      <c r="C2564" s="164" t="str">
        <f ca="1">IFERROR(__xludf.DUMMYFUNCTION("""COMPUTED_VALUE"""),"Motorcycle – (Honda XRL 150)")</f>
        <v>Motorcycle – (Honda XRL 150)</v>
      </c>
      <c r="D2564" s="164" t="str">
        <f ca="1">IFERROR(__xludf.DUMMYFUNCTION("""COMPUTED_VALUE"""),"₱ 124,900.00")</f>
        <v>₱ 124,900.00</v>
      </c>
      <c r="E2564" s="164" t="str">
        <f ca="1">IFERROR(__xludf.DUMMYFUNCTION("""COMPUTED_VALUE"""),"₱ -")</f>
        <v>₱ -</v>
      </c>
      <c r="F2564" s="164" t="str">
        <f ca="1">IFERROR(__xludf.DUMMYFUNCTION("""COMPUTED_VALUE"""),"2023-06-01-10202SP229-01")</f>
        <v>2023-06-01-10202SP229-01</v>
      </c>
      <c r="G2564" s="164" t="str">
        <f ca="1">IFERROR(__xludf.DUMMYFUNCTION("""COMPUTED_VALUE"""),"no plate available")</f>
        <v>no plate available</v>
      </c>
      <c r="H2564" s="164" t="str">
        <f ca="1">IFERROR(__xludf.DUMMYFUNCTION("""COMPUTED_VALUE"""),"Nimia Grace D. Pahilga")</f>
        <v>Nimia Grace D. Pahilga</v>
      </c>
      <c r="I2564" s="164" t="str">
        <f ca="1">IFERROR(__xludf.DUMMYFUNCTION("""COMPUTED_VALUE"""),"AO IV")</f>
        <v>AO IV</v>
      </c>
      <c r="J2564" s="164" t="str">
        <f ca="1">IFERROR(__xludf.DUMMYFUNCTION("""COMPUTED_VALUE"""),"S-2023-05-001t")</f>
        <v>S-2023-05-001t</v>
      </c>
      <c r="K2564" s="164" t="str">
        <f ca="1">IFERROR(__xludf.DUMMYFUNCTION("""COMPUTED_VALUE"""),"Nimia Grace D. Pahilga")</f>
        <v>Nimia Grace D. Pahilga</v>
      </c>
      <c r="L2564" s="164" t="str">
        <f ca="1">IFERROR(__xludf.DUMMYFUNCTION("""COMPUTED_VALUE"""),"STOD")</f>
        <v>STOD</v>
      </c>
      <c r="M2564" s="164" t="str">
        <f ca="1">IFERROR(__xludf.DUMMYFUNCTION("""COMPUTED_VALUE"""),"SERVICEABLE")</f>
        <v>SERVICEABLE</v>
      </c>
      <c r="N2564" s="164"/>
    </row>
    <row r="2565" spans="1:14" ht="13.2" hidden="1">
      <c r="A2565" s="164" t="str">
        <f ca="1">IFERROR(__xludf.DUMMYFUNCTION("""COMPUTED_VALUE"""),"Region VI")</f>
        <v>Region VI</v>
      </c>
      <c r="B2565" s="164" t="str">
        <f ca="1">IFERROR(__xludf.DUMMYFUNCTION("""COMPUTED_VALUE"""),"AKLAN")</f>
        <v>AKLAN</v>
      </c>
      <c r="C2565" s="164" t="str">
        <f ca="1">IFERROR(__xludf.DUMMYFUNCTION("""COMPUTED_VALUE"""),"Motorcycle – (Honda XRL 150)")</f>
        <v>Motorcycle – (Honda XRL 150)</v>
      </c>
      <c r="D2565" s="164" t="str">
        <f ca="1">IFERROR(__xludf.DUMMYFUNCTION("""COMPUTED_VALUE"""),"₱ 124,900.00")</f>
        <v>₱ 124,900.00</v>
      </c>
      <c r="E2565" s="164" t="str">
        <f ca="1">IFERROR(__xludf.DUMMYFUNCTION("""COMPUTED_VALUE"""),"₱ -")</f>
        <v>₱ -</v>
      </c>
      <c r="F2565" s="164" t="str">
        <f ca="1">IFERROR(__xludf.DUMMYFUNCTION("""COMPUTED_VALUE"""),"2023-06-01-10202SP232-01")</f>
        <v>2023-06-01-10202SP232-01</v>
      </c>
      <c r="G2565" s="164" t="str">
        <f ca="1">IFERROR(__xludf.DUMMYFUNCTION("""COMPUTED_VALUE"""),"no plate available")</f>
        <v>no plate available</v>
      </c>
      <c r="H2565" s="164" t="str">
        <f ca="1">IFERROR(__xludf.DUMMYFUNCTION("""COMPUTED_VALUE"""),"Nimia Grace D. Pahilga")</f>
        <v>Nimia Grace D. Pahilga</v>
      </c>
      <c r="I2565" s="164" t="str">
        <f ca="1">IFERROR(__xludf.DUMMYFUNCTION("""COMPUTED_VALUE"""),"AO IV")</f>
        <v>AO IV</v>
      </c>
      <c r="J2565" s="164" t="str">
        <f ca="1">IFERROR(__xludf.DUMMYFUNCTION("""COMPUTED_VALUE"""),"S-2023-05-001u")</f>
        <v>S-2023-05-001u</v>
      </c>
      <c r="K2565" s="164" t="str">
        <f ca="1">IFERROR(__xludf.DUMMYFUNCTION("""COMPUTED_VALUE"""),"Nimia Grace D. Pahilga")</f>
        <v>Nimia Grace D. Pahilga</v>
      </c>
      <c r="L2565" s="164" t="str">
        <f ca="1">IFERROR(__xludf.DUMMYFUNCTION("""COMPUTED_VALUE"""),"STOD")</f>
        <v>STOD</v>
      </c>
      <c r="M2565" s="164" t="str">
        <f ca="1">IFERROR(__xludf.DUMMYFUNCTION("""COMPUTED_VALUE"""),"SERVICEABLE")</f>
        <v>SERVICEABLE</v>
      </c>
      <c r="N2565" s="164"/>
    </row>
    <row r="2566" spans="1:14" ht="13.2" hidden="1">
      <c r="A2566" s="164" t="str">
        <f ca="1">IFERROR(__xludf.DUMMYFUNCTION("""COMPUTED_VALUE"""),"Region VI")</f>
        <v>Region VI</v>
      </c>
      <c r="B2566" s="164" t="str">
        <f ca="1">IFERROR(__xludf.DUMMYFUNCTION("""COMPUTED_VALUE"""),"AKLAN")</f>
        <v>AKLAN</v>
      </c>
      <c r="C2566" s="164" t="str">
        <f ca="1">IFERROR(__xludf.DUMMYFUNCTION("""COMPUTED_VALUE"""),"Motorcycle – (Honda XRL 150)")</f>
        <v>Motorcycle – (Honda XRL 150)</v>
      </c>
      <c r="D2566" s="164" t="str">
        <f ca="1">IFERROR(__xludf.DUMMYFUNCTION("""COMPUTED_VALUE"""),"₱ 124,900.00")</f>
        <v>₱ 124,900.00</v>
      </c>
      <c r="E2566" s="164" t="str">
        <f ca="1">IFERROR(__xludf.DUMMYFUNCTION("""COMPUTED_VALUE"""),"₱ -")</f>
        <v>₱ -</v>
      </c>
      <c r="F2566" s="164" t="str">
        <f ca="1">IFERROR(__xludf.DUMMYFUNCTION("""COMPUTED_VALUE"""),"2023-06-01-10202SP231-01")</f>
        <v>2023-06-01-10202SP231-01</v>
      </c>
      <c r="G2566" s="164" t="str">
        <f ca="1">IFERROR(__xludf.DUMMYFUNCTION("""COMPUTED_VALUE"""),"no plate available")</f>
        <v>no plate available</v>
      </c>
      <c r="H2566" s="164" t="str">
        <f ca="1">IFERROR(__xludf.DUMMYFUNCTION("""COMPUTED_VALUE"""),"Marc Kevin M. Ignacio")</f>
        <v>Marc Kevin M. Ignacio</v>
      </c>
      <c r="I2566" s="164" t="str">
        <f ca="1">IFERROR(__xludf.DUMMYFUNCTION("""COMPUTED_VALUE"""),"ARPO I")</f>
        <v>ARPO I</v>
      </c>
      <c r="J2566" s="164" t="str">
        <f ca="1">IFERROR(__xludf.DUMMYFUNCTION("""COMPUTED_VALUE"""),"S-2023-08-007a")</f>
        <v>S-2023-08-007a</v>
      </c>
      <c r="K2566" s="164" t="str">
        <f ca="1">IFERROR(__xludf.DUMMYFUNCTION("""COMPUTED_VALUE"""),"Marc Kevin M. Ignacio")</f>
        <v>Marc Kevin M. Ignacio</v>
      </c>
      <c r="L2566" s="164" t="str">
        <f ca="1">IFERROR(__xludf.DUMMYFUNCTION("""COMPUTED_VALUE"""),"PBDD")</f>
        <v>PBDD</v>
      </c>
      <c r="M2566" s="164" t="str">
        <f ca="1">IFERROR(__xludf.DUMMYFUNCTION("""COMPUTED_VALUE"""),"SERVICEABLE")</f>
        <v>SERVICEABLE</v>
      </c>
      <c r="N2566" s="164"/>
    </row>
    <row r="2567" spans="1:14" ht="13.2" hidden="1">
      <c r="A2567" s="164" t="str">
        <f ca="1">IFERROR(__xludf.DUMMYFUNCTION("""COMPUTED_VALUE"""),"Region VI")</f>
        <v>Region VI</v>
      </c>
      <c r="B2567" s="164" t="str">
        <f ca="1">IFERROR(__xludf.DUMMYFUNCTION("""COMPUTED_VALUE"""),"AKLAN")</f>
        <v>AKLAN</v>
      </c>
      <c r="C2567" s="164" t="str">
        <f ca="1">IFERROR(__xludf.DUMMYFUNCTION("""COMPUTED_VALUE"""),"Double Cabin Pick-up Vehicles – Mitsubishi Strada")</f>
        <v>Double Cabin Pick-up Vehicles – Mitsubishi Strada</v>
      </c>
      <c r="D2567" s="164" t="str">
        <f ca="1">IFERROR(__xludf.DUMMYFUNCTION("""COMPUTED_VALUE"""),"₱ 1,752,400.00")</f>
        <v>₱ 1,752,400.00</v>
      </c>
      <c r="E2567" s="164" t="str">
        <f ca="1">IFERROR(__xludf.DUMMYFUNCTION("""COMPUTED_VALUE"""),"₱ -")</f>
        <v>₱ -</v>
      </c>
      <c r="F2567" s="164" t="str">
        <f ca="1">IFERROR(__xludf.DUMMYFUNCTION("""COMPUTED_VALUE"""),"2023-06-01-10201SP87-01")</f>
        <v>2023-06-01-10201SP87-01</v>
      </c>
      <c r="G2567" s="164" t="str">
        <f ca="1">IFERROR(__xludf.DUMMYFUNCTION("""COMPUTED_VALUE"""),"SNC 1135")</f>
        <v>SNC 1135</v>
      </c>
      <c r="H2567" s="164" t="str">
        <f ca="1">IFERROR(__xludf.DUMMYFUNCTION("""COMPUTED_VALUE"""),"Nimia Grace D. Pahilga")</f>
        <v>Nimia Grace D. Pahilga</v>
      </c>
      <c r="I2567" s="164" t="str">
        <f ca="1">IFERROR(__xludf.DUMMYFUNCTION("""COMPUTED_VALUE"""),"AO IV")</f>
        <v>AO IV</v>
      </c>
      <c r="J2567" s="164" t="str">
        <f ca="1">IFERROR(__xludf.DUMMYFUNCTION("""COMPUTED_VALUE"""),"S-2023-10-011")</f>
        <v>S-2023-10-011</v>
      </c>
      <c r="K2567" s="164" t="str">
        <f ca="1">IFERROR(__xludf.DUMMYFUNCTION("""COMPUTED_VALUE"""),"Nimia Grace D. Pahilga")</f>
        <v>Nimia Grace D. Pahilga</v>
      </c>
      <c r="L2567" s="164" t="str">
        <f ca="1">IFERROR(__xludf.DUMMYFUNCTION("""COMPUTED_VALUE"""),"STOD")</f>
        <v>STOD</v>
      </c>
      <c r="M2567" s="164" t="str">
        <f ca="1">IFERROR(__xludf.DUMMYFUNCTION("""COMPUTED_VALUE"""),"SERVICEABLE")</f>
        <v>SERVICEABLE</v>
      </c>
      <c r="N2567" s="164"/>
    </row>
    <row r="2568" spans="1:14" ht="13.2" hidden="1">
      <c r="A2568" s="164" t="str">
        <f ca="1">IFERROR(__xludf.DUMMYFUNCTION("""COMPUTED_VALUE"""),"Region VI")</f>
        <v>Region VI</v>
      </c>
      <c r="B2568" s="164" t="str">
        <f ca="1">IFERROR(__xludf.DUMMYFUNCTION("""COMPUTED_VALUE"""),"GUIMARAS")</f>
        <v>GUIMARAS</v>
      </c>
      <c r="C2568" s="164" t="str">
        <f ca="1">IFERROR(__xludf.DUMMYFUNCTION("""COMPUTED_VALUE"""),"Motorcycle – (Honda XRL 150)")</f>
        <v>Motorcycle – (Honda XRL 150)</v>
      </c>
      <c r="D2568" s="164" t="str">
        <f ca="1">IFERROR(__xludf.DUMMYFUNCTION("""COMPUTED_VALUE"""),"₱ 124,900.00")</f>
        <v>₱ 124,900.00</v>
      </c>
      <c r="E2568" s="164" t="str">
        <f ca="1">IFERROR(__xludf.DUMMYFUNCTION("""COMPUTED_VALUE"""),"₱ -")</f>
        <v>₱ -</v>
      </c>
      <c r="F2568" s="164" t="str">
        <f ca="1">IFERROR(__xludf.DUMMYFUNCTION("""COMPUTED_VALUE"""),"2023-10-0002SPLITMV")</f>
        <v>2023-10-0002SPLITMV</v>
      </c>
      <c r="G2568" s="164" t="str">
        <f ca="1">IFERROR(__xludf.DUMMYFUNCTION("""COMPUTED_VALUE"""),"no plate available")</f>
        <v>no plate available</v>
      </c>
      <c r="H2568" s="164" t="str">
        <f ca="1">IFERROR(__xludf.DUMMYFUNCTION("""COMPUTED_VALUE"""),"JOHN MARK ISOGON")</f>
        <v>JOHN MARK ISOGON</v>
      </c>
      <c r="I2568" s="164" t="str">
        <f ca="1">IFERROR(__xludf.DUMMYFUNCTION("""COMPUTED_VALUE"""),"ARPTECH")</f>
        <v>ARPTECH</v>
      </c>
      <c r="J2568" s="164" t="str">
        <f ca="1">IFERROR(__xludf.DUMMYFUNCTION("""COMPUTED_VALUE"""),"2023-10-0027SPLIT")</f>
        <v>2023-10-0027SPLIT</v>
      </c>
      <c r="K2568" s="164" t="str">
        <f ca="1">IFERROR(__xludf.DUMMYFUNCTION("""COMPUTED_VALUE"""),"JOHN MARK ISOGON")</f>
        <v>JOHN MARK ISOGON</v>
      </c>
      <c r="L2568" s="164" t="str">
        <f ca="1">IFERROR(__xludf.DUMMYFUNCTION("""COMPUTED_VALUE"""),"LTI DIVISION")</f>
        <v>LTI DIVISION</v>
      </c>
      <c r="M2568" s="164" t="str">
        <f ca="1">IFERROR(__xludf.DUMMYFUNCTION("""COMPUTED_VALUE"""),"SERVICEABLE")</f>
        <v>SERVICEABLE</v>
      </c>
      <c r="N2568" s="164"/>
    </row>
    <row r="2569" spans="1:14" ht="13.2" hidden="1">
      <c r="A2569" s="164" t="str">
        <f ca="1">IFERROR(__xludf.DUMMYFUNCTION("""COMPUTED_VALUE"""),"Region VI")</f>
        <v>Region VI</v>
      </c>
      <c r="B2569" s="164" t="str">
        <f ca="1">IFERROR(__xludf.DUMMYFUNCTION("""COMPUTED_VALUE"""),"GUIMARAS")</f>
        <v>GUIMARAS</v>
      </c>
      <c r="C2569" s="164" t="str">
        <f ca="1">IFERROR(__xludf.DUMMYFUNCTION("""COMPUTED_VALUE"""),"Motorcycle – (Honda XRL 150)")</f>
        <v>Motorcycle – (Honda XRL 150)</v>
      </c>
      <c r="D2569" s="164" t="str">
        <f ca="1">IFERROR(__xludf.DUMMYFUNCTION("""COMPUTED_VALUE"""),"₱ 124,900.00")</f>
        <v>₱ 124,900.00</v>
      </c>
      <c r="E2569" s="164" t="str">
        <f ca="1">IFERROR(__xludf.DUMMYFUNCTION("""COMPUTED_VALUE"""),"₱ -")</f>
        <v>₱ -</v>
      </c>
      <c r="F2569" s="164" t="str">
        <f ca="1">IFERROR(__xludf.DUMMYFUNCTION("""COMPUTED_VALUE"""),"2023-10-0003SPLITMV")</f>
        <v>2023-10-0003SPLITMV</v>
      </c>
      <c r="G2569" s="164" t="str">
        <f ca="1">IFERROR(__xludf.DUMMYFUNCTION("""COMPUTED_VALUE"""),"no plate available")</f>
        <v>no plate available</v>
      </c>
      <c r="H2569" s="164" t="str">
        <f ca="1">IFERROR(__xludf.DUMMYFUNCTION("""COMPUTED_VALUE"""),"CHRISTINE ANN CHAVEZ")</f>
        <v>CHRISTINE ANN CHAVEZ</v>
      </c>
      <c r="I2569" s="164" t="str">
        <f ca="1">IFERROR(__xludf.DUMMYFUNCTION("""COMPUTED_VALUE"""),"GSS CHIEF/AO IV")</f>
        <v>GSS CHIEF/AO IV</v>
      </c>
      <c r="J2569" s="164" t="str">
        <f ca="1">IFERROR(__xludf.DUMMYFUNCTION("""COMPUTED_VALUE"""),"2023-10-0025SPLIT")</f>
        <v>2023-10-0025SPLIT</v>
      </c>
      <c r="K2569" s="164" t="str">
        <f ca="1">IFERROR(__xludf.DUMMYFUNCTION("""COMPUTED_VALUE"""),"CHRISTINE ANN CHAVEZ")</f>
        <v>CHRISTINE ANN CHAVEZ</v>
      </c>
      <c r="L2569" s="164" t="str">
        <f ca="1">IFERROR(__xludf.DUMMYFUNCTION("""COMPUTED_VALUE"""),"STOD")</f>
        <v>STOD</v>
      </c>
      <c r="M2569" s="164" t="str">
        <f ca="1">IFERROR(__xludf.DUMMYFUNCTION("""COMPUTED_VALUE"""),"SERVICEABLE")</f>
        <v>SERVICEABLE</v>
      </c>
      <c r="N2569" s="164"/>
    </row>
    <row r="2570" spans="1:14" ht="13.2" hidden="1">
      <c r="A2570" s="164" t="str">
        <f ca="1">IFERROR(__xludf.DUMMYFUNCTION("""COMPUTED_VALUE"""),"Region VI")</f>
        <v>Region VI</v>
      </c>
      <c r="B2570" s="164" t="str">
        <f ca="1">IFERROR(__xludf.DUMMYFUNCTION("""COMPUTED_VALUE"""),"GUIMARAS")</f>
        <v>GUIMARAS</v>
      </c>
      <c r="C2570" s="164" t="str">
        <f ca="1">IFERROR(__xludf.DUMMYFUNCTION("""COMPUTED_VALUE"""),"Motorcycle – (Honda XRL 150)")</f>
        <v>Motorcycle – (Honda XRL 150)</v>
      </c>
      <c r="D2570" s="164" t="str">
        <f ca="1">IFERROR(__xludf.DUMMYFUNCTION("""COMPUTED_VALUE"""),"₱ 124,900.00")</f>
        <v>₱ 124,900.00</v>
      </c>
      <c r="E2570" s="164" t="str">
        <f ca="1">IFERROR(__xludf.DUMMYFUNCTION("""COMPUTED_VALUE"""),"₱ -")</f>
        <v>₱ -</v>
      </c>
      <c r="F2570" s="164" t="str">
        <f ca="1">IFERROR(__xludf.DUMMYFUNCTION("""COMPUTED_VALUE"""),"2023-10-0004SPLITMV")</f>
        <v>2023-10-0004SPLITMV</v>
      </c>
      <c r="G2570" s="164" t="str">
        <f ca="1">IFERROR(__xludf.DUMMYFUNCTION("""COMPUTED_VALUE"""),"no plate available")</f>
        <v>no plate available</v>
      </c>
      <c r="H2570" s="164" t="str">
        <f ca="1">IFERROR(__xludf.DUMMYFUNCTION("""COMPUTED_VALUE"""),"CHRISTINE ANN CHAVEZ")</f>
        <v>CHRISTINE ANN CHAVEZ</v>
      </c>
      <c r="I2570" s="164" t="str">
        <f ca="1">IFERROR(__xludf.DUMMYFUNCTION("""COMPUTED_VALUE"""),"GSS CHIEF/AO IV")</f>
        <v>GSS CHIEF/AO IV</v>
      </c>
      <c r="J2570" s="164" t="str">
        <f ca="1">IFERROR(__xludf.DUMMYFUNCTION("""COMPUTED_VALUE"""),"2023-10-0026SPLIT")</f>
        <v>2023-10-0026SPLIT</v>
      </c>
      <c r="K2570" s="164" t="str">
        <f ca="1">IFERROR(__xludf.DUMMYFUNCTION("""COMPUTED_VALUE"""),"CHRISTINE ANN CHAVEZ")</f>
        <v>CHRISTINE ANN CHAVEZ</v>
      </c>
      <c r="L2570" s="164" t="str">
        <f ca="1">IFERROR(__xludf.DUMMYFUNCTION("""COMPUTED_VALUE"""),"STOD")</f>
        <v>STOD</v>
      </c>
      <c r="M2570" s="164" t="str">
        <f ca="1">IFERROR(__xludf.DUMMYFUNCTION("""COMPUTED_VALUE"""),"SERVICEABLE")</f>
        <v>SERVICEABLE</v>
      </c>
      <c r="N2570" s="164"/>
    </row>
    <row r="2571" spans="1:14" ht="13.2" hidden="1">
      <c r="A2571" s="164" t="str">
        <f ca="1">IFERROR(__xludf.DUMMYFUNCTION("""COMPUTED_VALUE"""),"Region VI")</f>
        <v>Region VI</v>
      </c>
      <c r="B2571" s="164" t="str">
        <f ca="1">IFERROR(__xludf.DUMMYFUNCTION("""COMPUTED_VALUE"""),"GUIMARAS")</f>
        <v>GUIMARAS</v>
      </c>
      <c r="C2571" s="164" t="str">
        <f ca="1">IFERROR(__xludf.DUMMYFUNCTION("""COMPUTED_VALUE"""),"Motorcycle – (Honda XRL 150)")</f>
        <v>Motorcycle – (Honda XRL 150)</v>
      </c>
      <c r="D2571" s="164" t="str">
        <f ca="1">IFERROR(__xludf.DUMMYFUNCTION("""COMPUTED_VALUE"""),"₱ 124,900.00")</f>
        <v>₱ 124,900.00</v>
      </c>
      <c r="E2571" s="164" t="str">
        <f ca="1">IFERROR(__xludf.DUMMYFUNCTION("""COMPUTED_VALUE"""),"₱ -")</f>
        <v>₱ -</v>
      </c>
      <c r="F2571" s="164" t="str">
        <f ca="1">IFERROR(__xludf.DUMMYFUNCTION("""COMPUTED_VALUE"""),"2023-10-0001SPLITMV")</f>
        <v>2023-10-0001SPLITMV</v>
      </c>
      <c r="G2571" s="164" t="str">
        <f ca="1">IFERROR(__xludf.DUMMYFUNCTION("""COMPUTED_VALUE"""),"no plate available")</f>
        <v>no plate available</v>
      </c>
      <c r="H2571" s="164" t="str">
        <f ca="1">IFERROR(__xludf.DUMMYFUNCTION("""COMPUTED_VALUE"""),"ROY BUNOL")</f>
        <v>ROY BUNOL</v>
      </c>
      <c r="I2571" s="164" t="str">
        <f ca="1">IFERROR(__xludf.DUMMYFUNCTION("""COMPUTED_VALUE"""),"ARPTECH")</f>
        <v>ARPTECH</v>
      </c>
      <c r="J2571" s="164" t="str">
        <f ca="1">IFERROR(__xludf.DUMMYFUNCTION("""COMPUTED_VALUE"""),"2023-10-0029SPLIT")</f>
        <v>2023-10-0029SPLIT</v>
      </c>
      <c r="K2571" s="164" t="str">
        <f ca="1">IFERROR(__xludf.DUMMYFUNCTION("""COMPUTED_VALUE"""),"ROY BUNOL")</f>
        <v>ROY BUNOL</v>
      </c>
      <c r="L2571" s="164" t="str">
        <f ca="1">IFERROR(__xludf.DUMMYFUNCTION("""COMPUTED_VALUE"""),"MARPO-NUEVA VALENCIA")</f>
        <v>MARPO-NUEVA VALENCIA</v>
      </c>
      <c r="M2571" s="164" t="str">
        <f ca="1">IFERROR(__xludf.DUMMYFUNCTION("""COMPUTED_VALUE"""),"SERVICEABLE")</f>
        <v>SERVICEABLE</v>
      </c>
      <c r="N2571" s="164"/>
    </row>
    <row r="2572" spans="1:14" ht="13.2" hidden="1">
      <c r="A2572" s="164" t="str">
        <f ca="1">IFERROR(__xludf.DUMMYFUNCTION("""COMPUTED_VALUE"""),"Region VI")</f>
        <v>Region VI</v>
      </c>
      <c r="B2572" s="164" t="str">
        <f ca="1">IFERROR(__xludf.DUMMYFUNCTION("""COMPUTED_VALUE"""),"GUIMARAS")</f>
        <v>GUIMARAS</v>
      </c>
      <c r="C2572" s="164" t="str">
        <f ca="1">IFERROR(__xludf.DUMMYFUNCTION("""COMPUTED_VALUE"""),"Double Cabin Pick-up Vehicles – Mitsubishi Strada")</f>
        <v>Double Cabin Pick-up Vehicles – Mitsubishi Strada</v>
      </c>
      <c r="D2572" s="164" t="str">
        <f ca="1">IFERROR(__xludf.DUMMYFUNCTION("""COMPUTED_VALUE"""),"₱ 1,752,400.00")</f>
        <v>₱ 1,752,400.00</v>
      </c>
      <c r="E2572" s="164" t="str">
        <f ca="1">IFERROR(__xludf.DUMMYFUNCTION("""COMPUTED_VALUE"""),"₱ -")</f>
        <v>₱ -</v>
      </c>
      <c r="F2572" s="164" t="str">
        <f ca="1">IFERROR(__xludf.DUMMYFUNCTION("""COMPUTED_VALUE"""),"2023-06-01-10201SP90-01")</f>
        <v>2023-06-01-10201SP90-01</v>
      </c>
      <c r="G2572" s="164" t="str">
        <f ca="1">IFERROR(__xludf.DUMMYFUNCTION("""COMPUTED_VALUE"""),"SNC 1230")</f>
        <v>SNC 1230</v>
      </c>
      <c r="H2572" s="164" t="str">
        <f ca="1">IFERROR(__xludf.DUMMYFUNCTION("""COMPUTED_VALUE"""),"MANUEL VELASCO")</f>
        <v>MANUEL VELASCO</v>
      </c>
      <c r="I2572" s="164" t="str">
        <f ca="1">IFERROR(__xludf.DUMMYFUNCTION("""COMPUTED_VALUE"""),"OIC-PARPO II")</f>
        <v>OIC-PARPO II</v>
      </c>
      <c r="J2572" s="164" t="str">
        <f ca="1">IFERROR(__xludf.DUMMYFUNCTION("""COMPUTED_VALUE"""),"2023-12-0030SPLIT")</f>
        <v>2023-12-0030SPLIT</v>
      </c>
      <c r="K2572" s="164" t="str">
        <f ca="1">IFERROR(__xludf.DUMMYFUNCTION("""COMPUTED_VALUE"""),"MANUEL VELASCO")</f>
        <v>MANUEL VELASCO</v>
      </c>
      <c r="L2572" s="164" t="str">
        <f ca="1">IFERROR(__xludf.DUMMYFUNCTION("""COMPUTED_VALUE"""),"PARO's OFFICE")</f>
        <v>PARO's OFFICE</v>
      </c>
      <c r="M2572" s="164" t="str">
        <f ca="1">IFERROR(__xludf.DUMMYFUNCTION("""COMPUTED_VALUE"""),"SERVICEABLE")</f>
        <v>SERVICEABLE</v>
      </c>
      <c r="N2572" s="164"/>
    </row>
    <row r="2573" spans="1:14" ht="13.2" hidden="1">
      <c r="A2573" s="164" t="str">
        <f ca="1">IFERROR(__xludf.DUMMYFUNCTION("""COMPUTED_VALUE"""),"Region VII")</f>
        <v>Region VII</v>
      </c>
      <c r="B2573" s="164" t="str">
        <f ca="1">IFERROR(__xludf.DUMMYFUNCTION("""COMPUTED_VALUE"""),"REGIONAL OFFICE")</f>
        <v>REGIONAL OFFICE</v>
      </c>
      <c r="C2573" s="164" t="str">
        <f ca="1">IFERROR(__xludf.DUMMYFUNCTION("""COMPUTED_VALUE"""),"Photocopier Machine – Kyocera")</f>
        <v>Photocopier Machine – Kyocera</v>
      </c>
      <c r="D2573" s="164" t="str">
        <f ca="1">IFERROR(__xludf.DUMMYFUNCTION("""COMPUTED_VALUE"""),"₱ 84,500.00")</f>
        <v>₱ 84,500.00</v>
      </c>
      <c r="E2573" s="164" t="str">
        <f ca="1">IFERROR(__xludf.DUMMYFUNCTION("""COMPUTED_VALUE"""),"₱ -")</f>
        <v>₱ -</v>
      </c>
      <c r="F2573" s="164" t="str">
        <f ca="1">IFERROR(__xludf.DUMMYFUNCTION("""COMPUTED_VALUE"""),"2022-05-02-10202SP55-01")</f>
        <v>2022-05-02-10202SP55-01</v>
      </c>
      <c r="G2573" s="164"/>
      <c r="H2573" s="164" t="str">
        <f ca="1">IFERROR(__xludf.DUMMYFUNCTION("""COMPUTED_VALUE"""),"ISAGANIE L. YEE / Mahilum, Josefina")</f>
        <v>ISAGANIE L. YEE / Mahilum, Josefina</v>
      </c>
      <c r="I2573" s="164" t="str">
        <f ca="1">IFERROR(__xludf.DUMMYFUNCTION("""COMPUTED_VALUE"""),"CARPO LTID")</f>
        <v>CARPO LTID</v>
      </c>
      <c r="J2573" s="164" t="str">
        <f ca="1">IFERROR(__xludf.DUMMYFUNCTION("""COMPUTED_VALUE"""),"SPLIT PAR NO. 22-12-048")</f>
        <v>SPLIT PAR NO. 22-12-048</v>
      </c>
      <c r="K2573" s="164" t="str">
        <f ca="1">IFERROR(__xludf.DUMMYFUNCTION("""COMPUTED_VALUE"""),"SPLIT PERSONNEL /Apelo, Ivy Rose")</f>
        <v>SPLIT PERSONNEL /Apelo, Ivy Rose</v>
      </c>
      <c r="L2573" s="164" t="str">
        <f ca="1">IFERROR(__xludf.DUMMYFUNCTION("""COMPUTED_VALUE"""),"REGIONAL OFFICE")</f>
        <v>REGIONAL OFFICE</v>
      </c>
      <c r="M2573" s="164" t="str">
        <f ca="1">IFERROR(__xludf.DUMMYFUNCTION("""COMPUTED_VALUE"""),"SERVICEABLE")</f>
        <v>SERVICEABLE</v>
      </c>
      <c r="N2573" s="164" t="str">
        <f ca="1">IFERROR(__xludf.DUMMYFUNCTION("""COMPUTED_VALUE"""),"OK")</f>
        <v>OK</v>
      </c>
    </row>
    <row r="2574" spans="1:14" ht="13.2" hidden="1">
      <c r="A2574" s="164" t="str">
        <f ca="1">IFERROR(__xludf.DUMMYFUNCTION("""COMPUTED_VALUE"""),"Region VII")</f>
        <v>Region VII</v>
      </c>
      <c r="B2574" s="164" t="str">
        <f ca="1">IFERROR(__xludf.DUMMYFUNCTION("""COMPUTED_VALUE"""),"REGIONAL OFFICE")</f>
        <v>REGIONAL OFFICE</v>
      </c>
      <c r="C2574" s="164" t="str">
        <f ca="1">IFERROR(__xludf.DUMMYFUNCTION("""COMPUTED_VALUE"""),"Desktop Computer – (Lenovo M70T)")</f>
        <v>Desktop Computer – (Lenovo M70T)</v>
      </c>
      <c r="D2574" s="164" t="str">
        <f ca="1">IFERROR(__xludf.DUMMYFUNCTION("""COMPUTED_VALUE"""),"₱ 75,468.00")</f>
        <v>₱ 75,468.00</v>
      </c>
      <c r="E2574" s="164" t="str">
        <f ca="1">IFERROR(__xludf.DUMMYFUNCTION("""COMPUTED_VALUE"""),"₱ -")</f>
        <v>₱ -</v>
      </c>
      <c r="F2574" s="164" t="str">
        <f ca="1">IFERROR(__xludf.DUMMYFUNCTION("""COMPUTED_VALUE"""),"2023-05-03-10201SP1299-01")</f>
        <v>2023-05-03-10201SP1299-01</v>
      </c>
      <c r="G2574" s="164"/>
      <c r="H2574" s="164" t="str">
        <f ca="1">IFERROR(__xludf.DUMMYFUNCTION("""COMPUTED_VALUE"""),"GINA MONICA S. CABAHUG")</f>
        <v>GINA MONICA S. CABAHUG</v>
      </c>
      <c r="I2574" s="164" t="str">
        <f ca="1">IFERROR(__xludf.DUMMYFUNCTION("""COMPUTED_VALUE"""),"PLANNING OFFICER III/CONCURRENT GSS HEAD")</f>
        <v>PLANNING OFFICER III/CONCURRENT GSS HEAD</v>
      </c>
      <c r="J2574" s="164" t="str">
        <f ca="1">IFERROR(__xludf.DUMMYFUNCTION("""COMPUTED_VALUE"""),"SPLIT PAR NO. 2023-04-002")</f>
        <v>SPLIT PAR NO. 2023-04-002</v>
      </c>
      <c r="K2574" s="164" t="str">
        <f ca="1">IFERROR(__xludf.DUMMYFUNCTION("""COMPUTED_VALUE"""),"JENNIFER N. ARCENAL")</f>
        <v>JENNIFER N. ARCENAL</v>
      </c>
      <c r="L2574" s="164" t="str">
        <f ca="1">IFERROR(__xludf.DUMMYFUNCTION("""COMPUTED_VALUE"""),"REGIONAL OFFICE")</f>
        <v>REGIONAL OFFICE</v>
      </c>
      <c r="M2574" s="164" t="str">
        <f ca="1">IFERROR(__xludf.DUMMYFUNCTION("""COMPUTED_VALUE"""),"SERVICEABLE")</f>
        <v>SERVICEABLE</v>
      </c>
      <c r="N2574" s="164"/>
    </row>
    <row r="2575" spans="1:14" ht="13.2" hidden="1">
      <c r="A2575" s="164" t="str">
        <f ca="1">IFERROR(__xludf.DUMMYFUNCTION("""COMPUTED_VALUE"""),"Region VII")</f>
        <v>Region VII</v>
      </c>
      <c r="B2575" s="164" t="str">
        <f ca="1">IFERROR(__xludf.DUMMYFUNCTION("""COMPUTED_VALUE"""),"REGIONAL OFFICE")</f>
        <v>REGIONAL OFFICE</v>
      </c>
      <c r="C2575" s="164" t="str">
        <f ca="1">IFERROR(__xludf.DUMMYFUNCTION("""COMPUTED_VALUE"""),"Desktop Computer – (Lenovo M70T)")</f>
        <v>Desktop Computer – (Lenovo M70T)</v>
      </c>
      <c r="D2575" s="164" t="str">
        <f ca="1">IFERROR(__xludf.DUMMYFUNCTION("""COMPUTED_VALUE"""),"₱ 75,468.00")</f>
        <v>₱ 75,468.00</v>
      </c>
      <c r="E2575" s="164" t="str">
        <f ca="1">IFERROR(__xludf.DUMMYFUNCTION("""COMPUTED_VALUE"""),"₱ -")</f>
        <v>₱ -</v>
      </c>
      <c r="F2575" s="164" t="str">
        <f ca="1">IFERROR(__xludf.DUMMYFUNCTION("""COMPUTED_VALUE"""),"2023-05-03-10201SP1300-01")</f>
        <v>2023-05-03-10201SP1300-01</v>
      </c>
      <c r="G2575" s="164"/>
      <c r="H2575" s="164" t="str">
        <f ca="1">IFERROR(__xludf.DUMMYFUNCTION("""COMPUTED_VALUE"""),"DETTA O. TIBAY")</f>
        <v>DETTA O. TIBAY</v>
      </c>
      <c r="I2575" s="164" t="str">
        <f ca="1">IFERROR(__xludf.DUMMYFUNCTION("""COMPUTED_VALUE"""),"BUDGET OFFICER")</f>
        <v>BUDGET OFFICER</v>
      </c>
      <c r="J2575" s="164" t="str">
        <f ca="1">IFERROR(__xludf.DUMMYFUNCTION("""COMPUTED_VALUE"""),"SPLIT PAR NO. 2023-04-003")</f>
        <v>SPLIT PAR NO. 2023-04-003</v>
      </c>
      <c r="K2575" s="164" t="str">
        <f ca="1">IFERROR(__xludf.DUMMYFUNCTION("""COMPUTED_VALUE"""),"CHARMAINE GRACE O. BARRIGA")</f>
        <v>CHARMAINE GRACE O. BARRIGA</v>
      </c>
      <c r="L2575" s="164" t="str">
        <f ca="1">IFERROR(__xludf.DUMMYFUNCTION("""COMPUTED_VALUE"""),"REGIONAL OFFICE")</f>
        <v>REGIONAL OFFICE</v>
      </c>
      <c r="M2575" s="164" t="str">
        <f ca="1">IFERROR(__xludf.DUMMYFUNCTION("""COMPUTED_VALUE"""),"SERVICEABLE")</f>
        <v>SERVICEABLE</v>
      </c>
      <c r="N2575" s="164"/>
    </row>
    <row r="2576" spans="1:14" ht="13.2" hidden="1">
      <c r="A2576" s="164" t="str">
        <f ca="1">IFERROR(__xludf.DUMMYFUNCTION("""COMPUTED_VALUE"""),"Region VII")</f>
        <v>Region VII</v>
      </c>
      <c r="B2576" s="164" t="str">
        <f ca="1">IFERROR(__xludf.DUMMYFUNCTION("""COMPUTED_VALUE"""),"REGIONAL OFFICE")</f>
        <v>REGIONAL OFFICE</v>
      </c>
      <c r="C2576" s="164" t="str">
        <f ca="1">IFERROR(__xludf.DUMMYFUNCTION("""COMPUTED_VALUE"""),"Desktop Computer – (Lenovo M70T)")</f>
        <v>Desktop Computer – (Lenovo M70T)</v>
      </c>
      <c r="D2576" s="164" t="str">
        <f ca="1">IFERROR(__xludf.DUMMYFUNCTION("""COMPUTED_VALUE"""),"₱ 75,468.00")</f>
        <v>₱ 75,468.00</v>
      </c>
      <c r="E2576" s="164" t="str">
        <f ca="1">IFERROR(__xludf.DUMMYFUNCTION("""COMPUTED_VALUE"""),"₱ -")</f>
        <v>₱ -</v>
      </c>
      <c r="F2576" s="164" t="str">
        <f ca="1">IFERROR(__xludf.DUMMYFUNCTION("""COMPUTED_VALUE"""),"2023-05-03-10201SP1301-01")</f>
        <v>2023-05-03-10201SP1301-01</v>
      </c>
      <c r="G2576" s="164"/>
      <c r="H2576" s="164" t="str">
        <f ca="1">IFERROR(__xludf.DUMMYFUNCTION("""COMPUTED_VALUE"""),"PAOLO GILBERTO B. CAPUL")</f>
        <v>PAOLO GILBERTO B. CAPUL</v>
      </c>
      <c r="I2576" s="164" t="str">
        <f ca="1">IFERROR(__xludf.DUMMYFUNCTION("""COMPUTED_VALUE"""),"COMPUTER PROGRAMMER")</f>
        <v>COMPUTER PROGRAMMER</v>
      </c>
      <c r="J2576" s="164" t="str">
        <f ca="1">IFERROR(__xludf.DUMMYFUNCTION("""COMPUTED_VALUE"""),"SPLIT PAR NO. 2023-10-022")</f>
        <v>SPLIT PAR NO. 2023-10-022</v>
      </c>
      <c r="K2576" s="164" t="str">
        <f ca="1">IFERROR(__xludf.DUMMYFUNCTION("""COMPUTED_VALUE"""),"ROCELYN A. GEMINO")</f>
        <v>ROCELYN A. GEMINO</v>
      </c>
      <c r="L2576" s="164" t="str">
        <f ca="1">IFERROR(__xludf.DUMMYFUNCTION("""COMPUTED_VALUE"""),"REGIONAL OFFICE")</f>
        <v>REGIONAL OFFICE</v>
      </c>
      <c r="M2576" s="164" t="str">
        <f ca="1">IFERROR(__xludf.DUMMYFUNCTION("""COMPUTED_VALUE"""),"SERVICEABLE")</f>
        <v>SERVICEABLE</v>
      </c>
      <c r="N2576" s="164"/>
    </row>
    <row r="2577" spans="1:14" ht="13.2" hidden="1">
      <c r="A2577" s="164" t="str">
        <f ca="1">IFERROR(__xludf.DUMMYFUNCTION("""COMPUTED_VALUE"""),"Region VII")</f>
        <v>Region VII</v>
      </c>
      <c r="B2577" s="164" t="str">
        <f ca="1">IFERROR(__xludf.DUMMYFUNCTION("""COMPUTED_VALUE"""),"REGIONAL OFFICE")</f>
        <v>REGIONAL OFFICE</v>
      </c>
      <c r="C2577" s="164" t="str">
        <f ca="1">IFERROR(__xludf.DUMMYFUNCTION("""COMPUTED_VALUE"""),"Desktop Computer – (Lenovo M70T)")</f>
        <v>Desktop Computer – (Lenovo M70T)</v>
      </c>
      <c r="D2577" s="164" t="str">
        <f ca="1">IFERROR(__xludf.DUMMYFUNCTION("""COMPUTED_VALUE"""),"₱ 75,468.00")</f>
        <v>₱ 75,468.00</v>
      </c>
      <c r="E2577" s="164" t="str">
        <f ca="1">IFERROR(__xludf.DUMMYFUNCTION("""COMPUTED_VALUE"""),"₱ -")</f>
        <v>₱ -</v>
      </c>
      <c r="F2577" s="164" t="str">
        <f ca="1">IFERROR(__xludf.DUMMYFUNCTION("""COMPUTED_VALUE"""),"2023-05-03-10201SP1302-01")</f>
        <v>2023-05-03-10201SP1302-01</v>
      </c>
      <c r="G2577" s="164"/>
      <c r="H2577" s="164" t="str">
        <f ca="1">IFERROR(__xludf.DUMMYFUNCTION("""COMPUTED_VALUE"""),"PUBLIO C. ESTENZO / Buenaflor, Judy Ann")</f>
        <v>PUBLIO C. ESTENZO / Buenaflor, Judy Ann</v>
      </c>
      <c r="I2577" s="164" t="str">
        <f ca="1">IFERROR(__xludf.DUMMYFUNCTION("""COMPUTED_VALUE"""),"PLANNING OFFER IV")</f>
        <v>PLANNING OFFER IV</v>
      </c>
      <c r="J2577" s="164" t="str">
        <f ca="1">IFERROR(__xludf.DUMMYFUNCTION("""COMPUTED_VALUE"""),"SPLIT PAR NO. 2023-04-005")</f>
        <v>SPLIT PAR NO. 2023-04-005</v>
      </c>
      <c r="K2577" s="164" t="str">
        <f ca="1">IFERROR(__xludf.DUMMYFUNCTION("""COMPUTED_VALUE"""),"ENGR. KLYDE GLENN S. GONZALES")</f>
        <v>ENGR. KLYDE GLENN S. GONZALES</v>
      </c>
      <c r="L2577" s="164" t="str">
        <f ca="1">IFERROR(__xludf.DUMMYFUNCTION("""COMPUTED_VALUE"""),"REGIONAL OFFICE")</f>
        <v>REGIONAL OFFICE</v>
      </c>
      <c r="M2577" s="164" t="str">
        <f ca="1">IFERROR(__xludf.DUMMYFUNCTION("""COMPUTED_VALUE"""),"SERVICEABLE")</f>
        <v>SERVICEABLE</v>
      </c>
      <c r="N2577" s="164"/>
    </row>
    <row r="2578" spans="1:14" ht="13.2" hidden="1">
      <c r="A2578" s="164" t="str">
        <f ca="1">IFERROR(__xludf.DUMMYFUNCTION("""COMPUTED_VALUE"""),"Region VII")</f>
        <v>Region VII</v>
      </c>
      <c r="B2578" s="164" t="str">
        <f ca="1">IFERROR(__xludf.DUMMYFUNCTION("""COMPUTED_VALUE"""),"REGIONAL OFFICE")</f>
        <v>REGIONAL OFFICE</v>
      </c>
      <c r="C2578" s="164" t="str">
        <f ca="1">IFERROR(__xludf.DUMMYFUNCTION("""COMPUTED_VALUE"""),"Desktop Computer – (Lenovo M70T)")</f>
        <v>Desktop Computer – (Lenovo M70T)</v>
      </c>
      <c r="D2578" s="164" t="str">
        <f ca="1">IFERROR(__xludf.DUMMYFUNCTION("""COMPUTED_VALUE"""),"₱ 75,468.00")</f>
        <v>₱ 75,468.00</v>
      </c>
      <c r="E2578" s="164" t="str">
        <f ca="1">IFERROR(__xludf.DUMMYFUNCTION("""COMPUTED_VALUE"""),"₱ -")</f>
        <v>₱ -</v>
      </c>
      <c r="F2578" s="164" t="str">
        <f ca="1">IFERROR(__xludf.DUMMYFUNCTION("""COMPUTED_VALUE"""),"2023-05-03-10201SP1303-01")</f>
        <v>2023-05-03-10201SP1303-01</v>
      </c>
      <c r="G2578" s="164"/>
      <c r="H2578" s="164" t="str">
        <f ca="1">IFERROR(__xludf.DUMMYFUNCTION("""COMPUTED_VALUE"""),"PUBLIO C. ESTENZO")</f>
        <v>PUBLIO C. ESTENZO</v>
      </c>
      <c r="I2578" s="164" t="str">
        <f ca="1">IFERROR(__xludf.DUMMYFUNCTION("""COMPUTED_VALUE"""),"PLANNING OFFER IV")</f>
        <v>PLANNING OFFER IV</v>
      </c>
      <c r="J2578" s="164" t="str">
        <f ca="1">IFERROR(__xludf.DUMMYFUNCTION("""COMPUTED_VALUE"""),"SPLIT PAR NO. 2023-04-006")</f>
        <v>SPLIT PAR NO. 2023-04-006</v>
      </c>
      <c r="K2578" s="164" t="str">
        <f ca="1">IFERROR(__xludf.DUMMYFUNCTION("""COMPUTED_VALUE"""),"PUBLIO C. ESTENZO")</f>
        <v>PUBLIO C. ESTENZO</v>
      </c>
      <c r="L2578" s="164" t="str">
        <f ca="1">IFERROR(__xludf.DUMMYFUNCTION("""COMPUTED_VALUE"""),"REGIONAL OFFICE")</f>
        <v>REGIONAL OFFICE</v>
      </c>
      <c r="M2578" s="164" t="str">
        <f ca="1">IFERROR(__xludf.DUMMYFUNCTION("""COMPUTED_VALUE"""),"SERVICEABLE")</f>
        <v>SERVICEABLE</v>
      </c>
      <c r="N2578" s="164"/>
    </row>
    <row r="2579" spans="1:14" ht="13.2" hidden="1">
      <c r="A2579" s="164" t="str">
        <f ca="1">IFERROR(__xludf.DUMMYFUNCTION("""COMPUTED_VALUE"""),"Region VII")</f>
        <v>Region VII</v>
      </c>
      <c r="B2579" s="164" t="str">
        <f ca="1">IFERROR(__xludf.DUMMYFUNCTION("""COMPUTED_VALUE"""),"REGIONAL OFFICE")</f>
        <v>REGIONAL OFFICE</v>
      </c>
      <c r="C2579" s="164" t="str">
        <f ca="1">IFERROR(__xludf.DUMMYFUNCTION("""COMPUTED_VALUE"""),"Desktop Computer – (Lenovo M70T)")</f>
        <v>Desktop Computer – (Lenovo M70T)</v>
      </c>
      <c r="D2579" s="164" t="str">
        <f ca="1">IFERROR(__xludf.DUMMYFUNCTION("""COMPUTED_VALUE"""),"₱ 75,468.00")</f>
        <v>₱ 75,468.00</v>
      </c>
      <c r="E2579" s="164" t="str">
        <f ca="1">IFERROR(__xludf.DUMMYFUNCTION("""COMPUTED_VALUE"""),"₱ -")</f>
        <v>₱ -</v>
      </c>
      <c r="F2579" s="164" t="str">
        <f ca="1">IFERROR(__xludf.DUMMYFUNCTION("""COMPUTED_VALUE"""),"2023-05-03-10201SP1304-01")</f>
        <v>2023-05-03-10201SP1304-01</v>
      </c>
      <c r="G2579" s="164"/>
      <c r="H2579" s="164" t="str">
        <f ca="1">IFERROR(__xludf.DUMMYFUNCTION("""COMPUTED_VALUE"""),"FERDINAND V. YU")</f>
        <v>FERDINAND V. YU</v>
      </c>
      <c r="I2579" s="164" t="str">
        <f ca="1">IFERROR(__xludf.DUMMYFUNCTION("""COMPUTED_VALUE"""),"CARPO PBDD")</f>
        <v>CARPO PBDD</v>
      </c>
      <c r="J2579" s="164" t="str">
        <f ca="1">IFERROR(__xludf.DUMMYFUNCTION("""COMPUTED_VALUE"""),"SPLIT PAR NO. 2023-04-007")</f>
        <v>SPLIT PAR NO. 2023-04-007</v>
      </c>
      <c r="K2579" s="164" t="str">
        <f ca="1">IFERROR(__xludf.DUMMYFUNCTION("""COMPUTED_VALUE"""),"JOSE MARI M. ESPENIDO")</f>
        <v>JOSE MARI M. ESPENIDO</v>
      </c>
      <c r="L2579" s="164" t="str">
        <f ca="1">IFERROR(__xludf.DUMMYFUNCTION("""COMPUTED_VALUE"""),"REGIONAL OFFICE")</f>
        <v>REGIONAL OFFICE</v>
      </c>
      <c r="M2579" s="164" t="str">
        <f ca="1">IFERROR(__xludf.DUMMYFUNCTION("""COMPUTED_VALUE"""),"SERVICEABLE")</f>
        <v>SERVICEABLE</v>
      </c>
      <c r="N2579" s="164"/>
    </row>
    <row r="2580" spans="1:14" ht="13.2" hidden="1">
      <c r="A2580" s="164" t="str">
        <f ca="1">IFERROR(__xludf.DUMMYFUNCTION("""COMPUTED_VALUE"""),"Region VII")</f>
        <v>Region VII</v>
      </c>
      <c r="B2580" s="164" t="str">
        <f ca="1">IFERROR(__xludf.DUMMYFUNCTION("""COMPUTED_VALUE"""),"REGIONAL OFFICE")</f>
        <v>REGIONAL OFFICE</v>
      </c>
      <c r="C2580" s="164" t="str">
        <f ca="1">IFERROR(__xludf.DUMMYFUNCTION("""COMPUTED_VALUE"""),"Desktop Computer – (Lenovo M70T)")</f>
        <v>Desktop Computer – (Lenovo M70T)</v>
      </c>
      <c r="D2580" s="164" t="str">
        <f ca="1">IFERROR(__xludf.DUMMYFUNCTION("""COMPUTED_VALUE"""),"₱ 75,468.00")</f>
        <v>₱ 75,468.00</v>
      </c>
      <c r="E2580" s="164" t="str">
        <f ca="1">IFERROR(__xludf.DUMMYFUNCTION("""COMPUTED_VALUE"""),"₱ -")</f>
        <v>₱ -</v>
      </c>
      <c r="F2580" s="164" t="str">
        <f ca="1">IFERROR(__xludf.DUMMYFUNCTION("""COMPUTED_VALUE"""),"2023-05-03-10201SP1305-01")</f>
        <v>2023-05-03-10201SP1305-01</v>
      </c>
      <c r="G2580" s="164"/>
      <c r="H2580" s="164" t="str">
        <f ca="1">IFERROR(__xludf.DUMMYFUNCTION("""COMPUTED_VALUE"""),"Atty. SARIPAH MANONGGIRING (Vice LUA, DENISE LEAVINA)")</f>
        <v>Atty. SARIPAH MANONGGIRING (Vice LUA, DENISE LEAVINA)</v>
      </c>
      <c r="I2580" s="164" t="str">
        <f ca="1">IFERROR(__xludf.DUMMYFUNCTION("""COMPUTED_VALUE"""),"ATTORNEY IV /Chief Legal")</f>
        <v>ATTORNEY IV /Chief Legal</v>
      </c>
      <c r="J2580" s="164" t="str">
        <f ca="1">IFERROR(__xludf.DUMMYFUNCTION("""COMPUTED_VALUE"""),"SPLIT PAR NO. 2023-04-008")</f>
        <v>SPLIT PAR NO. 2023-04-008</v>
      </c>
      <c r="K2580" s="164" t="str">
        <f ca="1">IFERROR(__xludf.DUMMYFUNCTION("""COMPUTED_VALUE"""),"Legal Staff")</f>
        <v>Legal Staff</v>
      </c>
      <c r="L2580" s="164" t="str">
        <f ca="1">IFERROR(__xludf.DUMMYFUNCTION("""COMPUTED_VALUE"""),"REGIONAL OFFICE")</f>
        <v>REGIONAL OFFICE</v>
      </c>
      <c r="M2580" s="164" t="str">
        <f ca="1">IFERROR(__xludf.DUMMYFUNCTION("""COMPUTED_VALUE"""),"SERVICEABLE")</f>
        <v>SERVICEABLE</v>
      </c>
      <c r="N2580" s="164"/>
    </row>
    <row r="2581" spans="1:14" ht="13.2" hidden="1">
      <c r="A2581" s="164" t="str">
        <f ca="1">IFERROR(__xludf.DUMMYFUNCTION("""COMPUTED_VALUE"""),"Region VII")</f>
        <v>Region VII</v>
      </c>
      <c r="B2581" s="164" t="str">
        <f ca="1">IFERROR(__xludf.DUMMYFUNCTION("""COMPUTED_VALUE"""),"REGIONAL OFFICE")</f>
        <v>REGIONAL OFFICE</v>
      </c>
      <c r="C2581" s="164" t="str">
        <f ca="1">IFERROR(__xludf.DUMMYFUNCTION("""COMPUTED_VALUE"""),"Desktop Computer – (Lenovo M70T)")</f>
        <v>Desktop Computer – (Lenovo M70T)</v>
      </c>
      <c r="D2581" s="164" t="str">
        <f ca="1">IFERROR(__xludf.DUMMYFUNCTION("""COMPUTED_VALUE"""),"₱ 75,468.00")</f>
        <v>₱ 75,468.00</v>
      </c>
      <c r="E2581" s="164" t="str">
        <f ca="1">IFERROR(__xludf.DUMMYFUNCTION("""COMPUTED_VALUE"""),"₱ -")</f>
        <v>₱ -</v>
      </c>
      <c r="F2581" s="164" t="str">
        <f ca="1">IFERROR(__xludf.DUMMYFUNCTION("""COMPUTED_VALUE"""),"2023-05-03-10201SP1306-01")</f>
        <v>2023-05-03-10201SP1306-01</v>
      </c>
      <c r="G2581" s="164"/>
      <c r="H2581" s="164" t="str">
        <f ca="1">IFERROR(__xludf.DUMMYFUNCTION("""COMPUTED_VALUE"""),"ENGR. ALJER A. DOMAPIAS")</f>
        <v>ENGR. ALJER A. DOMAPIAS</v>
      </c>
      <c r="I2581" s="164" t="str">
        <f ca="1">IFERROR(__xludf.DUMMYFUNCTION("""COMPUTED_VALUE"""),"ENGINEER III")</f>
        <v>ENGINEER III</v>
      </c>
      <c r="J2581" s="164" t="str">
        <f ca="1">IFERROR(__xludf.DUMMYFUNCTION("""COMPUTED_VALUE"""),"SPLIT PAR NO. 2023-04-009")</f>
        <v>SPLIT PAR NO. 2023-04-009</v>
      </c>
      <c r="K2581" s="164" t="str">
        <f ca="1">IFERROR(__xludf.DUMMYFUNCTION("""COMPUTED_VALUE"""),"ENGR. AXEL ROSE C. MARIMON")</f>
        <v>ENGR. AXEL ROSE C. MARIMON</v>
      </c>
      <c r="L2581" s="164" t="str">
        <f ca="1">IFERROR(__xludf.DUMMYFUNCTION("""COMPUTED_VALUE"""),"REGIONAL OFFICE")</f>
        <v>REGIONAL OFFICE</v>
      </c>
      <c r="M2581" s="164" t="str">
        <f ca="1">IFERROR(__xludf.DUMMYFUNCTION("""COMPUTED_VALUE"""),"SERVICEABLE")</f>
        <v>SERVICEABLE</v>
      </c>
      <c r="N2581" s="164"/>
    </row>
    <row r="2582" spans="1:14" ht="13.2" hidden="1">
      <c r="A2582" s="164" t="str">
        <f ca="1">IFERROR(__xludf.DUMMYFUNCTION("""COMPUTED_VALUE"""),"Region VII")</f>
        <v>Region VII</v>
      </c>
      <c r="B2582" s="164" t="str">
        <f ca="1">IFERROR(__xludf.DUMMYFUNCTION("""COMPUTED_VALUE"""),"REGIONAL OFFICE")</f>
        <v>REGIONAL OFFICE</v>
      </c>
      <c r="C2582" s="164" t="str">
        <f ca="1">IFERROR(__xludf.DUMMYFUNCTION("""COMPUTED_VALUE"""),"Desktop Computer – (Lenovo M70T)")</f>
        <v>Desktop Computer – (Lenovo M70T)</v>
      </c>
      <c r="D2582" s="164" t="str">
        <f ca="1">IFERROR(__xludf.DUMMYFUNCTION("""COMPUTED_VALUE"""),"₱ 75,468.00")</f>
        <v>₱ 75,468.00</v>
      </c>
      <c r="E2582" s="164" t="str">
        <f ca="1">IFERROR(__xludf.DUMMYFUNCTION("""COMPUTED_VALUE"""),"₱ -")</f>
        <v>₱ -</v>
      </c>
      <c r="F2582" s="164" t="str">
        <f ca="1">IFERROR(__xludf.DUMMYFUNCTION("""COMPUTED_VALUE"""),"2023-05-03-10201SP1307-01")</f>
        <v>2023-05-03-10201SP1307-01</v>
      </c>
      <c r="G2582" s="164"/>
      <c r="H2582" s="164" t="str">
        <f ca="1">IFERROR(__xludf.DUMMYFUNCTION("""COMPUTED_VALUE"""),"ENGR. ALJER A. DOMAPIAS")</f>
        <v>ENGR. ALJER A. DOMAPIAS</v>
      </c>
      <c r="I2582" s="164" t="str">
        <f ca="1">IFERROR(__xludf.DUMMYFUNCTION("""COMPUTED_VALUE"""),"ENGINEER III")</f>
        <v>ENGINEER III</v>
      </c>
      <c r="J2582" s="164" t="str">
        <f ca="1">IFERROR(__xludf.DUMMYFUNCTION("""COMPUTED_VALUE"""),"SPLIT PAR NO. 2023-04-010")</f>
        <v>SPLIT PAR NO. 2023-04-010</v>
      </c>
      <c r="K2582" s="164" t="str">
        <f ca="1">IFERROR(__xludf.DUMMYFUNCTION("""COMPUTED_VALUE"""),"EDUARDO GAVIOLA JR.")</f>
        <v>EDUARDO GAVIOLA JR.</v>
      </c>
      <c r="L2582" s="164" t="str">
        <f ca="1">IFERROR(__xludf.DUMMYFUNCTION("""COMPUTED_VALUE"""),"REGIONAL OFFICE")</f>
        <v>REGIONAL OFFICE</v>
      </c>
      <c r="M2582" s="164" t="str">
        <f ca="1">IFERROR(__xludf.DUMMYFUNCTION("""COMPUTED_VALUE"""),"SERVICEABLE")</f>
        <v>SERVICEABLE</v>
      </c>
      <c r="N2582" s="164"/>
    </row>
    <row r="2583" spans="1:14" ht="13.2" hidden="1">
      <c r="A2583" s="164" t="str">
        <f ca="1">IFERROR(__xludf.DUMMYFUNCTION("""COMPUTED_VALUE"""),"Region VII")</f>
        <v>Region VII</v>
      </c>
      <c r="B2583" s="164" t="str">
        <f ca="1">IFERROR(__xludf.DUMMYFUNCTION("""COMPUTED_VALUE"""),"REGIONAL OFFICE")</f>
        <v>REGIONAL OFFICE</v>
      </c>
      <c r="C2583" s="164" t="str">
        <f ca="1">IFERROR(__xludf.DUMMYFUNCTION("""COMPUTED_VALUE"""),"Desktop Computer – (Lenovo M70T)")</f>
        <v>Desktop Computer – (Lenovo M70T)</v>
      </c>
      <c r="D2583" s="164" t="str">
        <f ca="1">IFERROR(__xludf.DUMMYFUNCTION("""COMPUTED_VALUE"""),"₱ 75,468.00")</f>
        <v>₱ 75,468.00</v>
      </c>
      <c r="E2583" s="164" t="str">
        <f ca="1">IFERROR(__xludf.DUMMYFUNCTION("""COMPUTED_VALUE"""),"₱ -")</f>
        <v>₱ -</v>
      </c>
      <c r="F2583" s="164" t="str">
        <f ca="1">IFERROR(__xludf.DUMMYFUNCTION("""COMPUTED_VALUE"""),"2023-05-03-10201SP1308-01")</f>
        <v>2023-05-03-10201SP1308-01</v>
      </c>
      <c r="G2583" s="164"/>
      <c r="H2583" s="164" t="str">
        <f ca="1">IFERROR(__xludf.DUMMYFUNCTION("""COMPUTED_VALUE"""),"ENGR. ALJER A. DOMAPIAS/Carreon, Ralph Rex
 (vice Lua, Denise Leavina)")</f>
        <v>ENGR. ALJER A. DOMAPIAS/Carreon, Ralph Rex
 (vice Lua, Denise Leavina)</v>
      </c>
      <c r="I2583" s="164" t="str">
        <f ca="1">IFERROR(__xludf.DUMMYFUNCTION("""COMPUTED_VALUE"""),"ENGINEER III")</f>
        <v>ENGINEER III</v>
      </c>
      <c r="J2583" s="164" t="str">
        <f ca="1">IFERROR(__xludf.DUMMYFUNCTION("""COMPUTED_VALUE"""),"SPLIT PAR NO. 2023-04-011")</f>
        <v>SPLIT PAR NO. 2023-04-011</v>
      </c>
      <c r="K2583" s="164" t="str">
        <f ca="1">IFERROR(__xludf.DUMMYFUNCTION("""COMPUTED_VALUE"""),"SHERWIN C. FLORES/Apelo, Ivy Rose")</f>
        <v>SHERWIN C. FLORES/Apelo, Ivy Rose</v>
      </c>
      <c r="L2583" s="164" t="str">
        <f ca="1">IFERROR(__xludf.DUMMYFUNCTION("""COMPUTED_VALUE"""),"REGIONAL OFFICE")</f>
        <v>REGIONAL OFFICE</v>
      </c>
      <c r="M2583" s="164" t="str">
        <f ca="1">IFERROR(__xludf.DUMMYFUNCTION("""COMPUTED_VALUE"""),"SERVICEABLE")</f>
        <v>SERVICEABLE</v>
      </c>
      <c r="N2583" s="164" t="str">
        <f ca="1">IFERROR(__xludf.DUMMYFUNCTION("""COMPUTED_VALUE"""),"UPS and Printer unserviceable")</f>
        <v>UPS and Printer unserviceable</v>
      </c>
    </row>
    <row r="2584" spans="1:14" ht="13.2" hidden="1">
      <c r="A2584" s="164" t="str">
        <f ca="1">IFERROR(__xludf.DUMMYFUNCTION("""COMPUTED_VALUE"""),"Region VII")</f>
        <v>Region VII</v>
      </c>
      <c r="B2584" s="164" t="str">
        <f ca="1">IFERROR(__xludf.DUMMYFUNCTION("""COMPUTED_VALUE"""),"REGIONAL OFFICE")</f>
        <v>REGIONAL OFFICE</v>
      </c>
      <c r="C2584" s="164" t="str">
        <f ca="1">IFERROR(__xludf.DUMMYFUNCTION("""COMPUTED_VALUE"""),"Desktop Computer – (Lenovo M70T)")</f>
        <v>Desktop Computer – (Lenovo M70T)</v>
      </c>
      <c r="D2584" s="164" t="str">
        <f ca="1">IFERROR(__xludf.DUMMYFUNCTION("""COMPUTED_VALUE"""),"₱ 75,468.00")</f>
        <v>₱ 75,468.00</v>
      </c>
      <c r="E2584" s="164" t="str">
        <f ca="1">IFERROR(__xludf.DUMMYFUNCTION("""COMPUTED_VALUE"""),"₱ -")</f>
        <v>₱ -</v>
      </c>
      <c r="F2584" s="164" t="str">
        <f ca="1">IFERROR(__xludf.DUMMYFUNCTION("""COMPUTED_VALUE"""),"2023-05-03-10201SP1309-01")</f>
        <v>2023-05-03-10201SP1309-01</v>
      </c>
      <c r="G2584" s="164"/>
      <c r="H2584" s="164" t="str">
        <f ca="1">IFERROR(__xludf.DUMMYFUNCTION("""COMPUTED_VALUE"""),"Atty. MARIANITO Q. MOJICA, JR.")</f>
        <v>Atty. MARIANITO Q. MOJICA, JR.</v>
      </c>
      <c r="I2584" s="164" t="str">
        <f ca="1">IFERROR(__xludf.DUMMYFUNCTION("""COMPUTED_VALUE"""),"ARD FOR OPERATIONS")</f>
        <v>ARD FOR OPERATIONS</v>
      </c>
      <c r="J2584" s="164" t="str">
        <f ca="1">IFERROR(__xludf.DUMMYFUNCTION("""COMPUTED_VALUE"""),"SPLIT PAR NO. 2023-04-012")</f>
        <v>SPLIT PAR NO. 2023-04-012</v>
      </c>
      <c r="K2584" s="164" t="str">
        <f ca="1">IFERROR(__xludf.DUMMYFUNCTION("""COMPUTED_VALUE"""),"Atty. MARIANITO Q. MOJICA, JR.")</f>
        <v>Atty. MARIANITO Q. MOJICA, JR.</v>
      </c>
      <c r="L2584" s="164" t="str">
        <f ca="1">IFERROR(__xludf.DUMMYFUNCTION("""COMPUTED_VALUE"""),"REGIONAL OFFICE")</f>
        <v>REGIONAL OFFICE</v>
      </c>
      <c r="M2584" s="164" t="str">
        <f ca="1">IFERROR(__xludf.DUMMYFUNCTION("""COMPUTED_VALUE"""),"SERVICEABLE")</f>
        <v>SERVICEABLE</v>
      </c>
      <c r="N2584" s="164"/>
    </row>
    <row r="2585" spans="1:14" ht="13.2" hidden="1">
      <c r="A2585" s="164" t="str">
        <f ca="1">IFERROR(__xludf.DUMMYFUNCTION("""COMPUTED_VALUE"""),"Region VII")</f>
        <v>Region VII</v>
      </c>
      <c r="B2585" s="164" t="str">
        <f ca="1">IFERROR(__xludf.DUMMYFUNCTION("""COMPUTED_VALUE"""),"REGIONAL OFFICE")</f>
        <v>REGIONAL OFFICE</v>
      </c>
      <c r="C2585" s="164" t="str">
        <f ca="1">IFERROR(__xludf.DUMMYFUNCTION("""COMPUTED_VALUE"""),"HANDHELD GPS – MODEL P6")</f>
        <v>HANDHELD GPS – MODEL P6</v>
      </c>
      <c r="D2585" s="164" t="str">
        <f ca="1">IFERROR(__xludf.DUMMYFUNCTION("""COMPUTED_VALUE"""),"₱ 79,000.00")</f>
        <v>₱ 79,000.00</v>
      </c>
      <c r="E2585" s="164" t="str">
        <f ca="1">IFERROR(__xludf.DUMMYFUNCTION("""COMPUTED_VALUE"""),"₱ -")</f>
        <v>₱ -</v>
      </c>
      <c r="F2585" s="164" t="str">
        <f ca="1">IFERROR(__xludf.DUMMYFUNCTION("""COMPUTED_VALUE"""),"2023-05-14-10202SP61-01")</f>
        <v>2023-05-14-10202SP61-01</v>
      </c>
      <c r="G2585" s="164"/>
      <c r="H2585" s="164" t="str">
        <f ca="1">IFERROR(__xludf.DUMMYFUNCTION("""COMPUTED_VALUE"""),"ARTHUR D. DULCERO")</f>
        <v>ARTHUR D. DULCERO</v>
      </c>
      <c r="I2585" s="164" t="str">
        <f ca="1">IFERROR(__xludf.DUMMYFUNCTION("""COMPUTED_VALUE"""),"ARD FOR ADMINISTRATION")</f>
        <v>ARD FOR ADMINISTRATION</v>
      </c>
      <c r="J2585" s="164" t="str">
        <f ca="1">IFERROR(__xludf.DUMMYFUNCTION("""COMPUTED_VALUE"""),"SPLIT PAR NO. 2023-04-013")</f>
        <v>SPLIT PAR NO. 2023-04-013</v>
      </c>
      <c r="K2585" s="164" t="str">
        <f ca="1">IFERROR(__xludf.DUMMYFUNCTION("""COMPUTED_VALUE"""),"ARTHUR D. DULCERO")</f>
        <v>ARTHUR D. DULCERO</v>
      </c>
      <c r="L2585" s="164" t="str">
        <f ca="1">IFERROR(__xludf.DUMMYFUNCTION("""COMPUTED_VALUE"""),"REGIONAL OFFICE")</f>
        <v>REGIONAL OFFICE</v>
      </c>
      <c r="M2585" s="164" t="str">
        <f ca="1">IFERROR(__xludf.DUMMYFUNCTION("""COMPUTED_VALUE"""),"SERVICEABLE")</f>
        <v>SERVICEABLE</v>
      </c>
      <c r="N2585" s="164"/>
    </row>
    <row r="2586" spans="1:14" ht="13.2" hidden="1">
      <c r="A2586" s="164" t="str">
        <f ca="1">IFERROR(__xludf.DUMMYFUNCTION("""COMPUTED_VALUE"""),"Region VII")</f>
        <v>Region VII</v>
      </c>
      <c r="B2586" s="164" t="str">
        <f ca="1">IFERROR(__xludf.DUMMYFUNCTION("""COMPUTED_VALUE"""),"REGIONAL OFFICE")</f>
        <v>REGIONAL OFFICE</v>
      </c>
      <c r="C2586" s="164" t="str">
        <f ca="1">IFERROR(__xludf.DUMMYFUNCTION("""COMPUTED_VALUE"""),"HANDHELD GPS – MODEL P6")</f>
        <v>HANDHELD GPS – MODEL P6</v>
      </c>
      <c r="D2586" s="164" t="str">
        <f ca="1">IFERROR(__xludf.DUMMYFUNCTION("""COMPUTED_VALUE"""),"₱ 79,000.00")</f>
        <v>₱ 79,000.00</v>
      </c>
      <c r="E2586" s="164" t="str">
        <f ca="1">IFERROR(__xludf.DUMMYFUNCTION("""COMPUTED_VALUE"""),"₱ -")</f>
        <v>₱ -</v>
      </c>
      <c r="F2586" s="164" t="str">
        <f ca="1">IFERROR(__xludf.DUMMYFUNCTION("""COMPUTED_VALUE"""),"2023-05-14-10202SP62-01")</f>
        <v>2023-05-14-10202SP62-01</v>
      </c>
      <c r="G2586" s="164"/>
      <c r="H2586" s="164" t="str">
        <f ca="1">IFERROR(__xludf.DUMMYFUNCTION("""COMPUTED_VALUE"""),"Atty. MARIANITO Q. MOJICA, JR.")</f>
        <v>Atty. MARIANITO Q. MOJICA, JR.</v>
      </c>
      <c r="I2586" s="164" t="str">
        <f ca="1">IFERROR(__xludf.DUMMYFUNCTION("""COMPUTED_VALUE"""),"ARD FOR OPERATIONS")</f>
        <v>ARD FOR OPERATIONS</v>
      </c>
      <c r="J2586" s="164" t="str">
        <f ca="1">IFERROR(__xludf.DUMMYFUNCTION("""COMPUTED_VALUE"""),"SPLIT PAR NO. 2023-04-014")</f>
        <v>SPLIT PAR NO. 2023-04-014</v>
      </c>
      <c r="K2586" s="164" t="str">
        <f ca="1">IFERROR(__xludf.DUMMYFUNCTION("""COMPUTED_VALUE"""),"Atty. MARIANITO Q. MOJICA, JR.")</f>
        <v>Atty. MARIANITO Q. MOJICA, JR.</v>
      </c>
      <c r="L2586" s="164" t="str">
        <f ca="1">IFERROR(__xludf.DUMMYFUNCTION("""COMPUTED_VALUE"""),"REGIONAL OFFICE")</f>
        <v>REGIONAL OFFICE</v>
      </c>
      <c r="M2586" s="164" t="str">
        <f ca="1">IFERROR(__xludf.DUMMYFUNCTION("""COMPUTED_VALUE"""),"SERVICEABLE")</f>
        <v>SERVICEABLE</v>
      </c>
      <c r="N2586" s="164"/>
    </row>
    <row r="2587" spans="1:14" ht="13.2" hidden="1">
      <c r="A2587" s="164" t="str">
        <f ca="1">IFERROR(__xludf.DUMMYFUNCTION("""COMPUTED_VALUE"""),"Region VII")</f>
        <v>Region VII</v>
      </c>
      <c r="B2587" s="164" t="str">
        <f ca="1">IFERROR(__xludf.DUMMYFUNCTION("""COMPUTED_VALUE"""),"REGIONAL OFFICE")</f>
        <v>REGIONAL OFFICE</v>
      </c>
      <c r="C2587" s="164" t="str">
        <f ca="1">IFERROR(__xludf.DUMMYFUNCTION("""COMPUTED_VALUE"""),"HANDHELD GPS – MODEL P6")</f>
        <v>HANDHELD GPS – MODEL P6</v>
      </c>
      <c r="D2587" s="164" t="str">
        <f ca="1">IFERROR(__xludf.DUMMYFUNCTION("""COMPUTED_VALUE"""),"₱ 79,000.00")</f>
        <v>₱ 79,000.00</v>
      </c>
      <c r="E2587" s="164" t="str">
        <f ca="1">IFERROR(__xludf.DUMMYFUNCTION("""COMPUTED_VALUE"""),"₱ -")</f>
        <v>₱ -</v>
      </c>
      <c r="F2587" s="164" t="str">
        <f ca="1">IFERROR(__xludf.DUMMYFUNCTION("""COMPUTED_VALUE"""),"2023-05-14-10202SP65-01")</f>
        <v>2023-05-14-10202SP65-01</v>
      </c>
      <c r="G2587" s="164"/>
      <c r="H2587" s="164" t="str">
        <f ca="1">IFERROR(__xludf.DUMMYFUNCTION("""COMPUTED_VALUE"""),"REGGIE V. JAYO")</f>
        <v>REGGIE V. JAYO</v>
      </c>
      <c r="I2587" s="164" t="str">
        <f ca="1">IFERROR(__xludf.DUMMYFUNCTION("""COMPUTED_VALUE"""),"ARPO II /Engineer III")</f>
        <v>ARPO II /Engineer III</v>
      </c>
      <c r="J2587" s="164" t="str">
        <f ca="1">IFERROR(__xludf.DUMMYFUNCTION("""COMPUTED_VALUE"""),"SPLIT PAR NO. 2023-04-015")</f>
        <v>SPLIT PAR NO. 2023-04-015</v>
      </c>
      <c r="K2587" s="164" t="str">
        <f ca="1">IFERROR(__xludf.DUMMYFUNCTION("""COMPUTED_VALUE"""),"REGGIE V. JAYO")</f>
        <v>REGGIE V. JAYO</v>
      </c>
      <c r="L2587" s="164" t="str">
        <f ca="1">IFERROR(__xludf.DUMMYFUNCTION("""COMPUTED_VALUE"""),"REGIONAL OFFICE")</f>
        <v>REGIONAL OFFICE</v>
      </c>
      <c r="M2587" s="164" t="str">
        <f ca="1">IFERROR(__xludf.DUMMYFUNCTION("""COMPUTED_VALUE"""),"SERVICEABLE")</f>
        <v>SERVICEABLE</v>
      </c>
      <c r="N2587" s="164"/>
    </row>
    <row r="2588" spans="1:14" ht="13.2" hidden="1">
      <c r="A2588" s="164" t="str">
        <f ca="1">IFERROR(__xludf.DUMMYFUNCTION("""COMPUTED_VALUE"""),"Region VII")</f>
        <v>Region VII</v>
      </c>
      <c r="B2588" s="164" t="str">
        <f ca="1">IFERROR(__xludf.DUMMYFUNCTION("""COMPUTED_VALUE"""),"REGIONAL OFFICE")</f>
        <v>REGIONAL OFFICE</v>
      </c>
      <c r="C2588" s="164" t="str">
        <f ca="1">IFERROR(__xludf.DUMMYFUNCTION("""COMPUTED_VALUE"""),"Laptop – (ACER EXTENSA EX215-55G i7)")</f>
        <v>Laptop – (ACER EXTENSA EX215-55G i7)</v>
      </c>
      <c r="D2588" s="164" t="str">
        <f ca="1">IFERROR(__xludf.DUMMYFUNCTION("""COMPUTED_VALUE"""),"₱ 75,468.00")</f>
        <v>₱ 75,468.00</v>
      </c>
      <c r="E2588" s="164" t="str">
        <f ca="1">IFERROR(__xludf.DUMMYFUNCTION("""COMPUTED_VALUE"""),"₱ -")</f>
        <v>₱ -</v>
      </c>
      <c r="F2588" s="164" t="str">
        <f ca="1">IFERROR(__xludf.DUMMYFUNCTION("""COMPUTED_VALUE"""),"2023-05-03-10202SP382-01")</f>
        <v>2023-05-03-10202SP382-01</v>
      </c>
      <c r="G2588" s="164"/>
      <c r="H2588" s="164" t="str">
        <f ca="1">IFERROR(__xludf.DUMMYFUNCTION("""COMPUTED_VALUE"""),"Atty. MARIANITO Q. MOJICA, JR.")</f>
        <v>Atty. MARIANITO Q. MOJICA, JR.</v>
      </c>
      <c r="I2588" s="164" t="str">
        <f ca="1">IFERROR(__xludf.DUMMYFUNCTION("""COMPUTED_VALUE"""),"ARD FOR OPERATIONS")</f>
        <v>ARD FOR OPERATIONS</v>
      </c>
      <c r="J2588" s="164" t="str">
        <f ca="1">IFERROR(__xludf.DUMMYFUNCTION("""COMPUTED_VALUE"""),"SPLIT PAR NO. 2023-09-017")</f>
        <v>SPLIT PAR NO. 2023-09-017</v>
      </c>
      <c r="K2588" s="164" t="str">
        <f ca="1">IFERROR(__xludf.DUMMYFUNCTION("""COMPUTED_VALUE"""),"Atty. MARIANITO Q. MOJICA, JR.")</f>
        <v>Atty. MARIANITO Q. MOJICA, JR.</v>
      </c>
      <c r="L2588" s="164" t="str">
        <f ca="1">IFERROR(__xludf.DUMMYFUNCTION("""COMPUTED_VALUE"""),"REGIONAL OFFICE")</f>
        <v>REGIONAL OFFICE</v>
      </c>
      <c r="M2588" s="164" t="str">
        <f ca="1">IFERROR(__xludf.DUMMYFUNCTION("""COMPUTED_VALUE"""),"SERVICEABLE")</f>
        <v>SERVICEABLE</v>
      </c>
      <c r="N2588" s="164"/>
    </row>
    <row r="2589" spans="1:14" ht="13.2" hidden="1">
      <c r="A2589" s="164" t="str">
        <f ca="1">IFERROR(__xludf.DUMMYFUNCTION("""COMPUTED_VALUE"""),"Region VII")</f>
        <v>Region VII</v>
      </c>
      <c r="B2589" s="164" t="str">
        <f ca="1">IFERROR(__xludf.DUMMYFUNCTION("""COMPUTED_VALUE"""),"REGIONAL OFFICE")</f>
        <v>REGIONAL OFFICE</v>
      </c>
      <c r="C2589" s="164" t="str">
        <f ca="1">IFERROR(__xludf.DUMMYFUNCTION("""COMPUTED_VALUE"""),"Laptop – (ACER EXTENSA EX215-55G i7)")</f>
        <v>Laptop – (ACER EXTENSA EX215-55G i7)</v>
      </c>
      <c r="D2589" s="164" t="str">
        <f ca="1">IFERROR(__xludf.DUMMYFUNCTION("""COMPUTED_VALUE"""),"₱ 75,468.00")</f>
        <v>₱ 75,468.00</v>
      </c>
      <c r="E2589" s="164" t="str">
        <f ca="1">IFERROR(__xludf.DUMMYFUNCTION("""COMPUTED_VALUE"""),"₱ -")</f>
        <v>₱ -</v>
      </c>
      <c r="F2589" s="164" t="str">
        <f ca="1">IFERROR(__xludf.DUMMYFUNCTION("""COMPUTED_VALUE"""),"2023-05-03-10202SP383-01")</f>
        <v>2023-05-03-10202SP383-01</v>
      </c>
      <c r="G2589" s="164"/>
      <c r="H2589" s="164" t="str">
        <f ca="1">IFERROR(__xludf.DUMMYFUNCTION("""COMPUTED_VALUE"""),"ARTHUR D. DULCERO")</f>
        <v>ARTHUR D. DULCERO</v>
      </c>
      <c r="I2589" s="164" t="str">
        <f ca="1">IFERROR(__xludf.DUMMYFUNCTION("""COMPUTED_VALUE"""),"ARD FOR ADMINISTRATION")</f>
        <v>ARD FOR ADMINISTRATION</v>
      </c>
      <c r="J2589" s="164" t="str">
        <f ca="1">IFERROR(__xludf.DUMMYFUNCTION("""COMPUTED_VALUE"""),"SPLIT PAR NO. 2023-09-018")</f>
        <v>SPLIT PAR NO. 2023-09-018</v>
      </c>
      <c r="K2589" s="164" t="str">
        <f ca="1">IFERROR(__xludf.DUMMYFUNCTION("""COMPUTED_VALUE"""),"ARTHUR D. DULCERO")</f>
        <v>ARTHUR D. DULCERO</v>
      </c>
      <c r="L2589" s="164" t="str">
        <f ca="1">IFERROR(__xludf.DUMMYFUNCTION("""COMPUTED_VALUE"""),"REGIONAL OFFICE")</f>
        <v>REGIONAL OFFICE</v>
      </c>
      <c r="M2589" s="164" t="str">
        <f ca="1">IFERROR(__xludf.DUMMYFUNCTION("""COMPUTED_VALUE"""),"SERVICEABLE")</f>
        <v>SERVICEABLE</v>
      </c>
      <c r="N2589" s="164"/>
    </row>
    <row r="2590" spans="1:14" ht="13.2" hidden="1">
      <c r="A2590" s="164" t="str">
        <f ca="1">IFERROR(__xludf.DUMMYFUNCTION("""COMPUTED_VALUE"""),"Region VII")</f>
        <v>Region VII</v>
      </c>
      <c r="B2590" s="164" t="str">
        <f ca="1">IFERROR(__xludf.DUMMYFUNCTION("""COMPUTED_VALUE"""),"REGIONAL OFFICE")</f>
        <v>REGIONAL OFFICE</v>
      </c>
      <c r="C2590" s="164" t="str">
        <f ca="1">IFERROR(__xludf.DUMMYFUNCTION("""COMPUTED_VALUE"""),"Laptop – (ACER EXTENSA EX215-55G i7)")</f>
        <v>Laptop – (ACER EXTENSA EX215-55G i7)</v>
      </c>
      <c r="D2590" s="164" t="str">
        <f ca="1">IFERROR(__xludf.DUMMYFUNCTION("""COMPUTED_VALUE"""),"₱ 75,468.00")</f>
        <v>₱ 75,468.00</v>
      </c>
      <c r="E2590" s="164" t="str">
        <f ca="1">IFERROR(__xludf.DUMMYFUNCTION("""COMPUTED_VALUE"""),"₱ -")</f>
        <v>₱ -</v>
      </c>
      <c r="F2590" s="164" t="str">
        <f ca="1">IFERROR(__xludf.DUMMYFUNCTION("""COMPUTED_VALUE"""),"2023-05-03-10202SP384-01")</f>
        <v>2023-05-03-10202SP384-01</v>
      </c>
      <c r="G2590" s="164"/>
      <c r="H2590" s="164" t="str">
        <f ca="1">IFERROR(__xludf.DUMMYFUNCTION("""COMPUTED_VALUE"""),"LEOMIDES R. VILLAREAL")</f>
        <v>LEOMIDES R. VILLAREAL</v>
      </c>
      <c r="I2590" s="164" t="str">
        <f ca="1">IFERROR(__xludf.DUMMYFUNCTION("""COMPUTED_VALUE"""),"REGIONAL DIRECTOR")</f>
        <v>REGIONAL DIRECTOR</v>
      </c>
      <c r="J2590" s="164" t="str">
        <f ca="1">IFERROR(__xludf.DUMMYFUNCTION("""COMPUTED_VALUE"""),"SPLIT PAR NO. 2023-09-019")</f>
        <v>SPLIT PAR NO. 2023-09-019</v>
      </c>
      <c r="K2590" s="164" t="str">
        <f ca="1">IFERROR(__xludf.DUMMYFUNCTION("""COMPUTED_VALUE"""),"LEOMIDES R. VILLAREAL")</f>
        <v>LEOMIDES R. VILLAREAL</v>
      </c>
      <c r="L2590" s="164" t="str">
        <f ca="1">IFERROR(__xludf.DUMMYFUNCTION("""COMPUTED_VALUE"""),"REGIONAL OFFICE")</f>
        <v>REGIONAL OFFICE</v>
      </c>
      <c r="M2590" s="164" t="str">
        <f ca="1">IFERROR(__xludf.DUMMYFUNCTION("""COMPUTED_VALUE"""),"SERVICEABLE")</f>
        <v>SERVICEABLE</v>
      </c>
      <c r="N2590" s="164"/>
    </row>
    <row r="2591" spans="1:14" ht="13.2" hidden="1">
      <c r="A2591" s="164" t="str">
        <f ca="1">IFERROR(__xludf.DUMMYFUNCTION("""COMPUTED_VALUE"""),"Region VII")</f>
        <v>Region VII</v>
      </c>
      <c r="B2591" s="164" t="str">
        <f ca="1">IFERROR(__xludf.DUMMYFUNCTION("""COMPUTED_VALUE"""),"REGIONAL OFFICE")</f>
        <v>REGIONAL OFFICE</v>
      </c>
      <c r="C2591" s="164" t="str">
        <f ca="1">IFERROR(__xludf.DUMMYFUNCTION("""COMPUTED_VALUE"""),"Desktop Computer – (HP Pro SFF 280G9)")</f>
        <v>Desktop Computer – (HP Pro SFF 280G9)</v>
      </c>
      <c r="D2591" s="164" t="str">
        <f ca="1">IFERROR(__xludf.DUMMYFUNCTION("""COMPUTED_VALUE"""),"₱ 78,898.00")</f>
        <v>₱ 78,898.00</v>
      </c>
      <c r="E2591" s="164" t="str">
        <f ca="1">IFERROR(__xludf.DUMMYFUNCTION("""COMPUTED_VALUE"""),"₱ -")</f>
        <v>₱ -</v>
      </c>
      <c r="F2591" s="164" t="str">
        <f ca="1">IFERROR(__xludf.DUMMYFUNCTION("""COMPUTED_VALUE"""),"2023-05-03-10201SP455-01")</f>
        <v>2023-05-03-10201SP455-01</v>
      </c>
      <c r="G2591" s="164"/>
      <c r="H2591" s="164" t="str">
        <f ca="1">IFERROR(__xludf.DUMMYFUNCTION("""COMPUTED_VALUE"""),"Atty. MARIANITO Q. MOJICA, JR.")</f>
        <v>Atty. MARIANITO Q. MOJICA, JR.</v>
      </c>
      <c r="I2591" s="164" t="str">
        <f ca="1">IFERROR(__xludf.DUMMYFUNCTION("""COMPUTED_VALUE"""),"ARD FOR OPERATIONS")</f>
        <v>ARD FOR OPERATIONS</v>
      </c>
      <c r="J2591" s="164" t="str">
        <f ca="1">IFERROR(__xludf.DUMMYFUNCTION("""COMPUTED_VALUE"""),"SPLIT PAR NO. 2023-09-020")</f>
        <v>SPLIT PAR NO. 2023-09-020</v>
      </c>
      <c r="K2591" s="164" t="str">
        <f ca="1">IFERROR(__xludf.DUMMYFUNCTION("""COMPUTED_VALUE"""),"Atty. SARIPAH MANONGGIRING")</f>
        <v>Atty. SARIPAH MANONGGIRING</v>
      </c>
      <c r="L2591" s="164" t="str">
        <f ca="1">IFERROR(__xludf.DUMMYFUNCTION("""COMPUTED_VALUE"""),"REGIONAL OFFICE")</f>
        <v>REGIONAL OFFICE</v>
      </c>
      <c r="M2591" s="164" t="str">
        <f ca="1">IFERROR(__xludf.DUMMYFUNCTION("""COMPUTED_VALUE"""),"SERVICEABLE")</f>
        <v>SERVICEABLE</v>
      </c>
      <c r="N2591" s="164"/>
    </row>
    <row r="2592" spans="1:14" ht="13.2" hidden="1">
      <c r="A2592" s="164" t="str">
        <f ca="1">IFERROR(__xludf.DUMMYFUNCTION("""COMPUTED_VALUE"""),"Region VII")</f>
        <v>Region VII</v>
      </c>
      <c r="B2592" s="164" t="str">
        <f ca="1">IFERROR(__xludf.DUMMYFUNCTION("""COMPUTED_VALUE"""),"REGIONAL OFFICE")</f>
        <v>REGIONAL OFFICE</v>
      </c>
      <c r="C2592" s="164" t="str">
        <f ca="1">IFERROR(__xludf.DUMMYFUNCTION("""COMPUTED_VALUE"""),"Desktop Computer – (HP Pro SFF 280G9)")</f>
        <v>Desktop Computer – (HP Pro SFF 280G9)</v>
      </c>
      <c r="D2592" s="164" t="str">
        <f ca="1">IFERROR(__xludf.DUMMYFUNCTION("""COMPUTED_VALUE"""),"₱ 78,898.00")</f>
        <v>₱ 78,898.00</v>
      </c>
      <c r="E2592" s="164" t="str">
        <f ca="1">IFERROR(__xludf.DUMMYFUNCTION("""COMPUTED_VALUE"""),"₱ -")</f>
        <v>₱ -</v>
      </c>
      <c r="F2592" s="164" t="str">
        <f ca="1">IFERROR(__xludf.DUMMYFUNCTION("""COMPUTED_VALUE"""),"2023-05-03-10201SP456-01")</f>
        <v>2023-05-03-10201SP456-01</v>
      </c>
      <c r="G2592" s="164"/>
      <c r="H2592" s="164" t="str">
        <f ca="1">IFERROR(__xludf.DUMMYFUNCTION("""COMPUTED_VALUE"""),"Vice Atty. MARIANITO Q. MOJICA, JR. / Manonggiring, Saripah")</f>
        <v>Vice Atty. MARIANITO Q. MOJICA, JR. / Manonggiring, Saripah</v>
      </c>
      <c r="I2592" s="164" t="str">
        <f ca="1">IFERROR(__xludf.DUMMYFUNCTION("""COMPUTED_VALUE"""),"ARD FOR OPERATIONS /Chief Legal")</f>
        <v>ARD FOR OPERATIONS /Chief Legal</v>
      </c>
      <c r="J2592" s="164" t="str">
        <f ca="1">IFERROR(__xludf.DUMMYFUNCTION("""COMPUTED_VALUE"""),"SPLIT PAR NO. 2023-09-020")</f>
        <v>SPLIT PAR NO. 2023-09-020</v>
      </c>
      <c r="K2592" s="164" t="str">
        <f ca="1">IFERROR(__xludf.DUMMYFUNCTION("""COMPUTED_VALUE"""),"Atty. DARYL BASALO /Darpo Legal")</f>
        <v>Atty. DARYL BASALO /Darpo Legal</v>
      </c>
      <c r="L2592" s="164" t="str">
        <f ca="1">IFERROR(__xludf.DUMMYFUNCTION("""COMPUTED_VALUE"""),"REGIONAL OFFICE")</f>
        <v>REGIONAL OFFICE</v>
      </c>
      <c r="M2592" s="164" t="str">
        <f ca="1">IFERROR(__xludf.DUMMYFUNCTION("""COMPUTED_VALUE"""),"SERVICEABLE")</f>
        <v>SERVICEABLE</v>
      </c>
      <c r="N2592" s="164" t="str">
        <f ca="1">IFERROR(__xludf.DUMMYFUNCTION("""COMPUTED_VALUE"""),"Printer Unserviceable")</f>
        <v>Printer Unserviceable</v>
      </c>
    </row>
    <row r="2593" spans="1:14" ht="13.2" hidden="1">
      <c r="A2593" s="164" t="str">
        <f ca="1">IFERROR(__xludf.DUMMYFUNCTION("""COMPUTED_VALUE"""),"Region VII")</f>
        <v>Region VII</v>
      </c>
      <c r="B2593" s="164" t="str">
        <f ca="1">IFERROR(__xludf.DUMMYFUNCTION("""COMPUTED_VALUE"""),"REGIONAL OFFICE")</f>
        <v>REGIONAL OFFICE</v>
      </c>
      <c r="C2593" s="164" t="str">
        <f ca="1">IFERROR(__xludf.DUMMYFUNCTION("""COMPUTED_VALUE"""),"Desktop Computer – (HP Pro SFF 280G9)")</f>
        <v>Desktop Computer – (HP Pro SFF 280G9)</v>
      </c>
      <c r="D2593" s="164" t="str">
        <f ca="1">IFERROR(__xludf.DUMMYFUNCTION("""COMPUTED_VALUE"""),"₱ 78,898.00")</f>
        <v>₱ 78,898.00</v>
      </c>
      <c r="E2593" s="164" t="str">
        <f ca="1">IFERROR(__xludf.DUMMYFUNCTION("""COMPUTED_VALUE"""),"₱ -")</f>
        <v>₱ -</v>
      </c>
      <c r="F2593" s="164" t="str">
        <f ca="1">IFERROR(__xludf.DUMMYFUNCTION("""COMPUTED_VALUE"""),"2023-05-03-10201SP457-01")</f>
        <v>2023-05-03-10201SP457-01</v>
      </c>
      <c r="G2593" s="164"/>
      <c r="H2593" s="164" t="str">
        <f ca="1">IFERROR(__xludf.DUMMYFUNCTION("""COMPUTED_VALUE"""),"Vice Atty. MARIANITO Q. MOJICA, JR. / Manonggiring, Saripah")</f>
        <v>Vice Atty. MARIANITO Q. MOJICA, JR. / Manonggiring, Saripah</v>
      </c>
      <c r="I2593" s="164" t="str">
        <f ca="1">IFERROR(__xludf.DUMMYFUNCTION("""COMPUTED_VALUE"""),"ARD FOR OPERATIONS")</f>
        <v>ARD FOR OPERATIONS</v>
      </c>
      <c r="J2593" s="164" t="str">
        <f ca="1">IFERROR(__xludf.DUMMYFUNCTION("""COMPUTED_VALUE"""),"SPLIT PAR NO. 2023-09-020")</f>
        <v>SPLIT PAR NO. 2023-09-020</v>
      </c>
      <c r="K2593" s="164" t="str">
        <f ca="1">IFERROR(__xludf.DUMMYFUNCTION("""COMPUTED_VALUE"""),"Legal Assistant I /Manonggiring, Saripah")</f>
        <v>Legal Assistant I /Manonggiring, Saripah</v>
      </c>
      <c r="L2593" s="164" t="str">
        <f ca="1">IFERROR(__xludf.DUMMYFUNCTION("""COMPUTED_VALUE"""),"REGIONAL OFFICE")</f>
        <v>REGIONAL OFFICE</v>
      </c>
      <c r="M2593" s="164" t="str">
        <f ca="1">IFERROR(__xludf.DUMMYFUNCTION("""COMPUTED_VALUE"""),"SERVICEABLE")</f>
        <v>SERVICEABLE</v>
      </c>
      <c r="N2593" s="164" t="str">
        <f ca="1">IFERROR(__xludf.DUMMYFUNCTION("""COMPUTED_VALUE"""),"Printer Unserviceable")</f>
        <v>Printer Unserviceable</v>
      </c>
    </row>
    <row r="2594" spans="1:14" ht="13.2" hidden="1">
      <c r="A2594" s="164" t="str">
        <f ca="1">IFERROR(__xludf.DUMMYFUNCTION("""COMPUTED_VALUE"""),"Region VII")</f>
        <v>Region VII</v>
      </c>
      <c r="B2594" s="164" t="str">
        <f ca="1">IFERROR(__xludf.DUMMYFUNCTION("""COMPUTED_VALUE"""),"REGIONAL OFFICE")</f>
        <v>REGIONAL OFFICE</v>
      </c>
      <c r="C2594" s="164" t="str">
        <f ca="1">IFERROR(__xludf.DUMMYFUNCTION("""COMPUTED_VALUE"""),"Desktop Computer – (HP Pro SFF 280G9)")</f>
        <v>Desktop Computer – (HP Pro SFF 280G9)</v>
      </c>
      <c r="D2594" s="164" t="str">
        <f ca="1">IFERROR(__xludf.DUMMYFUNCTION("""COMPUTED_VALUE"""),"₱ 78,898.00")</f>
        <v>₱ 78,898.00</v>
      </c>
      <c r="E2594" s="164" t="str">
        <f ca="1">IFERROR(__xludf.DUMMYFUNCTION("""COMPUTED_VALUE"""),"₱ -")</f>
        <v>₱ -</v>
      </c>
      <c r="F2594" s="164" t="str">
        <f ca="1">IFERROR(__xludf.DUMMYFUNCTION("""COMPUTED_VALUE"""),"2023-05-03-10201SP458-01")</f>
        <v>2023-05-03-10201SP458-01</v>
      </c>
      <c r="G2594" s="164"/>
      <c r="H2594" s="164" t="str">
        <f ca="1">IFERROR(__xludf.DUMMYFUNCTION("""COMPUTED_VALUE"""),"Atty. MARIANITO Q. MOJICA, JR.")</f>
        <v>Atty. MARIANITO Q. MOJICA, JR.</v>
      </c>
      <c r="I2594" s="164" t="str">
        <f ca="1">IFERROR(__xludf.DUMMYFUNCTION("""COMPUTED_VALUE"""),"ARD FOR OPERATIONS")</f>
        <v>ARD FOR OPERATIONS</v>
      </c>
      <c r="J2594" s="164" t="str">
        <f ca="1">IFERROR(__xludf.DUMMYFUNCTION("""COMPUTED_VALUE"""),"SPLIT PAR NO. 2023-09-020")</f>
        <v>SPLIT PAR NO. 2023-09-020</v>
      </c>
      <c r="K2594" s="164" t="str">
        <f ca="1">IFERROR(__xludf.DUMMYFUNCTION("""COMPUTED_VALUE"""),"Legal Assistant II")</f>
        <v>Legal Assistant II</v>
      </c>
      <c r="L2594" s="164" t="str">
        <f ca="1">IFERROR(__xludf.DUMMYFUNCTION("""COMPUTED_VALUE"""),"REGIONAL OFFICE")</f>
        <v>REGIONAL OFFICE</v>
      </c>
      <c r="M2594" s="164" t="str">
        <f ca="1">IFERROR(__xludf.DUMMYFUNCTION("""COMPUTED_VALUE"""),"SERVICEABLE")</f>
        <v>SERVICEABLE</v>
      </c>
      <c r="N2594" s="164"/>
    </row>
    <row r="2595" spans="1:14" ht="13.2" hidden="1">
      <c r="A2595" s="164" t="str">
        <f ca="1">IFERROR(__xludf.DUMMYFUNCTION("""COMPUTED_VALUE"""),"Region VII")</f>
        <v>Region VII</v>
      </c>
      <c r="B2595" s="164" t="str">
        <f ca="1">IFERROR(__xludf.DUMMYFUNCTION("""COMPUTED_VALUE"""),"REGIONAL OFFICE")</f>
        <v>REGIONAL OFFICE</v>
      </c>
      <c r="C2595" s="164" t="str">
        <f ca="1">IFERROR(__xludf.DUMMYFUNCTION("""COMPUTED_VALUE"""),"Desktop Computer – (HP Pro SFF 280G9)")</f>
        <v>Desktop Computer – (HP Pro SFF 280G9)</v>
      </c>
      <c r="D2595" s="164" t="str">
        <f ca="1">IFERROR(__xludf.DUMMYFUNCTION("""COMPUTED_VALUE"""),"₱ 78,898.00")</f>
        <v>₱ 78,898.00</v>
      </c>
      <c r="E2595" s="164" t="str">
        <f ca="1">IFERROR(__xludf.DUMMYFUNCTION("""COMPUTED_VALUE"""),"₱ -")</f>
        <v>₱ -</v>
      </c>
      <c r="F2595" s="164" t="str">
        <f ca="1">IFERROR(__xludf.DUMMYFUNCTION("""COMPUTED_VALUE"""),"2023-05-03-10201SP459-01")</f>
        <v>2023-05-03-10201SP459-01</v>
      </c>
      <c r="G2595" s="164"/>
      <c r="H2595" s="164" t="str">
        <f ca="1">IFERROR(__xludf.DUMMYFUNCTION("""COMPUTED_VALUE"""),"ENGR. ALJER A. DOMAPIAS /Enemecio, Theresa Lynn
 (vice Lua, Denise Leavina)")</f>
        <v>ENGR. ALJER A. DOMAPIAS /Enemecio, Theresa Lynn
 (vice Lua, Denise Leavina)</v>
      </c>
      <c r="I2595" s="164" t="str">
        <f ca="1">IFERROR(__xludf.DUMMYFUNCTION("""COMPUTED_VALUE"""),"ENGINEER III")</f>
        <v>ENGINEER III</v>
      </c>
      <c r="J2595" s="164" t="str">
        <f ca="1">IFERROR(__xludf.DUMMYFUNCTION("""COMPUTED_VALUE"""),"SPLIT PAR NO. 2023-09-021")</f>
        <v>SPLIT PAR NO. 2023-09-021</v>
      </c>
      <c r="K2595" s="164" t="str">
        <f ca="1">IFERROR(__xludf.DUMMYFUNCTION("""COMPUTED_VALUE"""),"DANICA DAWN T. LOPEZ")</f>
        <v>DANICA DAWN T. LOPEZ</v>
      </c>
      <c r="L2595" s="164" t="str">
        <f ca="1">IFERROR(__xludf.DUMMYFUNCTION("""COMPUTED_VALUE"""),"REGIONAL OFFICE")</f>
        <v>REGIONAL OFFICE</v>
      </c>
      <c r="M2595" s="164" t="str">
        <f ca="1">IFERROR(__xludf.DUMMYFUNCTION("""COMPUTED_VALUE"""),"SERVICEABLE")</f>
        <v>SERVICEABLE</v>
      </c>
      <c r="N2595" s="164"/>
    </row>
    <row r="2596" spans="1:14" ht="13.2" hidden="1">
      <c r="A2596" s="164" t="str">
        <f ca="1">IFERROR(__xludf.DUMMYFUNCTION("""COMPUTED_VALUE"""),"Region VII")</f>
        <v>Region VII</v>
      </c>
      <c r="B2596" s="164" t="str">
        <f ca="1">IFERROR(__xludf.DUMMYFUNCTION("""COMPUTED_VALUE"""),"REGIONAL OFFICE")</f>
        <v>REGIONAL OFFICE</v>
      </c>
      <c r="C2596" s="164" t="str">
        <f ca="1">IFERROR(__xludf.DUMMYFUNCTION("""COMPUTED_VALUE"""),"Laptop – (ACER EXTENSA EX215-55G i7)")</f>
        <v>Laptop – (ACER EXTENSA EX215-55G i7)</v>
      </c>
      <c r="D2596" s="164" t="str">
        <f ca="1">IFERROR(__xludf.DUMMYFUNCTION("""COMPUTED_VALUE"""),"75,468.00")</f>
        <v>75,468.00</v>
      </c>
      <c r="E2596" s="164" t="str">
        <f ca="1">IFERROR(__xludf.DUMMYFUNCTION("""COMPUTED_VALUE"""),"₱ -")</f>
        <v>₱ -</v>
      </c>
      <c r="F2596" s="164" t="str">
        <f ca="1">IFERROR(__xludf.DUMMYFUNCTION("""COMPUTED_VALUE"""),"2023-05-0310202SP58-01")</f>
        <v>2023-05-0310202SP58-01</v>
      </c>
      <c r="G2596" s="164"/>
      <c r="H2596" s="164" t="str">
        <f ca="1">IFERROR(__xludf.DUMMYFUNCTION("""COMPUTED_VALUE"""),"Infiesto, Celmer")</f>
        <v>Infiesto, Celmer</v>
      </c>
      <c r="I2596" s="164" t="str">
        <f ca="1">IFERROR(__xludf.DUMMYFUNCTION("""COMPUTED_VALUE"""),"Regional Strategic Media Coordinator")</f>
        <v>Regional Strategic Media Coordinator</v>
      </c>
      <c r="J2596" s="164" t="str">
        <f ca="1">IFERROR(__xludf.DUMMYFUNCTION("""COMPUTED_VALUE"""),"2023-05-03-022SPLIT")</f>
        <v>2023-05-03-022SPLIT</v>
      </c>
      <c r="K2596" s="164" t="str">
        <f ca="1">IFERROR(__xludf.DUMMYFUNCTION("""COMPUTED_VALUE"""),"Becarri, Stephanie")</f>
        <v>Becarri, Stephanie</v>
      </c>
      <c r="L2596" s="164" t="str">
        <f ca="1">IFERROR(__xludf.DUMMYFUNCTION("""COMPUTED_VALUE"""),"REGIONAL OFFICE")</f>
        <v>REGIONAL OFFICE</v>
      </c>
      <c r="M2596" s="164" t="str">
        <f ca="1">IFERROR(__xludf.DUMMYFUNCTION("""COMPUTED_VALUE"""),"SERVICEABLE")</f>
        <v>SERVICEABLE</v>
      </c>
      <c r="N2596" s="164"/>
    </row>
    <row r="2597" spans="1:14" ht="13.2" hidden="1">
      <c r="A2597" s="164" t="str">
        <f ca="1">IFERROR(__xludf.DUMMYFUNCTION("""COMPUTED_VALUE"""),"Region VII")</f>
        <v>Region VII</v>
      </c>
      <c r="B2597" s="164" t="str">
        <f ca="1">IFERROR(__xludf.DUMMYFUNCTION("""COMPUTED_VALUE"""),"REGIONAL OFFICE")</f>
        <v>REGIONAL OFFICE</v>
      </c>
      <c r="C2597" s="164" t="str">
        <f ca="1">IFERROR(__xludf.DUMMYFUNCTION("""COMPUTED_VALUE"""),"Desktop Computer – (HP Pro SFF 280G9)")</f>
        <v>Desktop Computer – (HP Pro SFF 280G9)</v>
      </c>
      <c r="D2597" s="164" t="str">
        <f ca="1">IFERROR(__xludf.DUMMYFUNCTION("""COMPUTED_VALUE"""),"₱ 78,898.00")</f>
        <v>₱ 78,898.00</v>
      </c>
      <c r="E2597" s="164" t="str">
        <f ca="1">IFERROR(__xludf.DUMMYFUNCTION("""COMPUTED_VALUE"""),"₱ -")</f>
        <v>₱ -</v>
      </c>
      <c r="F2597" s="164" t="str">
        <f ca="1">IFERROR(__xludf.DUMMYFUNCTION("""COMPUTED_VALUE"""),"2023-05-03-10201SP460-01")</f>
        <v>2023-05-03-10201SP460-01</v>
      </c>
      <c r="G2597" s="164"/>
      <c r="H2597" s="164" t="str">
        <f ca="1">IFERROR(__xludf.DUMMYFUNCTION("""COMPUTED_VALUE"""),"GINA MONICA S. CABAHUG")</f>
        <v>GINA MONICA S. CABAHUG</v>
      </c>
      <c r="I2597" s="164" t="str">
        <f ca="1">IFERROR(__xludf.DUMMYFUNCTION("""COMPUTED_VALUE"""),"DENR")</f>
        <v>DENR</v>
      </c>
      <c r="J2597" s="164" t="str">
        <f ca="1">IFERROR(__xludf.DUMMYFUNCTION("""COMPUTED_VALUE"""),"-")</f>
        <v>-</v>
      </c>
      <c r="K2597" s="164" t="str">
        <f ca="1">IFERROR(__xludf.DUMMYFUNCTION("""COMPUTED_VALUE"""),"DENR SPLIT PERSONNEL")</f>
        <v>DENR SPLIT PERSONNEL</v>
      </c>
      <c r="L2597" s="164" t="str">
        <f ca="1">IFERROR(__xludf.DUMMYFUNCTION("""COMPUTED_VALUE"""),"DENR")</f>
        <v>DENR</v>
      </c>
      <c r="M2597" s="164" t="str">
        <f ca="1">IFERROR(__xludf.DUMMYFUNCTION("""COMPUTED_VALUE"""),"SERVICEABLE")</f>
        <v>SERVICEABLE</v>
      </c>
      <c r="N2597" s="164"/>
    </row>
    <row r="2598" spans="1:14" ht="13.2" hidden="1">
      <c r="A2598" s="164" t="str">
        <f ca="1">IFERROR(__xludf.DUMMYFUNCTION("""COMPUTED_VALUE"""),"Region VII")</f>
        <v>Region VII</v>
      </c>
      <c r="B2598" s="164" t="str">
        <f ca="1">IFERROR(__xludf.DUMMYFUNCTION("""COMPUTED_VALUE"""),"REGIONAL OFFICE")</f>
        <v>REGIONAL OFFICE</v>
      </c>
      <c r="C2598" s="164" t="str">
        <f ca="1">IFERROR(__xludf.DUMMYFUNCTION("""COMPUTED_VALUE"""),"Desktop Computer – (HP Pro SFF 280G9)")</f>
        <v>Desktop Computer – (HP Pro SFF 280G9)</v>
      </c>
      <c r="D2598" s="164" t="str">
        <f ca="1">IFERROR(__xludf.DUMMYFUNCTION("""COMPUTED_VALUE"""),"₱ 78,898.00")</f>
        <v>₱ 78,898.00</v>
      </c>
      <c r="E2598" s="164" t="str">
        <f ca="1">IFERROR(__xludf.DUMMYFUNCTION("""COMPUTED_VALUE"""),"₱ -")</f>
        <v>₱ -</v>
      </c>
      <c r="F2598" s="164" t="str">
        <f ca="1">IFERROR(__xludf.DUMMYFUNCTION("""COMPUTED_VALUE"""),"2023-05-03-10201SP461-01")</f>
        <v>2023-05-03-10201SP461-01</v>
      </c>
      <c r="G2598" s="164"/>
      <c r="H2598" s="164" t="str">
        <f ca="1">IFERROR(__xludf.DUMMYFUNCTION("""COMPUTED_VALUE"""),"GINA MONICA S. CABAHUG")</f>
        <v>GINA MONICA S. CABAHUG</v>
      </c>
      <c r="I2598" s="164" t="str">
        <f ca="1">IFERROR(__xludf.DUMMYFUNCTION("""COMPUTED_VALUE"""),"DENR")</f>
        <v>DENR</v>
      </c>
      <c r="J2598" s="164" t="str">
        <f ca="1">IFERROR(__xludf.DUMMYFUNCTION("""COMPUTED_VALUE"""),"-")</f>
        <v>-</v>
      </c>
      <c r="K2598" s="164" t="str">
        <f ca="1">IFERROR(__xludf.DUMMYFUNCTION("""COMPUTED_VALUE"""),"DENR SPLIT PERSONNEL")</f>
        <v>DENR SPLIT PERSONNEL</v>
      </c>
      <c r="L2598" s="164" t="str">
        <f ca="1">IFERROR(__xludf.DUMMYFUNCTION("""COMPUTED_VALUE"""),"DENR")</f>
        <v>DENR</v>
      </c>
      <c r="M2598" s="164" t="str">
        <f ca="1">IFERROR(__xludf.DUMMYFUNCTION("""COMPUTED_VALUE"""),"SERVICEABLE")</f>
        <v>SERVICEABLE</v>
      </c>
      <c r="N2598" s="164"/>
    </row>
    <row r="2599" spans="1:14" ht="13.2" hidden="1">
      <c r="A2599" s="164" t="str">
        <f ca="1">IFERROR(__xludf.DUMMYFUNCTION("""COMPUTED_VALUE"""),"Region VII")</f>
        <v>Region VII</v>
      </c>
      <c r="B2599" s="164" t="str">
        <f ca="1">IFERROR(__xludf.DUMMYFUNCTION("""COMPUTED_VALUE"""),"REGIONAL OFFICE")</f>
        <v>REGIONAL OFFICE</v>
      </c>
      <c r="C2599" s="164" t="str">
        <f ca="1">IFERROR(__xludf.DUMMYFUNCTION("""COMPUTED_VALUE"""),"PLOTTER (3IN1)")</f>
        <v>PLOTTER (3IN1)</v>
      </c>
      <c r="D2599" s="164" t="str">
        <f ca="1">IFERROR(__xludf.DUMMYFUNCTION("""COMPUTED_VALUE"""),"₱ 684,000.00")</f>
        <v>₱ 684,000.00</v>
      </c>
      <c r="E2599" s="164" t="str">
        <f ca="1">IFERROR(__xludf.DUMMYFUNCTION("""COMPUTED_VALUE"""),"₱ -")</f>
        <v>₱ -</v>
      </c>
      <c r="F2599" s="164" t="str">
        <f ca="1">IFERROR(__xludf.DUMMYFUNCTION("""COMPUTED_VALUE"""),"2024-05-13-10204SP06-O1")</f>
        <v>2024-05-13-10204SP06-O1</v>
      </c>
      <c r="G2599" s="164"/>
      <c r="H2599" s="164" t="str">
        <f ca="1">IFERROR(__xludf.DUMMYFUNCTION("""COMPUTED_VALUE"""),"GINA MONICA S CABAHUG")</f>
        <v>GINA MONICA S CABAHUG</v>
      </c>
      <c r="I2599" s="164" t="str">
        <f ca="1">IFERROR(__xludf.DUMMYFUNCTION("""COMPUTED_VALUE"""),"PO III/ GSS HEAD")</f>
        <v>PO III/ GSS HEAD</v>
      </c>
      <c r="J2599" s="164" t="str">
        <f ca="1">IFERROR(__xludf.DUMMYFUNCTION("""COMPUTED_VALUE"""),"2024-05-005PL")</f>
        <v>2024-05-005PL</v>
      </c>
      <c r="K2599" s="164" t="str">
        <f ca="1">IFERROR(__xludf.DUMMYFUNCTION("""COMPUTED_VALUE"""),"GINA MONICA S CABAHUG")</f>
        <v>GINA MONICA S CABAHUG</v>
      </c>
      <c r="L2599" s="164" t="str">
        <f ca="1">IFERROR(__xludf.DUMMYFUNCTION("""COMPUTED_VALUE"""),"DARRO VII")</f>
        <v>DARRO VII</v>
      </c>
      <c r="M2599" s="164" t="str">
        <f ca="1">IFERROR(__xludf.DUMMYFUNCTION("""COMPUTED_VALUE"""),"SERVICEABLE")</f>
        <v>SERVICEABLE</v>
      </c>
      <c r="N2599" s="164"/>
    </row>
    <row r="2600" spans="1:14" ht="13.2" hidden="1">
      <c r="A2600" s="164" t="str">
        <f ca="1">IFERROR(__xludf.DUMMYFUNCTION("""COMPUTED_VALUE"""),"Region VII")</f>
        <v>Region VII</v>
      </c>
      <c r="B2600" s="164" t="str">
        <f ca="1">IFERROR(__xludf.DUMMYFUNCTION("""COMPUTED_VALUE"""),"REGIONAL OFFICE")</f>
        <v>REGIONAL OFFICE</v>
      </c>
      <c r="C2600" s="164" t="str">
        <f ca="1">IFERROR(__xludf.DUMMYFUNCTION("""COMPUTED_VALUE"""),"A3 PRINTER (BROTHER)")</f>
        <v>A3 PRINTER (BROTHER)</v>
      </c>
      <c r="D2600" s="164" t="str">
        <f ca="1">IFERROR(__xludf.DUMMYFUNCTION("""COMPUTED_VALUE"""),"₱ 33,508.00")</f>
        <v>₱ 33,508.00</v>
      </c>
      <c r="E2600" s="164" t="str">
        <f ca="1">IFERROR(__xludf.DUMMYFUNCTION("""COMPUTED_VALUE"""),"₱ -")</f>
        <v>₱ -</v>
      </c>
      <c r="F2600" s="164" t="str">
        <f ca="1">IFERROR(__xludf.DUMMYFUNCTION("""COMPUTED_VALUE"""),"HVSPLIT-102-24-05-088")</f>
        <v>HVSPLIT-102-24-05-088</v>
      </c>
      <c r="G2600" s="164"/>
      <c r="H2600" s="164" t="str">
        <f ca="1">IFERROR(__xludf.DUMMYFUNCTION("""COMPUTED_VALUE"""),"Estenzo, Publio
 (vice Lua, Denise Leavina)")</f>
        <v>Estenzo, Publio
 (vice Lua, Denise Leavina)</v>
      </c>
      <c r="I2600" s="164" t="str">
        <f ca="1">IFERROR(__xludf.DUMMYFUNCTION("""COMPUTED_VALUE"""),"Planning Officer IV")</f>
        <v>Planning Officer IV</v>
      </c>
      <c r="J2600" s="164" t="str">
        <f ca="1">IFERROR(__xludf.DUMMYFUNCTION("""COMPUTED_VALUE"""),"2024-03-006
 2024-03-070-SPLIT")</f>
        <v>2024-03-006
 2024-03-070-SPLIT</v>
      </c>
      <c r="K2600" s="164" t="str">
        <f ca="1">IFERROR(__xludf.DUMMYFUNCTION("""COMPUTED_VALUE"""),"Publio, Estenzo")</f>
        <v>Publio, Estenzo</v>
      </c>
      <c r="L2600" s="164" t="str">
        <f ca="1">IFERROR(__xludf.DUMMYFUNCTION("""COMPUTED_VALUE"""),"DARRO VII")</f>
        <v>DARRO VII</v>
      </c>
      <c r="M2600" s="164" t="str">
        <f ca="1">IFERROR(__xludf.DUMMYFUNCTION("""COMPUTED_VALUE"""),"SERVICEABLE")</f>
        <v>SERVICEABLE</v>
      </c>
      <c r="N2600" s="164"/>
    </row>
    <row r="2601" spans="1:14" ht="13.2" hidden="1">
      <c r="A2601" s="164" t="str">
        <f ca="1">IFERROR(__xludf.DUMMYFUNCTION("""COMPUTED_VALUE"""),"Region VII")</f>
        <v>Region VII</v>
      </c>
      <c r="B2601" s="164" t="str">
        <f ca="1">IFERROR(__xludf.DUMMYFUNCTION("""COMPUTED_VALUE"""),"REGIONAL OFFICE")</f>
        <v>REGIONAL OFFICE</v>
      </c>
      <c r="C2601" s="164" t="str">
        <f ca="1">IFERROR(__xludf.DUMMYFUNCTION("""COMPUTED_VALUE"""),"ACER TRAVELMATE")</f>
        <v>ACER TRAVELMATE</v>
      </c>
      <c r="D2601" s="164" t="str">
        <f ca="1">IFERROR(__xludf.DUMMYFUNCTION("""COMPUTED_VALUE"""),"₱ 46,580.00")</f>
        <v>₱ 46,580.00</v>
      </c>
      <c r="E2601" s="164" t="str">
        <f ca="1">IFERROR(__xludf.DUMMYFUNCTION("""COMPUTED_VALUE"""),"₱ -")</f>
        <v>₱ -</v>
      </c>
      <c r="F2601" s="164" t="str">
        <f ca="1">IFERROR(__xludf.DUMMYFUNCTION("""COMPUTED_VALUE"""),"2024-05-03-10202SP-313-01")</f>
        <v>2024-05-03-10202SP-313-01</v>
      </c>
      <c r="G2601" s="164"/>
      <c r="H2601" s="164" t="str">
        <f ca="1">IFERROR(__xludf.DUMMYFUNCTION("""COMPUTED_VALUE"""),"Cabatas, Noel Jerome")</f>
        <v>Cabatas, Noel Jerome</v>
      </c>
      <c r="I2601" s="164" t="str">
        <f ca="1">IFERROR(__xludf.DUMMYFUNCTION("""COMPUTED_VALUE"""),"ARPO II / 
 OIC-Budget Officer")</f>
        <v>ARPO II / 
 OIC-Budget Officer</v>
      </c>
      <c r="J2601" s="164"/>
      <c r="K2601" s="164" t="str">
        <f ca="1">IFERROR(__xludf.DUMMYFUNCTION("""COMPUTED_VALUE"""),"Cabatas, Noel Jerome")</f>
        <v>Cabatas, Noel Jerome</v>
      </c>
      <c r="L2601" s="164" t="str">
        <f ca="1">IFERROR(__xludf.DUMMYFUNCTION("""COMPUTED_VALUE"""),"REGIONAL OFFICE")</f>
        <v>REGIONAL OFFICE</v>
      </c>
      <c r="M2601" s="164" t="str">
        <f ca="1">IFERROR(__xludf.DUMMYFUNCTION("""COMPUTED_VALUE"""),"SERVICEABLE")</f>
        <v>SERVICEABLE</v>
      </c>
      <c r="N2601" s="164"/>
    </row>
    <row r="2602" spans="1:14" ht="13.2" hidden="1">
      <c r="A2602" s="164" t="str">
        <f ca="1">IFERROR(__xludf.DUMMYFUNCTION("""COMPUTED_VALUE"""),"Region VII")</f>
        <v>Region VII</v>
      </c>
      <c r="B2602" s="164" t="str">
        <f ca="1">IFERROR(__xludf.DUMMYFUNCTION("""COMPUTED_VALUE"""),"BOHOL")</f>
        <v>BOHOL</v>
      </c>
      <c r="C2602" s="164" t="str">
        <f ca="1">IFERROR(__xludf.DUMMYFUNCTION("""COMPUTED_VALUE"""),"Photocopier Machine – Kyocera")</f>
        <v>Photocopier Machine – Kyocera</v>
      </c>
      <c r="D2602" s="164" t="str">
        <f ca="1">IFERROR(__xludf.DUMMYFUNCTION("""COMPUTED_VALUE"""),"₱ 84,500.00")</f>
        <v>₱ 84,500.00</v>
      </c>
      <c r="E2602" s="164" t="str">
        <f ca="1">IFERROR(__xludf.DUMMYFUNCTION("""COMPUTED_VALUE"""),"₱ -")</f>
        <v>₱ -</v>
      </c>
      <c r="F2602" s="164" t="str">
        <f ca="1">IFERROR(__xludf.DUMMYFUNCTION("""COMPUTED_VALUE"""),"2022-05-02-10202SP53-01")</f>
        <v>2022-05-02-10202SP53-01</v>
      </c>
      <c r="G2602" s="164"/>
      <c r="H2602" s="164" t="str">
        <f ca="1">IFERROR(__xludf.DUMMYFUNCTION("""COMPUTED_VALUE"""),"CAGAMPANG, LEONARD")</f>
        <v>CAGAMPANG, LEONARD</v>
      </c>
      <c r="I2602" s="164" t="str">
        <f ca="1">IFERROR(__xludf.DUMMYFUNCTION("""COMPUTED_VALUE"""),"OIC-Budget Officer")</f>
        <v>OIC-Budget Officer</v>
      </c>
      <c r="J2602" s="164" t="str">
        <f ca="1">IFERROR(__xludf.DUMMYFUNCTION("""COMPUTED_VALUE"""),"23-01-001")</f>
        <v>23-01-001</v>
      </c>
      <c r="K2602" s="164" t="str">
        <f ca="1">IFERROR(__xludf.DUMMYFUNCTION("""COMPUTED_VALUE"""),"ENGR.LEONARD V. CAGAMPANG")</f>
        <v>ENGR.LEONARD V. CAGAMPANG</v>
      </c>
      <c r="L2602" s="164" t="str">
        <f ca="1">IFERROR(__xludf.DUMMYFUNCTION("""COMPUTED_VALUE"""),"DARPO-BOHOL")</f>
        <v>DARPO-BOHOL</v>
      </c>
      <c r="M2602" s="164" t="str">
        <f ca="1">IFERROR(__xludf.DUMMYFUNCTION("""COMPUTED_VALUE"""),"SERVICEABLE")</f>
        <v>SERVICEABLE</v>
      </c>
      <c r="N2602" s="164" t="str">
        <f ca="1">IFERROR(__xludf.DUMMYFUNCTION("""COMPUTED_VALUE"""),"OK")</f>
        <v>OK</v>
      </c>
    </row>
    <row r="2603" spans="1:14" ht="13.2" hidden="1">
      <c r="A2603" s="164" t="str">
        <f ca="1">IFERROR(__xludf.DUMMYFUNCTION("""COMPUTED_VALUE"""),"Region VII")</f>
        <v>Region VII</v>
      </c>
      <c r="B2603" s="164" t="str">
        <f ca="1">IFERROR(__xludf.DUMMYFUNCTION("""COMPUTED_VALUE"""),"BOHOL")</f>
        <v>BOHOL</v>
      </c>
      <c r="C2603" s="164" t="str">
        <f ca="1">IFERROR(__xludf.DUMMYFUNCTION("""COMPUTED_VALUE"""),"Desktop Computer – (Lenovo M70T)")</f>
        <v>Desktop Computer – (Lenovo M70T)</v>
      </c>
      <c r="D2603" s="164" t="str">
        <f ca="1">IFERROR(__xludf.DUMMYFUNCTION("""COMPUTED_VALUE"""),"₱ 75,468.00")</f>
        <v>₱ 75,468.00</v>
      </c>
      <c r="E2603" s="164" t="str">
        <f ca="1">IFERROR(__xludf.DUMMYFUNCTION("""COMPUTED_VALUE"""),"₱ -")</f>
        <v>₱ -</v>
      </c>
      <c r="F2603" s="164" t="str">
        <f ca="1">IFERROR(__xludf.DUMMYFUNCTION("""COMPUTED_VALUE"""),"2023-05-03-10201SP1282-01")</f>
        <v>2023-05-03-10201SP1282-01</v>
      </c>
      <c r="G2603" s="164"/>
      <c r="H2603" s="164" t="str">
        <f ca="1">IFERROR(__xludf.DUMMYFUNCTION("""COMPUTED_VALUE"""),"SEPLON, RACHEL/CAGAMPANG, LEONARDO")</f>
        <v>SEPLON, RACHEL/CAGAMPANG, LEONARDO</v>
      </c>
      <c r="I2603" s="164" t="str">
        <f ca="1">IFERROR(__xludf.DUMMYFUNCTION("""COMPUTED_VALUE"""),"BUDGET OFFICER/
 Provincial Project Budget Officer/CARPO LTID")</f>
        <v>BUDGET OFFICER/
 Provincial Project Budget Officer/CARPO LTID</v>
      </c>
      <c r="J2603" s="164" t="str">
        <f ca="1">IFERROR(__xludf.DUMMYFUNCTION("""COMPUTED_VALUE"""),"23-05-017")</f>
        <v>23-05-017</v>
      </c>
      <c r="K2603" s="164" t="str">
        <f ca="1">IFERROR(__xludf.DUMMYFUNCTION("""COMPUTED_VALUE"""),"ALCALA, CHRISTINE/RCT")</f>
        <v>ALCALA, CHRISTINE/RCT</v>
      </c>
      <c r="L2603" s="164" t="str">
        <f ca="1">IFERROR(__xludf.DUMMYFUNCTION("""COMPUTED_VALUE"""),"DARPO-BOHOL")</f>
        <v>DARPO-BOHOL</v>
      </c>
      <c r="M2603" s="164" t="str">
        <f ca="1">IFERROR(__xludf.DUMMYFUNCTION("""COMPUTED_VALUE"""),"SERVICEABLE")</f>
        <v>SERVICEABLE</v>
      </c>
      <c r="N2603" s="164"/>
    </row>
    <row r="2604" spans="1:14" ht="13.2" hidden="1">
      <c r="A2604" s="164" t="str">
        <f ca="1">IFERROR(__xludf.DUMMYFUNCTION("""COMPUTED_VALUE"""),"Region VII")</f>
        <v>Region VII</v>
      </c>
      <c r="B2604" s="164" t="str">
        <f ca="1">IFERROR(__xludf.DUMMYFUNCTION("""COMPUTED_VALUE"""),"BOHOL")</f>
        <v>BOHOL</v>
      </c>
      <c r="C2604" s="164" t="str">
        <f ca="1">IFERROR(__xludf.DUMMYFUNCTION("""COMPUTED_VALUE"""),"Desktop Computer – (Lenovo M70T)")</f>
        <v>Desktop Computer – (Lenovo M70T)</v>
      </c>
      <c r="D2604" s="164" t="str">
        <f ca="1">IFERROR(__xludf.DUMMYFUNCTION("""COMPUTED_VALUE"""),"₱ 75,468.00")</f>
        <v>₱ 75,468.00</v>
      </c>
      <c r="E2604" s="164" t="str">
        <f ca="1">IFERROR(__xludf.DUMMYFUNCTION("""COMPUTED_VALUE"""),"₱ -")</f>
        <v>₱ -</v>
      </c>
      <c r="F2604" s="164" t="str">
        <f ca="1">IFERROR(__xludf.DUMMYFUNCTION("""COMPUTED_VALUE"""),"2023-05-03-10201SP1283-01")</f>
        <v>2023-05-03-10201SP1283-01</v>
      </c>
      <c r="G2604" s="164"/>
      <c r="H2604" s="164" t="str">
        <f ca="1">IFERROR(__xludf.DUMMYFUNCTION("""COMPUTED_VALUE"""),"BONGHANOY, LEONIDA/OPORTO JENNETE")</f>
        <v>BONGHANOY, LEONIDA/OPORTO JENNETE</v>
      </c>
      <c r="I2604" s="164" t="str">
        <f ca="1">IFERROR(__xludf.DUMMYFUNCTION("""COMPUTED_VALUE"""),"ADMIN OFFICER IV/Procurement Officer/ CARPO PBDD")</f>
        <v>ADMIN OFFICER IV/Procurement Officer/ CARPO PBDD</v>
      </c>
      <c r="J2604" s="164" t="str">
        <f ca="1">IFERROR(__xludf.DUMMYFUNCTION("""COMPUTED_VALUE"""),"23-05-015")</f>
        <v>23-05-015</v>
      </c>
      <c r="K2604" s="164" t="str">
        <f ca="1">IFERROR(__xludf.DUMMYFUNCTION("""COMPUTED_VALUE"""),"GENITA, JEZIEL JORDAN/OPORTO JENNETE")</f>
        <v>GENITA, JEZIEL JORDAN/OPORTO JENNETE</v>
      </c>
      <c r="L2604" s="164" t="str">
        <f ca="1">IFERROR(__xludf.DUMMYFUNCTION("""COMPUTED_VALUE"""),"DARPO-BOHOL")</f>
        <v>DARPO-BOHOL</v>
      </c>
      <c r="M2604" s="164" t="str">
        <f ca="1">IFERROR(__xludf.DUMMYFUNCTION("""COMPUTED_VALUE"""),"SERVICEABLE")</f>
        <v>SERVICEABLE</v>
      </c>
      <c r="N2604" s="164"/>
    </row>
    <row r="2605" spans="1:14" ht="13.2" hidden="1">
      <c r="A2605" s="164" t="str">
        <f ca="1">IFERROR(__xludf.DUMMYFUNCTION("""COMPUTED_VALUE"""),"Region VII")</f>
        <v>Region VII</v>
      </c>
      <c r="B2605" s="164" t="str">
        <f ca="1">IFERROR(__xludf.DUMMYFUNCTION("""COMPUTED_VALUE"""),"BOHOL")</f>
        <v>BOHOL</v>
      </c>
      <c r="C2605" s="164" t="str">
        <f ca="1">IFERROR(__xludf.DUMMYFUNCTION("""COMPUTED_VALUE"""),"Desktop Computer – (Lenovo M70T)")</f>
        <v>Desktop Computer – (Lenovo M70T)</v>
      </c>
      <c r="D2605" s="164" t="str">
        <f ca="1">IFERROR(__xludf.DUMMYFUNCTION("""COMPUTED_VALUE"""),"₱ 75,468.00")</f>
        <v>₱ 75,468.00</v>
      </c>
      <c r="E2605" s="164" t="str">
        <f ca="1">IFERROR(__xludf.DUMMYFUNCTION("""COMPUTED_VALUE"""),"₱ -")</f>
        <v>₱ -</v>
      </c>
      <c r="F2605" s="164" t="str">
        <f ca="1">IFERROR(__xludf.DUMMYFUNCTION("""COMPUTED_VALUE"""),"2023-05-03-10201SP1284-01")</f>
        <v>2023-05-03-10201SP1284-01</v>
      </c>
      <c r="G2605" s="164"/>
      <c r="H2605" s="164" t="str">
        <f ca="1">IFERROR(__xludf.DUMMYFUNCTION("""COMPUTED_VALUE"""),"MORALES, PRUDENCIA / BONGHANOY, LEONIDA")</f>
        <v>MORALES, PRUDENCIA / BONGHANOY, LEONIDA</v>
      </c>
      <c r="I2605" s="164" t="str">
        <f ca="1">IFERROR(__xludf.DUMMYFUNCTION("""COMPUTED_VALUE"""),"ASSISTANT STAT ACCOUNTING")</f>
        <v>ASSISTANT STAT ACCOUNTING</v>
      </c>
      <c r="J2605" s="164" t="str">
        <f ca="1">IFERROR(__xludf.DUMMYFUNCTION("""COMPUTED_VALUE"""),"23-05-016")</f>
        <v>23-05-016</v>
      </c>
      <c r="K2605" s="164" t="str">
        <f ca="1">IFERROR(__xludf.DUMMYFUNCTION("""COMPUTED_VALUE"""),"ROMERO, SHAINA MAY/RCT")</f>
        <v>ROMERO, SHAINA MAY/RCT</v>
      </c>
      <c r="L2605" s="164" t="str">
        <f ca="1">IFERROR(__xludf.DUMMYFUNCTION("""COMPUTED_VALUE"""),"DARPO-BOHOL")</f>
        <v>DARPO-BOHOL</v>
      </c>
      <c r="M2605" s="164" t="str">
        <f ca="1">IFERROR(__xludf.DUMMYFUNCTION("""COMPUTED_VALUE"""),"SERVICEABLE")</f>
        <v>SERVICEABLE</v>
      </c>
      <c r="N2605" s="164"/>
    </row>
    <row r="2606" spans="1:14" ht="13.2" hidden="1">
      <c r="A2606" s="164" t="str">
        <f ca="1">IFERROR(__xludf.DUMMYFUNCTION("""COMPUTED_VALUE"""),"Region VII")</f>
        <v>Region VII</v>
      </c>
      <c r="B2606" s="164" t="str">
        <f ca="1">IFERROR(__xludf.DUMMYFUNCTION("""COMPUTED_VALUE"""),"BOHOL")</f>
        <v>BOHOL</v>
      </c>
      <c r="C2606" s="164" t="str">
        <f ca="1">IFERROR(__xludf.DUMMYFUNCTION("""COMPUTED_VALUE"""),"Desktop Computer – (Lenovo M70T)")</f>
        <v>Desktop Computer – (Lenovo M70T)</v>
      </c>
      <c r="D2606" s="164" t="str">
        <f ca="1">IFERROR(__xludf.DUMMYFUNCTION("""COMPUTED_VALUE"""),"₱ 75,468.00")</f>
        <v>₱ 75,468.00</v>
      </c>
      <c r="E2606" s="164" t="str">
        <f ca="1">IFERROR(__xludf.DUMMYFUNCTION("""COMPUTED_VALUE"""),"₱ -")</f>
        <v>₱ -</v>
      </c>
      <c r="F2606" s="164" t="str">
        <f ca="1">IFERROR(__xludf.DUMMYFUNCTION("""COMPUTED_VALUE"""),"2023-05-03-10201SP1286-01")</f>
        <v>2023-05-03-10201SP1286-01</v>
      </c>
      <c r="G2606" s="164"/>
      <c r="H2606" s="164" t="str">
        <f ca="1">IFERROR(__xludf.DUMMYFUNCTION("""COMPUTED_VALUE"""),"ACERO, MA. JESSICA/ALO JULIETA")</f>
        <v>ACERO, MA. JESSICA/ALO JULIETA</v>
      </c>
      <c r="I2606" s="164" t="str">
        <f ca="1">IFERROR(__xludf.DUMMYFUNCTION("""COMPUTED_VALUE"""),"PLANNING OFFICER/
 Provincial M&amp;E Coordinator / PROVINCIAL MIS COORDINATOR")</f>
        <v>PLANNING OFFICER/
 Provincial M&amp;E Coordinator / PROVINCIAL MIS COORDINATOR</v>
      </c>
      <c r="J2606" s="164" t="str">
        <f ca="1">IFERROR(__xludf.DUMMYFUNCTION("""COMPUTED_VALUE"""),"23-05-018")</f>
        <v>23-05-018</v>
      </c>
      <c r="K2606" s="164" t="str">
        <f ca="1">IFERROR(__xludf.DUMMYFUNCTION("""COMPUTED_VALUE"""),"DANO, FHREZEL /DALDE FRIECH JERSON")</f>
        <v>DANO, FHREZEL /DALDE FRIECH JERSON</v>
      </c>
      <c r="L2606" s="164" t="str">
        <f ca="1">IFERROR(__xludf.DUMMYFUNCTION("""COMPUTED_VALUE"""),"DARPO-BOHOL")</f>
        <v>DARPO-BOHOL</v>
      </c>
      <c r="M2606" s="164" t="str">
        <f ca="1">IFERROR(__xludf.DUMMYFUNCTION("""COMPUTED_VALUE"""),"SERVICEABLE")</f>
        <v>SERVICEABLE</v>
      </c>
      <c r="N2606" s="164"/>
    </row>
    <row r="2607" spans="1:14" ht="13.2" hidden="1">
      <c r="A2607" s="164" t="str">
        <f ca="1">IFERROR(__xludf.DUMMYFUNCTION("""COMPUTED_VALUE"""),"Region VII")</f>
        <v>Region VII</v>
      </c>
      <c r="B2607" s="164" t="str">
        <f ca="1">IFERROR(__xludf.DUMMYFUNCTION("""COMPUTED_VALUE"""),"BOHOL")</f>
        <v>BOHOL</v>
      </c>
      <c r="C2607" s="164" t="str">
        <f ca="1">IFERROR(__xludf.DUMMYFUNCTION("""COMPUTED_VALUE"""),"Desktop Computer – (Lenovo M70T)")</f>
        <v>Desktop Computer – (Lenovo M70T)</v>
      </c>
      <c r="D2607" s="164" t="str">
        <f ca="1">IFERROR(__xludf.DUMMYFUNCTION("""COMPUTED_VALUE"""),"₱ 75,468.00")</f>
        <v>₱ 75,468.00</v>
      </c>
      <c r="E2607" s="164" t="str">
        <f ca="1">IFERROR(__xludf.DUMMYFUNCTION("""COMPUTED_VALUE"""),"₱ -")</f>
        <v>₱ -</v>
      </c>
      <c r="F2607" s="164" t="str">
        <f ca="1">IFERROR(__xludf.DUMMYFUNCTION("""COMPUTED_VALUE"""),"2023-05-03-10201SP1279-01")</f>
        <v>2023-05-03-10201SP1279-01</v>
      </c>
      <c r="G2607" s="164"/>
      <c r="H2607" s="164" t="str">
        <f ca="1">IFERROR(__xludf.DUMMYFUNCTION("""COMPUTED_VALUE"""),"ALO, JULIETA /SEPLON RACHEL")</f>
        <v>ALO, JULIETA /SEPLON RACHEL</v>
      </c>
      <c r="I2607" s="164" t="str">
        <f ca="1">IFERROR(__xludf.DUMMYFUNCTION("""COMPUTED_VALUE"""),"ARPO II-Provincial MIS Coordinator/ BUDGET OFFICER")</f>
        <v>ARPO II-Provincial MIS Coordinator/ BUDGET OFFICER</v>
      </c>
      <c r="J2607" s="164" t="str">
        <f ca="1">IFERROR(__xludf.DUMMYFUNCTION("""COMPUTED_VALUE"""),"23-05-011")</f>
        <v>23-05-011</v>
      </c>
      <c r="K2607" s="164" t="str">
        <f ca="1">IFERROR(__xludf.DUMMYFUNCTION("""COMPUTED_VALUE"""),"DALDE, FRIECH JERSON/ ALCALA CHRISTINE")</f>
        <v>DALDE, FRIECH JERSON/ ALCALA CHRISTINE</v>
      </c>
      <c r="L2607" s="164" t="str">
        <f ca="1">IFERROR(__xludf.DUMMYFUNCTION("""COMPUTED_VALUE"""),"DARPO-BOHOL")</f>
        <v>DARPO-BOHOL</v>
      </c>
      <c r="M2607" s="164" t="str">
        <f ca="1">IFERROR(__xludf.DUMMYFUNCTION("""COMPUTED_VALUE"""),"SERVICEABLE")</f>
        <v>SERVICEABLE</v>
      </c>
      <c r="N2607" s="164"/>
    </row>
    <row r="2608" spans="1:14" ht="13.2" hidden="1">
      <c r="A2608" s="164" t="str">
        <f ca="1">IFERROR(__xludf.DUMMYFUNCTION("""COMPUTED_VALUE"""),"Region VII")</f>
        <v>Region VII</v>
      </c>
      <c r="B2608" s="164" t="str">
        <f ca="1">IFERROR(__xludf.DUMMYFUNCTION("""COMPUTED_VALUE"""),"BOHOL")</f>
        <v>BOHOL</v>
      </c>
      <c r="C2608" s="164" t="str">
        <f ca="1">IFERROR(__xludf.DUMMYFUNCTION("""COMPUTED_VALUE"""),"Desktop Computer – (Lenovo M70T)")</f>
        <v>Desktop Computer – (Lenovo M70T)</v>
      </c>
      <c r="D2608" s="164" t="str">
        <f ca="1">IFERROR(__xludf.DUMMYFUNCTION("""COMPUTED_VALUE"""),"₱ 75,468.00")</f>
        <v>₱ 75,468.00</v>
      </c>
      <c r="E2608" s="164" t="str">
        <f ca="1">IFERROR(__xludf.DUMMYFUNCTION("""COMPUTED_VALUE"""),"₱ -")</f>
        <v>₱ -</v>
      </c>
      <c r="F2608" s="164" t="str">
        <f ca="1">IFERROR(__xludf.DUMMYFUNCTION("""COMPUTED_VALUE"""),"2023-05-03-10201SP1278-01")</f>
        <v>2023-05-03-10201SP1278-01</v>
      </c>
      <c r="G2608" s="164"/>
      <c r="H2608" s="164" t="str">
        <f ca="1">IFERROR(__xludf.DUMMYFUNCTION("""COMPUTED_VALUE"""),"CABULAO, ARNEL / MANLIGUEZ GENEVA")</f>
        <v>CABULAO, ARNEL / MANLIGUEZ GENEVA</v>
      </c>
      <c r="I2608" s="164" t="str">
        <f ca="1">IFERROR(__xludf.DUMMYFUNCTION("""COMPUTED_VALUE"""),"ENGINEER II/Survey Coordinator /PROJECT ACCOUNTANT")</f>
        <v>ENGINEER II/Survey Coordinator /PROJECT ACCOUNTANT</v>
      </c>
      <c r="J2608" s="164" t="str">
        <f ca="1">IFERROR(__xludf.DUMMYFUNCTION("""COMPUTED_VALUE"""),"23-05-010")</f>
        <v>23-05-010</v>
      </c>
      <c r="K2608" s="164" t="str">
        <f ca="1">IFERROR(__xludf.DUMMYFUNCTION("""COMPUTED_VALUE"""),"OCDENARIA, ANADITH / ROMEO SHAINA MAY")</f>
        <v>OCDENARIA, ANADITH / ROMEO SHAINA MAY</v>
      </c>
      <c r="L2608" s="164" t="str">
        <f ca="1">IFERROR(__xludf.DUMMYFUNCTION("""COMPUTED_VALUE"""),"DARPO-BOHOL")</f>
        <v>DARPO-BOHOL</v>
      </c>
      <c r="M2608" s="164" t="str">
        <f ca="1">IFERROR(__xludf.DUMMYFUNCTION("""COMPUTED_VALUE"""),"SERVICEABLE")</f>
        <v>SERVICEABLE</v>
      </c>
      <c r="N2608" s="164"/>
    </row>
    <row r="2609" spans="1:14" ht="13.2" hidden="1">
      <c r="A2609" s="164" t="str">
        <f ca="1">IFERROR(__xludf.DUMMYFUNCTION("""COMPUTED_VALUE"""),"Region VII")</f>
        <v>Region VII</v>
      </c>
      <c r="B2609" s="164" t="str">
        <f ca="1">IFERROR(__xludf.DUMMYFUNCTION("""COMPUTED_VALUE"""),"BOHOL")</f>
        <v>BOHOL</v>
      </c>
      <c r="C2609" s="164" t="str">
        <f ca="1">IFERROR(__xludf.DUMMYFUNCTION("""COMPUTED_VALUE"""),"Desktop Computer – (Lenovo M70T)")</f>
        <v>Desktop Computer – (Lenovo M70T)</v>
      </c>
      <c r="D2609" s="164" t="str">
        <f ca="1">IFERROR(__xludf.DUMMYFUNCTION("""COMPUTED_VALUE"""),"₱ 75,468.00")</f>
        <v>₱ 75,468.00</v>
      </c>
      <c r="E2609" s="164" t="str">
        <f ca="1">IFERROR(__xludf.DUMMYFUNCTION("""COMPUTED_VALUE"""),"₱ -")</f>
        <v>₱ -</v>
      </c>
      <c r="F2609" s="164" t="str">
        <f ca="1">IFERROR(__xludf.DUMMYFUNCTION("""COMPUTED_VALUE"""),"2023-05-03-10201SP1280-01")</f>
        <v>2023-05-03-10201SP1280-01</v>
      </c>
      <c r="G2609" s="164"/>
      <c r="H2609" s="164" t="str">
        <f ca="1">IFERROR(__xludf.DUMMYFUNCTION("""COMPUTED_VALUE"""),"ALO, JULIETA / CABULAO ARNEL")</f>
        <v>ALO, JULIETA / CABULAO ARNEL</v>
      </c>
      <c r="I2609" s="164" t="str">
        <f ca="1">IFERROR(__xludf.DUMMYFUNCTION("""COMPUTED_VALUE"""),"ARPO II/
 Provincial MIS Coordinator ENGR. III")</f>
        <v>ARPO II/
 Provincial MIS Coordinator ENGR. III</v>
      </c>
      <c r="J2609" s="164" t="str">
        <f ca="1">IFERROR(__xludf.DUMMYFUNCTION("""COMPUTED_VALUE"""),"23-05-012")</f>
        <v>23-05-012</v>
      </c>
      <c r="K2609" s="164" t="str">
        <f ca="1">IFERROR(__xludf.DUMMYFUNCTION("""COMPUTED_VALUE"""),"ALO, JULIETA / OCDENARIA, ANADITH")</f>
        <v>ALO, JULIETA / OCDENARIA, ANADITH</v>
      </c>
      <c r="L2609" s="164" t="str">
        <f ca="1">IFERROR(__xludf.DUMMYFUNCTION("""COMPUTED_VALUE"""),"DARPO-BOHOL")</f>
        <v>DARPO-BOHOL</v>
      </c>
      <c r="M2609" s="164" t="str">
        <f ca="1">IFERROR(__xludf.DUMMYFUNCTION("""COMPUTED_VALUE"""),"SERVICEABLE")</f>
        <v>SERVICEABLE</v>
      </c>
      <c r="N2609" s="164"/>
    </row>
    <row r="2610" spans="1:14" ht="13.2" hidden="1">
      <c r="A2610" s="164" t="str">
        <f ca="1">IFERROR(__xludf.DUMMYFUNCTION("""COMPUTED_VALUE"""),"Region VII")</f>
        <v>Region VII</v>
      </c>
      <c r="B2610" s="164" t="str">
        <f ca="1">IFERROR(__xludf.DUMMYFUNCTION("""COMPUTED_VALUE"""),"BOHOL")</f>
        <v>BOHOL</v>
      </c>
      <c r="C2610" s="164" t="str">
        <f ca="1">IFERROR(__xludf.DUMMYFUNCTION("""COMPUTED_VALUE"""),"Desktop Computer – (Lenovo M70T)")</f>
        <v>Desktop Computer – (Lenovo M70T)</v>
      </c>
      <c r="D2610" s="164" t="str">
        <f ca="1">IFERROR(__xludf.DUMMYFUNCTION("""COMPUTED_VALUE"""),"₱ 75,468.00")</f>
        <v>₱ 75,468.00</v>
      </c>
      <c r="E2610" s="164" t="str">
        <f ca="1">IFERROR(__xludf.DUMMYFUNCTION("""COMPUTED_VALUE"""),"₱ -")</f>
        <v>₱ -</v>
      </c>
      <c r="F2610" s="164" t="str">
        <f ca="1">IFERROR(__xludf.DUMMYFUNCTION("""COMPUTED_VALUE"""),"2023-05-03-10201SP1281-01")</f>
        <v>2023-05-03-10201SP1281-01</v>
      </c>
      <c r="G2610" s="164"/>
      <c r="H2610" s="164" t="str">
        <f ca="1">IFERROR(__xludf.DUMMYFUNCTION("""COMPUTED_VALUE"""),"OPORTO, JENNETTE/ ALO, JULIETA")</f>
        <v>OPORTO, JENNETTE/ ALO, JULIETA</v>
      </c>
      <c r="I2610" s="164" t="str">
        <f ca="1">IFERROR(__xludf.DUMMYFUNCTION("""COMPUTED_VALUE"""),"CARPO PBDD-ESS Coordinator /ADMIN OFFICER IV")</f>
        <v>CARPO PBDD-ESS Coordinator /ADMIN OFFICER IV</v>
      </c>
      <c r="J2610" s="164" t="str">
        <f ca="1">IFERROR(__xludf.DUMMYFUNCTION("""COMPUTED_VALUE"""),"23-05-013")</f>
        <v>23-05-013</v>
      </c>
      <c r="K2610" s="164" t="str">
        <f ca="1">IFERROR(__xludf.DUMMYFUNCTION("""COMPUTED_VALUE"""),"OPORTO, JENNETTE / GENETA JEZIEL JORDAN")</f>
        <v>OPORTO, JENNETTE / GENETA JEZIEL JORDAN</v>
      </c>
      <c r="L2610" s="164" t="str">
        <f ca="1">IFERROR(__xludf.DUMMYFUNCTION("""COMPUTED_VALUE"""),"DARPO-BOHOL")</f>
        <v>DARPO-BOHOL</v>
      </c>
      <c r="M2610" s="164" t="str">
        <f ca="1">IFERROR(__xludf.DUMMYFUNCTION("""COMPUTED_VALUE"""),"SERVICEABLE")</f>
        <v>SERVICEABLE</v>
      </c>
      <c r="N2610" s="164"/>
    </row>
    <row r="2611" spans="1:14" ht="13.2" hidden="1">
      <c r="A2611" s="164" t="str">
        <f ca="1">IFERROR(__xludf.DUMMYFUNCTION("""COMPUTED_VALUE"""),"Region VII")</f>
        <v>Region VII</v>
      </c>
      <c r="B2611" s="164" t="str">
        <f ca="1">IFERROR(__xludf.DUMMYFUNCTION("""COMPUTED_VALUE"""),"BOHOL")</f>
        <v>BOHOL</v>
      </c>
      <c r="C2611" s="164" t="str">
        <f ca="1">IFERROR(__xludf.DUMMYFUNCTION("""COMPUTED_VALUE"""),"Desktop Computer – (Lenovo M70T)")</f>
        <v>Desktop Computer – (Lenovo M70T)</v>
      </c>
      <c r="D2611" s="164" t="str">
        <f ca="1">IFERROR(__xludf.DUMMYFUNCTION("""COMPUTED_VALUE"""),"₱ 75,468.00")</f>
        <v>₱ 75,468.00</v>
      </c>
      <c r="E2611" s="164" t="str">
        <f ca="1">IFERROR(__xludf.DUMMYFUNCTION("""COMPUTED_VALUE"""),"₱ -")</f>
        <v>₱ -</v>
      </c>
      <c r="F2611" s="164" t="str">
        <f ca="1">IFERROR(__xludf.DUMMYFUNCTION("""COMPUTED_VALUE"""),"2023-05-03-10201SP1276-01")</f>
        <v>2023-05-03-10201SP1276-01</v>
      </c>
      <c r="G2611" s="164"/>
      <c r="H2611" s="164" t="str">
        <f ca="1">IFERROR(__xludf.DUMMYFUNCTION("""COMPUTED_VALUE"""),"BONGHANOY, LEONIDA/ALO, JULIETA")</f>
        <v>BONGHANOY, LEONIDA/ALO, JULIETA</v>
      </c>
      <c r="I2611" s="164" t="str">
        <f ca="1">IFERROR(__xludf.DUMMYFUNCTION("""COMPUTED_VALUE"""),"ADMIN OFFICER IV/Procurement Officer/PROVICIAL MIS")</f>
        <v>ADMIN OFFICER IV/Procurement Officer/PROVICIAL MIS</v>
      </c>
      <c r="J2611" s="164" t="str">
        <f ca="1">IFERROR(__xludf.DUMMYFUNCTION("""COMPUTED_VALUE"""),"23-05-008")</f>
        <v>23-05-008</v>
      </c>
      <c r="K2611" s="164" t="str">
        <f ca="1">IFERROR(__xludf.DUMMYFUNCTION("""COMPUTED_VALUE"""),"FVT 2/ALO, JULIETA")</f>
        <v>FVT 2/ALO, JULIETA</v>
      </c>
      <c r="L2611" s="164" t="str">
        <f ca="1">IFERROR(__xludf.DUMMYFUNCTION("""COMPUTED_VALUE"""),"DARPO-BOHOL")</f>
        <v>DARPO-BOHOL</v>
      </c>
      <c r="M2611" s="164" t="str">
        <f ca="1">IFERROR(__xludf.DUMMYFUNCTION("""COMPUTED_VALUE"""),"SERVICEABLE")</f>
        <v>SERVICEABLE</v>
      </c>
      <c r="N2611" s="164"/>
    </row>
    <row r="2612" spans="1:14" ht="13.2" hidden="1">
      <c r="A2612" s="164" t="str">
        <f ca="1">IFERROR(__xludf.DUMMYFUNCTION("""COMPUTED_VALUE"""),"Region VII")</f>
        <v>Region VII</v>
      </c>
      <c r="B2612" s="164" t="str">
        <f ca="1">IFERROR(__xludf.DUMMYFUNCTION("""COMPUTED_VALUE"""),"BOHOL")</f>
        <v>BOHOL</v>
      </c>
      <c r="C2612" s="164" t="str">
        <f ca="1">IFERROR(__xludf.DUMMYFUNCTION("""COMPUTED_VALUE"""),"Desktop Computer – (Lenovo M70T)")</f>
        <v>Desktop Computer – (Lenovo M70T)</v>
      </c>
      <c r="D2612" s="164" t="str">
        <f ca="1">IFERROR(__xludf.DUMMYFUNCTION("""COMPUTED_VALUE"""),"₱ 75,468.00")</f>
        <v>₱ 75,468.00</v>
      </c>
      <c r="E2612" s="164" t="str">
        <f ca="1">IFERROR(__xludf.DUMMYFUNCTION("""COMPUTED_VALUE"""),"₱ -")</f>
        <v>₱ -</v>
      </c>
      <c r="F2612" s="164" t="str">
        <f ca="1">IFERROR(__xludf.DUMMYFUNCTION("""COMPUTED_VALUE"""),"2023-05-03-10201SP1285-01")</f>
        <v>2023-05-03-10201SP1285-01</v>
      </c>
      <c r="G2612" s="164"/>
      <c r="H2612" s="164" t="str">
        <f ca="1">IFERROR(__xludf.DUMMYFUNCTION("""COMPUTED_VALUE"""),"CAGAMPANG, LEONARD")</f>
        <v>CAGAMPANG, LEONARD</v>
      </c>
      <c r="I2612" s="164" t="str">
        <f ca="1">IFERROR(__xludf.DUMMYFUNCTION("""COMPUTED_VALUE"""),"OIC- CARPO LTID/Provincial Parcelization Coordinator")</f>
        <v>OIC- CARPO LTID/Provincial Parcelization Coordinator</v>
      </c>
      <c r="J2612" s="164" t="str">
        <f ca="1">IFERROR(__xludf.DUMMYFUNCTION("""COMPUTED_VALUE"""),"23-05-014")</f>
        <v>23-05-014</v>
      </c>
      <c r="K2612" s="164" t="str">
        <f ca="1">IFERROR(__xludf.DUMMYFUNCTION("""COMPUTED_VALUE"""),"CAGAMPANG, LEONARD")</f>
        <v>CAGAMPANG, LEONARD</v>
      </c>
      <c r="L2612" s="164" t="str">
        <f ca="1">IFERROR(__xludf.DUMMYFUNCTION("""COMPUTED_VALUE"""),"DARPO-BOHOL")</f>
        <v>DARPO-BOHOL</v>
      </c>
      <c r="M2612" s="164" t="str">
        <f ca="1">IFERROR(__xludf.DUMMYFUNCTION("""COMPUTED_VALUE"""),"SERVICEABLE")</f>
        <v>SERVICEABLE</v>
      </c>
      <c r="N2612" s="164"/>
    </row>
    <row r="2613" spans="1:14" ht="13.2" hidden="1">
      <c r="A2613" s="164" t="str">
        <f ca="1">IFERROR(__xludf.DUMMYFUNCTION("""COMPUTED_VALUE"""),"Region VII")</f>
        <v>Region VII</v>
      </c>
      <c r="B2613" s="164" t="str">
        <f ca="1">IFERROR(__xludf.DUMMYFUNCTION("""COMPUTED_VALUE"""),"BOHOL")</f>
        <v>BOHOL</v>
      </c>
      <c r="C2613" s="164" t="str">
        <f ca="1">IFERROR(__xludf.DUMMYFUNCTION("""COMPUTED_VALUE"""),"Desktop Computer – (Lenovo M70T)")</f>
        <v>Desktop Computer – (Lenovo M70T)</v>
      </c>
      <c r="D2613" s="164" t="str">
        <f ca="1">IFERROR(__xludf.DUMMYFUNCTION("""COMPUTED_VALUE"""),"₱ 75,468.00")</f>
        <v>₱ 75,468.00</v>
      </c>
      <c r="E2613" s="164" t="str">
        <f ca="1">IFERROR(__xludf.DUMMYFUNCTION("""COMPUTED_VALUE"""),"₱ -")</f>
        <v>₱ -</v>
      </c>
      <c r="F2613" s="164" t="str">
        <f ca="1">IFERROR(__xludf.DUMMYFUNCTION("""COMPUTED_VALUE"""),"2023-05-03-10201SP1275-01")</f>
        <v>2023-05-03-10201SP1275-01</v>
      </c>
      <c r="G2613" s="164"/>
      <c r="H2613" s="164" t="str">
        <f ca="1">IFERROR(__xludf.DUMMYFUNCTION("""COMPUTED_VALUE"""),"CAGAMPANG, LEONARD / MILLAMA, DIVINA")</f>
        <v>CAGAMPANG, LEONARD / MILLAMA, DIVINA</v>
      </c>
      <c r="I2613" s="164" t="str">
        <f ca="1">IFERROR(__xludf.DUMMYFUNCTION("""COMPUTED_VALUE"""),"OIC- CARPO LTID/Provincial Parcelization Coordinator/ PLANNING OFFICER")</f>
        <v>OIC- CARPO LTID/Provincial Parcelization Coordinator/ PLANNING OFFICER</v>
      </c>
      <c r="J2613" s="164" t="str">
        <f ca="1">IFERROR(__xludf.DUMMYFUNCTION("""COMPUTED_VALUE"""),"23-05-007")</f>
        <v>23-05-007</v>
      </c>
      <c r="K2613" s="164" t="str">
        <f ca="1">IFERROR(__xludf.DUMMYFUNCTION("""COMPUTED_VALUE"""),"FVT 1/MILLAMA, DIVINA")</f>
        <v>FVT 1/MILLAMA, DIVINA</v>
      </c>
      <c r="L2613" s="164" t="str">
        <f ca="1">IFERROR(__xludf.DUMMYFUNCTION("""COMPUTED_VALUE"""),"DARPO-BOHOL")</f>
        <v>DARPO-BOHOL</v>
      </c>
      <c r="M2613" s="164" t="str">
        <f ca="1">IFERROR(__xludf.DUMMYFUNCTION("""COMPUTED_VALUE"""),"SERVICEABLE")</f>
        <v>SERVICEABLE</v>
      </c>
      <c r="N2613" s="164"/>
    </row>
    <row r="2614" spans="1:14" ht="13.2" hidden="1">
      <c r="A2614" s="164" t="str">
        <f ca="1">IFERROR(__xludf.DUMMYFUNCTION("""COMPUTED_VALUE"""),"Region VII")</f>
        <v>Region VII</v>
      </c>
      <c r="B2614" s="164" t="str">
        <f ca="1">IFERROR(__xludf.DUMMYFUNCTION("""COMPUTED_VALUE"""),"BOHOL")</f>
        <v>BOHOL</v>
      </c>
      <c r="C2614" s="164" t="str">
        <f ca="1">IFERROR(__xludf.DUMMYFUNCTION("""COMPUTED_VALUE"""),"Desktop Computer – (Lenovo M70T)")</f>
        <v>Desktop Computer – (Lenovo M70T)</v>
      </c>
      <c r="D2614" s="164" t="str">
        <f ca="1">IFERROR(__xludf.DUMMYFUNCTION("""COMPUTED_VALUE"""),"₱ 75,468.00")</f>
        <v>₱ 75,468.00</v>
      </c>
      <c r="E2614" s="164" t="str">
        <f ca="1">IFERROR(__xludf.DUMMYFUNCTION("""COMPUTED_VALUE"""),"₱ -")</f>
        <v>₱ -</v>
      </c>
      <c r="F2614" s="164" t="str">
        <f ca="1">IFERROR(__xludf.DUMMYFUNCTION("""COMPUTED_VALUE"""),"2023-05-03-10201SP1277-01")</f>
        <v>2023-05-03-10201SP1277-01</v>
      </c>
      <c r="G2614" s="164"/>
      <c r="H2614" s="164" t="str">
        <f ca="1">IFERROR(__xludf.DUMMYFUNCTION("""COMPUTED_VALUE"""),"ACERO, MA. JESSICA")</f>
        <v>ACERO, MA. JESSICA</v>
      </c>
      <c r="I2614" s="164" t="str">
        <f ca="1">IFERROR(__xludf.DUMMYFUNCTION("""COMPUTED_VALUE"""),"PLANNING OFFICER/
 Provincial M&amp;E Coordinator")</f>
        <v>PLANNING OFFICER/
 Provincial M&amp;E Coordinator</v>
      </c>
      <c r="J2614" s="164" t="str">
        <f ca="1">IFERROR(__xludf.DUMMYFUNCTION("""COMPUTED_VALUE"""),"23-05-009")</f>
        <v>23-05-009</v>
      </c>
      <c r="K2614" s="164" t="str">
        <f ca="1">IFERROR(__xludf.DUMMYFUNCTION("""COMPUTED_VALUE"""),"ACERO, MA. JESSICA")</f>
        <v>ACERO, MA. JESSICA</v>
      </c>
      <c r="L2614" s="164" t="str">
        <f ca="1">IFERROR(__xludf.DUMMYFUNCTION("""COMPUTED_VALUE"""),"DARPO-BOHOL")</f>
        <v>DARPO-BOHOL</v>
      </c>
      <c r="M2614" s="164" t="str">
        <f ca="1">IFERROR(__xludf.DUMMYFUNCTION("""COMPUTED_VALUE"""),"SERVICEABLE")</f>
        <v>SERVICEABLE</v>
      </c>
      <c r="N2614" s="164"/>
    </row>
    <row r="2615" spans="1:14" ht="13.2" hidden="1">
      <c r="A2615" s="164" t="str">
        <f ca="1">IFERROR(__xludf.DUMMYFUNCTION("""COMPUTED_VALUE"""),"Region VII")</f>
        <v>Region VII</v>
      </c>
      <c r="B2615" s="164" t="str">
        <f ca="1">IFERROR(__xludf.DUMMYFUNCTION("""COMPUTED_VALUE"""),"BOHOL")</f>
        <v>BOHOL</v>
      </c>
      <c r="C2615" s="164" t="str">
        <f ca="1">IFERROR(__xludf.DUMMYFUNCTION("""COMPUTED_VALUE"""),"HANDHELD GPS – MODEL P6")</f>
        <v>HANDHELD GPS – MODEL P6</v>
      </c>
      <c r="D2615" s="164" t="str">
        <f ca="1">IFERROR(__xludf.DUMMYFUNCTION("""COMPUTED_VALUE"""),"₱ 79,000.00")</f>
        <v>₱ 79,000.00</v>
      </c>
      <c r="E2615" s="164" t="str">
        <f ca="1">IFERROR(__xludf.DUMMYFUNCTION("""COMPUTED_VALUE"""),"₱ -")</f>
        <v>₱ -</v>
      </c>
      <c r="F2615" s="164" t="str">
        <f ca="1">IFERROR(__xludf.DUMMYFUNCTION("""COMPUTED_VALUE"""),"2023-05-14-10202SP64-01")</f>
        <v>2023-05-14-10202SP64-01</v>
      </c>
      <c r="G2615" s="164"/>
      <c r="H2615" s="164" t="str">
        <f ca="1">IFERROR(__xludf.DUMMYFUNCTION("""COMPUTED_VALUE"""),"BONGHANOY, LEONIDA")</f>
        <v>BONGHANOY, LEONIDA</v>
      </c>
      <c r="I2615" s="164" t="str">
        <f ca="1">IFERROR(__xludf.DUMMYFUNCTION("""COMPUTED_VALUE"""),"ADMIN OFFICER IV/Procurement Officer")</f>
        <v>ADMIN OFFICER IV/Procurement Officer</v>
      </c>
      <c r="J2615" s="164" t="str">
        <f ca="1">IFERROR(__xludf.DUMMYFUNCTION("""COMPUTED_VALUE"""),"23-05-006")</f>
        <v>23-05-006</v>
      </c>
      <c r="K2615" s="164" t="str">
        <f ca="1">IFERROR(__xludf.DUMMYFUNCTION("""COMPUTED_VALUE"""),"BONGHANOY, LEONIDA")</f>
        <v>BONGHANOY, LEONIDA</v>
      </c>
      <c r="L2615" s="164" t="str">
        <f ca="1">IFERROR(__xludf.DUMMYFUNCTION("""COMPUTED_VALUE"""),"DARPO-BOHOL")</f>
        <v>DARPO-BOHOL</v>
      </c>
      <c r="M2615" s="164" t="str">
        <f ca="1">IFERROR(__xludf.DUMMYFUNCTION("""COMPUTED_VALUE"""),"SERVICEABLE")</f>
        <v>SERVICEABLE</v>
      </c>
      <c r="N2615" s="164"/>
    </row>
    <row r="2616" spans="1:14" ht="13.2" hidden="1">
      <c r="A2616" s="164" t="str">
        <f ca="1">IFERROR(__xludf.DUMMYFUNCTION("""COMPUTED_VALUE"""),"Region VII")</f>
        <v>Region VII</v>
      </c>
      <c r="B2616" s="164" t="str">
        <f ca="1">IFERROR(__xludf.DUMMYFUNCTION("""COMPUTED_VALUE"""),"BOHOL")</f>
        <v>BOHOL</v>
      </c>
      <c r="C2616" s="164" t="str">
        <f ca="1">IFERROR(__xludf.DUMMYFUNCTION("""COMPUTED_VALUE"""),"Laptop – (ACER EXTENSA EX215-55G i7)")</f>
        <v>Laptop – (ACER EXTENSA EX215-55G i7)</v>
      </c>
      <c r="D2616" s="164" t="str">
        <f ca="1">IFERROR(__xludf.DUMMYFUNCTION("""COMPUTED_VALUE"""),"₱ 59,500.00")</f>
        <v>₱ 59,500.00</v>
      </c>
      <c r="E2616" s="164" t="str">
        <f ca="1">IFERROR(__xludf.DUMMYFUNCTION("""COMPUTED_VALUE"""),"₱ -")</f>
        <v>₱ -</v>
      </c>
      <c r="F2616" s="164" t="str">
        <f ca="1">IFERROR(__xludf.DUMMYFUNCTION("""COMPUTED_VALUE"""),"2023-05-03-10202SP374-01")</f>
        <v>2023-05-03-10202SP374-01</v>
      </c>
      <c r="G2616" s="164"/>
      <c r="H2616" s="164" t="str">
        <f ca="1">IFERROR(__xludf.DUMMYFUNCTION("""COMPUTED_VALUE"""),"ACERO, MA. JESSICA")</f>
        <v>ACERO, MA. JESSICA</v>
      </c>
      <c r="I2616" s="164" t="str">
        <f ca="1">IFERROR(__xludf.DUMMYFUNCTION("""COMPUTED_VALUE"""),"PLANNING OFFICER/
 Provincial M&amp;E Coordinator")</f>
        <v>PLANNING OFFICER/
 Provincial M&amp;E Coordinator</v>
      </c>
      <c r="J2616" s="164" t="str">
        <f ca="1">IFERROR(__xludf.DUMMYFUNCTION("""COMPUTED_VALUE"""),"23-09-026")</f>
        <v>23-09-026</v>
      </c>
      <c r="K2616" s="164" t="str">
        <f ca="1">IFERROR(__xludf.DUMMYFUNCTION("""COMPUTED_VALUE"""),"DANO, FHREZEL /TADEM, MARY GRACE")</f>
        <v>DANO, FHREZEL /TADEM, MARY GRACE</v>
      </c>
      <c r="L2616" s="164" t="str">
        <f ca="1">IFERROR(__xludf.DUMMYFUNCTION("""COMPUTED_VALUE"""),"DARPO-BOHOL")</f>
        <v>DARPO-BOHOL</v>
      </c>
      <c r="M2616" s="164" t="str">
        <f ca="1">IFERROR(__xludf.DUMMYFUNCTION("""COMPUTED_VALUE"""),"SERVICEABLE")</f>
        <v>SERVICEABLE</v>
      </c>
      <c r="N2616" s="164"/>
    </row>
    <row r="2617" spans="1:14" ht="13.2" hidden="1">
      <c r="A2617" s="164" t="str">
        <f ca="1">IFERROR(__xludf.DUMMYFUNCTION("""COMPUTED_VALUE"""),"Region VII")</f>
        <v>Region VII</v>
      </c>
      <c r="B2617" s="164" t="str">
        <f ca="1">IFERROR(__xludf.DUMMYFUNCTION("""COMPUTED_VALUE"""),"BOHOL")</f>
        <v>BOHOL</v>
      </c>
      <c r="C2617" s="164" t="str">
        <f ca="1">IFERROR(__xludf.DUMMYFUNCTION("""COMPUTED_VALUE"""),"Laptop – (ACER EXTENSA EX215-55G i7)")</f>
        <v>Laptop – (ACER EXTENSA EX215-55G i7)</v>
      </c>
      <c r="D2617" s="164" t="str">
        <f ca="1">IFERROR(__xludf.DUMMYFUNCTION("""COMPUTED_VALUE"""),"₱ 59,500.00")</f>
        <v>₱ 59,500.00</v>
      </c>
      <c r="E2617" s="164" t="str">
        <f ca="1">IFERROR(__xludf.DUMMYFUNCTION("""COMPUTED_VALUE"""),"₱ -")</f>
        <v>₱ -</v>
      </c>
      <c r="F2617" s="164" t="str">
        <f ca="1">IFERROR(__xludf.DUMMYFUNCTION("""COMPUTED_VALUE"""),"2023-05-03-10202SP375-01")</f>
        <v>2023-05-03-10202SP375-01</v>
      </c>
      <c r="G2617" s="164"/>
      <c r="H2617" s="164" t="str">
        <f ca="1">IFERROR(__xludf.DUMMYFUNCTION("""COMPUTED_VALUE"""),"CAGAMPANG, LEONARD")</f>
        <v>CAGAMPANG, LEONARD</v>
      </c>
      <c r="I2617" s="164" t="str">
        <f ca="1">IFERROR(__xludf.DUMMYFUNCTION("""COMPUTED_VALUE"""),"OIC- CARPO LTID/Provincial Parcelization Coordinator")</f>
        <v>OIC- CARPO LTID/Provincial Parcelization Coordinator</v>
      </c>
      <c r="J2617" s="164" t="str">
        <f ca="1">IFERROR(__xludf.DUMMYFUNCTION("""COMPUTED_VALUE"""),"23-09-027")</f>
        <v>23-09-027</v>
      </c>
      <c r="K2617" s="164" t="str">
        <f ca="1">IFERROR(__xludf.DUMMYFUNCTION("""COMPUTED_VALUE"""),"CAGAMPANG, LEONARD")</f>
        <v>CAGAMPANG, LEONARD</v>
      </c>
      <c r="L2617" s="164" t="str">
        <f ca="1">IFERROR(__xludf.DUMMYFUNCTION("""COMPUTED_VALUE"""),"DARPO-BOHOL")</f>
        <v>DARPO-BOHOL</v>
      </c>
      <c r="M2617" s="164" t="str">
        <f ca="1">IFERROR(__xludf.DUMMYFUNCTION("""COMPUTED_VALUE"""),"SERVICEABLE")</f>
        <v>SERVICEABLE</v>
      </c>
      <c r="N2617" s="164"/>
    </row>
    <row r="2618" spans="1:14" ht="13.2" hidden="1">
      <c r="A2618" s="164" t="str">
        <f ca="1">IFERROR(__xludf.DUMMYFUNCTION("""COMPUTED_VALUE"""),"Region VII")</f>
        <v>Region VII</v>
      </c>
      <c r="B2618" s="164" t="str">
        <f ca="1">IFERROR(__xludf.DUMMYFUNCTION("""COMPUTED_VALUE"""),"BOHOL")</f>
        <v>BOHOL</v>
      </c>
      <c r="C2618" s="164" t="str">
        <f ca="1">IFERROR(__xludf.DUMMYFUNCTION("""COMPUTED_VALUE"""),"Laptop – (ACER EXTENSA EX215-55G i7)")</f>
        <v>Laptop – (ACER EXTENSA EX215-55G i7)</v>
      </c>
      <c r="D2618" s="164" t="str">
        <f ca="1">IFERROR(__xludf.DUMMYFUNCTION("""COMPUTED_VALUE"""),"₱ 59,500.00")</f>
        <v>₱ 59,500.00</v>
      </c>
      <c r="E2618" s="164" t="str">
        <f ca="1">IFERROR(__xludf.DUMMYFUNCTION("""COMPUTED_VALUE"""),"₱ -")</f>
        <v>₱ -</v>
      </c>
      <c r="F2618" s="164" t="str">
        <f ca="1">IFERROR(__xludf.DUMMYFUNCTION("""COMPUTED_VALUE"""),"2023-05-03-10202SP376-01")</f>
        <v>2023-05-03-10202SP376-01</v>
      </c>
      <c r="G2618" s="164"/>
      <c r="H2618" s="164" t="str">
        <f ca="1">IFERROR(__xludf.DUMMYFUNCTION("""COMPUTED_VALUE"""),"BALONDA, JAMES HORACE")</f>
        <v>BALONDA, JAMES HORACE</v>
      </c>
      <c r="I2618" s="164" t="str">
        <f ca="1">IFERROR(__xludf.DUMMYFUNCTION("""COMPUTED_VALUE"""),"CHIEF LEGAL/Legal Coordinator")</f>
        <v>CHIEF LEGAL/Legal Coordinator</v>
      </c>
      <c r="J2618" s="164" t="str">
        <f ca="1">IFERROR(__xludf.DUMMYFUNCTION("""COMPUTED_VALUE"""),"23-09-028")</f>
        <v>23-09-028</v>
      </c>
      <c r="K2618" s="164" t="str">
        <f ca="1">IFERROR(__xludf.DUMMYFUNCTION("""COMPUTED_VALUE"""),"BALONDA, JAMES HORACE")</f>
        <v>BALONDA, JAMES HORACE</v>
      </c>
      <c r="L2618" s="164" t="str">
        <f ca="1">IFERROR(__xludf.DUMMYFUNCTION("""COMPUTED_VALUE"""),"DARPO-BOHOL")</f>
        <v>DARPO-BOHOL</v>
      </c>
      <c r="M2618" s="164" t="str">
        <f ca="1">IFERROR(__xludf.DUMMYFUNCTION("""COMPUTED_VALUE"""),"SERVICEABLE")</f>
        <v>SERVICEABLE</v>
      </c>
      <c r="N2618" s="164"/>
    </row>
    <row r="2619" spans="1:14" ht="13.2" hidden="1">
      <c r="A2619" s="164" t="str">
        <f ca="1">IFERROR(__xludf.DUMMYFUNCTION("""COMPUTED_VALUE"""),"Region VII")</f>
        <v>Region VII</v>
      </c>
      <c r="B2619" s="164" t="str">
        <f ca="1">IFERROR(__xludf.DUMMYFUNCTION("""COMPUTED_VALUE"""),"BOHOL")</f>
        <v>BOHOL</v>
      </c>
      <c r="C2619" s="164" t="str">
        <f ca="1">IFERROR(__xludf.DUMMYFUNCTION("""COMPUTED_VALUE"""),"Laptop – (ACER EXTENSA EX215-55G i7)")</f>
        <v>Laptop – (ACER EXTENSA EX215-55G i7)</v>
      </c>
      <c r="D2619" s="164" t="str">
        <f ca="1">IFERROR(__xludf.DUMMYFUNCTION("""COMPUTED_VALUE"""),"₱ 59,500.00")</f>
        <v>₱ 59,500.00</v>
      </c>
      <c r="E2619" s="164" t="str">
        <f ca="1">IFERROR(__xludf.DUMMYFUNCTION("""COMPUTED_VALUE"""),"₱ -")</f>
        <v>₱ -</v>
      </c>
      <c r="F2619" s="164" t="str">
        <f ca="1">IFERROR(__xludf.DUMMYFUNCTION("""COMPUTED_VALUE"""),"2023-05-03-10202SP60(59)-01")</f>
        <v>2023-05-03-10202SP60(59)-01</v>
      </c>
      <c r="G2619" s="164"/>
      <c r="H2619" s="164" t="str">
        <f ca="1">IFERROR(__xludf.DUMMYFUNCTION("""COMPUTED_VALUE"""),"BANTUGAN, MA. LYDIA/PERECHO, RAXXIN DANE")</f>
        <v>BANTUGAN, MA. LYDIA/PERECHO, RAXXIN DANE</v>
      </c>
      <c r="I2619" s="164" t="str">
        <f ca="1">IFERROR(__xludf.DUMMYFUNCTION("""COMPUTED_VALUE"""),"ARPO II/ADMIN AIDE IV")</f>
        <v>ARPO II/ADMIN AIDE IV</v>
      </c>
      <c r="J2619" s="164" t="str">
        <f ca="1">IFERROR(__xludf.DUMMYFUNCTION("""COMPUTED_VALUE"""),"24-01-002")</f>
        <v>24-01-002</v>
      </c>
      <c r="K2619" s="164" t="str">
        <f ca="1">IFERROR(__xludf.DUMMYFUNCTION("""COMPUTED_VALUE"""),"BANTUGAN, MA. LYDIA/PERECHO, RAXXIN DANE")</f>
        <v>BANTUGAN, MA. LYDIA/PERECHO, RAXXIN DANE</v>
      </c>
      <c r="L2619" s="164" t="str">
        <f ca="1">IFERROR(__xludf.DUMMYFUNCTION("""COMPUTED_VALUE"""),"DARPO-BOHOL")</f>
        <v>DARPO-BOHOL</v>
      </c>
      <c r="M2619" s="164" t="str">
        <f ca="1">IFERROR(__xludf.DUMMYFUNCTION("""COMPUTED_VALUE"""),"SERVICEABLE")</f>
        <v>SERVICEABLE</v>
      </c>
      <c r="N2619" s="164"/>
    </row>
    <row r="2620" spans="1:14" ht="13.2" hidden="1">
      <c r="A2620" s="164" t="str">
        <f ca="1">IFERROR(__xludf.DUMMYFUNCTION("""COMPUTED_VALUE"""),"Region VII")</f>
        <v>Region VII</v>
      </c>
      <c r="B2620" s="164" t="str">
        <f ca="1">IFERROR(__xludf.DUMMYFUNCTION("""COMPUTED_VALUE"""),"BOHOL")</f>
        <v>BOHOL</v>
      </c>
      <c r="C2620" s="164" t="str">
        <f ca="1">IFERROR(__xludf.DUMMYFUNCTION("""COMPUTED_VALUE"""),"Desktop Computer – (HP Pro SFF 280G9)")</f>
        <v>Desktop Computer – (HP Pro SFF 280G9)</v>
      </c>
      <c r="D2620" s="164" t="str">
        <f ca="1">IFERROR(__xludf.DUMMYFUNCTION("""COMPUTED_VALUE"""),"₱ 78,898.00")</f>
        <v>₱ 78,898.00</v>
      </c>
      <c r="E2620" s="164" t="str">
        <f ca="1">IFERROR(__xludf.DUMMYFUNCTION("""COMPUTED_VALUE"""),"₱ -")</f>
        <v>₱ -</v>
      </c>
      <c r="F2620" s="164" t="str">
        <f ca="1">IFERROR(__xludf.DUMMYFUNCTION("""COMPUTED_VALUE"""),"2023-05-03-10201SP448-01")</f>
        <v>2023-05-03-10201SP448-01</v>
      </c>
      <c r="G2620" s="164"/>
      <c r="H2620" s="164" t="str">
        <f ca="1">IFERROR(__xludf.DUMMYFUNCTION("""COMPUTED_VALUE"""),"ALO, JULIETA")</f>
        <v>ALO, JULIETA</v>
      </c>
      <c r="I2620" s="164" t="str">
        <f ca="1">IFERROR(__xludf.DUMMYFUNCTION("""COMPUTED_VALUE"""),"ARPO II/
 Provincial MIS Coordinator")</f>
        <v>ARPO II/
 Provincial MIS Coordinator</v>
      </c>
      <c r="J2620" s="164" t="str">
        <f ca="1">IFERROR(__xludf.DUMMYFUNCTION("""COMPUTED_VALUE"""),"23-09-022")</f>
        <v>23-09-022</v>
      </c>
      <c r="K2620" s="164" t="str">
        <f ca="1">IFERROR(__xludf.DUMMYFUNCTION("""COMPUTED_VALUE"""),"TADEM , MARY GRACE")</f>
        <v>TADEM , MARY GRACE</v>
      </c>
      <c r="L2620" s="164" t="str">
        <f ca="1">IFERROR(__xludf.DUMMYFUNCTION("""COMPUTED_VALUE"""),"DARPO-BOHOL")</f>
        <v>DARPO-BOHOL</v>
      </c>
      <c r="M2620" s="164" t="str">
        <f ca="1">IFERROR(__xludf.DUMMYFUNCTION("""COMPUTED_VALUE"""),"SERVICEABLE")</f>
        <v>SERVICEABLE</v>
      </c>
      <c r="N2620" s="164"/>
    </row>
    <row r="2621" spans="1:14" ht="13.2" hidden="1">
      <c r="A2621" s="164" t="str">
        <f ca="1">IFERROR(__xludf.DUMMYFUNCTION("""COMPUTED_VALUE"""),"Region VII")</f>
        <v>Region VII</v>
      </c>
      <c r="B2621" s="164" t="str">
        <f ca="1">IFERROR(__xludf.DUMMYFUNCTION("""COMPUTED_VALUE"""),"BOHOL")</f>
        <v>BOHOL</v>
      </c>
      <c r="C2621" s="164" t="str">
        <f ca="1">IFERROR(__xludf.DUMMYFUNCTION("""COMPUTED_VALUE"""),"Desktop Computer – (HP Pro SFF 280G9)")</f>
        <v>Desktop Computer – (HP Pro SFF 280G9)</v>
      </c>
      <c r="D2621" s="164" t="str">
        <f ca="1">IFERROR(__xludf.DUMMYFUNCTION("""COMPUTED_VALUE"""),"₱ 78,898.00")</f>
        <v>₱ 78,898.00</v>
      </c>
      <c r="E2621" s="164" t="str">
        <f ca="1">IFERROR(__xludf.DUMMYFUNCTION("""COMPUTED_VALUE"""),"₱ -")</f>
        <v>₱ -</v>
      </c>
      <c r="F2621" s="164" t="str">
        <f ca="1">IFERROR(__xludf.DUMMYFUNCTION("""COMPUTED_VALUE"""),"2023-05-03-10201SP449-01")</f>
        <v>2023-05-03-10201SP449-01</v>
      </c>
      <c r="G2621" s="164"/>
      <c r="H2621" s="164" t="str">
        <f ca="1">IFERROR(__xludf.DUMMYFUNCTION("""COMPUTED_VALUE"""),"ALO, JULIETA")</f>
        <v>ALO, JULIETA</v>
      </c>
      <c r="I2621" s="164" t="str">
        <f ca="1">IFERROR(__xludf.DUMMYFUNCTION("""COMPUTED_VALUE"""),"ARPO II/
 Provincial MIS Coordinator")</f>
        <v>ARPO II/
 Provincial MIS Coordinator</v>
      </c>
      <c r="J2621" s="164" t="str">
        <f ca="1">IFERROR(__xludf.DUMMYFUNCTION("""COMPUTED_VALUE"""),"23-09-023")</f>
        <v>23-09-023</v>
      </c>
      <c r="K2621" s="164" t="str">
        <f ca="1">IFERROR(__xludf.DUMMYFUNCTION("""COMPUTED_VALUE"""),"TABUNO, FRANCIS MARK")</f>
        <v>TABUNO, FRANCIS MARK</v>
      </c>
      <c r="L2621" s="164" t="str">
        <f ca="1">IFERROR(__xludf.DUMMYFUNCTION("""COMPUTED_VALUE"""),"DARPO-BOHOL")</f>
        <v>DARPO-BOHOL</v>
      </c>
      <c r="M2621" s="164" t="str">
        <f ca="1">IFERROR(__xludf.DUMMYFUNCTION("""COMPUTED_VALUE"""),"SERVICEABLE")</f>
        <v>SERVICEABLE</v>
      </c>
      <c r="N2621" s="164"/>
    </row>
    <row r="2622" spans="1:14" ht="13.2" hidden="1">
      <c r="A2622" s="164" t="str">
        <f ca="1">IFERROR(__xludf.DUMMYFUNCTION("""COMPUTED_VALUE"""),"Region VII")</f>
        <v>Region VII</v>
      </c>
      <c r="B2622" s="164" t="str">
        <f ca="1">IFERROR(__xludf.DUMMYFUNCTION("""COMPUTED_VALUE"""),"BOHOL")</f>
        <v>BOHOL</v>
      </c>
      <c r="C2622" s="164" t="str">
        <f ca="1">IFERROR(__xludf.DUMMYFUNCTION("""COMPUTED_VALUE"""),"Desktop Computer – (HP Pro SFF 280G9)")</f>
        <v>Desktop Computer – (HP Pro SFF 280G9)</v>
      </c>
      <c r="D2622" s="164" t="str">
        <f ca="1">IFERROR(__xludf.DUMMYFUNCTION("""COMPUTED_VALUE"""),"₱ 78,898.00")</f>
        <v>₱ 78,898.00</v>
      </c>
      <c r="E2622" s="164" t="str">
        <f ca="1">IFERROR(__xludf.DUMMYFUNCTION("""COMPUTED_VALUE"""),"₱ -")</f>
        <v>₱ -</v>
      </c>
      <c r="F2622" s="164" t="str">
        <f ca="1">IFERROR(__xludf.DUMMYFUNCTION("""COMPUTED_VALUE"""),"2023-05-03-10201SP450-01")</f>
        <v>2023-05-03-10201SP450-01</v>
      </c>
      <c r="G2622" s="164"/>
      <c r="H2622" s="164" t="str">
        <f ca="1">IFERROR(__xludf.DUMMYFUNCTION("""COMPUTED_VALUE"""),"CAGAMPANG, LEONARD")</f>
        <v>CAGAMPANG, LEONARD</v>
      </c>
      <c r="I2622" s="164" t="str">
        <f ca="1">IFERROR(__xludf.DUMMYFUNCTION("""COMPUTED_VALUE"""),"OIC- CARPO LTID/Provincial Parcelization Coordinator")</f>
        <v>OIC- CARPO LTID/Provincial Parcelization Coordinator</v>
      </c>
      <c r="J2622" s="164" t="str">
        <f ca="1">IFERROR(__xludf.DUMMYFUNCTION("""COMPUTED_VALUE"""),"23-09-024")</f>
        <v>23-09-024</v>
      </c>
      <c r="K2622" s="164" t="str">
        <f ca="1">IFERROR(__xludf.DUMMYFUNCTION("""COMPUTED_VALUE"""),"BAG-AO, JAMES ARNEL")</f>
        <v>BAG-AO, JAMES ARNEL</v>
      </c>
      <c r="L2622" s="164" t="str">
        <f ca="1">IFERROR(__xludf.DUMMYFUNCTION("""COMPUTED_VALUE"""),"DARPO-BOHOL")</f>
        <v>DARPO-BOHOL</v>
      </c>
      <c r="M2622" s="164" t="str">
        <f ca="1">IFERROR(__xludf.DUMMYFUNCTION("""COMPUTED_VALUE"""),"SERVICEABLE")</f>
        <v>SERVICEABLE</v>
      </c>
      <c r="N2622" s="164"/>
    </row>
    <row r="2623" spans="1:14" ht="13.2" hidden="1">
      <c r="A2623" s="164" t="str">
        <f ca="1">IFERROR(__xludf.DUMMYFUNCTION("""COMPUTED_VALUE"""),"Region VII")</f>
        <v>Region VII</v>
      </c>
      <c r="B2623" s="164" t="str">
        <f ca="1">IFERROR(__xludf.DUMMYFUNCTION("""COMPUTED_VALUE"""),"BOHOL")</f>
        <v>BOHOL</v>
      </c>
      <c r="C2623" s="164" t="str">
        <f ca="1">IFERROR(__xludf.DUMMYFUNCTION("""COMPUTED_VALUE"""),"Desktop Computer – (HP Pro SFF 280G9)")</f>
        <v>Desktop Computer – (HP Pro SFF 280G9)</v>
      </c>
      <c r="D2623" s="164" t="str">
        <f ca="1">IFERROR(__xludf.DUMMYFUNCTION("""COMPUTED_VALUE"""),"₱ 78,898.00")</f>
        <v>₱ 78,898.00</v>
      </c>
      <c r="E2623" s="164" t="str">
        <f ca="1">IFERROR(__xludf.DUMMYFUNCTION("""COMPUTED_VALUE"""),"₱ -")</f>
        <v>₱ -</v>
      </c>
      <c r="F2623" s="164" t="str">
        <f ca="1">IFERROR(__xludf.DUMMYFUNCTION("""COMPUTED_VALUE"""),"2023-05-03-10201SP451-01")</f>
        <v>2023-05-03-10201SP451-01</v>
      </c>
      <c r="G2623" s="164"/>
      <c r="H2623" s="164" t="str">
        <f ca="1">IFERROR(__xludf.DUMMYFUNCTION("""COMPUTED_VALUE"""),"OPORTO, JENNETTE/LUMINARE H. CALAMBA")</f>
        <v>OPORTO, JENNETTE/LUMINARE H. CALAMBA</v>
      </c>
      <c r="I2623" s="164" t="str">
        <f ca="1">IFERROR(__xludf.DUMMYFUNCTION("""COMPUTED_VALUE"""),"CARPO PBDD/
 ESS Coordinator")</f>
        <v>CARPO PBDD/
 ESS Coordinator</v>
      </c>
      <c r="J2623" s="164" t="str">
        <f ca="1">IFERROR(__xludf.DUMMYFUNCTION("""COMPUTED_VALUE"""),"23-09-025")</f>
        <v>23-09-025</v>
      </c>
      <c r="K2623" s="164" t="str">
        <f ca="1">IFERROR(__xludf.DUMMYFUNCTION("""COMPUTED_VALUE"""),"SARSALE, WELLHA DIA")</f>
        <v>SARSALE, WELLHA DIA</v>
      </c>
      <c r="L2623" s="164" t="str">
        <f ca="1">IFERROR(__xludf.DUMMYFUNCTION("""COMPUTED_VALUE"""),"DARPO-BOHOL")</f>
        <v>DARPO-BOHOL</v>
      </c>
      <c r="M2623" s="164" t="str">
        <f ca="1">IFERROR(__xludf.DUMMYFUNCTION("""COMPUTED_VALUE"""),"SERVICEABLE")</f>
        <v>SERVICEABLE</v>
      </c>
      <c r="N2623" s="164"/>
    </row>
    <row r="2624" spans="1:14" ht="13.2" hidden="1">
      <c r="A2624" s="164" t="str">
        <f ca="1">IFERROR(__xludf.DUMMYFUNCTION("""COMPUTED_VALUE"""),"Region VII")</f>
        <v>Region VII</v>
      </c>
      <c r="B2624" s="164" t="str">
        <f ca="1">IFERROR(__xludf.DUMMYFUNCTION("""COMPUTED_VALUE"""),"BOHOL")</f>
        <v>BOHOL</v>
      </c>
      <c r="C2624" s="164" t="str">
        <f ca="1">IFERROR(__xludf.DUMMYFUNCTION("""COMPUTED_VALUE"""),"REAL-TIME KINEMATIC – GEOMAX ZENITH60")</f>
        <v>REAL-TIME KINEMATIC – GEOMAX ZENITH60</v>
      </c>
      <c r="D2624" s="164" t="str">
        <f ca="1">IFERROR(__xludf.DUMMYFUNCTION("""COMPUTED_VALUE"""),"₱ 1,849,000.00")</f>
        <v>₱ 1,849,000.00</v>
      </c>
      <c r="E2624" s="164" t="str">
        <f ca="1">IFERROR(__xludf.DUMMYFUNCTION("""COMPUTED_VALUE"""),"₱ -")</f>
        <v>₱ -</v>
      </c>
      <c r="F2624" s="164" t="str">
        <f ca="1">IFERROR(__xludf.DUMMYFUNCTION("""COMPUTED_VALUE"""),"2023-05-14-10201SP19-01")</f>
        <v>2023-05-14-10201SP19-01</v>
      </c>
      <c r="G2624" s="164"/>
      <c r="H2624" s="164" t="str">
        <f ca="1">IFERROR(__xludf.DUMMYFUNCTION("""COMPUTED_VALUE"""),"CABULAO, ARNEL")</f>
        <v>CABULAO, ARNEL</v>
      </c>
      <c r="I2624" s="164" t="str">
        <f ca="1">IFERROR(__xludf.DUMMYFUNCTION("""COMPUTED_VALUE"""),"ENGINEER II/Survey Coordinator")</f>
        <v>ENGINEER II/Survey Coordinator</v>
      </c>
      <c r="J2624" s="164" t="str">
        <f ca="1">IFERROR(__xludf.DUMMYFUNCTION("""COMPUTED_VALUE"""),"24-01-001")</f>
        <v>24-01-001</v>
      </c>
      <c r="K2624" s="164" t="str">
        <f ca="1">IFERROR(__xludf.DUMMYFUNCTION("""COMPUTED_VALUE"""),"CABULAO, ARNEL")</f>
        <v>CABULAO, ARNEL</v>
      </c>
      <c r="L2624" s="164" t="str">
        <f ca="1">IFERROR(__xludf.DUMMYFUNCTION("""COMPUTED_VALUE"""),"DARPO-BOHOL")</f>
        <v>DARPO-BOHOL</v>
      </c>
      <c r="M2624" s="164" t="str">
        <f ca="1">IFERROR(__xludf.DUMMYFUNCTION("""COMPUTED_VALUE"""),"SERVICEABLE")</f>
        <v>SERVICEABLE</v>
      </c>
      <c r="N2624" s="164"/>
    </row>
    <row r="2625" spans="1:14" ht="13.2" hidden="1">
      <c r="A2625" s="164" t="str">
        <f ca="1">IFERROR(__xludf.DUMMYFUNCTION("""COMPUTED_VALUE"""),"Region VII")</f>
        <v>Region VII</v>
      </c>
      <c r="B2625" s="164" t="str">
        <f ca="1">IFERROR(__xludf.DUMMYFUNCTION("""COMPUTED_VALUE"""),"BOHOL")</f>
        <v>BOHOL</v>
      </c>
      <c r="C2625" s="164" t="str">
        <f ca="1">IFERROR(__xludf.DUMMYFUNCTION("""COMPUTED_VALUE"""),"TOTAL STATION – GEOMAX TOTAL STATION ZOOM 50")</f>
        <v>TOTAL STATION – GEOMAX TOTAL STATION ZOOM 50</v>
      </c>
      <c r="D2625" s="164" t="str">
        <f ca="1">IFERROR(__xludf.DUMMYFUNCTION("""COMPUTED_VALUE"""),"₱ 648,000.00")</f>
        <v>₱ 648,000.00</v>
      </c>
      <c r="E2625" s="164" t="str">
        <f ca="1">IFERROR(__xludf.DUMMYFUNCTION("""COMPUTED_VALUE"""),"₱ -")</f>
        <v>₱ -</v>
      </c>
      <c r="F2625" s="164" t="str">
        <f ca="1">IFERROR(__xludf.DUMMYFUNCTION("""COMPUTED_VALUE"""),"2023-05-14-10201SP19-01")</f>
        <v>2023-05-14-10201SP19-01</v>
      </c>
      <c r="G2625" s="164"/>
      <c r="H2625" s="164" t="str">
        <f ca="1">IFERROR(__xludf.DUMMYFUNCTION("""COMPUTED_VALUE"""),"CABULAO, ARNEL")</f>
        <v>CABULAO, ARNEL</v>
      </c>
      <c r="I2625" s="164" t="str">
        <f ca="1">IFERROR(__xludf.DUMMYFUNCTION("""COMPUTED_VALUE"""),"ENGINEER II/Survey Coordinator")</f>
        <v>ENGINEER II/Survey Coordinator</v>
      </c>
      <c r="J2625" s="164" t="str">
        <f ca="1">IFERROR(__xludf.DUMMYFUNCTION("""COMPUTED_VALUE"""),"24-01-001")</f>
        <v>24-01-001</v>
      </c>
      <c r="K2625" s="164" t="str">
        <f ca="1">IFERROR(__xludf.DUMMYFUNCTION("""COMPUTED_VALUE"""),"CABULAO, ARNEL")</f>
        <v>CABULAO, ARNEL</v>
      </c>
      <c r="L2625" s="164" t="str">
        <f ca="1">IFERROR(__xludf.DUMMYFUNCTION("""COMPUTED_VALUE"""),"DARPO-BOHOL")</f>
        <v>DARPO-BOHOL</v>
      </c>
      <c r="M2625" s="164" t="str">
        <f ca="1">IFERROR(__xludf.DUMMYFUNCTION("""COMPUTED_VALUE"""),"SERVICEABLE")</f>
        <v>SERVICEABLE</v>
      </c>
      <c r="N2625" s="164"/>
    </row>
    <row r="2626" spans="1:14" ht="13.2" hidden="1">
      <c r="A2626" s="164" t="str">
        <f ca="1">IFERROR(__xludf.DUMMYFUNCTION("""COMPUTED_VALUE"""),"Region VII")</f>
        <v>Region VII</v>
      </c>
      <c r="B2626" s="164" t="str">
        <f ca="1">IFERROR(__xludf.DUMMYFUNCTION("""COMPUTED_VALUE"""),"BOHOL")</f>
        <v>BOHOL</v>
      </c>
      <c r="C2626" s="164" t="str">
        <f ca="1">IFERROR(__xludf.DUMMYFUNCTION("""COMPUTED_VALUE"""),"A3 PRINTER (BROTHER)")</f>
        <v>A3 PRINTER (BROTHER)</v>
      </c>
      <c r="D2626" s="164" t="str">
        <f ca="1">IFERROR(__xludf.DUMMYFUNCTION("""COMPUTED_VALUE"""),"₱ 33,508.00")</f>
        <v>₱ 33,508.00</v>
      </c>
      <c r="E2626" s="164" t="str">
        <f ca="1">IFERROR(__xludf.DUMMYFUNCTION("""COMPUTED_VALUE"""),"₱ -")</f>
        <v>₱ -</v>
      </c>
      <c r="F2626" s="164" t="str">
        <f ca="1">IFERROR(__xludf.DUMMYFUNCTION("""COMPUTED_VALUE"""),"HVSPLIT-102-24-05-079")</f>
        <v>HVSPLIT-102-24-05-079</v>
      </c>
      <c r="G2626" s="164"/>
      <c r="H2626" s="164" t="str">
        <f ca="1">IFERROR(__xludf.DUMMYFUNCTION("""COMPUTED_VALUE"""),"GINA MONICA S. CABAHUG")</f>
        <v>GINA MONICA S. CABAHUG</v>
      </c>
      <c r="I2626" s="164" t="str">
        <f ca="1">IFERROR(__xludf.DUMMYFUNCTION("""COMPUTED_VALUE"""),"SUPPLY OFFICER")</f>
        <v>SUPPLY OFFICER</v>
      </c>
      <c r="J2626" s="164" t="str">
        <f ca="1">IFERROR(__xludf.DUMMYFUNCTION("""COMPUTED_VALUE"""),"2024-03-006")</f>
        <v>2024-03-006</v>
      </c>
      <c r="K2626" s="164"/>
      <c r="L2626" s="164" t="str">
        <f ca="1">IFERROR(__xludf.DUMMYFUNCTION("""COMPUTED_VALUE"""),"DARPO BOHOL")</f>
        <v>DARPO BOHOL</v>
      </c>
      <c r="M2626" s="164" t="str">
        <f ca="1">IFERROR(__xludf.DUMMYFUNCTION("""COMPUTED_VALUE"""),"SERVICEABLE")</f>
        <v>SERVICEABLE</v>
      </c>
      <c r="N2626" s="164"/>
    </row>
    <row r="2627" spans="1:14" ht="13.2">
      <c r="A2627" s="164" t="str">
        <f ca="1">IFERROR(__xludf.DUMMYFUNCTION("""COMPUTED_VALUE"""),"Region VII")</f>
        <v>Region VII</v>
      </c>
      <c r="B2627" s="164" t="str">
        <f ca="1">IFERROR(__xludf.DUMMYFUNCTION("""COMPUTED_VALUE"""),"CEBU")</f>
        <v>CEBU</v>
      </c>
      <c r="C2627" s="164" t="str">
        <f ca="1">IFERROR(__xludf.DUMMYFUNCTION("""COMPUTED_VALUE"""),"Photocopier Machine – Kyocera")</f>
        <v>Photocopier Machine – Kyocera</v>
      </c>
      <c r="D2627" s="164" t="str">
        <f ca="1">IFERROR(__xludf.DUMMYFUNCTION("""COMPUTED_VALUE"""),"₱ 84,500.00")</f>
        <v>₱ 84,500.00</v>
      </c>
      <c r="E2627" s="164" t="str">
        <f ca="1">IFERROR(__xludf.DUMMYFUNCTION("""COMPUTED_VALUE"""),"₱ -")</f>
        <v>₱ -</v>
      </c>
      <c r="F2627" s="164" t="str">
        <f ca="1">IFERROR(__xludf.DUMMYFUNCTION("""COMPUTED_VALUE"""),"2022-05-02-10202SP52-01")</f>
        <v>2022-05-02-10202SP52-01</v>
      </c>
      <c r="G2627" s="164"/>
      <c r="H2627" s="164" t="str">
        <f ca="1">IFERROR(__xludf.DUMMYFUNCTION("""COMPUTED_VALUE"""),"JUDLY O. LI")</f>
        <v>JUDLY O. LI</v>
      </c>
      <c r="I2627" s="164" t="str">
        <f ca="1">IFERROR(__xludf.DUMMYFUNCTION("""COMPUTED_VALUE"""),"PARCELIZATION COORDINATOR /PCAO-STOD")</f>
        <v>PARCELIZATION COORDINATOR /PCAO-STOD</v>
      </c>
      <c r="J2627" s="164" t="str">
        <f ca="1">IFERROR(__xludf.DUMMYFUNCTION("""COMPUTED_VALUE"""),"2022-12-001")</f>
        <v>2022-12-001</v>
      </c>
      <c r="K2627" s="164" t="str">
        <f ca="1">IFERROR(__xludf.DUMMYFUNCTION("""COMPUTED_VALUE"""),"JUDLY O. LI / LTID OFFICE")</f>
        <v>JUDLY O. LI / LTID OFFICE</v>
      </c>
      <c r="L2627" s="164" t="str">
        <f ca="1">IFERROR(__xludf.DUMMYFUNCTION("""COMPUTED_VALUE"""),"DARPO- CEBU")</f>
        <v>DARPO- CEBU</v>
      </c>
      <c r="M2627" s="164" t="str">
        <f ca="1">IFERROR(__xludf.DUMMYFUNCTION("""COMPUTED_VALUE"""),"SERVICEABLE")</f>
        <v>SERVICEABLE</v>
      </c>
      <c r="N2627" s="164" t="str">
        <f ca="1">IFERROR(__xludf.DUMMYFUNCTION("""COMPUTED_VALUE"""),"OK")</f>
        <v>OK</v>
      </c>
    </row>
    <row r="2628" spans="1:14" ht="13.2">
      <c r="A2628" s="164" t="str">
        <f ca="1">IFERROR(__xludf.DUMMYFUNCTION("""COMPUTED_VALUE"""),"Region VII")</f>
        <v>Region VII</v>
      </c>
      <c r="B2628" s="164" t="str">
        <f ca="1">IFERROR(__xludf.DUMMYFUNCTION("""COMPUTED_VALUE"""),"CEBU")</f>
        <v>CEBU</v>
      </c>
      <c r="C2628" s="164" t="str">
        <f ca="1">IFERROR(__xludf.DUMMYFUNCTION("""COMPUTED_VALUE"""),"Desktop Computer – (Lenovo M70T)")</f>
        <v>Desktop Computer – (Lenovo M70T)</v>
      </c>
      <c r="D2628" s="164" t="str">
        <f ca="1">IFERROR(__xludf.DUMMYFUNCTION("""COMPUTED_VALUE"""),"₱ 75,468.00")</f>
        <v>₱ 75,468.00</v>
      </c>
      <c r="E2628" s="164" t="str">
        <f ca="1">IFERROR(__xludf.DUMMYFUNCTION("""COMPUTED_VALUE"""),"₱ -")</f>
        <v>₱ -</v>
      </c>
      <c r="F2628" s="164" t="str">
        <f ca="1">IFERROR(__xludf.DUMMYFUNCTION("""COMPUTED_VALUE"""),"2023-05-03-10201SP1287-01")</f>
        <v>2023-05-03-10201SP1287-01</v>
      </c>
      <c r="G2628" s="164"/>
      <c r="H2628" s="164" t="str">
        <f ca="1">IFERROR(__xludf.DUMMYFUNCTION("""COMPUTED_VALUE"""),"LIZA C. TOROY")</f>
        <v>LIZA C. TOROY</v>
      </c>
      <c r="I2628" s="164" t="str">
        <f ca="1">IFERROR(__xludf.DUMMYFUNCTION("""COMPUTED_VALUE"""),"PCAO/ ADMIN &amp; BUDGET COORDINATOR /CARPO-PPBDO")</f>
        <v>PCAO/ ADMIN &amp; BUDGET COORDINATOR /CARPO-PPBDO</v>
      </c>
      <c r="J2628" s="164" t="str">
        <f ca="1">IFERROR(__xludf.DUMMYFUNCTION("""COMPUTED_VALUE"""),"2023-06-002")</f>
        <v>2023-06-002</v>
      </c>
      <c r="K2628" s="164" t="str">
        <f ca="1">IFERROR(__xludf.DUMMYFUNCTION("""COMPUTED_VALUE"""),"LIZA C. TOROY")</f>
        <v>LIZA C. TOROY</v>
      </c>
      <c r="L2628" s="164" t="str">
        <f ca="1">IFERROR(__xludf.DUMMYFUNCTION("""COMPUTED_VALUE"""),"DARPO- CEBU")</f>
        <v>DARPO- CEBU</v>
      </c>
      <c r="M2628" s="164" t="str">
        <f ca="1">IFERROR(__xludf.DUMMYFUNCTION("""COMPUTED_VALUE"""),"SERVICEABLE")</f>
        <v>SERVICEABLE</v>
      </c>
      <c r="N2628" s="164"/>
    </row>
    <row r="2629" spans="1:14" ht="13.2">
      <c r="A2629" s="164" t="str">
        <f ca="1">IFERROR(__xludf.DUMMYFUNCTION("""COMPUTED_VALUE"""),"Region VII")</f>
        <v>Region VII</v>
      </c>
      <c r="B2629" s="164" t="str">
        <f ca="1">IFERROR(__xludf.DUMMYFUNCTION("""COMPUTED_VALUE"""),"CEBU")</f>
        <v>CEBU</v>
      </c>
      <c r="C2629" s="164" t="str">
        <f ca="1">IFERROR(__xludf.DUMMYFUNCTION("""COMPUTED_VALUE"""),"Desktop Computer – (Lenovo M70T)")</f>
        <v>Desktop Computer – (Lenovo M70T)</v>
      </c>
      <c r="D2629" s="164" t="str">
        <f ca="1">IFERROR(__xludf.DUMMYFUNCTION("""COMPUTED_VALUE"""),"₱ 75,468.00")</f>
        <v>₱ 75,468.00</v>
      </c>
      <c r="E2629" s="164" t="str">
        <f ca="1">IFERROR(__xludf.DUMMYFUNCTION("""COMPUTED_VALUE"""),"₱ -")</f>
        <v>₱ -</v>
      </c>
      <c r="F2629" s="164" t="str">
        <f ca="1">IFERROR(__xludf.DUMMYFUNCTION("""COMPUTED_VALUE"""),"2023-05-03-10201SP1288-01")</f>
        <v>2023-05-03-10201SP1288-01</v>
      </c>
      <c r="G2629" s="164"/>
      <c r="H2629" s="164" t="str">
        <f ca="1">IFERROR(__xludf.DUMMYFUNCTION("""COMPUTED_VALUE"""),"THERESA LYNN L. ENEMECIO")</f>
        <v>THERESA LYNN L. ENEMECIO</v>
      </c>
      <c r="I2629" s="164" t="str">
        <f ca="1">IFERROR(__xludf.DUMMYFUNCTION("""COMPUTED_VALUE"""),"MIS COORDINATOR / SARPO")</f>
        <v>MIS COORDINATOR / SARPO</v>
      </c>
      <c r="J2629" s="164" t="str">
        <f ca="1">IFERROR(__xludf.DUMMYFUNCTION("""COMPUTED_VALUE"""),"2023-06-003")</f>
        <v>2023-06-003</v>
      </c>
      <c r="K2629" s="164" t="str">
        <f ca="1">IFERROR(__xludf.DUMMYFUNCTION("""COMPUTED_VALUE"""),"THERESA LYNN L. ENEMECIO")</f>
        <v>THERESA LYNN L. ENEMECIO</v>
      </c>
      <c r="L2629" s="164" t="str">
        <f ca="1">IFERROR(__xludf.DUMMYFUNCTION("""COMPUTED_VALUE"""),"DARPO- CEBU")</f>
        <v>DARPO- CEBU</v>
      </c>
      <c r="M2629" s="164" t="str">
        <f ca="1">IFERROR(__xludf.DUMMYFUNCTION("""COMPUTED_VALUE"""),"SERVICEABLE")</f>
        <v>SERVICEABLE</v>
      </c>
      <c r="N2629" s="164"/>
    </row>
    <row r="2630" spans="1:14" ht="13.2">
      <c r="A2630" s="164" t="str">
        <f ca="1">IFERROR(__xludf.DUMMYFUNCTION("""COMPUTED_VALUE"""),"Region VII")</f>
        <v>Region VII</v>
      </c>
      <c r="B2630" s="164" t="str">
        <f ca="1">IFERROR(__xludf.DUMMYFUNCTION("""COMPUTED_VALUE"""),"CEBU")</f>
        <v>CEBU</v>
      </c>
      <c r="C2630" s="164" t="str">
        <f ca="1">IFERROR(__xludf.DUMMYFUNCTION("""COMPUTED_VALUE"""),"Desktop Computer – (Lenovo M70T)")</f>
        <v>Desktop Computer – (Lenovo M70T)</v>
      </c>
      <c r="D2630" s="164" t="str">
        <f ca="1">IFERROR(__xludf.DUMMYFUNCTION("""COMPUTED_VALUE"""),"₱ 75,468.00")</f>
        <v>₱ 75,468.00</v>
      </c>
      <c r="E2630" s="164" t="str">
        <f ca="1">IFERROR(__xludf.DUMMYFUNCTION("""COMPUTED_VALUE"""),"₱ -")</f>
        <v>₱ -</v>
      </c>
      <c r="F2630" s="164" t="str">
        <f ca="1">IFERROR(__xludf.DUMMYFUNCTION("""COMPUTED_VALUE"""),"2023-05-03-10201SP1289-01")</f>
        <v>2023-05-03-10201SP1289-01</v>
      </c>
      <c r="G2630" s="164"/>
      <c r="H2630" s="164" t="str">
        <f ca="1">IFERROR(__xludf.DUMMYFUNCTION("""COMPUTED_VALUE"""),"GRACE B. FUA, CESO V / JUDI O. LI")</f>
        <v>GRACE B. FUA, CESO V / JUDI O. LI</v>
      </c>
      <c r="I2630" s="164" t="str">
        <f ca="1">IFERROR(__xludf.DUMMYFUNCTION("""COMPUTED_VALUE"""),"PARO II / PROVINCIAL PROJECT MANAGER / PCAO-STOD")</f>
        <v>PARO II / PROVINCIAL PROJECT MANAGER / PCAO-STOD</v>
      </c>
      <c r="J2630" s="164" t="str">
        <f ca="1">IFERROR(__xludf.DUMMYFUNCTION("""COMPUTED_VALUE"""),"2023-06-004")</f>
        <v>2023-06-004</v>
      </c>
      <c r="K2630" s="164" t="str">
        <f ca="1">IFERROR(__xludf.DUMMYFUNCTION("""COMPUTED_VALUE"""),"GRACE B. FUA, CESO V / JUDI O. LI")</f>
        <v>GRACE B. FUA, CESO V / JUDI O. LI</v>
      </c>
      <c r="L2630" s="164" t="str">
        <f ca="1">IFERROR(__xludf.DUMMYFUNCTION("""COMPUTED_VALUE"""),"DARPO- CEBU")</f>
        <v>DARPO- CEBU</v>
      </c>
      <c r="M2630" s="164" t="str">
        <f ca="1">IFERROR(__xludf.DUMMYFUNCTION("""COMPUTED_VALUE"""),"SERVICEABLE")</f>
        <v>SERVICEABLE</v>
      </c>
      <c r="N2630" s="164"/>
    </row>
    <row r="2631" spans="1:14" ht="13.2">
      <c r="A2631" s="164" t="str">
        <f ca="1">IFERROR(__xludf.DUMMYFUNCTION("""COMPUTED_VALUE"""),"Region VII")</f>
        <v>Region VII</v>
      </c>
      <c r="B2631" s="164" t="str">
        <f ca="1">IFERROR(__xludf.DUMMYFUNCTION("""COMPUTED_VALUE"""),"CEBU")</f>
        <v>CEBU</v>
      </c>
      <c r="C2631" s="164" t="str">
        <f ca="1">IFERROR(__xludf.DUMMYFUNCTION("""COMPUTED_VALUE"""),"Desktop Computer – (Lenovo M70T)")</f>
        <v>Desktop Computer – (Lenovo M70T)</v>
      </c>
      <c r="D2631" s="164" t="str">
        <f ca="1">IFERROR(__xludf.DUMMYFUNCTION("""COMPUTED_VALUE"""),"₱ 75,468.00")</f>
        <v>₱ 75,468.00</v>
      </c>
      <c r="E2631" s="164" t="str">
        <f ca="1">IFERROR(__xludf.DUMMYFUNCTION("""COMPUTED_VALUE"""),"₱ -")</f>
        <v>₱ -</v>
      </c>
      <c r="F2631" s="164" t="str">
        <f ca="1">IFERROR(__xludf.DUMMYFUNCTION("""COMPUTED_VALUE"""),"2023-05-03-10201SP1290-01")</f>
        <v>2023-05-03-10201SP1290-01</v>
      </c>
      <c r="G2631" s="164"/>
      <c r="H2631" s="164" t="str">
        <f ca="1">IFERROR(__xludf.DUMMYFUNCTION("""COMPUTED_VALUE"""),"JUDLY O. LI")</f>
        <v>JUDLY O. LI</v>
      </c>
      <c r="I2631" s="164" t="str">
        <f ca="1">IFERROR(__xludf.DUMMYFUNCTION("""COMPUTED_VALUE"""),"PARCELIZATION COORDINATOR / PCAO-STOD")</f>
        <v>PARCELIZATION COORDINATOR / PCAO-STOD</v>
      </c>
      <c r="J2631" s="164" t="str">
        <f ca="1">IFERROR(__xludf.DUMMYFUNCTION("""COMPUTED_VALUE"""),"2023-06-005")</f>
        <v>2023-06-005</v>
      </c>
      <c r="K2631" s="164" t="str">
        <f ca="1">IFERROR(__xludf.DUMMYFUNCTION("""COMPUTED_VALUE"""),"JOMARIE A. VALLENTE")</f>
        <v>JOMARIE A. VALLENTE</v>
      </c>
      <c r="L2631" s="164" t="str">
        <f ca="1">IFERROR(__xludf.DUMMYFUNCTION("""COMPUTED_VALUE"""),"DARPO- CEBU")</f>
        <v>DARPO- CEBU</v>
      </c>
      <c r="M2631" s="164" t="str">
        <f ca="1">IFERROR(__xludf.DUMMYFUNCTION("""COMPUTED_VALUE"""),"SERVICEABLE")</f>
        <v>SERVICEABLE</v>
      </c>
      <c r="N2631" s="164"/>
    </row>
    <row r="2632" spans="1:14" ht="13.2">
      <c r="A2632" s="164" t="str">
        <f ca="1">IFERROR(__xludf.DUMMYFUNCTION("""COMPUTED_VALUE"""),"Region VII")</f>
        <v>Region VII</v>
      </c>
      <c r="B2632" s="164" t="str">
        <f ca="1">IFERROR(__xludf.DUMMYFUNCTION("""COMPUTED_VALUE"""),"CEBU")</f>
        <v>CEBU</v>
      </c>
      <c r="C2632" s="164" t="str">
        <f ca="1">IFERROR(__xludf.DUMMYFUNCTION("""COMPUTED_VALUE"""),"Desktop Computer – (Lenovo M70T)")</f>
        <v>Desktop Computer – (Lenovo M70T)</v>
      </c>
      <c r="D2632" s="164" t="str">
        <f ca="1">IFERROR(__xludf.DUMMYFUNCTION("""COMPUTED_VALUE"""),"₱ 75,468.00")</f>
        <v>₱ 75,468.00</v>
      </c>
      <c r="E2632" s="164" t="str">
        <f ca="1">IFERROR(__xludf.DUMMYFUNCTION("""COMPUTED_VALUE"""),"₱ -")</f>
        <v>₱ -</v>
      </c>
      <c r="F2632" s="164" t="str">
        <f ca="1">IFERROR(__xludf.DUMMYFUNCTION("""COMPUTED_VALUE"""),"2023-05-03-10201SP1291-01")</f>
        <v>2023-05-03-10201SP1291-01</v>
      </c>
      <c r="G2632" s="164"/>
      <c r="H2632" s="164" t="str">
        <f ca="1">IFERROR(__xludf.DUMMYFUNCTION("""COMPUTED_VALUE"""),"JUDLY O. LI")</f>
        <v>JUDLY O. LI</v>
      </c>
      <c r="I2632" s="164" t="str">
        <f ca="1">IFERROR(__xludf.DUMMYFUNCTION("""COMPUTED_VALUE"""),"PARCELIZATION COORDINATOR / PCAO-STOD")</f>
        <v>PARCELIZATION COORDINATOR / PCAO-STOD</v>
      </c>
      <c r="J2632" s="164" t="str">
        <f ca="1">IFERROR(__xludf.DUMMYFUNCTION("""COMPUTED_VALUE"""),"2023-06-006")</f>
        <v>2023-06-006</v>
      </c>
      <c r="K2632" s="164" t="str">
        <f ca="1">IFERROR(__xludf.DUMMYFUNCTION("""COMPUTED_VALUE"""),"JAN REINHOLD T. DUMAM-AG")</f>
        <v>JAN REINHOLD T. DUMAM-AG</v>
      </c>
      <c r="L2632" s="164" t="str">
        <f ca="1">IFERROR(__xludf.DUMMYFUNCTION("""COMPUTED_VALUE"""),"DARPO- CEBU")</f>
        <v>DARPO- CEBU</v>
      </c>
      <c r="M2632" s="164" t="str">
        <f ca="1">IFERROR(__xludf.DUMMYFUNCTION("""COMPUTED_VALUE"""),"SERVICEABLE")</f>
        <v>SERVICEABLE</v>
      </c>
      <c r="N2632" s="164"/>
    </row>
    <row r="2633" spans="1:14" ht="13.2">
      <c r="A2633" s="164" t="str">
        <f ca="1">IFERROR(__xludf.DUMMYFUNCTION("""COMPUTED_VALUE"""),"Region VII")</f>
        <v>Region VII</v>
      </c>
      <c r="B2633" s="164" t="str">
        <f ca="1">IFERROR(__xludf.DUMMYFUNCTION("""COMPUTED_VALUE"""),"CEBU")</f>
        <v>CEBU</v>
      </c>
      <c r="C2633" s="164" t="str">
        <f ca="1">IFERROR(__xludf.DUMMYFUNCTION("""COMPUTED_VALUE"""),"Desktop Computer – (Lenovo M70T)")</f>
        <v>Desktop Computer – (Lenovo M70T)</v>
      </c>
      <c r="D2633" s="164" t="str">
        <f ca="1">IFERROR(__xludf.DUMMYFUNCTION("""COMPUTED_VALUE"""),"₱ 75,468.00")</f>
        <v>₱ 75,468.00</v>
      </c>
      <c r="E2633" s="164" t="str">
        <f ca="1">IFERROR(__xludf.DUMMYFUNCTION("""COMPUTED_VALUE"""),"₱ -")</f>
        <v>₱ -</v>
      </c>
      <c r="F2633" s="164" t="str">
        <f ca="1">IFERROR(__xludf.DUMMYFUNCTION("""COMPUTED_VALUE"""),"2023-05-03-10201SP1292-01")</f>
        <v>2023-05-03-10201SP1292-01</v>
      </c>
      <c r="G2633" s="164"/>
      <c r="H2633" s="164" t="str">
        <f ca="1">IFERROR(__xludf.DUMMYFUNCTION("""COMPUTED_VALUE"""),"JUDLY O. LI")</f>
        <v>JUDLY O. LI</v>
      </c>
      <c r="I2633" s="164" t="str">
        <f ca="1">IFERROR(__xludf.DUMMYFUNCTION("""COMPUTED_VALUE"""),"PARCELIZATION COORDINATOR / PCAO-STOD")</f>
        <v>PARCELIZATION COORDINATOR / PCAO-STOD</v>
      </c>
      <c r="J2633" s="164" t="str">
        <f ca="1">IFERROR(__xludf.DUMMYFUNCTION("""COMPUTED_VALUE"""),"c")</f>
        <v>c</v>
      </c>
      <c r="K2633" s="164" t="str">
        <f ca="1">IFERROR(__xludf.DUMMYFUNCTION("""COMPUTED_VALUE"""),"DAZELL RUBY C. CASTELLANO")</f>
        <v>DAZELL RUBY C. CASTELLANO</v>
      </c>
      <c r="L2633" s="164" t="str">
        <f ca="1">IFERROR(__xludf.DUMMYFUNCTION("""COMPUTED_VALUE"""),"DARPO- CEBU")</f>
        <v>DARPO- CEBU</v>
      </c>
      <c r="M2633" s="164" t="str">
        <f ca="1">IFERROR(__xludf.DUMMYFUNCTION("""COMPUTED_VALUE"""),"SERVICEABLE")</f>
        <v>SERVICEABLE</v>
      </c>
      <c r="N2633" s="164"/>
    </row>
    <row r="2634" spans="1:14" ht="13.2">
      <c r="A2634" s="164" t="str">
        <f ca="1">IFERROR(__xludf.DUMMYFUNCTION("""COMPUTED_VALUE"""),"Region VII")</f>
        <v>Region VII</v>
      </c>
      <c r="B2634" s="164" t="str">
        <f ca="1">IFERROR(__xludf.DUMMYFUNCTION("""COMPUTED_VALUE"""),"CEBU")</f>
        <v>CEBU</v>
      </c>
      <c r="C2634" s="164" t="str">
        <f ca="1">IFERROR(__xludf.DUMMYFUNCTION("""COMPUTED_VALUE"""),"Desktop Computer – (Lenovo M70T)")</f>
        <v>Desktop Computer – (Lenovo M70T)</v>
      </c>
      <c r="D2634" s="164" t="str">
        <f ca="1">IFERROR(__xludf.DUMMYFUNCTION("""COMPUTED_VALUE"""),"₱ 75,468.00")</f>
        <v>₱ 75,468.00</v>
      </c>
      <c r="E2634" s="164" t="str">
        <f ca="1">IFERROR(__xludf.DUMMYFUNCTION("""COMPUTED_VALUE"""),"₱ -")</f>
        <v>₱ -</v>
      </c>
      <c r="F2634" s="164" t="str">
        <f ca="1">IFERROR(__xludf.DUMMYFUNCTION("""COMPUTED_VALUE"""),"2023-05-03-10201SP1293-01")</f>
        <v>2023-05-03-10201SP1293-01</v>
      </c>
      <c r="G2634" s="164"/>
      <c r="H2634" s="164" t="str">
        <f ca="1">IFERROR(__xludf.DUMMYFUNCTION("""COMPUTED_VALUE"""),"JUDLY O. LI")</f>
        <v>JUDLY O. LI</v>
      </c>
      <c r="I2634" s="164" t="str">
        <f ca="1">IFERROR(__xludf.DUMMYFUNCTION("""COMPUTED_VALUE"""),"PARCELIZATION COORDINATOR")</f>
        <v>PARCELIZATION COORDINATOR</v>
      </c>
      <c r="J2634" s="164" t="str">
        <f ca="1">IFERROR(__xludf.DUMMYFUNCTION("""COMPUTED_VALUE"""),"2023-06-008")</f>
        <v>2023-06-008</v>
      </c>
      <c r="K2634" s="164" t="str">
        <f ca="1">IFERROR(__xludf.DUMMYFUNCTION("""COMPUTED_VALUE"""),"TRESHIA MAE T. JASMIN")</f>
        <v>TRESHIA MAE T. JASMIN</v>
      </c>
      <c r="L2634" s="164" t="str">
        <f ca="1">IFERROR(__xludf.DUMMYFUNCTION("""COMPUTED_VALUE"""),"DARPO- CEBU")</f>
        <v>DARPO- CEBU</v>
      </c>
      <c r="M2634" s="164" t="str">
        <f ca="1">IFERROR(__xludf.DUMMYFUNCTION("""COMPUTED_VALUE"""),"SERVICEABLE")</f>
        <v>SERVICEABLE</v>
      </c>
      <c r="N2634" s="164"/>
    </row>
    <row r="2635" spans="1:14" ht="13.2">
      <c r="A2635" s="164" t="str">
        <f ca="1">IFERROR(__xludf.DUMMYFUNCTION("""COMPUTED_VALUE"""),"Region VII")</f>
        <v>Region VII</v>
      </c>
      <c r="B2635" s="164" t="str">
        <f ca="1">IFERROR(__xludf.DUMMYFUNCTION("""COMPUTED_VALUE"""),"CEBU")</f>
        <v>CEBU</v>
      </c>
      <c r="C2635" s="164" t="str">
        <f ca="1">IFERROR(__xludf.DUMMYFUNCTION("""COMPUTED_VALUE"""),"Desktop Computer – (Lenovo M70T)")</f>
        <v>Desktop Computer – (Lenovo M70T)</v>
      </c>
      <c r="D2635" s="164" t="str">
        <f ca="1">IFERROR(__xludf.DUMMYFUNCTION("""COMPUTED_VALUE"""),"₱ 75,468.00")</f>
        <v>₱ 75,468.00</v>
      </c>
      <c r="E2635" s="164" t="str">
        <f ca="1">IFERROR(__xludf.DUMMYFUNCTION("""COMPUTED_VALUE"""),"₱ -")</f>
        <v>₱ -</v>
      </c>
      <c r="F2635" s="164" t="str">
        <f ca="1">IFERROR(__xludf.DUMMYFUNCTION("""COMPUTED_VALUE"""),"2023-05-03-10201SP1294-01")</f>
        <v>2023-05-03-10201SP1294-01</v>
      </c>
      <c r="G2635" s="164"/>
      <c r="H2635" s="164" t="str">
        <f ca="1">IFERROR(__xludf.DUMMYFUNCTION("""COMPUTED_VALUE"""),"JUDLY O. LI")</f>
        <v>JUDLY O. LI</v>
      </c>
      <c r="I2635" s="164" t="str">
        <f ca="1">IFERROR(__xludf.DUMMYFUNCTION("""COMPUTED_VALUE"""),"PARCELIZATION COORDINATOR")</f>
        <v>PARCELIZATION COORDINATOR</v>
      </c>
      <c r="J2635" s="164" t="str">
        <f ca="1">IFERROR(__xludf.DUMMYFUNCTION("""COMPUTED_VALUE"""),"2023-06-009")</f>
        <v>2023-06-009</v>
      </c>
      <c r="K2635" s="164" t="str">
        <f ca="1">IFERROR(__xludf.DUMMYFUNCTION("""COMPUTED_VALUE"""),"VON JOVI R. OPORTO / JECA L. BOCALES")</f>
        <v>VON JOVI R. OPORTO / JECA L. BOCALES</v>
      </c>
      <c r="L2635" s="164" t="str">
        <f ca="1">IFERROR(__xludf.DUMMYFUNCTION("""COMPUTED_VALUE"""),"DARPO- CEBU")</f>
        <v>DARPO- CEBU</v>
      </c>
      <c r="M2635" s="164" t="str">
        <f ca="1">IFERROR(__xludf.DUMMYFUNCTION("""COMPUTED_VALUE"""),"SERVICEABLE")</f>
        <v>SERVICEABLE</v>
      </c>
      <c r="N2635" s="164"/>
    </row>
    <row r="2636" spans="1:14" ht="13.2">
      <c r="A2636" s="164" t="str">
        <f ca="1">IFERROR(__xludf.DUMMYFUNCTION("""COMPUTED_VALUE"""),"Region VII")</f>
        <v>Region VII</v>
      </c>
      <c r="B2636" s="164" t="str">
        <f ca="1">IFERROR(__xludf.DUMMYFUNCTION("""COMPUTED_VALUE"""),"CEBU")</f>
        <v>CEBU</v>
      </c>
      <c r="C2636" s="164" t="str">
        <f ca="1">IFERROR(__xludf.DUMMYFUNCTION("""COMPUTED_VALUE"""),"Desktop Computer – (Lenovo M70T)")</f>
        <v>Desktop Computer – (Lenovo M70T)</v>
      </c>
      <c r="D2636" s="164" t="str">
        <f ca="1">IFERROR(__xludf.DUMMYFUNCTION("""COMPUTED_VALUE"""),"₱ 75,468.00")</f>
        <v>₱ 75,468.00</v>
      </c>
      <c r="E2636" s="164" t="str">
        <f ca="1">IFERROR(__xludf.DUMMYFUNCTION("""COMPUTED_VALUE"""),"₱ -")</f>
        <v>₱ -</v>
      </c>
      <c r="F2636" s="164" t="str">
        <f ca="1">IFERROR(__xludf.DUMMYFUNCTION("""COMPUTED_VALUE"""),"2023-05-03-10201SP1295-01")</f>
        <v>2023-05-03-10201SP1295-01</v>
      </c>
      <c r="G2636" s="164"/>
      <c r="H2636" s="164" t="str">
        <f ca="1">IFERROR(__xludf.DUMMYFUNCTION("""COMPUTED_VALUE"""),"JUDLY O. LI")</f>
        <v>JUDLY O. LI</v>
      </c>
      <c r="I2636" s="164" t="str">
        <f ca="1">IFERROR(__xludf.DUMMYFUNCTION("""COMPUTED_VALUE"""),"PARCELIZATION COORDINATOR")</f>
        <v>PARCELIZATION COORDINATOR</v>
      </c>
      <c r="J2636" s="164" t="str">
        <f ca="1">IFERROR(__xludf.DUMMYFUNCTION("""COMPUTED_VALUE"""),"2023-06-010")</f>
        <v>2023-06-010</v>
      </c>
      <c r="K2636" s="164" t="str">
        <f ca="1">IFERROR(__xludf.DUMMYFUNCTION("""COMPUTED_VALUE"""),"CHRISTIAN S. BICADA")</f>
        <v>CHRISTIAN S. BICADA</v>
      </c>
      <c r="L2636" s="164" t="str">
        <f ca="1">IFERROR(__xludf.DUMMYFUNCTION("""COMPUTED_VALUE"""),"DARPO- CEBU")</f>
        <v>DARPO- CEBU</v>
      </c>
      <c r="M2636" s="164" t="str">
        <f ca="1">IFERROR(__xludf.DUMMYFUNCTION("""COMPUTED_VALUE"""),"SERVICEABLE")</f>
        <v>SERVICEABLE</v>
      </c>
      <c r="N2636" s="164"/>
    </row>
    <row r="2637" spans="1:14" ht="13.2">
      <c r="A2637" s="164" t="str">
        <f ca="1">IFERROR(__xludf.DUMMYFUNCTION("""COMPUTED_VALUE"""),"Region VII")</f>
        <v>Region VII</v>
      </c>
      <c r="B2637" s="164" t="str">
        <f ca="1">IFERROR(__xludf.DUMMYFUNCTION("""COMPUTED_VALUE"""),"CEBU")</f>
        <v>CEBU</v>
      </c>
      <c r="C2637" s="164" t="str">
        <f ca="1">IFERROR(__xludf.DUMMYFUNCTION("""COMPUTED_VALUE"""),"Desktop Computer – (Lenovo M70T)")</f>
        <v>Desktop Computer – (Lenovo M70T)</v>
      </c>
      <c r="D2637" s="164" t="str">
        <f ca="1">IFERROR(__xludf.DUMMYFUNCTION("""COMPUTED_VALUE"""),"₱ 75,468.00")</f>
        <v>₱ 75,468.00</v>
      </c>
      <c r="E2637" s="164" t="str">
        <f ca="1">IFERROR(__xludf.DUMMYFUNCTION("""COMPUTED_VALUE"""),"₱ -")</f>
        <v>₱ -</v>
      </c>
      <c r="F2637" s="164" t="str">
        <f ca="1">IFERROR(__xludf.DUMMYFUNCTION("""COMPUTED_VALUE"""),"2023-05-03-10201SP1296-01")</f>
        <v>2023-05-03-10201SP1296-01</v>
      </c>
      <c r="G2637" s="164"/>
      <c r="H2637" s="164" t="str">
        <f ca="1">IFERROR(__xludf.DUMMYFUNCTION("""COMPUTED_VALUE"""),"JUDLY O. LI")</f>
        <v>JUDLY O. LI</v>
      </c>
      <c r="I2637" s="164" t="str">
        <f ca="1">IFERROR(__xludf.DUMMYFUNCTION("""COMPUTED_VALUE"""),"PARCELIZATION COORDINATOR /PCAO-STOD")</f>
        <v>PARCELIZATION COORDINATOR /PCAO-STOD</v>
      </c>
      <c r="J2637" s="164" t="str">
        <f ca="1">IFERROR(__xludf.DUMMYFUNCTION("""COMPUTED_VALUE"""),"2023-06-011")</f>
        <v>2023-06-011</v>
      </c>
      <c r="K2637" s="164" t="str">
        <f ca="1">IFERROR(__xludf.DUMMYFUNCTION("""COMPUTED_VALUE"""),"HANNELETTE JAY E. ISIANG / CARL VINCENT SOLLANO")</f>
        <v>HANNELETTE JAY E. ISIANG / CARL VINCENT SOLLANO</v>
      </c>
      <c r="L2637" s="164" t="str">
        <f ca="1">IFERROR(__xludf.DUMMYFUNCTION("""COMPUTED_VALUE"""),"DARPO- CEBU")</f>
        <v>DARPO- CEBU</v>
      </c>
      <c r="M2637" s="164" t="str">
        <f ca="1">IFERROR(__xludf.DUMMYFUNCTION("""COMPUTED_VALUE"""),"SERVICEABLE")</f>
        <v>SERVICEABLE</v>
      </c>
      <c r="N2637" s="164"/>
    </row>
    <row r="2638" spans="1:14" ht="13.2">
      <c r="A2638" s="164" t="str">
        <f ca="1">IFERROR(__xludf.DUMMYFUNCTION("""COMPUTED_VALUE"""),"Region VII")</f>
        <v>Region VII</v>
      </c>
      <c r="B2638" s="164" t="str">
        <f ca="1">IFERROR(__xludf.DUMMYFUNCTION("""COMPUTED_VALUE"""),"CEBU")</f>
        <v>CEBU</v>
      </c>
      <c r="C2638" s="164" t="str">
        <f ca="1">IFERROR(__xludf.DUMMYFUNCTION("""COMPUTED_VALUE"""),"Desktop Computer – (Lenovo M70T)")</f>
        <v>Desktop Computer – (Lenovo M70T)</v>
      </c>
      <c r="D2638" s="164" t="str">
        <f ca="1">IFERROR(__xludf.DUMMYFUNCTION("""COMPUTED_VALUE"""),"₱ 75,468.00")</f>
        <v>₱ 75,468.00</v>
      </c>
      <c r="E2638" s="164" t="str">
        <f ca="1">IFERROR(__xludf.DUMMYFUNCTION("""COMPUTED_VALUE"""),"₱ -")</f>
        <v>₱ -</v>
      </c>
      <c r="F2638" s="164" t="str">
        <f ca="1">IFERROR(__xludf.DUMMYFUNCTION("""COMPUTED_VALUE"""),"2023-05-03-10201SP1297-01")</f>
        <v>2023-05-03-10201SP1297-01</v>
      </c>
      <c r="G2638" s="164"/>
      <c r="H2638" s="164" t="str">
        <f ca="1">IFERROR(__xludf.DUMMYFUNCTION("""COMPUTED_VALUE"""),"JUDLY O. LI")</f>
        <v>JUDLY O. LI</v>
      </c>
      <c r="I2638" s="164" t="str">
        <f ca="1">IFERROR(__xludf.DUMMYFUNCTION("""COMPUTED_VALUE"""),"PARCELIZATION COORDINATOR / PCAO-STOD")</f>
        <v>PARCELIZATION COORDINATOR / PCAO-STOD</v>
      </c>
      <c r="J2638" s="164" t="str">
        <f ca="1">IFERROR(__xludf.DUMMYFUNCTION("""COMPUTED_VALUE"""),"2023-06-012")</f>
        <v>2023-06-012</v>
      </c>
      <c r="K2638" s="164" t="str">
        <f ca="1">IFERROR(__xludf.DUMMYFUNCTION("""COMPUTED_VALUE"""),"JAZMINE M. DELA CRUZ")</f>
        <v>JAZMINE M. DELA CRUZ</v>
      </c>
      <c r="L2638" s="164" t="str">
        <f ca="1">IFERROR(__xludf.DUMMYFUNCTION("""COMPUTED_VALUE"""),"DARPO- CEBU")</f>
        <v>DARPO- CEBU</v>
      </c>
      <c r="M2638" s="164" t="str">
        <f ca="1">IFERROR(__xludf.DUMMYFUNCTION("""COMPUTED_VALUE"""),"SERVICEABLE")</f>
        <v>SERVICEABLE</v>
      </c>
      <c r="N2638" s="164"/>
    </row>
    <row r="2639" spans="1:14" ht="13.2">
      <c r="A2639" s="164" t="str">
        <f ca="1">IFERROR(__xludf.DUMMYFUNCTION("""COMPUTED_VALUE"""),"Region VII")</f>
        <v>Region VII</v>
      </c>
      <c r="B2639" s="164" t="str">
        <f ca="1">IFERROR(__xludf.DUMMYFUNCTION("""COMPUTED_VALUE"""),"CEBU")</f>
        <v>CEBU</v>
      </c>
      <c r="C2639" s="164" t="str">
        <f ca="1">IFERROR(__xludf.DUMMYFUNCTION("""COMPUTED_VALUE"""),"Desktop Computer – (Lenovo M70T)")</f>
        <v>Desktop Computer – (Lenovo M70T)</v>
      </c>
      <c r="D2639" s="164" t="str">
        <f ca="1">IFERROR(__xludf.DUMMYFUNCTION("""COMPUTED_VALUE"""),"₱ 75,468.00")</f>
        <v>₱ 75,468.00</v>
      </c>
      <c r="E2639" s="164" t="str">
        <f ca="1">IFERROR(__xludf.DUMMYFUNCTION("""COMPUTED_VALUE"""),"₱ -")</f>
        <v>₱ -</v>
      </c>
      <c r="F2639" s="164" t="str">
        <f ca="1">IFERROR(__xludf.DUMMYFUNCTION("""COMPUTED_VALUE"""),"2023-05-03-10201SP1298-01")</f>
        <v>2023-05-03-10201SP1298-01</v>
      </c>
      <c r="G2639" s="164"/>
      <c r="H2639" s="164" t="str">
        <f ca="1">IFERROR(__xludf.DUMMYFUNCTION("""COMPUTED_VALUE"""),"JUDLY O. LI /ATTY. ALVIN B. HERAMIZ")</f>
        <v>JUDLY O. LI /ATTY. ALVIN B. HERAMIZ</v>
      </c>
      <c r="I2639" s="164" t="str">
        <f ca="1">IFERROR(__xludf.DUMMYFUNCTION("""COMPUTED_VALUE"""),"PARCELIZATION COORDINATOR / OIC-CHIEF LEGAL")</f>
        <v>PARCELIZATION COORDINATOR / OIC-CHIEF LEGAL</v>
      </c>
      <c r="J2639" s="164" t="str">
        <f ca="1">IFERROR(__xludf.DUMMYFUNCTION("""COMPUTED_VALUE"""),"2023-06-013")</f>
        <v>2023-06-013</v>
      </c>
      <c r="K2639" s="164" t="str">
        <f ca="1">IFERROR(__xludf.DUMMYFUNCTION("""COMPUTED_VALUE"""),"JUDLY O. LI /ATTY. MIKO R. LAMBO")</f>
        <v>JUDLY O. LI /ATTY. MIKO R. LAMBO</v>
      </c>
      <c r="L2639" s="164" t="str">
        <f ca="1">IFERROR(__xludf.DUMMYFUNCTION("""COMPUTED_VALUE"""),"DARPO- CEBU")</f>
        <v>DARPO- CEBU</v>
      </c>
      <c r="M2639" s="164" t="str">
        <f ca="1">IFERROR(__xludf.DUMMYFUNCTION("""COMPUTED_VALUE"""),"SERVICEABLE")</f>
        <v>SERVICEABLE</v>
      </c>
      <c r="N2639" s="164"/>
    </row>
    <row r="2640" spans="1:14" ht="13.2">
      <c r="A2640" s="164" t="str">
        <f ca="1">IFERROR(__xludf.DUMMYFUNCTION("""COMPUTED_VALUE"""),"Region VII")</f>
        <v>Region VII</v>
      </c>
      <c r="B2640" s="164" t="str">
        <f ca="1">IFERROR(__xludf.DUMMYFUNCTION("""COMPUTED_VALUE"""),"CEBU")</f>
        <v>CEBU</v>
      </c>
      <c r="C2640" s="164" t="str">
        <f ca="1">IFERROR(__xludf.DUMMYFUNCTION("""COMPUTED_VALUE"""),"HANDHELD GPS – MODEL P6")</f>
        <v>HANDHELD GPS – MODEL P6</v>
      </c>
      <c r="D2640" s="164" t="str">
        <f ca="1">IFERROR(__xludf.DUMMYFUNCTION("""COMPUTED_VALUE"""),"₱ 79,000.00")</f>
        <v>₱ 79,000.00</v>
      </c>
      <c r="E2640" s="164" t="str">
        <f ca="1">IFERROR(__xludf.DUMMYFUNCTION("""COMPUTED_VALUE"""),"₱ -")</f>
        <v>₱ -</v>
      </c>
      <c r="F2640" s="164" t="str">
        <f ca="1">IFERROR(__xludf.DUMMYFUNCTION("""COMPUTED_VALUE"""),"2023-05-14-10202SP63-01")</f>
        <v>2023-05-14-10202SP63-01</v>
      </c>
      <c r="G2640" s="164"/>
      <c r="H2640" s="164" t="str">
        <f ca="1">IFERROR(__xludf.DUMMYFUNCTION("""COMPUTED_VALUE"""),"JUDLY O. LI")</f>
        <v>JUDLY O. LI</v>
      </c>
      <c r="I2640" s="164" t="str">
        <f ca="1">IFERROR(__xludf.DUMMYFUNCTION("""COMPUTED_VALUE"""),"PARCELIZATION COORDINATOR")</f>
        <v>PARCELIZATION COORDINATOR</v>
      </c>
      <c r="J2640" s="164" t="str">
        <f ca="1">IFERROR(__xludf.DUMMYFUNCTION("""COMPUTED_VALUE"""),"2023-07-014")</f>
        <v>2023-07-014</v>
      </c>
      <c r="K2640" s="164" t="str">
        <f ca="1">IFERROR(__xludf.DUMMYFUNCTION("""COMPUTED_VALUE"""),"JUDLY O. LI")</f>
        <v>JUDLY O. LI</v>
      </c>
      <c r="L2640" s="164" t="str">
        <f ca="1">IFERROR(__xludf.DUMMYFUNCTION("""COMPUTED_VALUE"""),"DARPO- CEBU")</f>
        <v>DARPO- CEBU</v>
      </c>
      <c r="M2640" s="164" t="str">
        <f ca="1">IFERROR(__xludf.DUMMYFUNCTION("""COMPUTED_VALUE"""),"SERVICEABLE")</f>
        <v>SERVICEABLE</v>
      </c>
      <c r="N2640" s="164"/>
    </row>
    <row r="2641" spans="1:14" ht="13.2">
      <c r="A2641" s="164" t="str">
        <f ca="1">IFERROR(__xludf.DUMMYFUNCTION("""COMPUTED_VALUE"""),"Region VII")</f>
        <v>Region VII</v>
      </c>
      <c r="B2641" s="164" t="str">
        <f ca="1">IFERROR(__xludf.DUMMYFUNCTION("""COMPUTED_VALUE"""),"CEBU")</f>
        <v>CEBU</v>
      </c>
      <c r="C2641" s="164" t="str">
        <f ca="1">IFERROR(__xludf.DUMMYFUNCTION("""COMPUTED_VALUE"""),"Laptop – (ACER EXTENSA EX215-55G i7)")</f>
        <v>Laptop – (ACER EXTENSA EX215-55G i7)</v>
      </c>
      <c r="D2641" s="164" t="str">
        <f ca="1">IFERROR(__xludf.DUMMYFUNCTION("""COMPUTED_VALUE"""),"₱ 59,500.00")</f>
        <v>₱ 59,500.00</v>
      </c>
      <c r="E2641" s="164" t="str">
        <f ca="1">IFERROR(__xludf.DUMMYFUNCTION("""COMPUTED_VALUE"""),"₱ -")</f>
        <v>₱ -</v>
      </c>
      <c r="F2641" s="164" t="str">
        <f ca="1">IFERROR(__xludf.DUMMYFUNCTION("""COMPUTED_VALUE"""),"2023-05-03-10202SP60-01")</f>
        <v>2023-05-03-10202SP60-01</v>
      </c>
      <c r="G2641" s="164"/>
      <c r="H2641" s="164" t="str">
        <f ca="1">IFERROR(__xludf.DUMMYFUNCTION("""COMPUTED_VALUE"""),"ROXANNE B. OSMIL")</f>
        <v>ROXANNE B. OSMIL</v>
      </c>
      <c r="I2641" s="164" t="str">
        <f ca="1">IFERROR(__xludf.DUMMYFUNCTION("""COMPUTED_VALUE"""),"ARPT/PIO")</f>
        <v>ARPT/PIO</v>
      </c>
      <c r="J2641" s="164" t="str">
        <f ca="1">IFERROR(__xludf.DUMMYFUNCTION("""COMPUTED_VALUE"""),"2023-09-019")</f>
        <v>2023-09-019</v>
      </c>
      <c r="K2641" s="164" t="str">
        <f ca="1">IFERROR(__xludf.DUMMYFUNCTION("""COMPUTED_VALUE"""),"ROXANNE B. OSMIL")</f>
        <v>ROXANNE B. OSMIL</v>
      </c>
      <c r="L2641" s="164" t="str">
        <f ca="1">IFERROR(__xludf.DUMMYFUNCTION("""COMPUTED_VALUE"""),"DARPO- CEBU")</f>
        <v>DARPO- CEBU</v>
      </c>
      <c r="M2641" s="164" t="str">
        <f ca="1">IFERROR(__xludf.DUMMYFUNCTION("""COMPUTED_VALUE"""),"SERVICEABLE")</f>
        <v>SERVICEABLE</v>
      </c>
      <c r="N2641" s="164"/>
    </row>
    <row r="2642" spans="1:14" ht="13.2">
      <c r="A2642" s="164" t="str">
        <f ca="1">IFERROR(__xludf.DUMMYFUNCTION("""COMPUTED_VALUE"""),"Region VII")</f>
        <v>Region VII</v>
      </c>
      <c r="B2642" s="164" t="str">
        <f ca="1">IFERROR(__xludf.DUMMYFUNCTION("""COMPUTED_VALUE"""),"CEBU")</f>
        <v>CEBU</v>
      </c>
      <c r="C2642" s="164" t="str">
        <f ca="1">IFERROR(__xludf.DUMMYFUNCTION("""COMPUTED_VALUE"""),"Laptop – (ACER EXTENSA EX215-55G i7)")</f>
        <v>Laptop – (ACER EXTENSA EX215-55G i7)</v>
      </c>
      <c r="D2642" s="164" t="str">
        <f ca="1">IFERROR(__xludf.DUMMYFUNCTION("""COMPUTED_VALUE"""),"₱ 59,500.00")</f>
        <v>₱ 59,500.00</v>
      </c>
      <c r="E2642" s="164" t="str">
        <f ca="1">IFERROR(__xludf.DUMMYFUNCTION("""COMPUTED_VALUE"""),"₱ -")</f>
        <v>₱ -</v>
      </c>
      <c r="F2642" s="164" t="str">
        <f ca="1">IFERROR(__xludf.DUMMYFUNCTION("""COMPUTED_VALUE"""),"2023-05-03-10202SP377-01")</f>
        <v>2023-05-03-10202SP377-01</v>
      </c>
      <c r="G2642" s="164"/>
      <c r="H2642" s="164" t="str">
        <f ca="1">IFERROR(__xludf.DUMMYFUNCTION("""COMPUTED_VALUE"""),"JUDLY O. LI")</f>
        <v>JUDLY O. LI</v>
      </c>
      <c r="I2642" s="164" t="str">
        <f ca="1">IFERROR(__xludf.DUMMYFUNCTION("""COMPUTED_VALUE"""),"PARCELIZATION COORDINATOR")</f>
        <v>PARCELIZATION COORDINATOR</v>
      </c>
      <c r="J2642" s="164" t="str">
        <f ca="1">IFERROR(__xludf.DUMMYFUNCTION("""COMPUTED_VALUE"""),"2023-09-020")</f>
        <v>2023-09-020</v>
      </c>
      <c r="K2642" s="164" t="str">
        <f ca="1">IFERROR(__xludf.DUMMYFUNCTION("""COMPUTED_VALUE"""),"IVAN L. TUMULAK")</f>
        <v>IVAN L. TUMULAK</v>
      </c>
      <c r="L2642" s="164" t="str">
        <f ca="1">IFERROR(__xludf.DUMMYFUNCTION("""COMPUTED_VALUE"""),"DARPO- CEBU")</f>
        <v>DARPO- CEBU</v>
      </c>
      <c r="M2642" s="164" t="str">
        <f ca="1">IFERROR(__xludf.DUMMYFUNCTION("""COMPUTED_VALUE"""),"SERVICEABLE")</f>
        <v>SERVICEABLE</v>
      </c>
      <c r="N2642" s="164"/>
    </row>
    <row r="2643" spans="1:14" ht="13.2">
      <c r="A2643" s="164" t="str">
        <f ca="1">IFERROR(__xludf.DUMMYFUNCTION("""COMPUTED_VALUE"""),"Region VII")</f>
        <v>Region VII</v>
      </c>
      <c r="B2643" s="164" t="str">
        <f ca="1">IFERROR(__xludf.DUMMYFUNCTION("""COMPUTED_VALUE"""),"CEBU")</f>
        <v>CEBU</v>
      </c>
      <c r="C2643" s="164" t="str">
        <f ca="1">IFERROR(__xludf.DUMMYFUNCTION("""COMPUTED_VALUE"""),"Laptop – (ACER EXTENSA EX215-55G i7)")</f>
        <v>Laptop – (ACER EXTENSA EX215-55G i7)</v>
      </c>
      <c r="D2643" s="164" t="str">
        <f ca="1">IFERROR(__xludf.DUMMYFUNCTION("""COMPUTED_VALUE"""),"₱ 59,500.00")</f>
        <v>₱ 59,500.00</v>
      </c>
      <c r="E2643" s="164" t="str">
        <f ca="1">IFERROR(__xludf.DUMMYFUNCTION("""COMPUTED_VALUE"""),"₱ -")</f>
        <v>₱ -</v>
      </c>
      <c r="F2643" s="164" t="str">
        <f ca="1">IFERROR(__xludf.DUMMYFUNCTION("""COMPUTED_VALUE"""),"2023-05-03-10202SP378-01")</f>
        <v>2023-05-03-10202SP378-01</v>
      </c>
      <c r="G2643" s="164"/>
      <c r="H2643" s="164" t="str">
        <f ca="1">IFERROR(__xludf.DUMMYFUNCTION("""COMPUTED_VALUE"""),"JUDLY O. LI")</f>
        <v>JUDLY O. LI</v>
      </c>
      <c r="I2643" s="164" t="str">
        <f ca="1">IFERROR(__xludf.DUMMYFUNCTION("""COMPUTED_VALUE"""),"PARCELIZATION COORDINATOR")</f>
        <v>PARCELIZATION COORDINATOR</v>
      </c>
      <c r="J2643" s="164" t="str">
        <f ca="1">IFERROR(__xludf.DUMMYFUNCTION("""COMPUTED_VALUE"""),"2023-09-021")</f>
        <v>2023-09-021</v>
      </c>
      <c r="K2643" s="164" t="str">
        <f ca="1">IFERROR(__xludf.DUMMYFUNCTION("""COMPUTED_VALUE"""),"ATTY. MARIA DIVINA GRACIA B. FERNANDEZ")</f>
        <v>ATTY. MARIA DIVINA GRACIA B. FERNANDEZ</v>
      </c>
      <c r="L2643" s="164" t="str">
        <f ca="1">IFERROR(__xludf.DUMMYFUNCTION("""COMPUTED_VALUE"""),"DARPO- CEBU")</f>
        <v>DARPO- CEBU</v>
      </c>
      <c r="M2643" s="164" t="str">
        <f ca="1">IFERROR(__xludf.DUMMYFUNCTION("""COMPUTED_VALUE"""),"SERVICEABLE")</f>
        <v>SERVICEABLE</v>
      </c>
      <c r="N2643" s="164"/>
    </row>
    <row r="2644" spans="1:14" ht="13.2">
      <c r="A2644" s="164" t="str">
        <f ca="1">IFERROR(__xludf.DUMMYFUNCTION("""COMPUTED_VALUE"""),"Region VII")</f>
        <v>Region VII</v>
      </c>
      <c r="B2644" s="164" t="str">
        <f ca="1">IFERROR(__xludf.DUMMYFUNCTION("""COMPUTED_VALUE"""),"CEBU")</f>
        <v>CEBU</v>
      </c>
      <c r="C2644" s="164" t="str">
        <f ca="1">IFERROR(__xludf.DUMMYFUNCTION("""COMPUTED_VALUE"""),"Laptop – (ACER EXTENSA EX215-55G i7)")</f>
        <v>Laptop – (ACER EXTENSA EX215-55G i7)</v>
      </c>
      <c r="D2644" s="164" t="str">
        <f ca="1">IFERROR(__xludf.DUMMYFUNCTION("""COMPUTED_VALUE"""),"₱ 59,500.00")</f>
        <v>₱ 59,500.00</v>
      </c>
      <c r="E2644" s="164" t="str">
        <f ca="1">IFERROR(__xludf.DUMMYFUNCTION("""COMPUTED_VALUE"""),"₱ -")</f>
        <v>₱ -</v>
      </c>
      <c r="F2644" s="164" t="str">
        <f ca="1">IFERROR(__xludf.DUMMYFUNCTION("""COMPUTED_VALUE"""),"2023-05-03-10202SP379-01")</f>
        <v>2023-05-03-10202SP379-01</v>
      </c>
      <c r="G2644" s="164"/>
      <c r="H2644" s="164" t="str">
        <f ca="1">IFERROR(__xludf.DUMMYFUNCTION("""COMPUTED_VALUE"""),"ELEANOR A. URSONAL")</f>
        <v>ELEANOR A. URSONAL</v>
      </c>
      <c r="I2644" s="164" t="str">
        <f ca="1">IFERROR(__xludf.DUMMYFUNCTION("""COMPUTED_VALUE"""),"M&amp;E COORDINATOR")</f>
        <v>M&amp;E COORDINATOR</v>
      </c>
      <c r="J2644" s="164" t="str">
        <f ca="1">IFERROR(__xludf.DUMMYFUNCTION("""COMPUTED_VALUE"""),"2023-09-022")</f>
        <v>2023-09-022</v>
      </c>
      <c r="K2644" s="164" t="str">
        <f ca="1">IFERROR(__xludf.DUMMYFUNCTION("""COMPUTED_VALUE"""),"ELEANOR A. URSONAL")</f>
        <v>ELEANOR A. URSONAL</v>
      </c>
      <c r="L2644" s="164" t="str">
        <f ca="1">IFERROR(__xludf.DUMMYFUNCTION("""COMPUTED_VALUE"""),"DARPO- CEBU")</f>
        <v>DARPO- CEBU</v>
      </c>
      <c r="M2644" s="164" t="str">
        <f ca="1">IFERROR(__xludf.DUMMYFUNCTION("""COMPUTED_VALUE"""),"SERVICEABLE")</f>
        <v>SERVICEABLE</v>
      </c>
      <c r="N2644" s="164"/>
    </row>
    <row r="2645" spans="1:14" ht="13.2">
      <c r="A2645" s="164" t="str">
        <f ca="1">IFERROR(__xludf.DUMMYFUNCTION("""COMPUTED_VALUE"""),"Region VII")</f>
        <v>Region VII</v>
      </c>
      <c r="B2645" s="164" t="str">
        <f ca="1">IFERROR(__xludf.DUMMYFUNCTION("""COMPUTED_VALUE"""),"CEBU")</f>
        <v>CEBU</v>
      </c>
      <c r="C2645" s="164" t="str">
        <f ca="1">IFERROR(__xludf.DUMMYFUNCTION("""COMPUTED_VALUE"""),"Desktop Computer – (HP Pro SFF 280G9)")</f>
        <v>Desktop Computer – (HP Pro SFF 280G9)</v>
      </c>
      <c r="D2645" s="164" t="str">
        <f ca="1">IFERROR(__xludf.DUMMYFUNCTION("""COMPUTED_VALUE"""),"₱ 78,898.00")</f>
        <v>₱ 78,898.00</v>
      </c>
      <c r="E2645" s="164" t="str">
        <f ca="1">IFERROR(__xludf.DUMMYFUNCTION("""COMPUTED_VALUE"""),"₱ -")</f>
        <v>₱ -</v>
      </c>
      <c r="F2645" s="164" t="str">
        <f ca="1">IFERROR(__xludf.DUMMYFUNCTION("""COMPUTED_VALUE"""),"2023-05-03-10201SP452-01")</f>
        <v>2023-05-03-10201SP452-01</v>
      </c>
      <c r="G2645" s="164"/>
      <c r="H2645" s="164" t="str">
        <f ca="1">IFERROR(__xludf.DUMMYFUNCTION("""COMPUTED_VALUE"""),"JUDLY O. LI")</f>
        <v>JUDLY O. LI</v>
      </c>
      <c r="I2645" s="164" t="str">
        <f ca="1">IFERROR(__xludf.DUMMYFUNCTION("""COMPUTED_VALUE"""),"PARCELIZATION COORDINATOR")</f>
        <v>PARCELIZATION COORDINATOR</v>
      </c>
      <c r="J2645" s="164" t="str">
        <f ca="1">IFERROR(__xludf.DUMMYFUNCTION("""COMPUTED_VALUE"""),"2023-10-023")</f>
        <v>2023-10-023</v>
      </c>
      <c r="K2645" s="164" t="str">
        <f ca="1">IFERROR(__xludf.DUMMYFUNCTION("""COMPUTED_VALUE"""),"MEL ANTHONY S. MIRA")</f>
        <v>MEL ANTHONY S. MIRA</v>
      </c>
      <c r="L2645" s="164" t="str">
        <f ca="1">IFERROR(__xludf.DUMMYFUNCTION("""COMPUTED_VALUE"""),"DARPO- CEBU")</f>
        <v>DARPO- CEBU</v>
      </c>
      <c r="M2645" s="164" t="str">
        <f ca="1">IFERROR(__xludf.DUMMYFUNCTION("""COMPUTED_VALUE"""),"SERVICEABLE")</f>
        <v>SERVICEABLE</v>
      </c>
      <c r="N2645" s="164"/>
    </row>
    <row r="2646" spans="1:14" ht="13.2">
      <c r="A2646" s="164" t="str">
        <f ca="1">IFERROR(__xludf.DUMMYFUNCTION("""COMPUTED_VALUE"""),"Region VII")</f>
        <v>Region VII</v>
      </c>
      <c r="B2646" s="164" t="str">
        <f ca="1">IFERROR(__xludf.DUMMYFUNCTION("""COMPUTED_VALUE"""),"CEBU")</f>
        <v>CEBU</v>
      </c>
      <c r="C2646" s="164" t="str">
        <f ca="1">IFERROR(__xludf.DUMMYFUNCTION("""COMPUTED_VALUE"""),"Desktop Computer – (HP Pro SFF 280G9)")</f>
        <v>Desktop Computer – (HP Pro SFF 280G9)</v>
      </c>
      <c r="D2646" s="164" t="str">
        <f ca="1">IFERROR(__xludf.DUMMYFUNCTION("""COMPUTED_VALUE"""),"₱ 78,898.00")</f>
        <v>₱ 78,898.00</v>
      </c>
      <c r="E2646" s="164" t="str">
        <f ca="1">IFERROR(__xludf.DUMMYFUNCTION("""COMPUTED_VALUE"""),"₱ -")</f>
        <v>₱ -</v>
      </c>
      <c r="F2646" s="164" t="str">
        <f ca="1">IFERROR(__xludf.DUMMYFUNCTION("""COMPUTED_VALUE"""),"2023-05-03-10201SP453-01")</f>
        <v>2023-05-03-10201SP453-01</v>
      </c>
      <c r="G2646" s="164"/>
      <c r="H2646" s="164" t="str">
        <f ca="1">IFERROR(__xludf.DUMMYFUNCTION("""COMPUTED_VALUE"""),"JUDLY O. LI")</f>
        <v>JUDLY O. LI</v>
      </c>
      <c r="I2646" s="164" t="str">
        <f ca="1">IFERROR(__xludf.DUMMYFUNCTION("""COMPUTED_VALUE"""),"PARCELIZATION COORDINATOR")</f>
        <v>PARCELIZATION COORDINATOR</v>
      </c>
      <c r="J2646" s="164" t="str">
        <f ca="1">IFERROR(__xludf.DUMMYFUNCTION("""COMPUTED_VALUE"""),"2023-10-024")</f>
        <v>2023-10-024</v>
      </c>
      <c r="K2646" s="164" t="str">
        <f ca="1">IFERROR(__xludf.DUMMYFUNCTION("""COMPUTED_VALUE"""),"DAISY M. CATUBIG")</f>
        <v>DAISY M. CATUBIG</v>
      </c>
      <c r="L2646" s="164" t="str">
        <f ca="1">IFERROR(__xludf.DUMMYFUNCTION("""COMPUTED_VALUE"""),"DARPO- CEBU")</f>
        <v>DARPO- CEBU</v>
      </c>
      <c r="M2646" s="164" t="str">
        <f ca="1">IFERROR(__xludf.DUMMYFUNCTION("""COMPUTED_VALUE"""),"SERVICEABLE")</f>
        <v>SERVICEABLE</v>
      </c>
      <c r="N2646" s="164"/>
    </row>
    <row r="2647" spans="1:14" ht="13.2">
      <c r="A2647" s="164" t="str">
        <f ca="1">IFERROR(__xludf.DUMMYFUNCTION("""COMPUTED_VALUE"""),"Region VII")</f>
        <v>Region VII</v>
      </c>
      <c r="B2647" s="164" t="str">
        <f ca="1">IFERROR(__xludf.DUMMYFUNCTION("""COMPUTED_VALUE"""),"CEBU")</f>
        <v>CEBU</v>
      </c>
      <c r="C2647" s="164" t="str">
        <f ca="1">IFERROR(__xludf.DUMMYFUNCTION("""COMPUTED_VALUE"""),"Desktop Computer – (HP Pro SFF 280G9)")</f>
        <v>Desktop Computer – (HP Pro SFF 280G9)</v>
      </c>
      <c r="D2647" s="164" t="str">
        <f ca="1">IFERROR(__xludf.DUMMYFUNCTION("""COMPUTED_VALUE"""),"₱ 78,898.00")</f>
        <v>₱ 78,898.00</v>
      </c>
      <c r="E2647" s="164" t="str">
        <f ca="1">IFERROR(__xludf.DUMMYFUNCTION("""COMPUTED_VALUE"""),"₱ -")</f>
        <v>₱ -</v>
      </c>
      <c r="F2647" s="164" t="str">
        <f ca="1">IFERROR(__xludf.DUMMYFUNCTION("""COMPUTED_VALUE"""),"2023-05-03-10201SP454-01")</f>
        <v>2023-05-03-10201SP454-01</v>
      </c>
      <c r="G2647" s="164"/>
      <c r="H2647" s="164" t="str">
        <f ca="1">IFERROR(__xludf.DUMMYFUNCTION("""COMPUTED_VALUE"""),"FIEL M. ROZ")</f>
        <v>FIEL M. ROZ</v>
      </c>
      <c r="I2647" s="164" t="str">
        <f ca="1">IFERROR(__xludf.DUMMYFUNCTION("""COMPUTED_VALUE"""),"Provincial Procurement Officer/SARPT")</f>
        <v>Provincial Procurement Officer/SARPT</v>
      </c>
      <c r="J2647" s="164" t="str">
        <f ca="1">IFERROR(__xludf.DUMMYFUNCTION("""COMPUTED_VALUE"""),"2023-10-025")</f>
        <v>2023-10-025</v>
      </c>
      <c r="K2647" s="164" t="str">
        <f ca="1">IFERROR(__xludf.DUMMYFUNCTION("""COMPUTED_VALUE"""),"FIEL M. ROZ")</f>
        <v>FIEL M. ROZ</v>
      </c>
      <c r="L2647" s="164" t="str">
        <f ca="1">IFERROR(__xludf.DUMMYFUNCTION("""COMPUTED_VALUE"""),"DARPO- CEBU")</f>
        <v>DARPO- CEBU</v>
      </c>
      <c r="M2647" s="164" t="str">
        <f ca="1">IFERROR(__xludf.DUMMYFUNCTION("""COMPUTED_VALUE"""),"SERVICEABLE")</f>
        <v>SERVICEABLE</v>
      </c>
      <c r="N2647" s="164"/>
    </row>
    <row r="2648" spans="1:14" ht="13.2">
      <c r="A2648" s="164" t="str">
        <f ca="1">IFERROR(__xludf.DUMMYFUNCTION("""COMPUTED_VALUE"""),"Region VII")</f>
        <v>Region VII</v>
      </c>
      <c r="B2648" s="164" t="str">
        <f ca="1">IFERROR(__xludf.DUMMYFUNCTION("""COMPUTED_VALUE"""),"CEBU")</f>
        <v>CEBU</v>
      </c>
      <c r="C2648" s="164" t="str">
        <f ca="1">IFERROR(__xludf.DUMMYFUNCTION("""COMPUTED_VALUE"""),"A3 PRINTER (BROTHER)")</f>
        <v>A3 PRINTER (BROTHER)</v>
      </c>
      <c r="D2648" s="164" t="str">
        <f ca="1">IFERROR(__xludf.DUMMYFUNCTION("""COMPUTED_VALUE"""),"₱ 33,508.00")</f>
        <v>₱ 33,508.00</v>
      </c>
      <c r="E2648" s="164" t="str">
        <f ca="1">IFERROR(__xludf.DUMMYFUNCTION("""COMPUTED_VALUE"""),"₱ -")</f>
        <v>₱ -</v>
      </c>
      <c r="F2648" s="164" t="str">
        <f ca="1">IFERROR(__xludf.DUMMYFUNCTION("""COMPUTED_VALUE"""),"HVSPLIT-102-24-05-100")</f>
        <v>HVSPLIT-102-24-05-100</v>
      </c>
      <c r="G2648" s="164"/>
      <c r="H2648" s="164" t="str">
        <f ca="1">IFERROR(__xludf.DUMMYFUNCTION("""COMPUTED_VALUE"""),"GINA MONICA S. CABAHUG")</f>
        <v>GINA MONICA S. CABAHUG</v>
      </c>
      <c r="I2648" s="164" t="str">
        <f ca="1">IFERROR(__xludf.DUMMYFUNCTION("""COMPUTED_VALUE"""),"SUPPLY OFFICER")</f>
        <v>SUPPLY OFFICER</v>
      </c>
      <c r="J2648" s="164" t="str">
        <f ca="1">IFERROR(__xludf.DUMMYFUNCTION("""COMPUTED_VALUE"""),"2024-03-006")</f>
        <v>2024-03-006</v>
      </c>
      <c r="K2648" s="164"/>
      <c r="L2648" s="164" t="str">
        <f ca="1">IFERROR(__xludf.DUMMYFUNCTION("""COMPUTED_VALUE"""),"DARPO CEBU")</f>
        <v>DARPO CEBU</v>
      </c>
      <c r="M2648" s="164" t="str">
        <f ca="1">IFERROR(__xludf.DUMMYFUNCTION("""COMPUTED_VALUE"""),"SERVICEABLE")</f>
        <v>SERVICEABLE</v>
      </c>
      <c r="N2648" s="164"/>
    </row>
    <row r="2649" spans="1:14" ht="13.2">
      <c r="A2649" s="164" t="str">
        <f ca="1">IFERROR(__xludf.DUMMYFUNCTION("""COMPUTED_VALUE"""),"Region VII")</f>
        <v>Region VII</v>
      </c>
      <c r="B2649" s="164" t="str">
        <f ca="1">IFERROR(__xludf.DUMMYFUNCTION("""COMPUTED_VALUE"""),"CEBU")</f>
        <v>CEBU</v>
      </c>
      <c r="C2649" s="164" t="str">
        <f ca="1">IFERROR(__xludf.DUMMYFUNCTION("""COMPUTED_VALUE"""),"REAL-TIME KINEMATIC – GEOMAX ZENITH60")</f>
        <v>REAL-TIME KINEMATIC – GEOMAX ZENITH60</v>
      </c>
      <c r="D2649" s="164" t="str">
        <f ca="1">IFERROR(__xludf.DUMMYFUNCTION("""COMPUTED_VALUE"""),"₱ 1,849,000.00")</f>
        <v>₱ 1,849,000.00</v>
      </c>
      <c r="E2649" s="164" t="str">
        <f ca="1">IFERROR(__xludf.DUMMYFUNCTION("""COMPUTED_VALUE"""),"₱ -")</f>
        <v>₱ -</v>
      </c>
      <c r="F2649" s="164" t="str">
        <f ca="1">IFERROR(__xludf.DUMMYFUNCTION("""COMPUTED_VALUE"""),"2023-05-14-10201SP13-01")</f>
        <v>2023-05-14-10201SP13-01</v>
      </c>
      <c r="G2649" s="164"/>
      <c r="H2649" s="164" t="str">
        <f ca="1">IFERROR(__xludf.DUMMYFUNCTION("""COMPUTED_VALUE"""),"ENGR.JOSE BRYAN P. VANO")</f>
        <v>ENGR.JOSE BRYAN P. VANO</v>
      </c>
      <c r="I2649" s="164" t="str">
        <f ca="1">IFERROR(__xludf.DUMMYFUNCTION("""COMPUTED_VALUE"""),"ROD-LRA SURVEYOR")</f>
        <v>ROD-LRA SURVEYOR</v>
      </c>
      <c r="J2649" s="164" t="str">
        <f ca="1">IFERROR(__xludf.DUMMYFUNCTION("""COMPUTED_VALUE"""),"SPLIT-2024-02-002")</f>
        <v>SPLIT-2024-02-002</v>
      </c>
      <c r="K2649" s="164" t="str">
        <f ca="1">IFERROR(__xludf.DUMMYFUNCTION("""COMPUTED_VALUE"""),"ENGR.JOSE BRYAN P. VANO")</f>
        <v>ENGR.JOSE BRYAN P. VANO</v>
      </c>
      <c r="L2649" s="164" t="str">
        <f ca="1">IFERROR(__xludf.DUMMYFUNCTION("""COMPUTED_VALUE"""),"DARPO CEBU")</f>
        <v>DARPO CEBU</v>
      </c>
      <c r="M2649" s="164" t="str">
        <f ca="1">IFERROR(__xludf.DUMMYFUNCTION("""COMPUTED_VALUE"""),"Serviceable")</f>
        <v>Serviceable</v>
      </c>
      <c r="N2649" s="164"/>
    </row>
    <row r="2650" spans="1:14" ht="13.2">
      <c r="A2650" s="164" t="str">
        <f ca="1">IFERROR(__xludf.DUMMYFUNCTION("""COMPUTED_VALUE"""),"Region VII")</f>
        <v>Region VII</v>
      </c>
      <c r="B2650" s="164" t="str">
        <f ca="1">IFERROR(__xludf.DUMMYFUNCTION("""COMPUTED_VALUE"""),"CEBU")</f>
        <v>CEBU</v>
      </c>
      <c r="C2650" s="164" t="str">
        <f ca="1">IFERROR(__xludf.DUMMYFUNCTION("""COMPUTED_VALUE"""),"TOTAL STATION – GEOMAX TOTAL STATION ZOOM 50")</f>
        <v>TOTAL STATION – GEOMAX TOTAL STATION ZOOM 50</v>
      </c>
      <c r="D2650" s="164" t="str">
        <f ca="1">IFERROR(__xludf.DUMMYFUNCTION("""COMPUTED_VALUE"""),"₱ 648,000.00")</f>
        <v>₱ 648,000.00</v>
      </c>
      <c r="E2650" s="164" t="str">
        <f ca="1">IFERROR(__xludf.DUMMYFUNCTION("""COMPUTED_VALUE"""),"₱ -")</f>
        <v>₱ -</v>
      </c>
      <c r="F2650" s="164" t="str">
        <f ca="1">IFERROR(__xludf.DUMMYFUNCTION("""COMPUTED_VALUE"""),"2023-05-14-10201SP13-01")</f>
        <v>2023-05-14-10201SP13-01</v>
      </c>
      <c r="G2650" s="164"/>
      <c r="H2650" s="164" t="str">
        <f ca="1">IFERROR(__xludf.DUMMYFUNCTION("""COMPUTED_VALUE"""),"ENGR.JOSE BRYAN P. VANO")</f>
        <v>ENGR.JOSE BRYAN P. VANO</v>
      </c>
      <c r="I2650" s="164" t="str">
        <f ca="1">IFERROR(__xludf.DUMMYFUNCTION("""COMPUTED_VALUE"""),"ROD-LRA SURVEYOR")</f>
        <v>ROD-LRA SURVEYOR</v>
      </c>
      <c r="J2650" s="164" t="str">
        <f ca="1">IFERROR(__xludf.DUMMYFUNCTION("""COMPUTED_VALUE"""),"SPLIT-2024-02-001")</f>
        <v>SPLIT-2024-02-001</v>
      </c>
      <c r="K2650" s="164" t="str">
        <f ca="1">IFERROR(__xludf.DUMMYFUNCTION("""COMPUTED_VALUE"""),"ENGR.JOSE BRYAN P. VANO")</f>
        <v>ENGR.JOSE BRYAN P. VANO</v>
      </c>
      <c r="L2650" s="164" t="str">
        <f ca="1">IFERROR(__xludf.DUMMYFUNCTION("""COMPUTED_VALUE"""),"DARPO CEBU")</f>
        <v>DARPO CEBU</v>
      </c>
      <c r="M2650" s="164" t="str">
        <f ca="1">IFERROR(__xludf.DUMMYFUNCTION("""COMPUTED_VALUE"""),"Serviceable")</f>
        <v>Serviceable</v>
      </c>
      <c r="N2650" s="164"/>
    </row>
    <row r="2651" spans="1:14" ht="13.2" hidden="1">
      <c r="A2651" s="164" t="str">
        <f ca="1">IFERROR(__xludf.DUMMYFUNCTION("""COMPUTED_VALUE"""),"Region VII")</f>
        <v>Region VII</v>
      </c>
      <c r="B2651" s="164" t="str">
        <f ca="1">IFERROR(__xludf.DUMMYFUNCTION("""COMPUTED_VALUE"""),"REGIONAL OFFICE")</f>
        <v>REGIONAL OFFICE</v>
      </c>
      <c r="C2651" s="164" t="str">
        <f ca="1">IFERROR(__xludf.DUMMYFUNCTION("""COMPUTED_VALUE"""),"Desktop Computer – (MSI PRO DP180)")</f>
        <v>Desktop Computer – (MSI PRO DP180)</v>
      </c>
      <c r="D2651" s="164" t="str">
        <f ca="1">IFERROR(__xludf.DUMMYFUNCTION("""COMPUTED_VALUE"""),"₱ 49,300.00")</f>
        <v>₱ 49,300.00</v>
      </c>
      <c r="E2651" s="164" t="str">
        <f ca="1">IFERROR(__xludf.DUMMYFUNCTION("""COMPUTED_VALUE"""),"₱ -")</f>
        <v>₱ -</v>
      </c>
      <c r="F2651" s="164" t="str">
        <f ca="1">IFERROR(__xludf.DUMMYFUNCTION("""COMPUTED_VALUE"""),"HVSPLIT-102-24-05-01-233")</f>
        <v>HVSPLIT-102-24-05-01-233</v>
      </c>
      <c r="G2651" s="164"/>
      <c r="H2651" s="164" t="str">
        <f ca="1">IFERROR(__xludf.DUMMYFUNCTION("""COMPUTED_VALUE"""),"Carreon, Ralph Rex")</f>
        <v>Carreon, Ralph Rex</v>
      </c>
      <c r="I2651" s="164" t="str">
        <f ca="1">IFERROR(__xludf.DUMMYFUNCTION("""COMPUTED_VALUE"""),"Engineer III")</f>
        <v>Engineer III</v>
      </c>
      <c r="J2651" s="164" t="str">
        <f ca="1">IFERROR(__xludf.DUMMYFUNCTION("""COMPUTED_VALUE"""),"2024-10-162")</f>
        <v>2024-10-162</v>
      </c>
      <c r="K2651" s="164" t="str">
        <f ca="1">IFERROR(__xludf.DUMMYFUNCTION("""COMPUTED_VALUE"""),"Carreon, Ralph Rex")</f>
        <v>Carreon, Ralph Rex</v>
      </c>
      <c r="L2651" s="164" t="str">
        <f ca="1">IFERROR(__xludf.DUMMYFUNCTION("""COMPUTED_VALUE"""),"DARRO LTID")</f>
        <v>DARRO LTID</v>
      </c>
      <c r="M2651" s="164" t="str">
        <f ca="1">IFERROR(__xludf.DUMMYFUNCTION("""COMPUTED_VALUE"""),"Serviceable")</f>
        <v>Serviceable</v>
      </c>
      <c r="N2651" s="164"/>
    </row>
    <row r="2652" spans="1:14" ht="13.2" hidden="1">
      <c r="A2652" s="164" t="str">
        <f ca="1">IFERROR(__xludf.DUMMYFUNCTION("""COMPUTED_VALUE"""),"Region VII")</f>
        <v>Region VII</v>
      </c>
      <c r="B2652" s="164" t="str">
        <f ca="1">IFERROR(__xludf.DUMMYFUNCTION("""COMPUTED_VALUE"""),"REGIONAL OFFICE")</f>
        <v>REGIONAL OFFICE</v>
      </c>
      <c r="C2652" s="164" t="str">
        <f ca="1">IFERROR(__xludf.DUMMYFUNCTION("""COMPUTED_VALUE"""),"Desktop Computer – (MSI PRO DP180)")</f>
        <v>Desktop Computer – (MSI PRO DP180)</v>
      </c>
      <c r="D2652" s="164" t="str">
        <f ca="1">IFERROR(__xludf.DUMMYFUNCTION("""COMPUTED_VALUE"""),"₱ 49,300.00")</f>
        <v>₱ 49,300.00</v>
      </c>
      <c r="E2652" s="164" t="str">
        <f ca="1">IFERROR(__xludf.DUMMYFUNCTION("""COMPUTED_VALUE"""),"₱ -")</f>
        <v>₱ -</v>
      </c>
      <c r="F2652" s="164" t="str">
        <f ca="1">IFERROR(__xludf.DUMMYFUNCTION("""COMPUTED_VALUE"""),"HVSPLIT-102-24-05-01-234")</f>
        <v>HVSPLIT-102-24-05-01-234</v>
      </c>
      <c r="G2652" s="164"/>
      <c r="H2652" s="164" t="str">
        <f ca="1">IFERROR(__xludf.DUMMYFUNCTION("""COMPUTED_VALUE"""),"Amance, Cristina")</f>
        <v>Amance, Cristina</v>
      </c>
      <c r="I2652" s="164" t="str">
        <f ca="1">IFERROR(__xludf.DUMMYFUNCTION("""COMPUTED_VALUE"""),"CARPO PBD")</f>
        <v>CARPO PBD</v>
      </c>
      <c r="J2652" s="164" t="str">
        <f ca="1">IFERROR(__xludf.DUMMYFUNCTION("""COMPUTED_VALUE"""),"2024-10-163")</f>
        <v>2024-10-163</v>
      </c>
      <c r="K2652" s="164" t="str">
        <f ca="1">IFERROR(__xludf.DUMMYFUNCTION("""COMPUTED_VALUE"""),"Gerra, Arman")</f>
        <v>Gerra, Arman</v>
      </c>
      <c r="L2652" s="164" t="str">
        <f ca="1">IFERROR(__xludf.DUMMYFUNCTION("""COMPUTED_VALUE"""),"DARRO PBD")</f>
        <v>DARRO PBD</v>
      </c>
      <c r="M2652" s="164" t="str">
        <f ca="1">IFERROR(__xludf.DUMMYFUNCTION("""COMPUTED_VALUE"""),"Serviceable")</f>
        <v>Serviceable</v>
      </c>
      <c r="N2652" s="164"/>
    </row>
    <row r="2653" spans="1:14" ht="13.2" hidden="1">
      <c r="A2653" s="164" t="str">
        <f ca="1">IFERROR(__xludf.DUMMYFUNCTION("""COMPUTED_VALUE"""),"Region VII")</f>
        <v>Region VII</v>
      </c>
      <c r="B2653" s="164" t="str">
        <f ca="1">IFERROR(__xludf.DUMMYFUNCTION("""COMPUTED_VALUE"""),"REGIONAL OFFICE")</f>
        <v>REGIONAL OFFICE</v>
      </c>
      <c r="C2653" s="164" t="str">
        <f ca="1">IFERROR(__xludf.DUMMYFUNCTION("""COMPUTED_VALUE"""),"Desktop Computer – (MSI PRO DP180)")</f>
        <v>Desktop Computer – (MSI PRO DP180)</v>
      </c>
      <c r="D2653" s="164" t="str">
        <f ca="1">IFERROR(__xludf.DUMMYFUNCTION("""COMPUTED_VALUE"""),"₱ 49,300.00")</f>
        <v>₱ 49,300.00</v>
      </c>
      <c r="E2653" s="164" t="str">
        <f ca="1">IFERROR(__xludf.DUMMYFUNCTION("""COMPUTED_VALUE"""),"₱ -")</f>
        <v>₱ -</v>
      </c>
      <c r="F2653" s="164" t="str">
        <f ca="1">IFERROR(__xludf.DUMMYFUNCTION("""COMPUTED_VALUE"""),"HVSPLIT-102-24-05-01-235")</f>
        <v>HVSPLIT-102-24-05-01-235</v>
      </c>
      <c r="G2653" s="164"/>
      <c r="H2653" s="164" t="str">
        <f ca="1">IFERROR(__xludf.DUMMYFUNCTION("""COMPUTED_VALUE"""),"Manonggiring, Saripah D.")</f>
        <v>Manonggiring, Saripah D.</v>
      </c>
      <c r="I2653" s="164" t="str">
        <f ca="1">IFERROR(__xludf.DUMMYFUNCTION("""COMPUTED_VALUE"""),"Chief Legal")</f>
        <v>Chief Legal</v>
      </c>
      <c r="J2653" s="164" t="str">
        <f ca="1">IFERROR(__xludf.DUMMYFUNCTION("""COMPUTED_VALUE"""),"2024-10-164")</f>
        <v>2024-10-164</v>
      </c>
      <c r="K2653" s="164" t="str">
        <f ca="1">IFERROR(__xludf.DUMMYFUNCTION("""COMPUTED_VALUE"""),"Hisola, Jhon Allain Apordo")</f>
        <v>Hisola, Jhon Allain Apordo</v>
      </c>
      <c r="L2653" s="164" t="str">
        <f ca="1">IFERROR(__xludf.DUMMYFUNCTION("""COMPUTED_VALUE"""),"DARRO PBD-LEGAL")</f>
        <v>DARRO PBD-LEGAL</v>
      </c>
      <c r="M2653" s="164" t="str">
        <f ca="1">IFERROR(__xludf.DUMMYFUNCTION("""COMPUTED_VALUE"""),"Serviceable")</f>
        <v>Serviceable</v>
      </c>
      <c r="N2653" s="164"/>
    </row>
    <row r="2654" spans="1:14" ht="13.2" hidden="1">
      <c r="A2654" s="164" t="str">
        <f ca="1">IFERROR(__xludf.DUMMYFUNCTION("""COMPUTED_VALUE"""),"Region VII")</f>
        <v>Region VII</v>
      </c>
      <c r="B2654" s="164" t="str">
        <f ca="1">IFERROR(__xludf.DUMMYFUNCTION("""COMPUTED_VALUE"""),"REGIONAL OFFICE")</f>
        <v>REGIONAL OFFICE</v>
      </c>
      <c r="C2654" s="164" t="str">
        <f ca="1">IFERROR(__xludf.DUMMYFUNCTION("""COMPUTED_VALUE"""),"Desktop Computer – (MSI PRO DP180)")</f>
        <v>Desktop Computer – (MSI PRO DP180)</v>
      </c>
      <c r="D2654" s="164" t="str">
        <f ca="1">IFERROR(__xludf.DUMMYFUNCTION("""COMPUTED_VALUE"""),"₱ 49,300.00")</f>
        <v>₱ 49,300.00</v>
      </c>
      <c r="E2654" s="164" t="str">
        <f ca="1">IFERROR(__xludf.DUMMYFUNCTION("""COMPUTED_VALUE"""),"₱ -")</f>
        <v>₱ -</v>
      </c>
      <c r="F2654" s="164" t="str">
        <f ca="1">IFERROR(__xludf.DUMMYFUNCTION("""COMPUTED_VALUE"""),"HVSPLIT-102-24-05-01-236")</f>
        <v>HVSPLIT-102-24-05-01-236</v>
      </c>
      <c r="G2654" s="164"/>
      <c r="H2654" s="164" t="str">
        <f ca="1">IFERROR(__xludf.DUMMYFUNCTION("""COMPUTED_VALUE"""),"Manonggiring, Saripah D.")</f>
        <v>Manonggiring, Saripah D.</v>
      </c>
      <c r="I2654" s="164" t="str">
        <f ca="1">IFERROR(__xludf.DUMMYFUNCTION("""COMPUTED_VALUE"""),"Chief Legal")</f>
        <v>Chief Legal</v>
      </c>
      <c r="J2654" s="164" t="str">
        <f ca="1">IFERROR(__xludf.DUMMYFUNCTION("""COMPUTED_VALUE"""),"2024-10-165")</f>
        <v>2024-10-165</v>
      </c>
      <c r="K2654" s="164" t="str">
        <f ca="1">IFERROR(__xludf.DUMMYFUNCTION("""COMPUTED_VALUE"""),"Ybañez, Jan. Rey")</f>
        <v>Ybañez, Jan. Rey</v>
      </c>
      <c r="L2654" s="164" t="str">
        <f ca="1">IFERROR(__xludf.DUMMYFUNCTION("""COMPUTED_VALUE"""),"DARRO PBD-LEGAL")</f>
        <v>DARRO PBD-LEGAL</v>
      </c>
      <c r="M2654" s="164" t="str">
        <f ca="1">IFERROR(__xludf.DUMMYFUNCTION("""COMPUTED_VALUE"""),"Serviceable")</f>
        <v>Serviceable</v>
      </c>
      <c r="N2654" s="164"/>
    </row>
    <row r="2655" spans="1:14" ht="13.2" hidden="1">
      <c r="A2655" s="164" t="str">
        <f ca="1">IFERROR(__xludf.DUMMYFUNCTION("""COMPUTED_VALUE"""),"Region VII")</f>
        <v>Region VII</v>
      </c>
      <c r="B2655" s="164" t="str">
        <f ca="1">IFERROR(__xludf.DUMMYFUNCTION("""COMPUTED_VALUE"""),"REGIONAL OFFICE")</f>
        <v>REGIONAL OFFICE</v>
      </c>
      <c r="C2655" s="164" t="str">
        <f ca="1">IFERROR(__xludf.DUMMYFUNCTION("""COMPUTED_VALUE"""),"Desktop Computer – (MSI PRO DP180)")</f>
        <v>Desktop Computer – (MSI PRO DP180)</v>
      </c>
      <c r="D2655" s="164" t="str">
        <f ca="1">IFERROR(__xludf.DUMMYFUNCTION("""COMPUTED_VALUE"""),"₱ 49,300.00")</f>
        <v>₱ 49,300.00</v>
      </c>
      <c r="E2655" s="164" t="str">
        <f ca="1">IFERROR(__xludf.DUMMYFUNCTION("""COMPUTED_VALUE"""),"₱ -")</f>
        <v>₱ -</v>
      </c>
      <c r="F2655" s="164" t="str">
        <f ca="1">IFERROR(__xludf.DUMMYFUNCTION("""COMPUTED_VALUE"""),"HVSPLIT-102-24-05-01-175")</f>
        <v>HVSPLIT-102-24-05-01-175</v>
      </c>
      <c r="G2655" s="164"/>
      <c r="H2655" s="164" t="str">
        <f ca="1">IFERROR(__xludf.DUMMYFUNCTION("""COMPUTED_VALUE"""),"Cabatas, Noel Jerome")</f>
        <v>Cabatas, Noel Jerome</v>
      </c>
      <c r="I2655" s="164" t="str">
        <f ca="1">IFERROR(__xludf.DUMMYFUNCTION("""COMPUTED_VALUE"""),"ARPO II / 
 OIC-Budget Officer")</f>
        <v>ARPO II / 
 OIC-Budget Officer</v>
      </c>
      <c r="J2655" s="164" t="str">
        <f ca="1">IFERROR(__xludf.DUMMYFUNCTION("""COMPUTED_VALUE"""),"2024-10-161")</f>
        <v>2024-10-161</v>
      </c>
      <c r="K2655" s="164" t="str">
        <f ca="1">IFERROR(__xludf.DUMMYFUNCTION("""COMPUTED_VALUE"""),"Becarri, Stephanie")</f>
        <v>Becarri, Stephanie</v>
      </c>
      <c r="L2655" s="164" t="str">
        <f ca="1">IFERROR(__xludf.DUMMYFUNCTION("""COMPUTED_VALUE"""),"Office of the ARDA")</f>
        <v>Office of the ARDA</v>
      </c>
      <c r="M2655" s="164" t="str">
        <f ca="1">IFERROR(__xludf.DUMMYFUNCTION("""COMPUTED_VALUE"""),"Serviceable")</f>
        <v>Serviceable</v>
      </c>
      <c r="N2655" s="164"/>
    </row>
    <row r="2656" spans="1:14" ht="13.2" hidden="1">
      <c r="A2656" s="164" t="str">
        <f ca="1">IFERROR(__xludf.DUMMYFUNCTION("""COMPUTED_VALUE"""),"Region VII")</f>
        <v>Region VII</v>
      </c>
      <c r="B2656" s="164" t="str">
        <f ca="1">IFERROR(__xludf.DUMMYFUNCTION("""COMPUTED_VALUE"""),"BOHOL")</f>
        <v>BOHOL</v>
      </c>
      <c r="C2656" s="164" t="str">
        <f ca="1">IFERROR(__xludf.DUMMYFUNCTION("""COMPUTED_VALUE"""),"Desktop Computer – (MSI PRO DP180)")</f>
        <v>Desktop Computer – (MSI PRO DP180)</v>
      </c>
      <c r="D2656" s="164" t="str">
        <f ca="1">IFERROR(__xludf.DUMMYFUNCTION("""COMPUTED_VALUE"""),"₱ 49,300.00")</f>
        <v>₱ 49,300.00</v>
      </c>
      <c r="E2656" s="164" t="str">
        <f ca="1">IFERROR(__xludf.DUMMYFUNCTION("""COMPUTED_VALUE"""),"₱ -")</f>
        <v>₱ -</v>
      </c>
      <c r="F2656" s="164" t="str">
        <f ca="1">IFERROR(__xludf.DUMMYFUNCTION("""COMPUTED_VALUE"""),"HV SPLIT 102-24-05-01-221")</f>
        <v>HV SPLIT 102-24-05-01-221</v>
      </c>
      <c r="G2656" s="164"/>
      <c r="H2656" s="164" t="str">
        <f ca="1">IFERROR(__xludf.DUMMYFUNCTION("""COMPUTED_VALUE"""),"CAGAMPANG, LEONARD")</f>
        <v>CAGAMPANG, LEONARD</v>
      </c>
      <c r="I2656" s="164" t="str">
        <f ca="1">IFERROR(__xludf.DUMMYFUNCTION("""COMPUTED_VALUE"""),"CARPO LTID")</f>
        <v>CARPO LTID</v>
      </c>
      <c r="J2656" s="164"/>
      <c r="K2656" s="164"/>
      <c r="L2656" s="164"/>
      <c r="M2656" s="164" t="str">
        <f ca="1">IFERROR(__xludf.DUMMYFUNCTION("""COMPUTED_VALUE"""),"Serviceable")</f>
        <v>Serviceable</v>
      </c>
      <c r="N2656" s="164"/>
    </row>
    <row r="2657" spans="1:14" ht="13.2" hidden="1">
      <c r="A2657" s="164" t="str">
        <f ca="1">IFERROR(__xludf.DUMMYFUNCTION("""COMPUTED_VALUE"""),"Region VII")</f>
        <v>Region VII</v>
      </c>
      <c r="B2657" s="164" t="str">
        <f ca="1">IFERROR(__xludf.DUMMYFUNCTION("""COMPUTED_VALUE"""),"BOHOL")</f>
        <v>BOHOL</v>
      </c>
      <c r="C2657" s="164" t="str">
        <f ca="1">IFERROR(__xludf.DUMMYFUNCTION("""COMPUTED_VALUE"""),"Desktop Computer – (MSI PRO DP180)")</f>
        <v>Desktop Computer – (MSI PRO DP180)</v>
      </c>
      <c r="D2657" s="164" t="str">
        <f ca="1">IFERROR(__xludf.DUMMYFUNCTION("""COMPUTED_VALUE"""),"₱ 49,300.00")</f>
        <v>₱ 49,300.00</v>
      </c>
      <c r="E2657" s="164" t="str">
        <f ca="1">IFERROR(__xludf.DUMMYFUNCTION("""COMPUTED_VALUE"""),"₱ -")</f>
        <v>₱ -</v>
      </c>
      <c r="F2657" s="164" t="str">
        <f ca="1">IFERROR(__xludf.DUMMYFUNCTION("""COMPUTED_VALUE"""),"HV SPLIT 102-24-05-01-220")</f>
        <v>HV SPLIT 102-24-05-01-220</v>
      </c>
      <c r="G2657" s="164"/>
      <c r="H2657" s="164" t="str">
        <f ca="1">IFERROR(__xludf.DUMMYFUNCTION("""COMPUTED_VALUE"""),"BONGHANOY, LEONIDA")</f>
        <v>BONGHANOY, LEONIDA</v>
      </c>
      <c r="I2657" s="164" t="str">
        <f ca="1">IFERROR(__xludf.DUMMYFUNCTION("""COMPUTED_VALUE"""),"Admin Officer IV")</f>
        <v>Admin Officer IV</v>
      </c>
      <c r="J2657" s="164"/>
      <c r="K2657" s="164"/>
      <c r="L2657" s="164"/>
      <c r="M2657" s="164" t="str">
        <f ca="1">IFERROR(__xludf.DUMMYFUNCTION("""COMPUTED_VALUE"""),"Serviceable")</f>
        <v>Serviceable</v>
      </c>
      <c r="N2657" s="164"/>
    </row>
    <row r="2658" spans="1:14" ht="13.2" hidden="1">
      <c r="A2658" s="164" t="str">
        <f ca="1">IFERROR(__xludf.DUMMYFUNCTION("""COMPUTED_VALUE"""),"Region VII")</f>
        <v>Region VII</v>
      </c>
      <c r="B2658" s="164" t="str">
        <f ca="1">IFERROR(__xludf.DUMMYFUNCTION("""COMPUTED_VALUE"""),"REGIONAL OFFICE")</f>
        <v>REGIONAL OFFICE</v>
      </c>
      <c r="C2658" s="164" t="str">
        <f ca="1">IFERROR(__xludf.DUMMYFUNCTION("""COMPUTED_VALUE"""),"ACER TRAVELMATE")</f>
        <v>ACER TRAVELMATE</v>
      </c>
      <c r="D2658" s="164" t="str">
        <f ca="1">IFERROR(__xludf.DUMMYFUNCTION("""COMPUTED_VALUE"""),"₱ 46,580.00")</f>
        <v>₱ 46,580.00</v>
      </c>
      <c r="E2658" s="164" t="str">
        <f ca="1">IFERROR(__xludf.DUMMYFUNCTION("""COMPUTED_VALUE"""),"₱ -")</f>
        <v>₱ -</v>
      </c>
      <c r="F2658" s="164" t="str">
        <f ca="1">IFERROR(__xludf.DUMMYFUNCTION("""COMPUTED_VALUE"""),"2024-05-03-10202SP253-01")</f>
        <v>2024-05-03-10202SP253-01</v>
      </c>
      <c r="G2658" s="164"/>
      <c r="H2658" s="164" t="str">
        <f ca="1">IFERROR(__xludf.DUMMYFUNCTION("""COMPUTED_VALUE"""),"Amance, Cristina")</f>
        <v>Amance, Cristina</v>
      </c>
      <c r="I2658" s="164" t="str">
        <f ca="1">IFERROR(__xludf.DUMMYFUNCTION("""COMPUTED_VALUE"""),"CARPO PBD")</f>
        <v>CARPO PBD</v>
      </c>
      <c r="J2658" s="164"/>
      <c r="K2658" s="164" t="str">
        <f ca="1">IFERROR(__xludf.DUMMYFUNCTION("""COMPUTED_VALUE"""),"Amance, Cristina")</f>
        <v>Amance, Cristina</v>
      </c>
      <c r="L2658" s="164" t="str">
        <f ca="1">IFERROR(__xludf.DUMMYFUNCTION("""COMPUTED_VALUE"""),"DARRO PBD")</f>
        <v>DARRO PBD</v>
      </c>
      <c r="M2658" s="164" t="str">
        <f ca="1">IFERROR(__xludf.DUMMYFUNCTION("""COMPUTED_VALUE"""),"SERVICEABLE")</f>
        <v>SERVICEABLE</v>
      </c>
      <c r="N2658" s="164"/>
    </row>
    <row r="2659" spans="1:14" ht="13.2" hidden="1">
      <c r="A2659" s="164" t="str">
        <f ca="1">IFERROR(__xludf.DUMMYFUNCTION("""COMPUTED_VALUE"""),"Region VII")</f>
        <v>Region VII</v>
      </c>
      <c r="B2659" s="164" t="str">
        <f ca="1">IFERROR(__xludf.DUMMYFUNCTION("""COMPUTED_VALUE"""),"REGIONAL OFFICE")</f>
        <v>REGIONAL OFFICE</v>
      </c>
      <c r="C2659" s="164" t="str">
        <f ca="1">IFERROR(__xludf.DUMMYFUNCTION("""COMPUTED_VALUE"""),"ACER TRAVELMATE")</f>
        <v>ACER TRAVELMATE</v>
      </c>
      <c r="D2659" s="164" t="str">
        <f ca="1">IFERROR(__xludf.DUMMYFUNCTION("""COMPUTED_VALUE"""),"₱ 46,580.00")</f>
        <v>₱ 46,580.00</v>
      </c>
      <c r="E2659" s="164" t="str">
        <f ca="1">IFERROR(__xludf.DUMMYFUNCTION("""COMPUTED_VALUE"""),"₱ -")</f>
        <v>₱ -</v>
      </c>
      <c r="F2659" s="164" t="str">
        <f ca="1">IFERROR(__xludf.DUMMYFUNCTION("""COMPUTED_VALUE"""),"2024-05-03-10202SP323-01")</f>
        <v>2024-05-03-10202SP323-01</v>
      </c>
      <c r="G2659" s="164"/>
      <c r="H2659" s="164" t="str">
        <f ca="1">IFERROR(__xludf.DUMMYFUNCTION("""COMPUTED_VALUE"""),"Resma, Neili")</f>
        <v>Resma, Neili</v>
      </c>
      <c r="I2659" s="164" t="str">
        <f ca="1">IFERROR(__xludf.DUMMYFUNCTION("""COMPUTED_VALUE"""),"PARAD/OIC-RARAD")</f>
        <v>PARAD/OIC-RARAD</v>
      </c>
      <c r="J2659" s="164"/>
      <c r="K2659" s="164" t="str">
        <f ca="1">IFERROR(__xludf.DUMMYFUNCTION("""COMPUTED_VALUE"""),"Resma, Neili")</f>
        <v>Resma, Neili</v>
      </c>
      <c r="L2659" s="164" t="str">
        <f ca="1">IFERROR(__xludf.DUMMYFUNCTION("""COMPUTED_VALUE"""),"Office of the RARAD")</f>
        <v>Office of the RARAD</v>
      </c>
      <c r="M2659" s="164" t="str">
        <f ca="1">IFERROR(__xludf.DUMMYFUNCTION("""COMPUTED_VALUE"""),"SERVICEABLE")</f>
        <v>SERVICEABLE</v>
      </c>
      <c r="N2659" s="164"/>
    </row>
    <row r="2660" spans="1:14" ht="13.2">
      <c r="A2660" s="164" t="str">
        <f ca="1">IFERROR(__xludf.DUMMYFUNCTION("""COMPUTED_VALUE"""),"Region VII")</f>
        <v>Region VII</v>
      </c>
      <c r="B2660" s="164" t="str">
        <f ca="1">IFERROR(__xludf.DUMMYFUNCTION("""COMPUTED_VALUE"""),"CEBU")</f>
        <v>CEBU</v>
      </c>
      <c r="C2660" s="164" t="str">
        <f ca="1">IFERROR(__xludf.DUMMYFUNCTION("""COMPUTED_VALUE"""),"Desktop Computer – (MSI PRO DP180)")</f>
        <v>Desktop Computer – (MSI PRO DP180)</v>
      </c>
      <c r="D2660" s="164" t="str">
        <f ca="1">IFERROR(__xludf.DUMMYFUNCTION("""COMPUTED_VALUE"""),"₱ 49,300.00")</f>
        <v>₱ 49,300.00</v>
      </c>
      <c r="E2660" s="164" t="str">
        <f ca="1">IFERROR(__xludf.DUMMYFUNCTION("""COMPUTED_VALUE"""),"₱ -")</f>
        <v>₱ -</v>
      </c>
      <c r="F2660" s="164" t="str">
        <f ca="1">IFERROR(__xludf.DUMMYFUNCTION("""COMPUTED_VALUE"""),"HV SPLIT 102-24-05-01-216")</f>
        <v>HV SPLIT 102-24-05-01-216</v>
      </c>
      <c r="G2660" s="164"/>
      <c r="H2660" s="164" t="str">
        <f ca="1">IFERROR(__xludf.DUMMYFUNCTION("""COMPUTED_VALUE"""),"CAGAMPANG, LEONARD")</f>
        <v>CAGAMPANG, LEONARD</v>
      </c>
      <c r="I2660" s="164" t="str">
        <f ca="1">IFERROR(__xludf.DUMMYFUNCTION("""COMPUTED_VALUE"""),"CARPO LTID")</f>
        <v>CARPO LTID</v>
      </c>
      <c r="J2660" s="164"/>
      <c r="K2660" s="164"/>
      <c r="L2660" s="164"/>
      <c r="M2660" s="164" t="str">
        <f ca="1">IFERROR(__xludf.DUMMYFUNCTION("""COMPUTED_VALUE"""),"Serviceable")</f>
        <v>Serviceable</v>
      </c>
      <c r="N2660" s="164"/>
    </row>
    <row r="2661" spans="1:14" ht="13.2">
      <c r="A2661" s="164" t="str">
        <f ca="1">IFERROR(__xludf.DUMMYFUNCTION("""COMPUTED_VALUE"""),"Region VII")</f>
        <v>Region VII</v>
      </c>
      <c r="B2661" s="164" t="str">
        <f ca="1">IFERROR(__xludf.DUMMYFUNCTION("""COMPUTED_VALUE"""),"CEBU")</f>
        <v>CEBU</v>
      </c>
      <c r="C2661" s="164" t="str">
        <f ca="1">IFERROR(__xludf.DUMMYFUNCTION("""COMPUTED_VALUE"""),"Desktop Computer – (MSI PRO DP180)")</f>
        <v>Desktop Computer – (MSI PRO DP180)</v>
      </c>
      <c r="D2661" s="164" t="str">
        <f ca="1">IFERROR(__xludf.DUMMYFUNCTION("""COMPUTED_VALUE"""),"₱ 49,301.00")</f>
        <v>₱ 49,301.00</v>
      </c>
      <c r="E2661" s="164" t="str">
        <f ca="1">IFERROR(__xludf.DUMMYFUNCTION("""COMPUTED_VALUE"""),"₱ -")</f>
        <v>₱ -</v>
      </c>
      <c r="F2661" s="164" t="str">
        <f ca="1">IFERROR(__xludf.DUMMYFUNCTION("""COMPUTED_VALUE"""),"HV SPLIT 102-24-05-01-217")</f>
        <v>HV SPLIT 102-24-05-01-217</v>
      </c>
      <c r="G2661" s="164"/>
      <c r="H2661" s="164" t="str">
        <f ca="1">IFERROR(__xludf.DUMMYFUNCTION("""COMPUTED_VALUE"""),"CAGAMPANG, LEONARD")</f>
        <v>CAGAMPANG, LEONARD</v>
      </c>
      <c r="I2661" s="164" t="str">
        <f ca="1">IFERROR(__xludf.DUMMYFUNCTION("""COMPUTED_VALUE"""),"CARPO LTID")</f>
        <v>CARPO LTID</v>
      </c>
      <c r="J2661" s="164"/>
      <c r="K2661" s="164"/>
      <c r="L2661" s="164"/>
      <c r="M2661" s="164" t="str">
        <f ca="1">IFERROR(__xludf.DUMMYFUNCTION("""COMPUTED_VALUE"""),"Serviceable")</f>
        <v>Serviceable</v>
      </c>
      <c r="N2661" s="164"/>
    </row>
    <row r="2662" spans="1:14" ht="13.2">
      <c r="A2662" s="164" t="str">
        <f ca="1">IFERROR(__xludf.DUMMYFUNCTION("""COMPUTED_VALUE"""),"Region VII")</f>
        <v>Region VII</v>
      </c>
      <c r="B2662" s="164" t="str">
        <f ca="1">IFERROR(__xludf.DUMMYFUNCTION("""COMPUTED_VALUE"""),"CEBU")</f>
        <v>CEBU</v>
      </c>
      <c r="C2662" s="164" t="str">
        <f ca="1">IFERROR(__xludf.DUMMYFUNCTION("""COMPUTED_VALUE"""),"Desktop Computer – (MSI PRO DP180)")</f>
        <v>Desktop Computer – (MSI PRO DP180)</v>
      </c>
      <c r="D2662" s="164" t="str">
        <f ca="1">IFERROR(__xludf.DUMMYFUNCTION("""COMPUTED_VALUE"""),"₱ 49,302.00")</f>
        <v>₱ 49,302.00</v>
      </c>
      <c r="E2662" s="164" t="str">
        <f ca="1">IFERROR(__xludf.DUMMYFUNCTION("""COMPUTED_VALUE"""),"₱ -")</f>
        <v>₱ -</v>
      </c>
      <c r="F2662" s="164" t="str">
        <f ca="1">IFERROR(__xludf.DUMMYFUNCTION("""COMPUTED_VALUE"""),"HV SPLIT 102-24-05-01-218")</f>
        <v>HV SPLIT 102-24-05-01-218</v>
      </c>
      <c r="G2662" s="164"/>
      <c r="H2662" s="164" t="str">
        <f ca="1">IFERROR(__xludf.DUMMYFUNCTION("""COMPUTED_VALUE"""),"CAGAMPANG, LEONARD")</f>
        <v>CAGAMPANG, LEONARD</v>
      </c>
      <c r="I2662" s="164" t="str">
        <f ca="1">IFERROR(__xludf.DUMMYFUNCTION("""COMPUTED_VALUE"""),"CARPO LTID")</f>
        <v>CARPO LTID</v>
      </c>
      <c r="J2662" s="164"/>
      <c r="K2662" s="164"/>
      <c r="L2662" s="164"/>
      <c r="M2662" s="164" t="str">
        <f ca="1">IFERROR(__xludf.DUMMYFUNCTION("""COMPUTED_VALUE"""),"Serviceable")</f>
        <v>Serviceable</v>
      </c>
      <c r="N2662" s="164"/>
    </row>
    <row r="2663" spans="1:14" ht="13.2">
      <c r="A2663" s="164" t="str">
        <f ca="1">IFERROR(__xludf.DUMMYFUNCTION("""COMPUTED_VALUE"""),"Region VII")</f>
        <v>Region VII</v>
      </c>
      <c r="B2663" s="164" t="str">
        <f ca="1">IFERROR(__xludf.DUMMYFUNCTION("""COMPUTED_VALUE"""),"CEBU")</f>
        <v>CEBU</v>
      </c>
      <c r="C2663" s="164" t="str">
        <f ca="1">IFERROR(__xludf.DUMMYFUNCTION("""COMPUTED_VALUE"""),"Desktop Computer – (MSI PRO DP180)")</f>
        <v>Desktop Computer – (MSI PRO DP180)</v>
      </c>
      <c r="D2663" s="164" t="str">
        <f ca="1">IFERROR(__xludf.DUMMYFUNCTION("""COMPUTED_VALUE"""),"₱ 49,303.00")</f>
        <v>₱ 49,303.00</v>
      </c>
      <c r="E2663" s="164" t="str">
        <f ca="1">IFERROR(__xludf.DUMMYFUNCTION("""COMPUTED_VALUE"""),"₱ -")</f>
        <v>₱ -</v>
      </c>
      <c r="F2663" s="164" t="str">
        <f ca="1">IFERROR(__xludf.DUMMYFUNCTION("""COMPUTED_VALUE"""),"HV SPLIT 102-24-05-01-219")</f>
        <v>HV SPLIT 102-24-05-01-219</v>
      </c>
      <c r="G2663" s="164"/>
      <c r="H2663" s="164" t="str">
        <f ca="1">IFERROR(__xludf.DUMMYFUNCTION("""COMPUTED_VALUE"""),"CAGAMPANG, LEONARD")</f>
        <v>CAGAMPANG, LEONARD</v>
      </c>
      <c r="I2663" s="164" t="str">
        <f ca="1">IFERROR(__xludf.DUMMYFUNCTION("""COMPUTED_VALUE"""),"CARPO LTID")</f>
        <v>CARPO LTID</v>
      </c>
      <c r="J2663" s="164"/>
      <c r="K2663" s="164"/>
      <c r="L2663" s="164"/>
      <c r="M2663" s="164" t="str">
        <f ca="1">IFERROR(__xludf.DUMMYFUNCTION("""COMPUTED_VALUE"""),"Serviceable")</f>
        <v>Serviceable</v>
      </c>
      <c r="N2663" s="164"/>
    </row>
    <row r="2664" spans="1:14" ht="13.2">
      <c r="A2664" s="164" t="str">
        <f ca="1">IFERROR(__xludf.DUMMYFUNCTION("""COMPUTED_VALUE"""),"Region VII")</f>
        <v>Region VII</v>
      </c>
      <c r="B2664" s="164" t="str">
        <f ca="1">IFERROR(__xludf.DUMMYFUNCTION("""COMPUTED_VALUE"""),"CEBU")</f>
        <v>CEBU</v>
      </c>
      <c r="C2664" s="164" t="str">
        <f ca="1">IFERROR(__xludf.DUMMYFUNCTION("""COMPUTED_VALUE"""),"Desktop Computer – (MSI PRO DP180)")</f>
        <v>Desktop Computer – (MSI PRO DP180)</v>
      </c>
      <c r="D2664" s="164" t="str">
        <f ca="1">IFERROR(__xludf.DUMMYFUNCTION("""COMPUTED_VALUE"""),"₱ 49,304.00")</f>
        <v>₱ 49,304.00</v>
      </c>
      <c r="E2664" s="164" t="str">
        <f ca="1">IFERROR(__xludf.DUMMYFUNCTION("""COMPUTED_VALUE"""),"₱ -")</f>
        <v>₱ -</v>
      </c>
      <c r="F2664" s="164" t="str">
        <f ca="1">IFERROR(__xludf.DUMMYFUNCTION("""COMPUTED_VALUE"""),"HV SPLIT 102-24-05-01-222")</f>
        <v>HV SPLIT 102-24-05-01-222</v>
      </c>
      <c r="G2664" s="164"/>
      <c r="H2664" s="164" t="str">
        <f ca="1">IFERROR(__xludf.DUMMYFUNCTION("""COMPUTED_VALUE"""),"CAGAMPANG, LEONARD")</f>
        <v>CAGAMPANG, LEONARD</v>
      </c>
      <c r="I2664" s="164" t="str">
        <f ca="1">IFERROR(__xludf.DUMMYFUNCTION("""COMPUTED_VALUE"""),"CARPO LTID")</f>
        <v>CARPO LTID</v>
      </c>
      <c r="J2664" s="164"/>
      <c r="K2664" s="164"/>
      <c r="L2664" s="164"/>
      <c r="M2664" s="164" t="str">
        <f ca="1">IFERROR(__xludf.DUMMYFUNCTION("""COMPUTED_VALUE"""),"Serviceable")</f>
        <v>Serviceable</v>
      </c>
      <c r="N2664" s="164"/>
    </row>
    <row r="2665" spans="1:14" ht="13.2">
      <c r="A2665" s="164" t="str">
        <f ca="1">IFERROR(__xludf.DUMMYFUNCTION("""COMPUTED_VALUE"""),"Region VII")</f>
        <v>Region VII</v>
      </c>
      <c r="B2665" s="164" t="str">
        <f ca="1">IFERROR(__xludf.DUMMYFUNCTION("""COMPUTED_VALUE"""),"CEBU")</f>
        <v>CEBU</v>
      </c>
      <c r="C2665" s="164" t="str">
        <f ca="1">IFERROR(__xludf.DUMMYFUNCTION("""COMPUTED_VALUE"""),"Desktop Computer – (MSI PRO DP180)")</f>
        <v>Desktop Computer – (MSI PRO DP180)</v>
      </c>
      <c r="D2665" s="164" t="str">
        <f ca="1">IFERROR(__xludf.DUMMYFUNCTION("""COMPUTED_VALUE"""),"₱ 49,305.00")</f>
        <v>₱ 49,305.00</v>
      </c>
      <c r="E2665" s="164" t="str">
        <f ca="1">IFERROR(__xludf.DUMMYFUNCTION("""COMPUTED_VALUE"""),"₱ -")</f>
        <v>₱ -</v>
      </c>
      <c r="F2665" s="164" t="str">
        <f ca="1">IFERROR(__xludf.DUMMYFUNCTION("""COMPUTED_VALUE"""),"HV SPLIT 102-24-05-01-229")</f>
        <v>HV SPLIT 102-24-05-01-229</v>
      </c>
      <c r="G2665" s="164"/>
      <c r="H2665" s="164" t="str">
        <f ca="1">IFERROR(__xludf.DUMMYFUNCTION("""COMPUTED_VALUE"""),"CAGAMPANG, LEONARD")</f>
        <v>CAGAMPANG, LEONARD</v>
      </c>
      <c r="I2665" s="164" t="str">
        <f ca="1">IFERROR(__xludf.DUMMYFUNCTION("""COMPUTED_VALUE"""),"CARPO LTID")</f>
        <v>CARPO LTID</v>
      </c>
      <c r="J2665" s="164"/>
      <c r="K2665" s="164"/>
      <c r="L2665" s="164"/>
      <c r="M2665" s="164" t="str">
        <f ca="1">IFERROR(__xludf.DUMMYFUNCTION("""COMPUTED_VALUE"""),"Serviceable")</f>
        <v>Serviceable</v>
      </c>
      <c r="N2665" s="164"/>
    </row>
    <row r="2666" spans="1:14" ht="13.2">
      <c r="A2666" s="164" t="str">
        <f ca="1">IFERROR(__xludf.DUMMYFUNCTION("""COMPUTED_VALUE"""),"Region VII")</f>
        <v>Region VII</v>
      </c>
      <c r="B2666" s="164" t="str">
        <f ca="1">IFERROR(__xludf.DUMMYFUNCTION("""COMPUTED_VALUE"""),"CEBU")</f>
        <v>CEBU</v>
      </c>
      <c r="C2666" s="164" t="str">
        <f ca="1">IFERROR(__xludf.DUMMYFUNCTION("""COMPUTED_VALUE"""),"Desktop Computer – (MSI PRO DP180)")</f>
        <v>Desktop Computer – (MSI PRO DP180)</v>
      </c>
      <c r="D2666" s="164" t="str">
        <f ca="1">IFERROR(__xludf.DUMMYFUNCTION("""COMPUTED_VALUE"""),"₱ 49,306.00")</f>
        <v>₱ 49,306.00</v>
      </c>
      <c r="E2666" s="164" t="str">
        <f ca="1">IFERROR(__xludf.DUMMYFUNCTION("""COMPUTED_VALUE"""),"₱ -")</f>
        <v>₱ -</v>
      </c>
      <c r="F2666" s="164" t="str">
        <f ca="1">IFERROR(__xludf.DUMMYFUNCTION("""COMPUTED_VALUE"""),"HV SPLIT 102-24-05-01-230")</f>
        <v>HV SPLIT 102-24-05-01-230</v>
      </c>
      <c r="G2666" s="164"/>
      <c r="H2666" s="164" t="str">
        <f ca="1">IFERROR(__xludf.DUMMYFUNCTION("""COMPUTED_VALUE"""),"CAGAMPANG, LEONARD")</f>
        <v>CAGAMPANG, LEONARD</v>
      </c>
      <c r="I2666" s="164" t="str">
        <f ca="1">IFERROR(__xludf.DUMMYFUNCTION("""COMPUTED_VALUE"""),"CARPO LTID")</f>
        <v>CARPO LTID</v>
      </c>
      <c r="J2666" s="164"/>
      <c r="K2666" s="164"/>
      <c r="L2666" s="164"/>
      <c r="M2666" s="164" t="str">
        <f ca="1">IFERROR(__xludf.DUMMYFUNCTION("""COMPUTED_VALUE"""),"Serviceable")</f>
        <v>Serviceable</v>
      </c>
      <c r="N2666" s="164"/>
    </row>
    <row r="2667" spans="1:14" ht="13.2">
      <c r="A2667" s="164" t="str">
        <f ca="1">IFERROR(__xludf.DUMMYFUNCTION("""COMPUTED_VALUE"""),"Region VII")</f>
        <v>Region VII</v>
      </c>
      <c r="B2667" s="164" t="str">
        <f ca="1">IFERROR(__xludf.DUMMYFUNCTION("""COMPUTED_VALUE"""),"CEBU")</f>
        <v>CEBU</v>
      </c>
      <c r="C2667" s="164" t="str">
        <f ca="1">IFERROR(__xludf.DUMMYFUNCTION("""COMPUTED_VALUE"""),"Desktop Computer – (MSI PRO DP180)")</f>
        <v>Desktop Computer – (MSI PRO DP180)</v>
      </c>
      <c r="D2667" s="164" t="str">
        <f ca="1">IFERROR(__xludf.DUMMYFUNCTION("""COMPUTED_VALUE"""),"₱ 49,307.00")</f>
        <v>₱ 49,307.00</v>
      </c>
      <c r="E2667" s="164" t="str">
        <f ca="1">IFERROR(__xludf.DUMMYFUNCTION("""COMPUTED_VALUE"""),"₱ -")</f>
        <v>₱ -</v>
      </c>
      <c r="F2667" s="164" t="str">
        <f ca="1">IFERROR(__xludf.DUMMYFUNCTION("""COMPUTED_VALUE"""),"HV SPLIT 102-24-05-01-231")</f>
        <v>HV SPLIT 102-24-05-01-231</v>
      </c>
      <c r="G2667" s="164"/>
      <c r="H2667" s="164" t="str">
        <f ca="1">IFERROR(__xludf.DUMMYFUNCTION("""COMPUTED_VALUE"""),"CAGAMPANG, LEONARD")</f>
        <v>CAGAMPANG, LEONARD</v>
      </c>
      <c r="I2667" s="164" t="str">
        <f ca="1">IFERROR(__xludf.DUMMYFUNCTION("""COMPUTED_VALUE"""),"CARPO LTID")</f>
        <v>CARPO LTID</v>
      </c>
      <c r="J2667" s="164"/>
      <c r="K2667" s="164"/>
      <c r="L2667" s="164"/>
      <c r="M2667" s="164" t="str">
        <f ca="1">IFERROR(__xludf.DUMMYFUNCTION("""COMPUTED_VALUE"""),"Serviceable")</f>
        <v>Serviceable</v>
      </c>
      <c r="N2667" s="164"/>
    </row>
    <row r="2668" spans="1:14" ht="13.2">
      <c r="A2668" s="164" t="str">
        <f ca="1">IFERROR(__xludf.DUMMYFUNCTION("""COMPUTED_VALUE"""),"Region VII")</f>
        <v>Region VII</v>
      </c>
      <c r="B2668" s="164" t="str">
        <f ca="1">IFERROR(__xludf.DUMMYFUNCTION("""COMPUTED_VALUE"""),"CEBU")</f>
        <v>CEBU</v>
      </c>
      <c r="C2668" s="164" t="str">
        <f ca="1">IFERROR(__xludf.DUMMYFUNCTION("""COMPUTED_VALUE"""),"Desktop Computer – (MSI PRO DP180)")</f>
        <v>Desktop Computer – (MSI PRO DP180)</v>
      </c>
      <c r="D2668" s="164" t="str">
        <f ca="1">IFERROR(__xludf.DUMMYFUNCTION("""COMPUTED_VALUE"""),"₱ 49,308.00")</f>
        <v>₱ 49,308.00</v>
      </c>
      <c r="E2668" s="164" t="str">
        <f ca="1">IFERROR(__xludf.DUMMYFUNCTION("""COMPUTED_VALUE"""),"₱ -")</f>
        <v>₱ -</v>
      </c>
      <c r="F2668" s="164" t="str">
        <f ca="1">IFERROR(__xludf.DUMMYFUNCTION("""COMPUTED_VALUE"""),"HV SPLIT 102-24-05-01-232")</f>
        <v>HV SPLIT 102-24-05-01-232</v>
      </c>
      <c r="G2668" s="164"/>
      <c r="H2668" s="164" t="str">
        <f ca="1">IFERROR(__xludf.DUMMYFUNCTION("""COMPUTED_VALUE"""),"CAGAMPANG, LEONARD")</f>
        <v>CAGAMPANG, LEONARD</v>
      </c>
      <c r="I2668" s="164" t="str">
        <f ca="1">IFERROR(__xludf.DUMMYFUNCTION("""COMPUTED_VALUE"""),"CARPO LTID")</f>
        <v>CARPO LTID</v>
      </c>
      <c r="J2668" s="164"/>
      <c r="K2668" s="164"/>
      <c r="L2668" s="164"/>
      <c r="M2668" s="164" t="str">
        <f ca="1">IFERROR(__xludf.DUMMYFUNCTION("""COMPUTED_VALUE"""),"Serviceable")</f>
        <v>Serviceable</v>
      </c>
      <c r="N2668" s="164"/>
    </row>
    <row r="2669" spans="1:14" ht="13.2" hidden="1">
      <c r="A2669" s="164" t="str">
        <f ca="1">IFERROR(__xludf.DUMMYFUNCTION("""COMPUTED_VALUE"""),"Region VII")</f>
        <v>Region VII</v>
      </c>
      <c r="B2669" s="164" t="str">
        <f ca="1">IFERROR(__xludf.DUMMYFUNCTION("""COMPUTED_VALUE"""),"REGIONAL OFFICE")</f>
        <v>REGIONAL OFFICE</v>
      </c>
      <c r="C2669" s="164" t="str">
        <f ca="1">IFERROR(__xludf.DUMMYFUNCTION("""COMPUTED_VALUE"""),"Double Cabin Pick-up Vehicles – Mitsubishi Strada")</f>
        <v>Double Cabin Pick-up Vehicles – Mitsubishi Strada</v>
      </c>
      <c r="D2669" s="164" t="str">
        <f ca="1">IFERROR(__xludf.DUMMYFUNCTION("""COMPUTED_VALUE"""),"₱ 1,752,400.00")</f>
        <v>₱ 1,752,400.00</v>
      </c>
      <c r="E2669" s="164" t="str">
        <f ca="1">IFERROR(__xludf.DUMMYFUNCTION("""COMPUTED_VALUE"""),"₱ -")</f>
        <v>₱ -</v>
      </c>
      <c r="F2669" s="164" t="str">
        <f ca="1">IFERROR(__xludf.DUMMYFUNCTION("""COMPUTED_VALUE"""),"2023-06-01-10201SP94-01")</f>
        <v>2023-06-01-10201SP94-01</v>
      </c>
      <c r="G2669" s="164" t="str">
        <f ca="1">IFERROR(__xludf.DUMMYFUNCTION("""COMPUTED_VALUE"""),"SNC 1226")</f>
        <v>SNC 1226</v>
      </c>
      <c r="H2669" s="164" t="str">
        <f ca="1">IFERROR(__xludf.DUMMYFUNCTION("""COMPUTED_VALUE"""),"ARTHUR D. DULCERO")</f>
        <v>ARTHUR D. DULCERO</v>
      </c>
      <c r="I2669" s="164" t="str">
        <f ca="1">IFERROR(__xludf.DUMMYFUNCTION("""COMPUTED_VALUE"""),"ARD FOR ADMINISTRATION")</f>
        <v>ARD FOR ADMINISTRATION</v>
      </c>
      <c r="J2669" s="164" t="str">
        <f ca="1">IFERROR(__xludf.DUMMYFUNCTION("""COMPUTED_VALUE"""),"SPLIT PAR NO. 2023-10-024
 2023-06-01-002SPLIT")</f>
        <v>SPLIT PAR NO. 2023-10-024
 2023-06-01-002SPLIT</v>
      </c>
      <c r="K2669" s="164" t="str">
        <f ca="1">IFERROR(__xludf.DUMMYFUNCTION("""COMPUTED_VALUE"""),"ARTHUR D. DULCERO")</f>
        <v>ARTHUR D. DULCERO</v>
      </c>
      <c r="L2669" s="164" t="str">
        <f ca="1">IFERROR(__xludf.DUMMYFUNCTION("""COMPUTED_VALUE"""),"Office of the ARDA")</f>
        <v>Office of the ARDA</v>
      </c>
      <c r="M2669" s="164" t="str">
        <f ca="1">IFERROR(__xludf.DUMMYFUNCTION("""COMPUTED_VALUE"""),"SERVICEABLE")</f>
        <v>SERVICEABLE</v>
      </c>
      <c r="N2669" s="164"/>
    </row>
    <row r="2670" spans="1:14" ht="13.2" hidden="1">
      <c r="A2670" s="164" t="str">
        <f ca="1">IFERROR(__xludf.DUMMYFUNCTION("""COMPUTED_VALUE"""),"Region VII")</f>
        <v>Region VII</v>
      </c>
      <c r="B2670" s="164" t="str">
        <f ca="1">IFERROR(__xludf.DUMMYFUNCTION("""COMPUTED_VALUE"""),"REGIONAL OFFICE")</f>
        <v>REGIONAL OFFICE</v>
      </c>
      <c r="C2670" s="164" t="str">
        <f ca="1">IFERROR(__xludf.DUMMYFUNCTION("""COMPUTED_VALUE"""),"Double Cabin Pick-up Vehicles – Mitsubishi Strada")</f>
        <v>Double Cabin Pick-up Vehicles – Mitsubishi Strada</v>
      </c>
      <c r="D2670" s="164" t="str">
        <f ca="1">IFERROR(__xludf.DUMMYFUNCTION("""COMPUTED_VALUE"""),"₱ 1,752,400.00")</f>
        <v>₱ 1,752,400.00</v>
      </c>
      <c r="E2670" s="164" t="str">
        <f ca="1">IFERROR(__xludf.DUMMYFUNCTION("""COMPUTED_VALUE"""),"₱ -")</f>
        <v>₱ -</v>
      </c>
      <c r="F2670" s="164" t="str">
        <f ca="1">IFERROR(__xludf.DUMMYFUNCTION("""COMPUTED_VALUE"""),"
2023-06-01-10201SP95-01")</f>
        <v xml:space="preserve">
2023-06-01-10201SP95-01</v>
      </c>
      <c r="G2670" s="164" t="str">
        <f ca="1">IFERROR(__xludf.DUMMYFUNCTION("""COMPUTED_VALUE"""),"SNC 1306")</f>
        <v>SNC 1306</v>
      </c>
      <c r="H2670" s="164" t="str">
        <f ca="1">IFERROR(__xludf.DUMMYFUNCTION("""COMPUTED_VALUE"""),"LEOMIDES R. VILLAREAL")</f>
        <v>LEOMIDES R. VILLAREAL</v>
      </c>
      <c r="I2670" s="164" t="str">
        <f ca="1">IFERROR(__xludf.DUMMYFUNCTION("""COMPUTED_VALUE"""),"REGIONAL DIRECTOR")</f>
        <v>REGIONAL DIRECTOR</v>
      </c>
      <c r="J2670" s="164" t="str">
        <f ca="1">IFERROR(__xludf.DUMMYFUNCTION("""COMPUTED_VALUE"""),"SPLIT PAR NO. 2023-10-023")</f>
        <v>SPLIT PAR NO. 2023-10-023</v>
      </c>
      <c r="K2670" s="164" t="str">
        <f ca="1">IFERROR(__xludf.DUMMYFUNCTION("""COMPUTED_VALUE"""),"LEOMIDES R. VILLAREAL")</f>
        <v>LEOMIDES R. VILLAREAL</v>
      </c>
      <c r="L2670" s="164" t="str">
        <f ca="1">IFERROR(__xludf.DUMMYFUNCTION("""COMPUTED_VALUE"""),"REGIONAL OFFICE")</f>
        <v>REGIONAL OFFICE</v>
      </c>
      <c r="M2670" s="164" t="str">
        <f ca="1">IFERROR(__xludf.DUMMYFUNCTION("""COMPUTED_VALUE"""),"SERVICEABLE")</f>
        <v>SERVICEABLE</v>
      </c>
      <c r="N2670" s="164"/>
    </row>
    <row r="2671" spans="1:14" ht="13.2" hidden="1">
      <c r="A2671" s="164" t="str">
        <f ca="1">IFERROR(__xludf.DUMMYFUNCTION("""COMPUTED_VALUE"""),"Region VII")</f>
        <v>Region VII</v>
      </c>
      <c r="B2671" s="164" t="str">
        <f ca="1">IFERROR(__xludf.DUMMYFUNCTION("""COMPUTED_VALUE"""),"REGIONAL OFFICE")</f>
        <v>REGIONAL OFFICE</v>
      </c>
      <c r="C2671" s="164" t="str">
        <f ca="1">IFERROR(__xludf.DUMMYFUNCTION("""COMPUTED_VALUE"""),"Double Cabin Pick-up Vehicles – Mitsubishi Strada")</f>
        <v>Double Cabin Pick-up Vehicles – Mitsubishi Strada</v>
      </c>
      <c r="D2671" s="164" t="str">
        <f ca="1">IFERROR(__xludf.DUMMYFUNCTION("""COMPUTED_VALUE"""),"₱ 1,752,400.00")</f>
        <v>₱ 1,752,400.00</v>
      </c>
      <c r="E2671" s="164" t="str">
        <f ca="1">IFERROR(__xludf.DUMMYFUNCTION("""COMPUTED_VALUE"""),"₱ -")</f>
        <v>₱ -</v>
      </c>
      <c r="F2671" s="164" t="str">
        <f ca="1">IFERROR(__xludf.DUMMYFUNCTION("""COMPUTED_VALUE"""),"2023-06-01-10201SP99-01")</f>
        <v>2023-06-01-10201SP99-01</v>
      </c>
      <c r="G2671" s="164" t="str">
        <f ca="1">IFERROR(__xludf.DUMMYFUNCTION("""COMPUTED_VALUE"""),"SNC 1219")</f>
        <v>SNC 1219</v>
      </c>
      <c r="H2671" s="164" t="str">
        <f ca="1">IFERROR(__xludf.DUMMYFUNCTION("""COMPUTED_VALUE"""),"GINA MONICA S. CABAHUG")</f>
        <v>GINA MONICA S. CABAHUG</v>
      </c>
      <c r="I2671" s="164" t="str">
        <f ca="1">IFERROR(__xludf.DUMMYFUNCTION("""COMPUTED_VALUE"""),"Director III/ARDO
 Asst. Regional Project Manager for Operations")</f>
        <v>Director III/ARDO
 Asst. Regional Project Manager for Operations</v>
      </c>
      <c r="J2671" s="164" t="str">
        <f ca="1">IFERROR(__xludf.DUMMYFUNCTION("""COMPUTED_VALUE"""),"SPLIT PAR NO. 2023-10-025
 2023-06-01-003SPLIT")</f>
        <v>SPLIT PAR NO. 2023-10-025
 2023-06-01-003SPLIT</v>
      </c>
      <c r="K2671" s="164" t="str">
        <f ca="1">IFERROR(__xludf.DUMMYFUNCTION("""COMPUTED_VALUE"""),"Atty. MARIANITO Q. MOJICA, JR.")</f>
        <v>Atty. MARIANITO Q. MOJICA, JR.</v>
      </c>
      <c r="L2671" s="164" t="str">
        <f ca="1">IFERROR(__xludf.DUMMYFUNCTION("""COMPUTED_VALUE"""),"REGIONAL OFFICE")</f>
        <v>REGIONAL OFFICE</v>
      </c>
      <c r="M2671" s="164" t="str">
        <f ca="1">IFERROR(__xludf.DUMMYFUNCTION("""COMPUTED_VALUE"""),"SERVICEABLE")</f>
        <v>SERVICEABLE</v>
      </c>
      <c r="N2671" s="164"/>
    </row>
    <row r="2672" spans="1:14" ht="13.2" hidden="1">
      <c r="A2672" s="164" t="str">
        <f ca="1">IFERROR(__xludf.DUMMYFUNCTION("""COMPUTED_VALUE"""),"Region VII")</f>
        <v>Region VII</v>
      </c>
      <c r="B2672" s="164" t="str">
        <f ca="1">IFERROR(__xludf.DUMMYFUNCTION("""COMPUTED_VALUE"""),"BOHOL")</f>
        <v>BOHOL</v>
      </c>
      <c r="C2672" s="164" t="str">
        <f ca="1">IFERROR(__xludf.DUMMYFUNCTION("""COMPUTED_VALUE"""),"Double Cabin Pick-up Vehicles – Mitsubishi Strada")</f>
        <v>Double Cabin Pick-up Vehicles – Mitsubishi Strada</v>
      </c>
      <c r="D2672" s="164" t="str">
        <f ca="1">IFERROR(__xludf.DUMMYFUNCTION("""COMPUTED_VALUE"""),"₱ 1,752,400.00")</f>
        <v>₱ 1,752,400.00</v>
      </c>
      <c r="E2672" s="164" t="str">
        <f ca="1">IFERROR(__xludf.DUMMYFUNCTION("""COMPUTED_VALUE"""),"₱ -")</f>
        <v>₱ -</v>
      </c>
      <c r="F2672" s="164" t="str">
        <f ca="1">IFERROR(__xludf.DUMMYFUNCTION("""COMPUTED_VALUE"""),"2023-06-01-10201SP96-01")</f>
        <v>2023-06-01-10201SP96-01</v>
      </c>
      <c r="G2672" s="164" t="str">
        <f ca="1">IFERROR(__xludf.DUMMYFUNCTION("""COMPUTED_VALUE"""),"SNC 1316")</f>
        <v>SNC 1316</v>
      </c>
      <c r="H2672" s="164" t="str">
        <f ca="1">IFERROR(__xludf.DUMMYFUNCTION("""COMPUTED_VALUE"""),"PUMATONG, RONALD")</f>
        <v>PUMATONG, RONALD</v>
      </c>
      <c r="I2672" s="164" t="str">
        <f ca="1">IFERROR(__xludf.DUMMYFUNCTION("""COMPUTED_VALUE"""),"PARPO II / Provincial Project Manager")</f>
        <v>PARPO II / Provincial Project Manager</v>
      </c>
      <c r="J2672" s="164" t="str">
        <f ca="1">IFERROR(__xludf.DUMMYFUNCTION("""COMPUTED_VALUE"""),"23-10-029")</f>
        <v>23-10-029</v>
      </c>
      <c r="K2672" s="164" t="str">
        <f ca="1">IFERROR(__xludf.DUMMYFUNCTION("""COMPUTED_VALUE"""),"PUMATONG, RONALD")</f>
        <v>PUMATONG, RONALD</v>
      </c>
      <c r="L2672" s="164" t="str">
        <f ca="1">IFERROR(__xludf.DUMMYFUNCTION("""COMPUTED_VALUE"""),"DARPO-BOHOL")</f>
        <v>DARPO-BOHOL</v>
      </c>
      <c r="M2672" s="164" t="str">
        <f ca="1">IFERROR(__xludf.DUMMYFUNCTION("""COMPUTED_VALUE"""),"SERVICEABLE")</f>
        <v>SERVICEABLE</v>
      </c>
      <c r="N2672" s="164"/>
    </row>
    <row r="2673" spans="1:14" ht="13.2" hidden="1">
      <c r="A2673" s="164" t="str">
        <f ca="1">IFERROR(__xludf.DUMMYFUNCTION("""COMPUTED_VALUE"""),"Region VII")</f>
        <v>Region VII</v>
      </c>
      <c r="B2673" s="164" t="str">
        <f ca="1">IFERROR(__xludf.DUMMYFUNCTION("""COMPUTED_VALUE"""),"BOHOL")</f>
        <v>BOHOL</v>
      </c>
      <c r="C2673" s="164" t="str">
        <f ca="1">IFERROR(__xludf.DUMMYFUNCTION("""COMPUTED_VALUE"""),"Motorcycle – (Honda XRL 150)")</f>
        <v>Motorcycle – (Honda XRL 150)</v>
      </c>
      <c r="D2673" s="164" t="str">
        <f ca="1">IFERROR(__xludf.DUMMYFUNCTION("""COMPUTED_VALUE"""),"₱ 124,900.00")</f>
        <v>₱ 124,900.00</v>
      </c>
      <c r="E2673" s="164" t="str">
        <f ca="1">IFERROR(__xludf.DUMMYFUNCTION("""COMPUTED_VALUE"""),"₱ -")</f>
        <v>₱ -</v>
      </c>
      <c r="F2673" s="164" t="str">
        <f ca="1">IFERROR(__xludf.DUMMYFUNCTION("""COMPUTED_VALUE"""),"2023-06-01-10202SP355-01")</f>
        <v>2023-06-01-10202SP355-01</v>
      </c>
      <c r="G2673" s="164"/>
      <c r="H2673" s="164" t="str">
        <f ca="1">IFERROR(__xludf.DUMMYFUNCTION("""COMPUTED_VALUE"""),"MUYALDE, VENICIA")</f>
        <v>MUYALDE, VENICIA</v>
      </c>
      <c r="I2673" s="164" t="str">
        <f ca="1">IFERROR(__xludf.DUMMYFUNCTION("""COMPUTED_VALUE"""),"ARPT")</f>
        <v>ARPT</v>
      </c>
      <c r="J2673" s="164" t="str">
        <f ca="1">IFERROR(__xludf.DUMMYFUNCTION("""COMPUTED_VALUE"""),"23-05-002")</f>
        <v>23-05-002</v>
      </c>
      <c r="K2673" s="164" t="str">
        <f ca="1">IFERROR(__xludf.DUMMYFUNCTION("""COMPUTED_VALUE"""),"DALAY, RENATO")</f>
        <v>DALAY, RENATO</v>
      </c>
      <c r="L2673" s="164" t="str">
        <f ca="1">IFERROR(__xludf.DUMMYFUNCTION("""COMPUTED_VALUE"""),"DARPO-BOHOL")</f>
        <v>DARPO-BOHOL</v>
      </c>
      <c r="M2673" s="164" t="str">
        <f ca="1">IFERROR(__xludf.DUMMYFUNCTION("""COMPUTED_VALUE"""),"SERVICEABLE")</f>
        <v>SERVICEABLE</v>
      </c>
      <c r="N2673" s="164"/>
    </row>
    <row r="2674" spans="1:14" ht="13.2" hidden="1">
      <c r="A2674" s="164" t="str">
        <f ca="1">IFERROR(__xludf.DUMMYFUNCTION("""COMPUTED_VALUE"""),"Region VII")</f>
        <v>Region VII</v>
      </c>
      <c r="B2674" s="164" t="str">
        <f ca="1">IFERROR(__xludf.DUMMYFUNCTION("""COMPUTED_VALUE"""),"BOHOL")</f>
        <v>BOHOL</v>
      </c>
      <c r="C2674" s="164" t="str">
        <f ca="1">IFERROR(__xludf.DUMMYFUNCTION("""COMPUTED_VALUE"""),"Motorcycle – (Honda XRL 150)")</f>
        <v>Motorcycle – (Honda XRL 150)</v>
      </c>
      <c r="D2674" s="164" t="str">
        <f ca="1">IFERROR(__xludf.DUMMYFUNCTION("""COMPUTED_VALUE"""),"₱ 124,900.00")</f>
        <v>₱ 124,900.00</v>
      </c>
      <c r="E2674" s="164" t="str">
        <f ca="1">IFERROR(__xludf.DUMMYFUNCTION("""COMPUTED_VALUE"""),"₱ -")</f>
        <v>₱ -</v>
      </c>
      <c r="F2674" s="164" t="str">
        <f ca="1">IFERROR(__xludf.DUMMYFUNCTION("""COMPUTED_VALUE"""),"2023-06-01-10202SP356-01")</f>
        <v>2023-06-01-10202SP356-01</v>
      </c>
      <c r="G2674" s="164"/>
      <c r="H2674" s="164" t="str">
        <f ca="1">IFERROR(__xludf.DUMMYFUNCTION("""COMPUTED_VALUE"""),"CABULAO, ARNEL")</f>
        <v>CABULAO, ARNEL</v>
      </c>
      <c r="I2674" s="164" t="str">
        <f ca="1">IFERROR(__xludf.DUMMYFUNCTION("""COMPUTED_VALUE"""),"ENGINEER II/Survey Coordinator")</f>
        <v>ENGINEER II/Survey Coordinator</v>
      </c>
      <c r="J2674" s="164" t="str">
        <f ca="1">IFERROR(__xludf.DUMMYFUNCTION("""COMPUTED_VALUE"""),"23-05-003")</f>
        <v>23-05-003</v>
      </c>
      <c r="K2674" s="164" t="str">
        <f ca="1">IFERROR(__xludf.DUMMYFUNCTION("""COMPUTED_VALUE"""),"MUTIA, FRANICS CARLO")</f>
        <v>MUTIA, FRANICS CARLO</v>
      </c>
      <c r="L2674" s="164" t="str">
        <f ca="1">IFERROR(__xludf.DUMMYFUNCTION("""COMPUTED_VALUE"""),"DARPO-BOHOL")</f>
        <v>DARPO-BOHOL</v>
      </c>
      <c r="M2674" s="164" t="str">
        <f ca="1">IFERROR(__xludf.DUMMYFUNCTION("""COMPUTED_VALUE"""),"SERVICEABLE")</f>
        <v>SERVICEABLE</v>
      </c>
      <c r="N2674" s="164"/>
    </row>
    <row r="2675" spans="1:14" ht="13.2" hidden="1">
      <c r="A2675" s="164" t="str">
        <f ca="1">IFERROR(__xludf.DUMMYFUNCTION("""COMPUTED_VALUE"""),"Region VII")</f>
        <v>Region VII</v>
      </c>
      <c r="B2675" s="164" t="str">
        <f ca="1">IFERROR(__xludf.DUMMYFUNCTION("""COMPUTED_VALUE"""),"BOHOL")</f>
        <v>BOHOL</v>
      </c>
      <c r="C2675" s="164" t="str">
        <f ca="1">IFERROR(__xludf.DUMMYFUNCTION("""COMPUTED_VALUE"""),"Motorcycle – (Honda XRL 150)")</f>
        <v>Motorcycle – (Honda XRL 150)</v>
      </c>
      <c r="D2675" s="164" t="str">
        <f ca="1">IFERROR(__xludf.DUMMYFUNCTION("""COMPUTED_VALUE"""),"₱ 124,900.00")</f>
        <v>₱ 124,900.00</v>
      </c>
      <c r="E2675" s="164" t="str">
        <f ca="1">IFERROR(__xludf.DUMMYFUNCTION("""COMPUTED_VALUE"""),"₱ -")</f>
        <v>₱ -</v>
      </c>
      <c r="F2675" s="164" t="str">
        <f ca="1">IFERROR(__xludf.DUMMYFUNCTION("""COMPUTED_VALUE"""),"2023-06-01-10202SP357-01")</f>
        <v>2023-06-01-10202SP357-01</v>
      </c>
      <c r="G2675" s="164"/>
      <c r="H2675" s="164" t="str">
        <f ca="1">IFERROR(__xludf.DUMMYFUNCTION("""COMPUTED_VALUE"""),"CIMENI, JUDITH")</f>
        <v>CIMENI, JUDITH</v>
      </c>
      <c r="I2675" s="164" t="str">
        <f ca="1">IFERROR(__xludf.DUMMYFUNCTION("""COMPUTED_VALUE"""),"Admin Assistant II")</f>
        <v>Admin Assistant II</v>
      </c>
      <c r="J2675" s="164" t="str">
        <f ca="1">IFERROR(__xludf.DUMMYFUNCTION("""COMPUTED_VALUE"""),"23-05-004")</f>
        <v>23-05-004</v>
      </c>
      <c r="K2675" s="164" t="str">
        <f ca="1">IFERROR(__xludf.DUMMYFUNCTION("""COMPUTED_VALUE"""),"PARAC, REY ANTHONY")</f>
        <v>PARAC, REY ANTHONY</v>
      </c>
      <c r="L2675" s="164" t="str">
        <f ca="1">IFERROR(__xludf.DUMMYFUNCTION("""COMPUTED_VALUE"""),"DARPO-BOHOL")</f>
        <v>DARPO-BOHOL</v>
      </c>
      <c r="M2675" s="164" t="str">
        <f ca="1">IFERROR(__xludf.DUMMYFUNCTION("""COMPUTED_VALUE"""),"SERVICEABLE")</f>
        <v>SERVICEABLE</v>
      </c>
      <c r="N2675" s="164"/>
    </row>
    <row r="2676" spans="1:14" ht="13.2" hidden="1">
      <c r="A2676" s="164" t="str">
        <f ca="1">IFERROR(__xludf.DUMMYFUNCTION("""COMPUTED_VALUE"""),"Region VII")</f>
        <v>Region VII</v>
      </c>
      <c r="B2676" s="164" t="str">
        <f ca="1">IFERROR(__xludf.DUMMYFUNCTION("""COMPUTED_VALUE"""),"BOHOL")</f>
        <v>BOHOL</v>
      </c>
      <c r="C2676" s="164" t="str">
        <f ca="1">IFERROR(__xludf.DUMMYFUNCTION("""COMPUTED_VALUE"""),"Motorcycle – (Honda XRL 150)")</f>
        <v>Motorcycle – (Honda XRL 150)</v>
      </c>
      <c r="D2676" s="164" t="str">
        <f ca="1">IFERROR(__xludf.DUMMYFUNCTION("""COMPUTED_VALUE"""),"₱ 124,900.00")</f>
        <v>₱ 124,900.00</v>
      </c>
      <c r="E2676" s="164" t="str">
        <f ca="1">IFERROR(__xludf.DUMMYFUNCTION("""COMPUTED_VALUE"""),"₱ -")</f>
        <v>₱ -</v>
      </c>
      <c r="F2676" s="164" t="str">
        <f ca="1">IFERROR(__xludf.DUMMYFUNCTION("""COMPUTED_VALUE"""),"2023-06-01-10202SP358-01")</f>
        <v>2023-06-01-10202SP358-01</v>
      </c>
      <c r="G2676" s="164"/>
      <c r="H2676" s="164" t="str">
        <f ca="1">IFERROR(__xludf.DUMMYFUNCTION("""COMPUTED_VALUE"""),"ALO, JULIETA")</f>
        <v>ALO, JULIETA</v>
      </c>
      <c r="I2676" s="164" t="str">
        <f ca="1">IFERROR(__xludf.DUMMYFUNCTION("""COMPUTED_VALUE"""),"ARPO II/Provincial MIS Coordinator")</f>
        <v>ARPO II/Provincial MIS Coordinator</v>
      </c>
      <c r="J2676" s="164" t="str">
        <f ca="1">IFERROR(__xludf.DUMMYFUNCTION("""COMPUTED_VALUE"""),"23-05-005")</f>
        <v>23-05-005</v>
      </c>
      <c r="K2676" s="164" t="str">
        <f ca="1">IFERROR(__xludf.DUMMYFUNCTION("""COMPUTED_VALUE"""),"DECASA, JERAMEEL")</f>
        <v>DECASA, JERAMEEL</v>
      </c>
      <c r="L2676" s="164" t="str">
        <f ca="1">IFERROR(__xludf.DUMMYFUNCTION("""COMPUTED_VALUE"""),"DARPO-BOHOL")</f>
        <v>DARPO-BOHOL</v>
      </c>
      <c r="M2676" s="164" t="str">
        <f ca="1">IFERROR(__xludf.DUMMYFUNCTION("""COMPUTED_VALUE"""),"SERVICEABLE")</f>
        <v>SERVICEABLE</v>
      </c>
      <c r="N2676" s="164"/>
    </row>
    <row r="2677" spans="1:14" ht="13.2">
      <c r="A2677" s="164" t="str">
        <f ca="1">IFERROR(__xludf.DUMMYFUNCTION("""COMPUTED_VALUE"""),"Region VII")</f>
        <v>Region VII</v>
      </c>
      <c r="B2677" s="164" t="str">
        <f ca="1">IFERROR(__xludf.DUMMYFUNCTION("""COMPUTED_VALUE"""),"CEBU")</f>
        <v>CEBU</v>
      </c>
      <c r="C2677" s="164" t="str">
        <f ca="1">IFERROR(__xludf.DUMMYFUNCTION("""COMPUTED_VALUE"""),"Motorcycle – (Honda XRL 150)")</f>
        <v>Motorcycle – (Honda XRL 150)</v>
      </c>
      <c r="D2677" s="164" t="str">
        <f ca="1">IFERROR(__xludf.DUMMYFUNCTION("""COMPUTED_VALUE"""),"₱ 124,900.00")</f>
        <v>₱ 124,900.00</v>
      </c>
      <c r="E2677" s="164" t="str">
        <f ca="1">IFERROR(__xludf.DUMMYFUNCTION("""COMPUTED_VALUE"""),"₱ -")</f>
        <v>₱ -</v>
      </c>
      <c r="F2677" s="164" t="str">
        <f ca="1">IFERROR(__xludf.DUMMYFUNCTION("""COMPUTED_VALUE"""),"2023-06-01-10202SP359-01")</f>
        <v>2023-06-01-10202SP359-01</v>
      </c>
      <c r="G2677" s="164"/>
      <c r="H2677" s="164" t="str">
        <f ca="1">IFERROR(__xludf.DUMMYFUNCTION("""COMPUTED_VALUE"""),"ALAN B. TUDTUD")</f>
        <v>ALAN B. TUDTUD</v>
      </c>
      <c r="I2677" s="164" t="str">
        <f ca="1">IFERROR(__xludf.DUMMYFUNCTION("""COMPUTED_VALUE"""),"MARPO-CARMEN CLUSTER")</f>
        <v>MARPO-CARMEN CLUSTER</v>
      </c>
      <c r="J2677" s="164" t="str">
        <f ca="1">IFERROR(__xludf.DUMMYFUNCTION("""COMPUTED_VALUE"""),"2023-07-015")</f>
        <v>2023-07-015</v>
      </c>
      <c r="K2677" s="164" t="str">
        <f ca="1">IFERROR(__xludf.DUMMYFUNCTION("""COMPUTED_VALUE"""),"ALAN B. TUDTUD")</f>
        <v>ALAN B. TUDTUD</v>
      </c>
      <c r="L2677" s="164" t="str">
        <f ca="1">IFERROR(__xludf.DUMMYFUNCTION("""COMPUTED_VALUE"""),"DARPO- CEBU")</f>
        <v>DARPO- CEBU</v>
      </c>
      <c r="M2677" s="164" t="str">
        <f ca="1">IFERROR(__xludf.DUMMYFUNCTION("""COMPUTED_VALUE"""),"SERVICEABLE")</f>
        <v>SERVICEABLE</v>
      </c>
      <c r="N2677" s="164"/>
    </row>
    <row r="2678" spans="1:14" ht="13.2">
      <c r="A2678" s="164" t="str">
        <f ca="1">IFERROR(__xludf.DUMMYFUNCTION("""COMPUTED_VALUE"""),"Region VII")</f>
        <v>Region VII</v>
      </c>
      <c r="B2678" s="164" t="str">
        <f ca="1">IFERROR(__xludf.DUMMYFUNCTION("""COMPUTED_VALUE"""),"CEBU")</f>
        <v>CEBU</v>
      </c>
      <c r="C2678" s="164" t="str">
        <f ca="1">IFERROR(__xludf.DUMMYFUNCTION("""COMPUTED_VALUE"""),"Motorcycle – (Honda XRL 150)")</f>
        <v>Motorcycle – (Honda XRL 150)</v>
      </c>
      <c r="D2678" s="164" t="str">
        <f ca="1">IFERROR(__xludf.DUMMYFUNCTION("""COMPUTED_VALUE"""),"₱ 124,900.00")</f>
        <v>₱ 124,900.00</v>
      </c>
      <c r="E2678" s="164" t="str">
        <f ca="1">IFERROR(__xludf.DUMMYFUNCTION("""COMPUTED_VALUE"""),"₱ -")</f>
        <v>₱ -</v>
      </c>
      <c r="F2678" s="164" t="str">
        <f ca="1">IFERROR(__xludf.DUMMYFUNCTION("""COMPUTED_VALUE"""),"2023-06-01-10202SP360-01")</f>
        <v>2023-06-01-10202SP360-01</v>
      </c>
      <c r="G2678" s="164"/>
      <c r="H2678" s="164" t="str">
        <f ca="1">IFERROR(__xludf.DUMMYFUNCTION("""COMPUTED_VALUE"""),"FELIX DELOS SANTOS")</f>
        <v>FELIX DELOS SANTOS</v>
      </c>
      <c r="I2678" s="164" t="str">
        <f ca="1">IFERROR(__xludf.DUMMYFUNCTION("""COMPUTED_VALUE"""),"MARPO-BALAMBAN CLUSTER")</f>
        <v>MARPO-BALAMBAN CLUSTER</v>
      </c>
      <c r="J2678" s="164" t="str">
        <f ca="1">IFERROR(__xludf.DUMMYFUNCTION("""COMPUTED_VALUE"""),"2023-07-016")</f>
        <v>2023-07-016</v>
      </c>
      <c r="K2678" s="164" t="str">
        <f ca="1">IFERROR(__xludf.DUMMYFUNCTION("""COMPUTED_VALUE"""),"FELIX DELOS SANTOS")</f>
        <v>FELIX DELOS SANTOS</v>
      </c>
      <c r="L2678" s="164" t="str">
        <f ca="1">IFERROR(__xludf.DUMMYFUNCTION("""COMPUTED_VALUE"""),"DARPO- CEBU")</f>
        <v>DARPO- CEBU</v>
      </c>
      <c r="M2678" s="164" t="str">
        <f ca="1">IFERROR(__xludf.DUMMYFUNCTION("""COMPUTED_VALUE"""),"SERVICEABLE")</f>
        <v>SERVICEABLE</v>
      </c>
      <c r="N2678" s="164"/>
    </row>
    <row r="2679" spans="1:14" ht="13.2">
      <c r="A2679" s="164" t="str">
        <f ca="1">IFERROR(__xludf.DUMMYFUNCTION("""COMPUTED_VALUE"""),"Region VII")</f>
        <v>Region VII</v>
      </c>
      <c r="B2679" s="164" t="str">
        <f ca="1">IFERROR(__xludf.DUMMYFUNCTION("""COMPUTED_VALUE"""),"CEBU")</f>
        <v>CEBU</v>
      </c>
      <c r="C2679" s="164" t="str">
        <f ca="1">IFERROR(__xludf.DUMMYFUNCTION("""COMPUTED_VALUE"""),"Motorcycle – (Honda XRL 150)")</f>
        <v>Motorcycle – (Honda XRL 150)</v>
      </c>
      <c r="D2679" s="164" t="str">
        <f ca="1">IFERROR(__xludf.DUMMYFUNCTION("""COMPUTED_VALUE"""),"₱ 124,900.00")</f>
        <v>₱ 124,900.00</v>
      </c>
      <c r="E2679" s="164" t="str">
        <f ca="1">IFERROR(__xludf.DUMMYFUNCTION("""COMPUTED_VALUE"""),"₱ -")</f>
        <v>₱ -</v>
      </c>
      <c r="F2679" s="164" t="str">
        <f ca="1">IFERROR(__xludf.DUMMYFUNCTION("""COMPUTED_VALUE"""),"2023-06-01-10202SP361-01")</f>
        <v>2023-06-01-10202SP361-01</v>
      </c>
      <c r="G2679" s="164"/>
      <c r="H2679" s="164" t="str">
        <f ca="1">IFERROR(__xludf.DUMMYFUNCTION("""COMPUTED_VALUE"""),"GERSYVAL O. VESTAL")</f>
        <v>GERSYVAL O. VESTAL</v>
      </c>
      <c r="I2679" s="164" t="str">
        <f ca="1">IFERROR(__xludf.DUMMYFUNCTION("""COMPUTED_VALUE"""),"MARPO-BOGO CLUSTER")</f>
        <v>MARPO-BOGO CLUSTER</v>
      </c>
      <c r="J2679" s="164" t="str">
        <f ca="1">IFERROR(__xludf.DUMMYFUNCTION("""COMPUTED_VALUE"""),"2023-07-017")</f>
        <v>2023-07-017</v>
      </c>
      <c r="K2679" s="164" t="str">
        <f ca="1">IFERROR(__xludf.DUMMYFUNCTION("""COMPUTED_VALUE"""),"GERSYVAL O. VESTAL")</f>
        <v>GERSYVAL O. VESTAL</v>
      </c>
      <c r="L2679" s="164" t="str">
        <f ca="1">IFERROR(__xludf.DUMMYFUNCTION("""COMPUTED_VALUE"""),"DARPO- CEBU")</f>
        <v>DARPO- CEBU</v>
      </c>
      <c r="M2679" s="164" t="str">
        <f ca="1">IFERROR(__xludf.DUMMYFUNCTION("""COMPUTED_VALUE"""),"SERVICEABLE")</f>
        <v>SERVICEABLE</v>
      </c>
      <c r="N2679" s="164"/>
    </row>
    <row r="2680" spans="1:14" ht="13.2">
      <c r="A2680" s="164" t="str">
        <f ca="1">IFERROR(__xludf.DUMMYFUNCTION("""COMPUTED_VALUE"""),"Region VII")</f>
        <v>Region VII</v>
      </c>
      <c r="B2680" s="164" t="str">
        <f ca="1">IFERROR(__xludf.DUMMYFUNCTION("""COMPUTED_VALUE"""),"CEBU")</f>
        <v>CEBU</v>
      </c>
      <c r="C2680" s="164" t="str">
        <f ca="1">IFERROR(__xludf.DUMMYFUNCTION("""COMPUTED_VALUE"""),"Motorcycle – (Honda XRL 150)")</f>
        <v>Motorcycle – (Honda XRL 150)</v>
      </c>
      <c r="D2680" s="164" t="str">
        <f ca="1">IFERROR(__xludf.DUMMYFUNCTION("""COMPUTED_VALUE"""),"₱ 124,900.00")</f>
        <v>₱ 124,900.00</v>
      </c>
      <c r="E2680" s="164" t="str">
        <f ca="1">IFERROR(__xludf.DUMMYFUNCTION("""COMPUTED_VALUE"""),"₱ -")</f>
        <v>₱ -</v>
      </c>
      <c r="F2680" s="164" t="str">
        <f ca="1">IFERROR(__xludf.DUMMYFUNCTION("""COMPUTED_VALUE"""),"2023-06-01-10202SP362-01")</f>
        <v>2023-06-01-10202SP362-01</v>
      </c>
      <c r="G2680" s="164"/>
      <c r="H2680" s="164" t="str">
        <f ca="1">IFERROR(__xludf.DUMMYFUNCTION("""COMPUTED_VALUE"""),"WILLAM D. DULCERO")</f>
        <v>WILLAM D. DULCERO</v>
      </c>
      <c r="I2680" s="164" t="str">
        <f ca="1">IFERROR(__xludf.DUMMYFUNCTION("""COMPUTED_VALUE"""),"MARPO-TOLEDO CLUSTER")</f>
        <v>MARPO-TOLEDO CLUSTER</v>
      </c>
      <c r="J2680" s="164" t="str">
        <f ca="1">IFERROR(__xludf.DUMMYFUNCTION("""COMPUTED_VALUE"""),"2023-07-018")</f>
        <v>2023-07-018</v>
      </c>
      <c r="K2680" s="164" t="str">
        <f ca="1">IFERROR(__xludf.DUMMYFUNCTION("""COMPUTED_VALUE"""),"WILLAM D. DULCERO")</f>
        <v>WILLAM D. DULCERO</v>
      </c>
      <c r="L2680" s="164" t="str">
        <f ca="1">IFERROR(__xludf.DUMMYFUNCTION("""COMPUTED_VALUE"""),"DARPO- CEBU")</f>
        <v>DARPO- CEBU</v>
      </c>
      <c r="M2680" s="164" t="str">
        <f ca="1">IFERROR(__xludf.DUMMYFUNCTION("""COMPUTED_VALUE"""),"SERVICEABLE")</f>
        <v>SERVICEABLE</v>
      </c>
      <c r="N2680" s="164"/>
    </row>
    <row r="2681" spans="1:14" ht="13.2">
      <c r="A2681" s="164" t="str">
        <f ca="1">IFERROR(__xludf.DUMMYFUNCTION("""COMPUTED_VALUE"""),"Region VII")</f>
        <v>Region VII</v>
      </c>
      <c r="B2681" s="164" t="str">
        <f ca="1">IFERROR(__xludf.DUMMYFUNCTION("""COMPUTED_VALUE"""),"CEBU")</f>
        <v>CEBU</v>
      </c>
      <c r="C2681" s="164" t="str">
        <f ca="1">IFERROR(__xludf.DUMMYFUNCTION("""COMPUTED_VALUE"""),"Double Cabin Pick-up Vehicles – Mitsubishi Strada")</f>
        <v>Double Cabin Pick-up Vehicles – Mitsubishi Strada</v>
      </c>
      <c r="D2681" s="164" t="str">
        <f ca="1">IFERROR(__xludf.DUMMYFUNCTION("""COMPUTED_VALUE"""),"₱ 1,752,400.00")</f>
        <v>₱ 1,752,400.00</v>
      </c>
      <c r="E2681" s="164" t="str">
        <f ca="1">IFERROR(__xludf.DUMMYFUNCTION("""COMPUTED_VALUE"""),"₱ -")</f>
        <v>₱ -</v>
      </c>
      <c r="F2681" s="164" t="str">
        <f ca="1">IFERROR(__xludf.DUMMYFUNCTION("""COMPUTED_VALUE"""),"2023-06-01-10201SP97-01")</f>
        <v>2023-06-01-10201SP97-01</v>
      </c>
      <c r="G2681" s="164" t="str">
        <f ca="1">IFERROR(__xludf.DUMMYFUNCTION("""COMPUTED_VALUE"""),"SNC 1123")</f>
        <v>SNC 1123</v>
      </c>
      <c r="H2681" s="164" t="str">
        <f ca="1">IFERROR(__xludf.DUMMYFUNCTION("""COMPUTED_VALUE"""),"GRACE B. FUA, CESO V")</f>
        <v>GRACE B. FUA, CESO V</v>
      </c>
      <c r="I2681" s="164" t="str">
        <f ca="1">IFERROR(__xludf.DUMMYFUNCTION("""COMPUTED_VALUE"""),"PARO II / PROVINCIAL PROJECT MANAGER")</f>
        <v>PARO II / PROVINCIAL PROJECT MANAGER</v>
      </c>
      <c r="J2681" s="164" t="str">
        <f ca="1">IFERROR(__xludf.DUMMYFUNCTION("""COMPUTED_VALUE"""),"2023-10-026")</f>
        <v>2023-10-026</v>
      </c>
      <c r="K2681" s="164" t="str">
        <f ca="1">IFERROR(__xludf.DUMMYFUNCTION("""COMPUTED_VALUE"""),"GRACE B. FUA, CESO V")</f>
        <v>GRACE B. FUA, CESO V</v>
      </c>
      <c r="L2681" s="164" t="str">
        <f ca="1">IFERROR(__xludf.DUMMYFUNCTION("""COMPUTED_VALUE"""),"DARPO- CEBU")</f>
        <v>DARPO- CEBU</v>
      </c>
      <c r="M2681" s="164" t="str">
        <f ca="1">IFERROR(__xludf.DUMMYFUNCTION("""COMPUTED_VALUE"""),"SERVICEABLE")</f>
        <v>SERVICEABLE</v>
      </c>
      <c r="N2681" s="164"/>
    </row>
    <row r="2682" spans="1:14" ht="13.2" hidden="1">
      <c r="A2682" s="164" t="str">
        <f ca="1">IFERROR(__xludf.DUMMYFUNCTION("""COMPUTED_VALUE"""),"Region VII")</f>
        <v>Region VII</v>
      </c>
      <c r="B2682" s="164" t="str">
        <f ca="1">IFERROR(__xludf.DUMMYFUNCTION("""COMPUTED_VALUE"""),"REGIONAL OFFICE")</f>
        <v>REGIONAL OFFICE</v>
      </c>
      <c r="C2682" s="164" t="str">
        <f ca="1">IFERROR(__xludf.DUMMYFUNCTION("""COMPUTED_VALUE"""),"LAPTOP MSI KATANA")</f>
        <v>LAPTOP MSI KATANA</v>
      </c>
      <c r="D2682" s="164"/>
      <c r="E2682" s="164"/>
      <c r="F2682" s="164" t="str">
        <f ca="1">IFERROR(__xludf.DUMMYFUNCTION("""COMPUTED_VALUE"""),"2024-05-03-10202SPO41-01")</f>
        <v>2024-05-03-10202SPO41-01</v>
      </c>
      <c r="G2682" s="164"/>
      <c r="H2682" s="164"/>
      <c r="I2682" s="164"/>
      <c r="J2682" s="164"/>
      <c r="K2682" s="164"/>
      <c r="L2682" s="164"/>
      <c r="M2682" s="164"/>
      <c r="N2682" s="164"/>
    </row>
    <row r="2683" spans="1:14" ht="13.2" hidden="1">
      <c r="A2683" s="164" t="str">
        <f ca="1">IFERROR(__xludf.DUMMYFUNCTION("""COMPUTED_VALUE"""),"NIR")</f>
        <v>NIR</v>
      </c>
      <c r="B2683" s="164" t="str">
        <f ca="1">IFERROR(__xludf.DUMMYFUNCTION("""COMPUTED_VALUE"""),"Negros Occidental II")</f>
        <v>Negros Occidental II</v>
      </c>
      <c r="C2683" s="164" t="str">
        <f ca="1">IFERROR(__xludf.DUMMYFUNCTION("""COMPUTED_VALUE"""),"Photocopier Machine – Kyocera")</f>
        <v>Photocopier Machine – Kyocera</v>
      </c>
      <c r="D2683" s="164" t="str">
        <f ca="1">IFERROR(__xludf.DUMMYFUNCTION("""COMPUTED_VALUE"""),"₱ 84,500.00")</f>
        <v>₱ 84,500.00</v>
      </c>
      <c r="E2683" s="164"/>
      <c r="F2683" s="164" t="str">
        <f ca="1">IFERROR(__xludf.DUMMYFUNCTION("""COMPUTED_VALUE"""),"2022-05-02-10202SP62-01")</f>
        <v>2022-05-02-10202SP62-01</v>
      </c>
      <c r="G2683" s="164" t="str">
        <f ca="1">IFERROR(__xludf.DUMMYFUNCTION("""COMPUTED_VALUE"""),"RNK2700186")</f>
        <v>RNK2700186</v>
      </c>
      <c r="H2683" s="164" t="str">
        <f ca="1">IFERROR(__xludf.DUMMYFUNCTION("""COMPUTED_VALUE"""),"NEIL R. NACION")</f>
        <v>NEIL R. NACION</v>
      </c>
      <c r="I2683" s="164" t="str">
        <f ca="1">IFERROR(__xludf.DUMMYFUNCTION("""COMPUTED_VALUE"""),"ENGINEER 2 / SPLIT ESS DOCUMENTATION")</f>
        <v>ENGINEER 2 / SPLIT ESS DOCUMENTATION</v>
      </c>
      <c r="J2683" s="164" t="str">
        <f ca="1">IFERROR(__xludf.DUMMYFUNCTION("""COMPUTED_VALUE"""),"23-01-0023")</f>
        <v>23-01-0023</v>
      </c>
      <c r="K2683" s="164" t="str">
        <f ca="1">IFERROR(__xludf.DUMMYFUNCTION("""COMPUTED_VALUE"""),"NEIL R. NACION")</f>
        <v>NEIL R. NACION</v>
      </c>
      <c r="L2683" s="164" t="str">
        <f ca="1">IFERROR(__xludf.DUMMYFUNCTION("""COMPUTED_VALUE"""),"SPLIT OFFICE")</f>
        <v>SPLIT OFFICE</v>
      </c>
      <c r="M2683" s="164" t="str">
        <f ca="1">IFERROR(__xludf.DUMMYFUNCTION("""COMPUTED_VALUE"""),"SERVICEABLE")</f>
        <v>SERVICEABLE</v>
      </c>
      <c r="N2683" s="164"/>
    </row>
    <row r="2684" spans="1:14" ht="13.2" hidden="1">
      <c r="A2684" s="164" t="str">
        <f ca="1">IFERROR(__xludf.DUMMYFUNCTION("""COMPUTED_VALUE"""),"NIR")</f>
        <v>NIR</v>
      </c>
      <c r="B2684" s="164" t="str">
        <f ca="1">IFERROR(__xludf.DUMMYFUNCTION("""COMPUTED_VALUE"""),"Negros Occidental II")</f>
        <v>Negros Occidental II</v>
      </c>
      <c r="C2684" s="164" t="str">
        <f ca="1">IFERROR(__xludf.DUMMYFUNCTION("""COMPUTED_VALUE"""),"Desktop Computer – (Lenovo M70T)")</f>
        <v>Desktop Computer – (Lenovo M70T)</v>
      </c>
      <c r="D2684" s="164" t="str">
        <f ca="1">IFERROR(__xludf.DUMMYFUNCTION("""COMPUTED_VALUE"""),"₱ 75,468.00")</f>
        <v>₱ 75,468.00</v>
      </c>
      <c r="E2684" s="164"/>
      <c r="F2684" s="164" t="str">
        <f ca="1">IFERROR(__xludf.DUMMYFUNCTION("""COMPUTED_VALUE"""),"2023-05-03-10201SP1245-01")</f>
        <v>2023-05-03-10201SP1245-01</v>
      </c>
      <c r="G2684" s="164" t="str">
        <f ca="1">IFERROR(__xludf.DUMMYFUNCTION("""COMPUTED_VALUE"""),"GM041B0Q")</f>
        <v>GM041B0Q</v>
      </c>
      <c r="H2684" s="164" t="str">
        <f ca="1">IFERROR(__xludf.DUMMYFUNCTION("""COMPUTED_VALUE"""),"MARY GRACE N. FERRER")</f>
        <v>MARY GRACE N. FERRER</v>
      </c>
      <c r="I2684" s="164" t="str">
        <f ca="1">IFERROR(__xludf.DUMMYFUNCTION("""COMPUTED_VALUE"""),"CARTOGRAPHER II")</f>
        <v>CARTOGRAPHER II</v>
      </c>
      <c r="J2684" s="164" t="str">
        <f ca="1">IFERROR(__xludf.DUMMYFUNCTION("""COMPUTED_VALUE"""),"PTR 2023-04-037")</f>
        <v>PTR 2023-04-037</v>
      </c>
      <c r="K2684" s="164" t="str">
        <f ca="1">IFERROR(__xludf.DUMMYFUNCTION("""COMPUTED_VALUE"""),"MARY GRACE N. FERRER")</f>
        <v>MARY GRACE N. FERRER</v>
      </c>
      <c r="L2684" s="164" t="str">
        <f ca="1">IFERROR(__xludf.DUMMYFUNCTION("""COMPUTED_VALUE"""),"SPLIT PROJECT")</f>
        <v>SPLIT PROJECT</v>
      </c>
      <c r="M2684" s="164" t="str">
        <f ca="1">IFERROR(__xludf.DUMMYFUNCTION("""COMPUTED_VALUE"""),"SERVICEABLE")</f>
        <v>SERVICEABLE</v>
      </c>
      <c r="N2684" s="164"/>
    </row>
    <row r="2685" spans="1:14" ht="13.2" hidden="1">
      <c r="A2685" s="164" t="str">
        <f ca="1">IFERROR(__xludf.DUMMYFUNCTION("""COMPUTED_VALUE"""),"NIR")</f>
        <v>NIR</v>
      </c>
      <c r="B2685" s="164" t="str">
        <f ca="1">IFERROR(__xludf.DUMMYFUNCTION("""COMPUTED_VALUE"""),"Negros Occidental II")</f>
        <v>Negros Occidental II</v>
      </c>
      <c r="C2685" s="164" t="str">
        <f ca="1">IFERROR(__xludf.DUMMYFUNCTION("""COMPUTED_VALUE"""),"Desktop Computer – (Lenovo M70T)")</f>
        <v>Desktop Computer – (Lenovo M70T)</v>
      </c>
      <c r="D2685" s="164" t="str">
        <f ca="1">IFERROR(__xludf.DUMMYFUNCTION("""COMPUTED_VALUE"""),"₱ 75,468.00")</f>
        <v>₱ 75,468.00</v>
      </c>
      <c r="E2685" s="164"/>
      <c r="F2685" s="164" t="str">
        <f ca="1">IFERROR(__xludf.DUMMYFUNCTION("""COMPUTED_VALUE"""),"2023-05-03-10201SP1243-01")</f>
        <v>2023-05-03-10201SP1243-01</v>
      </c>
      <c r="G2685" s="164" t="str">
        <f ca="1">IFERROR(__xludf.DUMMYFUNCTION("""COMPUTED_VALUE"""),"GM041B0N")</f>
        <v>GM041B0N</v>
      </c>
      <c r="H2685" s="164" t="str">
        <f ca="1">IFERROR(__xludf.DUMMYFUNCTION("""COMPUTED_VALUE"""),"KARIZA LOUISE S. CELIS")</f>
        <v>KARIZA LOUISE S. CELIS</v>
      </c>
      <c r="I2685" s="164" t="str">
        <f ca="1">IFERROR(__xludf.DUMMYFUNCTION("""COMPUTED_VALUE"""),"ARPO I")</f>
        <v>ARPO I</v>
      </c>
      <c r="J2685" s="164" t="str">
        <f ca="1">IFERROR(__xludf.DUMMYFUNCTION("""COMPUTED_VALUE"""),"PTR 2023-04-037")</f>
        <v>PTR 2023-04-037</v>
      </c>
      <c r="K2685" s="164" t="str">
        <f ca="1">IFERROR(__xludf.DUMMYFUNCTION("""COMPUTED_VALUE"""),"KARIZA LOUISE S. CELIS")</f>
        <v>KARIZA LOUISE S. CELIS</v>
      </c>
      <c r="L2685" s="164" t="str">
        <f ca="1">IFERROR(__xludf.DUMMYFUNCTION("""COMPUTED_VALUE"""),"PBDD")</f>
        <v>PBDD</v>
      </c>
      <c r="M2685" s="164" t="str">
        <f ca="1">IFERROR(__xludf.DUMMYFUNCTION("""COMPUTED_VALUE"""),"SERVICEABLE")</f>
        <v>SERVICEABLE</v>
      </c>
      <c r="N2685" s="164"/>
    </row>
    <row r="2686" spans="1:14" ht="13.2" hidden="1">
      <c r="A2686" s="164" t="str">
        <f ca="1">IFERROR(__xludf.DUMMYFUNCTION("""COMPUTED_VALUE"""),"NIR")</f>
        <v>NIR</v>
      </c>
      <c r="B2686" s="164" t="str">
        <f ca="1">IFERROR(__xludf.DUMMYFUNCTION("""COMPUTED_VALUE"""),"Negros Occidental II")</f>
        <v>Negros Occidental II</v>
      </c>
      <c r="C2686" s="164" t="str">
        <f ca="1">IFERROR(__xludf.DUMMYFUNCTION("""COMPUTED_VALUE"""),"Desktop Computer – (Lenovo M70T)")</f>
        <v>Desktop Computer – (Lenovo M70T)</v>
      </c>
      <c r="D2686" s="164" t="str">
        <f ca="1">IFERROR(__xludf.DUMMYFUNCTION("""COMPUTED_VALUE"""),"₱ 75,468.00")</f>
        <v>₱ 75,468.00</v>
      </c>
      <c r="E2686" s="164"/>
      <c r="F2686" s="164" t="str">
        <f ca="1">IFERROR(__xludf.DUMMYFUNCTION("""COMPUTED_VALUE"""),"2023-05-03-10201SP1242-01")</f>
        <v>2023-05-03-10201SP1242-01</v>
      </c>
      <c r="G2686" s="164" t="str">
        <f ca="1">IFERROR(__xludf.DUMMYFUNCTION("""COMPUTED_VALUE"""),"GM041B5S")</f>
        <v>GM041B5S</v>
      </c>
      <c r="H2686" s="164" t="str">
        <f ca="1">IFERROR(__xludf.DUMMYFUNCTION("""COMPUTED_VALUE"""),"ELNA MARI S. ABASOLA")</f>
        <v>ELNA MARI S. ABASOLA</v>
      </c>
      <c r="I2686" s="164" t="str">
        <f ca="1">IFERROR(__xludf.DUMMYFUNCTION("""COMPUTED_VALUE"""),"PERSONNEL OFFICER")</f>
        <v>PERSONNEL OFFICER</v>
      </c>
      <c r="J2686" s="164" t="str">
        <f ca="1">IFERROR(__xludf.DUMMYFUNCTION("""COMPUTED_VALUE"""),"PTR 2023-04-037")</f>
        <v>PTR 2023-04-037</v>
      </c>
      <c r="K2686" s="164" t="str">
        <f ca="1">IFERROR(__xludf.DUMMYFUNCTION("""COMPUTED_VALUE"""),"ELNA MARI S. ABASOLA")</f>
        <v>ELNA MARI S. ABASOLA</v>
      </c>
      <c r="L2686" s="164" t="str">
        <f ca="1">IFERROR(__xludf.DUMMYFUNCTION("""COMPUTED_VALUE"""),"STOD - PERSONNEL SECTION")</f>
        <v>STOD - PERSONNEL SECTION</v>
      </c>
      <c r="M2686" s="164" t="str">
        <f ca="1">IFERROR(__xludf.DUMMYFUNCTION("""COMPUTED_VALUE"""),"SERVICEABLE")</f>
        <v>SERVICEABLE</v>
      </c>
      <c r="N2686" s="164"/>
    </row>
    <row r="2687" spans="1:14" ht="13.2" hidden="1">
      <c r="A2687" s="164" t="str">
        <f ca="1">IFERROR(__xludf.DUMMYFUNCTION("""COMPUTED_VALUE"""),"NIR")</f>
        <v>NIR</v>
      </c>
      <c r="B2687" s="164" t="str">
        <f ca="1">IFERROR(__xludf.DUMMYFUNCTION("""COMPUTED_VALUE"""),"Negros Occidental II")</f>
        <v>Negros Occidental II</v>
      </c>
      <c r="C2687" s="164" t="str">
        <f ca="1">IFERROR(__xludf.DUMMYFUNCTION("""COMPUTED_VALUE"""),"Desktop Computer – (Lenovo M70T)")</f>
        <v>Desktop Computer – (Lenovo M70T)</v>
      </c>
      <c r="D2687" s="164" t="str">
        <f ca="1">IFERROR(__xludf.DUMMYFUNCTION("""COMPUTED_VALUE"""),"₱ 75,468.00")</f>
        <v>₱ 75,468.00</v>
      </c>
      <c r="E2687" s="164"/>
      <c r="F2687" s="164" t="str">
        <f ca="1">IFERROR(__xludf.DUMMYFUNCTION("""COMPUTED_VALUE"""),"2023-05-03-10201SP1233-01")</f>
        <v>2023-05-03-10201SP1233-01</v>
      </c>
      <c r="G2687" s="164" t="str">
        <f ca="1">IFERROR(__xludf.DUMMYFUNCTION("""COMPUTED_VALUE"""),"GM041B31")</f>
        <v>GM041B31</v>
      </c>
      <c r="H2687" s="164" t="str">
        <f ca="1">IFERROR(__xludf.DUMMYFUNCTION("""COMPUTED_VALUE"""),"MARY ANGELENE C. CARDAÑO")</f>
        <v>MARY ANGELENE C. CARDAÑO</v>
      </c>
      <c r="I2687" s="164" t="str">
        <f ca="1">IFERROR(__xludf.DUMMYFUNCTION("""COMPUTED_VALUE"""),"ARPO II / M&amp;E Coordinator SPLIT")</f>
        <v>ARPO II / M&amp;E Coordinator SPLIT</v>
      </c>
      <c r="J2687" s="164" t="str">
        <f ca="1">IFERROR(__xludf.DUMMYFUNCTION("""COMPUTED_VALUE"""),"PTR 2023-04-037")</f>
        <v>PTR 2023-04-037</v>
      </c>
      <c r="K2687" s="164" t="str">
        <f ca="1">IFERROR(__xludf.DUMMYFUNCTION("""COMPUTED_VALUE"""),"MARY ANGELENE C. CARDAÑO")</f>
        <v>MARY ANGELENE C. CARDAÑO</v>
      </c>
      <c r="L2687" s="164" t="str">
        <f ca="1">IFERROR(__xludf.DUMMYFUNCTION("""COMPUTED_VALUE"""),"STOD - PMEU")</f>
        <v>STOD - PMEU</v>
      </c>
      <c r="M2687" s="164" t="str">
        <f ca="1">IFERROR(__xludf.DUMMYFUNCTION("""COMPUTED_VALUE"""),"SERVICEABLE")</f>
        <v>SERVICEABLE</v>
      </c>
      <c r="N2687" s="164"/>
    </row>
    <row r="2688" spans="1:14" ht="13.2" hidden="1">
      <c r="A2688" s="164" t="str">
        <f ca="1">IFERROR(__xludf.DUMMYFUNCTION("""COMPUTED_VALUE"""),"NIR")</f>
        <v>NIR</v>
      </c>
      <c r="B2688" s="164" t="str">
        <f ca="1">IFERROR(__xludf.DUMMYFUNCTION("""COMPUTED_VALUE"""),"Negros Occidental II")</f>
        <v>Negros Occidental II</v>
      </c>
      <c r="C2688" s="164" t="str">
        <f ca="1">IFERROR(__xludf.DUMMYFUNCTION("""COMPUTED_VALUE"""),"Desktop Computer – (Lenovo M70T)")</f>
        <v>Desktop Computer – (Lenovo M70T)</v>
      </c>
      <c r="D2688" s="164" t="str">
        <f ca="1">IFERROR(__xludf.DUMMYFUNCTION("""COMPUTED_VALUE"""),"₱ 75,468.00")</f>
        <v>₱ 75,468.00</v>
      </c>
      <c r="E2688" s="164"/>
      <c r="F2688" s="164" t="str">
        <f ca="1">IFERROR(__xludf.DUMMYFUNCTION("""COMPUTED_VALUE"""),"2023-05-03-10201SP1244-01")</f>
        <v>2023-05-03-10201SP1244-01</v>
      </c>
      <c r="G2688" s="164" t="str">
        <f ca="1">IFERROR(__xludf.DUMMYFUNCTION("""COMPUTED_VALUE"""),"GM041AZL")</f>
        <v>GM041AZL</v>
      </c>
      <c r="H2688" s="164" t="str">
        <f ca="1">IFERROR(__xludf.DUMMYFUNCTION("""COMPUTED_VALUE"""),"VICENTE P. YU III")</f>
        <v>VICENTE P. YU III</v>
      </c>
      <c r="I2688" s="164" t="str">
        <f ca="1">IFERROR(__xludf.DUMMYFUNCTION("""COMPUTED_VALUE"""),"ACTG. SUPPLY OFFICER")</f>
        <v>ACTG. SUPPLY OFFICER</v>
      </c>
      <c r="J2688" s="164" t="str">
        <f ca="1">IFERROR(__xludf.DUMMYFUNCTION("""COMPUTED_VALUE"""),"PTR 2023-04-037")</f>
        <v>PTR 2023-04-037</v>
      </c>
      <c r="K2688" s="164" t="str">
        <f ca="1">IFERROR(__xludf.DUMMYFUNCTION("""COMPUTED_VALUE"""),"VICENTE P. YU III")</f>
        <v>VICENTE P. YU III</v>
      </c>
      <c r="L2688" s="164" t="str">
        <f ca="1">IFERROR(__xludf.DUMMYFUNCTION("""COMPUTED_VALUE"""),"STOD - GENERAL SERVICES SECTION")</f>
        <v>STOD - GENERAL SERVICES SECTION</v>
      </c>
      <c r="M2688" s="164" t="str">
        <f ca="1">IFERROR(__xludf.DUMMYFUNCTION("""COMPUTED_VALUE"""),"SERVICEABLE")</f>
        <v>SERVICEABLE</v>
      </c>
      <c r="N2688" s="164"/>
    </row>
    <row r="2689" spans="1:14" ht="13.2" hidden="1">
      <c r="A2689" s="164" t="str">
        <f ca="1">IFERROR(__xludf.DUMMYFUNCTION("""COMPUTED_VALUE"""),"NIR")</f>
        <v>NIR</v>
      </c>
      <c r="B2689" s="164" t="str">
        <f ca="1">IFERROR(__xludf.DUMMYFUNCTION("""COMPUTED_VALUE"""),"Negros Occidental II")</f>
        <v>Negros Occidental II</v>
      </c>
      <c r="C2689" s="164" t="str">
        <f ca="1">IFERROR(__xludf.DUMMYFUNCTION("""COMPUTED_VALUE"""),"Desktop Computer – (Lenovo M70T)")</f>
        <v>Desktop Computer – (Lenovo M70T)</v>
      </c>
      <c r="D2689" s="164" t="str">
        <f ca="1">IFERROR(__xludf.DUMMYFUNCTION("""COMPUTED_VALUE"""),"₱ 75,468.00")</f>
        <v>₱ 75,468.00</v>
      </c>
      <c r="E2689" s="164"/>
      <c r="F2689" s="164" t="str">
        <f ca="1">IFERROR(__xludf.DUMMYFUNCTION("""COMPUTED_VALUE"""),"2023-05-03-10201SP1237-01")</f>
        <v>2023-05-03-10201SP1237-01</v>
      </c>
      <c r="G2689" s="164" t="str">
        <f ca="1">IFERROR(__xludf.DUMMYFUNCTION("""COMPUTED_VALUE"""),"GM041B62")</f>
        <v>GM041B62</v>
      </c>
      <c r="H2689" s="164" t="str">
        <f ca="1">IFERROR(__xludf.DUMMYFUNCTION("""COMPUTED_VALUE"""),"NEIL R. NACION")</f>
        <v>NEIL R. NACION</v>
      </c>
      <c r="I2689" s="164" t="str">
        <f ca="1">IFERROR(__xludf.DUMMYFUNCTION("""COMPUTED_VALUE"""),"ENGINEER 2 / SPLIT ESS DOCUMENTATION")</f>
        <v>ENGINEER 2 / SPLIT ESS DOCUMENTATION</v>
      </c>
      <c r="J2689" s="164" t="str">
        <f ca="1">IFERROR(__xludf.DUMMYFUNCTION("""COMPUTED_VALUE"""),"PTR 2023-04-037")</f>
        <v>PTR 2023-04-037</v>
      </c>
      <c r="K2689" s="164" t="str">
        <f ca="1">IFERROR(__xludf.DUMMYFUNCTION("""COMPUTED_VALUE"""),"NEIL R. NACION")</f>
        <v>NEIL R. NACION</v>
      </c>
      <c r="L2689" s="164" t="str">
        <f ca="1">IFERROR(__xludf.DUMMYFUNCTION("""COMPUTED_VALUE"""),"SPLIT PROJECT")</f>
        <v>SPLIT PROJECT</v>
      </c>
      <c r="M2689" s="164" t="str">
        <f ca="1">IFERROR(__xludf.DUMMYFUNCTION("""COMPUTED_VALUE"""),"SERVICEABLE")</f>
        <v>SERVICEABLE</v>
      </c>
      <c r="N2689" s="164"/>
    </row>
    <row r="2690" spans="1:14" ht="13.2" hidden="1">
      <c r="A2690" s="164" t="str">
        <f ca="1">IFERROR(__xludf.DUMMYFUNCTION("""COMPUTED_VALUE"""),"NIR")</f>
        <v>NIR</v>
      </c>
      <c r="B2690" s="164" t="str">
        <f ca="1">IFERROR(__xludf.DUMMYFUNCTION("""COMPUTED_VALUE"""),"Negros Occidental II")</f>
        <v>Negros Occidental II</v>
      </c>
      <c r="C2690" s="164" t="str">
        <f ca="1">IFERROR(__xludf.DUMMYFUNCTION("""COMPUTED_VALUE"""),"Desktop Computer – (Lenovo M70T)")</f>
        <v>Desktop Computer – (Lenovo M70T)</v>
      </c>
      <c r="D2690" s="164" t="str">
        <f ca="1">IFERROR(__xludf.DUMMYFUNCTION("""COMPUTED_VALUE"""),"₱ 75,468.00")</f>
        <v>₱ 75,468.00</v>
      </c>
      <c r="E2690" s="164"/>
      <c r="F2690" s="164" t="str">
        <f ca="1">IFERROR(__xludf.DUMMYFUNCTION("""COMPUTED_VALUE"""),"2023-05-03-10201SP1238-01")</f>
        <v>2023-05-03-10201SP1238-01</v>
      </c>
      <c r="G2690" s="164" t="str">
        <f ca="1">IFERROR(__xludf.DUMMYFUNCTION("""COMPUTED_VALUE"""),"GM041AYY")</f>
        <v>GM041AYY</v>
      </c>
      <c r="H2690" s="164" t="str">
        <f ca="1">IFERROR(__xludf.DUMMYFUNCTION("""COMPUTED_VALUE"""),"MERIE KRIS A. CAPISTRANO")</f>
        <v>MERIE KRIS A. CAPISTRANO</v>
      </c>
      <c r="I2690" s="164" t="str">
        <f ca="1">IFERROR(__xludf.DUMMYFUNCTION("""COMPUTED_VALUE"""),"ARPT")</f>
        <v>ARPT</v>
      </c>
      <c r="J2690" s="164" t="str">
        <f ca="1">IFERROR(__xludf.DUMMYFUNCTION("""COMPUTED_VALUE"""),"PTR 2023-04-037")</f>
        <v>PTR 2023-04-037</v>
      </c>
      <c r="K2690" s="164" t="str">
        <f ca="1">IFERROR(__xludf.DUMMYFUNCTION("""COMPUTED_VALUE"""),"ROMA GRACE B. NUFABLE")</f>
        <v>ROMA GRACE B. NUFABLE</v>
      </c>
      <c r="L2690" s="164" t="str">
        <f ca="1">IFERROR(__xludf.DUMMYFUNCTION("""COMPUTED_VALUE"""),"SPLIT PROJECT")</f>
        <v>SPLIT PROJECT</v>
      </c>
      <c r="M2690" s="164" t="str">
        <f ca="1">IFERROR(__xludf.DUMMYFUNCTION("""COMPUTED_VALUE"""),"SERVICEABLE")</f>
        <v>SERVICEABLE</v>
      </c>
      <c r="N2690" s="164"/>
    </row>
    <row r="2691" spans="1:14" ht="13.2" hidden="1">
      <c r="A2691" s="164" t="str">
        <f ca="1">IFERROR(__xludf.DUMMYFUNCTION("""COMPUTED_VALUE"""),"NIR")</f>
        <v>NIR</v>
      </c>
      <c r="B2691" s="164" t="str">
        <f ca="1">IFERROR(__xludf.DUMMYFUNCTION("""COMPUTED_VALUE"""),"Negros Occidental II")</f>
        <v>Negros Occidental II</v>
      </c>
      <c r="C2691" s="164" t="str">
        <f ca="1">IFERROR(__xludf.DUMMYFUNCTION("""COMPUTED_VALUE"""),"Desktop Computer – (Lenovo M70T)")</f>
        <v>Desktop Computer – (Lenovo M70T)</v>
      </c>
      <c r="D2691" s="164" t="str">
        <f ca="1">IFERROR(__xludf.DUMMYFUNCTION("""COMPUTED_VALUE"""),"₱ 75,468.00")</f>
        <v>₱ 75,468.00</v>
      </c>
      <c r="E2691" s="164"/>
      <c r="F2691" s="164" t="str">
        <f ca="1">IFERROR(__xludf.DUMMYFUNCTION("""COMPUTED_VALUE"""),"2023-05-03-10201SP1235-01")</f>
        <v>2023-05-03-10201SP1235-01</v>
      </c>
      <c r="G2691" s="164" t="str">
        <f ca="1">IFERROR(__xludf.DUMMYFUNCTION("""COMPUTED_VALUE"""),"GM041B4W")</f>
        <v>GM041B4W</v>
      </c>
      <c r="H2691" s="164" t="str">
        <f ca="1">IFERROR(__xludf.DUMMYFUNCTION("""COMPUTED_VALUE"""),"BEVERLY S. PERIO")</f>
        <v>BEVERLY S. PERIO</v>
      </c>
      <c r="I2691" s="164" t="str">
        <f ca="1">IFERROR(__xludf.DUMMYFUNCTION("""COMPUTED_VALUE"""),"ARPT")</f>
        <v>ARPT</v>
      </c>
      <c r="J2691" s="164" t="str">
        <f ca="1">IFERROR(__xludf.DUMMYFUNCTION("""COMPUTED_VALUE"""),"PTR 2023-04-037")</f>
        <v>PTR 2023-04-037</v>
      </c>
      <c r="K2691" s="164" t="str">
        <f ca="1">IFERROR(__xludf.DUMMYFUNCTION("""COMPUTED_VALUE"""),"BEVERLY S. PERIO")</f>
        <v>BEVERLY S. PERIO</v>
      </c>
      <c r="L2691" s="164" t="str">
        <f ca="1">IFERROR(__xludf.DUMMYFUNCTION("""COMPUTED_VALUE"""),"SPLIT PROJECT")</f>
        <v>SPLIT PROJECT</v>
      </c>
      <c r="M2691" s="164" t="str">
        <f ca="1">IFERROR(__xludf.DUMMYFUNCTION("""COMPUTED_VALUE"""),"SERVICEABLE")</f>
        <v>SERVICEABLE</v>
      </c>
      <c r="N2691" s="164"/>
    </row>
    <row r="2692" spans="1:14" ht="13.2" hidden="1">
      <c r="A2692" s="164" t="str">
        <f ca="1">IFERROR(__xludf.DUMMYFUNCTION("""COMPUTED_VALUE"""),"NIR")</f>
        <v>NIR</v>
      </c>
      <c r="B2692" s="164" t="str">
        <f ca="1">IFERROR(__xludf.DUMMYFUNCTION("""COMPUTED_VALUE"""),"Negros Occidental II")</f>
        <v>Negros Occidental II</v>
      </c>
      <c r="C2692" s="164" t="str">
        <f ca="1">IFERROR(__xludf.DUMMYFUNCTION("""COMPUTED_VALUE"""),"Desktop Computer – (Lenovo M70T)")</f>
        <v>Desktop Computer – (Lenovo M70T)</v>
      </c>
      <c r="D2692" s="164" t="str">
        <f ca="1">IFERROR(__xludf.DUMMYFUNCTION("""COMPUTED_VALUE"""),"₱ 75,468.00")</f>
        <v>₱ 75,468.00</v>
      </c>
      <c r="E2692" s="164"/>
      <c r="F2692" s="164" t="str">
        <f ca="1">IFERROR(__xludf.DUMMYFUNCTION("""COMPUTED_VALUE"""),"2023-05-03-10201S01136-01")</f>
        <v>2023-05-03-10201S01136-01</v>
      </c>
      <c r="G2692" s="164" t="str">
        <f ca="1">IFERROR(__xludf.DUMMYFUNCTION("""COMPUTED_VALUE"""),"GM041B15")</f>
        <v>GM041B15</v>
      </c>
      <c r="H2692" s="164" t="str">
        <f ca="1">IFERROR(__xludf.DUMMYFUNCTION("""COMPUTED_VALUE"""),"NENA G. PARREÑO")</f>
        <v>NENA G. PARREÑO</v>
      </c>
      <c r="I2692" s="164" t="str">
        <f ca="1">IFERROR(__xludf.DUMMYFUNCTION("""COMPUTED_VALUE"""),"SPLIT COORDINATOR")</f>
        <v>SPLIT COORDINATOR</v>
      </c>
      <c r="J2692" s="164" t="str">
        <f ca="1">IFERROR(__xludf.DUMMYFUNCTION("""COMPUTED_VALUE"""),"PTR 2023-04-037")</f>
        <v>PTR 2023-04-037</v>
      </c>
      <c r="K2692" s="164" t="str">
        <f ca="1">IFERROR(__xludf.DUMMYFUNCTION("""COMPUTED_VALUE"""),"NENA G. PARREÑO")</f>
        <v>NENA G. PARREÑO</v>
      </c>
      <c r="L2692" s="164" t="str">
        <f ca="1">IFERROR(__xludf.DUMMYFUNCTION("""COMPUTED_VALUE"""),"SPLIT PROJECT")</f>
        <v>SPLIT PROJECT</v>
      </c>
      <c r="M2692" s="164" t="str">
        <f ca="1">IFERROR(__xludf.DUMMYFUNCTION("""COMPUTED_VALUE"""),"SERVICEABLE")</f>
        <v>SERVICEABLE</v>
      </c>
      <c r="N2692" s="164"/>
    </row>
    <row r="2693" spans="1:14" ht="13.2" hidden="1">
      <c r="A2693" s="164" t="str">
        <f ca="1">IFERROR(__xludf.DUMMYFUNCTION("""COMPUTED_VALUE"""),"NIR")</f>
        <v>NIR</v>
      </c>
      <c r="B2693" s="164" t="str">
        <f ca="1">IFERROR(__xludf.DUMMYFUNCTION("""COMPUTED_VALUE"""),"Negros Occidental II")</f>
        <v>Negros Occidental II</v>
      </c>
      <c r="C2693" s="164" t="str">
        <f ca="1">IFERROR(__xludf.DUMMYFUNCTION("""COMPUTED_VALUE"""),"Desktop Computer – (Lenovo M70T)")</f>
        <v>Desktop Computer – (Lenovo M70T)</v>
      </c>
      <c r="D2693" s="164" t="str">
        <f ca="1">IFERROR(__xludf.DUMMYFUNCTION("""COMPUTED_VALUE"""),"₱ 75,468.00")</f>
        <v>₱ 75,468.00</v>
      </c>
      <c r="E2693" s="164"/>
      <c r="F2693" s="164" t="str">
        <f ca="1">IFERROR(__xludf.DUMMYFUNCTION("""COMPUTED_VALUE"""),"2023-05-03-10201SP1248-01")</f>
        <v>2023-05-03-10201SP1248-01</v>
      </c>
      <c r="G2693" s="164" t="str">
        <f ca="1">IFERROR(__xludf.DUMMYFUNCTION("""COMPUTED_VALUE"""),"GM041AZ1")</f>
        <v>GM041AZ1</v>
      </c>
      <c r="H2693" s="164" t="str">
        <f ca="1">IFERROR(__xludf.DUMMYFUNCTION("""COMPUTED_VALUE"""),"STELLA MARIE V. DEFENSOR")</f>
        <v>STELLA MARIE V. DEFENSOR</v>
      </c>
      <c r="I2693" s="164" t="str">
        <f ca="1">IFERROR(__xludf.DUMMYFUNCTION("""COMPUTED_VALUE"""),"ARPT")</f>
        <v>ARPT</v>
      </c>
      <c r="J2693" s="164" t="str">
        <f ca="1">IFERROR(__xludf.DUMMYFUNCTION("""COMPUTED_VALUE"""),"PTR 2023-04-037")</f>
        <v>PTR 2023-04-037</v>
      </c>
      <c r="K2693" s="164" t="str">
        <f ca="1">IFERROR(__xludf.DUMMYFUNCTION("""COMPUTED_VALUE"""),"STELLA MARIE V. DEFENSOR")</f>
        <v>STELLA MARIE V. DEFENSOR</v>
      </c>
      <c r="L2693" s="164" t="str">
        <f ca="1">IFERROR(__xludf.DUMMYFUNCTION("""COMPUTED_VALUE"""),"SPLIT PROJECT")</f>
        <v>SPLIT PROJECT</v>
      </c>
      <c r="M2693" s="164" t="str">
        <f ca="1">IFERROR(__xludf.DUMMYFUNCTION("""COMPUTED_VALUE"""),"SERVICEABLE")</f>
        <v>SERVICEABLE</v>
      </c>
      <c r="N2693" s="164"/>
    </row>
    <row r="2694" spans="1:14" ht="13.2" hidden="1">
      <c r="A2694" s="164" t="str">
        <f ca="1">IFERROR(__xludf.DUMMYFUNCTION("""COMPUTED_VALUE"""),"NIR")</f>
        <v>NIR</v>
      </c>
      <c r="B2694" s="164" t="str">
        <f ca="1">IFERROR(__xludf.DUMMYFUNCTION("""COMPUTED_VALUE"""),"Negros Occidental II")</f>
        <v>Negros Occidental II</v>
      </c>
      <c r="C2694" s="164" t="str">
        <f ca="1">IFERROR(__xludf.DUMMYFUNCTION("""COMPUTED_VALUE"""),"Desktop Computer – (Lenovo M70T)")</f>
        <v>Desktop Computer – (Lenovo M70T)</v>
      </c>
      <c r="D2694" s="164" t="str">
        <f ca="1">IFERROR(__xludf.DUMMYFUNCTION("""COMPUTED_VALUE"""),"₱ 75,468.00")</f>
        <v>₱ 75,468.00</v>
      </c>
      <c r="E2694" s="164"/>
      <c r="F2694" s="164" t="str">
        <f ca="1">IFERROR(__xludf.DUMMYFUNCTION("""COMPUTED_VALUE"""),"2023-05-03-10201SP1247-01")</f>
        <v>2023-05-03-10201SP1247-01</v>
      </c>
      <c r="G2694" s="164" t="str">
        <f ca="1">IFERROR(__xludf.DUMMYFUNCTION("""COMPUTED_VALUE"""),"GM041B3S")</f>
        <v>GM041B3S</v>
      </c>
      <c r="H2694" s="164" t="str">
        <f ca="1">IFERROR(__xludf.DUMMYFUNCTION("""COMPUTED_VALUE"""),"NEIL R. NACION")</f>
        <v>NEIL R. NACION</v>
      </c>
      <c r="I2694" s="164" t="str">
        <f ca="1">IFERROR(__xludf.DUMMYFUNCTION("""COMPUTED_VALUE"""),"ENGINEER 2 / SPLIT ESS DOCUMENTATION")</f>
        <v>ENGINEER 2 / SPLIT ESS DOCUMENTATION</v>
      </c>
      <c r="J2694" s="164" t="str">
        <f ca="1">IFERROR(__xludf.DUMMYFUNCTION("""COMPUTED_VALUE"""),"PTR 2023-04-037")</f>
        <v>PTR 2023-04-037</v>
      </c>
      <c r="K2694" s="164" t="str">
        <f ca="1">IFERROR(__xludf.DUMMYFUNCTION("""COMPUTED_VALUE"""),"NEIL R. NACION")</f>
        <v>NEIL R. NACION</v>
      </c>
      <c r="L2694" s="164" t="str">
        <f ca="1">IFERROR(__xludf.DUMMYFUNCTION("""COMPUTED_VALUE"""),"SPLIT PROJECT")</f>
        <v>SPLIT PROJECT</v>
      </c>
      <c r="M2694" s="164" t="str">
        <f ca="1">IFERROR(__xludf.DUMMYFUNCTION("""COMPUTED_VALUE"""),"SERVICEABLE")</f>
        <v>SERVICEABLE</v>
      </c>
      <c r="N2694" s="164"/>
    </row>
    <row r="2695" spans="1:14" ht="13.2" hidden="1">
      <c r="A2695" s="164" t="str">
        <f ca="1">IFERROR(__xludf.DUMMYFUNCTION("""COMPUTED_VALUE"""),"NIR")</f>
        <v>NIR</v>
      </c>
      <c r="B2695" s="164" t="str">
        <f ca="1">IFERROR(__xludf.DUMMYFUNCTION("""COMPUTED_VALUE"""),"Negros Occidental II")</f>
        <v>Negros Occidental II</v>
      </c>
      <c r="C2695" s="164" t="str">
        <f ca="1">IFERROR(__xludf.DUMMYFUNCTION("""COMPUTED_VALUE"""),"Desktop Computer – (Lenovo M70T)")</f>
        <v>Desktop Computer – (Lenovo M70T)</v>
      </c>
      <c r="D2695" s="164" t="str">
        <f ca="1">IFERROR(__xludf.DUMMYFUNCTION("""COMPUTED_VALUE"""),"₱ 75,468.00")</f>
        <v>₱ 75,468.00</v>
      </c>
      <c r="E2695" s="164"/>
      <c r="F2695" s="164" t="str">
        <f ca="1">IFERROR(__xludf.DUMMYFUNCTION("""COMPUTED_VALUE"""),"2023-05-03-10201SP1246-01")</f>
        <v>2023-05-03-10201SP1246-01</v>
      </c>
      <c r="G2695" s="164" t="str">
        <f ca="1">IFERROR(__xludf.DUMMYFUNCTION("""COMPUTED_VALUE"""),"GM041B0E")</f>
        <v>GM041B0E</v>
      </c>
      <c r="H2695" s="164" t="str">
        <f ca="1">IFERROR(__xludf.DUMMYFUNCTION("""COMPUTED_VALUE"""),"MARY ANGELENE C. CARDAÑO")</f>
        <v>MARY ANGELENE C. CARDAÑO</v>
      </c>
      <c r="I2695" s="164" t="str">
        <f ca="1">IFERROR(__xludf.DUMMYFUNCTION("""COMPUTED_VALUE"""),"ARPO II / M&amp;E Coordinator SPLIT")</f>
        <v>ARPO II / M&amp;E Coordinator SPLIT</v>
      </c>
      <c r="J2695" s="164" t="str">
        <f ca="1">IFERROR(__xludf.DUMMYFUNCTION("""COMPUTED_VALUE"""),"PTR 2023-04-037")</f>
        <v>PTR 2023-04-037</v>
      </c>
      <c r="K2695" s="164" t="str">
        <f ca="1">IFERROR(__xludf.DUMMYFUNCTION("""COMPUTED_VALUE"""),"RAYCHELLEN NICOLE R. PENDON")</f>
        <v>RAYCHELLEN NICOLE R. PENDON</v>
      </c>
      <c r="L2695" s="164" t="str">
        <f ca="1">IFERROR(__xludf.DUMMYFUNCTION("""COMPUTED_VALUE"""),"SPLIT PROJECT")</f>
        <v>SPLIT PROJECT</v>
      </c>
      <c r="M2695" s="164" t="str">
        <f ca="1">IFERROR(__xludf.DUMMYFUNCTION("""COMPUTED_VALUE"""),"SERVICEABLE")</f>
        <v>SERVICEABLE</v>
      </c>
      <c r="N2695" s="164"/>
    </row>
    <row r="2696" spans="1:14" ht="13.2" hidden="1">
      <c r="A2696" s="164" t="str">
        <f ca="1">IFERROR(__xludf.DUMMYFUNCTION("""COMPUTED_VALUE"""),"NIR")</f>
        <v>NIR</v>
      </c>
      <c r="B2696" s="164" t="str">
        <f ca="1">IFERROR(__xludf.DUMMYFUNCTION("""COMPUTED_VALUE"""),"Negros Occidental II")</f>
        <v>Negros Occidental II</v>
      </c>
      <c r="C2696" s="164" t="str">
        <f ca="1">IFERROR(__xludf.DUMMYFUNCTION("""COMPUTED_VALUE"""),"Desktop Computer – (Lenovo M70T)")</f>
        <v>Desktop Computer – (Lenovo M70T)</v>
      </c>
      <c r="D2696" s="164" t="str">
        <f ca="1">IFERROR(__xludf.DUMMYFUNCTION("""COMPUTED_VALUE"""),"₱ 75,468.00")</f>
        <v>₱ 75,468.00</v>
      </c>
      <c r="E2696" s="164"/>
      <c r="F2696" s="164" t="str">
        <f ca="1">IFERROR(__xludf.DUMMYFUNCTION("""COMPUTED_VALUE"""),"2023-05-03-10201SP1234-01")</f>
        <v>2023-05-03-10201SP1234-01</v>
      </c>
      <c r="G2696" s="164" t="str">
        <f ca="1">IFERROR(__xludf.DUMMYFUNCTION("""COMPUTED_VALUE"""),"GM041AQC")</f>
        <v>GM041AQC</v>
      </c>
      <c r="H2696" s="164" t="str">
        <f ca="1">IFERROR(__xludf.DUMMYFUNCTION("""COMPUTED_VALUE"""),"MAYFLOR S. CERBO")</f>
        <v>MAYFLOR S. CERBO</v>
      </c>
      <c r="I2696" s="164" t="str">
        <f ca="1">IFERROR(__xludf.DUMMYFUNCTION("""COMPUTED_VALUE"""),"BUDGET OFFICER")</f>
        <v>BUDGET OFFICER</v>
      </c>
      <c r="J2696" s="164" t="str">
        <f ca="1">IFERROR(__xludf.DUMMYFUNCTION("""COMPUTED_VALUE"""),"PTR 2023-04-037")</f>
        <v>PTR 2023-04-037</v>
      </c>
      <c r="K2696" s="164" t="str">
        <f ca="1">IFERROR(__xludf.DUMMYFUNCTION("""COMPUTED_VALUE"""),"MAYFLOR S. CERBO")</f>
        <v>MAYFLOR S. CERBO</v>
      </c>
      <c r="L2696" s="164" t="str">
        <f ca="1">IFERROR(__xludf.DUMMYFUNCTION("""COMPUTED_VALUE"""),"STOD - BUDGET SECTION")</f>
        <v>STOD - BUDGET SECTION</v>
      </c>
      <c r="M2696" s="164" t="str">
        <f ca="1">IFERROR(__xludf.DUMMYFUNCTION("""COMPUTED_VALUE"""),"SERVICEABLE")</f>
        <v>SERVICEABLE</v>
      </c>
      <c r="N2696" s="164"/>
    </row>
    <row r="2697" spans="1:14" ht="13.2" hidden="1">
      <c r="A2697" s="164" t="str">
        <f ca="1">IFERROR(__xludf.DUMMYFUNCTION("""COMPUTED_VALUE"""),"NIR")</f>
        <v>NIR</v>
      </c>
      <c r="B2697" s="164" t="str">
        <f ca="1">IFERROR(__xludf.DUMMYFUNCTION("""COMPUTED_VALUE"""),"Negros Occidental II")</f>
        <v>Negros Occidental II</v>
      </c>
      <c r="C2697" s="164" t="str">
        <f ca="1">IFERROR(__xludf.DUMMYFUNCTION("""COMPUTED_VALUE"""),"Desktop Computer – (Lenovo M70T)")</f>
        <v>Desktop Computer – (Lenovo M70T)</v>
      </c>
      <c r="D2697" s="164" t="str">
        <f ca="1">IFERROR(__xludf.DUMMYFUNCTION("""COMPUTED_VALUE"""),"₱ 75,468.00")</f>
        <v>₱ 75,468.00</v>
      </c>
      <c r="E2697" s="164"/>
      <c r="F2697" s="164" t="str">
        <f ca="1">IFERROR(__xludf.DUMMYFUNCTION("""COMPUTED_VALUE"""),"2023-05-03-10201SP1239-01")</f>
        <v>2023-05-03-10201SP1239-01</v>
      </c>
      <c r="G2697" s="164" t="str">
        <f ca="1">IFERROR(__xludf.DUMMYFUNCTION("""COMPUTED_VALUE"""),"GM041AZD")</f>
        <v>GM041AZD</v>
      </c>
      <c r="H2697" s="164" t="str">
        <f ca="1">IFERROR(__xludf.DUMMYFUNCTION("""COMPUTED_VALUE"""),"MA. CORAZON G. ORO")</f>
        <v>MA. CORAZON G. ORO</v>
      </c>
      <c r="I2697" s="164" t="str">
        <f ca="1">IFERROR(__xludf.DUMMYFUNCTION("""COMPUTED_VALUE"""),"ACCOUNTANT II")</f>
        <v>ACCOUNTANT II</v>
      </c>
      <c r="J2697" s="164" t="str">
        <f ca="1">IFERROR(__xludf.DUMMYFUNCTION("""COMPUTED_VALUE"""),"PTR 2023-04-037")</f>
        <v>PTR 2023-04-037</v>
      </c>
      <c r="K2697" s="164" t="str">
        <f ca="1">IFERROR(__xludf.DUMMYFUNCTION("""COMPUTED_VALUE"""),"MA. CORAZON G. ORO")</f>
        <v>MA. CORAZON G. ORO</v>
      </c>
      <c r="L2697" s="164" t="str">
        <f ca="1">IFERROR(__xludf.DUMMYFUNCTION("""COMPUTED_VALUE"""),"STOD - ACCOUNTING SECTION")</f>
        <v>STOD - ACCOUNTING SECTION</v>
      </c>
      <c r="M2697" s="164" t="str">
        <f ca="1">IFERROR(__xludf.DUMMYFUNCTION("""COMPUTED_VALUE"""),"SERVICEABLE")</f>
        <v>SERVICEABLE</v>
      </c>
      <c r="N2697" s="164"/>
    </row>
    <row r="2698" spans="1:14" ht="13.2" hidden="1">
      <c r="A2698" s="164" t="str">
        <f ca="1">IFERROR(__xludf.DUMMYFUNCTION("""COMPUTED_VALUE"""),"NIR")</f>
        <v>NIR</v>
      </c>
      <c r="B2698" s="164" t="str">
        <f ca="1">IFERROR(__xludf.DUMMYFUNCTION("""COMPUTED_VALUE"""),"Negros Occidental II")</f>
        <v>Negros Occidental II</v>
      </c>
      <c r="C2698" s="164" t="str">
        <f ca="1">IFERROR(__xludf.DUMMYFUNCTION("""COMPUTED_VALUE"""),"Desktop Computer – (Lenovo M70T)")</f>
        <v>Desktop Computer – (Lenovo M70T)</v>
      </c>
      <c r="D2698" s="164" t="str">
        <f ca="1">IFERROR(__xludf.DUMMYFUNCTION("""COMPUTED_VALUE"""),"₱ 75,468.00")</f>
        <v>₱ 75,468.00</v>
      </c>
      <c r="E2698" s="164"/>
      <c r="F2698" s="164" t="str">
        <f ca="1">IFERROR(__xludf.DUMMYFUNCTION("""COMPUTED_VALUE"""),"2023-05-03-10201SP1240-01")</f>
        <v>2023-05-03-10201SP1240-01</v>
      </c>
      <c r="G2698" s="164" t="str">
        <f ca="1">IFERROR(__xludf.DUMMYFUNCTION("""COMPUTED_VALUE"""),"GM041AYZ")</f>
        <v>GM041AYZ</v>
      </c>
      <c r="H2698" s="164" t="str">
        <f ca="1">IFERROR(__xludf.DUMMYFUNCTION("""COMPUTED_VALUE"""),"FLORENCIO B. GARCIA")</f>
        <v>FLORENCIO B. GARCIA</v>
      </c>
      <c r="I2698" s="164" t="str">
        <f ca="1">IFERROR(__xludf.DUMMYFUNCTION("""COMPUTED_VALUE"""),"ARPO II")</f>
        <v>ARPO II</v>
      </c>
      <c r="J2698" s="164" t="str">
        <f ca="1">IFERROR(__xludf.DUMMYFUNCTION("""COMPUTED_VALUE"""),"PTR 2023-04-037")</f>
        <v>PTR 2023-04-037</v>
      </c>
      <c r="K2698" s="164" t="str">
        <f ca="1">IFERROR(__xludf.DUMMYFUNCTION("""COMPUTED_VALUE"""),"FLORENCIO B. GARCIA")</f>
        <v>FLORENCIO B. GARCIA</v>
      </c>
      <c r="L2698" s="164" t="str">
        <f ca="1">IFERROR(__xludf.DUMMYFUNCTION("""COMPUTED_VALUE"""),"LEGAL DIVISION")</f>
        <v>LEGAL DIVISION</v>
      </c>
      <c r="M2698" s="164" t="str">
        <f ca="1">IFERROR(__xludf.DUMMYFUNCTION("""COMPUTED_VALUE"""),"SERVICEABLE")</f>
        <v>SERVICEABLE</v>
      </c>
      <c r="N2698" s="164"/>
    </row>
    <row r="2699" spans="1:14" ht="13.2" hidden="1">
      <c r="A2699" s="164" t="str">
        <f ca="1">IFERROR(__xludf.DUMMYFUNCTION("""COMPUTED_VALUE"""),"NIR")</f>
        <v>NIR</v>
      </c>
      <c r="B2699" s="164" t="str">
        <f ca="1">IFERROR(__xludf.DUMMYFUNCTION("""COMPUTED_VALUE"""),"Negros Occidental II")</f>
        <v>Negros Occidental II</v>
      </c>
      <c r="C2699" s="164" t="str">
        <f ca="1">IFERROR(__xludf.DUMMYFUNCTION("""COMPUTED_VALUE"""),"Desktop Computer – (Lenovo M70T)")</f>
        <v>Desktop Computer – (Lenovo M70T)</v>
      </c>
      <c r="D2699" s="164" t="str">
        <f ca="1">IFERROR(__xludf.DUMMYFUNCTION("""COMPUTED_VALUE"""),"₱ 75,468.00")</f>
        <v>₱ 75,468.00</v>
      </c>
      <c r="E2699" s="164"/>
      <c r="F2699" s="164" t="str">
        <f ca="1">IFERROR(__xludf.DUMMYFUNCTION("""COMPUTED_VALUE"""),"2023-05-03-10201SP1241-01")</f>
        <v>2023-05-03-10201SP1241-01</v>
      </c>
      <c r="G2699" s="164" t="str">
        <f ca="1">IFERROR(__xludf.DUMMYFUNCTION("""COMPUTED_VALUE"""),"GM041B46")</f>
        <v>GM041B46</v>
      </c>
      <c r="H2699" s="164" t="str">
        <f ca="1">IFERROR(__xludf.DUMMYFUNCTION("""COMPUTED_VALUE"""),"PRECIOUS DAWN F. RODRIGUEZ")</f>
        <v>PRECIOUS DAWN F. RODRIGUEZ</v>
      </c>
      <c r="I2699" s="164" t="str">
        <f ca="1">IFERROR(__xludf.DUMMYFUNCTION("""COMPUTED_VALUE"""),"SARPT")</f>
        <v>SARPT</v>
      </c>
      <c r="J2699" s="164" t="str">
        <f ca="1">IFERROR(__xludf.DUMMYFUNCTION("""COMPUTED_VALUE"""),"PTR 2023-04-037")</f>
        <v>PTR 2023-04-037</v>
      </c>
      <c r="K2699" s="164" t="str">
        <f ca="1">IFERROR(__xludf.DUMMYFUNCTION("""COMPUTED_VALUE"""),"ALYANA SALVE E. SANTILLAN")</f>
        <v>ALYANA SALVE E. SANTILLAN</v>
      </c>
      <c r="L2699" s="164" t="str">
        <f ca="1">IFERROR(__xludf.DUMMYFUNCTION("""COMPUTED_VALUE"""),"SPLIT PROJECT")</f>
        <v>SPLIT PROJECT</v>
      </c>
      <c r="M2699" s="164" t="str">
        <f ca="1">IFERROR(__xludf.DUMMYFUNCTION("""COMPUTED_VALUE"""),"SERVICEABLE")</f>
        <v>SERVICEABLE</v>
      </c>
      <c r="N2699" s="164"/>
    </row>
    <row r="2700" spans="1:14" ht="13.2" hidden="1">
      <c r="A2700" s="164" t="str">
        <f ca="1">IFERROR(__xludf.DUMMYFUNCTION("""COMPUTED_VALUE"""),"NIR")</f>
        <v>NIR</v>
      </c>
      <c r="B2700" s="164" t="str">
        <f ca="1">IFERROR(__xludf.DUMMYFUNCTION("""COMPUTED_VALUE"""),"Negros Occidental II")</f>
        <v>Negros Occidental II</v>
      </c>
      <c r="C2700" s="164" t="str">
        <f ca="1">IFERROR(__xludf.DUMMYFUNCTION("""COMPUTED_VALUE"""),"Laptop – (ACER Extensa EX215-55G i7)")</f>
        <v>Laptop – (ACER Extensa EX215-55G i7)</v>
      </c>
      <c r="D2700" s="164" t="str">
        <f ca="1">IFERROR(__xludf.DUMMYFUNCTION("""COMPUTED_VALUE"""),"₱ 59,500.00")</f>
        <v>₱ 59,500.00</v>
      </c>
      <c r="E2700" s="164"/>
      <c r="F2700" s="164" t="str">
        <f ca="1">IFERROR(__xludf.DUMMYFUNCTION("""COMPUTED_VALUE"""),"2023-05-03-10202SP140-01")</f>
        <v>2023-05-03-10202SP140-01</v>
      </c>
      <c r="G2700" s="164" t="str">
        <f ca="1">IFERROR(__xludf.DUMMYFUNCTION("""COMPUTED_VALUE"""),"NXEGZSP00330801D493400")</f>
        <v>NXEGZSP00330801D493400</v>
      </c>
      <c r="H2700" s="164" t="str">
        <f ca="1">IFERROR(__xludf.DUMMYFUNCTION("""COMPUTED_VALUE"""),"FRIDAY G. GIGANTO")</f>
        <v>FRIDAY G. GIGANTO</v>
      </c>
      <c r="I2700" s="164" t="str">
        <f ca="1">IFERROR(__xludf.DUMMYFUNCTION("""COMPUTED_VALUE"""),"ARPO I")</f>
        <v>ARPO I</v>
      </c>
      <c r="J2700" s="164" t="str">
        <f ca="1">IFERROR(__xludf.DUMMYFUNCTION("""COMPUTED_VALUE"""),"PTR 2023-08-058")</f>
        <v>PTR 2023-08-058</v>
      </c>
      <c r="K2700" s="164" t="str">
        <f ca="1">IFERROR(__xludf.DUMMYFUNCTION("""COMPUTED_VALUE"""),"FRIDAY G. GIGANTO")</f>
        <v>FRIDAY G. GIGANTO</v>
      </c>
      <c r="L2700" s="164" t="str">
        <f ca="1">IFERROR(__xludf.DUMMYFUNCTION("""COMPUTED_VALUE"""),"LTID - SURVEY SECTION")</f>
        <v>LTID - SURVEY SECTION</v>
      </c>
      <c r="M2700" s="164" t="str">
        <f ca="1">IFERROR(__xludf.DUMMYFUNCTION("""COMPUTED_VALUE"""),"SERVICEABLE")</f>
        <v>SERVICEABLE</v>
      </c>
      <c r="N2700" s="164"/>
    </row>
    <row r="2701" spans="1:14" ht="13.2" hidden="1">
      <c r="A2701" s="164" t="str">
        <f ca="1">IFERROR(__xludf.DUMMYFUNCTION("""COMPUTED_VALUE"""),"NIR")</f>
        <v>NIR</v>
      </c>
      <c r="B2701" s="164" t="str">
        <f ca="1">IFERROR(__xludf.DUMMYFUNCTION("""COMPUTED_VALUE"""),"Negros Occidental II")</f>
        <v>Negros Occidental II</v>
      </c>
      <c r="C2701" s="164" t="str">
        <f ca="1">IFERROR(__xludf.DUMMYFUNCTION("""COMPUTED_VALUE"""),"Laptop – (ACER Extensa EX215-55G i7)")</f>
        <v>Laptop – (ACER Extensa EX215-55G i7)</v>
      </c>
      <c r="D2701" s="164" t="str">
        <f ca="1">IFERROR(__xludf.DUMMYFUNCTION("""COMPUTED_VALUE"""),"₱ 59,500.00")</f>
        <v>₱ 59,500.00</v>
      </c>
      <c r="E2701" s="164"/>
      <c r="F2701" s="164" t="str">
        <f ca="1">IFERROR(__xludf.DUMMYFUNCTION("""COMPUTED_VALUE"""),"2023-05-03-10202SP139-01")</f>
        <v>2023-05-03-10202SP139-01</v>
      </c>
      <c r="G2701" s="164" t="str">
        <f ca="1">IFERROR(__xludf.DUMMYFUNCTION("""COMPUTED_VALUE"""),"NXEGZSP00330801DE63400")</f>
        <v>NXEGZSP00330801DE63400</v>
      </c>
      <c r="H2701" s="164" t="str">
        <f ca="1">IFERROR(__xludf.DUMMYFUNCTION("""COMPUTED_VALUE"""),"ARI S. ARCEO")</f>
        <v>ARI S. ARCEO</v>
      </c>
      <c r="I2701" s="164" t="str">
        <f ca="1">IFERROR(__xludf.DUMMYFUNCTION("""COMPUTED_VALUE"""),"SARPO")</f>
        <v>SARPO</v>
      </c>
      <c r="J2701" s="164" t="str">
        <f ca="1">IFERROR(__xludf.DUMMYFUNCTION("""COMPUTED_VALUE"""),"PTR 2023-08-058")</f>
        <v>PTR 2023-08-058</v>
      </c>
      <c r="K2701" s="164" t="str">
        <f ca="1">IFERROR(__xludf.DUMMYFUNCTION("""COMPUTED_VALUE"""),"ARI S. ARCEO")</f>
        <v>ARI S. ARCEO</v>
      </c>
      <c r="L2701" s="164" t="str">
        <f ca="1">IFERROR(__xludf.DUMMYFUNCTION("""COMPUTED_VALUE"""),"SPLIT PROJECT")</f>
        <v>SPLIT PROJECT</v>
      </c>
      <c r="M2701" s="164" t="str">
        <f ca="1">IFERROR(__xludf.DUMMYFUNCTION("""COMPUTED_VALUE"""),"SERVICEABLE")</f>
        <v>SERVICEABLE</v>
      </c>
      <c r="N2701" s="164"/>
    </row>
    <row r="2702" spans="1:14" ht="13.2" hidden="1">
      <c r="A2702" s="164" t="str">
        <f ca="1">IFERROR(__xludf.DUMMYFUNCTION("""COMPUTED_VALUE"""),"NIR")</f>
        <v>NIR</v>
      </c>
      <c r="B2702" s="164" t="str">
        <f ca="1">IFERROR(__xludf.DUMMYFUNCTION("""COMPUTED_VALUE"""),"Negros Occidental II")</f>
        <v>Negros Occidental II</v>
      </c>
      <c r="C2702" s="164" t="str">
        <f ca="1">IFERROR(__xludf.DUMMYFUNCTION("""COMPUTED_VALUE"""),"Laptop – (ACER Extensa EX215-55G i7)")</f>
        <v>Laptop – (ACER Extensa EX215-55G i7)</v>
      </c>
      <c r="D2702" s="164" t="str">
        <f ca="1">IFERROR(__xludf.DUMMYFUNCTION("""COMPUTED_VALUE"""),"₱ 59,500.00")</f>
        <v>₱ 59,500.00</v>
      </c>
      <c r="E2702" s="164"/>
      <c r="F2702" s="164" t="str">
        <f ca="1">IFERROR(__xludf.DUMMYFUNCTION("""COMPUTED_VALUE"""),"2023-05-03-10202SP138-01")</f>
        <v>2023-05-03-10202SP138-01</v>
      </c>
      <c r="G2702" s="164" t="str">
        <f ca="1">IFERROR(__xludf.DUMMYFUNCTION("""COMPUTED_VALUE"""),"NXEGZSP00330801D443400")</f>
        <v>NXEGZSP00330801D443400</v>
      </c>
      <c r="H2702" s="164" t="str">
        <f ca="1">IFERROR(__xludf.DUMMYFUNCTION("""COMPUTED_VALUE"""),"MERIE KRIS A. CAPISTRANO")</f>
        <v>MERIE KRIS A. CAPISTRANO</v>
      </c>
      <c r="I2702" s="164" t="str">
        <f ca="1">IFERROR(__xludf.DUMMYFUNCTION("""COMPUTED_VALUE"""),"SARPT")</f>
        <v>SARPT</v>
      </c>
      <c r="J2702" s="164" t="str">
        <f ca="1">IFERROR(__xludf.DUMMYFUNCTION("""COMPUTED_VALUE"""),"PTR 2023-08-058")</f>
        <v>PTR 2023-08-058</v>
      </c>
      <c r="K2702" s="164" t="str">
        <f ca="1">IFERROR(__xludf.DUMMYFUNCTION("""COMPUTED_VALUE"""),"MERIE KRIS A. CAPISTRANO")</f>
        <v>MERIE KRIS A. CAPISTRANO</v>
      </c>
      <c r="L2702" s="164" t="str">
        <f ca="1">IFERROR(__xludf.DUMMYFUNCTION("""COMPUTED_VALUE"""),"SPLIT PROJECT")</f>
        <v>SPLIT PROJECT</v>
      </c>
      <c r="M2702" s="164" t="str">
        <f ca="1">IFERROR(__xludf.DUMMYFUNCTION("""COMPUTED_VALUE"""),"SERVICEABLE")</f>
        <v>SERVICEABLE</v>
      </c>
      <c r="N2702" s="164"/>
    </row>
    <row r="2703" spans="1:14" ht="13.2" hidden="1">
      <c r="A2703" s="164" t="str">
        <f ca="1">IFERROR(__xludf.DUMMYFUNCTION("""COMPUTED_VALUE"""),"NIR")</f>
        <v>NIR</v>
      </c>
      <c r="B2703" s="164" t="str">
        <f ca="1">IFERROR(__xludf.DUMMYFUNCTION("""COMPUTED_VALUE"""),"Negros Occidental II")</f>
        <v>Negros Occidental II</v>
      </c>
      <c r="C2703" s="164" t="str">
        <f ca="1">IFERROR(__xludf.DUMMYFUNCTION("""COMPUTED_VALUE"""),"Laptop – (ACER Extensa EX215-55G i7)")</f>
        <v>Laptop – (ACER Extensa EX215-55G i7)</v>
      </c>
      <c r="D2703" s="164" t="str">
        <f ca="1">IFERROR(__xludf.DUMMYFUNCTION("""COMPUTED_VALUE"""),"₱ 59,500.00")</f>
        <v>₱ 59,500.00</v>
      </c>
      <c r="E2703" s="164"/>
      <c r="F2703" s="164" t="str">
        <f ca="1">IFERROR(__xludf.DUMMYFUNCTION("""COMPUTED_VALUE"""),"2023-05-03-10202SP137-01")</f>
        <v>2023-05-03-10202SP137-01</v>
      </c>
      <c r="G2703" s="164" t="str">
        <f ca="1">IFERROR(__xludf.DUMMYFUNCTION("""COMPUTED_VALUE"""),"NXEGZSP00330801D7A3400")</f>
        <v>NXEGZSP00330801D7A3400</v>
      </c>
      <c r="H2703" s="164" t="str">
        <f ca="1">IFERROR(__xludf.DUMMYFUNCTION("""COMPUTED_VALUE"""),"NENA G. PARREÑO")</f>
        <v>NENA G. PARREÑO</v>
      </c>
      <c r="I2703" s="164" t="str">
        <f ca="1">IFERROR(__xludf.DUMMYFUNCTION("""COMPUTED_VALUE"""),"SPLIT COORDINATOR")</f>
        <v>SPLIT COORDINATOR</v>
      </c>
      <c r="J2703" s="164" t="str">
        <f ca="1">IFERROR(__xludf.DUMMYFUNCTION("""COMPUTED_VALUE"""),"PTR 2023-08-058")</f>
        <v>PTR 2023-08-058</v>
      </c>
      <c r="K2703" s="164" t="str">
        <f ca="1">IFERROR(__xludf.DUMMYFUNCTION("""COMPUTED_VALUE"""),"NENA G. PARREÑO")</f>
        <v>NENA G. PARREÑO</v>
      </c>
      <c r="L2703" s="164" t="str">
        <f ca="1">IFERROR(__xludf.DUMMYFUNCTION("""COMPUTED_VALUE"""),"SPLIT PROJECT")</f>
        <v>SPLIT PROJECT</v>
      </c>
      <c r="M2703" s="164" t="str">
        <f ca="1">IFERROR(__xludf.DUMMYFUNCTION("""COMPUTED_VALUE"""),"SERVICEABLE")</f>
        <v>SERVICEABLE</v>
      </c>
      <c r="N2703" s="164"/>
    </row>
    <row r="2704" spans="1:14" ht="13.2" hidden="1">
      <c r="A2704" s="164" t="str">
        <f ca="1">IFERROR(__xludf.DUMMYFUNCTION("""COMPUTED_VALUE"""),"NIR")</f>
        <v>NIR</v>
      </c>
      <c r="B2704" s="164" t="str">
        <f ca="1">IFERROR(__xludf.DUMMYFUNCTION("""COMPUTED_VALUE"""),"Negros Occidental II")</f>
        <v>Negros Occidental II</v>
      </c>
      <c r="C2704" s="164" t="str">
        <f ca="1">IFERROR(__xludf.DUMMYFUNCTION("""COMPUTED_VALUE"""),"Desktop Computer – (HP Pro SFF 280G9)")</f>
        <v>Desktop Computer – (HP Pro SFF 280G9)</v>
      </c>
      <c r="D2704" s="164" t="str">
        <f ca="1">IFERROR(__xludf.DUMMYFUNCTION("""COMPUTED_VALUE"""),"₱ 78,898.00")</f>
        <v>₱ 78,898.00</v>
      </c>
      <c r="E2704" s="164"/>
      <c r="F2704" s="164" t="str">
        <f ca="1">IFERROR(__xludf.DUMMYFUNCTION("""COMPUTED_VALUE"""),"2023-05-03-10201SP77-01")</f>
        <v>2023-05-03-10201SP77-01</v>
      </c>
      <c r="G2704" s="164" t="str">
        <f ca="1">IFERROR(__xludf.DUMMYFUNCTION("""COMPUTED_VALUE"""),"4CE301DH7M")</f>
        <v>4CE301DH7M</v>
      </c>
      <c r="H2704" s="164" t="str">
        <f ca="1">IFERROR(__xludf.DUMMYFUNCTION("""COMPUTED_VALUE"""),"TIFFANY CRIS O. GARCIA")</f>
        <v>TIFFANY CRIS O. GARCIA</v>
      </c>
      <c r="I2704" s="164" t="str">
        <f ca="1">IFERROR(__xludf.DUMMYFUNCTION("""COMPUTED_VALUE"""),"ARPO I")</f>
        <v>ARPO I</v>
      </c>
      <c r="J2704" s="164" t="str">
        <f ca="1">IFERROR(__xludf.DUMMYFUNCTION("""COMPUTED_VALUE"""),"PAR 23-09-0286")</f>
        <v>PAR 23-09-0286</v>
      </c>
      <c r="K2704" s="164" t="str">
        <f ca="1">IFERROR(__xludf.DUMMYFUNCTION("""COMPUTED_VALUE"""),"TIFFANY CRIS O. GARCIA")</f>
        <v>TIFFANY CRIS O. GARCIA</v>
      </c>
      <c r="L2704" s="164" t="str">
        <f ca="1">IFERROR(__xludf.DUMMYFUNCTION("""COMPUTED_VALUE"""),"SPLIT OFFICE")</f>
        <v>SPLIT OFFICE</v>
      </c>
      <c r="M2704" s="164" t="str">
        <f ca="1">IFERROR(__xludf.DUMMYFUNCTION("""COMPUTED_VALUE"""),"SERVICEABLE")</f>
        <v>SERVICEABLE</v>
      </c>
      <c r="N2704" s="164"/>
    </row>
    <row r="2705" spans="1:14" ht="13.2" hidden="1">
      <c r="A2705" s="164" t="str">
        <f ca="1">IFERROR(__xludf.DUMMYFUNCTION("""COMPUTED_VALUE"""),"NIR")</f>
        <v>NIR</v>
      </c>
      <c r="B2705" s="164" t="str">
        <f ca="1">IFERROR(__xludf.DUMMYFUNCTION("""COMPUTED_VALUE"""),"Negros Occidental II")</f>
        <v>Negros Occidental II</v>
      </c>
      <c r="C2705" s="164" t="str">
        <f ca="1">IFERROR(__xludf.DUMMYFUNCTION("""COMPUTED_VALUE"""),"Desktop Computer – (HP Pro SFF 280G9)")</f>
        <v>Desktop Computer – (HP Pro SFF 280G9)</v>
      </c>
      <c r="D2705" s="164" t="str">
        <f ca="1">IFERROR(__xludf.DUMMYFUNCTION("""COMPUTED_VALUE"""),"₱ 78,898.00")</f>
        <v>₱ 78,898.00</v>
      </c>
      <c r="E2705" s="164"/>
      <c r="F2705" s="164" t="str">
        <f ca="1">IFERROR(__xludf.DUMMYFUNCTION("""COMPUTED_VALUE"""),"2023-05-03-10201SP76-01")</f>
        <v>2023-05-03-10201SP76-01</v>
      </c>
      <c r="G2705" s="164" t="str">
        <f ca="1">IFERROR(__xludf.DUMMYFUNCTION("""COMPUTED_VALUE"""),"4CE301DH65")</f>
        <v>4CE301DH65</v>
      </c>
      <c r="H2705" s="164" t="str">
        <f ca="1">IFERROR(__xludf.DUMMYFUNCTION("""COMPUTED_VALUE"""),"JENE ROSE E. MARTINICO")</f>
        <v>JENE ROSE E. MARTINICO</v>
      </c>
      <c r="I2705" s="164" t="str">
        <f ca="1">IFERROR(__xludf.DUMMYFUNCTION("""COMPUTED_VALUE"""),"ARPT")</f>
        <v>ARPT</v>
      </c>
      <c r="J2705" s="164" t="str">
        <f ca="1">IFERROR(__xludf.DUMMYFUNCTION("""COMPUTED_VALUE"""),"PAR 23-09-0285")</f>
        <v>PAR 23-09-0285</v>
      </c>
      <c r="K2705" s="164" t="str">
        <f ca="1">IFERROR(__xludf.DUMMYFUNCTION("""COMPUTED_VALUE"""),"JENE ROSE E. MARTINICO")</f>
        <v>JENE ROSE E. MARTINICO</v>
      </c>
      <c r="L2705" s="164" t="str">
        <f ca="1">IFERROR(__xludf.DUMMYFUNCTION("""COMPUTED_VALUE"""),"SPLIT OFFICE")</f>
        <v>SPLIT OFFICE</v>
      </c>
      <c r="M2705" s="164" t="str">
        <f ca="1">IFERROR(__xludf.DUMMYFUNCTION("""COMPUTED_VALUE"""),"SERVICEABLE")</f>
        <v>SERVICEABLE</v>
      </c>
      <c r="N2705" s="164"/>
    </row>
    <row r="2706" spans="1:14" ht="13.2" hidden="1">
      <c r="A2706" s="164" t="str">
        <f ca="1">IFERROR(__xludf.DUMMYFUNCTION("""COMPUTED_VALUE"""),"NIR")</f>
        <v>NIR</v>
      </c>
      <c r="B2706" s="164" t="str">
        <f ca="1">IFERROR(__xludf.DUMMYFUNCTION("""COMPUTED_VALUE"""),"Negros Occidental II")</f>
        <v>Negros Occidental II</v>
      </c>
      <c r="C2706" s="164" t="str">
        <f ca="1">IFERROR(__xludf.DUMMYFUNCTION("""COMPUTED_VALUE"""),"Desktop Computer – (HP Pro SFF 280G9)")</f>
        <v>Desktop Computer – (HP Pro SFF 280G9)</v>
      </c>
      <c r="D2706" s="164" t="str">
        <f ca="1">IFERROR(__xludf.DUMMYFUNCTION("""COMPUTED_VALUE"""),"₱ 78,898.00")</f>
        <v>₱ 78,898.00</v>
      </c>
      <c r="E2706" s="164"/>
      <c r="F2706" s="164" t="str">
        <f ca="1">IFERROR(__xludf.DUMMYFUNCTION("""COMPUTED_VALUE"""),"2023-05-03-10201SP75-01")</f>
        <v>2023-05-03-10201SP75-01</v>
      </c>
      <c r="G2706" s="164" t="str">
        <f ca="1">IFERROR(__xludf.DUMMYFUNCTION("""COMPUTED_VALUE"""),"4CE301DH4D")</f>
        <v>4CE301DH4D</v>
      </c>
      <c r="H2706" s="164" t="str">
        <f ca="1">IFERROR(__xludf.DUMMYFUNCTION("""COMPUTED_VALUE"""),"HANNIEL D. JEROTA")</f>
        <v>HANNIEL D. JEROTA</v>
      </c>
      <c r="I2706" s="164" t="str">
        <f ca="1">IFERROR(__xludf.DUMMYFUNCTION("""COMPUTED_VALUE"""),"ARPT")</f>
        <v>ARPT</v>
      </c>
      <c r="J2706" s="164" t="str">
        <f ca="1">IFERROR(__xludf.DUMMYFUNCTION("""COMPUTED_VALUE"""),"PAR 23-09-0284")</f>
        <v>PAR 23-09-0284</v>
      </c>
      <c r="K2706" s="164" t="str">
        <f ca="1">IFERROR(__xludf.DUMMYFUNCTION("""COMPUTED_VALUE"""),"HANNIEL D. JEROTA")</f>
        <v>HANNIEL D. JEROTA</v>
      </c>
      <c r="L2706" s="164" t="str">
        <f ca="1">IFERROR(__xludf.DUMMYFUNCTION("""COMPUTED_VALUE"""),"SPLIT OFFICE")</f>
        <v>SPLIT OFFICE</v>
      </c>
      <c r="M2706" s="164" t="str">
        <f ca="1">IFERROR(__xludf.DUMMYFUNCTION("""COMPUTED_VALUE"""),"SERVICEABLE")</f>
        <v>SERVICEABLE</v>
      </c>
      <c r="N2706" s="164"/>
    </row>
    <row r="2707" spans="1:14" ht="13.2" hidden="1">
      <c r="A2707" s="164" t="str">
        <f ca="1">IFERROR(__xludf.DUMMYFUNCTION("""COMPUTED_VALUE"""),"NIR")</f>
        <v>NIR</v>
      </c>
      <c r="B2707" s="164" t="str">
        <f ca="1">IFERROR(__xludf.DUMMYFUNCTION("""COMPUTED_VALUE"""),"Negros Occidental II")</f>
        <v>Negros Occidental II</v>
      </c>
      <c r="C2707" s="164" t="str">
        <f ca="1">IFERROR(__xludf.DUMMYFUNCTION("""COMPUTED_VALUE"""),"Desktop Computer – (HP Pro SFF 280G9)")</f>
        <v>Desktop Computer – (HP Pro SFF 280G9)</v>
      </c>
      <c r="D2707" s="164" t="str">
        <f ca="1">IFERROR(__xludf.DUMMYFUNCTION("""COMPUTED_VALUE"""),"₱ 78,898.00")</f>
        <v>₱ 78,898.00</v>
      </c>
      <c r="E2707" s="164"/>
      <c r="F2707" s="164" t="str">
        <f ca="1">IFERROR(__xludf.DUMMYFUNCTION("""COMPUTED_VALUE"""),"2023-05-03-10201SP74-01")</f>
        <v>2023-05-03-10201SP74-01</v>
      </c>
      <c r="G2707" s="164" t="str">
        <f ca="1">IFERROR(__xludf.DUMMYFUNCTION("""COMPUTED_VALUE"""),"4CE301DSMN")</f>
        <v>4CE301DSMN</v>
      </c>
      <c r="H2707" s="164" t="str">
        <f ca="1">IFERROR(__xludf.DUMMYFUNCTION("""COMPUTED_VALUE"""),"NEIL R. NACION")</f>
        <v>NEIL R. NACION</v>
      </c>
      <c r="I2707" s="164" t="str">
        <f ca="1">IFERROR(__xludf.DUMMYFUNCTION("""COMPUTED_VALUE"""),"ENGINEER 2 / SPLIT ESS DOCUMENTATION")</f>
        <v>ENGINEER 2 / SPLIT ESS DOCUMENTATION</v>
      </c>
      <c r="J2707" s="164" t="str">
        <f ca="1">IFERROR(__xludf.DUMMYFUNCTION("""COMPUTED_VALUE"""),"PAR 23-09-0283")</f>
        <v>PAR 23-09-0283</v>
      </c>
      <c r="K2707" s="164" t="str">
        <f ca="1">IFERROR(__xludf.DUMMYFUNCTION("""COMPUTED_VALUE"""),"NEIL R. NACION")</f>
        <v>NEIL R. NACION</v>
      </c>
      <c r="L2707" s="164" t="str">
        <f ca="1">IFERROR(__xludf.DUMMYFUNCTION("""COMPUTED_VALUE"""),"SPLIT OFFICE")</f>
        <v>SPLIT OFFICE</v>
      </c>
      <c r="M2707" s="164" t="str">
        <f ca="1">IFERROR(__xludf.DUMMYFUNCTION("""COMPUTED_VALUE"""),"SERVICEABLE")</f>
        <v>SERVICEABLE</v>
      </c>
      <c r="N2707" s="164"/>
    </row>
    <row r="2708" spans="1:14" ht="13.2" hidden="1">
      <c r="A2708" s="164" t="str">
        <f ca="1">IFERROR(__xludf.DUMMYFUNCTION("""COMPUTED_VALUE"""),"NIR")</f>
        <v>NIR</v>
      </c>
      <c r="B2708" s="164" t="str">
        <f ca="1">IFERROR(__xludf.DUMMYFUNCTION("""COMPUTED_VALUE"""),"Negros Occidental II")</f>
        <v>Negros Occidental II</v>
      </c>
      <c r="C2708" s="164" t="str">
        <f ca="1">IFERROR(__xludf.DUMMYFUNCTION("""COMPUTED_VALUE"""),"Desktop Computer – (HP Pro SFF 280G9)")</f>
        <v>Desktop Computer – (HP Pro SFF 280G9)</v>
      </c>
      <c r="D2708" s="164" t="str">
        <f ca="1">IFERROR(__xludf.DUMMYFUNCTION("""COMPUTED_VALUE"""),"₱ 78,898.00")</f>
        <v>₱ 78,898.00</v>
      </c>
      <c r="E2708" s="164"/>
      <c r="F2708" s="164" t="str">
        <f ca="1">IFERROR(__xludf.DUMMYFUNCTION("""COMPUTED_VALUE"""),"2023-05-03-10201SP73-01")</f>
        <v>2023-05-03-10201SP73-01</v>
      </c>
      <c r="G2708" s="164" t="str">
        <f ca="1">IFERROR(__xludf.DUMMYFUNCTION("""COMPUTED_VALUE"""),"4CE301DH91")</f>
        <v>4CE301DH91</v>
      </c>
      <c r="H2708" s="164" t="str">
        <f ca="1">IFERROR(__xludf.DUMMYFUNCTION("""COMPUTED_VALUE"""),"NEIL R. NACION")</f>
        <v>NEIL R. NACION</v>
      </c>
      <c r="I2708" s="164" t="str">
        <f ca="1">IFERROR(__xludf.DUMMYFUNCTION("""COMPUTED_VALUE"""),"ENGINEER 2 / SPLIT ESS DOCUMENTATION")</f>
        <v>ENGINEER 2 / SPLIT ESS DOCUMENTATION</v>
      </c>
      <c r="J2708" s="164" t="str">
        <f ca="1">IFERROR(__xludf.DUMMYFUNCTION("""COMPUTED_VALUE"""),"PAR 23-09-0282")</f>
        <v>PAR 23-09-0282</v>
      </c>
      <c r="K2708" s="164" t="str">
        <f ca="1">IFERROR(__xludf.DUMMYFUNCTION("""COMPUTED_VALUE"""),"NEIL R. NACION")</f>
        <v>NEIL R. NACION</v>
      </c>
      <c r="L2708" s="164" t="str">
        <f ca="1">IFERROR(__xludf.DUMMYFUNCTION("""COMPUTED_VALUE"""),"SPLIT OFFICE")</f>
        <v>SPLIT OFFICE</v>
      </c>
      <c r="M2708" s="164" t="str">
        <f ca="1">IFERROR(__xludf.DUMMYFUNCTION("""COMPUTED_VALUE"""),"SERVICEABLE")</f>
        <v>SERVICEABLE</v>
      </c>
      <c r="N2708" s="164"/>
    </row>
    <row r="2709" spans="1:14" ht="13.2" hidden="1">
      <c r="A2709" s="164" t="str">
        <f ca="1">IFERROR(__xludf.DUMMYFUNCTION("""COMPUTED_VALUE"""),"NIR")</f>
        <v>NIR</v>
      </c>
      <c r="B2709" s="164" t="str">
        <f ca="1">IFERROR(__xludf.DUMMYFUNCTION("""COMPUTED_VALUE"""),"Negros Occidental II")</f>
        <v>Negros Occidental II</v>
      </c>
      <c r="C2709" s="164" t="str">
        <f ca="1">IFERROR(__xludf.DUMMYFUNCTION("""COMPUTED_VALUE"""),"Laptop – (ACER Extensa EX215-55G i7)")</f>
        <v>Laptop – (ACER Extensa EX215-55G i7)</v>
      </c>
      <c r="D2709" s="164" t="str">
        <f ca="1">IFERROR(__xludf.DUMMYFUNCTION("""COMPUTED_VALUE"""),"₱ 75,468.00")</f>
        <v>₱ 75,468.00</v>
      </c>
      <c r="E2709" s="164"/>
      <c r="F2709" s="164" t="str">
        <f ca="1">IFERROR(__xludf.DUMMYFUNCTION("""COMPUTED_VALUE"""),"2023-05-03-10202SP57-01")</f>
        <v>2023-05-03-10202SP57-01</v>
      </c>
      <c r="G2709" s="164" t="str">
        <f ca="1">IFERROR(__xludf.DUMMYFUNCTION("""COMPUTED_VALUE"""),"NXEGZSP00330801BC33400")</f>
        <v>NXEGZSP00330801BC33400</v>
      </c>
      <c r="H2709" s="164" t="str">
        <f ca="1">IFERROR(__xludf.DUMMYFUNCTION("""COMPUTED_VALUE"""),"LOURIE VAN B. NICOR")</f>
        <v>LOURIE VAN B. NICOR</v>
      </c>
      <c r="I2709" s="164" t="str">
        <f ca="1">IFERROR(__xludf.DUMMYFUNCTION("""COMPUTED_VALUE"""),"ARPT")</f>
        <v>ARPT</v>
      </c>
      <c r="J2709" s="164" t="str">
        <f ca="1">IFERROR(__xludf.DUMMYFUNCTION("""COMPUTED_VALUE"""),"PTR 2023-07-044")</f>
        <v>PTR 2023-07-044</v>
      </c>
      <c r="K2709" s="164" t="str">
        <f ca="1">IFERROR(__xludf.DUMMYFUNCTION("""COMPUTED_VALUE"""),"LOURIE VAN B. NICOR")</f>
        <v>LOURIE VAN B. NICOR</v>
      </c>
      <c r="L2709" s="164" t="str">
        <f ca="1">IFERROR(__xludf.DUMMYFUNCTION("""COMPUTED_VALUE"""),"PBDD")</f>
        <v>PBDD</v>
      </c>
      <c r="M2709" s="164" t="str">
        <f ca="1">IFERROR(__xludf.DUMMYFUNCTION("""COMPUTED_VALUE"""),"SERVICEABLE")</f>
        <v>SERVICEABLE</v>
      </c>
      <c r="N2709" s="164"/>
    </row>
    <row r="2710" spans="1:14" ht="13.2" hidden="1">
      <c r="A2710" s="164" t="str">
        <f ca="1">IFERROR(__xludf.DUMMYFUNCTION("""COMPUTED_VALUE"""),"NIR")</f>
        <v>NIR</v>
      </c>
      <c r="B2710" s="164" t="str">
        <f ca="1">IFERROR(__xludf.DUMMYFUNCTION("""COMPUTED_VALUE"""),"Negros Occidental II")</f>
        <v>Negros Occidental II</v>
      </c>
      <c r="C2710" s="164" t="str">
        <f ca="1">IFERROR(__xludf.DUMMYFUNCTION("""COMPUTED_VALUE"""),"A3 Printer (Brother)")</f>
        <v>A3 Printer (Brother)</v>
      </c>
      <c r="D2710" s="164" t="str">
        <f ca="1">IFERROR(__xludf.DUMMYFUNCTION("""COMPUTED_VALUE"""),"₱ 33,508.00")</f>
        <v>₱ 33,508.00</v>
      </c>
      <c r="E2710" s="164"/>
      <c r="F2710" s="164" t="str">
        <f ca="1">IFERROR(__xludf.DUMMYFUNCTION("""COMPUTED_VALUE"""),"HVSPLIT-102-24-05-04-087")</f>
        <v>HVSPLIT-102-24-05-04-087</v>
      </c>
      <c r="G2710" s="164" t="str">
        <f ca="1">IFERROR(__xludf.DUMMYFUNCTION("""COMPUTED_VALUE"""),"E78947L3H871272")</f>
        <v>E78947L3H871272</v>
      </c>
      <c r="H2710" s="164" t="str">
        <f ca="1">IFERROR(__xludf.DUMMYFUNCTION("""COMPUTED_VALUE"""),"ENGR. ARNULFO T. FIGUEROA")</f>
        <v>ENGR. ARNULFO T. FIGUEROA</v>
      </c>
      <c r="I2710" s="164" t="str">
        <f ca="1">IFERROR(__xludf.DUMMYFUNCTION("""COMPUTED_VALUE"""),"PARPO II")</f>
        <v>PARPO II</v>
      </c>
      <c r="J2710" s="164" t="str">
        <f ca="1">IFERROR(__xludf.DUMMYFUNCTION("""COMPUTED_VALUE"""),"PTR 2024-04-023")</f>
        <v>PTR 2024-04-023</v>
      </c>
      <c r="K2710" s="164" t="str">
        <f ca="1">IFERROR(__xludf.DUMMYFUNCTION("""COMPUTED_VALUE"""),"ENGR. ARNULFO T. FIGUEROA")</f>
        <v>ENGR. ARNULFO T. FIGUEROA</v>
      </c>
      <c r="L2710" s="164" t="str">
        <f ca="1">IFERROR(__xludf.DUMMYFUNCTION("""COMPUTED_VALUE"""),"DARPO NEG. OCC 2")</f>
        <v>DARPO NEG. OCC 2</v>
      </c>
      <c r="M2710" s="164" t="str">
        <f ca="1">IFERROR(__xludf.DUMMYFUNCTION("""COMPUTED_VALUE"""),"SERVICEABLE")</f>
        <v>SERVICEABLE</v>
      </c>
      <c r="N2710" s="164"/>
    </row>
    <row r="2711" spans="1:14" ht="13.2" hidden="1">
      <c r="A2711" s="164" t="str">
        <f ca="1">IFERROR(__xludf.DUMMYFUNCTION("""COMPUTED_VALUE"""),"NIR")</f>
        <v>NIR</v>
      </c>
      <c r="B2711" s="164" t="str">
        <f ca="1">IFERROR(__xludf.DUMMYFUNCTION("""COMPUTED_VALUE"""),"Negros Occidental I")</f>
        <v>Negros Occidental I</v>
      </c>
      <c r="C2711" s="164" t="str">
        <f ca="1">IFERROR(__xludf.DUMMYFUNCTION("""COMPUTED_VALUE"""),"Desktop Computer – (MSI PRO DP180)")</f>
        <v>Desktop Computer – (MSI PRO DP180)</v>
      </c>
      <c r="D2711" s="164" t="str">
        <f ca="1">IFERROR(__xludf.DUMMYFUNCTION("""COMPUTED_VALUE"""),"₱ 49,300.00")</f>
        <v>₱ 49,300.00</v>
      </c>
      <c r="E2711" s="164"/>
      <c r="F2711" s="164" t="str">
        <f ca="1">IFERROR(__xludf.DUMMYFUNCTION("""COMPUTED_VALUE"""),"HV SPLIT-102-24-05-01-437")</f>
        <v>HV SPLIT-102-24-05-01-437</v>
      </c>
      <c r="G2711" s="164" t="str">
        <f ca="1">IFERROR(__xludf.DUMMYFUNCTION("""COMPUTED_VALUE"""),"MSBOA704S0103571")</f>
        <v>MSBOA704S0103571</v>
      </c>
      <c r="H2711" s="164" t="str">
        <f ca="1">IFERROR(__xludf.DUMMYFUNCTION("""COMPUTED_VALUE"""),"ROMA GRACE B. NUFABLE")</f>
        <v>ROMA GRACE B. NUFABLE</v>
      </c>
      <c r="I2711" s="164" t="str">
        <f ca="1">IFERROR(__xludf.DUMMYFUNCTION("""COMPUTED_VALUE"""),"ARPT")</f>
        <v>ARPT</v>
      </c>
      <c r="J2711" s="164" t="str">
        <f ca="1">IFERROR(__xludf.DUMMYFUNCTION("""COMPUTED_VALUE"""),"PTR 2024-09-051")</f>
        <v>PTR 2024-09-051</v>
      </c>
      <c r="K2711" s="164" t="str">
        <f ca="1">IFERROR(__xludf.DUMMYFUNCTION("""COMPUTED_VALUE"""),"ROMA GRACE B. NUFABLE")</f>
        <v>ROMA GRACE B. NUFABLE</v>
      </c>
      <c r="L2711" s="164" t="str">
        <f ca="1">IFERROR(__xludf.DUMMYFUNCTION("""COMPUTED_VALUE"""),"SATELLITE OFFICE")</f>
        <v>SATELLITE OFFICE</v>
      </c>
      <c r="M2711" s="164" t="str">
        <f ca="1">IFERROR(__xludf.DUMMYFUNCTION("""COMPUTED_VALUE"""),"SERVICEABLE")</f>
        <v>SERVICEABLE</v>
      </c>
      <c r="N2711" s="164"/>
    </row>
    <row r="2712" spans="1:14" ht="13.2" hidden="1">
      <c r="A2712" s="164" t="str">
        <f ca="1">IFERROR(__xludf.DUMMYFUNCTION("""COMPUTED_VALUE"""),"NIR")</f>
        <v>NIR</v>
      </c>
      <c r="B2712" s="164" t="str">
        <f ca="1">IFERROR(__xludf.DUMMYFUNCTION("""COMPUTED_VALUE"""),"Negros Occidental I")</f>
        <v>Negros Occidental I</v>
      </c>
      <c r="C2712" s="164" t="str">
        <f ca="1">IFERROR(__xludf.DUMMYFUNCTION("""COMPUTED_VALUE"""),"Desktop Computer – (MSI PRO DP180)")</f>
        <v>Desktop Computer – (MSI PRO DP180)</v>
      </c>
      <c r="D2712" s="164" t="str">
        <f ca="1">IFERROR(__xludf.DUMMYFUNCTION("""COMPUTED_VALUE"""),"₱ 49,300.00")</f>
        <v>₱ 49,300.00</v>
      </c>
      <c r="E2712" s="164"/>
      <c r="F2712" s="164" t="str">
        <f ca="1">IFERROR(__xludf.DUMMYFUNCTION("""COMPUTED_VALUE"""),"HV SPLIT-102-24-05-01-435")</f>
        <v>HV SPLIT-102-24-05-01-435</v>
      </c>
      <c r="G2712" s="164" t="str">
        <f ca="1">IFERROR(__xludf.DUMMYFUNCTION("""COMPUTED_VALUE"""),"MSBOA7O4S0103532")</f>
        <v>MSBOA7O4S0103532</v>
      </c>
      <c r="H2712" s="164" t="str">
        <f ca="1">IFERROR(__xludf.DUMMYFUNCTION("""COMPUTED_VALUE"""),"ANA HANNESA S. APELLIDO")</f>
        <v>ANA HANNESA S. APELLIDO</v>
      </c>
      <c r="I2712" s="164" t="str">
        <f ca="1">IFERROR(__xludf.DUMMYFUNCTION("""COMPUTED_VALUE"""),"ARPT")</f>
        <v>ARPT</v>
      </c>
      <c r="J2712" s="164" t="str">
        <f ca="1">IFERROR(__xludf.DUMMYFUNCTION("""COMPUTED_VALUE"""),"PTR 2024-09-051")</f>
        <v>PTR 2024-09-051</v>
      </c>
      <c r="K2712" s="164" t="str">
        <f ca="1">IFERROR(__xludf.DUMMYFUNCTION("""COMPUTED_VALUE"""),"ANA HANNESA S. APELLIDO")</f>
        <v>ANA HANNESA S. APELLIDO</v>
      </c>
      <c r="L2712" s="164" t="str">
        <f ca="1">IFERROR(__xludf.DUMMYFUNCTION("""COMPUTED_VALUE"""),"DARPO")</f>
        <v>DARPO</v>
      </c>
      <c r="M2712" s="164" t="str">
        <f ca="1">IFERROR(__xludf.DUMMYFUNCTION("""COMPUTED_VALUE"""),"SERVICEABLE")</f>
        <v>SERVICEABLE</v>
      </c>
      <c r="N2712" s="164"/>
    </row>
    <row r="2713" spans="1:14" ht="13.2" hidden="1">
      <c r="A2713" s="164" t="str">
        <f ca="1">IFERROR(__xludf.DUMMYFUNCTION("""COMPUTED_VALUE"""),"NIR")</f>
        <v>NIR</v>
      </c>
      <c r="B2713" s="164" t="str">
        <f ca="1">IFERROR(__xludf.DUMMYFUNCTION("""COMPUTED_VALUE"""),"Negros Occidental II")</f>
        <v>Negros Occidental II</v>
      </c>
      <c r="C2713" s="164" t="str">
        <f ca="1">IFERROR(__xludf.DUMMYFUNCTION("""COMPUTED_VALUE"""),"Desktop Computer – (MSI PRO DP180)")</f>
        <v>Desktop Computer – (MSI PRO DP180)</v>
      </c>
      <c r="D2713" s="164" t="str">
        <f ca="1">IFERROR(__xludf.DUMMYFUNCTION("""COMPUTED_VALUE"""),"₱ 49,300.00")</f>
        <v>₱ 49,300.00</v>
      </c>
      <c r="E2713" s="164"/>
      <c r="F2713" s="164" t="str">
        <f ca="1">IFERROR(__xludf.DUMMYFUNCTION("""COMPUTED_VALUE"""),"HV SPLIT-102-24-05-01-436")</f>
        <v>HV SPLIT-102-24-05-01-436</v>
      </c>
      <c r="G2713" s="164" t="str">
        <f ca="1">IFERROR(__xludf.DUMMYFUNCTION("""COMPUTED_VALUE"""),"MSBOA7O4S0103511")</f>
        <v>MSBOA7O4S0103511</v>
      </c>
      <c r="H2713" s="164" t="str">
        <f ca="1">IFERROR(__xludf.DUMMYFUNCTION("""COMPUTED_VALUE"""),"ARIEL D. CASISON")</f>
        <v>ARIEL D. CASISON</v>
      </c>
      <c r="I2713" s="164" t="str">
        <f ca="1">IFERROR(__xludf.DUMMYFUNCTION("""COMPUTED_VALUE"""),"SARPT")</f>
        <v>SARPT</v>
      </c>
      <c r="J2713" s="164" t="str">
        <f ca="1">IFERROR(__xludf.DUMMYFUNCTION("""COMPUTED_VALUE"""),"PTR 2024-09-051")</f>
        <v>PTR 2024-09-051</v>
      </c>
      <c r="K2713" s="164" t="str">
        <f ca="1">IFERROR(__xludf.DUMMYFUNCTION("""COMPUTED_VALUE"""),"ARIEL D. CASISON")</f>
        <v>ARIEL D. CASISON</v>
      </c>
      <c r="L2713" s="164" t="str">
        <f ca="1">IFERROR(__xludf.DUMMYFUNCTION("""COMPUTED_VALUE"""),"DARPO")</f>
        <v>DARPO</v>
      </c>
      <c r="M2713" s="164" t="str">
        <f ca="1">IFERROR(__xludf.DUMMYFUNCTION("""COMPUTED_VALUE"""),"SERVICEABLE")</f>
        <v>SERVICEABLE</v>
      </c>
      <c r="N2713" s="164"/>
    </row>
    <row r="2714" spans="1:14" ht="13.2" hidden="1">
      <c r="A2714" s="164" t="str">
        <f ca="1">IFERROR(__xludf.DUMMYFUNCTION("""COMPUTED_VALUE"""),"NIR")</f>
        <v>NIR</v>
      </c>
      <c r="B2714" s="164" t="str">
        <f ca="1">IFERROR(__xludf.DUMMYFUNCTION("""COMPUTED_VALUE"""),"Negros Occidental I")</f>
        <v>Negros Occidental I</v>
      </c>
      <c r="C2714" s="164" t="str">
        <f ca="1">IFERROR(__xludf.DUMMYFUNCTION("""COMPUTED_VALUE"""),"Desktop Computer – (MSI PRO DP180)")</f>
        <v>Desktop Computer – (MSI PRO DP180)</v>
      </c>
      <c r="D2714" s="164" t="str">
        <f ca="1">IFERROR(__xludf.DUMMYFUNCTION("""COMPUTED_VALUE"""),"₱ 49,300.00")</f>
        <v>₱ 49,300.00</v>
      </c>
      <c r="E2714" s="164"/>
      <c r="F2714" s="164" t="str">
        <f ca="1">IFERROR(__xludf.DUMMYFUNCTION("""COMPUTED_VALUE"""),"HV SPLIT-102-24-05-01-438")</f>
        <v>HV SPLIT-102-24-05-01-438</v>
      </c>
      <c r="G2714" s="164" t="str">
        <f ca="1">IFERROR(__xludf.DUMMYFUNCTION("""COMPUTED_VALUE"""),"MSBOA7O4S0103592")</f>
        <v>MSBOA7O4S0103592</v>
      </c>
      <c r="H2714" s="164" t="str">
        <f ca="1">IFERROR(__xludf.DUMMYFUNCTION("""COMPUTED_VALUE"""),"MERIE KRIS A. CAPISTRANO")</f>
        <v>MERIE KRIS A. CAPISTRANO</v>
      </c>
      <c r="I2714" s="164" t="str">
        <f ca="1">IFERROR(__xludf.DUMMYFUNCTION("""COMPUTED_VALUE"""),"SARPT")</f>
        <v>SARPT</v>
      </c>
      <c r="J2714" s="164" t="str">
        <f ca="1">IFERROR(__xludf.DUMMYFUNCTION("""COMPUTED_VALUE"""),"PTR 2024-09-051")</f>
        <v>PTR 2024-09-051</v>
      </c>
      <c r="K2714" s="164" t="str">
        <f ca="1">IFERROR(__xludf.DUMMYFUNCTION("""COMPUTED_VALUE"""),"MERIE KRIS A. CAPISTRANO")</f>
        <v>MERIE KRIS A. CAPISTRANO</v>
      </c>
      <c r="L2714" s="164" t="str">
        <f ca="1">IFERROR(__xludf.DUMMYFUNCTION("""COMPUTED_VALUE"""),"SATELLITE OFFICE")</f>
        <v>SATELLITE OFFICE</v>
      </c>
      <c r="M2714" s="164" t="str">
        <f ca="1">IFERROR(__xludf.DUMMYFUNCTION("""COMPUTED_VALUE"""),"SERVICEABLE")</f>
        <v>SERVICEABLE</v>
      </c>
      <c r="N2714" s="164"/>
    </row>
    <row r="2715" spans="1:14" ht="13.2" hidden="1">
      <c r="A2715" s="164" t="str">
        <f ca="1">IFERROR(__xludf.DUMMYFUNCTION("""COMPUTED_VALUE"""),"NIR")</f>
        <v>NIR</v>
      </c>
      <c r="B2715" s="164" t="str">
        <f ca="1">IFERROR(__xludf.DUMMYFUNCTION("""COMPUTED_VALUE"""),"Negros Occidental II")</f>
        <v>Negros Occidental II</v>
      </c>
      <c r="C2715" s="164" t="str">
        <f ca="1">IFERROR(__xludf.DUMMYFUNCTION("""COMPUTED_VALUE"""),"Desktop Computer – (MSI PRO DP180)")</f>
        <v>Desktop Computer – (MSI PRO DP180)</v>
      </c>
      <c r="D2715" s="164" t="str">
        <f ca="1">IFERROR(__xludf.DUMMYFUNCTION("""COMPUTED_VALUE"""),"₱ 49,300.00")</f>
        <v>₱ 49,300.00</v>
      </c>
      <c r="E2715" s="164"/>
      <c r="F2715" s="164" t="str">
        <f ca="1">IFERROR(__xludf.DUMMYFUNCTION("""COMPUTED_VALUE"""),"HV SPLIT-102-24-05-01-439")</f>
        <v>HV SPLIT-102-24-05-01-439</v>
      </c>
      <c r="G2715" s="164" t="str">
        <f ca="1">IFERROR(__xludf.DUMMYFUNCTION("""COMPUTED_VALUE"""),"MSBOA7O4S0103525")</f>
        <v>MSBOA7O4S0103525</v>
      </c>
      <c r="H2715" s="164" t="str">
        <f ca="1">IFERROR(__xludf.DUMMYFUNCTION("""COMPUTED_VALUE"""),"LYN HOPE C. MEDINA")</f>
        <v>LYN HOPE C. MEDINA</v>
      </c>
      <c r="I2715" s="164" t="str">
        <f ca="1">IFERROR(__xludf.DUMMYFUNCTION("""COMPUTED_VALUE"""),"ARPT")</f>
        <v>ARPT</v>
      </c>
      <c r="J2715" s="164" t="str">
        <f ca="1">IFERROR(__xludf.DUMMYFUNCTION("""COMPUTED_VALUE"""),"PTR 2024-09-051")</f>
        <v>PTR 2024-09-051</v>
      </c>
      <c r="K2715" s="164" t="str">
        <f ca="1">IFERROR(__xludf.DUMMYFUNCTION("""COMPUTED_VALUE"""),"LYN HOPE C. MEDINA")</f>
        <v>LYN HOPE C. MEDINA</v>
      </c>
      <c r="L2715" s="164" t="str">
        <f ca="1">IFERROR(__xludf.DUMMYFUNCTION("""COMPUTED_VALUE"""),"SATELLITE OFFICE")</f>
        <v>SATELLITE OFFICE</v>
      </c>
      <c r="M2715" s="164" t="str">
        <f ca="1">IFERROR(__xludf.DUMMYFUNCTION("""COMPUTED_VALUE"""),"SERVICEABLE")</f>
        <v>SERVICEABLE</v>
      </c>
      <c r="N2715" s="164"/>
    </row>
    <row r="2716" spans="1:14" ht="13.2" hidden="1">
      <c r="A2716" s="164" t="str">
        <f ca="1">IFERROR(__xludf.DUMMYFUNCTION("""COMPUTED_VALUE"""),"NIR")</f>
        <v>NIR</v>
      </c>
      <c r="B2716" s="164" t="str">
        <f ca="1">IFERROR(__xludf.DUMMYFUNCTION("""COMPUTED_VALUE"""),"Negros Occidental II")</f>
        <v>Negros Occidental II</v>
      </c>
      <c r="C2716" s="164" t="str">
        <f ca="1">IFERROR(__xludf.DUMMYFUNCTION("""COMPUTED_VALUE"""),"Desktop Computer – (MSI PRO DP180)")</f>
        <v>Desktop Computer – (MSI PRO DP180)</v>
      </c>
      <c r="D2716" s="164" t="str">
        <f ca="1">IFERROR(__xludf.DUMMYFUNCTION("""COMPUTED_VALUE"""),"₱ 49,300.00")</f>
        <v>₱ 49,300.00</v>
      </c>
      <c r="E2716" s="164"/>
      <c r="F2716" s="164" t="str">
        <f ca="1">IFERROR(__xludf.DUMMYFUNCTION("""COMPUTED_VALUE"""),"HV SPLIT-102-24-05-01-067")</f>
        <v>HV SPLIT-102-24-05-01-067</v>
      </c>
      <c r="G2716" s="164" t="str">
        <f ca="1">IFERROR(__xludf.DUMMYFUNCTION("""COMPUTED_VALUE"""),"MSB0A7O4S0103984")</f>
        <v>MSB0A7O4S0103984</v>
      </c>
      <c r="H2716" s="164" t="str">
        <f ca="1">IFERROR(__xludf.DUMMYFUNCTION("""COMPUTED_VALUE"""),"MERIE KRIS A. CAPISTRANO")</f>
        <v>MERIE KRIS A. CAPISTRANO</v>
      </c>
      <c r="I2716" s="164" t="str">
        <f ca="1">IFERROR(__xludf.DUMMYFUNCTION("""COMPUTED_VALUE"""),"SARPT")</f>
        <v>SARPT</v>
      </c>
      <c r="J2716" s="164" t="str">
        <f ca="1">IFERROR(__xludf.DUMMYFUNCTION("""COMPUTED_VALUE"""),"PTR 2024-09-054")</f>
        <v>PTR 2024-09-054</v>
      </c>
      <c r="K2716" s="164" t="str">
        <f ca="1">IFERROR(__xludf.DUMMYFUNCTION("""COMPUTED_VALUE"""),"MERIE KRIS A. CAPISTRANO")</f>
        <v>MERIE KRIS A. CAPISTRANO</v>
      </c>
      <c r="L2716" s="164" t="str">
        <f ca="1">IFERROR(__xludf.DUMMYFUNCTION("""COMPUTED_VALUE"""),"SPLIT PROJECT")</f>
        <v>SPLIT PROJECT</v>
      </c>
      <c r="M2716" s="164" t="str">
        <f ca="1">IFERROR(__xludf.DUMMYFUNCTION("""COMPUTED_VALUE"""),"SERVICEABLE")</f>
        <v>SERVICEABLE</v>
      </c>
      <c r="N2716" s="164"/>
    </row>
    <row r="2717" spans="1:14" ht="13.2" hidden="1">
      <c r="A2717" s="164" t="str">
        <f ca="1">IFERROR(__xludf.DUMMYFUNCTION("""COMPUTED_VALUE"""),"NIR")</f>
        <v>NIR</v>
      </c>
      <c r="B2717" s="164" t="str">
        <f ca="1">IFERROR(__xludf.DUMMYFUNCTION("""COMPUTED_VALUE"""),"Negros Oriental")</f>
        <v>Negros Oriental</v>
      </c>
      <c r="C2717" s="164" t="str">
        <f ca="1">IFERROR(__xludf.DUMMYFUNCTION("""COMPUTED_VALUE"""),"Desktop Computer – (Lenovo M70T)")</f>
        <v>Desktop Computer – (Lenovo M70T)</v>
      </c>
      <c r="D2717" s="164" t="str">
        <f ca="1">IFERROR(__xludf.DUMMYFUNCTION("""COMPUTED_VALUE"""),"₱ 75,468.00")</f>
        <v>₱ 75,468.00</v>
      </c>
      <c r="E2717" s="164"/>
      <c r="F2717" s="164" t="str">
        <f ca="1">IFERROR(__xludf.DUMMYFUNCTION("""COMPUTED_VALUE"""),"2023-05-030-0001-48")</f>
        <v>2023-05-030-0001-48</v>
      </c>
      <c r="G2717" s="164" t="str">
        <f ca="1">IFERROR(__xludf.DUMMYFUNCTION("""COMPUTED_VALUE"""),"CPU SN: 1S11T5S16200GM0353PY")</f>
        <v>CPU SN: 1S11T5S16200GM0353PY</v>
      </c>
      <c r="H2717" s="164" t="str">
        <f ca="1">IFERROR(__xludf.DUMMYFUNCTION("""COMPUTED_VALUE"""),"Manuel M. Galon Jr")</f>
        <v>Manuel M. Galon Jr</v>
      </c>
      <c r="I2717" s="164" t="str">
        <f ca="1">IFERROR(__xludf.DUMMYFUNCTION("""COMPUTED_VALUE"""),"PARPO I")</f>
        <v>PARPO I</v>
      </c>
      <c r="J2717" s="164"/>
      <c r="K2717" s="164" t="str">
        <f ca="1">IFERROR(__xludf.DUMMYFUNCTION("""COMPUTED_VALUE"""),"Manuel M. Galon Jr")</f>
        <v>Manuel M. Galon Jr</v>
      </c>
      <c r="L2717" s="164" t="str">
        <f ca="1">IFERROR(__xludf.DUMMYFUNCTION("""COMPUTED_VALUE"""),"PARO I")</f>
        <v>PARO I</v>
      </c>
      <c r="M2717" s="164" t="str">
        <f ca="1">IFERROR(__xludf.DUMMYFUNCTION("""COMPUTED_VALUE"""),"SERVICEABLE")</f>
        <v>SERVICEABLE</v>
      </c>
      <c r="N2717" s="164"/>
    </row>
    <row r="2718" spans="1:14" ht="13.2" hidden="1">
      <c r="A2718" s="164" t="str">
        <f ca="1">IFERROR(__xludf.DUMMYFUNCTION("""COMPUTED_VALUE"""),"NIR")</f>
        <v>NIR</v>
      </c>
      <c r="B2718" s="164" t="str">
        <f ca="1">IFERROR(__xludf.DUMMYFUNCTION("""COMPUTED_VALUE"""),"Negros Oriental")</f>
        <v>Negros Oriental</v>
      </c>
      <c r="C2718" s="164" t="str">
        <f ca="1">IFERROR(__xludf.DUMMYFUNCTION("""COMPUTED_VALUE"""),"Desktop Computer – (Lenovo M70T)")</f>
        <v>Desktop Computer – (Lenovo M70T)</v>
      </c>
      <c r="D2718" s="164" t="str">
        <f ca="1">IFERROR(__xludf.DUMMYFUNCTION("""COMPUTED_VALUE"""),"₱ 75,468.00")</f>
        <v>₱ 75,468.00</v>
      </c>
      <c r="E2718" s="164"/>
      <c r="F2718" s="164" t="str">
        <f ca="1">IFERROR(__xludf.DUMMYFUNCTION("""COMPUTED_VALUE"""),"2023-05-030-0002-48")</f>
        <v>2023-05-030-0002-48</v>
      </c>
      <c r="G2718" s="164" t="str">
        <f ca="1">IFERROR(__xludf.DUMMYFUNCTION("""COMPUTED_VALUE"""),"CPU SN: 1S11T5S16200GM0363Q2")</f>
        <v>CPU SN: 1S11T5S16200GM0363Q2</v>
      </c>
      <c r="H2718" s="164" t="str">
        <f ca="1">IFERROR(__xludf.DUMMYFUNCTION("""COMPUTED_VALUE"""),"Reyneza B. Vidal")</f>
        <v>Reyneza B. Vidal</v>
      </c>
      <c r="I2718" s="164" t="str">
        <f ca="1">IFERROR(__xludf.DUMMYFUNCTION("""COMPUTED_VALUE"""),"MARPO")</f>
        <v>MARPO</v>
      </c>
      <c r="J2718" s="164"/>
      <c r="K2718" s="164" t="str">
        <f ca="1">IFERROR(__xludf.DUMMYFUNCTION("""COMPUTED_VALUE"""),"Mary Clarette F. Bracero")</f>
        <v>Mary Clarette F. Bracero</v>
      </c>
      <c r="L2718" s="164" t="str">
        <f ca="1">IFERROR(__xludf.DUMMYFUNCTION("""COMPUTED_VALUE"""),"DARPO LTID")</f>
        <v>DARPO LTID</v>
      </c>
      <c r="M2718" s="164" t="str">
        <f ca="1">IFERROR(__xludf.DUMMYFUNCTION("""COMPUTED_VALUE"""),"SERVICEABLE")</f>
        <v>SERVICEABLE</v>
      </c>
      <c r="N2718" s="164"/>
    </row>
    <row r="2719" spans="1:14" ht="13.2" hidden="1">
      <c r="A2719" s="164" t="str">
        <f ca="1">IFERROR(__xludf.DUMMYFUNCTION("""COMPUTED_VALUE"""),"NIR")</f>
        <v>NIR</v>
      </c>
      <c r="B2719" s="164" t="str">
        <f ca="1">IFERROR(__xludf.DUMMYFUNCTION("""COMPUTED_VALUE"""),"Negros Oriental")</f>
        <v>Negros Oriental</v>
      </c>
      <c r="C2719" s="164" t="str">
        <f ca="1">IFERROR(__xludf.DUMMYFUNCTION("""COMPUTED_VALUE"""),"Desktop Computer – (Lenovo M70T)")</f>
        <v>Desktop Computer – (Lenovo M70T)</v>
      </c>
      <c r="D2719" s="164" t="str">
        <f ca="1">IFERROR(__xludf.DUMMYFUNCTION("""COMPUTED_VALUE"""),"₱ 75,468.00")</f>
        <v>₱ 75,468.00</v>
      </c>
      <c r="E2719" s="164"/>
      <c r="F2719" s="164" t="str">
        <f ca="1">IFERROR(__xludf.DUMMYFUNCTION("""COMPUTED_VALUE"""),"2023-05-030-0003-48")</f>
        <v>2023-05-030-0003-48</v>
      </c>
      <c r="G2719" s="164" t="str">
        <f ca="1">IFERROR(__xludf.DUMMYFUNCTION("""COMPUTED_VALUE"""),"CPU SN: 1S11T5S16200GM0415SK")</f>
        <v>CPU SN: 1S11T5S16200GM0415SK</v>
      </c>
      <c r="H2719" s="164" t="str">
        <f ca="1">IFERROR(__xludf.DUMMYFUNCTION("""COMPUTED_VALUE"""),"Debie Irish Cornelia")</f>
        <v>Debie Irish Cornelia</v>
      </c>
      <c r="I2719" s="164" t="str">
        <f ca="1">IFERROR(__xludf.DUMMYFUNCTION("""COMPUTED_VALUE"""),"ARPT")</f>
        <v>ARPT</v>
      </c>
      <c r="J2719" s="164"/>
      <c r="K2719" s="164" t="str">
        <f ca="1">IFERROR(__xludf.DUMMYFUNCTION("""COMPUTED_VALUE"""),"Debie Irish Cornelia")</f>
        <v>Debie Irish Cornelia</v>
      </c>
      <c r="L2719" s="164" t="str">
        <f ca="1">IFERROR(__xludf.DUMMYFUNCTION("""COMPUTED_VALUE"""),"DARPO LTID")</f>
        <v>DARPO LTID</v>
      </c>
      <c r="M2719" s="164" t="str">
        <f ca="1">IFERROR(__xludf.DUMMYFUNCTION("""COMPUTED_VALUE"""),"SERVICEABLE")</f>
        <v>SERVICEABLE</v>
      </c>
      <c r="N2719" s="164"/>
    </row>
    <row r="2720" spans="1:14" ht="13.2" hidden="1">
      <c r="A2720" s="164" t="str">
        <f ca="1">IFERROR(__xludf.DUMMYFUNCTION("""COMPUTED_VALUE"""),"NIR")</f>
        <v>NIR</v>
      </c>
      <c r="B2720" s="164" t="str">
        <f ca="1">IFERROR(__xludf.DUMMYFUNCTION("""COMPUTED_VALUE"""),"Negros Oriental")</f>
        <v>Negros Oriental</v>
      </c>
      <c r="C2720" s="164" t="str">
        <f ca="1">IFERROR(__xludf.DUMMYFUNCTION("""COMPUTED_VALUE"""),"Desktop Computer – (Lenovo M70T)")</f>
        <v>Desktop Computer – (Lenovo M70T)</v>
      </c>
      <c r="D2720" s="164" t="str">
        <f ca="1">IFERROR(__xludf.DUMMYFUNCTION("""COMPUTED_VALUE"""),"₱ 75,468.00")</f>
        <v>₱ 75,468.00</v>
      </c>
      <c r="E2720" s="164"/>
      <c r="F2720" s="164" t="str">
        <f ca="1">IFERROR(__xludf.DUMMYFUNCTION("""COMPUTED_VALUE"""),"2023-05-030-0004-48")</f>
        <v>2023-05-030-0004-48</v>
      </c>
      <c r="G2720" s="164" t="str">
        <f ca="1">IFERROR(__xludf.DUMMYFUNCTION("""COMPUTED_VALUE"""),"CPU SN: 1S11T5S16200GM0415TD")</f>
        <v>CPU SN: 1S11T5S16200GM0415TD</v>
      </c>
      <c r="H2720" s="164" t="str">
        <f ca="1">IFERROR(__xludf.DUMMYFUNCTION("""COMPUTED_VALUE"""),"Lumel D Chiu")</f>
        <v>Lumel D Chiu</v>
      </c>
      <c r="I2720" s="164" t="str">
        <f ca="1">IFERROR(__xludf.DUMMYFUNCTION("""COMPUTED_VALUE"""),"CARPO PBD")</f>
        <v>CARPO PBD</v>
      </c>
      <c r="J2720" s="164"/>
      <c r="K2720" s="164" t="str">
        <f ca="1">IFERROR(__xludf.DUMMYFUNCTION("""COMPUTED_VALUE"""),"Lumel D Chiu")</f>
        <v>Lumel D Chiu</v>
      </c>
      <c r="L2720" s="164" t="str">
        <f ca="1">IFERROR(__xludf.DUMMYFUNCTION("""COMPUTED_VALUE"""),"DARPO PBD")</f>
        <v>DARPO PBD</v>
      </c>
      <c r="M2720" s="164" t="str">
        <f ca="1">IFERROR(__xludf.DUMMYFUNCTION("""COMPUTED_VALUE"""),"SERVICEABLE")</f>
        <v>SERVICEABLE</v>
      </c>
      <c r="N2720" s="164"/>
    </row>
    <row r="2721" spans="1:14" ht="13.2" hidden="1">
      <c r="A2721" s="164" t="str">
        <f ca="1">IFERROR(__xludf.DUMMYFUNCTION("""COMPUTED_VALUE"""),"NIR")</f>
        <v>NIR</v>
      </c>
      <c r="B2721" s="164" t="str">
        <f ca="1">IFERROR(__xludf.DUMMYFUNCTION("""COMPUTED_VALUE"""),"Negros Oriental")</f>
        <v>Negros Oriental</v>
      </c>
      <c r="C2721" s="164" t="str">
        <f ca="1">IFERROR(__xludf.DUMMYFUNCTION("""COMPUTED_VALUE"""),"Desktop Computer – (Lenovo M70T)")</f>
        <v>Desktop Computer – (Lenovo M70T)</v>
      </c>
      <c r="D2721" s="164" t="str">
        <f ca="1">IFERROR(__xludf.DUMMYFUNCTION("""COMPUTED_VALUE"""),"₱ 75,468.00")</f>
        <v>₱ 75,468.00</v>
      </c>
      <c r="E2721" s="164"/>
      <c r="F2721" s="164" t="str">
        <f ca="1">IFERROR(__xludf.DUMMYFUNCTION("""COMPUTED_VALUE"""),"2023-05-030-0005-48")</f>
        <v>2023-05-030-0005-48</v>
      </c>
      <c r="G2721" s="164" t="str">
        <f ca="1">IFERROR(__xludf.DUMMYFUNCTION("""COMPUTED_VALUE"""),"CPU SN: 1S11T5S16200GM0415WL")</f>
        <v>CPU SN: 1S11T5S16200GM0415WL</v>
      </c>
      <c r="H2721" s="164" t="str">
        <f ca="1">IFERROR(__xludf.DUMMYFUNCTION("""COMPUTED_VALUE"""),"Juvylen E. Eso")</f>
        <v>Juvylen E. Eso</v>
      </c>
      <c r="I2721" s="164" t="str">
        <f ca="1">IFERROR(__xludf.DUMMYFUNCTION("""COMPUTED_VALUE"""),"ARPT")</f>
        <v>ARPT</v>
      </c>
      <c r="J2721" s="164"/>
      <c r="K2721" s="164" t="str">
        <f ca="1">IFERROR(__xludf.DUMMYFUNCTION("""COMPUTED_VALUE"""),"Juvylen E. Eso")</f>
        <v>Juvylen E. Eso</v>
      </c>
      <c r="L2721" s="164" t="str">
        <f ca="1">IFERROR(__xludf.DUMMYFUNCTION("""COMPUTED_VALUE"""),"DARPO LTID")</f>
        <v>DARPO LTID</v>
      </c>
      <c r="M2721" s="164" t="str">
        <f ca="1">IFERROR(__xludf.DUMMYFUNCTION("""COMPUTED_VALUE"""),"SERVICEABLE")</f>
        <v>SERVICEABLE</v>
      </c>
      <c r="N2721" s="164"/>
    </row>
    <row r="2722" spans="1:14" ht="13.2" hidden="1">
      <c r="A2722" s="164" t="str">
        <f ca="1">IFERROR(__xludf.DUMMYFUNCTION("""COMPUTED_VALUE"""),"NIR")</f>
        <v>NIR</v>
      </c>
      <c r="B2722" s="164" t="str">
        <f ca="1">IFERROR(__xludf.DUMMYFUNCTION("""COMPUTED_VALUE"""),"Negros Oriental")</f>
        <v>Negros Oriental</v>
      </c>
      <c r="C2722" s="164" t="str">
        <f ca="1">IFERROR(__xludf.DUMMYFUNCTION("""COMPUTED_VALUE"""),"Desktop Computer – (Lenovo M70T)")</f>
        <v>Desktop Computer – (Lenovo M70T)</v>
      </c>
      <c r="D2722" s="164" t="str">
        <f ca="1">IFERROR(__xludf.DUMMYFUNCTION("""COMPUTED_VALUE"""),"₱ 75,468.00")</f>
        <v>₱ 75,468.00</v>
      </c>
      <c r="E2722" s="164"/>
      <c r="F2722" s="164" t="str">
        <f ca="1">IFERROR(__xludf.DUMMYFUNCTION("""COMPUTED_VALUE"""),"2023-05-030-0006-48")</f>
        <v>2023-05-030-0006-48</v>
      </c>
      <c r="G2722" s="164" t="str">
        <f ca="1">IFERROR(__xludf.DUMMYFUNCTION("""COMPUTED_VALUE"""),"CPU SN: 1S11T5S16200GM0415XC")</f>
        <v>CPU SN: 1S11T5S16200GM0415XC</v>
      </c>
      <c r="H2722" s="164" t="str">
        <f ca="1">IFERROR(__xludf.DUMMYFUNCTION("""COMPUTED_VALUE"""),"Lilany P. Dipaling")</f>
        <v>Lilany P. Dipaling</v>
      </c>
      <c r="I2722" s="164" t="str">
        <f ca="1">IFERROR(__xludf.DUMMYFUNCTION("""COMPUTED_VALUE"""),"PCAO")</f>
        <v>PCAO</v>
      </c>
      <c r="J2722" s="164"/>
      <c r="K2722" s="164" t="str">
        <f ca="1">IFERROR(__xludf.DUMMYFUNCTION("""COMPUTED_VALUE"""),"Lilany P. Dipaling")</f>
        <v>Lilany P. Dipaling</v>
      </c>
      <c r="L2722" s="164" t="str">
        <f ca="1">IFERROR(__xludf.DUMMYFUNCTION("""COMPUTED_VALUE"""),"DARPO STOD")</f>
        <v>DARPO STOD</v>
      </c>
      <c r="M2722" s="164" t="str">
        <f ca="1">IFERROR(__xludf.DUMMYFUNCTION("""COMPUTED_VALUE"""),"SERVICEABLE")</f>
        <v>SERVICEABLE</v>
      </c>
      <c r="N2722" s="164"/>
    </row>
    <row r="2723" spans="1:14" ht="13.2" hidden="1">
      <c r="A2723" s="164" t="str">
        <f ca="1">IFERROR(__xludf.DUMMYFUNCTION("""COMPUTED_VALUE"""),"NIR")</f>
        <v>NIR</v>
      </c>
      <c r="B2723" s="164" t="str">
        <f ca="1">IFERROR(__xludf.DUMMYFUNCTION("""COMPUTED_VALUE"""),"Negros Oriental")</f>
        <v>Negros Oriental</v>
      </c>
      <c r="C2723" s="164" t="str">
        <f ca="1">IFERROR(__xludf.DUMMYFUNCTION("""COMPUTED_VALUE"""),"Desktop Computer – (Lenovo M70T)")</f>
        <v>Desktop Computer – (Lenovo M70T)</v>
      </c>
      <c r="D2723" s="164" t="str">
        <f ca="1">IFERROR(__xludf.DUMMYFUNCTION("""COMPUTED_VALUE"""),"₱ 75,468.00")</f>
        <v>₱ 75,468.00</v>
      </c>
      <c r="E2723" s="164"/>
      <c r="F2723" s="164" t="str">
        <f ca="1">IFERROR(__xludf.DUMMYFUNCTION("""COMPUTED_VALUE"""),"2023-05-030-0007-48")</f>
        <v>2023-05-030-0007-48</v>
      </c>
      <c r="G2723" s="164" t="str">
        <f ca="1">IFERROR(__xludf.DUMMYFUNCTION("""COMPUTED_VALUE"""),"CPU SN: 1S11T5S16200GM0415Z8")</f>
        <v>CPU SN: 1S11T5S16200GM0415Z8</v>
      </c>
      <c r="H2723" s="164" t="str">
        <f ca="1">IFERROR(__xludf.DUMMYFUNCTION("""COMPUTED_VALUE"""),"Ma Socorro Concepcion Cardines")</f>
        <v>Ma Socorro Concepcion Cardines</v>
      </c>
      <c r="I2723" s="164" t="str">
        <f ca="1">IFERROR(__xludf.DUMMYFUNCTION("""COMPUTED_VALUE"""),"SARPO")</f>
        <v>SARPO</v>
      </c>
      <c r="J2723" s="164"/>
      <c r="K2723" s="164" t="str">
        <f ca="1">IFERROR(__xludf.DUMMYFUNCTION("""COMPUTED_VALUE"""),"Ma Socorro Concepcion Cardines")</f>
        <v>Ma Socorro Concepcion Cardines</v>
      </c>
      <c r="L2723" s="164" t="str">
        <f ca="1">IFERROR(__xludf.DUMMYFUNCTION("""COMPUTED_VALUE"""),"DARPO LTID")</f>
        <v>DARPO LTID</v>
      </c>
      <c r="M2723" s="164" t="str">
        <f ca="1">IFERROR(__xludf.DUMMYFUNCTION("""COMPUTED_VALUE"""),"SERVICEABLE")</f>
        <v>SERVICEABLE</v>
      </c>
      <c r="N2723" s="164"/>
    </row>
    <row r="2724" spans="1:14" ht="13.2" hidden="1">
      <c r="A2724" s="164" t="str">
        <f ca="1">IFERROR(__xludf.DUMMYFUNCTION("""COMPUTED_VALUE"""),"NIR")</f>
        <v>NIR</v>
      </c>
      <c r="B2724" s="164" t="str">
        <f ca="1">IFERROR(__xludf.DUMMYFUNCTION("""COMPUTED_VALUE"""),"Negros Oriental")</f>
        <v>Negros Oriental</v>
      </c>
      <c r="C2724" s="164" t="str">
        <f ca="1">IFERROR(__xludf.DUMMYFUNCTION("""COMPUTED_VALUE"""),"Desktop Computer – (Lenovo M70T)")</f>
        <v>Desktop Computer – (Lenovo M70T)</v>
      </c>
      <c r="D2724" s="164" t="str">
        <f ca="1">IFERROR(__xludf.DUMMYFUNCTION("""COMPUTED_VALUE"""),"₱ 75,468.00")</f>
        <v>₱ 75,468.00</v>
      </c>
      <c r="E2724" s="164"/>
      <c r="F2724" s="164" t="str">
        <f ca="1">IFERROR(__xludf.DUMMYFUNCTION("""COMPUTED_VALUE"""),"2023-05-030-0008-48")</f>
        <v>2023-05-030-0008-48</v>
      </c>
      <c r="G2724" s="164" t="str">
        <f ca="1">IFERROR(__xludf.DUMMYFUNCTION("""COMPUTED_VALUE"""),"CPU SN: 1S11T5S16200GM0415ZC")</f>
        <v>CPU SN: 1S11T5S16200GM0415ZC</v>
      </c>
      <c r="H2724" s="164" t="str">
        <f ca="1">IFERROR(__xludf.DUMMYFUNCTION("""COMPUTED_VALUE"""),"Rena Marie E. Ramos")</f>
        <v>Rena Marie E. Ramos</v>
      </c>
      <c r="I2724" s="164" t="str">
        <f ca="1">IFERROR(__xludf.DUMMYFUNCTION("""COMPUTED_VALUE"""),"Accountant II")</f>
        <v>Accountant II</v>
      </c>
      <c r="J2724" s="164"/>
      <c r="K2724" s="164" t="str">
        <f ca="1">IFERROR(__xludf.DUMMYFUNCTION("""COMPUTED_VALUE"""),"Regine E. Teves")</f>
        <v>Regine E. Teves</v>
      </c>
      <c r="L2724" s="164" t="str">
        <f ca="1">IFERROR(__xludf.DUMMYFUNCTION("""COMPUTED_VALUE"""),"DARPO STOD")</f>
        <v>DARPO STOD</v>
      </c>
      <c r="M2724" s="164" t="str">
        <f ca="1">IFERROR(__xludf.DUMMYFUNCTION("""COMPUTED_VALUE"""),"SERVICEABLE")</f>
        <v>SERVICEABLE</v>
      </c>
      <c r="N2724" s="164"/>
    </row>
    <row r="2725" spans="1:14" ht="13.2" hidden="1">
      <c r="A2725" s="164" t="str">
        <f ca="1">IFERROR(__xludf.DUMMYFUNCTION("""COMPUTED_VALUE"""),"NIR")</f>
        <v>NIR</v>
      </c>
      <c r="B2725" s="164" t="str">
        <f ca="1">IFERROR(__xludf.DUMMYFUNCTION("""COMPUTED_VALUE"""),"Negros Oriental")</f>
        <v>Negros Oriental</v>
      </c>
      <c r="C2725" s="164" t="str">
        <f ca="1">IFERROR(__xludf.DUMMYFUNCTION("""COMPUTED_VALUE"""),"Desktop Computer – (Lenovo M70T)")</f>
        <v>Desktop Computer – (Lenovo M70T)</v>
      </c>
      <c r="D2725" s="164" t="str">
        <f ca="1">IFERROR(__xludf.DUMMYFUNCTION("""COMPUTED_VALUE"""),"₱ 75,468.00")</f>
        <v>₱ 75,468.00</v>
      </c>
      <c r="E2725" s="164"/>
      <c r="F2725" s="164" t="str">
        <f ca="1">IFERROR(__xludf.DUMMYFUNCTION("""COMPUTED_VALUE"""),"2023-05-030-0009-48")</f>
        <v>2023-05-030-0009-48</v>
      </c>
      <c r="G2725" s="164" t="str">
        <f ca="1">IFERROR(__xludf.DUMMYFUNCTION("""COMPUTED_VALUE"""),"CPU SN: 1S11T5S16200GM0415ZK")</f>
        <v>CPU SN: 1S11T5S16200GM0415ZK</v>
      </c>
      <c r="H2725" s="164" t="str">
        <f ca="1">IFERROR(__xludf.DUMMYFUNCTION("""COMPUTED_VALUE"""),"Anthony Rey D. Lobrido")</f>
        <v>Anthony Rey D. Lobrido</v>
      </c>
      <c r="I2725" s="164" t="str">
        <f ca="1">IFERROR(__xludf.DUMMYFUNCTION("""COMPUTED_VALUE"""),"AO IV")</f>
        <v>AO IV</v>
      </c>
      <c r="J2725" s="164"/>
      <c r="K2725" s="164" t="str">
        <f ca="1">IFERROR(__xludf.DUMMYFUNCTION("""COMPUTED_VALUE"""),"Melanie Abanilla")</f>
        <v>Melanie Abanilla</v>
      </c>
      <c r="L2725" s="164" t="str">
        <f ca="1">IFERROR(__xludf.DUMMYFUNCTION("""COMPUTED_VALUE"""),"DARPO STOD")</f>
        <v>DARPO STOD</v>
      </c>
      <c r="M2725" s="164" t="str">
        <f ca="1">IFERROR(__xludf.DUMMYFUNCTION("""COMPUTED_VALUE"""),"SERVICEABLE")</f>
        <v>SERVICEABLE</v>
      </c>
      <c r="N2725" s="164"/>
    </row>
    <row r="2726" spans="1:14" ht="13.2" hidden="1">
      <c r="A2726" s="164" t="str">
        <f ca="1">IFERROR(__xludf.DUMMYFUNCTION("""COMPUTED_VALUE"""),"NIR")</f>
        <v>NIR</v>
      </c>
      <c r="B2726" s="164" t="str">
        <f ca="1">IFERROR(__xludf.DUMMYFUNCTION("""COMPUTED_VALUE"""),"Negros Oriental")</f>
        <v>Negros Oriental</v>
      </c>
      <c r="C2726" s="164" t="str">
        <f ca="1">IFERROR(__xludf.DUMMYFUNCTION("""COMPUTED_VALUE"""),"Desktop Computer – (Lenovo M70T)")</f>
        <v>Desktop Computer – (Lenovo M70T)</v>
      </c>
      <c r="D2726" s="164" t="str">
        <f ca="1">IFERROR(__xludf.DUMMYFUNCTION("""COMPUTED_VALUE"""),"₱ 75,468.00")</f>
        <v>₱ 75,468.00</v>
      </c>
      <c r="E2726" s="164"/>
      <c r="F2726" s="164" t="str">
        <f ca="1">IFERROR(__xludf.DUMMYFUNCTION("""COMPUTED_VALUE"""),"2023-05-030-0010-48")</f>
        <v>2023-05-030-0010-48</v>
      </c>
      <c r="G2726" s="164" t="str">
        <f ca="1">IFERROR(__xludf.DUMMYFUNCTION("""COMPUTED_VALUE"""),"CPU SN: 1S11T5S16200GM0415ZP")</f>
        <v>CPU SN: 1S11T5S16200GM0415ZP</v>
      </c>
      <c r="H2726" s="164" t="str">
        <f ca="1">IFERROR(__xludf.DUMMYFUNCTION("""COMPUTED_VALUE"""),"Noe B. Canteveros")</f>
        <v>Noe B. Canteveros</v>
      </c>
      <c r="I2726" s="164" t="str">
        <f ca="1">IFERROR(__xludf.DUMMYFUNCTION("""COMPUTED_VALUE"""),"Chief Legal")</f>
        <v>Chief Legal</v>
      </c>
      <c r="J2726" s="164"/>
      <c r="K2726" s="164" t="str">
        <f ca="1">IFERROR(__xludf.DUMMYFUNCTION("""COMPUTED_VALUE"""),"Noe B. Canteveros")</f>
        <v>Noe B. Canteveros</v>
      </c>
      <c r="L2726" s="164" t="str">
        <f ca="1">IFERROR(__xludf.DUMMYFUNCTION("""COMPUTED_VALUE"""),"DARPO LEGAL")</f>
        <v>DARPO LEGAL</v>
      </c>
      <c r="M2726" s="164" t="str">
        <f ca="1">IFERROR(__xludf.DUMMYFUNCTION("""COMPUTED_VALUE"""),"SERVICEABLE")</f>
        <v>SERVICEABLE</v>
      </c>
      <c r="N2726" s="164"/>
    </row>
    <row r="2727" spans="1:14" ht="13.2" hidden="1">
      <c r="A2727" s="164" t="str">
        <f ca="1">IFERROR(__xludf.DUMMYFUNCTION("""COMPUTED_VALUE"""),"NIR")</f>
        <v>NIR</v>
      </c>
      <c r="B2727" s="164" t="str">
        <f ca="1">IFERROR(__xludf.DUMMYFUNCTION("""COMPUTED_VALUE"""),"Negros Oriental")</f>
        <v>Negros Oriental</v>
      </c>
      <c r="C2727" s="164" t="str">
        <f ca="1">IFERROR(__xludf.DUMMYFUNCTION("""COMPUTED_VALUE"""),"Desktop Computer – (Lenovo M70T)")</f>
        <v>Desktop Computer – (Lenovo M70T)</v>
      </c>
      <c r="D2727" s="164" t="str">
        <f ca="1">IFERROR(__xludf.DUMMYFUNCTION("""COMPUTED_VALUE"""),"₱ 75,468.00")</f>
        <v>₱ 75,468.00</v>
      </c>
      <c r="E2727" s="164"/>
      <c r="F2727" s="164" t="str">
        <f ca="1">IFERROR(__xludf.DUMMYFUNCTION("""COMPUTED_VALUE"""),"2023-05-030-0011-48")</f>
        <v>2023-05-030-0011-48</v>
      </c>
      <c r="G2727" s="164" t="str">
        <f ca="1">IFERROR(__xludf.DUMMYFUNCTION("""COMPUTED_VALUE"""),"CPU SN: 1S11T5S16200GM0416OV")</f>
        <v>CPU SN: 1S11T5S16200GM0416OV</v>
      </c>
      <c r="H2727" s="164" t="str">
        <f ca="1">IFERROR(__xludf.DUMMYFUNCTION("""COMPUTED_VALUE"""),"Carlito Monrico Q. Inoferio")</f>
        <v>Carlito Monrico Q. Inoferio</v>
      </c>
      <c r="I2727" s="164" t="str">
        <f ca="1">IFERROR(__xludf.DUMMYFUNCTION("""COMPUTED_VALUE"""),"ARPT")</f>
        <v>ARPT</v>
      </c>
      <c r="J2727" s="164"/>
      <c r="K2727" s="164" t="str">
        <f ca="1">IFERROR(__xludf.DUMMYFUNCTION("""COMPUTED_VALUE"""),"Carlito Monrico Q. Inoferio")</f>
        <v>Carlito Monrico Q. Inoferio</v>
      </c>
      <c r="L2727" s="164" t="str">
        <f ca="1">IFERROR(__xludf.DUMMYFUNCTION("""COMPUTED_VALUE"""),"DARPO LTID")</f>
        <v>DARPO LTID</v>
      </c>
      <c r="M2727" s="164" t="str">
        <f ca="1">IFERROR(__xludf.DUMMYFUNCTION("""COMPUTED_VALUE"""),"SERVICEABLE")</f>
        <v>SERVICEABLE</v>
      </c>
      <c r="N2727" s="164"/>
    </row>
    <row r="2728" spans="1:14" ht="13.2" hidden="1">
      <c r="A2728" s="164" t="str">
        <f ca="1">IFERROR(__xludf.DUMMYFUNCTION("""COMPUTED_VALUE"""),"NIR")</f>
        <v>NIR</v>
      </c>
      <c r="B2728" s="164" t="str">
        <f ca="1">IFERROR(__xludf.DUMMYFUNCTION("""COMPUTED_VALUE"""),"Negros Oriental")</f>
        <v>Negros Oriental</v>
      </c>
      <c r="C2728" s="164" t="str">
        <f ca="1">IFERROR(__xludf.DUMMYFUNCTION("""COMPUTED_VALUE"""),"Desktop Computer – (Lenovo M70T)")</f>
        <v>Desktop Computer – (Lenovo M70T)</v>
      </c>
      <c r="D2728" s="164" t="str">
        <f ca="1">IFERROR(__xludf.DUMMYFUNCTION("""COMPUTED_VALUE"""),"₱ 75,468.00")</f>
        <v>₱ 75,468.00</v>
      </c>
      <c r="E2728" s="164"/>
      <c r="F2728" s="164" t="str">
        <f ca="1">IFERROR(__xludf.DUMMYFUNCTION("""COMPUTED_VALUE"""),"2023-05-030-0012-48")</f>
        <v>2023-05-030-0012-48</v>
      </c>
      <c r="G2728" s="164" t="str">
        <f ca="1">IFERROR(__xludf.DUMMYFUNCTION("""COMPUTED_VALUE"""),"CPU SN: 1S11T5S16200GM0416OW")</f>
        <v>CPU SN: 1S11T5S16200GM0416OW</v>
      </c>
      <c r="H2728" s="164" t="str">
        <f ca="1">IFERROR(__xludf.DUMMYFUNCTION("""COMPUTED_VALUE"""),"Rainer A. Smith")</f>
        <v>Rainer A. Smith</v>
      </c>
      <c r="I2728" s="164" t="str">
        <f ca="1">IFERROR(__xludf.DUMMYFUNCTION("""COMPUTED_VALUE"""),"ARPT")</f>
        <v>ARPT</v>
      </c>
      <c r="J2728" s="164"/>
      <c r="K2728" s="164" t="str">
        <f ca="1">IFERROR(__xludf.DUMMYFUNCTION("""COMPUTED_VALUE"""),"Rainer A. Smith")</f>
        <v>Rainer A. Smith</v>
      </c>
      <c r="L2728" s="164" t="str">
        <f ca="1">IFERROR(__xludf.DUMMYFUNCTION("""COMPUTED_VALUE"""),"DARPO LTID")</f>
        <v>DARPO LTID</v>
      </c>
      <c r="M2728" s="164" t="str">
        <f ca="1">IFERROR(__xludf.DUMMYFUNCTION("""COMPUTED_VALUE"""),"SERVICEABLE")</f>
        <v>SERVICEABLE</v>
      </c>
      <c r="N2728" s="164"/>
    </row>
    <row r="2729" spans="1:14" ht="13.2" hidden="1">
      <c r="A2729" s="164" t="str">
        <f ca="1">IFERROR(__xludf.DUMMYFUNCTION("""COMPUTED_VALUE"""),"NIR")</f>
        <v>NIR</v>
      </c>
      <c r="B2729" s="164" t="str">
        <f ca="1">IFERROR(__xludf.DUMMYFUNCTION("""COMPUTED_VALUE"""),"Negros Oriental")</f>
        <v>Negros Oriental</v>
      </c>
      <c r="C2729" s="164" t="str">
        <f ca="1">IFERROR(__xludf.DUMMYFUNCTION("""COMPUTED_VALUE"""),"Desktop Computer – (Lenovo M70T)")</f>
        <v>Desktop Computer – (Lenovo M70T)</v>
      </c>
      <c r="D2729" s="164" t="str">
        <f ca="1">IFERROR(__xludf.DUMMYFUNCTION("""COMPUTED_VALUE"""),"₱ 75,468.00")</f>
        <v>₱ 75,468.00</v>
      </c>
      <c r="E2729" s="164"/>
      <c r="F2729" s="164" t="str">
        <f ca="1">IFERROR(__xludf.DUMMYFUNCTION("""COMPUTED_VALUE"""),"2023-05-030-0013-48")</f>
        <v>2023-05-030-0013-48</v>
      </c>
      <c r="G2729" s="164" t="str">
        <f ca="1">IFERROR(__xludf.DUMMYFUNCTION("""COMPUTED_VALUE"""),"CPU SN: 1S11T5S16200GM041612")</f>
        <v>CPU SN: 1S11T5S16200GM041612</v>
      </c>
      <c r="H2729" s="164" t="str">
        <f ca="1">IFERROR(__xludf.DUMMYFUNCTION("""COMPUTED_VALUE"""),"Charesse A. Comon")</f>
        <v>Charesse A. Comon</v>
      </c>
      <c r="I2729" s="164" t="str">
        <f ca="1">IFERROR(__xludf.DUMMYFUNCTION("""COMPUTED_VALUE"""),"ARPO I")</f>
        <v>ARPO I</v>
      </c>
      <c r="J2729" s="164"/>
      <c r="K2729" s="164" t="str">
        <f ca="1">IFERROR(__xludf.DUMMYFUNCTION("""COMPUTED_VALUE"""),"Charesse A. Comon")</f>
        <v>Charesse A. Comon</v>
      </c>
      <c r="L2729" s="164" t="str">
        <f ca="1">IFERROR(__xludf.DUMMYFUNCTION("""COMPUTED_VALUE"""),"DARPO LTID")</f>
        <v>DARPO LTID</v>
      </c>
      <c r="M2729" s="164" t="str">
        <f ca="1">IFERROR(__xludf.DUMMYFUNCTION("""COMPUTED_VALUE"""),"SERVICEABLE")</f>
        <v>SERVICEABLE</v>
      </c>
      <c r="N2729" s="164"/>
    </row>
    <row r="2730" spans="1:14" ht="13.2" hidden="1">
      <c r="A2730" s="164" t="str">
        <f ca="1">IFERROR(__xludf.DUMMYFUNCTION("""COMPUTED_VALUE"""),"NIR")</f>
        <v>NIR</v>
      </c>
      <c r="B2730" s="164" t="str">
        <f ca="1">IFERROR(__xludf.DUMMYFUNCTION("""COMPUTED_VALUE"""),"Negros Oriental")</f>
        <v>Negros Oriental</v>
      </c>
      <c r="C2730" s="164" t="str">
        <f ca="1">IFERROR(__xludf.DUMMYFUNCTION("""COMPUTED_VALUE"""),"Desktop Computer – (Lenovo M70T)")</f>
        <v>Desktop Computer – (Lenovo M70T)</v>
      </c>
      <c r="D2730" s="164" t="str">
        <f ca="1">IFERROR(__xludf.DUMMYFUNCTION("""COMPUTED_VALUE"""),"₱ 75,468.00")</f>
        <v>₱ 75,468.00</v>
      </c>
      <c r="E2730" s="164"/>
      <c r="F2730" s="164" t="str">
        <f ca="1">IFERROR(__xludf.DUMMYFUNCTION("""COMPUTED_VALUE"""),"2023-05-030-0014-48")</f>
        <v>2023-05-030-0014-48</v>
      </c>
      <c r="G2730" s="164" t="str">
        <f ca="1">IFERROR(__xludf.DUMMYFUNCTION("""COMPUTED_VALUE"""),"CPU SN: 1S11T5S16200GM041615")</f>
        <v>CPU SN: 1S11T5S16200GM041615</v>
      </c>
      <c r="H2730" s="164" t="str">
        <f ca="1">IFERROR(__xludf.DUMMYFUNCTION("""COMPUTED_VALUE"""),"Melissa U. Adanza")</f>
        <v>Melissa U. Adanza</v>
      </c>
      <c r="I2730" s="164" t="str">
        <f ca="1">IFERROR(__xludf.DUMMYFUNCTION("""COMPUTED_VALUE"""),"ARPO II")</f>
        <v>ARPO II</v>
      </c>
      <c r="J2730" s="164"/>
      <c r="K2730" s="164" t="str">
        <f ca="1">IFERROR(__xludf.DUMMYFUNCTION("""COMPUTED_VALUE"""),"Melissa U. Adanza")</f>
        <v>Melissa U. Adanza</v>
      </c>
      <c r="L2730" s="164" t="str">
        <f ca="1">IFERROR(__xludf.DUMMYFUNCTION("""COMPUTED_VALUE"""),"DARPO LTID")</f>
        <v>DARPO LTID</v>
      </c>
      <c r="M2730" s="164" t="str">
        <f ca="1">IFERROR(__xludf.DUMMYFUNCTION("""COMPUTED_VALUE"""),"SERVICEABLE")</f>
        <v>SERVICEABLE</v>
      </c>
      <c r="N2730" s="164"/>
    </row>
    <row r="2731" spans="1:14" ht="13.2" hidden="1">
      <c r="A2731" s="164" t="str">
        <f ca="1">IFERROR(__xludf.DUMMYFUNCTION("""COMPUTED_VALUE"""),"NIR")</f>
        <v>NIR</v>
      </c>
      <c r="B2731" s="164" t="str">
        <f ca="1">IFERROR(__xludf.DUMMYFUNCTION("""COMPUTED_VALUE"""),"Negros Oriental")</f>
        <v>Negros Oriental</v>
      </c>
      <c r="C2731" s="164" t="str">
        <f ca="1">IFERROR(__xludf.DUMMYFUNCTION("""COMPUTED_VALUE"""),"Desktop Computer – (Lenovo M70T)")</f>
        <v>Desktop Computer – (Lenovo M70T)</v>
      </c>
      <c r="D2731" s="164" t="str">
        <f ca="1">IFERROR(__xludf.DUMMYFUNCTION("""COMPUTED_VALUE"""),"₱ 75,468.00")</f>
        <v>₱ 75,468.00</v>
      </c>
      <c r="E2731" s="164"/>
      <c r="F2731" s="164" t="str">
        <f ca="1">IFERROR(__xludf.DUMMYFUNCTION("""COMPUTED_VALUE"""),"2023-05-030-0015-48")</f>
        <v>2023-05-030-0015-48</v>
      </c>
      <c r="G2731" s="164" t="str">
        <f ca="1">IFERROR(__xludf.DUMMYFUNCTION("""COMPUTED_VALUE"""),"CPU SN: 1S11T5S16200GM041617")</f>
        <v>CPU SN: 1S11T5S16200GM041617</v>
      </c>
      <c r="H2731" s="164" t="str">
        <f ca="1">IFERROR(__xludf.DUMMYFUNCTION("""COMPUTED_VALUE"""),"Ginabel C. Trasmonte")</f>
        <v>Ginabel C. Trasmonte</v>
      </c>
      <c r="I2731" s="164" t="str">
        <f ca="1">IFERROR(__xludf.DUMMYFUNCTION("""COMPUTED_VALUE"""),"SARPT")</f>
        <v>SARPT</v>
      </c>
      <c r="J2731" s="164"/>
      <c r="K2731" s="164" t="str">
        <f ca="1">IFERROR(__xludf.DUMMYFUNCTION("""COMPUTED_VALUE"""),"Ginabel C. Trasmonte")</f>
        <v>Ginabel C. Trasmonte</v>
      </c>
      <c r="L2731" s="164" t="str">
        <f ca="1">IFERROR(__xludf.DUMMYFUNCTION("""COMPUTED_VALUE"""),"DARPO LTID")</f>
        <v>DARPO LTID</v>
      </c>
      <c r="M2731" s="164" t="str">
        <f ca="1">IFERROR(__xludf.DUMMYFUNCTION("""COMPUTED_VALUE"""),"SERVICEABLE")</f>
        <v>SERVICEABLE</v>
      </c>
      <c r="N2731" s="164"/>
    </row>
    <row r="2732" spans="1:14" ht="13.2" hidden="1">
      <c r="A2732" s="164" t="str">
        <f ca="1">IFERROR(__xludf.DUMMYFUNCTION("""COMPUTED_VALUE"""),"NIR")</f>
        <v>NIR</v>
      </c>
      <c r="B2732" s="164" t="str">
        <f ca="1">IFERROR(__xludf.DUMMYFUNCTION("""COMPUTED_VALUE"""),"Negros Oriental")</f>
        <v>Negros Oriental</v>
      </c>
      <c r="C2732" s="164" t="str">
        <f ca="1">IFERROR(__xludf.DUMMYFUNCTION("""COMPUTED_VALUE"""),"Desktop Computer – (Lenovo M70T)")</f>
        <v>Desktop Computer – (Lenovo M70T)</v>
      </c>
      <c r="D2732" s="164" t="str">
        <f ca="1">IFERROR(__xludf.DUMMYFUNCTION("""COMPUTED_VALUE"""),"₱ 75,468.00")</f>
        <v>₱ 75,468.00</v>
      </c>
      <c r="E2732" s="164"/>
      <c r="F2732" s="164" t="str">
        <f ca="1">IFERROR(__xludf.DUMMYFUNCTION("""COMPUTED_VALUE"""),"2023-05-030-0016-48")</f>
        <v>2023-05-030-0016-48</v>
      </c>
      <c r="G2732" s="164" t="str">
        <f ca="1">IFERROR(__xludf.DUMMYFUNCTION("""COMPUTED_VALUE"""),"CPU SN: 1S11T5S16200GM04161A")</f>
        <v>CPU SN: 1S11T5S16200GM04161A</v>
      </c>
      <c r="H2732" s="164" t="str">
        <f ca="1">IFERROR(__xludf.DUMMYFUNCTION("""COMPUTED_VALUE"""),"Rena Marie E. Ramos")</f>
        <v>Rena Marie E. Ramos</v>
      </c>
      <c r="I2732" s="164" t="str">
        <f ca="1">IFERROR(__xludf.DUMMYFUNCTION("""COMPUTED_VALUE"""),"Accountant II")</f>
        <v>Accountant II</v>
      </c>
      <c r="J2732" s="164"/>
      <c r="K2732" s="164" t="str">
        <f ca="1">IFERROR(__xludf.DUMMYFUNCTION("""COMPUTED_VALUE"""),"Rena Marie E. Ramos")</f>
        <v>Rena Marie E. Ramos</v>
      </c>
      <c r="L2732" s="164" t="str">
        <f ca="1">IFERROR(__xludf.DUMMYFUNCTION("""COMPUTED_VALUE"""),"DARPO STOD")</f>
        <v>DARPO STOD</v>
      </c>
      <c r="M2732" s="164" t="str">
        <f ca="1">IFERROR(__xludf.DUMMYFUNCTION("""COMPUTED_VALUE"""),"SERVICEABLE")</f>
        <v>SERVICEABLE</v>
      </c>
      <c r="N2732" s="164"/>
    </row>
    <row r="2733" spans="1:14" ht="13.2" hidden="1">
      <c r="A2733" s="164" t="str">
        <f ca="1">IFERROR(__xludf.DUMMYFUNCTION("""COMPUTED_VALUE"""),"NIR")</f>
        <v>NIR</v>
      </c>
      <c r="B2733" s="164" t="str">
        <f ca="1">IFERROR(__xludf.DUMMYFUNCTION("""COMPUTED_VALUE"""),"Negros Oriental")</f>
        <v>Negros Oriental</v>
      </c>
      <c r="C2733" s="164" t="str">
        <f ca="1">IFERROR(__xludf.DUMMYFUNCTION("""COMPUTED_VALUE"""),"Desktop Computer – (Lenovo M70T)")</f>
        <v>Desktop Computer – (Lenovo M70T)</v>
      </c>
      <c r="D2733" s="164" t="str">
        <f ca="1">IFERROR(__xludf.DUMMYFUNCTION("""COMPUTED_VALUE"""),"₱ 75,468.00")</f>
        <v>₱ 75,468.00</v>
      </c>
      <c r="E2733" s="164"/>
      <c r="F2733" s="164" t="str">
        <f ca="1">IFERROR(__xludf.DUMMYFUNCTION("""COMPUTED_VALUE"""),"2023-05-030-0017-48")</f>
        <v>2023-05-030-0017-48</v>
      </c>
      <c r="G2733" s="164" t="str">
        <f ca="1">IFERROR(__xludf.DUMMYFUNCTION("""COMPUTED_VALUE"""),"CPU SN: 1S11T5S16200GM0418BQ")</f>
        <v>CPU SN: 1S11T5S16200GM0418BQ</v>
      </c>
      <c r="H2733" s="164" t="str">
        <f ca="1">IFERROR(__xludf.DUMMYFUNCTION("""COMPUTED_VALUE"""),"Bernadith P. Chin")</f>
        <v>Bernadith P. Chin</v>
      </c>
      <c r="I2733" s="164" t="str">
        <f ca="1">IFERROR(__xludf.DUMMYFUNCTION("""COMPUTED_VALUE"""),"Planning Officer")</f>
        <v>Planning Officer</v>
      </c>
      <c r="J2733" s="164"/>
      <c r="K2733" s="164" t="str">
        <f ca="1">IFERROR(__xludf.DUMMYFUNCTION("""COMPUTED_VALUE"""),"Jettina Lo")</f>
        <v>Jettina Lo</v>
      </c>
      <c r="L2733" s="164" t="str">
        <f ca="1">IFERROR(__xludf.DUMMYFUNCTION("""COMPUTED_VALUE"""),"DARPO STOD")</f>
        <v>DARPO STOD</v>
      </c>
      <c r="M2733" s="164" t="str">
        <f ca="1">IFERROR(__xludf.DUMMYFUNCTION("""COMPUTED_VALUE"""),"SERVICEABLE")</f>
        <v>SERVICEABLE</v>
      </c>
      <c r="N2733" s="164"/>
    </row>
    <row r="2734" spans="1:14" ht="13.2" hidden="1">
      <c r="A2734" s="164" t="str">
        <f ca="1">IFERROR(__xludf.DUMMYFUNCTION("""COMPUTED_VALUE"""),"NIR")</f>
        <v>NIR</v>
      </c>
      <c r="B2734" s="164" t="str">
        <f ca="1">IFERROR(__xludf.DUMMYFUNCTION("""COMPUTED_VALUE"""),"Negros Oriental")</f>
        <v>Negros Oriental</v>
      </c>
      <c r="C2734" s="164" t="str">
        <f ca="1">IFERROR(__xludf.DUMMYFUNCTION("""COMPUTED_VALUE"""),"Desktop Computer – (Lenovo M70T)")</f>
        <v>Desktop Computer – (Lenovo M70T)</v>
      </c>
      <c r="D2734" s="164" t="str">
        <f ca="1">IFERROR(__xludf.DUMMYFUNCTION("""COMPUTED_VALUE"""),"₱ 75,468.00")</f>
        <v>₱ 75,468.00</v>
      </c>
      <c r="E2734" s="164"/>
      <c r="F2734" s="164" t="str">
        <f ca="1">IFERROR(__xludf.DUMMYFUNCTION("""COMPUTED_VALUE"""),"2023-05-030-0018-48")</f>
        <v>2023-05-030-0018-48</v>
      </c>
      <c r="G2734" s="164" t="str">
        <f ca="1">IFERROR(__xludf.DUMMYFUNCTION("""COMPUTED_VALUE"""),"CPU SN: 1S11T5S16200GM0418BR")</f>
        <v>CPU SN: 1S11T5S16200GM0418BR</v>
      </c>
      <c r="H2734" s="164" t="str">
        <f ca="1">IFERROR(__xludf.DUMMYFUNCTION("""COMPUTED_VALUE"""),"Virginia Olpoc")</f>
        <v>Virginia Olpoc</v>
      </c>
      <c r="I2734" s="164" t="str">
        <f ca="1">IFERROR(__xludf.DUMMYFUNCTION("""COMPUTED_VALUE"""),"Cashier")</f>
        <v>Cashier</v>
      </c>
      <c r="J2734" s="164"/>
      <c r="K2734" s="164" t="str">
        <f ca="1">IFERROR(__xludf.DUMMYFUNCTION("""COMPUTED_VALUE"""),"Virginia Olpoc")</f>
        <v>Virginia Olpoc</v>
      </c>
      <c r="L2734" s="164" t="str">
        <f ca="1">IFERROR(__xludf.DUMMYFUNCTION("""COMPUTED_VALUE"""),"DARPO STOD")</f>
        <v>DARPO STOD</v>
      </c>
      <c r="M2734" s="164" t="str">
        <f ca="1">IFERROR(__xludf.DUMMYFUNCTION("""COMPUTED_VALUE"""),"SERVICEABLE")</f>
        <v>SERVICEABLE</v>
      </c>
      <c r="N2734" s="164"/>
    </row>
    <row r="2735" spans="1:14" ht="13.2" hidden="1">
      <c r="A2735" s="164" t="str">
        <f ca="1">IFERROR(__xludf.DUMMYFUNCTION("""COMPUTED_VALUE"""),"NIR")</f>
        <v>NIR</v>
      </c>
      <c r="B2735" s="164" t="str">
        <f ca="1">IFERROR(__xludf.DUMMYFUNCTION("""COMPUTED_VALUE"""),"Negros Oriental")</f>
        <v>Negros Oriental</v>
      </c>
      <c r="C2735" s="164" t="str">
        <f ca="1">IFERROR(__xludf.DUMMYFUNCTION("""COMPUTED_VALUE"""),"Desktop Computer – (Lenovo M70T)")</f>
        <v>Desktop Computer – (Lenovo M70T)</v>
      </c>
      <c r="D2735" s="164" t="str">
        <f ca="1">IFERROR(__xludf.DUMMYFUNCTION("""COMPUTED_VALUE"""),"₱ 75,468.00")</f>
        <v>₱ 75,468.00</v>
      </c>
      <c r="E2735" s="164"/>
      <c r="F2735" s="164" t="str">
        <f ca="1">IFERROR(__xludf.DUMMYFUNCTION("""COMPUTED_VALUE"""),"2023-05-030-0019-48")</f>
        <v>2023-05-030-0019-48</v>
      </c>
      <c r="G2735" s="164" t="str">
        <f ca="1">IFERROR(__xludf.DUMMYFUNCTION("""COMPUTED_VALUE"""),"CPU SN: 1S11T5S16200GM0418BS")</f>
        <v>CPU SN: 1S11T5S16200GM0418BS</v>
      </c>
      <c r="H2735" s="164" t="str">
        <f ca="1">IFERROR(__xludf.DUMMYFUNCTION("""COMPUTED_VALUE"""),"Evangelyn T. Retes")</f>
        <v>Evangelyn T. Retes</v>
      </c>
      <c r="I2735" s="164" t="str">
        <f ca="1">IFERROR(__xludf.DUMMYFUNCTION("""COMPUTED_VALUE"""),"Budget Officer")</f>
        <v>Budget Officer</v>
      </c>
      <c r="J2735" s="164"/>
      <c r="K2735" s="164" t="str">
        <f ca="1">IFERROR(__xludf.DUMMYFUNCTION("""COMPUTED_VALUE"""),"Evangelyn T. Retes")</f>
        <v>Evangelyn T. Retes</v>
      </c>
      <c r="L2735" s="164" t="str">
        <f ca="1">IFERROR(__xludf.DUMMYFUNCTION("""COMPUTED_VALUE"""),"DARPO STOD")</f>
        <v>DARPO STOD</v>
      </c>
      <c r="M2735" s="164" t="str">
        <f ca="1">IFERROR(__xludf.DUMMYFUNCTION("""COMPUTED_VALUE"""),"SERVICEABLE")</f>
        <v>SERVICEABLE</v>
      </c>
      <c r="N2735" s="164"/>
    </row>
    <row r="2736" spans="1:14" ht="13.2" hidden="1">
      <c r="A2736" s="164" t="str">
        <f ca="1">IFERROR(__xludf.DUMMYFUNCTION("""COMPUTED_VALUE"""),"NIR")</f>
        <v>NIR</v>
      </c>
      <c r="B2736" s="164" t="str">
        <f ca="1">IFERROR(__xludf.DUMMYFUNCTION("""COMPUTED_VALUE"""),"Negros Oriental")</f>
        <v>Negros Oriental</v>
      </c>
      <c r="C2736" s="164" t="str">
        <f ca="1">IFERROR(__xludf.DUMMYFUNCTION("""COMPUTED_VALUE"""),"Desktop Computer – (Lenovo M70T)")</f>
        <v>Desktop Computer – (Lenovo M70T)</v>
      </c>
      <c r="D2736" s="164" t="str">
        <f ca="1">IFERROR(__xludf.DUMMYFUNCTION("""COMPUTED_VALUE"""),"₱ 75,468.00")</f>
        <v>₱ 75,468.00</v>
      </c>
      <c r="E2736" s="164"/>
      <c r="F2736" s="164" t="str">
        <f ca="1">IFERROR(__xludf.DUMMYFUNCTION("""COMPUTED_VALUE"""),"2023-05-030-0020-48")</f>
        <v>2023-05-030-0020-48</v>
      </c>
      <c r="G2736" s="164" t="str">
        <f ca="1">IFERROR(__xludf.DUMMYFUNCTION("""COMPUTED_VALUE"""),"CPU SN: 1S11T5S16200GM0418BT")</f>
        <v>CPU SN: 1S11T5S16200GM0418BT</v>
      </c>
      <c r="H2736" s="164" t="str">
        <f ca="1">IFERROR(__xludf.DUMMYFUNCTION("""COMPUTED_VALUE"""),"Anthony Rey D. Lobrido")</f>
        <v>Anthony Rey D. Lobrido</v>
      </c>
      <c r="I2736" s="164" t="str">
        <f ca="1">IFERROR(__xludf.DUMMYFUNCTION("""COMPUTED_VALUE"""),"AO IV")</f>
        <v>AO IV</v>
      </c>
      <c r="J2736" s="164"/>
      <c r="K2736" s="164" t="str">
        <f ca="1">IFERROR(__xludf.DUMMYFUNCTION("""COMPUTED_VALUE"""),"Anthony Rey D. Lobrido")</f>
        <v>Anthony Rey D. Lobrido</v>
      </c>
      <c r="L2736" s="164" t="str">
        <f ca="1">IFERROR(__xludf.DUMMYFUNCTION("""COMPUTED_VALUE"""),"DARPO STOD")</f>
        <v>DARPO STOD</v>
      </c>
      <c r="M2736" s="164" t="str">
        <f ca="1">IFERROR(__xludf.DUMMYFUNCTION("""COMPUTED_VALUE"""),"SERVICEABLE")</f>
        <v>SERVICEABLE</v>
      </c>
      <c r="N2736" s="164"/>
    </row>
    <row r="2737" spans="1:14" ht="13.2" hidden="1">
      <c r="A2737" s="164" t="str">
        <f ca="1">IFERROR(__xludf.DUMMYFUNCTION("""COMPUTED_VALUE"""),"NIR")</f>
        <v>NIR</v>
      </c>
      <c r="B2737" s="164" t="str">
        <f ca="1">IFERROR(__xludf.DUMMYFUNCTION("""COMPUTED_VALUE"""),"Negros Oriental")</f>
        <v>Negros Oriental</v>
      </c>
      <c r="C2737" s="164" t="str">
        <f ca="1">IFERROR(__xludf.DUMMYFUNCTION("""COMPUTED_VALUE"""),"Desktop Computer – (Lenovo M70T)")</f>
        <v>Desktop Computer – (Lenovo M70T)</v>
      </c>
      <c r="D2737" s="164" t="str">
        <f ca="1">IFERROR(__xludf.DUMMYFUNCTION("""COMPUTED_VALUE"""),"₱ 75,468.00")</f>
        <v>₱ 75,468.00</v>
      </c>
      <c r="E2737" s="164"/>
      <c r="F2737" s="164" t="str">
        <f ca="1">IFERROR(__xludf.DUMMYFUNCTION("""COMPUTED_VALUE"""),"2023-05-030-0021-48")</f>
        <v>2023-05-030-0021-48</v>
      </c>
      <c r="G2737" s="164" t="str">
        <f ca="1">IFERROR(__xludf.DUMMYFUNCTION("""COMPUTED_VALUE"""),"CPU SN: 1S11T5S16200GM0418BX")</f>
        <v>CPU SN: 1S11T5S16200GM0418BX</v>
      </c>
      <c r="H2737" s="164" t="str">
        <f ca="1">IFERROR(__xludf.DUMMYFUNCTION("""COMPUTED_VALUE"""),"Lumel D Chiu")</f>
        <v>Lumel D Chiu</v>
      </c>
      <c r="I2737" s="164" t="str">
        <f ca="1">IFERROR(__xludf.DUMMYFUNCTION("""COMPUTED_VALUE"""),"CARPO PBD")</f>
        <v>CARPO PBD</v>
      </c>
      <c r="J2737" s="164"/>
      <c r="K2737" s="164" t="str">
        <f ca="1">IFERROR(__xludf.DUMMYFUNCTION("""COMPUTED_VALUE"""),"Ellen Pabuhaya")</f>
        <v>Ellen Pabuhaya</v>
      </c>
      <c r="L2737" s="164" t="str">
        <f ca="1">IFERROR(__xludf.DUMMYFUNCTION("""COMPUTED_VALUE"""),"DARPO PBD")</f>
        <v>DARPO PBD</v>
      </c>
      <c r="M2737" s="164" t="str">
        <f ca="1">IFERROR(__xludf.DUMMYFUNCTION("""COMPUTED_VALUE"""),"SERVICEABLE")</f>
        <v>SERVICEABLE</v>
      </c>
      <c r="N2737" s="164"/>
    </row>
    <row r="2738" spans="1:14" ht="13.2" hidden="1">
      <c r="A2738" s="164" t="str">
        <f ca="1">IFERROR(__xludf.DUMMYFUNCTION("""COMPUTED_VALUE"""),"NIR")</f>
        <v>NIR</v>
      </c>
      <c r="B2738" s="164" t="str">
        <f ca="1">IFERROR(__xludf.DUMMYFUNCTION("""COMPUTED_VALUE"""),"Negros Oriental")</f>
        <v>Negros Oriental</v>
      </c>
      <c r="C2738" s="164" t="str">
        <f ca="1">IFERROR(__xludf.DUMMYFUNCTION("""COMPUTED_VALUE"""),"Desktop Computer – (Lenovo M70T)")</f>
        <v>Desktop Computer – (Lenovo M70T)</v>
      </c>
      <c r="D2738" s="164" t="str">
        <f ca="1">IFERROR(__xludf.DUMMYFUNCTION("""COMPUTED_VALUE"""),"₱ 75,468.00")</f>
        <v>₱ 75,468.00</v>
      </c>
      <c r="E2738" s="164"/>
      <c r="F2738" s="164" t="str">
        <f ca="1">IFERROR(__xludf.DUMMYFUNCTION("""COMPUTED_VALUE"""),"2023-05-030-0022-48")</f>
        <v>2023-05-030-0022-48</v>
      </c>
      <c r="G2738" s="164" t="str">
        <f ca="1">IFERROR(__xludf.DUMMYFUNCTION("""COMPUTED_VALUE"""),"CPU SN: 1S11T5S16200GM0418D9")</f>
        <v>CPU SN: 1S11T5S16200GM0418D9</v>
      </c>
      <c r="H2738" s="164" t="str">
        <f ca="1">IFERROR(__xludf.DUMMYFUNCTION("""COMPUTED_VALUE"""),"Joven S. Chin")</f>
        <v>Joven S. Chin</v>
      </c>
      <c r="I2738" s="164" t="str">
        <f ca="1">IFERROR(__xludf.DUMMYFUNCTION("""COMPUTED_VALUE"""),"OIC CARPO LTID")</f>
        <v>OIC CARPO LTID</v>
      </c>
      <c r="J2738" s="164"/>
      <c r="K2738" s="164" t="str">
        <f ca="1">IFERROR(__xludf.DUMMYFUNCTION("""COMPUTED_VALUE"""),"Kim Campanion")</f>
        <v>Kim Campanion</v>
      </c>
      <c r="L2738" s="164" t="str">
        <f ca="1">IFERROR(__xludf.DUMMYFUNCTION("""COMPUTED_VALUE"""),"DARPO LTID")</f>
        <v>DARPO LTID</v>
      </c>
      <c r="M2738" s="164" t="str">
        <f ca="1">IFERROR(__xludf.DUMMYFUNCTION("""COMPUTED_VALUE"""),"SERVICEABLE")</f>
        <v>SERVICEABLE</v>
      </c>
      <c r="N2738" s="164"/>
    </row>
    <row r="2739" spans="1:14" ht="13.2" hidden="1">
      <c r="A2739" s="164" t="str">
        <f ca="1">IFERROR(__xludf.DUMMYFUNCTION("""COMPUTED_VALUE"""),"NIR")</f>
        <v>NIR</v>
      </c>
      <c r="B2739" s="164" t="str">
        <f ca="1">IFERROR(__xludf.DUMMYFUNCTION("""COMPUTED_VALUE"""),"Negros Oriental")</f>
        <v>Negros Oriental</v>
      </c>
      <c r="C2739" s="164" t="str">
        <f ca="1">IFERROR(__xludf.DUMMYFUNCTION("""COMPUTED_VALUE"""),"Desktop Computer – (Lenovo M70T)")</f>
        <v>Desktop Computer – (Lenovo M70T)</v>
      </c>
      <c r="D2739" s="164" t="str">
        <f ca="1">IFERROR(__xludf.DUMMYFUNCTION("""COMPUTED_VALUE"""),"₱ 75,468.00")</f>
        <v>₱ 75,468.00</v>
      </c>
      <c r="E2739" s="164"/>
      <c r="F2739" s="164" t="str">
        <f ca="1">IFERROR(__xludf.DUMMYFUNCTION("""COMPUTED_VALUE"""),"2023-05-030-0023-48")</f>
        <v>2023-05-030-0023-48</v>
      </c>
      <c r="G2739" s="164" t="str">
        <f ca="1">IFERROR(__xludf.DUMMYFUNCTION("""COMPUTED_VALUE"""),"CPU SN: 1S11T5S16200GM0418DA")</f>
        <v>CPU SN: 1S11T5S16200GM0418DA</v>
      </c>
      <c r="H2739" s="164" t="str">
        <f ca="1">IFERROR(__xludf.DUMMYFUNCTION("""COMPUTED_VALUE"""),"Reyneza B. Vidal")</f>
        <v>Reyneza B. Vidal</v>
      </c>
      <c r="I2739" s="164" t="str">
        <f ca="1">IFERROR(__xludf.DUMMYFUNCTION("""COMPUTED_VALUE"""),"MARPO")</f>
        <v>MARPO</v>
      </c>
      <c r="J2739" s="164"/>
      <c r="K2739" s="164" t="str">
        <f ca="1">IFERROR(__xludf.DUMMYFUNCTION("""COMPUTED_VALUE"""),"Rendell T. Zuniega")</f>
        <v>Rendell T. Zuniega</v>
      </c>
      <c r="L2739" s="164" t="str">
        <f ca="1">IFERROR(__xludf.DUMMYFUNCTION("""COMPUTED_VALUE"""),"DARPO LTID")</f>
        <v>DARPO LTID</v>
      </c>
      <c r="M2739" s="164" t="str">
        <f ca="1">IFERROR(__xludf.DUMMYFUNCTION("""COMPUTED_VALUE"""),"SERVICEABLE")</f>
        <v>SERVICEABLE</v>
      </c>
      <c r="N2739" s="164"/>
    </row>
    <row r="2740" spans="1:14" ht="13.2" hidden="1">
      <c r="A2740" s="164" t="str">
        <f ca="1">IFERROR(__xludf.DUMMYFUNCTION("""COMPUTED_VALUE"""),"NIR")</f>
        <v>NIR</v>
      </c>
      <c r="B2740" s="164" t="str">
        <f ca="1">IFERROR(__xludf.DUMMYFUNCTION("""COMPUTED_VALUE"""),"Negros Oriental")</f>
        <v>Negros Oriental</v>
      </c>
      <c r="C2740" s="164" t="str">
        <f ca="1">IFERROR(__xludf.DUMMYFUNCTION("""COMPUTED_VALUE"""),"Desktop Computer – (Lenovo M70T)")</f>
        <v>Desktop Computer – (Lenovo M70T)</v>
      </c>
      <c r="D2740" s="164" t="str">
        <f ca="1">IFERROR(__xludf.DUMMYFUNCTION("""COMPUTED_VALUE"""),"₱ 75,468.00")</f>
        <v>₱ 75,468.00</v>
      </c>
      <c r="E2740" s="164"/>
      <c r="F2740" s="164" t="str">
        <f ca="1">IFERROR(__xludf.DUMMYFUNCTION("""COMPUTED_VALUE"""),"2023-05-030-0024-48")</f>
        <v>2023-05-030-0024-48</v>
      </c>
      <c r="G2740" s="164" t="str">
        <f ca="1">IFERROR(__xludf.DUMMYFUNCTION("""COMPUTED_VALUE"""),"CPU SN: 1S11T5S16200GM0418DF")</f>
        <v>CPU SN: 1S11T5S16200GM0418DF</v>
      </c>
      <c r="H2740" s="164" t="str">
        <f ca="1">IFERROR(__xludf.DUMMYFUNCTION("""COMPUTED_VALUE"""),"Jairah Inee C. Alferez")</f>
        <v>Jairah Inee C. Alferez</v>
      </c>
      <c r="I2740" s="164" t="str">
        <f ca="1">IFERROR(__xludf.DUMMYFUNCTION("""COMPUTED_VALUE"""),"AA VI")</f>
        <v>AA VI</v>
      </c>
      <c r="J2740" s="164"/>
      <c r="K2740" s="164" t="str">
        <f ca="1">IFERROR(__xludf.DUMMYFUNCTION("""COMPUTED_VALUE"""),"Catherine Planca")</f>
        <v>Catherine Planca</v>
      </c>
      <c r="L2740" s="164" t="str">
        <f ca="1">IFERROR(__xludf.DUMMYFUNCTION("""COMPUTED_VALUE"""),"DARPO")</f>
        <v>DARPO</v>
      </c>
      <c r="M2740" s="164" t="str">
        <f ca="1">IFERROR(__xludf.DUMMYFUNCTION("""COMPUTED_VALUE"""),"SERVICEABLE")</f>
        <v>SERVICEABLE</v>
      </c>
      <c r="N2740" s="164"/>
    </row>
    <row r="2741" spans="1:14" ht="13.2">
      <c r="A2741" s="164" t="str">
        <f ca="1">IFERROR(__xludf.DUMMYFUNCTION("""COMPUTED_VALUE"""),"NIR")</f>
        <v>NIR</v>
      </c>
      <c r="B2741" s="164" t="str">
        <f ca="1">IFERROR(__xludf.DUMMYFUNCTION("""COMPUTED_VALUE"""),"Siquijor")</f>
        <v>Siquijor</v>
      </c>
      <c r="C2741" s="164" t="str">
        <f ca="1">IFERROR(__xludf.DUMMYFUNCTION("""COMPUTED_VALUE"""),"Desktop Computer – (Lenovo M70T)")</f>
        <v>Desktop Computer – (Lenovo M70T)</v>
      </c>
      <c r="D2741" s="164" t="str">
        <f ca="1">IFERROR(__xludf.DUMMYFUNCTION("""COMPUTED_VALUE"""),"₱ 75,468.00")</f>
        <v>₱ 75,468.00</v>
      </c>
      <c r="E2741" s="164"/>
      <c r="F2741" s="164" t="str">
        <f ca="1">IFERROR(__xludf.DUMMYFUNCTION("""COMPUTED_VALUE"""),"2023-05-03-1SP1273-01")</f>
        <v>2023-05-03-1SP1273-01</v>
      </c>
      <c r="G2741" s="164" t="str">
        <f ca="1">IFERROR(__xludf.DUMMYFUNCTION("""COMPUTED_VALUE"""),"CPU SN: 1S11T5S16200GM0418E6")</f>
        <v>CPU SN: 1S11T5S16200GM0418E6</v>
      </c>
      <c r="H2741" s="164" t="str">
        <f ca="1">IFERROR(__xludf.DUMMYFUNCTION("""COMPUTED_VALUE"""),"Sheila May A. Buac")</f>
        <v>Sheila May A. Buac</v>
      </c>
      <c r="I2741" s="164" t="str">
        <f ca="1">IFERROR(__xludf.DUMMYFUNCTION("""COMPUTED_VALUE"""),"ARPO II")</f>
        <v>ARPO II</v>
      </c>
      <c r="J2741" s="164"/>
      <c r="K2741" s="164"/>
      <c r="L2741" s="164" t="str">
        <f ca="1">IFERROR(__xludf.DUMMYFUNCTION("""COMPUTED_VALUE"""),"DARPO Siquijor")</f>
        <v>DARPO Siquijor</v>
      </c>
      <c r="M2741" s="164" t="str">
        <f ca="1">IFERROR(__xludf.DUMMYFUNCTION("""COMPUTED_VALUE"""),"SERVICEABLE")</f>
        <v>SERVICEABLE</v>
      </c>
      <c r="N2741" s="164"/>
    </row>
    <row r="2742" spans="1:14" ht="13.2">
      <c r="A2742" s="164" t="str">
        <f ca="1">IFERROR(__xludf.DUMMYFUNCTION("""COMPUTED_VALUE"""),"NIR")</f>
        <v>NIR</v>
      </c>
      <c r="B2742" s="164" t="str">
        <f ca="1">IFERROR(__xludf.DUMMYFUNCTION("""COMPUTED_VALUE"""),"Siquijor")</f>
        <v>Siquijor</v>
      </c>
      <c r="C2742" s="164" t="str">
        <f ca="1">IFERROR(__xludf.DUMMYFUNCTION("""COMPUTED_VALUE"""),"Desktop Computer – (Lenovo M70T)")</f>
        <v>Desktop Computer – (Lenovo M70T)</v>
      </c>
      <c r="D2742" s="164" t="str">
        <f ca="1">IFERROR(__xludf.DUMMYFUNCTION("""COMPUTED_VALUE"""),"₱ 75,468.00")</f>
        <v>₱ 75,468.00</v>
      </c>
      <c r="E2742" s="164"/>
      <c r="F2742" s="164" t="str">
        <f ca="1">IFERROR(__xludf.DUMMYFUNCTION("""COMPUTED_VALUE"""),"2023-05-03-1SP1274-01")</f>
        <v>2023-05-03-1SP1274-01</v>
      </c>
      <c r="G2742" s="164" t="str">
        <f ca="1">IFERROR(__xludf.DUMMYFUNCTION("""COMPUTED_VALUE"""),"CPU SN: 1S11T5S16200GM0418E7")</f>
        <v>CPU SN: 1S11T5S16200GM0418E7</v>
      </c>
      <c r="H2742" s="164" t="str">
        <f ca="1">IFERROR(__xludf.DUMMYFUNCTION("""COMPUTED_VALUE"""),"Renee M. Sitchon")</f>
        <v>Renee M. Sitchon</v>
      </c>
      <c r="I2742" s="164" t="str">
        <f ca="1">IFERROR(__xludf.DUMMYFUNCTION("""COMPUTED_VALUE"""),"ARPO II")</f>
        <v>ARPO II</v>
      </c>
      <c r="J2742" s="164"/>
      <c r="K2742" s="164"/>
      <c r="L2742" s="164" t="str">
        <f ca="1">IFERROR(__xludf.DUMMYFUNCTION("""COMPUTED_VALUE"""),"DARPO Siquijor")</f>
        <v>DARPO Siquijor</v>
      </c>
      <c r="M2742" s="164" t="str">
        <f ca="1">IFERROR(__xludf.DUMMYFUNCTION("""COMPUTED_VALUE"""),"SERVICEABLE")</f>
        <v>SERVICEABLE</v>
      </c>
      <c r="N2742" s="164"/>
    </row>
    <row r="2743" spans="1:14" ht="13.2">
      <c r="A2743" s="164" t="str">
        <f ca="1">IFERROR(__xludf.DUMMYFUNCTION("""COMPUTED_VALUE"""),"NIR")</f>
        <v>NIR</v>
      </c>
      <c r="B2743" s="164" t="str">
        <f ca="1">IFERROR(__xludf.DUMMYFUNCTION("""COMPUTED_VALUE"""),"Siquijor")</f>
        <v>Siquijor</v>
      </c>
      <c r="C2743" s="164" t="str">
        <f ca="1">IFERROR(__xludf.DUMMYFUNCTION("""COMPUTED_VALUE"""),"Desktop Computer – (Lenovo M70T)")</f>
        <v>Desktop Computer – (Lenovo M70T)</v>
      </c>
      <c r="D2743" s="164" t="str">
        <f ca="1">IFERROR(__xludf.DUMMYFUNCTION("""COMPUTED_VALUE"""),"₱ 75,468.00")</f>
        <v>₱ 75,468.00</v>
      </c>
      <c r="E2743" s="164"/>
      <c r="F2743" s="164" t="str">
        <f ca="1">IFERROR(__xludf.DUMMYFUNCTION("""COMPUTED_VALUE"""),"2023-05-03-1SP1310-01")</f>
        <v>2023-05-03-1SP1310-01</v>
      </c>
      <c r="G2743" s="164" t="str">
        <f ca="1">IFERROR(__xludf.DUMMYFUNCTION("""COMPUTED_VALUE"""),"CPU SN: 1S11T5S16200GM041B2B")</f>
        <v>CPU SN: 1S11T5S16200GM041B2B</v>
      </c>
      <c r="H2743" s="164" t="str">
        <f ca="1">IFERROR(__xludf.DUMMYFUNCTION("""COMPUTED_VALUE"""),"Flor D. Duhaylungsod")</f>
        <v>Flor D. Duhaylungsod</v>
      </c>
      <c r="I2743" s="164" t="str">
        <f ca="1">IFERROR(__xludf.DUMMYFUNCTION("""COMPUTED_VALUE"""),"ARPT")</f>
        <v>ARPT</v>
      </c>
      <c r="J2743" s="164"/>
      <c r="K2743" s="164"/>
      <c r="L2743" s="164" t="str">
        <f ca="1">IFERROR(__xludf.DUMMYFUNCTION("""COMPUTED_VALUE"""),"DARPO Siquijor")</f>
        <v>DARPO Siquijor</v>
      </c>
      <c r="M2743" s="164" t="str">
        <f ca="1">IFERROR(__xludf.DUMMYFUNCTION("""COMPUTED_VALUE"""),"SERVICEABLE")</f>
        <v>SERVICEABLE</v>
      </c>
      <c r="N2743" s="164"/>
    </row>
    <row r="2744" spans="1:14" ht="13.2">
      <c r="A2744" s="164" t="str">
        <f ca="1">IFERROR(__xludf.DUMMYFUNCTION("""COMPUTED_VALUE"""),"NIR")</f>
        <v>NIR</v>
      </c>
      <c r="B2744" s="164" t="str">
        <f ca="1">IFERROR(__xludf.DUMMYFUNCTION("""COMPUTED_VALUE"""),"Siquijor")</f>
        <v>Siquijor</v>
      </c>
      <c r="C2744" s="164" t="str">
        <f ca="1">IFERROR(__xludf.DUMMYFUNCTION("""COMPUTED_VALUE"""),"Desktop Computer – (Lenovo M70T)")</f>
        <v>Desktop Computer – (Lenovo M70T)</v>
      </c>
      <c r="D2744" s="164" t="str">
        <f ca="1">IFERROR(__xludf.DUMMYFUNCTION("""COMPUTED_VALUE"""),"₱ 75,468.00")</f>
        <v>₱ 75,468.00</v>
      </c>
      <c r="E2744" s="164"/>
      <c r="F2744" s="164" t="str">
        <f ca="1">IFERROR(__xludf.DUMMYFUNCTION("""COMPUTED_VALUE"""),"2023-05-03-1SP1311-01")</f>
        <v>2023-05-03-1SP1311-01</v>
      </c>
      <c r="G2744" s="164" t="str">
        <f ca="1">IFERROR(__xludf.DUMMYFUNCTION("""COMPUTED_VALUE"""),"CPU SN: 1S11T5S16200GM041B2C")</f>
        <v>CPU SN: 1S11T5S16200GM041B2C</v>
      </c>
      <c r="H2744" s="164" t="str">
        <f ca="1">IFERROR(__xludf.DUMMYFUNCTION("""COMPUTED_VALUE"""),"Helen P. Tragico")</f>
        <v>Helen P. Tragico</v>
      </c>
      <c r="I2744" s="164" t="str">
        <f ca="1">IFERROR(__xludf.DUMMYFUNCTION("""COMPUTED_VALUE"""),"ARPO II")</f>
        <v>ARPO II</v>
      </c>
      <c r="J2744" s="164"/>
      <c r="K2744" s="164"/>
      <c r="L2744" s="164" t="str">
        <f ca="1">IFERROR(__xludf.DUMMYFUNCTION("""COMPUTED_VALUE"""),"DARPO Siquijor")</f>
        <v>DARPO Siquijor</v>
      </c>
      <c r="M2744" s="164" t="str">
        <f ca="1">IFERROR(__xludf.DUMMYFUNCTION("""COMPUTED_VALUE"""),"SERVICEABLE")</f>
        <v>SERVICEABLE</v>
      </c>
      <c r="N2744" s="164"/>
    </row>
    <row r="2745" spans="1:14" ht="13.2" hidden="1">
      <c r="A2745" s="164" t="str">
        <f ca="1">IFERROR(__xludf.DUMMYFUNCTION("""COMPUTED_VALUE"""),"NIR")</f>
        <v>NIR</v>
      </c>
      <c r="B2745" s="164" t="str">
        <f ca="1">IFERROR(__xludf.DUMMYFUNCTION("""COMPUTED_VALUE"""),"Negros Oriental")</f>
        <v>Negros Oriental</v>
      </c>
      <c r="C2745" s="164" t="str">
        <f ca="1">IFERROR(__xludf.DUMMYFUNCTION("""COMPUTED_VALUE"""),"Plotter (3IN1)")</f>
        <v>Plotter (3IN1)</v>
      </c>
      <c r="D2745" s="164" t="str">
        <f ca="1">IFERROR(__xludf.DUMMYFUNCTION("""COMPUTED_VALUE"""),"₱ 648,000.00")</f>
        <v>₱ 648,000.00</v>
      </c>
      <c r="E2745" s="164"/>
      <c r="F2745" s="164" t="str">
        <f ca="1">IFERROR(__xludf.DUMMYFUNCTION("""COMPUTED_VALUE"""),"2024-05-14-10201SP06-01")</f>
        <v>2024-05-14-10201SP06-01</v>
      </c>
      <c r="G2745" s="164" t="str">
        <f ca="1">IFERROR(__xludf.DUMMYFUNCTION("""COMPUTED_VALUE"""),"SN: BBAK00041")</f>
        <v>SN: BBAK00041</v>
      </c>
      <c r="H2745" s="164" t="str">
        <f ca="1">IFERROR(__xludf.DUMMYFUNCTION("""COMPUTED_VALUE"""),"Joven S. Chin")</f>
        <v>Joven S. Chin</v>
      </c>
      <c r="I2745" s="164" t="str">
        <f ca="1">IFERROR(__xludf.DUMMYFUNCTION("""COMPUTED_VALUE"""),"OIC CARPO LTID")</f>
        <v>OIC CARPO LTID</v>
      </c>
      <c r="J2745" s="164"/>
      <c r="K2745" s="164" t="str">
        <f ca="1">IFERROR(__xludf.DUMMYFUNCTION("""COMPUTED_VALUE"""),"Joven S. Chin")</f>
        <v>Joven S. Chin</v>
      </c>
      <c r="L2745" s="164" t="str">
        <f ca="1">IFERROR(__xludf.DUMMYFUNCTION("""COMPUTED_VALUE"""),"DARPO LTID")</f>
        <v>DARPO LTID</v>
      </c>
      <c r="M2745" s="164" t="str">
        <f ca="1">IFERROR(__xludf.DUMMYFUNCTION("""COMPUTED_VALUE"""),"SERVICEABLE")</f>
        <v>SERVICEABLE</v>
      </c>
      <c r="N2745" s="164"/>
    </row>
    <row r="2746" spans="1:14" ht="13.2" hidden="1">
      <c r="A2746" s="164" t="str">
        <f ca="1">IFERROR(__xludf.DUMMYFUNCTION("""COMPUTED_VALUE"""),"NIR")</f>
        <v>NIR</v>
      </c>
      <c r="B2746" s="164" t="str">
        <f ca="1">IFERROR(__xludf.DUMMYFUNCTION("""COMPUTED_VALUE"""),"Negros Oriental")</f>
        <v>Negros Oriental</v>
      </c>
      <c r="C2746" s="164" t="str">
        <f ca="1">IFERROR(__xludf.DUMMYFUNCTION("""COMPUTED_VALUE"""),"Laptop – (ACER Extensa EX215-55G i7)")</f>
        <v>Laptop – (ACER Extensa EX215-55G i7)</v>
      </c>
      <c r="D2746" s="164" t="str">
        <f ca="1">IFERROR(__xludf.DUMMYFUNCTION("""COMPUTED_VALUE"""),"₱ 59,500.00")</f>
        <v>₱ 59,500.00</v>
      </c>
      <c r="E2746" s="164"/>
      <c r="F2746" s="164" t="str">
        <f ca="1">IFERROR(__xludf.DUMMYFUNCTION("""COMPUTED_VALUE"""),"2023-05-03-10202SP380-01")</f>
        <v>2023-05-03-10202SP380-01</v>
      </c>
      <c r="G2746" s="164" t="str">
        <f ca="1">IFERROR(__xludf.DUMMYFUNCTION("""COMPUTED_VALUE"""),"SN: NXEGZSP00330801F2B3400")</f>
        <v>SN: NXEGZSP00330801F2B3400</v>
      </c>
      <c r="H2746" s="164" t="str">
        <f ca="1">IFERROR(__xludf.DUMMYFUNCTION("""COMPUTED_VALUE"""),"Joven S. Chin")</f>
        <v>Joven S. Chin</v>
      </c>
      <c r="I2746" s="164" t="str">
        <f ca="1">IFERROR(__xludf.DUMMYFUNCTION("""COMPUTED_VALUE"""),"OIC CARPO LTID")</f>
        <v>OIC CARPO LTID</v>
      </c>
      <c r="J2746" s="164"/>
      <c r="K2746" s="164" t="str">
        <f ca="1">IFERROR(__xludf.DUMMYFUNCTION("""COMPUTED_VALUE"""),"Joven S. Chin")</f>
        <v>Joven S. Chin</v>
      </c>
      <c r="L2746" s="164" t="str">
        <f ca="1">IFERROR(__xludf.DUMMYFUNCTION("""COMPUTED_VALUE"""),"DARPO LTID")</f>
        <v>DARPO LTID</v>
      </c>
      <c r="M2746" s="164" t="str">
        <f ca="1">IFERROR(__xludf.DUMMYFUNCTION("""COMPUTED_VALUE"""),"SERVICEABLE")</f>
        <v>SERVICEABLE</v>
      </c>
      <c r="N2746" s="164"/>
    </row>
    <row r="2747" spans="1:14" ht="13.2" hidden="1">
      <c r="A2747" s="164" t="str">
        <f ca="1">IFERROR(__xludf.DUMMYFUNCTION("""COMPUTED_VALUE"""),"NIR")</f>
        <v>NIR</v>
      </c>
      <c r="B2747" s="164" t="str">
        <f ca="1">IFERROR(__xludf.DUMMYFUNCTION("""COMPUTED_VALUE"""),"Negros Oriental")</f>
        <v>Negros Oriental</v>
      </c>
      <c r="C2747" s="164" t="str">
        <f ca="1">IFERROR(__xludf.DUMMYFUNCTION("""COMPUTED_VALUE"""),"Laptop – (ACER Extensa EX215-55G i7)")</f>
        <v>Laptop – (ACER Extensa EX215-55G i7)</v>
      </c>
      <c r="D2747" s="164" t="str">
        <f ca="1">IFERROR(__xludf.DUMMYFUNCTION("""COMPUTED_VALUE"""),"₱ 59,500.00")</f>
        <v>₱ 59,500.00</v>
      </c>
      <c r="E2747" s="164"/>
      <c r="F2747" s="164" t="str">
        <f ca="1">IFERROR(__xludf.DUMMYFUNCTION("""COMPUTED_VALUE"""),"2023-05-03-10202SP381-01")</f>
        <v>2023-05-03-10202SP381-01</v>
      </c>
      <c r="G2747" s="164" t="str">
        <f ca="1">IFERROR(__xludf.DUMMYFUNCTION("""COMPUTED_VALUE"""),"SN: NXEGZSP00330801BF03400")</f>
        <v>SN: NXEGZSP00330801BF03400</v>
      </c>
      <c r="H2747" s="164" t="str">
        <f ca="1">IFERROR(__xludf.DUMMYFUNCTION("""COMPUTED_VALUE"""),"Johanne Ruby S. Somido")</f>
        <v>Johanne Ruby S. Somido</v>
      </c>
      <c r="I2747" s="164" t="str">
        <f ca="1">IFERROR(__xludf.DUMMYFUNCTION("""COMPUTED_VALUE"""),"OIC Personnel Officer")</f>
        <v>OIC Personnel Officer</v>
      </c>
      <c r="J2747" s="164"/>
      <c r="K2747" s="164" t="str">
        <f ca="1">IFERROR(__xludf.DUMMYFUNCTION("""COMPUTED_VALUE"""),"Johanne Ruby S. Somido")</f>
        <v>Johanne Ruby S. Somido</v>
      </c>
      <c r="L2747" s="164" t="str">
        <f ca="1">IFERROR(__xludf.DUMMYFUNCTION("""COMPUTED_VALUE"""),"DARPO STOD")</f>
        <v>DARPO STOD</v>
      </c>
      <c r="M2747" s="164" t="str">
        <f ca="1">IFERROR(__xludf.DUMMYFUNCTION("""COMPUTED_VALUE"""),"SERVICEABLE")</f>
        <v>SERVICEABLE</v>
      </c>
      <c r="N2747" s="164"/>
    </row>
    <row r="2748" spans="1:14" ht="13.2" hidden="1">
      <c r="A2748" s="164" t="str">
        <f ca="1">IFERROR(__xludf.DUMMYFUNCTION("""COMPUTED_VALUE"""),"NIR")</f>
        <v>NIR</v>
      </c>
      <c r="B2748" s="164" t="str">
        <f ca="1">IFERROR(__xludf.DUMMYFUNCTION("""COMPUTED_VALUE"""),"Negros Oriental")</f>
        <v>Negros Oriental</v>
      </c>
      <c r="C2748" s="164" t="str">
        <f ca="1">IFERROR(__xludf.DUMMYFUNCTION("""COMPUTED_VALUE"""),"Laptop – (ACER Extensa EX215-55G i7)")</f>
        <v>Laptop – (ACER Extensa EX215-55G i7)</v>
      </c>
      <c r="D2748" s="164" t="str">
        <f ca="1">IFERROR(__xludf.DUMMYFUNCTION("""COMPUTED_VALUE"""),"₱ 59,500.00")</f>
        <v>₱ 59,500.00</v>
      </c>
      <c r="E2748" s="164"/>
      <c r="F2748" s="164" t="str">
        <f ca="1">IFERROR(__xludf.DUMMYFUNCTION("""COMPUTED_VALUE"""),"2023-05-03-10202SP61-01")</f>
        <v>2023-05-03-10202SP61-01</v>
      </c>
      <c r="G2748" s="164" t="str">
        <f ca="1">IFERROR(__xludf.DUMMYFUNCTION("""COMPUTED_VALUE"""),"SN: NXEGZSP00330801CF13400")</f>
        <v>SN: NXEGZSP00330801CF13400</v>
      </c>
      <c r="H2748" s="164" t="str">
        <f ca="1">IFERROR(__xludf.DUMMYFUNCTION("""COMPUTED_VALUE"""),"Pauline S. Grafia")</f>
        <v>Pauline S. Grafia</v>
      </c>
      <c r="I2748" s="164" t="str">
        <f ca="1">IFERROR(__xludf.DUMMYFUNCTION("""COMPUTED_VALUE"""),"SARPT/PIO")</f>
        <v>SARPT/PIO</v>
      </c>
      <c r="J2748" s="164"/>
      <c r="K2748" s="164" t="str">
        <f ca="1">IFERROR(__xludf.DUMMYFUNCTION("""COMPUTED_VALUE"""),"Pauline S. Grafia")</f>
        <v>Pauline S. Grafia</v>
      </c>
      <c r="L2748" s="164" t="str">
        <f ca="1">IFERROR(__xludf.DUMMYFUNCTION("""COMPUTED_VALUE"""),"DARPO STOD")</f>
        <v>DARPO STOD</v>
      </c>
      <c r="M2748" s="164" t="str">
        <f ca="1">IFERROR(__xludf.DUMMYFUNCTION("""COMPUTED_VALUE"""),"SERVICEABLE")</f>
        <v>SERVICEABLE</v>
      </c>
      <c r="N2748" s="164"/>
    </row>
    <row r="2749" spans="1:14" ht="13.2" hidden="1">
      <c r="A2749" s="164" t="str">
        <f ca="1">IFERROR(__xludf.DUMMYFUNCTION("""COMPUTED_VALUE"""),"NIR")</f>
        <v>NIR</v>
      </c>
      <c r="B2749" s="164" t="str">
        <f ca="1">IFERROR(__xludf.DUMMYFUNCTION("""COMPUTED_VALUE"""),"Negros Oriental")</f>
        <v>Negros Oriental</v>
      </c>
      <c r="C2749" s="164" t="str">
        <f ca="1">IFERROR(__xludf.DUMMYFUNCTION("""COMPUTED_VALUE"""),"Photocopier Machine – Kyocera")</f>
        <v>Photocopier Machine – Kyocera</v>
      </c>
      <c r="D2749" s="164" t="str">
        <f ca="1">IFERROR(__xludf.DUMMYFUNCTION("""COMPUTED_VALUE"""),"₱ 84,500.00")</f>
        <v>₱ 84,500.00</v>
      </c>
      <c r="E2749" s="164"/>
      <c r="F2749" s="164" t="str">
        <f ca="1">IFERROR(__xludf.DUMMYFUNCTION("""COMPUTED_VALUE"""),"2022-05-02-10202SP54-01")</f>
        <v>2022-05-02-10202SP54-01</v>
      </c>
      <c r="G2749" s="164" t="str">
        <f ca="1">IFERROR(__xludf.DUMMYFUNCTION("""COMPUTED_VALUE"""),"SN: RNK2200169")</f>
        <v>SN: RNK2200169</v>
      </c>
      <c r="H2749" s="164" t="str">
        <f ca="1">IFERROR(__xludf.DUMMYFUNCTION("""COMPUTED_VALUE"""),"Reyneza B. Vidal")</f>
        <v>Reyneza B. Vidal</v>
      </c>
      <c r="I2749" s="164" t="str">
        <f ca="1">IFERROR(__xludf.DUMMYFUNCTION("""COMPUTED_VALUE"""),"MARPO")</f>
        <v>MARPO</v>
      </c>
      <c r="J2749" s="164"/>
      <c r="K2749" s="164" t="str">
        <f ca="1">IFERROR(__xludf.DUMMYFUNCTION("""COMPUTED_VALUE"""),"RCTs &amp; FVTs")</f>
        <v>RCTs &amp; FVTs</v>
      </c>
      <c r="L2749" s="164" t="str">
        <f ca="1">IFERROR(__xludf.DUMMYFUNCTION("""COMPUTED_VALUE"""),"DARMO")</f>
        <v>DARMO</v>
      </c>
      <c r="M2749" s="164" t="str">
        <f ca="1">IFERROR(__xludf.DUMMYFUNCTION("""COMPUTED_VALUE"""),"SERVICEABLE")</f>
        <v>SERVICEABLE</v>
      </c>
      <c r="N2749" s="164"/>
    </row>
    <row r="2750" spans="1:14" ht="13.2" hidden="1">
      <c r="A2750" s="164" t="str">
        <f ca="1">IFERROR(__xludf.DUMMYFUNCTION("""COMPUTED_VALUE"""),"NIR")</f>
        <v>NIR</v>
      </c>
      <c r="B2750" s="164" t="str">
        <f ca="1">IFERROR(__xludf.DUMMYFUNCTION("""COMPUTED_VALUE"""),"Negros Oriental")</f>
        <v>Negros Oriental</v>
      </c>
      <c r="C2750" s="164" t="str">
        <f ca="1">IFERROR(__xludf.DUMMYFUNCTION("""COMPUTED_VALUE"""),"Handheld GPS – Model P6")</f>
        <v>Handheld GPS – Model P6</v>
      </c>
      <c r="D2750" s="164"/>
      <c r="E2750" s="164"/>
      <c r="F2750" s="164" t="str">
        <f ca="1">IFERROR(__xludf.DUMMYFUNCTION("""COMPUTED_VALUE"""),"2023-05-14-10202SP66-01")</f>
        <v>2023-05-14-10202SP66-01</v>
      </c>
      <c r="G2750" s="164" t="str">
        <f ca="1">IFERROR(__xludf.DUMMYFUNCTION("""COMPUTED_VALUE"""),"SN: SP10730006")</f>
        <v>SN: SP10730006</v>
      </c>
      <c r="H2750" s="164" t="str">
        <f ca="1">IFERROR(__xludf.DUMMYFUNCTION("""COMPUTED_VALUE"""),"Jovie Ianne T. Macias")</f>
        <v>Jovie Ianne T. Macias</v>
      </c>
      <c r="I2750" s="164" t="str">
        <f ca="1">IFERROR(__xludf.DUMMYFUNCTION("""COMPUTED_VALUE"""),"Engineer II")</f>
        <v>Engineer II</v>
      </c>
      <c r="J2750" s="164"/>
      <c r="K2750" s="164" t="str">
        <f ca="1">IFERROR(__xludf.DUMMYFUNCTION("""COMPUTED_VALUE"""),"Jovie Ianne T. Macias")</f>
        <v>Jovie Ianne T. Macias</v>
      </c>
      <c r="L2750" s="164" t="str">
        <f ca="1">IFERROR(__xludf.DUMMYFUNCTION("""COMPUTED_VALUE"""),"DARPO LTID")</f>
        <v>DARPO LTID</v>
      </c>
      <c r="M2750" s="164" t="str">
        <f ca="1">IFERROR(__xludf.DUMMYFUNCTION("""COMPUTED_VALUE"""),"SERVICEABLE")</f>
        <v>SERVICEABLE</v>
      </c>
      <c r="N2750" s="164"/>
    </row>
    <row r="2751" spans="1:14" ht="13.2" hidden="1">
      <c r="A2751" s="164" t="str">
        <f ca="1">IFERROR(__xludf.DUMMYFUNCTION("""COMPUTED_VALUE"""),"NIR")</f>
        <v>NIR</v>
      </c>
      <c r="B2751" s="164" t="str">
        <f ca="1">IFERROR(__xludf.DUMMYFUNCTION("""COMPUTED_VALUE"""),"Negros Oriental")</f>
        <v>Negros Oriental</v>
      </c>
      <c r="C2751" s="164" t="str">
        <f ca="1">IFERROR(__xludf.DUMMYFUNCTION("""COMPUTED_VALUE"""),"TOTAL STATION – GEOMAX TOTAL STATION ZOOM 50")</f>
        <v>TOTAL STATION – GEOMAX TOTAL STATION ZOOM 50</v>
      </c>
      <c r="D2751" s="164"/>
      <c r="E2751" s="164"/>
      <c r="F2751" s="164" t="str">
        <f ca="1">IFERROR(__xludf.DUMMYFUNCTION("""COMPUTED_VALUE"""),"2023-05-14-10201SP19-01")</f>
        <v>2023-05-14-10201SP19-01</v>
      </c>
      <c r="G2751" s="164" t="str">
        <f ca="1">IFERROR(__xludf.DUMMYFUNCTION("""COMPUTED_VALUE"""),"SN: 2839860")</f>
        <v>SN: 2839860</v>
      </c>
      <c r="H2751" s="164" t="str">
        <f ca="1">IFERROR(__xludf.DUMMYFUNCTION("""COMPUTED_VALUE"""),"Jovie Ianne T. Macias")</f>
        <v>Jovie Ianne T. Macias</v>
      </c>
      <c r="I2751" s="164" t="str">
        <f ca="1">IFERROR(__xludf.DUMMYFUNCTION("""COMPUTED_VALUE"""),"Engineer II")</f>
        <v>Engineer II</v>
      </c>
      <c r="J2751" s="164"/>
      <c r="K2751" s="164" t="str">
        <f ca="1">IFERROR(__xludf.DUMMYFUNCTION("""COMPUTED_VALUE"""),"Jovie Ianne T. Macias")</f>
        <v>Jovie Ianne T. Macias</v>
      </c>
      <c r="L2751" s="164" t="str">
        <f ca="1">IFERROR(__xludf.DUMMYFUNCTION("""COMPUTED_VALUE"""),"DARPO LTID")</f>
        <v>DARPO LTID</v>
      </c>
      <c r="M2751" s="164" t="str">
        <f ca="1">IFERROR(__xludf.DUMMYFUNCTION("""COMPUTED_VALUE"""),"SERVICEABLE")</f>
        <v>SERVICEABLE</v>
      </c>
      <c r="N2751" s="164"/>
    </row>
    <row r="2752" spans="1:14" ht="13.2" hidden="1">
      <c r="A2752" s="164" t="str">
        <f ca="1">IFERROR(__xludf.DUMMYFUNCTION("""COMPUTED_VALUE"""),"NIR")</f>
        <v>NIR</v>
      </c>
      <c r="B2752" s="164" t="str">
        <f ca="1">IFERROR(__xludf.DUMMYFUNCTION("""COMPUTED_VALUE"""),"Negros Oriental")</f>
        <v>Negros Oriental</v>
      </c>
      <c r="C2752" s="164" t="str">
        <f ca="1">IFERROR(__xludf.DUMMYFUNCTION("""COMPUTED_VALUE"""),"REAL-TIME KINEMATIC – GEOMAX ZENITH60")</f>
        <v>REAL-TIME KINEMATIC – GEOMAX ZENITH60</v>
      </c>
      <c r="D2752" s="164"/>
      <c r="E2752" s="164"/>
      <c r="F2752" s="164" t="str">
        <f ca="1">IFERROR(__xludf.DUMMYFUNCTION("""COMPUTED_VALUE"""),"2023-05-14-10201SP20-01")</f>
        <v>2023-05-14-10201SP20-01</v>
      </c>
      <c r="G2752" s="164" t="str">
        <f ca="1">IFERROR(__xludf.DUMMYFUNCTION("""COMPUTED_VALUE"""),"BASE SN: 260SN272200099")</f>
        <v>BASE SN: 260SN272200099</v>
      </c>
      <c r="H2752" s="164" t="str">
        <f ca="1">IFERROR(__xludf.DUMMYFUNCTION("""COMPUTED_VALUE"""),"Jovie Ianne T. Macias")</f>
        <v>Jovie Ianne T. Macias</v>
      </c>
      <c r="I2752" s="164" t="str">
        <f ca="1">IFERROR(__xludf.DUMMYFUNCTION("""COMPUTED_VALUE"""),"Engineer II")</f>
        <v>Engineer II</v>
      </c>
      <c r="J2752" s="164"/>
      <c r="K2752" s="164" t="str">
        <f ca="1">IFERROR(__xludf.DUMMYFUNCTION("""COMPUTED_VALUE"""),"Jovie Ianne T. Macias")</f>
        <v>Jovie Ianne T. Macias</v>
      </c>
      <c r="L2752" s="164" t="str">
        <f ca="1">IFERROR(__xludf.DUMMYFUNCTION("""COMPUTED_VALUE"""),"DARPO LTID")</f>
        <v>DARPO LTID</v>
      </c>
      <c r="M2752" s="164" t="str">
        <f ca="1">IFERROR(__xludf.DUMMYFUNCTION("""COMPUTED_VALUE"""),"SERVICEABLE")</f>
        <v>SERVICEABLE</v>
      </c>
      <c r="N2752" s="164"/>
    </row>
    <row r="2753" spans="1:14" ht="13.2" hidden="1">
      <c r="A2753" s="164" t="str">
        <f ca="1">IFERROR(__xludf.DUMMYFUNCTION("""COMPUTED_VALUE"""),"NIR")</f>
        <v>NIR</v>
      </c>
      <c r="B2753" s="164" t="str">
        <f ca="1">IFERROR(__xludf.DUMMYFUNCTION("""COMPUTED_VALUE"""),"Negros Occidental I")</f>
        <v>Negros Occidental I</v>
      </c>
      <c r="C2753" s="164" t="str">
        <f ca="1">IFERROR(__xludf.DUMMYFUNCTION("""COMPUTED_VALUE"""),"Photocopier Machine – Kyocera")</f>
        <v>Photocopier Machine – Kyocera</v>
      </c>
      <c r="D2753" s="164" t="str">
        <f ca="1">IFERROR(__xludf.DUMMYFUNCTION("""COMPUTED_VALUE"""),"₱ 84,500.00")</f>
        <v>₱ 84,500.00</v>
      </c>
      <c r="E2753" s="164"/>
      <c r="F2753" s="164" t="str">
        <f ca="1">IFERROR(__xludf.DUMMYFUNCTION("""COMPUTED_VALUE"""),"2022-05-02-10202SP51-01")</f>
        <v>2022-05-02-10202SP51-01</v>
      </c>
      <c r="G2753" s="164" t="str">
        <f ca="1">IFERROR(__xludf.DUMMYFUNCTION("""COMPUTED_VALUE"""),"SN : RNK2700208")</f>
        <v>SN : RNK2700208</v>
      </c>
      <c r="H2753" s="164" t="str">
        <f ca="1">IFERROR(__xludf.DUMMYFUNCTION("""COMPUTED_VALUE"""),"JOJI D. FLORES")</f>
        <v>JOJI D. FLORES</v>
      </c>
      <c r="I2753" s="164" t="str">
        <f ca="1">IFERROR(__xludf.DUMMYFUNCTION("""COMPUTED_VALUE"""),"MARPO/ SPLIT COORDINATOR")</f>
        <v>MARPO/ SPLIT COORDINATOR</v>
      </c>
      <c r="J2753" s="164" t="str">
        <f ca="1">IFERROR(__xludf.DUMMYFUNCTION("""COMPUTED_VALUE"""),"2022-10-001")</f>
        <v>2022-10-001</v>
      </c>
      <c r="K2753" s="164" t="str">
        <f ca="1">IFERROR(__xludf.DUMMYFUNCTION("""COMPUTED_VALUE"""),"JOJI D. FLORES")</f>
        <v>JOJI D. FLORES</v>
      </c>
      <c r="L2753" s="164" t="str">
        <f ca="1">IFERROR(__xludf.DUMMYFUNCTION("""COMPUTED_VALUE"""),"SPLIT")</f>
        <v>SPLIT</v>
      </c>
      <c r="M2753" s="164" t="str">
        <f ca="1">IFERROR(__xludf.DUMMYFUNCTION("""COMPUTED_VALUE"""),"SERVICEABLE")</f>
        <v>SERVICEABLE</v>
      </c>
      <c r="N2753" s="164"/>
    </row>
    <row r="2754" spans="1:14" ht="13.2" hidden="1">
      <c r="A2754" s="164" t="str">
        <f ca="1">IFERROR(__xludf.DUMMYFUNCTION("""COMPUTED_VALUE"""),"NIR")</f>
        <v>NIR</v>
      </c>
      <c r="B2754" s="164" t="str">
        <f ca="1">IFERROR(__xludf.DUMMYFUNCTION("""COMPUTED_VALUE"""),"Negros Occidental I")</f>
        <v>Negros Occidental I</v>
      </c>
      <c r="C2754" s="164" t="str">
        <f ca="1">IFERROR(__xludf.DUMMYFUNCTION("""COMPUTED_VALUE"""),"TOTAL STATION – GEOMAX TOTAL STATION ZOOM 50")</f>
        <v>TOTAL STATION – GEOMAX TOTAL STATION ZOOM 50</v>
      </c>
      <c r="D2754" s="164" t="str">
        <f ca="1">IFERROR(__xludf.DUMMYFUNCTION("""COMPUTED_VALUE"""),"₱ 84,500.00")</f>
        <v>₱ 84,500.00</v>
      </c>
      <c r="E2754" s="164"/>
      <c r="F2754" s="164" t="str">
        <f ca="1">IFERROR(__xludf.DUMMYFUNCTION("""COMPUTED_VALUE"""),"2023-05-01-10201SP31-01")</f>
        <v>2023-05-01-10201SP31-01</v>
      </c>
      <c r="G2754" s="164" t="str">
        <f ca="1">IFERROR(__xludf.DUMMYFUNCTION("""COMPUTED_VALUE"""),"S# 2839793")</f>
        <v>S# 2839793</v>
      </c>
      <c r="H2754" s="164" t="str">
        <f ca="1">IFERROR(__xludf.DUMMYFUNCTION("""COMPUTED_VALUE"""),"TIGAO, RODELMAR L.")</f>
        <v>TIGAO, RODELMAR L.</v>
      </c>
      <c r="I2754" s="164" t="str">
        <f ca="1">IFERROR(__xludf.DUMMYFUNCTION("""COMPUTED_VALUE"""),"ENGINEER II/DENR/LRA-ROD SURVEY COORDINATOR")</f>
        <v>ENGINEER II/DENR/LRA-ROD SURVEY COORDINATOR</v>
      </c>
      <c r="J2754" s="164" t="str">
        <f ca="1">IFERROR(__xludf.DUMMYFUNCTION("""COMPUTED_VALUE"""),"2023-03-038")</f>
        <v>2023-03-038</v>
      </c>
      <c r="K2754" s="164" t="str">
        <f ca="1">IFERROR(__xludf.DUMMYFUNCTION("""COMPUTED_VALUE"""),"TIGAO, RODELMAR L.")</f>
        <v>TIGAO, RODELMAR L.</v>
      </c>
      <c r="L2754" s="164" t="str">
        <f ca="1">IFERROR(__xludf.DUMMYFUNCTION("""COMPUTED_VALUE"""),"LTID/SURVEY SECTION")</f>
        <v>LTID/SURVEY SECTION</v>
      </c>
      <c r="M2754" s="164" t="str">
        <f ca="1">IFERROR(__xludf.DUMMYFUNCTION("""COMPUTED_VALUE"""),"SERVICEABLE")</f>
        <v>SERVICEABLE</v>
      </c>
      <c r="N2754" s="164"/>
    </row>
    <row r="2755" spans="1:14" ht="13.2" hidden="1">
      <c r="A2755" s="164" t="str">
        <f ca="1">IFERROR(__xludf.DUMMYFUNCTION("""COMPUTED_VALUE"""),"NIR")</f>
        <v>NIR</v>
      </c>
      <c r="B2755" s="164" t="str">
        <f ca="1">IFERROR(__xludf.DUMMYFUNCTION("""COMPUTED_VALUE"""),"Negros Occidental I")</f>
        <v>Negros Occidental I</v>
      </c>
      <c r="C2755" s="164" t="str">
        <f ca="1">IFERROR(__xludf.DUMMYFUNCTION("""COMPUTED_VALUE"""),"REAL-TIME KINEMATIC – GEOMAX ZENITH60")</f>
        <v>REAL-TIME KINEMATIC – GEOMAX ZENITH60</v>
      </c>
      <c r="D2755" s="164"/>
      <c r="E2755" s="164"/>
      <c r="F2755" s="164" t="str">
        <f ca="1">IFERROR(__xludf.DUMMYFUNCTION("""COMPUTED_VALUE"""),"2023-05-14-10201SP31-01")</f>
        <v>2023-05-14-10201SP31-01</v>
      </c>
      <c r="G2755" s="164" t="str">
        <f ca="1">IFERROR(__xludf.DUMMYFUNCTION("""COMPUTED_VALUE"""),"BASE SN# Z60ST272200503 ROVER SN# Z60ST272200514")</f>
        <v>BASE SN# Z60ST272200503 ROVER SN# Z60ST272200514</v>
      </c>
      <c r="H2755" s="164" t="str">
        <f ca="1">IFERROR(__xludf.DUMMYFUNCTION("""COMPUTED_VALUE"""),"TIGAO, RODELMAR L.")</f>
        <v>TIGAO, RODELMAR L.</v>
      </c>
      <c r="I2755" s="164" t="str">
        <f ca="1">IFERROR(__xludf.DUMMYFUNCTION("""COMPUTED_VALUE"""),"ENGINEER II/DENR/LRA-ROD SURVEY COORDINATOR")</f>
        <v>ENGINEER II/DENR/LRA-ROD SURVEY COORDINATOR</v>
      </c>
      <c r="J2755" s="164" t="str">
        <f ca="1">IFERROR(__xludf.DUMMYFUNCTION("""COMPUTED_VALUE"""),"2023-03-039")</f>
        <v>2023-03-039</v>
      </c>
      <c r="K2755" s="164" t="str">
        <f ca="1">IFERROR(__xludf.DUMMYFUNCTION("""COMPUTED_VALUE"""),"TIGAO, RODELMAR L.")</f>
        <v>TIGAO, RODELMAR L.</v>
      </c>
      <c r="L2755" s="164" t="str">
        <f ca="1">IFERROR(__xludf.DUMMYFUNCTION("""COMPUTED_VALUE"""),"LTID/SURVEY SECTION")</f>
        <v>LTID/SURVEY SECTION</v>
      </c>
      <c r="M2755" s="164" t="str">
        <f ca="1">IFERROR(__xludf.DUMMYFUNCTION("""COMPUTED_VALUE"""),"SERVICEABLE")</f>
        <v>SERVICEABLE</v>
      </c>
      <c r="N2755" s="164"/>
    </row>
    <row r="2756" spans="1:14" ht="13.2" hidden="1">
      <c r="A2756" s="164" t="str">
        <f ca="1">IFERROR(__xludf.DUMMYFUNCTION("""COMPUTED_VALUE"""),"NIR")</f>
        <v>NIR</v>
      </c>
      <c r="B2756" s="164" t="str">
        <f ca="1">IFERROR(__xludf.DUMMYFUNCTION("""COMPUTED_VALUE"""),"Negros Occidental I")</f>
        <v>Negros Occidental I</v>
      </c>
      <c r="C2756" s="164" t="str">
        <f ca="1">IFERROR(__xludf.DUMMYFUNCTION("""COMPUTED_VALUE"""),"Handheld GPS – Model P6")</f>
        <v>Handheld GPS – Model P6</v>
      </c>
      <c r="D2756" s="164"/>
      <c r="E2756" s="164"/>
      <c r="F2756" s="164" t="str">
        <f ca="1">IFERROR(__xludf.DUMMYFUNCTION("""COMPUTED_VALUE"""),"2023-05-14-10202SP19-01")</f>
        <v>2023-05-14-10202SP19-01</v>
      </c>
      <c r="G2756" s="164" t="str">
        <f ca="1">IFERROR(__xludf.DUMMYFUNCTION("""COMPUTED_VALUE"""),"SN # SP10730084")</f>
        <v>SN # SP10730084</v>
      </c>
      <c r="H2756" s="164" t="str">
        <f ca="1">IFERROR(__xludf.DUMMYFUNCTION("""COMPUTED_VALUE"""),"TIGAO, RODELMAR L.")</f>
        <v>TIGAO, RODELMAR L.</v>
      </c>
      <c r="I2756" s="164" t="str">
        <f ca="1">IFERROR(__xludf.DUMMYFUNCTION("""COMPUTED_VALUE"""),"ENGINEER II/DENR/LRA-ROD SURVEY COORDINATOR")</f>
        <v>ENGINEER II/DENR/LRA-ROD SURVEY COORDINATOR</v>
      </c>
      <c r="J2756" s="164" t="str">
        <f ca="1">IFERROR(__xludf.DUMMYFUNCTION("""COMPUTED_VALUE"""),"2023-03-040")</f>
        <v>2023-03-040</v>
      </c>
      <c r="K2756" s="164" t="str">
        <f ca="1">IFERROR(__xludf.DUMMYFUNCTION("""COMPUTED_VALUE"""),"TIGAO, RODELMAR L.")</f>
        <v>TIGAO, RODELMAR L.</v>
      </c>
      <c r="L2756" s="164" t="str">
        <f ca="1">IFERROR(__xludf.DUMMYFUNCTION("""COMPUTED_VALUE"""),"LTID/SURVEY SECTION")</f>
        <v>LTID/SURVEY SECTION</v>
      </c>
      <c r="M2756" s="164" t="str">
        <f ca="1">IFERROR(__xludf.DUMMYFUNCTION("""COMPUTED_VALUE"""),"SERVICEABLE")</f>
        <v>SERVICEABLE</v>
      </c>
      <c r="N2756" s="164"/>
    </row>
    <row r="2757" spans="1:14" ht="13.2" hidden="1">
      <c r="A2757" s="164" t="str">
        <f ca="1">IFERROR(__xludf.DUMMYFUNCTION("""COMPUTED_VALUE"""),"NIR")</f>
        <v>NIR</v>
      </c>
      <c r="B2757" s="164" t="str">
        <f ca="1">IFERROR(__xludf.DUMMYFUNCTION("""COMPUTED_VALUE"""),"Negros Occidental I")</f>
        <v>Negros Occidental I</v>
      </c>
      <c r="C2757" s="164" t="str">
        <f ca="1">IFERROR(__xludf.DUMMYFUNCTION("""COMPUTED_VALUE"""),"Desktop Computer – (Lenovo M70T)")</f>
        <v>Desktop Computer – (Lenovo M70T)</v>
      </c>
      <c r="D2757" s="164" t="str">
        <f ca="1">IFERROR(__xludf.DUMMYFUNCTION("""COMPUTED_VALUE"""),"₱ 75,468.00")</f>
        <v>₱ 75,468.00</v>
      </c>
      <c r="E2757" s="164"/>
      <c r="F2757" s="164" t="str">
        <f ca="1">IFERROR(__xludf.DUMMYFUNCTION("""COMPUTED_VALUE"""),"2023-05-03-10201SP1203-01")</f>
        <v>2023-05-03-10201SP1203-01</v>
      </c>
      <c r="G2757" s="164" t="str">
        <f ca="1">IFERROR(__xludf.DUMMYFUNCTION("""COMPUTED_VALUE"""),"CPU - GM0415RZ MONITOR - VNA99PAA UPS - EL4322 C00989 PRINTER -KNUJ20651")</f>
        <v>CPU - GM0415RZ MONITOR - VNA99PAA UPS - EL4322 C00989 PRINTER -KNUJ20651</v>
      </c>
      <c r="H2757" s="164" t="str">
        <f ca="1">IFERROR(__xludf.DUMMYFUNCTION("""COMPUTED_VALUE"""),"PFJIII M. REGALADO")</f>
        <v>PFJIII M. REGALADO</v>
      </c>
      <c r="I2757" s="164" t="str">
        <f ca="1">IFERROR(__xludf.DUMMYFUNCTION("""COMPUTED_VALUE"""),"ARPT./REGISTRATION UNIT HEAD")</f>
        <v>ARPT./REGISTRATION UNIT HEAD</v>
      </c>
      <c r="J2757" s="164" t="str">
        <f ca="1">IFERROR(__xludf.DUMMYFUNCTION("""COMPUTED_VALUE"""),"2023-05-020")</f>
        <v>2023-05-020</v>
      </c>
      <c r="K2757" s="164" t="str">
        <f ca="1">IFERROR(__xludf.DUMMYFUNCTION("""COMPUTED_VALUE"""),"PFJIII M. REGALADO")</f>
        <v>PFJIII M. REGALADO</v>
      </c>
      <c r="L2757" s="164" t="str">
        <f ca="1">IFERROR(__xludf.DUMMYFUNCTION("""COMPUTED_VALUE"""),"SPLIT")</f>
        <v>SPLIT</v>
      </c>
      <c r="M2757" s="164" t="str">
        <f ca="1">IFERROR(__xludf.DUMMYFUNCTION("""COMPUTED_VALUE"""),"SERVICEABLE")</f>
        <v>SERVICEABLE</v>
      </c>
      <c r="N2757" s="164"/>
    </row>
    <row r="2758" spans="1:14" ht="13.2" hidden="1">
      <c r="A2758" s="164" t="str">
        <f ca="1">IFERROR(__xludf.DUMMYFUNCTION("""COMPUTED_VALUE"""),"NIR")</f>
        <v>NIR</v>
      </c>
      <c r="B2758" s="164" t="str">
        <f ca="1">IFERROR(__xludf.DUMMYFUNCTION("""COMPUTED_VALUE"""),"Negros Occidental I")</f>
        <v>Negros Occidental I</v>
      </c>
      <c r="C2758" s="164" t="str">
        <f ca="1">IFERROR(__xludf.DUMMYFUNCTION("""COMPUTED_VALUE"""),"Desktop Computer – (Lenovo M70T)")</f>
        <v>Desktop Computer – (Lenovo M70T)</v>
      </c>
      <c r="D2758" s="164" t="str">
        <f ca="1">IFERROR(__xludf.DUMMYFUNCTION("""COMPUTED_VALUE"""),"₱ 75,468.00")</f>
        <v>₱ 75,468.00</v>
      </c>
      <c r="E2758" s="164"/>
      <c r="F2758" s="164" t="str">
        <f ca="1">IFERROR(__xludf.DUMMYFUNCTION("""COMPUTED_VALUE"""),"2023-05-03-10201SP1204-01")</f>
        <v>2023-05-03-10201SP1204-01</v>
      </c>
      <c r="G2758" s="164" t="str">
        <f ca="1">IFERROR(__xludf.DUMMYFUNCTION("""COMPUTED_VALUE"""),"CPU - GM041AZM MONITOR - VNA99PAH UPS - EL4322 C00990 PRINTER -KNUJ19893")</f>
        <v>CPU - GM041AZM MONITOR - VNA99PAH UPS - EL4322 C00990 PRINTER -KNUJ19893</v>
      </c>
      <c r="H2758" s="164" t="str">
        <f ca="1">IFERROR(__xludf.DUMMYFUNCTION("""COMPUTED_VALUE"""),"MERCY C. CABAYAO")</f>
        <v>MERCY C. CABAYAO</v>
      </c>
      <c r="I2758" s="164" t="str">
        <f ca="1">IFERROR(__xludf.DUMMYFUNCTION("""COMPUTED_VALUE"""),"ACCOUNTANT II/PROJECT ACCOUNTANT")</f>
        <v>ACCOUNTANT II/PROJECT ACCOUNTANT</v>
      </c>
      <c r="J2758" s="164" t="str">
        <f ca="1">IFERROR(__xludf.DUMMYFUNCTION("""COMPUTED_VALUE"""),"2023-05-021")</f>
        <v>2023-05-021</v>
      </c>
      <c r="K2758" s="164" t="str">
        <f ca="1">IFERROR(__xludf.DUMMYFUNCTION("""COMPUTED_VALUE"""),"MERCY C. CABAYAO")</f>
        <v>MERCY C. CABAYAO</v>
      </c>
      <c r="L2758" s="164" t="str">
        <f ca="1">IFERROR(__xludf.DUMMYFUNCTION("""COMPUTED_VALUE"""),"STOD")</f>
        <v>STOD</v>
      </c>
      <c r="M2758" s="164" t="str">
        <f ca="1">IFERROR(__xludf.DUMMYFUNCTION("""COMPUTED_VALUE"""),"SERVICEABLE")</f>
        <v>SERVICEABLE</v>
      </c>
      <c r="N2758" s="164"/>
    </row>
    <row r="2759" spans="1:14" ht="13.2" hidden="1">
      <c r="A2759" s="164" t="str">
        <f ca="1">IFERROR(__xludf.DUMMYFUNCTION("""COMPUTED_VALUE"""),"NIR")</f>
        <v>NIR</v>
      </c>
      <c r="B2759" s="164" t="str">
        <f ca="1">IFERROR(__xludf.DUMMYFUNCTION("""COMPUTED_VALUE"""),"Negros Occidental I")</f>
        <v>Negros Occidental I</v>
      </c>
      <c r="C2759" s="164" t="str">
        <f ca="1">IFERROR(__xludf.DUMMYFUNCTION("""COMPUTED_VALUE"""),"Desktop Computer – (Lenovo M70T)")</f>
        <v>Desktop Computer – (Lenovo M70T)</v>
      </c>
      <c r="D2759" s="164" t="str">
        <f ca="1">IFERROR(__xludf.DUMMYFUNCTION("""COMPUTED_VALUE"""),"₱ 75,468.00")</f>
        <v>₱ 75,468.00</v>
      </c>
      <c r="E2759" s="164"/>
      <c r="F2759" s="164" t="str">
        <f ca="1">IFERROR(__xludf.DUMMYFUNCTION("""COMPUTED_VALUE"""),"2023-05-03-10201SP1205-01")</f>
        <v>2023-05-03-10201SP1205-01</v>
      </c>
      <c r="G2759" s="164" t="str">
        <f ca="1">IFERROR(__xludf.DUMMYFUNCTION("""COMPUTED_VALUE"""),"CPU - GM0415X2 MONITOR - VNA99PBC UPS - EL4322 C00991 PRINTER -KNUJ20110")</f>
        <v>CPU - GM0415X2 MONITOR - VNA99PBC UPS - EL4322 C00991 PRINTER -KNUJ20110</v>
      </c>
      <c r="H2759" s="164" t="str">
        <f ca="1">IFERROR(__xludf.DUMMYFUNCTION("""COMPUTED_VALUE"""),"PFJIII M. REGALADO")</f>
        <v>PFJIII M. REGALADO</v>
      </c>
      <c r="I2759" s="164" t="str">
        <f ca="1">IFERROR(__xludf.DUMMYFUNCTION("""COMPUTED_VALUE"""),"ARPT./REGISTRATION UNIT HEAD")</f>
        <v>ARPT./REGISTRATION UNIT HEAD</v>
      </c>
      <c r="J2759" s="164" t="str">
        <f ca="1">IFERROR(__xludf.DUMMYFUNCTION("""COMPUTED_VALUE"""),"2023-05-022")</f>
        <v>2023-05-022</v>
      </c>
      <c r="K2759" s="164" t="str">
        <f ca="1">IFERROR(__xludf.DUMMYFUNCTION("""COMPUTED_VALUE"""),"PFJIII M. REGALADO")</f>
        <v>PFJIII M. REGALADO</v>
      </c>
      <c r="L2759" s="164" t="str">
        <f ca="1">IFERROR(__xludf.DUMMYFUNCTION("""COMPUTED_VALUE"""),"SPLIT")</f>
        <v>SPLIT</v>
      </c>
      <c r="M2759" s="164" t="str">
        <f ca="1">IFERROR(__xludf.DUMMYFUNCTION("""COMPUTED_VALUE"""),"SERVICEABLE")</f>
        <v>SERVICEABLE</v>
      </c>
      <c r="N2759" s="164"/>
    </row>
    <row r="2760" spans="1:14" ht="13.2" hidden="1">
      <c r="A2760" s="164" t="str">
        <f ca="1">IFERROR(__xludf.DUMMYFUNCTION("""COMPUTED_VALUE"""),"NIR")</f>
        <v>NIR</v>
      </c>
      <c r="B2760" s="164" t="str">
        <f ca="1">IFERROR(__xludf.DUMMYFUNCTION("""COMPUTED_VALUE"""),"Negros Occidental I")</f>
        <v>Negros Occidental I</v>
      </c>
      <c r="C2760" s="164" t="str">
        <f ca="1">IFERROR(__xludf.DUMMYFUNCTION("""COMPUTED_VALUE"""),"Desktop Computer – (Lenovo M70T)")</f>
        <v>Desktop Computer – (Lenovo M70T)</v>
      </c>
      <c r="D2760" s="164" t="str">
        <f ca="1">IFERROR(__xludf.DUMMYFUNCTION("""COMPUTED_VALUE"""),"₱ 75,468.00")</f>
        <v>₱ 75,468.00</v>
      </c>
      <c r="E2760" s="164"/>
      <c r="F2760" s="164" t="str">
        <f ca="1">IFERROR(__xludf.DUMMYFUNCTION("""COMPUTED_VALUE"""),"2023-05-03-10201SP1206-01")</f>
        <v>2023-05-03-10201SP1206-01</v>
      </c>
      <c r="G2760" s="164" t="str">
        <f ca="1">IFERROR(__xludf.DUMMYFUNCTION("""COMPUTED_VALUE"""),"CPU - GM0415BK MONITOR - VNA99R6Z UPS - EL4322 C00992 PRINTER -KNUJ19935")</f>
        <v>CPU - GM0415BK MONITOR - VNA99R6Z UPS - EL4322 C00992 PRINTER -KNUJ19935</v>
      </c>
      <c r="H2760" s="164" t="str">
        <f ca="1">IFERROR(__xludf.DUMMYFUNCTION("""COMPUTED_VALUE"""),"LYKA MARIE D. VELEZ")</f>
        <v>LYKA MARIE D. VELEZ</v>
      </c>
      <c r="I2760" s="164" t="str">
        <f ca="1">IFERROR(__xludf.DUMMYFUNCTION("""COMPUTED_VALUE"""),"ARPT./ILDF REVIEWER UNIT HEAD")</f>
        <v>ARPT./ILDF REVIEWER UNIT HEAD</v>
      </c>
      <c r="J2760" s="164" t="str">
        <f ca="1">IFERROR(__xludf.DUMMYFUNCTION("""COMPUTED_VALUE"""),"2023-05-023")</f>
        <v>2023-05-023</v>
      </c>
      <c r="K2760" s="164" t="str">
        <f ca="1">IFERROR(__xludf.DUMMYFUNCTION("""COMPUTED_VALUE"""),"LYKA MARIE D. VELEZ")</f>
        <v>LYKA MARIE D. VELEZ</v>
      </c>
      <c r="L2760" s="164" t="str">
        <f ca="1">IFERROR(__xludf.DUMMYFUNCTION("""COMPUTED_VALUE"""),"SPLIT")</f>
        <v>SPLIT</v>
      </c>
      <c r="M2760" s="164" t="str">
        <f ca="1">IFERROR(__xludf.DUMMYFUNCTION("""COMPUTED_VALUE"""),"SERVICEABLE")</f>
        <v>SERVICEABLE</v>
      </c>
      <c r="N2760" s="164"/>
    </row>
    <row r="2761" spans="1:14" ht="13.2" hidden="1">
      <c r="A2761" s="164" t="str">
        <f ca="1">IFERROR(__xludf.DUMMYFUNCTION("""COMPUTED_VALUE"""),"NIR")</f>
        <v>NIR</v>
      </c>
      <c r="B2761" s="164" t="str">
        <f ca="1">IFERROR(__xludf.DUMMYFUNCTION("""COMPUTED_VALUE"""),"Negros Occidental I")</f>
        <v>Negros Occidental I</v>
      </c>
      <c r="C2761" s="164" t="str">
        <f ca="1">IFERROR(__xludf.DUMMYFUNCTION("""COMPUTED_VALUE"""),"Desktop Computer – (Lenovo M70T)")</f>
        <v>Desktop Computer – (Lenovo M70T)</v>
      </c>
      <c r="D2761" s="164" t="str">
        <f ca="1">IFERROR(__xludf.DUMMYFUNCTION("""COMPUTED_VALUE"""),"₱ 75,468.00")</f>
        <v>₱ 75,468.00</v>
      </c>
      <c r="E2761" s="164"/>
      <c r="F2761" s="164" t="str">
        <f ca="1">IFERROR(__xludf.DUMMYFUNCTION("""COMPUTED_VALUE"""),"2023-05-03-10201SP1207-01")</f>
        <v>2023-05-03-10201SP1207-01</v>
      </c>
      <c r="G2761" s="164" t="str">
        <f ca="1">IFERROR(__xludf.DUMMYFUNCTION("""COMPUTED_VALUE"""),"CPU - GM041B03 MONITOR - VNA99R71 UPS - EL4322 C01811 PRINTER -KNUJ19303")</f>
        <v>CPU - GM041B03 MONITOR - VNA99R71 UPS - EL4322 C01811 PRINTER -KNUJ19303</v>
      </c>
      <c r="H2761" s="164" t="str">
        <f ca="1">IFERROR(__xludf.DUMMYFUNCTION("""COMPUTED_VALUE"""),"CARLA JANEAH G. MISSION")</f>
        <v>CARLA JANEAH G. MISSION</v>
      </c>
      <c r="I2761" s="164" t="str">
        <f ca="1">IFERROR(__xludf.DUMMYFUNCTION("""COMPUTED_VALUE"""),"ARPT./ILDF VERIFIER")</f>
        <v>ARPT./ILDF VERIFIER</v>
      </c>
      <c r="J2761" s="164" t="str">
        <f ca="1">IFERROR(__xludf.DUMMYFUNCTION("""COMPUTED_VALUE"""),"2023-05-024")</f>
        <v>2023-05-024</v>
      </c>
      <c r="K2761" s="164" t="str">
        <f ca="1">IFERROR(__xludf.DUMMYFUNCTION("""COMPUTED_VALUE"""),"CARLA JANEAH G. MISSION")</f>
        <v>CARLA JANEAH G. MISSION</v>
      </c>
      <c r="L2761" s="164" t="str">
        <f ca="1">IFERROR(__xludf.DUMMYFUNCTION("""COMPUTED_VALUE"""),"SPLIT")</f>
        <v>SPLIT</v>
      </c>
      <c r="M2761" s="164" t="str">
        <f ca="1">IFERROR(__xludf.DUMMYFUNCTION("""COMPUTED_VALUE"""),"SERVICEABLE")</f>
        <v>SERVICEABLE</v>
      </c>
      <c r="N2761" s="164"/>
    </row>
    <row r="2762" spans="1:14" ht="13.2" hidden="1">
      <c r="A2762" s="164" t="str">
        <f ca="1">IFERROR(__xludf.DUMMYFUNCTION("""COMPUTED_VALUE"""),"NIR")</f>
        <v>NIR</v>
      </c>
      <c r="B2762" s="164" t="str">
        <f ca="1">IFERROR(__xludf.DUMMYFUNCTION("""COMPUTED_VALUE"""),"Negros Occidental I")</f>
        <v>Negros Occidental I</v>
      </c>
      <c r="C2762" s="164" t="str">
        <f ca="1">IFERROR(__xludf.DUMMYFUNCTION("""COMPUTED_VALUE"""),"Desktop Computer – (Lenovo M70T)")</f>
        <v>Desktop Computer – (Lenovo M70T)</v>
      </c>
      <c r="D2762" s="164" t="str">
        <f ca="1">IFERROR(__xludf.DUMMYFUNCTION("""COMPUTED_VALUE"""),"₱ 75,468.00")</f>
        <v>₱ 75,468.00</v>
      </c>
      <c r="E2762" s="164"/>
      <c r="F2762" s="164" t="str">
        <f ca="1">IFERROR(__xludf.DUMMYFUNCTION("""COMPUTED_VALUE"""),"2023-05-03-10201SP1208-01")</f>
        <v>2023-05-03-10201SP1208-01</v>
      </c>
      <c r="G2762" s="164" t="str">
        <f ca="1">IFERROR(__xludf.DUMMYFUNCTION("""COMPUTED_VALUE"""),"CPU - GM041B5J MONITOR - VNA99PWF UPS - EL4322 C01812 PRINTER -KNUJ19311")</f>
        <v>CPU - GM041B5J MONITOR - VNA99PWF UPS - EL4322 C01812 PRINTER -KNUJ19311</v>
      </c>
      <c r="H2762" s="164" t="str">
        <f ca="1">IFERROR(__xludf.DUMMYFUNCTION("""COMPUTED_VALUE"""),"JOJI D. FLORES")</f>
        <v>JOJI D. FLORES</v>
      </c>
      <c r="I2762" s="164" t="str">
        <f ca="1">IFERROR(__xludf.DUMMYFUNCTION("""COMPUTED_VALUE"""),"MARPO/PARCELIZATION COMPONENT AND FIELD TEAM COORDINATOR")</f>
        <v>MARPO/PARCELIZATION COMPONENT AND FIELD TEAM COORDINATOR</v>
      </c>
      <c r="J2762" s="164" t="str">
        <f ca="1">IFERROR(__xludf.DUMMYFUNCTION("""COMPUTED_VALUE"""),"2023-05-025")</f>
        <v>2023-05-025</v>
      </c>
      <c r="K2762" s="164" t="str">
        <f ca="1">IFERROR(__xludf.DUMMYFUNCTION("""COMPUTED_VALUE"""),"JOJI D. FLORES")</f>
        <v>JOJI D. FLORES</v>
      </c>
      <c r="L2762" s="164" t="str">
        <f ca="1">IFERROR(__xludf.DUMMYFUNCTION("""COMPUTED_VALUE"""),"SPLIT")</f>
        <v>SPLIT</v>
      </c>
      <c r="M2762" s="164" t="str">
        <f ca="1">IFERROR(__xludf.DUMMYFUNCTION("""COMPUTED_VALUE"""),"SERVICEABLE")</f>
        <v>SERVICEABLE</v>
      </c>
      <c r="N2762" s="164"/>
    </row>
    <row r="2763" spans="1:14" ht="13.2" hidden="1">
      <c r="A2763" s="164" t="str">
        <f ca="1">IFERROR(__xludf.DUMMYFUNCTION("""COMPUTED_VALUE"""),"NIR")</f>
        <v>NIR</v>
      </c>
      <c r="B2763" s="164" t="str">
        <f ca="1">IFERROR(__xludf.DUMMYFUNCTION("""COMPUTED_VALUE"""),"Negros Occidental I")</f>
        <v>Negros Occidental I</v>
      </c>
      <c r="C2763" s="164" t="str">
        <f ca="1">IFERROR(__xludf.DUMMYFUNCTION("""COMPUTED_VALUE"""),"Desktop Computer – (Lenovo M70T)")</f>
        <v>Desktop Computer – (Lenovo M70T)</v>
      </c>
      <c r="D2763" s="164" t="str">
        <f ca="1">IFERROR(__xludf.DUMMYFUNCTION("""COMPUTED_VALUE"""),"₱ 75,468.00")</f>
        <v>₱ 75,468.00</v>
      </c>
      <c r="E2763" s="164"/>
      <c r="F2763" s="164" t="str">
        <f ca="1">IFERROR(__xludf.DUMMYFUNCTION("""COMPUTED_VALUE"""),"2023-05-03-10201SP1209-01")</f>
        <v>2023-05-03-10201SP1209-01</v>
      </c>
      <c r="G2763" s="164" t="str">
        <f ca="1">IFERROR(__xludf.DUMMYFUNCTION("""COMPUTED_VALUE"""),"CPU - GM041B11 MONITOR - VNA99PRX UPS - EL4322 C01809 PRINTER -KNUJ19901")</f>
        <v>CPU - GM041B11 MONITOR - VNA99PRX UPS - EL4322 C01809 PRINTER -KNUJ19901</v>
      </c>
      <c r="H2763" s="164" t="str">
        <f ca="1">IFERROR(__xludf.DUMMYFUNCTION("""COMPUTED_VALUE"""),"MARK RYAN B. SARABIA")</f>
        <v>MARK RYAN B. SARABIA</v>
      </c>
      <c r="I2763" s="164" t="str">
        <f ca="1">IFERROR(__xludf.DUMMYFUNCTION("""COMPUTED_VALUE"""),"SARPT./MIS COORDINATOR")</f>
        <v>SARPT./MIS COORDINATOR</v>
      </c>
      <c r="J2763" s="164" t="str">
        <f ca="1">IFERROR(__xludf.DUMMYFUNCTION("""COMPUTED_VALUE"""),"2023-05-026")</f>
        <v>2023-05-026</v>
      </c>
      <c r="K2763" s="164" t="str">
        <f ca="1">IFERROR(__xludf.DUMMYFUNCTION("""COMPUTED_VALUE"""),"MARK RYAN B. SARABIA")</f>
        <v>MARK RYAN B. SARABIA</v>
      </c>
      <c r="L2763" s="164" t="str">
        <f ca="1">IFERROR(__xludf.DUMMYFUNCTION("""COMPUTED_VALUE"""),"SPLIT")</f>
        <v>SPLIT</v>
      </c>
      <c r="M2763" s="164" t="str">
        <f ca="1">IFERROR(__xludf.DUMMYFUNCTION("""COMPUTED_VALUE"""),"SERVICEABLE")</f>
        <v>SERVICEABLE</v>
      </c>
      <c r="N2763" s="164"/>
    </row>
    <row r="2764" spans="1:14" ht="13.2" hidden="1">
      <c r="A2764" s="164" t="str">
        <f ca="1">IFERROR(__xludf.DUMMYFUNCTION("""COMPUTED_VALUE"""),"NIR")</f>
        <v>NIR</v>
      </c>
      <c r="B2764" s="164" t="str">
        <f ca="1">IFERROR(__xludf.DUMMYFUNCTION("""COMPUTED_VALUE"""),"Negros Occidental I")</f>
        <v>Negros Occidental I</v>
      </c>
      <c r="C2764" s="164" t="str">
        <f ca="1">IFERROR(__xludf.DUMMYFUNCTION("""COMPUTED_VALUE"""),"Desktop Computer – (Lenovo M70T)")</f>
        <v>Desktop Computer – (Lenovo M70T)</v>
      </c>
      <c r="D2764" s="164" t="str">
        <f ca="1">IFERROR(__xludf.DUMMYFUNCTION("""COMPUTED_VALUE"""),"₱ 75,468.00")</f>
        <v>₱ 75,468.00</v>
      </c>
      <c r="E2764" s="164"/>
      <c r="F2764" s="164" t="str">
        <f ca="1">IFERROR(__xludf.DUMMYFUNCTION("""COMPUTED_VALUE"""),"2023-05-03-10201SP1210-01")</f>
        <v>2023-05-03-10201SP1210-01</v>
      </c>
      <c r="G2764" s="164" t="str">
        <f ca="1">IFERROR(__xludf.DUMMYFUNCTION("""COMPUTED_VALUE"""),"CPU - GM041B14 MONITOR - VNA99PWA UPS - EL4322 C01810 PRINTER -KNUJ24284")</f>
        <v>CPU - GM041B14 MONITOR - VNA99PWA UPS - EL4322 C01810 PRINTER -KNUJ24284</v>
      </c>
      <c r="H2764" s="164" t="str">
        <f ca="1">IFERROR(__xludf.DUMMYFUNCTION("""COMPUTED_VALUE"""),"CRISTA GRACE I. FLORES")</f>
        <v>CRISTA GRACE I. FLORES</v>
      </c>
      <c r="I2764" s="164" t="str">
        <f ca="1">IFERROR(__xludf.DUMMYFUNCTION("""COMPUTED_VALUE"""),"ARPO I/VALIDATION UNIT HEAD")</f>
        <v>ARPO I/VALIDATION UNIT HEAD</v>
      </c>
      <c r="J2764" s="164" t="str">
        <f ca="1">IFERROR(__xludf.DUMMYFUNCTION("""COMPUTED_VALUE"""),"2023-05-027")</f>
        <v>2023-05-027</v>
      </c>
      <c r="K2764" s="164" t="str">
        <f ca="1">IFERROR(__xludf.DUMMYFUNCTION("""COMPUTED_VALUE"""),"CRISTA GRACE I. FLORES")</f>
        <v>CRISTA GRACE I. FLORES</v>
      </c>
      <c r="L2764" s="164" t="str">
        <f ca="1">IFERROR(__xludf.DUMMYFUNCTION("""COMPUTED_VALUE"""),"SPLIT")</f>
        <v>SPLIT</v>
      </c>
      <c r="M2764" s="164" t="str">
        <f ca="1">IFERROR(__xludf.DUMMYFUNCTION("""COMPUTED_VALUE"""),"SERVICEABLE")</f>
        <v>SERVICEABLE</v>
      </c>
      <c r="N2764" s="164"/>
    </row>
    <row r="2765" spans="1:14" ht="13.2" hidden="1">
      <c r="A2765" s="164" t="str">
        <f ca="1">IFERROR(__xludf.DUMMYFUNCTION("""COMPUTED_VALUE"""),"NIR")</f>
        <v>NIR</v>
      </c>
      <c r="B2765" s="164" t="str">
        <f ca="1">IFERROR(__xludf.DUMMYFUNCTION("""COMPUTED_VALUE"""),"Negros Occidental I")</f>
        <v>Negros Occidental I</v>
      </c>
      <c r="C2765" s="164" t="str">
        <f ca="1">IFERROR(__xludf.DUMMYFUNCTION("""COMPUTED_VALUE"""),"Desktop Computer – (Lenovo M70T)")</f>
        <v>Desktop Computer – (Lenovo M70T)</v>
      </c>
      <c r="D2765" s="164" t="str">
        <f ca="1">IFERROR(__xludf.DUMMYFUNCTION("""COMPUTED_VALUE"""),"₱ 75,468.00")</f>
        <v>₱ 75,468.00</v>
      </c>
      <c r="E2765" s="164"/>
      <c r="F2765" s="164" t="str">
        <f ca="1">IFERROR(__xludf.DUMMYFUNCTION("""COMPUTED_VALUE"""),"2023-05-03-10201SP1211-01")</f>
        <v>2023-05-03-10201SP1211-01</v>
      </c>
      <c r="G2765" s="164" t="str">
        <f ca="1">IFERROR(__xludf.DUMMYFUNCTION("""COMPUTED_VALUE"""),"CPU - GM041AZE MONITOR - VNA99PCF UPS - EL4322 C01969 PRINTER -KNUJ20365")</f>
        <v>CPU - GM041AZE MONITOR - VNA99PCF UPS - EL4322 C01969 PRINTER -KNUJ20365</v>
      </c>
      <c r="H2765" s="164" t="str">
        <f ca="1">IFERROR(__xludf.DUMMYFUNCTION("""COMPUTED_VALUE"""),"MARK RYAN B. SARABIA")</f>
        <v>MARK RYAN B. SARABIA</v>
      </c>
      <c r="I2765" s="164" t="str">
        <f ca="1">IFERROR(__xludf.DUMMYFUNCTION("""COMPUTED_VALUE"""),"SARPT./MIS COORDINATOR")</f>
        <v>SARPT./MIS COORDINATOR</v>
      </c>
      <c r="J2765" s="164" t="str">
        <f ca="1">IFERROR(__xludf.DUMMYFUNCTION("""COMPUTED_VALUE"""),"2023-05-028")</f>
        <v>2023-05-028</v>
      </c>
      <c r="K2765" s="164" t="str">
        <f ca="1">IFERROR(__xludf.DUMMYFUNCTION("""COMPUTED_VALUE"""),"MARK RYAN B. SARABIA")</f>
        <v>MARK RYAN B. SARABIA</v>
      </c>
      <c r="L2765" s="164" t="str">
        <f ca="1">IFERROR(__xludf.DUMMYFUNCTION("""COMPUTED_VALUE"""),"SPLIT")</f>
        <v>SPLIT</v>
      </c>
      <c r="M2765" s="164" t="str">
        <f ca="1">IFERROR(__xludf.DUMMYFUNCTION("""COMPUTED_VALUE"""),"SERVICEABLE")</f>
        <v>SERVICEABLE</v>
      </c>
      <c r="N2765" s="164"/>
    </row>
    <row r="2766" spans="1:14" ht="13.2" hidden="1">
      <c r="A2766" s="164" t="str">
        <f ca="1">IFERROR(__xludf.DUMMYFUNCTION("""COMPUTED_VALUE"""),"NIR")</f>
        <v>NIR</v>
      </c>
      <c r="B2766" s="164" t="str">
        <f ca="1">IFERROR(__xludf.DUMMYFUNCTION("""COMPUTED_VALUE"""),"Negros Occidental I")</f>
        <v>Negros Occidental I</v>
      </c>
      <c r="C2766" s="164" t="str">
        <f ca="1">IFERROR(__xludf.DUMMYFUNCTION("""COMPUTED_VALUE"""),"Desktop Computer – (Lenovo M70T)")</f>
        <v>Desktop Computer – (Lenovo M70T)</v>
      </c>
      <c r="D2766" s="164" t="str">
        <f ca="1">IFERROR(__xludf.DUMMYFUNCTION("""COMPUTED_VALUE"""),"₱ 75,468.00")</f>
        <v>₱ 75,468.00</v>
      </c>
      <c r="E2766" s="164"/>
      <c r="F2766" s="164" t="str">
        <f ca="1">IFERROR(__xludf.DUMMYFUNCTION("""COMPUTED_VALUE"""),"2023-05-03-10201SP1212-01")</f>
        <v>2023-05-03-10201SP1212-01</v>
      </c>
      <c r="G2766" s="164" t="str">
        <f ca="1">IFERROR(__xludf.DUMMYFUNCTION("""COMPUTED_VALUE"""),"CPU - GM041B5M MONITOR - VNA99PAP UPS - EL4322 C00970 PRINTER -KNUJ20135")</f>
        <v>CPU - GM041B5M MONITOR - VNA99PAP UPS - EL4322 C00970 PRINTER -KNUJ20135</v>
      </c>
      <c r="H2766" s="164" t="str">
        <f ca="1">IFERROR(__xludf.DUMMYFUNCTION("""COMPUTED_VALUE"""),"ELLENOR GRACE S. BARBILLA")</f>
        <v>ELLENOR GRACE S. BARBILLA</v>
      </c>
      <c r="I2766" s="164" t="str">
        <f ca="1">IFERROR(__xludf.DUMMYFUNCTION("""COMPUTED_VALUE"""),"ARPT./ILDF VERIFIER")</f>
        <v>ARPT./ILDF VERIFIER</v>
      </c>
      <c r="J2766" s="164" t="str">
        <f ca="1">IFERROR(__xludf.DUMMYFUNCTION("""COMPUTED_VALUE"""),"2023-05-029")</f>
        <v>2023-05-029</v>
      </c>
      <c r="K2766" s="164" t="str">
        <f ca="1">IFERROR(__xludf.DUMMYFUNCTION("""COMPUTED_VALUE"""),"ELLENOR GRACE S. BARBILLA")</f>
        <v>ELLENOR GRACE S. BARBILLA</v>
      </c>
      <c r="L2766" s="164" t="str">
        <f ca="1">IFERROR(__xludf.DUMMYFUNCTION("""COMPUTED_VALUE"""),"SPLIT")</f>
        <v>SPLIT</v>
      </c>
      <c r="M2766" s="164" t="str">
        <f ca="1">IFERROR(__xludf.DUMMYFUNCTION("""COMPUTED_VALUE"""),"SERVICEABLE")</f>
        <v>SERVICEABLE</v>
      </c>
      <c r="N2766" s="164"/>
    </row>
    <row r="2767" spans="1:14" ht="13.2" hidden="1">
      <c r="A2767" s="164" t="str">
        <f ca="1">IFERROR(__xludf.DUMMYFUNCTION("""COMPUTED_VALUE"""),"NIR")</f>
        <v>NIR</v>
      </c>
      <c r="B2767" s="164" t="str">
        <f ca="1">IFERROR(__xludf.DUMMYFUNCTION("""COMPUTED_VALUE"""),"Negros Occidental I")</f>
        <v>Negros Occidental I</v>
      </c>
      <c r="C2767" s="164" t="str">
        <f ca="1">IFERROR(__xludf.DUMMYFUNCTION("""COMPUTED_VALUE"""),"Desktop Computer – (Lenovo M70T)")</f>
        <v>Desktop Computer – (Lenovo M70T)</v>
      </c>
      <c r="D2767" s="164" t="str">
        <f ca="1">IFERROR(__xludf.DUMMYFUNCTION("""COMPUTED_VALUE"""),"₱ 75,468.00")</f>
        <v>₱ 75,468.00</v>
      </c>
      <c r="E2767" s="164"/>
      <c r="F2767" s="164" t="str">
        <f ca="1">IFERROR(__xludf.DUMMYFUNCTION("""COMPUTED_VALUE"""),"2023-05-03-10201SP1213-01")</f>
        <v>2023-05-03-10201SP1213-01</v>
      </c>
      <c r="G2767" s="164" t="str">
        <f ca="1">IFERROR(__xludf.DUMMYFUNCTION("""COMPUTED_VALUE"""),"CPU - GM041AZO MONITOR - VNA99PA8 UPS - EL4322 C00971 PRINTER -KNUJ19899")</f>
        <v>CPU - GM041AZO MONITOR - VNA99PA8 UPS - EL4322 C00971 PRINTER -KNUJ19899</v>
      </c>
      <c r="H2767" s="164" t="str">
        <f ca="1">IFERROR(__xludf.DUMMYFUNCTION("""COMPUTED_VALUE"""),"LYKA MARIE D. VELEZ")</f>
        <v>LYKA MARIE D. VELEZ</v>
      </c>
      <c r="I2767" s="164" t="str">
        <f ca="1">IFERROR(__xludf.DUMMYFUNCTION("""COMPUTED_VALUE"""),"ARPT./ILDF REVIEWER UNIT HEAD")</f>
        <v>ARPT./ILDF REVIEWER UNIT HEAD</v>
      </c>
      <c r="J2767" s="164" t="str">
        <f ca="1">IFERROR(__xludf.DUMMYFUNCTION("""COMPUTED_VALUE"""),"2023-05-030")</f>
        <v>2023-05-030</v>
      </c>
      <c r="K2767" s="164" t="str">
        <f ca="1">IFERROR(__xludf.DUMMYFUNCTION("""COMPUTED_VALUE"""),"LYKA MARIE D. VELEZ")</f>
        <v>LYKA MARIE D. VELEZ</v>
      </c>
      <c r="L2767" s="164" t="str">
        <f ca="1">IFERROR(__xludf.DUMMYFUNCTION("""COMPUTED_VALUE"""),"SPLIT")</f>
        <v>SPLIT</v>
      </c>
      <c r="M2767" s="164" t="str">
        <f ca="1">IFERROR(__xludf.DUMMYFUNCTION("""COMPUTED_VALUE"""),"SERVICEABLE")</f>
        <v>SERVICEABLE</v>
      </c>
      <c r="N2767" s="164"/>
    </row>
    <row r="2768" spans="1:14" ht="13.2" hidden="1">
      <c r="A2768" s="164" t="str">
        <f ca="1">IFERROR(__xludf.DUMMYFUNCTION("""COMPUTED_VALUE"""),"NIR")</f>
        <v>NIR</v>
      </c>
      <c r="B2768" s="164" t="str">
        <f ca="1">IFERROR(__xludf.DUMMYFUNCTION("""COMPUTED_VALUE"""),"Negros Occidental I")</f>
        <v>Negros Occidental I</v>
      </c>
      <c r="C2768" s="164" t="str">
        <f ca="1">IFERROR(__xludf.DUMMYFUNCTION("""COMPUTED_VALUE"""),"Desktop Computer – (Lenovo M70T)")</f>
        <v>Desktop Computer – (Lenovo M70T)</v>
      </c>
      <c r="D2768" s="164" t="str">
        <f ca="1">IFERROR(__xludf.DUMMYFUNCTION("""COMPUTED_VALUE"""),"₱ 75,468.00")</f>
        <v>₱ 75,468.00</v>
      </c>
      <c r="E2768" s="164"/>
      <c r="F2768" s="164" t="str">
        <f ca="1">IFERROR(__xludf.DUMMYFUNCTION("""COMPUTED_VALUE"""),"2023-05-03-10201SP1214-01")</f>
        <v>2023-05-03-10201SP1214-01</v>
      </c>
      <c r="G2768" s="164" t="str">
        <f ca="1">IFERROR(__xludf.DUMMYFUNCTION("""COMPUTED_VALUE"""),"CPU - GM041B5G MONITOR - VNA99PB4 UPS - EL4322 C00972 PRINTER -KNUJ20131")</f>
        <v>CPU - GM041B5G MONITOR - VNA99PB4 UPS - EL4322 C00972 PRINTER -KNUJ20131</v>
      </c>
      <c r="H2768" s="164" t="str">
        <f ca="1">IFERROR(__xludf.DUMMYFUNCTION("""COMPUTED_VALUE"""),"ROWENA F. DERLA")</f>
        <v>ROWENA F. DERLA</v>
      </c>
      <c r="I2768" s="164" t="str">
        <f ca="1">IFERROR(__xludf.DUMMYFUNCTION("""COMPUTED_VALUE"""),"ADMINISTRATIVE OFFICER IV/PROJECT BUDGET OFFICER")</f>
        <v>ADMINISTRATIVE OFFICER IV/PROJECT BUDGET OFFICER</v>
      </c>
      <c r="J2768" s="164" t="str">
        <f ca="1">IFERROR(__xludf.DUMMYFUNCTION("""COMPUTED_VALUE"""),"2023-05-031")</f>
        <v>2023-05-031</v>
      </c>
      <c r="K2768" s="164" t="str">
        <f ca="1">IFERROR(__xludf.DUMMYFUNCTION("""COMPUTED_VALUE"""),"ROWENA F. DERLA")</f>
        <v>ROWENA F. DERLA</v>
      </c>
      <c r="L2768" s="164" t="str">
        <f ca="1">IFERROR(__xludf.DUMMYFUNCTION("""COMPUTED_VALUE"""),"STOD")</f>
        <v>STOD</v>
      </c>
      <c r="M2768" s="164" t="str">
        <f ca="1">IFERROR(__xludf.DUMMYFUNCTION("""COMPUTED_VALUE"""),"SERVICEABLE")</f>
        <v>SERVICEABLE</v>
      </c>
      <c r="N2768" s="164"/>
    </row>
    <row r="2769" spans="1:14" ht="13.2" hidden="1">
      <c r="A2769" s="164" t="str">
        <f ca="1">IFERROR(__xludf.DUMMYFUNCTION("""COMPUTED_VALUE"""),"NIR")</f>
        <v>NIR</v>
      </c>
      <c r="B2769" s="164" t="str">
        <f ca="1">IFERROR(__xludf.DUMMYFUNCTION("""COMPUTED_VALUE"""),"Negros Occidental I")</f>
        <v>Negros Occidental I</v>
      </c>
      <c r="C2769" s="164" t="str">
        <f ca="1">IFERROR(__xludf.DUMMYFUNCTION("""COMPUTED_VALUE"""),"Desktop Computer – (Lenovo M70T)")</f>
        <v>Desktop Computer – (Lenovo M70T)</v>
      </c>
      <c r="D2769" s="164" t="str">
        <f ca="1">IFERROR(__xludf.DUMMYFUNCTION("""COMPUTED_VALUE"""),"₱ 75,468.00")</f>
        <v>₱ 75,468.00</v>
      </c>
      <c r="E2769" s="164"/>
      <c r="F2769" s="164" t="str">
        <f ca="1">IFERROR(__xludf.DUMMYFUNCTION("""COMPUTED_VALUE"""),"2023-05-03-10201SP1215-01")</f>
        <v>2023-05-03-10201SP1215-01</v>
      </c>
      <c r="G2769" s="164" t="str">
        <f ca="1">IFERROR(__xludf.DUMMYFUNCTION("""COMPUTED_VALUE"""),"CPU - GM041AQM MONITOR - VNA99PBB UPS - EL4322 C01867 PRINTER -KNUJ23398")</f>
        <v>CPU - GM041AQM MONITOR - VNA99PBB UPS - EL4322 C01867 PRINTER -KNUJ23398</v>
      </c>
      <c r="H2769" s="164" t="str">
        <f ca="1">IFERROR(__xludf.DUMMYFUNCTION("""COMPUTED_VALUE"""),"ROGINE LYN P. ALISAN")</f>
        <v>ROGINE LYN P. ALISAN</v>
      </c>
      <c r="I2769" s="164" t="str">
        <f ca="1">IFERROR(__xludf.DUMMYFUNCTION("""COMPUTED_VALUE"""),"ARPT./DOCUMENTATION/ENVIRONMENT &amp; SOCIAL SAFEGUARDS SUPPORT STAFF")</f>
        <v>ARPT./DOCUMENTATION/ENVIRONMENT &amp; SOCIAL SAFEGUARDS SUPPORT STAFF</v>
      </c>
      <c r="J2769" s="164" t="str">
        <f ca="1">IFERROR(__xludf.DUMMYFUNCTION("""COMPUTED_VALUE"""),"2023-05-032")</f>
        <v>2023-05-032</v>
      </c>
      <c r="K2769" s="164" t="str">
        <f ca="1">IFERROR(__xludf.DUMMYFUNCTION("""COMPUTED_VALUE"""),"ROGINE LYN P. ALISAN")</f>
        <v>ROGINE LYN P. ALISAN</v>
      </c>
      <c r="L2769" s="164" t="str">
        <f ca="1">IFERROR(__xludf.DUMMYFUNCTION("""COMPUTED_VALUE"""),"PBDD")</f>
        <v>PBDD</v>
      </c>
      <c r="M2769" s="164" t="str">
        <f ca="1">IFERROR(__xludf.DUMMYFUNCTION("""COMPUTED_VALUE"""),"SERVICEABLE")</f>
        <v>SERVICEABLE</v>
      </c>
      <c r="N2769" s="164"/>
    </row>
    <row r="2770" spans="1:14" ht="13.2" hidden="1">
      <c r="A2770" s="164" t="str">
        <f ca="1">IFERROR(__xludf.DUMMYFUNCTION("""COMPUTED_VALUE"""),"NIR")</f>
        <v>NIR</v>
      </c>
      <c r="B2770" s="164" t="str">
        <f ca="1">IFERROR(__xludf.DUMMYFUNCTION("""COMPUTED_VALUE"""),"Negros Occidental I")</f>
        <v>Negros Occidental I</v>
      </c>
      <c r="C2770" s="164" t="str">
        <f ca="1">IFERROR(__xludf.DUMMYFUNCTION("""COMPUTED_VALUE"""),"Desktop Computer – (Lenovo M70T)")</f>
        <v>Desktop Computer – (Lenovo M70T)</v>
      </c>
      <c r="D2770" s="164" t="str">
        <f ca="1">IFERROR(__xludf.DUMMYFUNCTION("""COMPUTED_VALUE"""),"₱ 75,468.00")</f>
        <v>₱ 75,468.00</v>
      </c>
      <c r="E2770" s="164"/>
      <c r="F2770" s="164" t="str">
        <f ca="1">IFERROR(__xludf.DUMMYFUNCTION("""COMPUTED_VALUE"""),"2023-05-03-10201SP1216-01")</f>
        <v>2023-05-03-10201SP1216-01</v>
      </c>
      <c r="G2770" s="164" t="str">
        <f ca="1">IFERROR(__xludf.DUMMYFUNCTION("""COMPUTED_VALUE"""),"CPU - GM041B04 MONITOR - VNA99R5K UPS - EL4322 C01868 PRINTER -KNUJ23394")</f>
        <v>CPU - GM041B04 MONITOR - VNA99R5K UPS - EL4322 C01868 PRINTER -KNUJ23394</v>
      </c>
      <c r="H2770" s="164" t="str">
        <f ca="1">IFERROR(__xludf.DUMMYFUNCTION("""COMPUTED_VALUE"""),"RODELMAR L. TIGAO")</f>
        <v>RODELMAR L. TIGAO</v>
      </c>
      <c r="I2770" s="164" t="str">
        <f ca="1">IFERROR(__xludf.DUMMYFUNCTION("""COMPUTED_VALUE"""),"ENGINEER II/DENR/LRA-ROD SURVEY COORDINATOR")</f>
        <v>ENGINEER II/DENR/LRA-ROD SURVEY COORDINATOR</v>
      </c>
      <c r="J2770" s="164" t="str">
        <f ca="1">IFERROR(__xludf.DUMMYFUNCTION("""COMPUTED_VALUE"""),"2023-05-033")</f>
        <v>2023-05-033</v>
      </c>
      <c r="K2770" s="164" t="str">
        <f ca="1">IFERROR(__xludf.DUMMYFUNCTION("""COMPUTED_VALUE"""),"RODELMAR L. TIGAO")</f>
        <v>RODELMAR L. TIGAO</v>
      </c>
      <c r="L2770" s="164" t="str">
        <f ca="1">IFERROR(__xludf.DUMMYFUNCTION("""COMPUTED_VALUE"""),"LTID-SURVEY")</f>
        <v>LTID-SURVEY</v>
      </c>
      <c r="M2770" s="164" t="str">
        <f ca="1">IFERROR(__xludf.DUMMYFUNCTION("""COMPUTED_VALUE"""),"SERVICEABLE")</f>
        <v>SERVICEABLE</v>
      </c>
      <c r="N2770" s="164"/>
    </row>
    <row r="2771" spans="1:14" ht="13.2" hidden="1">
      <c r="A2771" s="164" t="str">
        <f ca="1">IFERROR(__xludf.DUMMYFUNCTION("""COMPUTED_VALUE"""),"NIR")</f>
        <v>NIR</v>
      </c>
      <c r="B2771" s="164" t="str">
        <f ca="1">IFERROR(__xludf.DUMMYFUNCTION("""COMPUTED_VALUE"""),"Negros Occidental I")</f>
        <v>Negros Occidental I</v>
      </c>
      <c r="C2771" s="164" t="str">
        <f ca="1">IFERROR(__xludf.DUMMYFUNCTION("""COMPUTED_VALUE"""),"Desktop Computer – (Lenovo M70T)")</f>
        <v>Desktop Computer – (Lenovo M70T)</v>
      </c>
      <c r="D2771" s="164" t="str">
        <f ca="1">IFERROR(__xludf.DUMMYFUNCTION("""COMPUTED_VALUE"""),"₱ 75,468.00")</f>
        <v>₱ 75,468.00</v>
      </c>
      <c r="E2771" s="164"/>
      <c r="F2771" s="164" t="str">
        <f ca="1">IFERROR(__xludf.DUMMYFUNCTION("""COMPUTED_VALUE"""),"2023-05-03-10201SP1217-01")</f>
        <v>2023-05-03-10201SP1217-01</v>
      </c>
      <c r="G2771" s="164" t="str">
        <f ca="1">IFERROR(__xludf.DUMMYFUNCTION("""COMPUTED_VALUE"""),"CPU - GM0415WY MONITOR - VNA99PT7 UPS - EL4322 C01866 PRINTER -KNUJ23406")</f>
        <v>CPU - GM0415WY MONITOR - VNA99PT7 UPS - EL4322 C01866 PRINTER -KNUJ23406</v>
      </c>
      <c r="H2771" s="164" t="str">
        <f ca="1">IFERROR(__xludf.DUMMYFUNCTION("""COMPUTED_VALUE"""),"MA. CORAZON T. MONDIA")</f>
        <v>MA. CORAZON T. MONDIA</v>
      </c>
      <c r="I2771" s="164" t="str">
        <f ca="1">IFERROR(__xludf.DUMMYFUNCTION("""COMPUTED_VALUE"""),"CHIEF ADMIN. OFFICER/TECHNICAL STAFF 2-ADMINISTRATIVE AND FINANCE OFFICER")</f>
        <v>CHIEF ADMIN. OFFICER/TECHNICAL STAFF 2-ADMINISTRATIVE AND FINANCE OFFICER</v>
      </c>
      <c r="J2771" s="164" t="str">
        <f ca="1">IFERROR(__xludf.DUMMYFUNCTION("""COMPUTED_VALUE"""),"2023-05-034")</f>
        <v>2023-05-034</v>
      </c>
      <c r="K2771" s="164" t="str">
        <f ca="1">IFERROR(__xludf.DUMMYFUNCTION("""COMPUTED_VALUE"""),"MA. CORAZON T. MONDIA")</f>
        <v>MA. CORAZON T. MONDIA</v>
      </c>
      <c r="L2771" s="164" t="str">
        <f ca="1">IFERROR(__xludf.DUMMYFUNCTION("""COMPUTED_VALUE"""),"STOD")</f>
        <v>STOD</v>
      </c>
      <c r="M2771" s="164" t="str">
        <f ca="1">IFERROR(__xludf.DUMMYFUNCTION("""COMPUTED_VALUE"""),"SERVICEABLE")</f>
        <v>SERVICEABLE</v>
      </c>
      <c r="N2771" s="164"/>
    </row>
    <row r="2772" spans="1:14" ht="13.2" hidden="1">
      <c r="A2772" s="164" t="str">
        <f ca="1">IFERROR(__xludf.DUMMYFUNCTION("""COMPUTED_VALUE"""),"NIR")</f>
        <v>NIR</v>
      </c>
      <c r="B2772" s="164" t="str">
        <f ca="1">IFERROR(__xludf.DUMMYFUNCTION("""COMPUTED_VALUE"""),"Negros Occidental I")</f>
        <v>Negros Occidental I</v>
      </c>
      <c r="C2772" s="164" t="str">
        <f ca="1">IFERROR(__xludf.DUMMYFUNCTION("""COMPUTED_VALUE"""),"Desktop Computer – (Lenovo M70T)")</f>
        <v>Desktop Computer – (Lenovo M70T)</v>
      </c>
      <c r="D2772" s="164" t="str">
        <f ca="1">IFERROR(__xludf.DUMMYFUNCTION("""COMPUTED_VALUE"""),"₱ 75,468.00")</f>
        <v>₱ 75,468.00</v>
      </c>
      <c r="E2772" s="164"/>
      <c r="F2772" s="164" t="str">
        <f ca="1">IFERROR(__xludf.DUMMYFUNCTION("""COMPUTED_VALUE"""),"2023-05-03-10201SP1218-01")</f>
        <v>2023-05-03-10201SP1218-01</v>
      </c>
      <c r="G2772" s="164" t="str">
        <f ca="1">IFERROR(__xludf.DUMMYFUNCTION("""COMPUTED_VALUE"""),"CPU - GM041B1M MONITOR - VNA99PRV UPS - EL4322 C01865 PRINTER -KNUJ19294")</f>
        <v>CPU - GM041B1M MONITOR - VNA99PRV UPS - EL4322 C01865 PRINTER -KNUJ19294</v>
      </c>
      <c r="H2772" s="164" t="str">
        <f ca="1">IFERROR(__xludf.DUMMYFUNCTION("""COMPUTED_VALUE"""),"TERESITA R. MABUNAY")</f>
        <v>TERESITA R. MABUNAY</v>
      </c>
      <c r="I2772" s="164" t="str">
        <f ca="1">IFERROR(__xludf.DUMMYFUNCTION("""COMPUTED_VALUE"""),"OIC-PARPO II/PROJECT MANAGER")</f>
        <v>OIC-PARPO II/PROJECT MANAGER</v>
      </c>
      <c r="J2772" s="164" t="str">
        <f ca="1">IFERROR(__xludf.DUMMYFUNCTION("""COMPUTED_VALUE"""),"2023-05-035")</f>
        <v>2023-05-035</v>
      </c>
      <c r="K2772" s="164" t="str">
        <f ca="1">IFERROR(__xludf.DUMMYFUNCTION("""COMPUTED_VALUE"""),"TERESITA R. MABUNAY")</f>
        <v>TERESITA R. MABUNAY</v>
      </c>
      <c r="L2772" s="164" t="str">
        <f ca="1">IFERROR(__xludf.DUMMYFUNCTION("""COMPUTED_VALUE"""),"PARPO OFFICE")</f>
        <v>PARPO OFFICE</v>
      </c>
      <c r="M2772" s="164" t="str">
        <f ca="1">IFERROR(__xludf.DUMMYFUNCTION("""COMPUTED_VALUE"""),"SERVICEABLE")</f>
        <v>SERVICEABLE</v>
      </c>
      <c r="N2772" s="164"/>
    </row>
    <row r="2773" spans="1:14" ht="13.2" hidden="1">
      <c r="A2773" s="164" t="str">
        <f ca="1">IFERROR(__xludf.DUMMYFUNCTION("""COMPUTED_VALUE"""),"NIR")</f>
        <v>NIR</v>
      </c>
      <c r="B2773" s="164" t="str">
        <f ca="1">IFERROR(__xludf.DUMMYFUNCTION("""COMPUTED_VALUE"""),"Negros Occidental I")</f>
        <v>Negros Occidental I</v>
      </c>
      <c r="C2773" s="164" t="str">
        <f ca="1">IFERROR(__xludf.DUMMYFUNCTION("""COMPUTED_VALUE"""),"Desktop Computer – (HP Pro SFF 280G9)")</f>
        <v>Desktop Computer – (HP Pro SFF 280G9)</v>
      </c>
      <c r="D2773" s="164" t="str">
        <f ca="1">IFERROR(__xludf.DUMMYFUNCTION("""COMPUTED_VALUE"""),"₱ 78,898.00")</f>
        <v>₱ 78,898.00</v>
      </c>
      <c r="E2773" s="164"/>
      <c r="F2773" s="164" t="str">
        <f ca="1">IFERROR(__xludf.DUMMYFUNCTION("""COMPUTED_VALUE"""),"2023-05-03-10201SP67-01")</f>
        <v>2023-05-03-10201SP67-01</v>
      </c>
      <c r="G2773" s="164" t="str">
        <f ca="1">IFERROR(__xludf.DUMMYFUNCTION("""COMPUTED_VALUE"""),"CPU: 4CE301DH6D Keyboard:CT:BKSZU0BUEHD0Y2 Mouse: 9CP25123VX Monitor: CNC249167K UPS: 320225BN30000946 Printer: CN2BT2M0K3")</f>
        <v>CPU: 4CE301DH6D Keyboard:CT:BKSZU0BUEHD0Y2 Mouse: 9CP25123VX Monitor: CNC249167K UPS: 320225BN30000946 Printer: CN2BT2M0K3</v>
      </c>
      <c r="H2773" s="164" t="str">
        <f ca="1">IFERROR(__xludf.DUMMYFUNCTION("""COMPUTED_VALUE"""),"MARITES M. BATADLAN")</f>
        <v>MARITES M. BATADLAN</v>
      </c>
      <c r="I2773" s="164" t="str">
        <f ca="1">IFERROR(__xludf.DUMMYFUNCTION("""COMPUTED_VALUE"""),"ARPO II/RE-DOC UNIT HEAD")</f>
        <v>ARPO II/RE-DOC UNIT HEAD</v>
      </c>
      <c r="J2773" s="164" t="str">
        <f ca="1">IFERROR(__xludf.DUMMYFUNCTION("""COMPUTED_VALUE"""),"2023-08-042")</f>
        <v>2023-08-042</v>
      </c>
      <c r="K2773" s="164" t="str">
        <f ca="1">IFERROR(__xludf.DUMMYFUNCTION("""COMPUTED_VALUE"""),"MARITES M. BATADLAN")</f>
        <v>MARITES M. BATADLAN</v>
      </c>
      <c r="L2773" s="164" t="str">
        <f ca="1">IFERROR(__xludf.DUMMYFUNCTION("""COMPUTED_VALUE"""),"SPLIT")</f>
        <v>SPLIT</v>
      </c>
      <c r="M2773" s="164" t="str">
        <f ca="1">IFERROR(__xludf.DUMMYFUNCTION("""COMPUTED_VALUE"""),"SERVICEABLE")</f>
        <v>SERVICEABLE</v>
      </c>
      <c r="N2773" s="164"/>
    </row>
    <row r="2774" spans="1:14" ht="13.2" hidden="1">
      <c r="A2774" s="164" t="str">
        <f ca="1">IFERROR(__xludf.DUMMYFUNCTION("""COMPUTED_VALUE"""),"NIR")</f>
        <v>NIR</v>
      </c>
      <c r="B2774" s="164" t="str">
        <f ca="1">IFERROR(__xludf.DUMMYFUNCTION("""COMPUTED_VALUE"""),"Negros Occidental I")</f>
        <v>Negros Occidental I</v>
      </c>
      <c r="C2774" s="164" t="str">
        <f ca="1">IFERROR(__xludf.DUMMYFUNCTION("""COMPUTED_VALUE"""),"Desktop Computer – (HP Pro SFF 280G9)")</f>
        <v>Desktop Computer – (HP Pro SFF 280G9)</v>
      </c>
      <c r="D2774" s="164" t="str">
        <f ca="1">IFERROR(__xludf.DUMMYFUNCTION("""COMPUTED_VALUE"""),"₱ 78,898.00")</f>
        <v>₱ 78,898.00</v>
      </c>
      <c r="E2774" s="164"/>
      <c r="F2774" s="164" t="str">
        <f ca="1">IFERROR(__xludf.DUMMYFUNCTION("""COMPUTED_VALUE"""),"2023-05-03-10201SP68-01")</f>
        <v>2023-05-03-10201SP68-01</v>
      </c>
      <c r="G2774" s="164" t="str">
        <f ca="1">IFERROR(__xludf.DUMMYFUNCTION("""COMPUTED_VALUE"""),"CPU: 4CE301DSHG Keyboard:9CP249QB2V Mouse: 9CP251372J Monitor: CNC2471FLM UPS: 320225BO30000606 Printer: CN2BT2M0H9")</f>
        <v>CPU: 4CE301DSHG Keyboard:9CP249QB2V Mouse: 9CP251372J Monitor: CNC2471FLM UPS: 320225BO30000606 Printer: CN2BT2M0H9</v>
      </c>
      <c r="H2774" s="164" t="str">
        <f ca="1">IFERROR(__xludf.DUMMYFUNCTION("""COMPUTED_VALUE"""),"BONNAH JOYCE M. UY")</f>
        <v>BONNAH JOYCE M. UY</v>
      </c>
      <c r="I2774" s="164" t="str">
        <f ca="1">IFERROR(__xludf.DUMMYFUNCTION("""COMPUTED_VALUE"""),"ARPT./RECORDS UNIT HEAD")</f>
        <v>ARPT./RECORDS UNIT HEAD</v>
      </c>
      <c r="J2774" s="164" t="str">
        <f ca="1">IFERROR(__xludf.DUMMYFUNCTION("""COMPUTED_VALUE"""),"2023-08-043")</f>
        <v>2023-08-043</v>
      </c>
      <c r="K2774" s="164" t="str">
        <f ca="1">IFERROR(__xludf.DUMMYFUNCTION("""COMPUTED_VALUE"""),"BONNAH JOYCE M. UY")</f>
        <v>BONNAH JOYCE M. UY</v>
      </c>
      <c r="L2774" s="164" t="str">
        <f ca="1">IFERROR(__xludf.DUMMYFUNCTION("""COMPUTED_VALUE"""),"SPLIT")</f>
        <v>SPLIT</v>
      </c>
      <c r="M2774" s="164" t="str">
        <f ca="1">IFERROR(__xludf.DUMMYFUNCTION("""COMPUTED_VALUE"""),"SERVICEABLE")</f>
        <v>SERVICEABLE</v>
      </c>
      <c r="N2774" s="164"/>
    </row>
    <row r="2775" spans="1:14" ht="13.2" hidden="1">
      <c r="A2775" s="164" t="str">
        <f ca="1">IFERROR(__xludf.DUMMYFUNCTION("""COMPUTED_VALUE"""),"NIR")</f>
        <v>NIR</v>
      </c>
      <c r="B2775" s="164" t="str">
        <f ca="1">IFERROR(__xludf.DUMMYFUNCTION("""COMPUTED_VALUE"""),"Negros Occidental I")</f>
        <v>Negros Occidental I</v>
      </c>
      <c r="C2775" s="164" t="str">
        <f ca="1">IFERROR(__xludf.DUMMYFUNCTION("""COMPUTED_VALUE"""),"Desktop Computer – (HP Pro SFF 280G9)")</f>
        <v>Desktop Computer – (HP Pro SFF 280G9)</v>
      </c>
      <c r="D2775" s="164" t="str">
        <f ca="1">IFERROR(__xludf.DUMMYFUNCTION("""COMPUTED_VALUE"""),"₱ 78,898.00")</f>
        <v>₱ 78,898.00</v>
      </c>
      <c r="E2775" s="164"/>
      <c r="F2775" s="164" t="str">
        <f ca="1">IFERROR(__xludf.DUMMYFUNCTION("""COMPUTED_VALUE"""),"2023-05-03-10201SP69-01")</f>
        <v>2023-05-03-10201SP69-01</v>
      </c>
      <c r="G2775" s="164" t="str">
        <f ca="1">IFERROR(__xludf.DUMMYFUNCTION("""COMPUTED_VALUE"""),"CPU: 4CE301DSPG Keyboard:9CP249Q9Y4 Mouse: 9CP25134MG Monitor: CNC2471FLJ UPS: 320225BN30000941 Printer: CN2BT2M1D5")</f>
        <v>CPU: 4CE301DSPG Keyboard:9CP249Q9Y4 Mouse: 9CP25134MG Monitor: CNC2471FLJ UPS: 320225BN30000941 Printer: CN2BT2M1D5</v>
      </c>
      <c r="H2775" s="164" t="str">
        <f ca="1">IFERROR(__xludf.DUMMYFUNCTION("""COMPUTED_VALUE"""),"PETER S. SEGOVIA")</f>
        <v>PETER S. SEGOVIA</v>
      </c>
      <c r="I2775" s="164" t="str">
        <f ca="1">IFERROR(__xludf.DUMMYFUNCTION("""COMPUTED_VALUE"""),"ARPT./NTD/PeTD UNIT HEAD")</f>
        <v>ARPT./NTD/PeTD UNIT HEAD</v>
      </c>
      <c r="J2775" s="164" t="str">
        <f ca="1">IFERROR(__xludf.DUMMYFUNCTION("""COMPUTED_VALUE"""),"2023-08-044")</f>
        <v>2023-08-044</v>
      </c>
      <c r="K2775" s="164" t="str">
        <f ca="1">IFERROR(__xludf.DUMMYFUNCTION("""COMPUTED_VALUE"""),"PETER S. SEGOVIA")</f>
        <v>PETER S. SEGOVIA</v>
      </c>
      <c r="L2775" s="164" t="str">
        <f ca="1">IFERROR(__xludf.DUMMYFUNCTION("""COMPUTED_VALUE"""),"SPLIT")</f>
        <v>SPLIT</v>
      </c>
      <c r="M2775" s="164" t="str">
        <f ca="1">IFERROR(__xludf.DUMMYFUNCTION("""COMPUTED_VALUE"""),"SERVICEABLE")</f>
        <v>SERVICEABLE</v>
      </c>
      <c r="N2775" s="164"/>
    </row>
    <row r="2776" spans="1:14" ht="13.2" hidden="1">
      <c r="A2776" s="164" t="str">
        <f ca="1">IFERROR(__xludf.DUMMYFUNCTION("""COMPUTED_VALUE"""),"NIR")</f>
        <v>NIR</v>
      </c>
      <c r="B2776" s="164" t="str">
        <f ca="1">IFERROR(__xludf.DUMMYFUNCTION("""COMPUTED_VALUE"""),"Negros Occidental I")</f>
        <v>Negros Occidental I</v>
      </c>
      <c r="C2776" s="164" t="str">
        <f ca="1">IFERROR(__xludf.DUMMYFUNCTION("""COMPUTED_VALUE"""),"Desktop Computer – (HP Pro SFF 280G9)")</f>
        <v>Desktop Computer – (HP Pro SFF 280G9)</v>
      </c>
      <c r="D2776" s="164" t="str">
        <f ca="1">IFERROR(__xludf.DUMMYFUNCTION("""COMPUTED_VALUE"""),"₱ 78,898.00")</f>
        <v>₱ 78,898.00</v>
      </c>
      <c r="E2776" s="164"/>
      <c r="F2776" s="164" t="str">
        <f ca="1">IFERROR(__xludf.DUMMYFUNCTION("""COMPUTED_VALUE"""),"2023-05-03-10201SP71-01")</f>
        <v>2023-05-03-10201SP71-01</v>
      </c>
      <c r="G2776" s="164" t="str">
        <f ca="1">IFERROR(__xludf.DUMMYFUNCTION("""COMPUTED_VALUE"""),"CPU: 4CE301DSS4 Keyboard:9CP249QB4H Mouse: 9CP251375R Monitor: CNC2471FLG UPS: 320225BN30000440 Printer: CN2BT2M1G6")</f>
        <v>CPU: 4CE301DSS4 Keyboard:9CP249QB4H Mouse: 9CP251375R Monitor: CNC2471FLG UPS: 320225BN30000440 Printer: CN2BT2M1G6</v>
      </c>
      <c r="H2776" s="164" t="str">
        <f ca="1">IFERROR(__xludf.DUMMYFUNCTION("""COMPUTED_VALUE"""),"LIEZEL G. NINA")</f>
        <v>LIEZEL G. NINA</v>
      </c>
      <c r="I2776" s="164" t="str">
        <f ca="1">IFERROR(__xludf.DUMMYFUNCTION("""COMPUTED_VALUE"""),"A.O.III/PROJECT CASHIER")</f>
        <v>A.O.III/PROJECT CASHIER</v>
      </c>
      <c r="J2776" s="164" t="str">
        <f ca="1">IFERROR(__xludf.DUMMYFUNCTION("""COMPUTED_VALUE"""),"2023-08-045")</f>
        <v>2023-08-045</v>
      </c>
      <c r="K2776" s="164" t="str">
        <f ca="1">IFERROR(__xludf.DUMMYFUNCTION("""COMPUTED_VALUE"""),"LIEZEL G. NINA")</f>
        <v>LIEZEL G. NINA</v>
      </c>
      <c r="L2776" s="164" t="str">
        <f ca="1">IFERROR(__xludf.DUMMYFUNCTION("""COMPUTED_VALUE"""),"STOD")</f>
        <v>STOD</v>
      </c>
      <c r="M2776" s="164" t="str">
        <f ca="1">IFERROR(__xludf.DUMMYFUNCTION("""COMPUTED_VALUE"""),"SERVICEABLE")</f>
        <v>SERVICEABLE</v>
      </c>
      <c r="N2776" s="164"/>
    </row>
    <row r="2777" spans="1:14" ht="13.2" hidden="1">
      <c r="A2777" s="164" t="str">
        <f ca="1">IFERROR(__xludf.DUMMYFUNCTION("""COMPUTED_VALUE"""),"NIR")</f>
        <v>NIR</v>
      </c>
      <c r="B2777" s="164" t="str">
        <f ca="1">IFERROR(__xludf.DUMMYFUNCTION("""COMPUTED_VALUE"""),"Negros Occidental I")</f>
        <v>Negros Occidental I</v>
      </c>
      <c r="C2777" s="164" t="str">
        <f ca="1">IFERROR(__xludf.DUMMYFUNCTION("""COMPUTED_VALUE"""),"Desktop Computer – (HP Pro SFF 280G9)")</f>
        <v>Desktop Computer – (HP Pro SFF 280G9)</v>
      </c>
      <c r="D2777" s="164" t="str">
        <f ca="1">IFERROR(__xludf.DUMMYFUNCTION("""COMPUTED_VALUE"""),"₱ 78,898.00")</f>
        <v>₱ 78,898.00</v>
      </c>
      <c r="E2777" s="164"/>
      <c r="F2777" s="164" t="str">
        <f ca="1">IFERROR(__xludf.DUMMYFUNCTION("""COMPUTED_VALUE"""),"2023-05-03-10201SP67-01")</f>
        <v>2023-05-03-10201SP67-01</v>
      </c>
      <c r="G2777" s="164" t="str">
        <f ca="1">IFERROR(__xludf.DUMMYFUNCTION("""COMPUTED_VALUE"""),"CPU: 4CE301DSQ6 Keyboard:9CP249Q9ZW Mouse: 9CP251375X Monitor : CNC2471FLW UPS: 320225BO30000684 Printer: CN2BT2M1D3")</f>
        <v>CPU: 4CE301DSQ6 Keyboard:9CP249Q9ZW Mouse: 9CP251375X Monitor : CNC2471FLW UPS: 320225BO30000684 Printer: CN2BT2M1D3</v>
      </c>
      <c r="H2777" s="164" t="str">
        <f ca="1">IFERROR(__xludf.DUMMYFUNCTION("""COMPUTED_VALUE"""),"ANNABELLE A. SANCHEZ")</f>
        <v>ANNABELLE A. SANCHEZ</v>
      </c>
      <c r="I2777" s="164" t="str">
        <f ca="1">IFERROR(__xludf.DUMMYFUNCTION("""COMPUTED_VALUE"""),"A.O. IV/TECHNICAL STAFF 3-PROJECT PROCUREMENT OFFICER")</f>
        <v>A.O. IV/TECHNICAL STAFF 3-PROJECT PROCUREMENT OFFICER</v>
      </c>
      <c r="J2777" s="164" t="str">
        <f ca="1">IFERROR(__xludf.DUMMYFUNCTION("""COMPUTED_VALUE"""),"2023-08-046")</f>
        <v>2023-08-046</v>
      </c>
      <c r="K2777" s="164" t="str">
        <f ca="1">IFERROR(__xludf.DUMMYFUNCTION("""COMPUTED_VALUE"""),"ANNABELLE A. SANCHEZ")</f>
        <v>ANNABELLE A. SANCHEZ</v>
      </c>
      <c r="L2777" s="164" t="str">
        <f ca="1">IFERROR(__xludf.DUMMYFUNCTION("""COMPUTED_VALUE"""),"STOD")</f>
        <v>STOD</v>
      </c>
      <c r="M2777" s="164" t="str">
        <f ca="1">IFERROR(__xludf.DUMMYFUNCTION("""COMPUTED_VALUE"""),"SERVICEABLE")</f>
        <v>SERVICEABLE</v>
      </c>
      <c r="N2777" s="164"/>
    </row>
    <row r="2778" spans="1:14" ht="13.2" hidden="1">
      <c r="A2778" s="164" t="str">
        <f ca="1">IFERROR(__xludf.DUMMYFUNCTION("""COMPUTED_VALUE"""),"NIR")</f>
        <v>NIR</v>
      </c>
      <c r="B2778" s="164" t="str">
        <f ca="1">IFERROR(__xludf.DUMMYFUNCTION("""COMPUTED_VALUE"""),"Negros Occidental I")</f>
        <v>Negros Occidental I</v>
      </c>
      <c r="C2778" s="164" t="str">
        <f ca="1">IFERROR(__xludf.DUMMYFUNCTION("""COMPUTED_VALUE"""),"Laptop – (ACER Extensa EX215-55G i7)")</f>
        <v>Laptop – (ACER Extensa EX215-55G i7)</v>
      </c>
      <c r="D2778" s="164" t="str">
        <f ca="1">IFERROR(__xludf.DUMMYFUNCTION("""COMPUTED_VALUE"""),"₱ 59,500.00")</f>
        <v>₱ 59,500.00</v>
      </c>
      <c r="E2778" s="164"/>
      <c r="F2778" s="164" t="str">
        <f ca="1">IFERROR(__xludf.DUMMYFUNCTION("""COMPUTED_VALUE"""),"2023-05-03-10202SP133-01")</f>
        <v>2023-05-03-10202SP133-01</v>
      </c>
      <c r="G2778" s="164" t="str">
        <f ca="1">IFERROR(__xludf.DUMMYFUNCTION("""COMPUTED_VALUE"""),"SN - NXEGZSP00330801C6C3400")</f>
        <v>SN - NXEGZSP00330801C6C3400</v>
      </c>
      <c r="H2778" s="164" t="str">
        <f ca="1">IFERROR(__xludf.DUMMYFUNCTION("""COMPUTED_VALUE"""),"JOJI D. FLORES")</f>
        <v>JOJI D. FLORES</v>
      </c>
      <c r="I2778" s="164" t="str">
        <f ca="1">IFERROR(__xludf.DUMMYFUNCTION("""COMPUTED_VALUE"""),"MARPO/ SPLIT COORDINATOR")</f>
        <v>MARPO/ SPLIT COORDINATOR</v>
      </c>
      <c r="J2778" s="164" t="str">
        <f ca="1">IFERROR(__xludf.DUMMYFUNCTION("""COMPUTED_VALUE"""),"2023-08-047")</f>
        <v>2023-08-047</v>
      </c>
      <c r="K2778" s="164" t="str">
        <f ca="1">IFERROR(__xludf.DUMMYFUNCTION("""COMPUTED_VALUE"""),"JOJI D. FLORES")</f>
        <v>JOJI D. FLORES</v>
      </c>
      <c r="L2778" s="164" t="str">
        <f ca="1">IFERROR(__xludf.DUMMYFUNCTION("""COMPUTED_VALUE"""),"SPLIT")</f>
        <v>SPLIT</v>
      </c>
      <c r="M2778" s="164" t="str">
        <f ca="1">IFERROR(__xludf.DUMMYFUNCTION("""COMPUTED_VALUE"""),"SERVICEABLE")</f>
        <v>SERVICEABLE</v>
      </c>
      <c r="N2778" s="164"/>
    </row>
    <row r="2779" spans="1:14" ht="13.2" hidden="1">
      <c r="A2779" s="164" t="str">
        <f ca="1">IFERROR(__xludf.DUMMYFUNCTION("""COMPUTED_VALUE"""),"NIR")</f>
        <v>NIR</v>
      </c>
      <c r="B2779" s="164" t="str">
        <f ca="1">IFERROR(__xludf.DUMMYFUNCTION("""COMPUTED_VALUE"""),"Negros Occidental I")</f>
        <v>Negros Occidental I</v>
      </c>
      <c r="C2779" s="164" t="str">
        <f ca="1">IFERROR(__xludf.DUMMYFUNCTION("""COMPUTED_VALUE"""),"Laptop – (ACER Extensa EX215-55G i7)")</f>
        <v>Laptop – (ACER Extensa EX215-55G i7)</v>
      </c>
      <c r="D2779" s="164" t="str">
        <f ca="1">IFERROR(__xludf.DUMMYFUNCTION("""COMPUTED_VALUE"""),"₱ 59,500.00")</f>
        <v>₱ 59,500.00</v>
      </c>
      <c r="E2779" s="164"/>
      <c r="F2779" s="164" t="str">
        <f ca="1">IFERROR(__xludf.DUMMYFUNCTION("""COMPUTED_VALUE"""),"2023-05-03-10202SP134-01")</f>
        <v>2023-05-03-10202SP134-01</v>
      </c>
      <c r="G2779" s="164" t="str">
        <f ca="1">IFERROR(__xludf.DUMMYFUNCTION("""COMPUTED_VALUE"""),"SN - NXEGZSP00330801C5E3400")</f>
        <v>SN - NXEGZSP00330801C5E3400</v>
      </c>
      <c r="H2779" s="164" t="str">
        <f ca="1">IFERROR(__xludf.DUMMYFUNCTION("""COMPUTED_VALUE"""),"MARK RYAN B. SARABIA")</f>
        <v>MARK RYAN B. SARABIA</v>
      </c>
      <c r="I2779" s="164" t="str">
        <f ca="1">IFERROR(__xludf.DUMMYFUNCTION("""COMPUTED_VALUE"""),"SARPT./MIS COORDINATOR")</f>
        <v>SARPT./MIS COORDINATOR</v>
      </c>
      <c r="J2779" s="164" t="str">
        <f ca="1">IFERROR(__xludf.DUMMYFUNCTION("""COMPUTED_VALUE"""),"2023-08-048")</f>
        <v>2023-08-048</v>
      </c>
      <c r="K2779" s="164" t="str">
        <f ca="1">IFERROR(__xludf.DUMMYFUNCTION("""COMPUTED_VALUE"""),"MARK RYAN B. SARABIA")</f>
        <v>MARK RYAN B. SARABIA</v>
      </c>
      <c r="L2779" s="164" t="str">
        <f ca="1">IFERROR(__xludf.DUMMYFUNCTION("""COMPUTED_VALUE"""),"SPLIT")</f>
        <v>SPLIT</v>
      </c>
      <c r="M2779" s="164" t="str">
        <f ca="1">IFERROR(__xludf.DUMMYFUNCTION("""COMPUTED_VALUE"""),"SERVICEABLE")</f>
        <v>SERVICEABLE</v>
      </c>
      <c r="N2779" s="164"/>
    </row>
    <row r="2780" spans="1:14" ht="13.2" hidden="1">
      <c r="A2780" s="164" t="str">
        <f ca="1">IFERROR(__xludf.DUMMYFUNCTION("""COMPUTED_VALUE"""),"NIR")</f>
        <v>NIR</v>
      </c>
      <c r="B2780" s="164" t="str">
        <f ca="1">IFERROR(__xludf.DUMMYFUNCTION("""COMPUTED_VALUE"""),"Negros Occidental I")</f>
        <v>Negros Occidental I</v>
      </c>
      <c r="C2780" s="164" t="str">
        <f ca="1">IFERROR(__xludf.DUMMYFUNCTION("""COMPUTED_VALUE"""),"Laptop – (ACER Extensa EX215-55G i7)")</f>
        <v>Laptop – (ACER Extensa EX215-55G i7)</v>
      </c>
      <c r="D2780" s="164" t="str">
        <f ca="1">IFERROR(__xludf.DUMMYFUNCTION("""COMPUTED_VALUE"""),"₱ 59,500.00")</f>
        <v>₱ 59,500.00</v>
      </c>
      <c r="E2780" s="164"/>
      <c r="F2780" s="164" t="str">
        <f ca="1">IFERROR(__xludf.DUMMYFUNCTION("""COMPUTED_VALUE"""),"2023-05-03-10202SP135-01")</f>
        <v>2023-05-03-10202SP135-01</v>
      </c>
      <c r="G2780" s="164" t="str">
        <f ca="1">IFERROR(__xludf.DUMMYFUNCTION("""COMPUTED_VALUE"""),"SN - NXEGZSP00330801E073400")</f>
        <v>SN - NXEGZSP00330801E073400</v>
      </c>
      <c r="H2780" s="164" t="str">
        <f ca="1">IFERROR(__xludf.DUMMYFUNCTION("""COMPUTED_VALUE"""),"JOJI D. FLORES")</f>
        <v>JOJI D. FLORES</v>
      </c>
      <c r="I2780" s="164" t="str">
        <f ca="1">IFERROR(__xludf.DUMMYFUNCTION("""COMPUTED_VALUE"""),"MARPO/ SPLIT COORDINATOR")</f>
        <v>MARPO/ SPLIT COORDINATOR</v>
      </c>
      <c r="J2780" s="164" t="str">
        <f ca="1">IFERROR(__xludf.DUMMYFUNCTION("""COMPUTED_VALUE"""),"2023-08-049")</f>
        <v>2023-08-049</v>
      </c>
      <c r="K2780" s="164" t="str">
        <f ca="1">IFERROR(__xludf.DUMMYFUNCTION("""COMPUTED_VALUE"""),"JOJI D. FLORES")</f>
        <v>JOJI D. FLORES</v>
      </c>
      <c r="L2780" s="164" t="str">
        <f ca="1">IFERROR(__xludf.DUMMYFUNCTION("""COMPUTED_VALUE"""),"SPLIT")</f>
        <v>SPLIT</v>
      </c>
      <c r="M2780" s="164" t="str">
        <f ca="1">IFERROR(__xludf.DUMMYFUNCTION("""COMPUTED_VALUE"""),"SERVICEABLE")</f>
        <v>SERVICEABLE</v>
      </c>
      <c r="N2780" s="164"/>
    </row>
    <row r="2781" spans="1:14" ht="13.2" hidden="1">
      <c r="A2781" s="164" t="str">
        <f ca="1">IFERROR(__xludf.DUMMYFUNCTION("""COMPUTED_VALUE"""),"NIR")</f>
        <v>NIR</v>
      </c>
      <c r="B2781" s="164" t="str">
        <f ca="1">IFERROR(__xludf.DUMMYFUNCTION("""COMPUTED_VALUE"""),"Negros Occidental I")</f>
        <v>Negros Occidental I</v>
      </c>
      <c r="C2781" s="164" t="str">
        <f ca="1">IFERROR(__xludf.DUMMYFUNCTION("""COMPUTED_VALUE"""),"Laptop – (ACER Extensa EX215-55G i7)")</f>
        <v>Laptop – (ACER Extensa EX215-55G i7)</v>
      </c>
      <c r="D2781" s="164" t="str">
        <f ca="1">IFERROR(__xludf.DUMMYFUNCTION("""COMPUTED_VALUE"""),"₱ 59,500.00")</f>
        <v>₱ 59,500.00</v>
      </c>
      <c r="E2781" s="164"/>
      <c r="F2781" s="164" t="str">
        <f ca="1">IFERROR(__xludf.DUMMYFUNCTION("""COMPUTED_VALUE"""),"2023-05-03-10202SP136-01")</f>
        <v>2023-05-03-10202SP136-01</v>
      </c>
      <c r="G2781" s="164" t="str">
        <f ca="1">IFERROR(__xludf.DUMMYFUNCTION("""COMPUTED_VALUE"""),"SN - NXEGZSP00330801BBA3400")</f>
        <v>SN - NXEGZSP00330801BBA3400</v>
      </c>
      <c r="H2781" s="164" t="str">
        <f ca="1">IFERROR(__xludf.DUMMYFUNCTION("""COMPUTED_VALUE"""),"MARK RYAN B. SARABIA")</f>
        <v>MARK RYAN B. SARABIA</v>
      </c>
      <c r="I2781" s="164" t="str">
        <f ca="1">IFERROR(__xludf.DUMMYFUNCTION("""COMPUTED_VALUE"""),"SARPT./MIS COORDINATOR")</f>
        <v>SARPT./MIS COORDINATOR</v>
      </c>
      <c r="J2781" s="164" t="str">
        <f ca="1">IFERROR(__xludf.DUMMYFUNCTION("""COMPUTED_VALUE"""),"2023-08-050")</f>
        <v>2023-08-050</v>
      </c>
      <c r="K2781" s="164" t="str">
        <f ca="1">IFERROR(__xludf.DUMMYFUNCTION("""COMPUTED_VALUE"""),"MARK RYAN B. SARABIA")</f>
        <v>MARK RYAN B. SARABIA</v>
      </c>
      <c r="L2781" s="164" t="str">
        <f ca="1">IFERROR(__xludf.DUMMYFUNCTION("""COMPUTED_VALUE"""),"SPLIT")</f>
        <v>SPLIT</v>
      </c>
      <c r="M2781" s="164" t="str">
        <f ca="1">IFERROR(__xludf.DUMMYFUNCTION("""COMPUTED_VALUE"""),"SERVICEABLE")</f>
        <v>SERVICEABLE</v>
      </c>
      <c r="N2781" s="164"/>
    </row>
    <row r="2782" spans="1:14" ht="13.2" hidden="1">
      <c r="A2782" s="164" t="str">
        <f ca="1">IFERROR(__xludf.DUMMYFUNCTION("""COMPUTED_VALUE"""),"NIR")</f>
        <v>NIR</v>
      </c>
      <c r="B2782" s="164" t="str">
        <f ca="1">IFERROR(__xludf.DUMMYFUNCTION("""COMPUTED_VALUE"""),"Negros Occidental I")</f>
        <v>Negros Occidental I</v>
      </c>
      <c r="C2782" s="164" t="str">
        <f ca="1">IFERROR(__xludf.DUMMYFUNCTION("""COMPUTED_VALUE"""),"Laptop – (ACER Extensa EX215-55G i7)")</f>
        <v>Laptop – (ACER Extensa EX215-55G i7)</v>
      </c>
      <c r="D2782" s="164" t="str">
        <f ca="1">IFERROR(__xludf.DUMMYFUNCTION("""COMPUTED_VALUE"""),"₱ 59,500.00")</f>
        <v>₱ 59,500.00</v>
      </c>
      <c r="E2782" s="164"/>
      <c r="F2782" s="164" t="str">
        <f ca="1">IFERROR(__xludf.DUMMYFUNCTION("""COMPUTED_VALUE"""),"2023-05-03-10202SP56-01")</f>
        <v>2023-05-03-10202SP56-01</v>
      </c>
      <c r="G2782" s="164" t="str">
        <f ca="1">IFERROR(__xludf.DUMMYFUNCTION("""COMPUTED_VALUE"""),"SN - NXEGZSP00330801C063400")</f>
        <v>SN - NXEGZSP00330801C063400</v>
      </c>
      <c r="H2782" s="164" t="str">
        <f ca="1">IFERROR(__xludf.DUMMYFUNCTION("""COMPUTED_VALUE"""),"CHRISTY JOY Y. MANGALUS")</f>
        <v>CHRISTY JOY Y. MANGALUS</v>
      </c>
      <c r="I2782" s="164" t="str">
        <f ca="1">IFERROR(__xludf.DUMMYFUNCTION("""COMPUTED_VALUE"""),"ARPT.-PIO")</f>
        <v>ARPT.-PIO</v>
      </c>
      <c r="J2782" s="164" t="str">
        <f ca="1">IFERROR(__xludf.DUMMYFUNCTION("""COMPUTED_VALUE"""),"2023-08-055")</f>
        <v>2023-08-055</v>
      </c>
      <c r="K2782" s="164" t="str">
        <f ca="1">IFERROR(__xludf.DUMMYFUNCTION("""COMPUTED_VALUE"""),"CHRISTY JOY Y. MANGALUS")</f>
        <v>CHRISTY JOY Y. MANGALUS</v>
      </c>
      <c r="L2782" s="164" t="str">
        <f ca="1">IFERROR(__xludf.DUMMYFUNCTION("""COMPUTED_VALUE"""),"PARPO OFFICE")</f>
        <v>PARPO OFFICE</v>
      </c>
      <c r="M2782" s="164" t="str">
        <f ca="1">IFERROR(__xludf.DUMMYFUNCTION("""COMPUTED_VALUE"""),"SERVICEABLE")</f>
        <v>SERVICEABLE</v>
      </c>
      <c r="N2782" s="164"/>
    </row>
    <row r="2783" spans="1:14" ht="13.2" hidden="1">
      <c r="A2783" s="164" t="str">
        <f ca="1">IFERROR(__xludf.DUMMYFUNCTION("""COMPUTED_VALUE"""),"NIR")</f>
        <v>NIR</v>
      </c>
      <c r="B2783" s="164" t="str">
        <f ca="1">IFERROR(__xludf.DUMMYFUNCTION("""COMPUTED_VALUE"""),"Negros Occidental I")</f>
        <v>Negros Occidental I</v>
      </c>
      <c r="C2783" s="164" t="str">
        <f ca="1">IFERROR(__xludf.DUMMYFUNCTION("""COMPUTED_VALUE"""),"A3 Printer (Brother)")</f>
        <v>A3 Printer (Brother)</v>
      </c>
      <c r="D2783" s="164" t="str">
        <f ca="1">IFERROR(__xludf.DUMMYFUNCTION("""COMPUTED_VALUE"""),"₱ 33,508.00")</f>
        <v>₱ 33,508.00</v>
      </c>
      <c r="E2783" s="164"/>
      <c r="F2783" s="164" t="str">
        <f ca="1">IFERROR(__xludf.DUMMYFUNCTION("""COMPUTED_VALUE"""),"HVSPLIT-102-24-05-04-094")</f>
        <v>HVSPLIT-102-24-05-04-094</v>
      </c>
      <c r="G2783" s="164" t="str">
        <f ca="1">IFERROR(__xludf.DUMMYFUNCTION("""COMPUTED_VALUE"""),"SN-E78947H3H284308")</f>
        <v>SN-E78947H3H284308</v>
      </c>
      <c r="H2783" s="164" t="str">
        <f ca="1">IFERROR(__xludf.DUMMYFUNCTION("""COMPUTED_VALUE"""),"JIRO SALEM ESCARILLA")</f>
        <v>JIRO SALEM ESCARILLA</v>
      </c>
      <c r="I2783" s="164" t="str">
        <f ca="1">IFERROR(__xludf.DUMMYFUNCTION("""COMPUTED_VALUE"""),"ARPT.")</f>
        <v>ARPT.</v>
      </c>
      <c r="J2783" s="164" t="str">
        <f ca="1">IFERROR(__xludf.DUMMYFUNCTION("""COMPUTED_VALUE"""),"2024-12-225")</f>
        <v>2024-12-225</v>
      </c>
      <c r="K2783" s="164" t="str">
        <f ca="1">IFERROR(__xludf.DUMMYFUNCTION("""COMPUTED_VALUE"""),"JIRO SALEM ESCARILLA")</f>
        <v>JIRO SALEM ESCARILLA</v>
      </c>
      <c r="L2783" s="164" t="str">
        <f ca="1">IFERROR(__xludf.DUMMYFUNCTION("""COMPUTED_VALUE"""),"SPLIT")</f>
        <v>SPLIT</v>
      </c>
      <c r="M2783" s="164" t="str">
        <f ca="1">IFERROR(__xludf.DUMMYFUNCTION("""COMPUTED_VALUE"""),"SERVICEABLE")</f>
        <v>SERVICEABLE</v>
      </c>
      <c r="N2783" s="164"/>
    </row>
    <row r="2784" spans="1:14" ht="13.2" hidden="1">
      <c r="A2784" s="164" t="str">
        <f ca="1">IFERROR(__xludf.DUMMYFUNCTION("""COMPUTED_VALUE"""),"NIR")</f>
        <v>NIR</v>
      </c>
      <c r="B2784" s="164" t="str">
        <f ca="1">IFERROR(__xludf.DUMMYFUNCTION("""COMPUTED_VALUE"""),"Negros Occidental I")</f>
        <v>Negros Occidental I</v>
      </c>
      <c r="C2784" s="164" t="str">
        <f ca="1">IFERROR(__xludf.DUMMYFUNCTION("""COMPUTED_VALUE"""),"Desktop Computer – (MSI PRO DP180)")</f>
        <v>Desktop Computer – (MSI PRO DP180)</v>
      </c>
      <c r="D2784" s="164" t="str">
        <f ca="1">IFERROR(__xludf.DUMMYFUNCTION("""COMPUTED_VALUE"""),"₱ 49,300.00")</f>
        <v>₱ 49,300.00</v>
      </c>
      <c r="E2784" s="164"/>
      <c r="F2784" s="164" t="str">
        <f ca="1">IFERROR(__xludf.DUMMYFUNCTION("""COMPUTED_VALUE"""),"HV SPLIT-102-24-05-01-440")</f>
        <v>HV SPLIT-102-24-05-01-440</v>
      </c>
      <c r="G2784" s="164" t="str">
        <f ca="1">IFERROR(__xludf.DUMMYFUNCTION("""COMPUTED_VALUE"""),"Monitor S#- PC6M064401825 CPU S# MSBOA7O4S0103768")</f>
        <v>Monitor S#- PC6M064401825 CPU S# MSBOA7O4S0103768</v>
      </c>
      <c r="H2784" s="164" t="str">
        <f ca="1">IFERROR(__xludf.DUMMYFUNCTION("""COMPUTED_VALUE"""),"ORTEGA, MITCH IVONY M.")</f>
        <v>ORTEGA, MITCH IVONY M.</v>
      </c>
      <c r="I2784" s="164" t="str">
        <f ca="1">IFERROR(__xludf.DUMMYFUNCTION("""COMPUTED_VALUE"""),"ARPT.")</f>
        <v>ARPT.</v>
      </c>
      <c r="J2784" s="164" t="str">
        <f ca="1">IFERROR(__xludf.DUMMYFUNCTION("""COMPUTED_VALUE"""),"2024-12-159")</f>
        <v>2024-12-159</v>
      </c>
      <c r="K2784" s="164" t="str">
        <f ca="1">IFERROR(__xludf.DUMMYFUNCTION("""COMPUTED_VALUE"""),"ORTEGA, MITCH IVONY M.")</f>
        <v>ORTEGA, MITCH IVONY M.</v>
      </c>
      <c r="L2784" s="164" t="str">
        <f ca="1">IFERROR(__xludf.DUMMYFUNCTION("""COMPUTED_VALUE"""),"SPLIT")</f>
        <v>SPLIT</v>
      </c>
      <c r="M2784" s="164" t="str">
        <f ca="1">IFERROR(__xludf.DUMMYFUNCTION("""COMPUTED_VALUE"""),"SERVICEABLE")</f>
        <v>SERVICEABLE</v>
      </c>
      <c r="N2784" s="164"/>
    </row>
    <row r="2785" spans="1:14" ht="13.2" hidden="1">
      <c r="A2785" s="164" t="str">
        <f ca="1">IFERROR(__xludf.DUMMYFUNCTION("""COMPUTED_VALUE"""),"NIR")</f>
        <v>NIR</v>
      </c>
      <c r="B2785" s="164" t="str">
        <f ca="1">IFERROR(__xludf.DUMMYFUNCTION("""COMPUTED_VALUE"""),"Negros Occidental I")</f>
        <v>Negros Occidental I</v>
      </c>
      <c r="C2785" s="164" t="str">
        <f ca="1">IFERROR(__xludf.DUMMYFUNCTION("""COMPUTED_VALUE"""),"Desktop Computer – (MSI PRO DP180)")</f>
        <v>Desktop Computer – (MSI PRO DP180)</v>
      </c>
      <c r="D2785" s="164" t="str">
        <f ca="1">IFERROR(__xludf.DUMMYFUNCTION("""COMPUTED_VALUE"""),"₱ 49,300.00")</f>
        <v>₱ 49,300.00</v>
      </c>
      <c r="E2785" s="164"/>
      <c r="F2785" s="164" t="str">
        <f ca="1">IFERROR(__xludf.DUMMYFUNCTION("""COMPUTED_VALUE"""),"HV SPLIT-102-24-05-01-431")</f>
        <v>HV SPLIT-102-24-05-01-431</v>
      </c>
      <c r="G2785" s="164" t="str">
        <f ca="1">IFERROR(__xludf.DUMMYFUNCTION("""COMPUTED_VALUE"""),"Monitor S#- PC6M064401667 CPU S# MSBOA7O4S0103788")</f>
        <v>Monitor S#- PC6M064401667 CPU S# MSBOA7O4S0103788</v>
      </c>
      <c r="H2785" s="164" t="str">
        <f ca="1">IFERROR(__xludf.DUMMYFUNCTION("""COMPUTED_VALUE"""),"VALENTIN, LYNIE E.")</f>
        <v>VALENTIN, LYNIE E.</v>
      </c>
      <c r="I2785" s="164" t="str">
        <f ca="1">IFERROR(__xludf.DUMMYFUNCTION("""COMPUTED_VALUE"""),"ARPT.")</f>
        <v>ARPT.</v>
      </c>
      <c r="J2785" s="164" t="str">
        <f ca="1">IFERROR(__xludf.DUMMYFUNCTION("""COMPUTED_VALUE"""),"2024-12-160")</f>
        <v>2024-12-160</v>
      </c>
      <c r="K2785" s="164" t="str">
        <f ca="1">IFERROR(__xludf.DUMMYFUNCTION("""COMPUTED_VALUE"""),"VALENTIN, LYNIE E.")</f>
        <v>VALENTIN, LYNIE E.</v>
      </c>
      <c r="L2785" s="164" t="str">
        <f ca="1">IFERROR(__xludf.DUMMYFUNCTION("""COMPUTED_VALUE"""),"STOD")</f>
        <v>STOD</v>
      </c>
      <c r="M2785" s="164" t="str">
        <f ca="1">IFERROR(__xludf.DUMMYFUNCTION("""COMPUTED_VALUE"""),"SERVICEABLE")</f>
        <v>SERVICEABLE</v>
      </c>
      <c r="N2785" s="164"/>
    </row>
    <row r="2786" spans="1:14" ht="13.2" hidden="1">
      <c r="A2786" s="164" t="str">
        <f ca="1">IFERROR(__xludf.DUMMYFUNCTION("""COMPUTED_VALUE"""),"NIR")</f>
        <v>NIR</v>
      </c>
      <c r="B2786" s="164" t="str">
        <f ca="1">IFERROR(__xludf.DUMMYFUNCTION("""COMPUTED_VALUE"""),"Negros Occidental I")</f>
        <v>Negros Occidental I</v>
      </c>
      <c r="C2786" s="164" t="str">
        <f ca="1">IFERROR(__xludf.DUMMYFUNCTION("""COMPUTED_VALUE"""),"Desktop Computer – (MSI PRO DP180)")</f>
        <v>Desktop Computer – (MSI PRO DP180)</v>
      </c>
      <c r="D2786" s="164" t="str">
        <f ca="1">IFERROR(__xludf.DUMMYFUNCTION("""COMPUTED_VALUE"""),"₱ 49,300.00")</f>
        <v>₱ 49,300.00</v>
      </c>
      <c r="E2786" s="164"/>
      <c r="F2786" s="164" t="str">
        <f ca="1">IFERROR(__xludf.DUMMYFUNCTION("""COMPUTED_VALUE"""),"HV SPLIT-102-24-05-01-432")</f>
        <v>HV SPLIT-102-24-05-01-432</v>
      </c>
      <c r="G2786" s="164" t="str">
        <f ca="1">IFERROR(__xludf.DUMMYFUNCTION("""COMPUTED_VALUE"""),"Monitor S#- PC6M064401593 CPU S# MSBOA7O4S0103493")</f>
        <v>Monitor S#- PC6M064401593 CPU S# MSBOA7O4S0103493</v>
      </c>
      <c r="H2786" s="164" t="str">
        <f ca="1">IFERROR(__xludf.DUMMYFUNCTION("""COMPUTED_VALUE"""),"FLORES, CRISTA GRACE I.")</f>
        <v>FLORES, CRISTA GRACE I.</v>
      </c>
      <c r="I2786" s="164" t="str">
        <f ca="1">IFERROR(__xludf.DUMMYFUNCTION("""COMPUTED_VALUE"""),"ARPO I/VALIDATION UNIT HEAD")</f>
        <v>ARPO I/VALIDATION UNIT HEAD</v>
      </c>
      <c r="J2786" s="164" t="str">
        <f ca="1">IFERROR(__xludf.DUMMYFUNCTION("""COMPUTED_VALUE"""),"2024-12-161")</f>
        <v>2024-12-161</v>
      </c>
      <c r="K2786" s="164" t="str">
        <f ca="1">IFERROR(__xludf.DUMMYFUNCTION("""COMPUTED_VALUE"""),"FLORES, CRISTA GRACE I.")</f>
        <v>FLORES, CRISTA GRACE I.</v>
      </c>
      <c r="L2786" s="164" t="str">
        <f ca="1">IFERROR(__xludf.DUMMYFUNCTION("""COMPUTED_VALUE"""),"SPLIT")</f>
        <v>SPLIT</v>
      </c>
      <c r="M2786" s="164" t="str">
        <f ca="1">IFERROR(__xludf.DUMMYFUNCTION("""COMPUTED_VALUE"""),"SERVICEABLE")</f>
        <v>SERVICEABLE</v>
      </c>
      <c r="N2786" s="164"/>
    </row>
    <row r="2787" spans="1:14" ht="13.2" hidden="1">
      <c r="A2787" s="164" t="str">
        <f ca="1">IFERROR(__xludf.DUMMYFUNCTION("""COMPUTED_VALUE"""),"NIR")</f>
        <v>NIR</v>
      </c>
      <c r="B2787" s="164" t="str">
        <f ca="1">IFERROR(__xludf.DUMMYFUNCTION("""COMPUTED_VALUE"""),"Negros Occidental I")</f>
        <v>Negros Occidental I</v>
      </c>
      <c r="C2787" s="164" t="str">
        <f ca="1">IFERROR(__xludf.DUMMYFUNCTION("""COMPUTED_VALUE"""),"Desktop Computer – (MSI PRO DP180)")</f>
        <v>Desktop Computer – (MSI PRO DP180)</v>
      </c>
      <c r="D2787" s="164" t="str">
        <f ca="1">IFERROR(__xludf.DUMMYFUNCTION("""COMPUTED_VALUE"""),"₱ 49,300.00")</f>
        <v>₱ 49,300.00</v>
      </c>
      <c r="E2787" s="164"/>
      <c r="F2787" s="164" t="str">
        <f ca="1">IFERROR(__xludf.DUMMYFUNCTION("""COMPUTED_VALUE"""),"HV SPLIT-102-24-05-01-433")</f>
        <v>HV SPLIT-102-24-05-01-433</v>
      </c>
      <c r="G2787" s="164" t="str">
        <f ca="1">IFERROR(__xludf.DUMMYFUNCTION("""COMPUTED_VALUE"""),"Monitor S#- PC6M064401296 CPU S# MSBOA7O4S0103864")</f>
        <v>Monitor S#- PC6M064401296 CPU S# MSBOA7O4S0103864</v>
      </c>
      <c r="H2787" s="164" t="str">
        <f ca="1">IFERROR(__xludf.DUMMYFUNCTION("""COMPUTED_VALUE"""),"BALBASIN, PRINCE DAVID O.")</f>
        <v>BALBASIN, PRINCE DAVID O.</v>
      </c>
      <c r="I2787" s="164" t="str">
        <f ca="1">IFERROR(__xludf.DUMMYFUNCTION("""COMPUTED_VALUE"""),"ARPT.")</f>
        <v>ARPT.</v>
      </c>
      <c r="J2787" s="164" t="str">
        <f ca="1">IFERROR(__xludf.DUMMYFUNCTION("""COMPUTED_VALUE"""),"2024-12-162")</f>
        <v>2024-12-162</v>
      </c>
      <c r="K2787" s="164" t="str">
        <f ca="1">IFERROR(__xludf.DUMMYFUNCTION("""COMPUTED_VALUE"""),"BALBASIN, PRINCE DAVID O.")</f>
        <v>BALBASIN, PRINCE DAVID O.</v>
      </c>
      <c r="L2787" s="164" t="str">
        <f ca="1">IFERROR(__xludf.DUMMYFUNCTION("""COMPUTED_VALUE"""),"SPLIT")</f>
        <v>SPLIT</v>
      </c>
      <c r="M2787" s="164" t="str">
        <f ca="1">IFERROR(__xludf.DUMMYFUNCTION("""COMPUTED_VALUE"""),"SERVICEABLE")</f>
        <v>SERVICEABLE</v>
      </c>
      <c r="N2787" s="164"/>
    </row>
    <row r="2788" spans="1:14" ht="13.2" hidden="1">
      <c r="A2788" s="164" t="str">
        <f ca="1">IFERROR(__xludf.DUMMYFUNCTION("""COMPUTED_VALUE"""),"NIR")</f>
        <v>NIR</v>
      </c>
      <c r="B2788" s="164" t="str">
        <f ca="1">IFERROR(__xludf.DUMMYFUNCTION("""COMPUTED_VALUE"""),"Negros Occidental I")</f>
        <v>Negros Occidental I</v>
      </c>
      <c r="C2788" s="164" t="str">
        <f ca="1">IFERROR(__xludf.DUMMYFUNCTION("""COMPUTED_VALUE"""),"Desktop Computer – (MSI PRO DP180)")</f>
        <v>Desktop Computer – (MSI PRO DP180)</v>
      </c>
      <c r="D2788" s="164" t="str">
        <f ca="1">IFERROR(__xludf.DUMMYFUNCTION("""COMPUTED_VALUE"""),"₱ 49,300.00")</f>
        <v>₱ 49,300.00</v>
      </c>
      <c r="E2788" s="164"/>
      <c r="F2788" s="164" t="str">
        <f ca="1">IFERROR(__xludf.DUMMYFUNCTION("""COMPUTED_VALUE"""),"HV SPLIT-102-24-05-01-434")</f>
        <v>HV SPLIT-102-24-05-01-434</v>
      </c>
      <c r="G2788" s="164" t="str">
        <f ca="1">IFERROR(__xludf.DUMMYFUNCTION("""COMPUTED_VALUE"""),"Monitor S#- PC6M064401791 CPU S# MSBOA7O4S0103640")</f>
        <v>Monitor S#- PC6M064401791 CPU S# MSBOA7O4S0103640</v>
      </c>
      <c r="H2788" s="164" t="str">
        <f ca="1">IFERROR(__xludf.DUMMYFUNCTION("""COMPUTED_VALUE"""),"PEDROSA, JOSHUA OLIVER R.")</f>
        <v>PEDROSA, JOSHUA OLIVER R.</v>
      </c>
      <c r="I2788" s="164" t="str">
        <f ca="1">IFERROR(__xludf.DUMMYFUNCTION("""COMPUTED_VALUE"""),"ARPT.")</f>
        <v>ARPT.</v>
      </c>
      <c r="J2788" s="164" t="str">
        <f ca="1">IFERROR(__xludf.DUMMYFUNCTION("""COMPUTED_VALUE"""),"2024-12-163")</f>
        <v>2024-12-163</v>
      </c>
      <c r="K2788" s="164" t="str">
        <f ca="1">IFERROR(__xludf.DUMMYFUNCTION("""COMPUTED_VALUE"""),"PEDROSA, JOSHUA OLIVER R.")</f>
        <v>PEDROSA, JOSHUA OLIVER R.</v>
      </c>
      <c r="L2788" s="164" t="str">
        <f ca="1">IFERROR(__xludf.DUMMYFUNCTION("""COMPUTED_VALUE"""),"SPLIT")</f>
        <v>SPLIT</v>
      </c>
      <c r="M2788" s="164" t="str">
        <f ca="1">IFERROR(__xludf.DUMMYFUNCTION("""COMPUTED_VALUE"""),"SERVICEABLE")</f>
        <v>SERVICEABLE</v>
      </c>
      <c r="N2788" s="164"/>
    </row>
    <row r="2789" spans="1:14" ht="13.2" hidden="1">
      <c r="A2789" s="164" t="str">
        <f ca="1">IFERROR(__xludf.DUMMYFUNCTION("""COMPUTED_VALUE"""),"NIR")</f>
        <v>NIR</v>
      </c>
      <c r="B2789" s="164" t="str">
        <f ca="1">IFERROR(__xludf.DUMMYFUNCTION("""COMPUTED_VALUE"""),"Negros Occidental II")</f>
        <v>Negros Occidental II</v>
      </c>
      <c r="C2789" s="164" t="str">
        <f ca="1">IFERROR(__xludf.DUMMYFUNCTION("""COMPUTED_VALUE"""),"Double Cabin Pick-up Vehicles – Mitsubishi Strada")</f>
        <v>Double Cabin Pick-up Vehicles – Mitsubishi Strada</v>
      </c>
      <c r="D2789" s="164" t="str">
        <f ca="1">IFERROR(__xludf.DUMMYFUNCTION("""COMPUTED_VALUE"""),"₱ 1,752,400.00")</f>
        <v>₱ 1,752,400.00</v>
      </c>
      <c r="E2789" s="164"/>
      <c r="F2789" s="164" t="str">
        <f ca="1">IFERROR(__xludf.DUMMYFUNCTION("""COMPUTED_VALUE"""),"2023-06-01-10201SP93-01")</f>
        <v>2023-06-01-10201SP93-01</v>
      </c>
      <c r="G2789" s="164" t="str">
        <f ca="1">IFERROR(__xludf.DUMMYFUNCTION("""COMPUTED_VALUE"""),"SNC 1213")</f>
        <v>SNC 1213</v>
      </c>
      <c r="H2789" s="164" t="str">
        <f ca="1">IFERROR(__xludf.DUMMYFUNCTION("""COMPUTED_VALUE"""),"MERIE KRIS A. CAPISTRANO")</f>
        <v>MERIE KRIS A. CAPISTRANO</v>
      </c>
      <c r="I2789" s="164" t="str">
        <f ca="1">IFERROR(__xludf.DUMMYFUNCTION("""COMPUTED_VALUE"""),"SARPT")</f>
        <v>SARPT</v>
      </c>
      <c r="J2789" s="164" t="str">
        <f ca="1">IFERROR(__xludf.DUMMYFUNCTION("""COMPUTED_VALUE"""),"PTR 2023-10-059")</f>
        <v>PTR 2023-10-059</v>
      </c>
      <c r="K2789" s="164" t="str">
        <f ca="1">IFERROR(__xludf.DUMMYFUNCTION("""COMPUTED_VALUE"""),"MERIE KRIS A. CAPISTRANO")</f>
        <v>MERIE KRIS A. CAPISTRANO</v>
      </c>
      <c r="L2789" s="164"/>
      <c r="M2789" s="164" t="str">
        <f ca="1">IFERROR(__xludf.DUMMYFUNCTION("""COMPUTED_VALUE"""),"SERVICEABLE")</f>
        <v>SERVICEABLE</v>
      </c>
      <c r="N2789" s="164"/>
    </row>
    <row r="2790" spans="1:14" ht="13.2" hidden="1">
      <c r="A2790" s="164" t="str">
        <f ca="1">IFERROR(__xludf.DUMMYFUNCTION("""COMPUTED_VALUE"""),"NIR")</f>
        <v>NIR</v>
      </c>
      <c r="B2790" s="164" t="str">
        <f ca="1">IFERROR(__xludf.DUMMYFUNCTION("""COMPUTED_VALUE"""),"Negros Occidental II")</f>
        <v>Negros Occidental II</v>
      </c>
      <c r="C2790" s="164" t="str">
        <f ca="1">IFERROR(__xludf.DUMMYFUNCTION("""COMPUTED_VALUE"""),"Double Cabin Pick-up Vehicles – Mitsubishi Strada")</f>
        <v>Double Cabin Pick-up Vehicles – Mitsubishi Strada</v>
      </c>
      <c r="D2790" s="164" t="str">
        <f ca="1">IFERROR(__xludf.DUMMYFUNCTION("""COMPUTED_VALUE"""),"₱ 1,752,400.00")</f>
        <v>₱ 1,752,400.00</v>
      </c>
      <c r="E2790" s="164"/>
      <c r="F2790" s="164" t="str">
        <f ca="1">IFERROR(__xludf.DUMMYFUNCTION("""COMPUTED_VALUE"""),"2023-06-01-10201SP143-01")</f>
        <v>2023-06-01-10201SP143-01</v>
      </c>
      <c r="G2790" s="164" t="str">
        <f ca="1">IFERROR(__xludf.DUMMYFUNCTION("""COMPUTED_VALUE"""),"SNC 1071")</f>
        <v>SNC 1071</v>
      </c>
      <c r="H2790" s="164" t="str">
        <f ca="1">IFERROR(__xludf.DUMMYFUNCTION("""COMPUTED_VALUE"""),"LYN HOPE C. MEDINA")</f>
        <v>LYN HOPE C. MEDINA</v>
      </c>
      <c r="I2790" s="164" t="str">
        <f ca="1">IFERROR(__xludf.DUMMYFUNCTION("""COMPUTED_VALUE"""),"ARPT")</f>
        <v>ARPT</v>
      </c>
      <c r="J2790" s="164" t="str">
        <f ca="1">IFERROR(__xludf.DUMMYFUNCTION("""COMPUTED_VALUE"""),"PTR 2023-10-059")</f>
        <v>PTR 2023-10-059</v>
      </c>
      <c r="K2790" s="164" t="str">
        <f ca="1">IFERROR(__xludf.DUMMYFUNCTION("""COMPUTED_VALUE"""),"LYN HOPE C. MEDINA")</f>
        <v>LYN HOPE C. MEDINA</v>
      </c>
      <c r="L2790" s="164"/>
      <c r="M2790" s="164" t="str">
        <f ca="1">IFERROR(__xludf.DUMMYFUNCTION("""COMPUTED_VALUE"""),"SERVICEABLE")</f>
        <v>SERVICEABLE</v>
      </c>
      <c r="N2790" s="164"/>
    </row>
    <row r="2791" spans="1:14" ht="13.2" hidden="1">
      <c r="A2791" s="164" t="str">
        <f ca="1">IFERROR(__xludf.DUMMYFUNCTION("""COMPUTED_VALUE"""),"NIR")</f>
        <v>NIR</v>
      </c>
      <c r="B2791" s="164" t="str">
        <f ca="1">IFERROR(__xludf.DUMMYFUNCTION("""COMPUTED_VALUE"""),"Negros Occidental II")</f>
        <v>Negros Occidental II</v>
      </c>
      <c r="C2791" s="164" t="str">
        <f ca="1">IFERROR(__xludf.DUMMYFUNCTION("""COMPUTED_VALUE"""),"Motorcycle – (Honda XRL 150)")</f>
        <v>Motorcycle – (Honda XRL 150)</v>
      </c>
      <c r="D2791" s="164" t="str">
        <f ca="1">IFERROR(__xludf.DUMMYFUNCTION("""COMPUTED_VALUE"""),"₱ 124,900.00")</f>
        <v>₱ 124,900.00</v>
      </c>
      <c r="E2791" s="164"/>
      <c r="F2791" s="164" t="str">
        <f ca="1">IFERROR(__xludf.DUMMYFUNCTION("""COMPUTED_VALUE"""),"2023-06-01-10202SP230-01")</f>
        <v>2023-06-01-10202SP230-01</v>
      </c>
      <c r="G2791" s="164"/>
      <c r="H2791" s="164" t="str">
        <f ca="1">IFERROR(__xludf.DUMMYFUNCTION("""COMPUTED_VALUE"""),"JELAN S. MAQUILING")</f>
        <v>JELAN S. MAQUILING</v>
      </c>
      <c r="I2791" s="164" t="str">
        <f ca="1">IFERROR(__xludf.DUMMYFUNCTION("""COMPUTED_VALUE"""),"SARPT")</f>
        <v>SARPT</v>
      </c>
      <c r="J2791" s="164" t="str">
        <f ca="1">IFERROR(__xludf.DUMMYFUNCTION("""COMPUTED_VALUE"""),"PTR 2023-02-016")</f>
        <v>PTR 2023-02-016</v>
      </c>
      <c r="K2791" s="164" t="str">
        <f ca="1">IFERROR(__xludf.DUMMYFUNCTION("""COMPUTED_VALUE"""),"JELAN S. MAQUILING")</f>
        <v>JELAN S. MAQUILING</v>
      </c>
      <c r="L2791" s="164"/>
      <c r="M2791" s="164" t="str">
        <f ca="1">IFERROR(__xludf.DUMMYFUNCTION("""COMPUTED_VALUE"""),"SERVICEABLE")</f>
        <v>SERVICEABLE</v>
      </c>
      <c r="N2791" s="164"/>
    </row>
    <row r="2792" spans="1:14" ht="13.2" hidden="1">
      <c r="A2792" s="164" t="str">
        <f ca="1">IFERROR(__xludf.DUMMYFUNCTION("""COMPUTED_VALUE"""),"NIR")</f>
        <v>NIR</v>
      </c>
      <c r="B2792" s="164" t="str">
        <f ca="1">IFERROR(__xludf.DUMMYFUNCTION("""COMPUTED_VALUE"""),"Negros Occidental II")</f>
        <v>Negros Occidental II</v>
      </c>
      <c r="C2792" s="164" t="str">
        <f ca="1">IFERROR(__xludf.DUMMYFUNCTION("""COMPUTED_VALUE"""),"Motorcycle – (Honda XRL 150)")</f>
        <v>Motorcycle – (Honda XRL 150)</v>
      </c>
      <c r="D2792" s="164" t="str">
        <f ca="1">IFERROR(__xludf.DUMMYFUNCTION("""COMPUTED_VALUE"""),"₱ 124,900.00")</f>
        <v>₱ 124,900.00</v>
      </c>
      <c r="E2792" s="164"/>
      <c r="F2792" s="164" t="str">
        <f ca="1">IFERROR(__xludf.DUMMYFUNCTION("""COMPUTED_VALUE"""),"2023-06-01-10202SP318-01")</f>
        <v>2023-06-01-10202SP318-01</v>
      </c>
      <c r="G2792" s="164"/>
      <c r="H2792" s="164" t="str">
        <f ca="1">IFERROR(__xludf.DUMMYFUNCTION("""COMPUTED_VALUE"""),"NEIL R. NACION")</f>
        <v>NEIL R. NACION</v>
      </c>
      <c r="I2792" s="164" t="str">
        <f ca="1">IFERROR(__xludf.DUMMYFUNCTION("""COMPUTED_VALUE"""),"ENGINEER II / SPLIT ESS Documentation")</f>
        <v>ENGINEER II / SPLIT ESS Documentation</v>
      </c>
      <c r="J2792" s="164" t="str">
        <f ca="1">IFERROR(__xludf.DUMMYFUNCTION("""COMPUTED_VALUE"""),"PTR 2023-02-017")</f>
        <v>PTR 2023-02-017</v>
      </c>
      <c r="K2792" s="164" t="str">
        <f ca="1">IFERROR(__xludf.DUMMYFUNCTION("""COMPUTED_VALUE"""),"NEIL R. NACION")</f>
        <v>NEIL R. NACION</v>
      </c>
      <c r="L2792" s="164"/>
      <c r="M2792" s="164" t="str">
        <f ca="1">IFERROR(__xludf.DUMMYFUNCTION("""COMPUTED_VALUE"""),"SERVICEABLE")</f>
        <v>SERVICEABLE</v>
      </c>
      <c r="N2792" s="164"/>
    </row>
    <row r="2793" spans="1:14" ht="13.2" hidden="1">
      <c r="A2793" s="164" t="str">
        <f ca="1">IFERROR(__xludf.DUMMYFUNCTION("""COMPUTED_VALUE"""),"NIR")</f>
        <v>NIR</v>
      </c>
      <c r="B2793" s="164" t="str">
        <f ca="1">IFERROR(__xludf.DUMMYFUNCTION("""COMPUTED_VALUE"""),"Negros Occidental II")</f>
        <v>Negros Occidental II</v>
      </c>
      <c r="C2793" s="164" t="str">
        <f ca="1">IFERROR(__xludf.DUMMYFUNCTION("""COMPUTED_VALUE"""),"Motorcycle – (Honda XRL 150)")</f>
        <v>Motorcycle – (Honda XRL 150)</v>
      </c>
      <c r="D2793" s="164" t="str">
        <f ca="1">IFERROR(__xludf.DUMMYFUNCTION("""COMPUTED_VALUE"""),"₱ 124,900.00")</f>
        <v>₱ 124,900.00</v>
      </c>
      <c r="E2793" s="164"/>
      <c r="F2793" s="164" t="str">
        <f ca="1">IFERROR(__xludf.DUMMYFUNCTION("""COMPUTED_VALUE"""),"2023-06-01-10202SP313-01")</f>
        <v>2023-06-01-10202SP313-01</v>
      </c>
      <c r="G2793" s="164"/>
      <c r="H2793" s="164" t="str">
        <f ca="1">IFERROR(__xludf.DUMMYFUNCTION("""COMPUTED_VALUE"""),"NOVIE Z. GABINETE")</f>
        <v>NOVIE Z. GABINETE</v>
      </c>
      <c r="I2793" s="164" t="str">
        <f ca="1">IFERROR(__xludf.DUMMYFUNCTION("""COMPUTED_VALUE"""),"ARPT")</f>
        <v>ARPT</v>
      </c>
      <c r="J2793" s="164" t="str">
        <f ca="1">IFERROR(__xludf.DUMMYFUNCTION("""COMPUTED_VALUE"""),"PTR 2023-02-017")</f>
        <v>PTR 2023-02-017</v>
      </c>
      <c r="K2793" s="164" t="str">
        <f ca="1">IFERROR(__xludf.DUMMYFUNCTION("""COMPUTED_VALUE"""),"NOVIE Z. GABINETE")</f>
        <v>NOVIE Z. GABINETE</v>
      </c>
      <c r="L2793" s="164"/>
      <c r="M2793" s="164" t="str">
        <f ca="1">IFERROR(__xludf.DUMMYFUNCTION("""COMPUTED_VALUE"""),"SERVICEABLE")</f>
        <v>SERVICEABLE</v>
      </c>
      <c r="N2793" s="164"/>
    </row>
    <row r="2794" spans="1:14" ht="13.2" hidden="1">
      <c r="A2794" s="164" t="str">
        <f ca="1">IFERROR(__xludf.DUMMYFUNCTION("""COMPUTED_VALUE"""),"NIR")</f>
        <v>NIR</v>
      </c>
      <c r="B2794" s="164" t="str">
        <f ca="1">IFERROR(__xludf.DUMMYFUNCTION("""COMPUTED_VALUE"""),"Negros Occidental II")</f>
        <v>Negros Occidental II</v>
      </c>
      <c r="C2794" s="164" t="str">
        <f ca="1">IFERROR(__xludf.DUMMYFUNCTION("""COMPUTED_VALUE"""),"Motorcycle – (Honda XRL 150)")</f>
        <v>Motorcycle – (Honda XRL 150)</v>
      </c>
      <c r="D2794" s="164" t="str">
        <f ca="1">IFERROR(__xludf.DUMMYFUNCTION("""COMPUTED_VALUE"""),"₱ 124,900.00")</f>
        <v>₱ 124,900.00</v>
      </c>
      <c r="E2794" s="164"/>
      <c r="F2794" s="164" t="str">
        <f ca="1">IFERROR(__xludf.DUMMYFUNCTION("""COMPUTED_VALUE"""),"2023-06-01-10202SP301-01")</f>
        <v>2023-06-01-10202SP301-01</v>
      </c>
      <c r="G2794" s="164"/>
      <c r="H2794" s="164" t="str">
        <f ca="1">IFERROR(__xludf.DUMMYFUNCTION("""COMPUTED_VALUE"""),"NIKKO JADE B. ALIPO-ON")</f>
        <v>NIKKO JADE B. ALIPO-ON</v>
      </c>
      <c r="I2794" s="164" t="str">
        <f ca="1">IFERROR(__xludf.DUMMYFUNCTION("""COMPUTED_VALUE"""),"SARPT")</f>
        <v>SARPT</v>
      </c>
      <c r="J2794" s="164" t="str">
        <f ca="1">IFERROR(__xludf.DUMMYFUNCTION("""COMPUTED_VALUE"""),"PTR 2023-02-015")</f>
        <v>PTR 2023-02-015</v>
      </c>
      <c r="K2794" s="164" t="str">
        <f ca="1">IFERROR(__xludf.DUMMYFUNCTION("""COMPUTED_VALUE"""),"NIKKO JADE B. ALIPO-ON")</f>
        <v>NIKKO JADE B. ALIPO-ON</v>
      </c>
      <c r="L2794" s="164"/>
      <c r="M2794" s="164" t="str">
        <f ca="1">IFERROR(__xludf.DUMMYFUNCTION("""COMPUTED_VALUE"""),"SERVICEABLE")</f>
        <v>SERVICEABLE</v>
      </c>
      <c r="N2794" s="164"/>
    </row>
    <row r="2795" spans="1:14" ht="13.2" hidden="1">
      <c r="A2795" s="164" t="str">
        <f ca="1">IFERROR(__xludf.DUMMYFUNCTION("""COMPUTED_VALUE"""),"NIR")</f>
        <v>NIR</v>
      </c>
      <c r="B2795" s="164" t="str">
        <f ca="1">IFERROR(__xludf.DUMMYFUNCTION("""COMPUTED_VALUE"""),"Negros Occidental II")</f>
        <v>Negros Occidental II</v>
      </c>
      <c r="C2795" s="164" t="str">
        <f ca="1">IFERROR(__xludf.DUMMYFUNCTION("""COMPUTED_VALUE"""),"Motorcycle – (Honda XRL 150)")</f>
        <v>Motorcycle – (Honda XRL 150)</v>
      </c>
      <c r="D2795" s="164" t="str">
        <f ca="1">IFERROR(__xludf.DUMMYFUNCTION("""COMPUTED_VALUE"""),"₱ 124,900.00")</f>
        <v>₱ 124,900.00</v>
      </c>
      <c r="E2795" s="164"/>
      <c r="F2795" s="164" t="str">
        <f ca="1">IFERROR(__xludf.DUMMYFUNCTION("""COMPUTED_VALUE"""),"2023-06-01-10202SP333-01")</f>
        <v>2023-06-01-10202SP333-01</v>
      </c>
      <c r="G2795" s="164"/>
      <c r="H2795" s="164" t="str">
        <f ca="1">IFERROR(__xludf.DUMMYFUNCTION("""COMPUTED_VALUE"""),"KENT PETER A. DAIRO")</f>
        <v>KENT PETER A. DAIRO</v>
      </c>
      <c r="I2795" s="164" t="str">
        <f ca="1">IFERROR(__xludf.DUMMYFUNCTION("""COMPUTED_VALUE"""),"ARPT")</f>
        <v>ARPT</v>
      </c>
      <c r="J2795" s="164" t="str">
        <f ca="1">IFERROR(__xludf.DUMMYFUNCTION("""COMPUTED_VALUE"""),"PTR 2023-02-016")</f>
        <v>PTR 2023-02-016</v>
      </c>
      <c r="K2795" s="164" t="str">
        <f ca="1">IFERROR(__xludf.DUMMYFUNCTION("""COMPUTED_VALUE"""),"KENT PETER A. DAIRO")</f>
        <v>KENT PETER A. DAIRO</v>
      </c>
      <c r="L2795" s="164"/>
      <c r="M2795" s="164" t="str">
        <f ca="1">IFERROR(__xludf.DUMMYFUNCTION("""COMPUTED_VALUE"""),"SERVICEABLE")</f>
        <v>SERVICEABLE</v>
      </c>
      <c r="N2795" s="164"/>
    </row>
    <row r="2796" spans="1:14" ht="13.2" hidden="1">
      <c r="A2796" s="164" t="str">
        <f ca="1">IFERROR(__xludf.DUMMYFUNCTION("""COMPUTED_VALUE"""),"NIR")</f>
        <v>NIR</v>
      </c>
      <c r="B2796" s="164" t="str">
        <f ca="1">IFERROR(__xludf.DUMMYFUNCTION("""COMPUTED_VALUE"""),"Negros Occidental II")</f>
        <v>Negros Occidental II</v>
      </c>
      <c r="C2796" s="164" t="str">
        <f ca="1">IFERROR(__xludf.DUMMYFUNCTION("""COMPUTED_VALUE"""),"Motorcycle – (Honda XRL 150)")</f>
        <v>Motorcycle – (Honda XRL 150)</v>
      </c>
      <c r="D2796" s="164" t="str">
        <f ca="1">IFERROR(__xludf.DUMMYFUNCTION("""COMPUTED_VALUE"""),"₱ 124,900.00")</f>
        <v>₱ 124,900.00</v>
      </c>
      <c r="E2796" s="164"/>
      <c r="F2796" s="164" t="str">
        <f ca="1">IFERROR(__xludf.DUMMYFUNCTION("""COMPUTED_VALUE"""),"2023-06-01-10202SP312-01")</f>
        <v>2023-06-01-10202SP312-01</v>
      </c>
      <c r="G2796" s="164"/>
      <c r="H2796" s="164" t="str">
        <f ca="1">IFERROR(__xludf.DUMMYFUNCTION("""COMPUTED_VALUE"""),"ARON B. ALLASCO")</f>
        <v>ARON B. ALLASCO</v>
      </c>
      <c r="I2796" s="164" t="str">
        <f ca="1">IFERROR(__xludf.DUMMYFUNCTION("""COMPUTED_VALUE"""),"ARPT")</f>
        <v>ARPT</v>
      </c>
      <c r="J2796" s="164" t="str">
        <f ca="1">IFERROR(__xludf.DUMMYFUNCTION("""COMPUTED_VALUE"""),"PTR 2023-02-017")</f>
        <v>PTR 2023-02-017</v>
      </c>
      <c r="K2796" s="164" t="str">
        <f ca="1">IFERROR(__xludf.DUMMYFUNCTION("""COMPUTED_VALUE"""),"ARON B. ALLASCO")</f>
        <v>ARON B. ALLASCO</v>
      </c>
      <c r="L2796" s="164"/>
      <c r="M2796" s="164" t="str">
        <f ca="1">IFERROR(__xludf.DUMMYFUNCTION("""COMPUTED_VALUE"""),"SERVICEABLE")</f>
        <v>SERVICEABLE</v>
      </c>
      <c r="N2796" s="164"/>
    </row>
    <row r="2797" spans="1:14" ht="13.2" hidden="1">
      <c r="A2797" s="164" t="str">
        <f ca="1">IFERROR(__xludf.DUMMYFUNCTION("""COMPUTED_VALUE"""),"NIR")</f>
        <v>NIR</v>
      </c>
      <c r="B2797" s="164" t="str">
        <f ca="1">IFERROR(__xludf.DUMMYFUNCTION("""COMPUTED_VALUE"""),"Negros Occidental II")</f>
        <v>Negros Occidental II</v>
      </c>
      <c r="C2797" s="164" t="str">
        <f ca="1">IFERROR(__xludf.DUMMYFUNCTION("""COMPUTED_VALUE"""),"Motorcycle – (Honda XRL 150)")</f>
        <v>Motorcycle – (Honda XRL 150)</v>
      </c>
      <c r="D2797" s="164" t="str">
        <f ca="1">IFERROR(__xludf.DUMMYFUNCTION("""COMPUTED_VALUE"""),"₱ 124,900.00")</f>
        <v>₱ 124,900.00</v>
      </c>
      <c r="E2797" s="164"/>
      <c r="F2797" s="164" t="str">
        <f ca="1">IFERROR(__xludf.DUMMYFUNCTION("""COMPUTED_VALUE"""),"2023-06-01-10202SP309-01")</f>
        <v>2023-06-01-10202SP309-01</v>
      </c>
      <c r="G2797" s="164"/>
      <c r="H2797" s="164" t="str">
        <f ca="1">IFERROR(__xludf.DUMMYFUNCTION("""COMPUTED_VALUE"""),"ALAN D. HONGO")</f>
        <v>ALAN D. HONGO</v>
      </c>
      <c r="I2797" s="164" t="str">
        <f ca="1">IFERROR(__xludf.DUMMYFUNCTION("""COMPUTED_VALUE"""),"ARPT")</f>
        <v>ARPT</v>
      </c>
      <c r="J2797" s="164" t="str">
        <f ca="1">IFERROR(__xludf.DUMMYFUNCTION("""COMPUTED_VALUE"""),"PTR 2023-02-015")</f>
        <v>PTR 2023-02-015</v>
      </c>
      <c r="K2797" s="164" t="str">
        <f ca="1">IFERROR(__xludf.DUMMYFUNCTION("""COMPUTED_VALUE"""),"ALAN D. HONGO")</f>
        <v>ALAN D. HONGO</v>
      </c>
      <c r="L2797" s="164"/>
      <c r="M2797" s="164" t="str">
        <f ca="1">IFERROR(__xludf.DUMMYFUNCTION("""COMPUTED_VALUE"""),"SERVICEABLE")</f>
        <v>SERVICEABLE</v>
      </c>
      <c r="N2797" s="164"/>
    </row>
    <row r="2798" spans="1:14" ht="13.2" hidden="1">
      <c r="A2798" s="164" t="str">
        <f ca="1">IFERROR(__xludf.DUMMYFUNCTION("""COMPUTED_VALUE"""),"NIR")</f>
        <v>NIR</v>
      </c>
      <c r="B2798" s="164" t="str">
        <f ca="1">IFERROR(__xludf.DUMMYFUNCTION("""COMPUTED_VALUE"""),"Negros Occidental II")</f>
        <v>Negros Occidental II</v>
      </c>
      <c r="C2798" s="164" t="str">
        <f ca="1">IFERROR(__xludf.DUMMYFUNCTION("""COMPUTED_VALUE"""),"Motorcycle – (Honda XRL 150)")</f>
        <v>Motorcycle – (Honda XRL 150)</v>
      </c>
      <c r="D2798" s="164" t="str">
        <f ca="1">IFERROR(__xludf.DUMMYFUNCTION("""COMPUTED_VALUE"""),"₱ 124,900.00")</f>
        <v>₱ 124,900.00</v>
      </c>
      <c r="E2798" s="164"/>
      <c r="F2798" s="164" t="str">
        <f ca="1">IFERROR(__xludf.DUMMYFUNCTION("""COMPUTED_VALUE"""),"2023-06-01-10202SP311-01")</f>
        <v>2023-06-01-10202SP311-01</v>
      </c>
      <c r="G2798" s="164"/>
      <c r="H2798" s="164" t="str">
        <f ca="1">IFERROR(__xludf.DUMMYFUNCTION("""COMPUTED_VALUE"""),"JOASH N. JARA")</f>
        <v>JOASH N. JARA</v>
      </c>
      <c r="I2798" s="164" t="str">
        <f ca="1">IFERROR(__xludf.DUMMYFUNCTION("""COMPUTED_VALUE"""),"ARPT")</f>
        <v>ARPT</v>
      </c>
      <c r="J2798" s="164" t="str">
        <f ca="1">IFERROR(__xludf.DUMMYFUNCTION("""COMPUTED_VALUE"""),"PTR 2023-02-017")</f>
        <v>PTR 2023-02-017</v>
      </c>
      <c r="K2798" s="164" t="str">
        <f ca="1">IFERROR(__xludf.DUMMYFUNCTION("""COMPUTED_VALUE"""),"JOASH N. JARA")</f>
        <v>JOASH N. JARA</v>
      </c>
      <c r="L2798" s="164"/>
      <c r="M2798" s="164" t="str">
        <f ca="1">IFERROR(__xludf.DUMMYFUNCTION("""COMPUTED_VALUE"""),"SERVICEABLE")</f>
        <v>SERVICEABLE</v>
      </c>
      <c r="N2798" s="164"/>
    </row>
    <row r="2799" spans="1:14" ht="13.2" hidden="1">
      <c r="A2799" s="164" t="str">
        <f ca="1">IFERROR(__xludf.DUMMYFUNCTION("""COMPUTED_VALUE"""),"NIR")</f>
        <v>NIR</v>
      </c>
      <c r="B2799" s="164" t="str">
        <f ca="1">IFERROR(__xludf.DUMMYFUNCTION("""COMPUTED_VALUE"""),"Negros Occidental II")</f>
        <v>Negros Occidental II</v>
      </c>
      <c r="C2799" s="164" t="str">
        <f ca="1">IFERROR(__xludf.DUMMYFUNCTION("""COMPUTED_VALUE"""),"Motorcycle – (Honda XRL 150)")</f>
        <v>Motorcycle – (Honda XRL 150)</v>
      </c>
      <c r="D2799" s="164" t="str">
        <f ca="1">IFERROR(__xludf.DUMMYFUNCTION("""COMPUTED_VALUE"""),"₱ 124,900.00")</f>
        <v>₱ 124,900.00</v>
      </c>
      <c r="E2799" s="164"/>
      <c r="F2799" s="164" t="str">
        <f ca="1">IFERROR(__xludf.DUMMYFUNCTION("""COMPUTED_VALUE"""),"2023-06-01-10202SP310-01")</f>
        <v>2023-06-01-10202SP310-01</v>
      </c>
      <c r="G2799" s="164"/>
      <c r="H2799" s="164" t="str">
        <f ca="1">IFERROR(__xludf.DUMMYFUNCTION("""COMPUTED_VALUE"""),"ARIEL D. CASISON")</f>
        <v>ARIEL D. CASISON</v>
      </c>
      <c r="I2799" s="164" t="str">
        <f ca="1">IFERROR(__xludf.DUMMYFUNCTION("""COMPUTED_VALUE"""),"SARPT")</f>
        <v>SARPT</v>
      </c>
      <c r="J2799" s="164" t="str">
        <f ca="1">IFERROR(__xludf.DUMMYFUNCTION("""COMPUTED_VALUE"""),"PTR 2023-02-015")</f>
        <v>PTR 2023-02-015</v>
      </c>
      <c r="K2799" s="164" t="str">
        <f ca="1">IFERROR(__xludf.DUMMYFUNCTION("""COMPUTED_VALUE"""),"ARIEL D. CASISON")</f>
        <v>ARIEL D. CASISON</v>
      </c>
      <c r="L2799" s="164"/>
      <c r="M2799" s="164" t="str">
        <f ca="1">IFERROR(__xludf.DUMMYFUNCTION("""COMPUTED_VALUE"""),"SERVICEABLE")</f>
        <v>SERVICEABLE</v>
      </c>
      <c r="N2799" s="164"/>
    </row>
    <row r="2800" spans="1:14" ht="13.2" hidden="1">
      <c r="A2800" s="164" t="str">
        <f ca="1">IFERROR(__xludf.DUMMYFUNCTION("""COMPUTED_VALUE"""),"NIR")</f>
        <v>NIR</v>
      </c>
      <c r="B2800" s="164" t="str">
        <f ca="1">IFERROR(__xludf.DUMMYFUNCTION("""COMPUTED_VALUE"""),"Negros Occidental II")</f>
        <v>Negros Occidental II</v>
      </c>
      <c r="C2800" s="164" t="str">
        <f ca="1">IFERROR(__xludf.DUMMYFUNCTION("""COMPUTED_VALUE"""),"Motorcycle – (Honda XRL 150)")</f>
        <v>Motorcycle – (Honda XRL 150)</v>
      </c>
      <c r="D2800" s="164" t="str">
        <f ca="1">IFERROR(__xludf.DUMMYFUNCTION("""COMPUTED_VALUE"""),"₱ 124,900.00")</f>
        <v>₱ 124,900.00</v>
      </c>
      <c r="E2800" s="164"/>
      <c r="F2800" s="164" t="str">
        <f ca="1">IFERROR(__xludf.DUMMYFUNCTION("""COMPUTED_VALUE"""),"2023-06-01-10202SP326-01")</f>
        <v>2023-06-01-10202SP326-01</v>
      </c>
      <c r="G2800" s="164"/>
      <c r="H2800" s="164" t="str">
        <f ca="1">IFERROR(__xludf.DUMMYFUNCTION("""COMPUTED_VALUE"""),"LEMUEL J. DIATERA")</f>
        <v>LEMUEL J. DIATERA</v>
      </c>
      <c r="I2800" s="164" t="str">
        <f ca="1">IFERROR(__xludf.DUMMYFUNCTION("""COMPUTED_VALUE"""),"ARPT")</f>
        <v>ARPT</v>
      </c>
      <c r="J2800" s="164" t="str">
        <f ca="1">IFERROR(__xludf.DUMMYFUNCTION("""COMPUTED_VALUE"""),"PTR 2023-02-016")</f>
        <v>PTR 2023-02-016</v>
      </c>
      <c r="K2800" s="164" t="str">
        <f ca="1">IFERROR(__xludf.DUMMYFUNCTION("""COMPUTED_VALUE"""),"LEMUEL J. DIATERA")</f>
        <v>LEMUEL J. DIATERA</v>
      </c>
      <c r="L2800" s="164"/>
      <c r="M2800" s="164" t="str">
        <f ca="1">IFERROR(__xludf.DUMMYFUNCTION("""COMPUTED_VALUE"""),"SERVICEABLE")</f>
        <v>SERVICEABLE</v>
      </c>
      <c r="N2800" s="164"/>
    </row>
    <row r="2801" spans="1:14" ht="13.2" hidden="1">
      <c r="A2801" s="164" t="str">
        <f ca="1">IFERROR(__xludf.DUMMYFUNCTION("""COMPUTED_VALUE"""),"NIR")</f>
        <v>NIR</v>
      </c>
      <c r="B2801" s="164" t="str">
        <f ca="1">IFERROR(__xludf.DUMMYFUNCTION("""COMPUTED_VALUE"""),"Negros Occidental II")</f>
        <v>Negros Occidental II</v>
      </c>
      <c r="C2801" s="164" t="str">
        <f ca="1">IFERROR(__xludf.DUMMYFUNCTION("""COMPUTED_VALUE"""),"Motorcycle – (Honda XRL 150)")</f>
        <v>Motorcycle – (Honda XRL 150)</v>
      </c>
      <c r="D2801" s="164" t="str">
        <f ca="1">IFERROR(__xludf.DUMMYFUNCTION("""COMPUTED_VALUE"""),"₱ 124,900.00")</f>
        <v>₱ 124,900.00</v>
      </c>
      <c r="E2801" s="164"/>
      <c r="F2801" s="164" t="str">
        <f ca="1">IFERROR(__xludf.DUMMYFUNCTION("""COMPUTED_VALUE"""),"2023-06-01-10202SP324-01")</f>
        <v>2023-06-01-10202SP324-01</v>
      </c>
      <c r="G2801" s="164"/>
      <c r="H2801" s="164" t="str">
        <f ca="1">IFERROR(__xludf.DUMMYFUNCTION("""COMPUTED_VALUE"""),"JOHN MARK P. RUBATON")</f>
        <v>JOHN MARK P. RUBATON</v>
      </c>
      <c r="I2801" s="164" t="str">
        <f ca="1">IFERROR(__xludf.DUMMYFUNCTION("""COMPUTED_VALUE"""),"ARPT")</f>
        <v>ARPT</v>
      </c>
      <c r="J2801" s="164" t="str">
        <f ca="1">IFERROR(__xludf.DUMMYFUNCTION("""COMPUTED_VALUE"""),"PTR 2023-02-016")</f>
        <v>PTR 2023-02-016</v>
      </c>
      <c r="K2801" s="164" t="str">
        <f ca="1">IFERROR(__xludf.DUMMYFUNCTION("""COMPUTED_VALUE"""),"JOHN MARK P. RUBATON")</f>
        <v>JOHN MARK P. RUBATON</v>
      </c>
      <c r="L2801" s="164"/>
      <c r="M2801" s="164" t="str">
        <f ca="1">IFERROR(__xludf.DUMMYFUNCTION("""COMPUTED_VALUE"""),"SERVICEABLE")</f>
        <v>SERVICEABLE</v>
      </c>
      <c r="N2801" s="164"/>
    </row>
    <row r="2802" spans="1:14" ht="13.2" hidden="1">
      <c r="A2802" s="164" t="str">
        <f ca="1">IFERROR(__xludf.DUMMYFUNCTION("""COMPUTED_VALUE"""),"NIR")</f>
        <v>NIR</v>
      </c>
      <c r="B2802" s="164" t="str">
        <f ca="1">IFERROR(__xludf.DUMMYFUNCTION("""COMPUTED_VALUE"""),"Negros Occidental II")</f>
        <v>Negros Occidental II</v>
      </c>
      <c r="C2802" s="164" t="str">
        <f ca="1">IFERROR(__xludf.DUMMYFUNCTION("""COMPUTED_VALUE"""),"Motorcycle – (Honda XRL 150)")</f>
        <v>Motorcycle – (Honda XRL 150)</v>
      </c>
      <c r="D2802" s="164" t="str">
        <f ca="1">IFERROR(__xludf.DUMMYFUNCTION("""COMPUTED_VALUE"""),"₱ 124,900.00")</f>
        <v>₱ 124,900.00</v>
      </c>
      <c r="E2802" s="164"/>
      <c r="F2802" s="164" t="str">
        <f ca="1">IFERROR(__xludf.DUMMYFUNCTION("""COMPUTED_VALUE"""),"2023-06-01-10202SP316-01")</f>
        <v>2023-06-01-10202SP316-01</v>
      </c>
      <c r="G2802" s="164"/>
      <c r="H2802" s="164" t="str">
        <f ca="1">IFERROR(__xludf.DUMMYFUNCTION("""COMPUTED_VALUE"""),"JAMES S. JUCAL")</f>
        <v>JAMES S. JUCAL</v>
      </c>
      <c r="I2802" s="164" t="str">
        <f ca="1">IFERROR(__xludf.DUMMYFUNCTION("""COMPUTED_VALUE"""),"ARPT")</f>
        <v>ARPT</v>
      </c>
      <c r="J2802" s="164" t="str">
        <f ca="1">IFERROR(__xludf.DUMMYFUNCTION("""COMPUTED_VALUE"""),"PTR 2023-02-017")</f>
        <v>PTR 2023-02-017</v>
      </c>
      <c r="K2802" s="164" t="str">
        <f ca="1">IFERROR(__xludf.DUMMYFUNCTION("""COMPUTED_VALUE"""),"JAMES S. JUCAL")</f>
        <v>JAMES S. JUCAL</v>
      </c>
      <c r="L2802" s="164"/>
      <c r="M2802" s="164" t="str">
        <f ca="1">IFERROR(__xludf.DUMMYFUNCTION("""COMPUTED_VALUE"""),"SERVICEABLE")</f>
        <v>SERVICEABLE</v>
      </c>
      <c r="N2802" s="164"/>
    </row>
    <row r="2803" spans="1:14" ht="13.2" hidden="1">
      <c r="A2803" s="164" t="str">
        <f ca="1">IFERROR(__xludf.DUMMYFUNCTION("""COMPUTED_VALUE"""),"NIR")</f>
        <v>NIR</v>
      </c>
      <c r="B2803" s="164" t="str">
        <f ca="1">IFERROR(__xludf.DUMMYFUNCTION("""COMPUTED_VALUE"""),"Negros Occidental II")</f>
        <v>Negros Occidental II</v>
      </c>
      <c r="C2803" s="164" t="str">
        <f ca="1">IFERROR(__xludf.DUMMYFUNCTION("""COMPUTED_VALUE"""),"Motorcycle – (Honda XRL 150)")</f>
        <v>Motorcycle – (Honda XRL 150)</v>
      </c>
      <c r="D2803" s="164" t="str">
        <f ca="1">IFERROR(__xludf.DUMMYFUNCTION("""COMPUTED_VALUE"""),"₱ 124,900.00")</f>
        <v>₱ 124,900.00</v>
      </c>
      <c r="E2803" s="164"/>
      <c r="F2803" s="164" t="str">
        <f ca="1">IFERROR(__xludf.DUMMYFUNCTION("""COMPUTED_VALUE"""),"2023-06-01-10202SP320-01")</f>
        <v>2023-06-01-10202SP320-01</v>
      </c>
      <c r="G2803" s="164"/>
      <c r="H2803" s="164" t="str">
        <f ca="1">IFERROR(__xludf.DUMMYFUNCTION("""COMPUTED_VALUE"""),"JOSE RENAN P. TALADTAD")</f>
        <v>JOSE RENAN P. TALADTAD</v>
      </c>
      <c r="I2803" s="164" t="str">
        <f ca="1">IFERROR(__xludf.DUMMYFUNCTION("""COMPUTED_VALUE"""),"ARPT")</f>
        <v>ARPT</v>
      </c>
      <c r="J2803" s="164" t="str">
        <f ca="1">IFERROR(__xludf.DUMMYFUNCTION("""COMPUTED_VALUE"""),"PTR 2023-02-017")</f>
        <v>PTR 2023-02-017</v>
      </c>
      <c r="K2803" s="164" t="str">
        <f ca="1">IFERROR(__xludf.DUMMYFUNCTION("""COMPUTED_VALUE"""),"JOSE RENAN P. TALADTAD")</f>
        <v>JOSE RENAN P. TALADTAD</v>
      </c>
      <c r="L2803" s="164"/>
      <c r="M2803" s="164" t="str">
        <f ca="1">IFERROR(__xludf.DUMMYFUNCTION("""COMPUTED_VALUE"""),"SERVICEABLE")</f>
        <v>SERVICEABLE</v>
      </c>
      <c r="N2803" s="164"/>
    </row>
    <row r="2804" spans="1:14" ht="13.2" hidden="1">
      <c r="A2804" s="164" t="str">
        <f ca="1">IFERROR(__xludf.DUMMYFUNCTION("""COMPUTED_VALUE"""),"NIR")</f>
        <v>NIR</v>
      </c>
      <c r="B2804" s="164" t="str">
        <f ca="1">IFERROR(__xludf.DUMMYFUNCTION("""COMPUTED_VALUE"""),"Negros Occidental II")</f>
        <v>Negros Occidental II</v>
      </c>
      <c r="C2804" s="164" t="str">
        <f ca="1">IFERROR(__xludf.DUMMYFUNCTION("""COMPUTED_VALUE"""),"Motorcycle – (Honda XRL 150)")</f>
        <v>Motorcycle – (Honda XRL 150)</v>
      </c>
      <c r="D2804" s="164" t="str">
        <f ca="1">IFERROR(__xludf.DUMMYFUNCTION("""COMPUTED_VALUE"""),"₱ 124,900.00")</f>
        <v>₱ 124,900.00</v>
      </c>
      <c r="E2804" s="164"/>
      <c r="F2804" s="164" t="str">
        <f ca="1">IFERROR(__xludf.DUMMYFUNCTION("""COMPUTED_VALUE"""),"2023-06-01-10202SP330-01")</f>
        <v>2023-06-01-10202SP330-01</v>
      </c>
      <c r="G2804" s="164"/>
      <c r="H2804" s="164" t="str">
        <f ca="1">IFERROR(__xludf.DUMMYFUNCTION("""COMPUTED_VALUE"""),"RICHARD M. BAUTISTA")</f>
        <v>RICHARD M. BAUTISTA</v>
      </c>
      <c r="I2804" s="164" t="str">
        <f ca="1">IFERROR(__xludf.DUMMYFUNCTION("""COMPUTED_VALUE"""),"SARPT")</f>
        <v>SARPT</v>
      </c>
      <c r="J2804" s="164" t="str">
        <f ca="1">IFERROR(__xludf.DUMMYFUNCTION("""COMPUTED_VALUE"""),"PTR 2023-02-016")</f>
        <v>PTR 2023-02-016</v>
      </c>
      <c r="K2804" s="164" t="str">
        <f ca="1">IFERROR(__xludf.DUMMYFUNCTION("""COMPUTED_VALUE"""),"RICHARD M. BAUTISTA")</f>
        <v>RICHARD M. BAUTISTA</v>
      </c>
      <c r="L2804" s="164"/>
      <c r="M2804" s="164" t="str">
        <f ca="1">IFERROR(__xludf.DUMMYFUNCTION("""COMPUTED_VALUE"""),"SERVICEABLE")</f>
        <v>SERVICEABLE</v>
      </c>
      <c r="N2804" s="164"/>
    </row>
    <row r="2805" spans="1:14" ht="13.2" hidden="1">
      <c r="A2805" s="164" t="str">
        <f ca="1">IFERROR(__xludf.DUMMYFUNCTION("""COMPUTED_VALUE"""),"NIR")</f>
        <v>NIR</v>
      </c>
      <c r="B2805" s="164" t="str">
        <f ca="1">IFERROR(__xludf.DUMMYFUNCTION("""COMPUTED_VALUE"""),"Negros Occidental II")</f>
        <v>Negros Occidental II</v>
      </c>
      <c r="C2805" s="164" t="str">
        <f ca="1">IFERROR(__xludf.DUMMYFUNCTION("""COMPUTED_VALUE"""),"Motorcycle – (Honda XRL 150)")</f>
        <v>Motorcycle – (Honda XRL 150)</v>
      </c>
      <c r="D2805" s="164" t="str">
        <f ca="1">IFERROR(__xludf.DUMMYFUNCTION("""COMPUTED_VALUE"""),"₱ 124,900.00")</f>
        <v>₱ 124,900.00</v>
      </c>
      <c r="E2805" s="164"/>
      <c r="F2805" s="164" t="str">
        <f ca="1">IFERROR(__xludf.DUMMYFUNCTION("""COMPUTED_VALUE"""),"2023-06-01-10202SP315-01")</f>
        <v>2023-06-01-10202SP315-01</v>
      </c>
      <c r="G2805" s="164"/>
      <c r="H2805" s="164" t="str">
        <f ca="1">IFERROR(__xludf.DUMMYFUNCTION("""COMPUTED_VALUE"""),"ARIS J. PABILARIO")</f>
        <v>ARIS J. PABILARIO</v>
      </c>
      <c r="I2805" s="164" t="str">
        <f ca="1">IFERROR(__xludf.DUMMYFUNCTION("""COMPUTED_VALUE"""),"SARPT")</f>
        <v>SARPT</v>
      </c>
      <c r="J2805" s="164" t="str">
        <f ca="1">IFERROR(__xludf.DUMMYFUNCTION("""COMPUTED_VALUE"""),"PTR 2023-02-017")</f>
        <v>PTR 2023-02-017</v>
      </c>
      <c r="K2805" s="164" t="str">
        <f ca="1">IFERROR(__xludf.DUMMYFUNCTION("""COMPUTED_VALUE"""),"ARIS J. PABILARIO")</f>
        <v>ARIS J. PABILARIO</v>
      </c>
      <c r="L2805" s="164"/>
      <c r="M2805" s="164" t="str">
        <f ca="1">IFERROR(__xludf.DUMMYFUNCTION("""COMPUTED_VALUE"""),"SERVICEABLE")</f>
        <v>SERVICEABLE</v>
      </c>
      <c r="N2805" s="164"/>
    </row>
    <row r="2806" spans="1:14" ht="13.2" hidden="1">
      <c r="A2806" s="164" t="str">
        <f ca="1">IFERROR(__xludf.DUMMYFUNCTION("""COMPUTED_VALUE"""),"NIR")</f>
        <v>NIR</v>
      </c>
      <c r="B2806" s="164" t="str">
        <f ca="1">IFERROR(__xludf.DUMMYFUNCTION("""COMPUTED_VALUE"""),"Negros Occidental II")</f>
        <v>Negros Occidental II</v>
      </c>
      <c r="C2806" s="164" t="str">
        <f ca="1">IFERROR(__xludf.DUMMYFUNCTION("""COMPUTED_VALUE"""),"Motorcycle – (Honda XRL 150)")</f>
        <v>Motorcycle – (Honda XRL 150)</v>
      </c>
      <c r="D2806" s="164" t="str">
        <f ca="1">IFERROR(__xludf.DUMMYFUNCTION("""COMPUTED_VALUE"""),"₱ 124,900.00")</f>
        <v>₱ 124,900.00</v>
      </c>
      <c r="E2806" s="164"/>
      <c r="F2806" s="164" t="str">
        <f ca="1">IFERROR(__xludf.DUMMYFUNCTION("""COMPUTED_VALUE"""),"2023-06-01-10202SP303-01")</f>
        <v>2023-06-01-10202SP303-01</v>
      </c>
      <c r="G2806" s="164"/>
      <c r="H2806" s="164" t="str">
        <f ca="1">IFERROR(__xludf.DUMMYFUNCTION("""COMPUTED_VALUE"""),"WILMER J. CAYA")</f>
        <v>WILMER J. CAYA</v>
      </c>
      <c r="I2806" s="164" t="str">
        <f ca="1">IFERROR(__xludf.DUMMYFUNCTION("""COMPUTED_VALUE"""),"ARPT")</f>
        <v>ARPT</v>
      </c>
      <c r="J2806" s="164" t="str">
        <f ca="1">IFERROR(__xludf.DUMMYFUNCTION("""COMPUTED_VALUE"""),"PTR 2023-02-015")</f>
        <v>PTR 2023-02-015</v>
      </c>
      <c r="K2806" s="164" t="str">
        <f ca="1">IFERROR(__xludf.DUMMYFUNCTION("""COMPUTED_VALUE"""),"WILMER J. CAYA")</f>
        <v>WILMER J. CAYA</v>
      </c>
      <c r="L2806" s="164"/>
      <c r="M2806" s="164" t="str">
        <f ca="1">IFERROR(__xludf.DUMMYFUNCTION("""COMPUTED_VALUE"""),"SERVICEABLE")</f>
        <v>SERVICEABLE</v>
      </c>
      <c r="N2806" s="164"/>
    </row>
    <row r="2807" spans="1:14" ht="13.2" hidden="1">
      <c r="A2807" s="164" t="str">
        <f ca="1">IFERROR(__xludf.DUMMYFUNCTION("""COMPUTED_VALUE"""),"NIR")</f>
        <v>NIR</v>
      </c>
      <c r="B2807" s="164" t="str">
        <f ca="1">IFERROR(__xludf.DUMMYFUNCTION("""COMPUTED_VALUE"""),"Negros Occidental II")</f>
        <v>Negros Occidental II</v>
      </c>
      <c r="C2807" s="164" t="str">
        <f ca="1">IFERROR(__xludf.DUMMYFUNCTION("""COMPUTED_VALUE"""),"Motorcycle – (Honda XRL 150)")</f>
        <v>Motorcycle – (Honda XRL 150)</v>
      </c>
      <c r="D2807" s="164" t="str">
        <f ca="1">IFERROR(__xludf.DUMMYFUNCTION("""COMPUTED_VALUE"""),"₱ 124,900.00")</f>
        <v>₱ 124,900.00</v>
      </c>
      <c r="E2807" s="164"/>
      <c r="F2807" s="164" t="str">
        <f ca="1">IFERROR(__xludf.DUMMYFUNCTION("""COMPUTED_VALUE"""),"2023-06-01-10202SP304-01")</f>
        <v>2023-06-01-10202SP304-01</v>
      </c>
      <c r="G2807" s="164"/>
      <c r="H2807" s="164" t="str">
        <f ca="1">IFERROR(__xludf.DUMMYFUNCTION("""COMPUTED_VALUE"""),"MARVIN JOHN M. REMIGIO")</f>
        <v>MARVIN JOHN M. REMIGIO</v>
      </c>
      <c r="I2807" s="164" t="str">
        <f ca="1">IFERROR(__xludf.DUMMYFUNCTION("""COMPUTED_VALUE"""),"ARPT")</f>
        <v>ARPT</v>
      </c>
      <c r="J2807" s="164" t="str">
        <f ca="1">IFERROR(__xludf.DUMMYFUNCTION("""COMPUTED_VALUE"""),"PTR 2023-02-015")</f>
        <v>PTR 2023-02-015</v>
      </c>
      <c r="K2807" s="164" t="str">
        <f ca="1">IFERROR(__xludf.DUMMYFUNCTION("""COMPUTED_VALUE"""),"MARVIN JOHN M. REMIGIO")</f>
        <v>MARVIN JOHN M. REMIGIO</v>
      </c>
      <c r="L2807" s="164"/>
      <c r="M2807" s="164" t="str">
        <f ca="1">IFERROR(__xludf.DUMMYFUNCTION("""COMPUTED_VALUE"""),"SERVICEABLE")</f>
        <v>SERVICEABLE</v>
      </c>
      <c r="N2807" s="164"/>
    </row>
    <row r="2808" spans="1:14" ht="13.2" hidden="1">
      <c r="A2808" s="164" t="str">
        <f ca="1">IFERROR(__xludf.DUMMYFUNCTION("""COMPUTED_VALUE"""),"NIR")</f>
        <v>NIR</v>
      </c>
      <c r="B2808" s="164" t="str">
        <f ca="1">IFERROR(__xludf.DUMMYFUNCTION("""COMPUTED_VALUE"""),"Negros Occidental II")</f>
        <v>Negros Occidental II</v>
      </c>
      <c r="C2808" s="164" t="str">
        <f ca="1">IFERROR(__xludf.DUMMYFUNCTION("""COMPUTED_VALUE"""),"Motorcycle – (Honda XRL 150)")</f>
        <v>Motorcycle – (Honda XRL 150)</v>
      </c>
      <c r="D2808" s="164" t="str">
        <f ca="1">IFERROR(__xludf.DUMMYFUNCTION("""COMPUTED_VALUE"""),"₱ 124,900.00")</f>
        <v>₱ 124,900.00</v>
      </c>
      <c r="E2808" s="164"/>
      <c r="F2808" s="164" t="str">
        <f ca="1">IFERROR(__xludf.DUMMYFUNCTION("""COMPUTED_VALUE"""),"2023-06-01-10202SP314-01")</f>
        <v>2023-06-01-10202SP314-01</v>
      </c>
      <c r="G2808" s="164"/>
      <c r="H2808" s="164" t="str">
        <f ca="1">IFERROR(__xludf.DUMMYFUNCTION("""COMPUTED_VALUE"""),"ROMMEL T. PERALTA")</f>
        <v>ROMMEL T. PERALTA</v>
      </c>
      <c r="I2808" s="164" t="str">
        <f ca="1">IFERROR(__xludf.DUMMYFUNCTION("""COMPUTED_VALUE"""),"ARPO I")</f>
        <v>ARPO I</v>
      </c>
      <c r="J2808" s="164" t="str">
        <f ca="1">IFERROR(__xludf.DUMMYFUNCTION("""COMPUTED_VALUE"""),"PTR 2023-02-017")</f>
        <v>PTR 2023-02-017</v>
      </c>
      <c r="K2808" s="164" t="str">
        <f ca="1">IFERROR(__xludf.DUMMYFUNCTION("""COMPUTED_VALUE"""),"ROMMEL T. PERALTA")</f>
        <v>ROMMEL T. PERALTA</v>
      </c>
      <c r="L2808" s="164"/>
      <c r="M2808" s="164" t="str">
        <f ca="1">IFERROR(__xludf.DUMMYFUNCTION("""COMPUTED_VALUE"""),"SERVICEABLE")</f>
        <v>SERVICEABLE</v>
      </c>
      <c r="N2808" s="164"/>
    </row>
    <row r="2809" spans="1:14" ht="13.2" hidden="1">
      <c r="A2809" s="164" t="str">
        <f ca="1">IFERROR(__xludf.DUMMYFUNCTION("""COMPUTED_VALUE"""),"NIR")</f>
        <v>NIR</v>
      </c>
      <c r="B2809" s="164" t="str">
        <f ca="1">IFERROR(__xludf.DUMMYFUNCTION("""COMPUTED_VALUE"""),"Negros Occidental II")</f>
        <v>Negros Occidental II</v>
      </c>
      <c r="C2809" s="164" t="str">
        <f ca="1">IFERROR(__xludf.DUMMYFUNCTION("""COMPUTED_VALUE"""),"Motorcycle – (Honda XRL 150)")</f>
        <v>Motorcycle – (Honda XRL 150)</v>
      </c>
      <c r="D2809" s="164" t="str">
        <f ca="1">IFERROR(__xludf.DUMMYFUNCTION("""COMPUTED_VALUE"""),"₱ 124,900.00")</f>
        <v>₱ 124,900.00</v>
      </c>
      <c r="E2809" s="164"/>
      <c r="F2809" s="164" t="str">
        <f ca="1">IFERROR(__xludf.DUMMYFUNCTION("""COMPUTED_VALUE"""),"2023-06-01-10202SP299-01")</f>
        <v>2023-06-01-10202SP299-01</v>
      </c>
      <c r="G2809" s="164"/>
      <c r="H2809" s="164" t="str">
        <f ca="1">IFERROR(__xludf.DUMMYFUNCTION("""COMPUTED_VALUE"""),"ABIGAIL T. BOYOC")</f>
        <v>ABIGAIL T. BOYOC</v>
      </c>
      <c r="I2809" s="164" t="str">
        <f ca="1">IFERROR(__xludf.DUMMYFUNCTION("""COMPUTED_VALUE"""),"SARPT")</f>
        <v>SARPT</v>
      </c>
      <c r="J2809" s="164" t="str">
        <f ca="1">IFERROR(__xludf.DUMMYFUNCTION("""COMPUTED_VALUE"""),"PTR 2023-02-015")</f>
        <v>PTR 2023-02-015</v>
      </c>
      <c r="K2809" s="164" t="str">
        <f ca="1">IFERROR(__xludf.DUMMYFUNCTION("""COMPUTED_VALUE"""),"ABIGAIL T. BOYOC")</f>
        <v>ABIGAIL T. BOYOC</v>
      </c>
      <c r="L2809" s="164"/>
      <c r="M2809" s="164" t="str">
        <f ca="1">IFERROR(__xludf.DUMMYFUNCTION("""COMPUTED_VALUE"""),"SERVICEABLE")</f>
        <v>SERVICEABLE</v>
      </c>
      <c r="N2809" s="164"/>
    </row>
    <row r="2810" spans="1:14" ht="13.2" hidden="1">
      <c r="A2810" s="164" t="str">
        <f ca="1">IFERROR(__xludf.DUMMYFUNCTION("""COMPUTED_VALUE"""),"NIR")</f>
        <v>NIR</v>
      </c>
      <c r="B2810" s="164" t="str">
        <f ca="1">IFERROR(__xludf.DUMMYFUNCTION("""COMPUTED_VALUE"""),"Negros Occidental II")</f>
        <v>Negros Occidental II</v>
      </c>
      <c r="C2810" s="164" t="str">
        <f ca="1">IFERROR(__xludf.DUMMYFUNCTION("""COMPUTED_VALUE"""),"Motorcycle – (Honda XRL 150)")</f>
        <v>Motorcycle – (Honda XRL 150)</v>
      </c>
      <c r="D2810" s="164" t="str">
        <f ca="1">IFERROR(__xludf.DUMMYFUNCTION("""COMPUTED_VALUE"""),"₱ 124,900.00")</f>
        <v>₱ 124,900.00</v>
      </c>
      <c r="E2810" s="164"/>
      <c r="F2810" s="164" t="str">
        <f ca="1">IFERROR(__xludf.DUMMYFUNCTION("""COMPUTED_VALUE"""),"2023-06-01-10202SP300-01")</f>
        <v>2023-06-01-10202SP300-01</v>
      </c>
      <c r="G2810" s="164"/>
      <c r="H2810" s="164" t="str">
        <f ca="1">IFERROR(__xludf.DUMMYFUNCTION("""COMPUTED_VALUE"""),"JASTIN T. TABIA")</f>
        <v>JASTIN T. TABIA</v>
      </c>
      <c r="I2810" s="164" t="str">
        <f ca="1">IFERROR(__xludf.DUMMYFUNCTION("""COMPUTED_VALUE"""),"ARPT")</f>
        <v>ARPT</v>
      </c>
      <c r="J2810" s="164" t="str">
        <f ca="1">IFERROR(__xludf.DUMMYFUNCTION("""COMPUTED_VALUE"""),"PTR 2023-02-015")</f>
        <v>PTR 2023-02-015</v>
      </c>
      <c r="K2810" s="164" t="str">
        <f ca="1">IFERROR(__xludf.DUMMYFUNCTION("""COMPUTED_VALUE"""),"JASTIN T. TABIA")</f>
        <v>JASTIN T. TABIA</v>
      </c>
      <c r="L2810" s="164"/>
      <c r="M2810" s="164" t="str">
        <f ca="1">IFERROR(__xludf.DUMMYFUNCTION("""COMPUTED_VALUE"""),"SERVICEABLE")</f>
        <v>SERVICEABLE</v>
      </c>
      <c r="N2810" s="164"/>
    </row>
    <row r="2811" spans="1:14" ht="13.2" hidden="1">
      <c r="A2811" s="164" t="str">
        <f ca="1">IFERROR(__xludf.DUMMYFUNCTION("""COMPUTED_VALUE"""),"NIR")</f>
        <v>NIR</v>
      </c>
      <c r="B2811" s="164" t="str">
        <f ca="1">IFERROR(__xludf.DUMMYFUNCTION("""COMPUTED_VALUE"""),"Negros Occidental II")</f>
        <v>Negros Occidental II</v>
      </c>
      <c r="C2811" s="164" t="str">
        <f ca="1">IFERROR(__xludf.DUMMYFUNCTION("""COMPUTED_VALUE"""),"Motorcycle – (Honda XRL 150)")</f>
        <v>Motorcycle – (Honda XRL 150)</v>
      </c>
      <c r="D2811" s="164" t="str">
        <f ca="1">IFERROR(__xludf.DUMMYFUNCTION("""COMPUTED_VALUE"""),"₱ 124,900.00")</f>
        <v>₱ 124,900.00</v>
      </c>
      <c r="E2811" s="164"/>
      <c r="F2811" s="164" t="str">
        <f ca="1">IFERROR(__xludf.DUMMYFUNCTION("""COMPUTED_VALUE"""),"2023-06-01-10202SP306-01")</f>
        <v>2023-06-01-10202SP306-01</v>
      </c>
      <c r="G2811" s="164"/>
      <c r="H2811" s="164" t="str">
        <f ca="1">IFERROR(__xludf.DUMMYFUNCTION("""COMPUTED_VALUE"""),"PATERIO G. DE LA CRUZ JR.")</f>
        <v>PATERIO G. DE LA CRUZ JR.</v>
      </c>
      <c r="I2811" s="164" t="str">
        <f ca="1">IFERROR(__xludf.DUMMYFUNCTION("""COMPUTED_VALUE"""),"ARPT")</f>
        <v>ARPT</v>
      </c>
      <c r="J2811" s="164" t="str">
        <f ca="1">IFERROR(__xludf.DUMMYFUNCTION("""COMPUTED_VALUE"""),"PTR 2023-02-015")</f>
        <v>PTR 2023-02-015</v>
      </c>
      <c r="K2811" s="164" t="str">
        <f ca="1">IFERROR(__xludf.DUMMYFUNCTION("""COMPUTED_VALUE"""),"PATERIO G. DE LA CRUZ JR.")</f>
        <v>PATERIO G. DE LA CRUZ JR.</v>
      </c>
      <c r="L2811" s="164"/>
      <c r="M2811" s="164" t="str">
        <f ca="1">IFERROR(__xludf.DUMMYFUNCTION("""COMPUTED_VALUE"""),"SERVICEABLE")</f>
        <v>SERVICEABLE</v>
      </c>
      <c r="N2811" s="164"/>
    </row>
    <row r="2812" spans="1:14" ht="13.2" hidden="1">
      <c r="A2812" s="164" t="str">
        <f ca="1">IFERROR(__xludf.DUMMYFUNCTION("""COMPUTED_VALUE"""),"NIR")</f>
        <v>NIR</v>
      </c>
      <c r="B2812" s="164" t="str">
        <f ca="1">IFERROR(__xludf.DUMMYFUNCTION("""COMPUTED_VALUE"""),"Negros Occidental II")</f>
        <v>Negros Occidental II</v>
      </c>
      <c r="C2812" s="164" t="str">
        <f ca="1">IFERROR(__xludf.DUMMYFUNCTION("""COMPUTED_VALUE"""),"Motorcycle – (Honda XRL 150)")</f>
        <v>Motorcycle – (Honda XRL 150)</v>
      </c>
      <c r="D2812" s="164" t="str">
        <f ca="1">IFERROR(__xludf.DUMMYFUNCTION("""COMPUTED_VALUE"""),"₱ 124,900.00")</f>
        <v>₱ 124,900.00</v>
      </c>
      <c r="E2812" s="164"/>
      <c r="F2812" s="164" t="str">
        <f ca="1">IFERROR(__xludf.DUMMYFUNCTION("""COMPUTED_VALUE"""),"2023-06-01-10202SP302-01")</f>
        <v>2023-06-01-10202SP302-01</v>
      </c>
      <c r="G2812" s="164"/>
      <c r="H2812" s="164" t="str">
        <f ca="1">IFERROR(__xludf.DUMMYFUNCTION("""COMPUTED_VALUE"""),"ALLAN MARK D. LABRADOR")</f>
        <v>ALLAN MARK D. LABRADOR</v>
      </c>
      <c r="I2812" s="164" t="str">
        <f ca="1">IFERROR(__xludf.DUMMYFUNCTION("""COMPUTED_VALUE"""),"ARPO I")</f>
        <v>ARPO I</v>
      </c>
      <c r="J2812" s="164" t="str">
        <f ca="1">IFERROR(__xludf.DUMMYFUNCTION("""COMPUTED_VALUE"""),"PTR 2023-02-015")</f>
        <v>PTR 2023-02-015</v>
      </c>
      <c r="K2812" s="164" t="str">
        <f ca="1">IFERROR(__xludf.DUMMYFUNCTION("""COMPUTED_VALUE"""),"ALLAN MARK D. LABRADOR")</f>
        <v>ALLAN MARK D. LABRADOR</v>
      </c>
      <c r="L2812" s="164"/>
      <c r="M2812" s="164" t="str">
        <f ca="1">IFERROR(__xludf.DUMMYFUNCTION("""COMPUTED_VALUE"""),"SERVICEABLE")</f>
        <v>SERVICEABLE</v>
      </c>
      <c r="N2812" s="164"/>
    </row>
    <row r="2813" spans="1:14" ht="13.2" hidden="1">
      <c r="A2813" s="164" t="str">
        <f ca="1">IFERROR(__xludf.DUMMYFUNCTION("""COMPUTED_VALUE"""),"NIR")</f>
        <v>NIR</v>
      </c>
      <c r="B2813" s="164" t="str">
        <f ca="1">IFERROR(__xludf.DUMMYFUNCTION("""COMPUTED_VALUE"""),"Negros Occidental II")</f>
        <v>Negros Occidental II</v>
      </c>
      <c r="C2813" s="164" t="str">
        <f ca="1">IFERROR(__xludf.DUMMYFUNCTION("""COMPUTED_VALUE"""),"Motorcycle – (Honda XRL 150)")</f>
        <v>Motorcycle – (Honda XRL 150)</v>
      </c>
      <c r="D2813" s="164" t="str">
        <f ca="1">IFERROR(__xludf.DUMMYFUNCTION("""COMPUTED_VALUE"""),"₱ 124,900.00")</f>
        <v>₱ 124,900.00</v>
      </c>
      <c r="E2813" s="164"/>
      <c r="F2813" s="164" t="str">
        <f ca="1">IFERROR(__xludf.DUMMYFUNCTION("""COMPUTED_VALUE"""),"2023-06-01-10202SP322-01")</f>
        <v>2023-06-01-10202SP322-01</v>
      </c>
      <c r="G2813" s="164"/>
      <c r="H2813" s="164" t="str">
        <f ca="1">IFERROR(__xludf.DUMMYFUNCTION("""COMPUTED_VALUE"""),"LOUIE G. DEMISANA")</f>
        <v>LOUIE G. DEMISANA</v>
      </c>
      <c r="I2813" s="164" t="str">
        <f ca="1">IFERROR(__xludf.DUMMYFUNCTION("""COMPUTED_VALUE"""),"ARPT")</f>
        <v>ARPT</v>
      </c>
      <c r="J2813" s="164" t="str">
        <f ca="1">IFERROR(__xludf.DUMMYFUNCTION("""COMPUTED_VALUE"""),"PTR 2023-02-017")</f>
        <v>PTR 2023-02-017</v>
      </c>
      <c r="K2813" s="164" t="str">
        <f ca="1">IFERROR(__xludf.DUMMYFUNCTION("""COMPUTED_VALUE"""),"LOUIE G. DEMISANA")</f>
        <v>LOUIE G. DEMISANA</v>
      </c>
      <c r="L2813" s="164"/>
      <c r="M2813" s="164" t="str">
        <f ca="1">IFERROR(__xludf.DUMMYFUNCTION("""COMPUTED_VALUE"""),"SERVICEABLE")</f>
        <v>SERVICEABLE</v>
      </c>
      <c r="N2813" s="164"/>
    </row>
    <row r="2814" spans="1:14" ht="13.2" hidden="1">
      <c r="A2814" s="164" t="str">
        <f ca="1">IFERROR(__xludf.DUMMYFUNCTION("""COMPUTED_VALUE"""),"NIR")</f>
        <v>NIR</v>
      </c>
      <c r="B2814" s="164" t="str">
        <f ca="1">IFERROR(__xludf.DUMMYFUNCTION("""COMPUTED_VALUE"""),"Negros Occidental II")</f>
        <v>Negros Occidental II</v>
      </c>
      <c r="C2814" s="164" t="str">
        <f ca="1">IFERROR(__xludf.DUMMYFUNCTION("""COMPUTED_VALUE"""),"Motorcycle – (Honda XRL 150)")</f>
        <v>Motorcycle – (Honda XRL 150)</v>
      </c>
      <c r="D2814" s="164" t="str">
        <f ca="1">IFERROR(__xludf.DUMMYFUNCTION("""COMPUTED_VALUE"""),"₱ 124,900.00")</f>
        <v>₱ 124,900.00</v>
      </c>
      <c r="E2814" s="164"/>
      <c r="F2814" s="164" t="str">
        <f ca="1">IFERROR(__xludf.DUMMYFUNCTION("""COMPUTED_VALUE"""),"2023-06-01-10202SP317-01")</f>
        <v>2023-06-01-10202SP317-01</v>
      </c>
      <c r="G2814" s="164"/>
      <c r="H2814" s="164" t="str">
        <f ca="1">IFERROR(__xludf.DUMMYFUNCTION("""COMPUTED_VALUE"""),"RODRIGO L. TIZON JR.")</f>
        <v>RODRIGO L. TIZON JR.</v>
      </c>
      <c r="I2814" s="164" t="str">
        <f ca="1">IFERROR(__xludf.DUMMYFUNCTION("""COMPUTED_VALUE"""),"SARPT")</f>
        <v>SARPT</v>
      </c>
      <c r="J2814" s="164" t="str">
        <f ca="1">IFERROR(__xludf.DUMMYFUNCTION("""COMPUTED_VALUE"""),"PTR 2023-02-017")</f>
        <v>PTR 2023-02-017</v>
      </c>
      <c r="K2814" s="164" t="str">
        <f ca="1">IFERROR(__xludf.DUMMYFUNCTION("""COMPUTED_VALUE"""),"RODRIGO L. TIZON JR.")</f>
        <v>RODRIGO L. TIZON JR.</v>
      </c>
      <c r="L2814" s="164"/>
      <c r="M2814" s="164" t="str">
        <f ca="1">IFERROR(__xludf.DUMMYFUNCTION("""COMPUTED_VALUE"""),"SERVICEABLE")</f>
        <v>SERVICEABLE</v>
      </c>
      <c r="N2814" s="164"/>
    </row>
    <row r="2815" spans="1:14" ht="13.2" hidden="1">
      <c r="A2815" s="164" t="str">
        <f ca="1">IFERROR(__xludf.DUMMYFUNCTION("""COMPUTED_VALUE"""),"NIR")</f>
        <v>NIR</v>
      </c>
      <c r="B2815" s="164" t="str">
        <f ca="1">IFERROR(__xludf.DUMMYFUNCTION("""COMPUTED_VALUE"""),"Negros Occidental II")</f>
        <v>Negros Occidental II</v>
      </c>
      <c r="C2815" s="164" t="str">
        <f ca="1">IFERROR(__xludf.DUMMYFUNCTION("""COMPUTED_VALUE"""),"Motorcycle – (Honda XRL 150)")</f>
        <v>Motorcycle – (Honda XRL 150)</v>
      </c>
      <c r="D2815" s="164" t="str">
        <f ca="1">IFERROR(__xludf.DUMMYFUNCTION("""COMPUTED_VALUE"""),"₱ 124,900.00")</f>
        <v>₱ 124,900.00</v>
      </c>
      <c r="E2815" s="164"/>
      <c r="F2815" s="164" t="str">
        <f ca="1">IFERROR(__xludf.DUMMYFUNCTION("""COMPUTED_VALUE"""),"2023-06-01-10202SP328-01")</f>
        <v>2023-06-01-10202SP328-01</v>
      </c>
      <c r="G2815" s="164"/>
      <c r="H2815" s="164" t="str">
        <f ca="1">IFERROR(__xludf.DUMMYFUNCTION("""COMPUTED_VALUE"""),"GIBSON B. ZAYCO")</f>
        <v>GIBSON B. ZAYCO</v>
      </c>
      <c r="I2815" s="164" t="str">
        <f ca="1">IFERROR(__xludf.DUMMYFUNCTION("""COMPUTED_VALUE"""),"ARPT")</f>
        <v>ARPT</v>
      </c>
      <c r="J2815" s="164" t="str">
        <f ca="1">IFERROR(__xludf.DUMMYFUNCTION("""COMPUTED_VALUE"""),"PTR 2023-02-016")</f>
        <v>PTR 2023-02-016</v>
      </c>
      <c r="K2815" s="164" t="str">
        <f ca="1">IFERROR(__xludf.DUMMYFUNCTION("""COMPUTED_VALUE"""),"GIBSON B. ZAYCO")</f>
        <v>GIBSON B. ZAYCO</v>
      </c>
      <c r="L2815" s="164"/>
      <c r="M2815" s="164" t="str">
        <f ca="1">IFERROR(__xludf.DUMMYFUNCTION("""COMPUTED_VALUE"""),"SERVICEABLE")</f>
        <v>SERVICEABLE</v>
      </c>
      <c r="N2815" s="164"/>
    </row>
    <row r="2816" spans="1:14" ht="13.2" hidden="1">
      <c r="A2816" s="164" t="str">
        <f ca="1">IFERROR(__xludf.DUMMYFUNCTION("""COMPUTED_VALUE"""),"NIR")</f>
        <v>NIR</v>
      </c>
      <c r="B2816" s="164" t="str">
        <f ca="1">IFERROR(__xludf.DUMMYFUNCTION("""COMPUTED_VALUE"""),"Negros Occidental II")</f>
        <v>Negros Occidental II</v>
      </c>
      <c r="C2816" s="164" t="str">
        <f ca="1">IFERROR(__xludf.DUMMYFUNCTION("""COMPUTED_VALUE"""),"Motorcycle – (Honda XRL 150)")</f>
        <v>Motorcycle – (Honda XRL 150)</v>
      </c>
      <c r="D2816" s="164" t="str">
        <f ca="1">IFERROR(__xludf.DUMMYFUNCTION("""COMPUTED_VALUE"""),"₱ 124,900.00")</f>
        <v>₱ 124,900.00</v>
      </c>
      <c r="E2816" s="164"/>
      <c r="F2816" s="164" t="str">
        <f ca="1">IFERROR(__xludf.DUMMYFUNCTION("""COMPUTED_VALUE"""),"2023-06-01-10202SP307-01")</f>
        <v>2023-06-01-10202SP307-01</v>
      </c>
      <c r="G2816" s="164"/>
      <c r="H2816" s="164" t="str">
        <f ca="1">IFERROR(__xludf.DUMMYFUNCTION("""COMPUTED_VALUE"""),"CHRISTIAN RIZALDY J. TAURO")</f>
        <v>CHRISTIAN RIZALDY J. TAURO</v>
      </c>
      <c r="I2816" s="164" t="str">
        <f ca="1">IFERROR(__xludf.DUMMYFUNCTION("""COMPUTED_VALUE"""),"ARPT")</f>
        <v>ARPT</v>
      </c>
      <c r="J2816" s="164" t="str">
        <f ca="1">IFERROR(__xludf.DUMMYFUNCTION("""COMPUTED_VALUE"""),"PTR 2023-02-015")</f>
        <v>PTR 2023-02-015</v>
      </c>
      <c r="K2816" s="164" t="str">
        <f ca="1">IFERROR(__xludf.DUMMYFUNCTION("""COMPUTED_VALUE"""),"CHRISTIAN RIZALDY J. TAURO")</f>
        <v>CHRISTIAN RIZALDY J. TAURO</v>
      </c>
      <c r="L2816" s="164"/>
      <c r="M2816" s="164" t="str">
        <f ca="1">IFERROR(__xludf.DUMMYFUNCTION("""COMPUTED_VALUE"""),"SERVICEABLE")</f>
        <v>SERVICEABLE</v>
      </c>
      <c r="N2816" s="164"/>
    </row>
    <row r="2817" spans="1:14" ht="13.2" hidden="1">
      <c r="A2817" s="164" t="str">
        <f ca="1">IFERROR(__xludf.DUMMYFUNCTION("""COMPUTED_VALUE"""),"NIR")</f>
        <v>NIR</v>
      </c>
      <c r="B2817" s="164" t="str">
        <f ca="1">IFERROR(__xludf.DUMMYFUNCTION("""COMPUTED_VALUE"""),"Negros Occidental II")</f>
        <v>Negros Occidental II</v>
      </c>
      <c r="C2817" s="164" t="str">
        <f ca="1">IFERROR(__xludf.DUMMYFUNCTION("""COMPUTED_VALUE"""),"Motorcycle – (Honda XRL 150)")</f>
        <v>Motorcycle – (Honda XRL 150)</v>
      </c>
      <c r="D2817" s="164" t="str">
        <f ca="1">IFERROR(__xludf.DUMMYFUNCTION("""COMPUTED_VALUE"""),"₱ 124,900.00")</f>
        <v>₱ 124,900.00</v>
      </c>
      <c r="E2817" s="164"/>
      <c r="F2817" s="164" t="str">
        <f ca="1">IFERROR(__xludf.DUMMYFUNCTION("""COMPUTED_VALUE"""),"2023-06-01-10202SP331-01")</f>
        <v>2023-06-01-10202SP331-01</v>
      </c>
      <c r="G2817" s="164"/>
      <c r="H2817" s="164" t="str">
        <f ca="1">IFERROR(__xludf.DUMMYFUNCTION("""COMPUTED_VALUE"""),"CHRIS C. CABALFIN")</f>
        <v>CHRIS C. CABALFIN</v>
      </c>
      <c r="I2817" s="164" t="str">
        <f ca="1">IFERROR(__xludf.DUMMYFUNCTION("""COMPUTED_VALUE"""),"SARPT")</f>
        <v>SARPT</v>
      </c>
      <c r="J2817" s="164" t="str">
        <f ca="1">IFERROR(__xludf.DUMMYFUNCTION("""COMPUTED_VALUE"""),"PTR 2023-02-016")</f>
        <v>PTR 2023-02-016</v>
      </c>
      <c r="K2817" s="164" t="str">
        <f ca="1">IFERROR(__xludf.DUMMYFUNCTION("""COMPUTED_VALUE"""),"CHRIS C. CABALFIN")</f>
        <v>CHRIS C. CABALFIN</v>
      </c>
      <c r="L2817" s="164"/>
      <c r="M2817" s="164" t="str">
        <f ca="1">IFERROR(__xludf.DUMMYFUNCTION("""COMPUTED_VALUE"""),"SERVICEABLE")</f>
        <v>SERVICEABLE</v>
      </c>
      <c r="N2817" s="164"/>
    </row>
    <row r="2818" spans="1:14" ht="13.2" hidden="1">
      <c r="A2818" s="164" t="str">
        <f ca="1">IFERROR(__xludf.DUMMYFUNCTION("""COMPUTED_VALUE"""),"NIR")</f>
        <v>NIR</v>
      </c>
      <c r="B2818" s="164" t="str">
        <f ca="1">IFERROR(__xludf.DUMMYFUNCTION("""COMPUTED_VALUE"""),"Negros Occidental II")</f>
        <v>Negros Occidental II</v>
      </c>
      <c r="C2818" s="164" t="str">
        <f ca="1">IFERROR(__xludf.DUMMYFUNCTION("""COMPUTED_VALUE"""),"Motorcycle – (Honda XRL 150)")</f>
        <v>Motorcycle – (Honda XRL 150)</v>
      </c>
      <c r="D2818" s="164" t="str">
        <f ca="1">IFERROR(__xludf.DUMMYFUNCTION("""COMPUTED_VALUE"""),"₱ 124,900.00")</f>
        <v>₱ 124,900.00</v>
      </c>
      <c r="E2818" s="164"/>
      <c r="F2818" s="164" t="str">
        <f ca="1">IFERROR(__xludf.DUMMYFUNCTION("""COMPUTED_VALUE"""),"2023-06-01-10202SP319-01")</f>
        <v>2023-06-01-10202SP319-01</v>
      </c>
      <c r="G2818" s="164"/>
      <c r="H2818" s="164" t="str">
        <f ca="1">IFERROR(__xludf.DUMMYFUNCTION("""COMPUTED_VALUE"""),"NORMAN RHYS R. ISRAEL")</f>
        <v>NORMAN RHYS R. ISRAEL</v>
      </c>
      <c r="I2818" s="164" t="str">
        <f ca="1">IFERROR(__xludf.DUMMYFUNCTION("""COMPUTED_VALUE"""),"ASSISTANT STATISTICIAN")</f>
        <v>ASSISTANT STATISTICIAN</v>
      </c>
      <c r="J2818" s="164" t="str">
        <f ca="1">IFERROR(__xludf.DUMMYFUNCTION("""COMPUTED_VALUE"""),"PTR 2023-02-017")</f>
        <v>PTR 2023-02-017</v>
      </c>
      <c r="K2818" s="164" t="str">
        <f ca="1">IFERROR(__xludf.DUMMYFUNCTION("""COMPUTED_VALUE"""),"NORMAN RHYS R. ISRAEL")</f>
        <v>NORMAN RHYS R. ISRAEL</v>
      </c>
      <c r="L2818" s="164"/>
      <c r="M2818" s="164" t="str">
        <f ca="1">IFERROR(__xludf.DUMMYFUNCTION("""COMPUTED_VALUE"""),"SERVICEABLE")</f>
        <v>SERVICEABLE</v>
      </c>
      <c r="N2818" s="164"/>
    </row>
    <row r="2819" spans="1:14" ht="13.2" hidden="1">
      <c r="A2819" s="164" t="str">
        <f ca="1">IFERROR(__xludf.DUMMYFUNCTION("""COMPUTED_VALUE"""),"NIR")</f>
        <v>NIR</v>
      </c>
      <c r="B2819" s="164" t="str">
        <f ca="1">IFERROR(__xludf.DUMMYFUNCTION("""COMPUTED_VALUE"""),"Negros Occidental II")</f>
        <v>Negros Occidental II</v>
      </c>
      <c r="C2819" s="164" t="str">
        <f ca="1">IFERROR(__xludf.DUMMYFUNCTION("""COMPUTED_VALUE"""),"Motorcycle – (Honda XRL 150)")</f>
        <v>Motorcycle – (Honda XRL 150)</v>
      </c>
      <c r="D2819" s="164" t="str">
        <f ca="1">IFERROR(__xludf.DUMMYFUNCTION("""COMPUTED_VALUE"""),"₱ 124,900.00")</f>
        <v>₱ 124,900.00</v>
      </c>
      <c r="E2819" s="164"/>
      <c r="F2819" s="164" t="str">
        <f ca="1">IFERROR(__xludf.DUMMYFUNCTION("""COMPUTED_VALUE"""),"2023-06-01-10202SP321-01")</f>
        <v>2023-06-01-10202SP321-01</v>
      </c>
      <c r="G2819" s="164"/>
      <c r="H2819" s="164" t="str">
        <f ca="1">IFERROR(__xludf.DUMMYFUNCTION("""COMPUTED_VALUE"""),"ALAN V. CUADRAS")</f>
        <v>ALAN V. CUADRAS</v>
      </c>
      <c r="I2819" s="164" t="str">
        <f ca="1">IFERROR(__xludf.DUMMYFUNCTION("""COMPUTED_VALUE"""),"ARPT")</f>
        <v>ARPT</v>
      </c>
      <c r="J2819" s="164" t="str">
        <f ca="1">IFERROR(__xludf.DUMMYFUNCTION("""COMPUTED_VALUE"""),"PTR 2023-02-017")</f>
        <v>PTR 2023-02-017</v>
      </c>
      <c r="K2819" s="164" t="str">
        <f ca="1">IFERROR(__xludf.DUMMYFUNCTION("""COMPUTED_VALUE"""),"ALAN V. CUADRAS")</f>
        <v>ALAN V. CUADRAS</v>
      </c>
      <c r="L2819" s="164"/>
      <c r="M2819" s="164" t="str">
        <f ca="1">IFERROR(__xludf.DUMMYFUNCTION("""COMPUTED_VALUE"""),"SERVICEABLE")</f>
        <v>SERVICEABLE</v>
      </c>
      <c r="N2819" s="164"/>
    </row>
    <row r="2820" spans="1:14" ht="13.2" hidden="1">
      <c r="A2820" s="164" t="str">
        <f ca="1">IFERROR(__xludf.DUMMYFUNCTION("""COMPUTED_VALUE"""),"NIR")</f>
        <v>NIR</v>
      </c>
      <c r="B2820" s="164" t="str">
        <f ca="1">IFERROR(__xludf.DUMMYFUNCTION("""COMPUTED_VALUE"""),"Negros Occidental II")</f>
        <v>Negros Occidental II</v>
      </c>
      <c r="C2820" s="164" t="str">
        <f ca="1">IFERROR(__xludf.DUMMYFUNCTION("""COMPUTED_VALUE"""),"Motorcycle – (Honda XRL 150)")</f>
        <v>Motorcycle – (Honda XRL 150)</v>
      </c>
      <c r="D2820" s="164" t="str">
        <f ca="1">IFERROR(__xludf.DUMMYFUNCTION("""COMPUTED_VALUE"""),"₱ 124,900.00")</f>
        <v>₱ 124,900.00</v>
      </c>
      <c r="E2820" s="164"/>
      <c r="F2820" s="164" t="str">
        <f ca="1">IFERROR(__xludf.DUMMYFUNCTION("""COMPUTED_VALUE"""),"2023-06-01-10202SP323-01")</f>
        <v>2023-06-01-10202SP323-01</v>
      </c>
      <c r="G2820" s="164"/>
      <c r="H2820" s="164" t="str">
        <f ca="1">IFERROR(__xludf.DUMMYFUNCTION("""COMPUTED_VALUE"""),"LORLIE M. CABREROS")</f>
        <v>LORLIE M. CABREROS</v>
      </c>
      <c r="I2820" s="164" t="str">
        <f ca="1">IFERROR(__xludf.DUMMYFUNCTION("""COMPUTED_VALUE"""),"ARPT")</f>
        <v>ARPT</v>
      </c>
      <c r="J2820" s="164" t="str">
        <f ca="1">IFERROR(__xludf.DUMMYFUNCTION("""COMPUTED_VALUE"""),"PTR 2023-02-016")</f>
        <v>PTR 2023-02-016</v>
      </c>
      <c r="K2820" s="164" t="str">
        <f ca="1">IFERROR(__xludf.DUMMYFUNCTION("""COMPUTED_VALUE"""),"LORLIE M. CABREROS")</f>
        <v>LORLIE M. CABREROS</v>
      </c>
      <c r="L2820" s="164"/>
      <c r="M2820" s="164" t="str">
        <f ca="1">IFERROR(__xludf.DUMMYFUNCTION("""COMPUTED_VALUE"""),"SERVICEABLE")</f>
        <v>SERVICEABLE</v>
      </c>
      <c r="N2820" s="164"/>
    </row>
    <row r="2821" spans="1:14" ht="13.2" hidden="1">
      <c r="A2821" s="164" t="str">
        <f ca="1">IFERROR(__xludf.DUMMYFUNCTION("""COMPUTED_VALUE"""),"NIR")</f>
        <v>NIR</v>
      </c>
      <c r="B2821" s="164" t="str">
        <f ca="1">IFERROR(__xludf.DUMMYFUNCTION("""COMPUTED_VALUE"""),"Negros Occidental II")</f>
        <v>Negros Occidental II</v>
      </c>
      <c r="C2821" s="164" t="str">
        <f ca="1">IFERROR(__xludf.DUMMYFUNCTION("""COMPUTED_VALUE"""),"Motorcycle – (Honda XRL 150)")</f>
        <v>Motorcycle – (Honda XRL 150)</v>
      </c>
      <c r="D2821" s="164" t="str">
        <f ca="1">IFERROR(__xludf.DUMMYFUNCTION("""COMPUTED_VALUE"""),"₱ 124,900.00")</f>
        <v>₱ 124,900.00</v>
      </c>
      <c r="E2821" s="164"/>
      <c r="F2821" s="164" t="str">
        <f ca="1">IFERROR(__xludf.DUMMYFUNCTION("""COMPUTED_VALUE"""),"2023-06-01-10202SP325-01")</f>
        <v>2023-06-01-10202SP325-01</v>
      </c>
      <c r="G2821" s="164"/>
      <c r="H2821" s="164" t="str">
        <f ca="1">IFERROR(__xludf.DUMMYFUNCTION("""COMPUTED_VALUE"""),"GERARD REY T. ABAD")</f>
        <v>GERARD REY T. ABAD</v>
      </c>
      <c r="I2821" s="164" t="str">
        <f ca="1">IFERROR(__xludf.DUMMYFUNCTION("""COMPUTED_VALUE"""),"ARPT")</f>
        <v>ARPT</v>
      </c>
      <c r="J2821" s="164" t="str">
        <f ca="1">IFERROR(__xludf.DUMMYFUNCTION("""COMPUTED_VALUE"""),"PTR 2023-02-016")</f>
        <v>PTR 2023-02-016</v>
      </c>
      <c r="K2821" s="164" t="str">
        <f ca="1">IFERROR(__xludf.DUMMYFUNCTION("""COMPUTED_VALUE"""),"GERARD REY T. ABAD")</f>
        <v>GERARD REY T. ABAD</v>
      </c>
      <c r="L2821" s="164"/>
      <c r="M2821" s="164" t="str">
        <f ca="1">IFERROR(__xludf.DUMMYFUNCTION("""COMPUTED_VALUE"""),"SERVICEABLE")</f>
        <v>SERVICEABLE</v>
      </c>
      <c r="N2821" s="164"/>
    </row>
    <row r="2822" spans="1:14" ht="13.2" hidden="1">
      <c r="A2822" s="164" t="str">
        <f ca="1">IFERROR(__xludf.DUMMYFUNCTION("""COMPUTED_VALUE"""),"NIR")</f>
        <v>NIR</v>
      </c>
      <c r="B2822" s="164" t="str">
        <f ca="1">IFERROR(__xludf.DUMMYFUNCTION("""COMPUTED_VALUE"""),"Negros Occidental II")</f>
        <v>Negros Occidental II</v>
      </c>
      <c r="C2822" s="164" t="str">
        <f ca="1">IFERROR(__xludf.DUMMYFUNCTION("""COMPUTED_VALUE"""),"Motorcycle – (Honda XRL 150)")</f>
        <v>Motorcycle – (Honda XRL 150)</v>
      </c>
      <c r="D2822" s="164" t="str">
        <f ca="1">IFERROR(__xludf.DUMMYFUNCTION("""COMPUTED_VALUE"""),"₱ 124,900.00")</f>
        <v>₱ 124,900.00</v>
      </c>
      <c r="E2822" s="164"/>
      <c r="F2822" s="164" t="str">
        <f ca="1">IFERROR(__xludf.DUMMYFUNCTION("""COMPUTED_VALUE"""),"2023-06-01-10202SP327-01")</f>
        <v>2023-06-01-10202SP327-01</v>
      </c>
      <c r="G2822" s="164"/>
      <c r="H2822" s="164" t="str">
        <f ca="1">IFERROR(__xludf.DUMMYFUNCTION("""COMPUTED_VALUE"""),"DANEL P. CORSANES")</f>
        <v>DANEL P. CORSANES</v>
      </c>
      <c r="I2822" s="164" t="str">
        <f ca="1">IFERROR(__xludf.DUMMYFUNCTION("""COMPUTED_VALUE"""),"ARPT")</f>
        <v>ARPT</v>
      </c>
      <c r="J2822" s="164" t="str">
        <f ca="1">IFERROR(__xludf.DUMMYFUNCTION("""COMPUTED_VALUE"""),"PTR 2023-02-016")</f>
        <v>PTR 2023-02-016</v>
      </c>
      <c r="K2822" s="164" t="str">
        <f ca="1">IFERROR(__xludf.DUMMYFUNCTION("""COMPUTED_VALUE"""),"DANEL P. CORSANES")</f>
        <v>DANEL P. CORSANES</v>
      </c>
      <c r="L2822" s="164"/>
      <c r="M2822" s="164" t="str">
        <f ca="1">IFERROR(__xludf.DUMMYFUNCTION("""COMPUTED_VALUE"""),"SERVICEABLE")</f>
        <v>SERVICEABLE</v>
      </c>
      <c r="N2822" s="164"/>
    </row>
    <row r="2823" spans="1:14" ht="13.2" hidden="1">
      <c r="A2823" s="164" t="str">
        <f ca="1">IFERROR(__xludf.DUMMYFUNCTION("""COMPUTED_VALUE"""),"NIR")</f>
        <v>NIR</v>
      </c>
      <c r="B2823" s="164" t="str">
        <f ca="1">IFERROR(__xludf.DUMMYFUNCTION("""COMPUTED_VALUE"""),"Negros Occidental II")</f>
        <v>Negros Occidental II</v>
      </c>
      <c r="C2823" s="164" t="str">
        <f ca="1">IFERROR(__xludf.DUMMYFUNCTION("""COMPUTED_VALUE"""),"Motorcycle – (Honda XRL 150)")</f>
        <v>Motorcycle – (Honda XRL 150)</v>
      </c>
      <c r="D2823" s="164" t="str">
        <f ca="1">IFERROR(__xludf.DUMMYFUNCTION("""COMPUTED_VALUE"""),"₱ 124,900.00")</f>
        <v>₱ 124,900.00</v>
      </c>
      <c r="E2823" s="164"/>
      <c r="F2823" s="164" t="str">
        <f ca="1">IFERROR(__xludf.DUMMYFUNCTION("""COMPUTED_VALUE"""),"2023-06-01-10202SP332-01")</f>
        <v>2023-06-01-10202SP332-01</v>
      </c>
      <c r="G2823" s="164"/>
      <c r="H2823" s="164" t="str">
        <f ca="1">IFERROR(__xludf.DUMMYFUNCTION("""COMPUTED_VALUE"""),"JOHN MICHAEL C. ANORAN")</f>
        <v>JOHN MICHAEL C. ANORAN</v>
      </c>
      <c r="I2823" s="164" t="str">
        <f ca="1">IFERROR(__xludf.DUMMYFUNCTION("""COMPUTED_VALUE"""),"SARPT")</f>
        <v>SARPT</v>
      </c>
      <c r="J2823" s="164" t="str">
        <f ca="1">IFERROR(__xludf.DUMMYFUNCTION("""COMPUTED_VALUE"""),"PTR 2023-02-016")</f>
        <v>PTR 2023-02-016</v>
      </c>
      <c r="K2823" s="164" t="str">
        <f ca="1">IFERROR(__xludf.DUMMYFUNCTION("""COMPUTED_VALUE"""),"JOHN MICHAEL C. ANORAN")</f>
        <v>JOHN MICHAEL C. ANORAN</v>
      </c>
      <c r="L2823" s="164"/>
      <c r="M2823" s="164" t="str">
        <f ca="1">IFERROR(__xludf.DUMMYFUNCTION("""COMPUTED_VALUE"""),"SERVICEABLE")</f>
        <v>SERVICEABLE</v>
      </c>
      <c r="N2823" s="164"/>
    </row>
    <row r="2824" spans="1:14" ht="13.2" hidden="1">
      <c r="A2824" s="164" t="str">
        <f ca="1">IFERROR(__xludf.DUMMYFUNCTION("""COMPUTED_VALUE"""),"NIR")</f>
        <v>NIR</v>
      </c>
      <c r="B2824" s="164" t="str">
        <f ca="1">IFERROR(__xludf.DUMMYFUNCTION("""COMPUTED_VALUE"""),"Negros Occidental II")</f>
        <v>Negros Occidental II</v>
      </c>
      <c r="C2824" s="164" t="str">
        <f ca="1">IFERROR(__xludf.DUMMYFUNCTION("""COMPUTED_VALUE"""),"Motorcycle – (Honda XRL 150)")</f>
        <v>Motorcycle – (Honda XRL 150)</v>
      </c>
      <c r="D2824" s="164" t="str">
        <f ca="1">IFERROR(__xludf.DUMMYFUNCTION("""COMPUTED_VALUE"""),"₱ 124,900.00")</f>
        <v>₱ 124,900.00</v>
      </c>
      <c r="E2824" s="164"/>
      <c r="F2824" s="164" t="str">
        <f ca="1">IFERROR(__xludf.DUMMYFUNCTION("""COMPUTED_VALUE"""),"2023-06-01-10202SP305-01")</f>
        <v>2023-06-01-10202SP305-01</v>
      </c>
      <c r="G2824" s="164"/>
      <c r="H2824" s="164" t="str">
        <f ca="1">IFERROR(__xludf.DUMMYFUNCTION("""COMPUTED_VALUE"""),"MARTIN F. CABRALES")</f>
        <v>MARTIN F. CABRALES</v>
      </c>
      <c r="I2824" s="164" t="str">
        <f ca="1">IFERROR(__xludf.DUMMYFUNCTION("""COMPUTED_VALUE"""),"ARPT")</f>
        <v>ARPT</v>
      </c>
      <c r="J2824" s="164" t="str">
        <f ca="1">IFERROR(__xludf.DUMMYFUNCTION("""COMPUTED_VALUE"""),"PTR 2023-02-015")</f>
        <v>PTR 2023-02-015</v>
      </c>
      <c r="K2824" s="164" t="str">
        <f ca="1">IFERROR(__xludf.DUMMYFUNCTION("""COMPUTED_VALUE"""),"MARTIN F. CABRALES")</f>
        <v>MARTIN F. CABRALES</v>
      </c>
      <c r="L2824" s="164"/>
      <c r="M2824" s="164" t="str">
        <f ca="1">IFERROR(__xludf.DUMMYFUNCTION("""COMPUTED_VALUE"""),"SERVICEABLE")</f>
        <v>SERVICEABLE</v>
      </c>
      <c r="N2824" s="164"/>
    </row>
    <row r="2825" spans="1:14" ht="13.2" hidden="1">
      <c r="A2825" s="164" t="str">
        <f ca="1">IFERROR(__xludf.DUMMYFUNCTION("""COMPUTED_VALUE"""),"NIR")</f>
        <v>NIR</v>
      </c>
      <c r="B2825" s="164" t="str">
        <f ca="1">IFERROR(__xludf.DUMMYFUNCTION("""COMPUTED_VALUE"""),"Negros Occidental II")</f>
        <v>Negros Occidental II</v>
      </c>
      <c r="C2825" s="164" t="str">
        <f ca="1">IFERROR(__xludf.DUMMYFUNCTION("""COMPUTED_VALUE"""),"Motorcycle – (Honda XRL 150)")</f>
        <v>Motorcycle – (Honda XRL 150)</v>
      </c>
      <c r="D2825" s="164" t="str">
        <f ca="1">IFERROR(__xludf.DUMMYFUNCTION("""COMPUTED_VALUE"""),"₱ 124,900.00")</f>
        <v>₱ 124,900.00</v>
      </c>
      <c r="E2825" s="164"/>
      <c r="F2825" s="164" t="str">
        <f ca="1">IFERROR(__xludf.DUMMYFUNCTION("""COMPUTED_VALUE"""),"2023-06-01-10202SP308-01")</f>
        <v>2023-06-01-10202SP308-01</v>
      </c>
      <c r="G2825" s="164"/>
      <c r="H2825" s="164" t="str">
        <f ca="1">IFERROR(__xludf.DUMMYFUNCTION("""COMPUTED_VALUE"""),"JORGIELYN C. SERFINO")</f>
        <v>JORGIELYN C. SERFINO</v>
      </c>
      <c r="I2825" s="164" t="str">
        <f ca="1">IFERROR(__xludf.DUMMYFUNCTION("""COMPUTED_VALUE"""),"SARPT")</f>
        <v>SARPT</v>
      </c>
      <c r="J2825" s="164" t="str">
        <f ca="1">IFERROR(__xludf.DUMMYFUNCTION("""COMPUTED_VALUE"""),"PTR 2023-02-015")</f>
        <v>PTR 2023-02-015</v>
      </c>
      <c r="K2825" s="164" t="str">
        <f ca="1">IFERROR(__xludf.DUMMYFUNCTION("""COMPUTED_VALUE"""),"JORGIELYN C. SERFINO")</f>
        <v>JORGIELYN C. SERFINO</v>
      </c>
      <c r="L2825" s="164"/>
      <c r="M2825" s="164" t="str">
        <f ca="1">IFERROR(__xludf.DUMMYFUNCTION("""COMPUTED_VALUE"""),"SERVICEABLE")</f>
        <v>SERVICEABLE</v>
      </c>
      <c r="N2825" s="164"/>
    </row>
    <row r="2826" spans="1:14" ht="13.2" hidden="1">
      <c r="A2826" s="164" t="str">
        <f ca="1">IFERROR(__xludf.DUMMYFUNCTION("""COMPUTED_VALUE"""),"NIR")</f>
        <v>NIR</v>
      </c>
      <c r="B2826" s="164" t="str">
        <f ca="1">IFERROR(__xludf.DUMMYFUNCTION("""COMPUTED_VALUE"""),"Negros Occidental II")</f>
        <v>Negros Occidental II</v>
      </c>
      <c r="C2826" s="164" t="str">
        <f ca="1">IFERROR(__xludf.DUMMYFUNCTION("""COMPUTED_VALUE"""),"Motorcycle – (Honda XRL 150)")</f>
        <v>Motorcycle – (Honda XRL 150)</v>
      </c>
      <c r="D2826" s="164" t="str">
        <f ca="1">IFERROR(__xludf.DUMMYFUNCTION("""COMPUTED_VALUE"""),"₱ 124,900.00")</f>
        <v>₱ 124,900.00</v>
      </c>
      <c r="E2826" s="164"/>
      <c r="F2826" s="164" t="str">
        <f ca="1">IFERROR(__xludf.DUMMYFUNCTION("""COMPUTED_VALUE"""),"2023-06-01-10202SP329-01")</f>
        <v>2023-06-01-10202SP329-01</v>
      </c>
      <c r="G2826" s="164"/>
      <c r="H2826" s="164" t="str">
        <f ca="1">IFERROR(__xludf.DUMMYFUNCTION("""COMPUTED_VALUE"""),"JULYNA H. TABUJARA")</f>
        <v>JULYNA H. TABUJARA</v>
      </c>
      <c r="I2826" s="164" t="str">
        <f ca="1">IFERROR(__xludf.DUMMYFUNCTION("""COMPUTED_VALUE"""),"ARPT")</f>
        <v>ARPT</v>
      </c>
      <c r="J2826" s="164" t="str">
        <f ca="1">IFERROR(__xludf.DUMMYFUNCTION("""COMPUTED_VALUE"""),"PTR 2023-02-016")</f>
        <v>PTR 2023-02-016</v>
      </c>
      <c r="K2826" s="164" t="str">
        <f ca="1">IFERROR(__xludf.DUMMYFUNCTION("""COMPUTED_VALUE"""),"JULYNA H. TABUJARA")</f>
        <v>JULYNA H. TABUJARA</v>
      </c>
      <c r="L2826" s="164"/>
      <c r="M2826" s="164" t="str">
        <f ca="1">IFERROR(__xludf.DUMMYFUNCTION("""COMPUTED_VALUE"""),"SERVICEABLE")</f>
        <v>SERVICEABLE</v>
      </c>
      <c r="N2826" s="164"/>
    </row>
    <row r="2827" spans="1:14" ht="13.2" hidden="1">
      <c r="A2827" s="164" t="str">
        <f ca="1">IFERROR(__xludf.DUMMYFUNCTION("""COMPUTED_VALUE"""),"NIR")</f>
        <v>NIR</v>
      </c>
      <c r="B2827" s="164" t="str">
        <f ca="1">IFERROR(__xludf.DUMMYFUNCTION("""COMPUTED_VALUE"""),"Negros Oriental")</f>
        <v>Negros Oriental</v>
      </c>
      <c r="C2827" s="164" t="str">
        <f ca="1">IFERROR(__xludf.DUMMYFUNCTION("""COMPUTED_VALUE"""),"Motorcycle – (Honda XRL 150)")</f>
        <v>Motorcycle – (Honda XRL 150)</v>
      </c>
      <c r="D2827" s="164" t="str">
        <f ca="1">IFERROR(__xludf.DUMMYFUNCTION("""COMPUTED_VALUE"""),"₱ 124,900.00")</f>
        <v>₱ 124,900.00</v>
      </c>
      <c r="E2827" s="164"/>
      <c r="F2827" s="164" t="str">
        <f ca="1">IFERROR(__xludf.DUMMYFUNCTION("""COMPUTED_VALUE"""),"2023-01-060-0001-48")</f>
        <v>2023-01-060-0001-48</v>
      </c>
      <c r="G2827" s="164"/>
      <c r="H2827" s="164" t="str">
        <f ca="1">IFERROR(__xludf.DUMMYFUNCTION("""COMPUTED_VALUE"""),"Reneliz Vincent L. Meneses")</f>
        <v>Reneliz Vincent L. Meneses</v>
      </c>
      <c r="I2827" s="164" t="str">
        <f ca="1">IFERROR(__xludf.DUMMYFUNCTION("""COMPUTED_VALUE"""),"SARPT")</f>
        <v>SARPT</v>
      </c>
      <c r="J2827" s="164"/>
      <c r="K2827" s="164" t="str">
        <f ca="1">IFERROR(__xludf.DUMMYFUNCTION("""COMPUTED_VALUE"""),"Reneliz Vincent L. Meneses")</f>
        <v>Reneliz Vincent L. Meneses</v>
      </c>
      <c r="L2827" s="164"/>
      <c r="M2827" s="164" t="str">
        <f ca="1">IFERROR(__xludf.DUMMYFUNCTION("""COMPUTED_VALUE"""),"SERVICEABLE")</f>
        <v>SERVICEABLE</v>
      </c>
      <c r="N2827" s="164"/>
    </row>
    <row r="2828" spans="1:14" ht="13.2" hidden="1">
      <c r="A2828" s="164" t="str">
        <f ca="1">IFERROR(__xludf.DUMMYFUNCTION("""COMPUTED_VALUE"""),"NIR")</f>
        <v>NIR</v>
      </c>
      <c r="B2828" s="164" t="str">
        <f ca="1">IFERROR(__xludf.DUMMYFUNCTION("""COMPUTED_VALUE"""),"Negros Oriental")</f>
        <v>Negros Oriental</v>
      </c>
      <c r="C2828" s="164" t="str">
        <f ca="1">IFERROR(__xludf.DUMMYFUNCTION("""COMPUTED_VALUE"""),"Motorcycle – (Honda XRL 150)")</f>
        <v>Motorcycle – (Honda XRL 150)</v>
      </c>
      <c r="D2828" s="164" t="str">
        <f ca="1">IFERROR(__xludf.DUMMYFUNCTION("""COMPUTED_VALUE"""),"₱ 124,900.00")</f>
        <v>₱ 124,900.00</v>
      </c>
      <c r="E2828" s="164"/>
      <c r="F2828" s="164" t="str">
        <f ca="1">IFERROR(__xludf.DUMMYFUNCTION("""COMPUTED_VALUE"""),"2023-01-060-0002-48")</f>
        <v>2023-01-060-0002-48</v>
      </c>
      <c r="G2828" s="164"/>
      <c r="H2828" s="164" t="str">
        <f ca="1">IFERROR(__xludf.DUMMYFUNCTION("""COMPUTED_VALUE"""),"Bernadith P. Chin")</f>
        <v>Bernadith P. Chin</v>
      </c>
      <c r="I2828" s="164" t="str">
        <f ca="1">IFERROR(__xludf.DUMMYFUNCTION("""COMPUTED_VALUE"""),"Planning Officer")</f>
        <v>Planning Officer</v>
      </c>
      <c r="J2828" s="164"/>
      <c r="K2828" s="164" t="str">
        <f ca="1">IFERROR(__xludf.DUMMYFUNCTION("""COMPUTED_VALUE"""),"Bernadith P. Chin")</f>
        <v>Bernadith P. Chin</v>
      </c>
      <c r="L2828" s="164"/>
      <c r="M2828" s="164" t="str">
        <f ca="1">IFERROR(__xludf.DUMMYFUNCTION("""COMPUTED_VALUE"""),"SERVICEABLE")</f>
        <v>SERVICEABLE</v>
      </c>
      <c r="N2828" s="164"/>
    </row>
    <row r="2829" spans="1:14" ht="13.2" hidden="1">
      <c r="A2829" s="164" t="str">
        <f ca="1">IFERROR(__xludf.DUMMYFUNCTION("""COMPUTED_VALUE"""),"NIR")</f>
        <v>NIR</v>
      </c>
      <c r="B2829" s="164" t="str">
        <f ca="1">IFERROR(__xludf.DUMMYFUNCTION("""COMPUTED_VALUE"""),"Negros Oriental")</f>
        <v>Negros Oriental</v>
      </c>
      <c r="C2829" s="164" t="str">
        <f ca="1">IFERROR(__xludf.DUMMYFUNCTION("""COMPUTED_VALUE"""),"Motorcycle – (Honda XRL 150)")</f>
        <v>Motorcycle – (Honda XRL 150)</v>
      </c>
      <c r="D2829" s="164" t="str">
        <f ca="1">IFERROR(__xludf.DUMMYFUNCTION("""COMPUTED_VALUE"""),"₱ 124,900.00")</f>
        <v>₱ 124,900.00</v>
      </c>
      <c r="E2829" s="164"/>
      <c r="F2829" s="164" t="str">
        <f ca="1">IFERROR(__xludf.DUMMYFUNCTION("""COMPUTED_VALUE"""),"2023-01-060-0003-48")</f>
        <v>2023-01-060-0003-48</v>
      </c>
      <c r="G2829" s="164"/>
      <c r="H2829" s="164" t="str">
        <f ca="1">IFERROR(__xludf.DUMMYFUNCTION("""COMPUTED_VALUE"""),"Joseph Saad Naed V. Bayang")</f>
        <v>Joseph Saad Naed V. Bayang</v>
      </c>
      <c r="I2829" s="164" t="str">
        <f ca="1">IFERROR(__xludf.DUMMYFUNCTION("""COMPUTED_VALUE"""),"Engineering Aide")</f>
        <v>Engineering Aide</v>
      </c>
      <c r="J2829" s="164"/>
      <c r="K2829" s="164" t="str">
        <f ca="1">IFERROR(__xludf.DUMMYFUNCTION("""COMPUTED_VALUE"""),"Joseph Saad Naed V. Bayang")</f>
        <v>Joseph Saad Naed V. Bayang</v>
      </c>
      <c r="L2829" s="164"/>
      <c r="M2829" s="164" t="str">
        <f ca="1">IFERROR(__xludf.DUMMYFUNCTION("""COMPUTED_VALUE"""),"SERVICEABLE")</f>
        <v>SERVICEABLE</v>
      </c>
      <c r="N2829" s="164"/>
    </row>
    <row r="2830" spans="1:14" ht="13.2" hidden="1">
      <c r="A2830" s="164" t="str">
        <f ca="1">IFERROR(__xludf.DUMMYFUNCTION("""COMPUTED_VALUE"""),"NIR")</f>
        <v>NIR</v>
      </c>
      <c r="B2830" s="164" t="str">
        <f ca="1">IFERROR(__xludf.DUMMYFUNCTION("""COMPUTED_VALUE"""),"Negros Oriental")</f>
        <v>Negros Oriental</v>
      </c>
      <c r="C2830" s="164" t="str">
        <f ca="1">IFERROR(__xludf.DUMMYFUNCTION("""COMPUTED_VALUE"""),"Motorcycle – (Honda XRL 150)")</f>
        <v>Motorcycle – (Honda XRL 150)</v>
      </c>
      <c r="D2830" s="164" t="str">
        <f ca="1">IFERROR(__xludf.DUMMYFUNCTION("""COMPUTED_VALUE"""),"₱ 124,900.00")</f>
        <v>₱ 124,900.00</v>
      </c>
      <c r="E2830" s="164"/>
      <c r="F2830" s="164" t="str">
        <f ca="1">IFERROR(__xludf.DUMMYFUNCTION("""COMPUTED_VALUE"""),"2023-01-060-0004-48")</f>
        <v>2023-01-060-0004-48</v>
      </c>
      <c r="G2830" s="164"/>
      <c r="H2830" s="164" t="str">
        <f ca="1">IFERROR(__xludf.DUMMYFUNCTION("""COMPUTED_VALUE"""),"Rod Andrew A. Temprosa")</f>
        <v>Rod Andrew A. Temprosa</v>
      </c>
      <c r="I2830" s="164" t="str">
        <f ca="1">IFERROR(__xludf.DUMMYFUNCTION("""COMPUTED_VALUE"""),"ARPT")</f>
        <v>ARPT</v>
      </c>
      <c r="J2830" s="164"/>
      <c r="K2830" s="164" t="str">
        <f ca="1">IFERROR(__xludf.DUMMYFUNCTION("""COMPUTED_VALUE"""),"Rod Andrew A. Temprosa")</f>
        <v>Rod Andrew A. Temprosa</v>
      </c>
      <c r="L2830" s="164"/>
      <c r="M2830" s="164" t="str">
        <f ca="1">IFERROR(__xludf.DUMMYFUNCTION("""COMPUTED_VALUE"""),"SERVICEABLE")</f>
        <v>SERVICEABLE</v>
      </c>
      <c r="N2830" s="164"/>
    </row>
    <row r="2831" spans="1:14" ht="13.2" hidden="1">
      <c r="A2831" s="164" t="str">
        <f ca="1">IFERROR(__xludf.DUMMYFUNCTION("""COMPUTED_VALUE"""),"NIR")</f>
        <v>NIR</v>
      </c>
      <c r="B2831" s="164" t="str">
        <f ca="1">IFERROR(__xludf.DUMMYFUNCTION("""COMPUTED_VALUE"""),"Negros Oriental")</f>
        <v>Negros Oriental</v>
      </c>
      <c r="C2831" s="164" t="str">
        <f ca="1">IFERROR(__xludf.DUMMYFUNCTION("""COMPUTED_VALUE"""),"Motorcycle – (Honda XRL 150)")</f>
        <v>Motorcycle – (Honda XRL 150)</v>
      </c>
      <c r="D2831" s="164" t="str">
        <f ca="1">IFERROR(__xludf.DUMMYFUNCTION("""COMPUTED_VALUE"""),"₱ 124,900.00")</f>
        <v>₱ 124,900.00</v>
      </c>
      <c r="E2831" s="164"/>
      <c r="F2831" s="164" t="str">
        <f ca="1">IFERROR(__xludf.DUMMYFUNCTION("""COMPUTED_VALUE"""),"2023-01-060-0005-48")</f>
        <v>2023-01-060-0005-48</v>
      </c>
      <c r="G2831" s="164"/>
      <c r="H2831" s="164" t="str">
        <f ca="1">IFERROR(__xludf.DUMMYFUNCTION("""COMPUTED_VALUE"""),"John Mark C. Colongon")</f>
        <v>John Mark C. Colongon</v>
      </c>
      <c r="I2831" s="164" t="str">
        <f ca="1">IFERROR(__xludf.DUMMYFUNCTION("""COMPUTED_VALUE"""),"ARPT")</f>
        <v>ARPT</v>
      </c>
      <c r="J2831" s="164"/>
      <c r="K2831" s="164" t="str">
        <f ca="1">IFERROR(__xludf.DUMMYFUNCTION("""COMPUTED_VALUE"""),"John Mark C. Colongon")</f>
        <v>John Mark C. Colongon</v>
      </c>
      <c r="L2831" s="164"/>
      <c r="M2831" s="164" t="str">
        <f ca="1">IFERROR(__xludf.DUMMYFUNCTION("""COMPUTED_VALUE"""),"SERVICEABLE")</f>
        <v>SERVICEABLE</v>
      </c>
      <c r="N2831" s="164"/>
    </row>
    <row r="2832" spans="1:14" ht="13.2" hidden="1">
      <c r="A2832" s="164" t="str">
        <f ca="1">IFERROR(__xludf.DUMMYFUNCTION("""COMPUTED_VALUE"""),"NIR")</f>
        <v>NIR</v>
      </c>
      <c r="B2832" s="164" t="str">
        <f ca="1">IFERROR(__xludf.DUMMYFUNCTION("""COMPUTED_VALUE"""),"Negros Oriental")</f>
        <v>Negros Oriental</v>
      </c>
      <c r="C2832" s="164" t="str">
        <f ca="1">IFERROR(__xludf.DUMMYFUNCTION("""COMPUTED_VALUE"""),"Motorcycle – (Honda XRL 150)")</f>
        <v>Motorcycle – (Honda XRL 150)</v>
      </c>
      <c r="D2832" s="164" t="str">
        <f ca="1">IFERROR(__xludf.DUMMYFUNCTION("""COMPUTED_VALUE"""),"₱ 124,900.00")</f>
        <v>₱ 124,900.00</v>
      </c>
      <c r="E2832" s="164"/>
      <c r="F2832" s="164" t="str">
        <f ca="1">IFERROR(__xludf.DUMMYFUNCTION("""COMPUTED_VALUE"""),"2023-01-060-0006-48")</f>
        <v>2023-01-060-0006-48</v>
      </c>
      <c r="G2832" s="164"/>
      <c r="H2832" s="164" t="str">
        <f ca="1">IFERROR(__xludf.DUMMYFUNCTION("""COMPUTED_VALUE"""),"Francis Homer Benlot")</f>
        <v>Francis Homer Benlot</v>
      </c>
      <c r="I2832" s="164" t="str">
        <f ca="1">IFERROR(__xludf.DUMMYFUNCTION("""COMPUTED_VALUE"""),"ARPT")</f>
        <v>ARPT</v>
      </c>
      <c r="J2832" s="164"/>
      <c r="K2832" s="164" t="str">
        <f ca="1">IFERROR(__xludf.DUMMYFUNCTION("""COMPUTED_VALUE"""),"Francis Homer Benlot")</f>
        <v>Francis Homer Benlot</v>
      </c>
      <c r="L2832" s="164"/>
      <c r="M2832" s="164" t="str">
        <f ca="1">IFERROR(__xludf.DUMMYFUNCTION("""COMPUTED_VALUE"""),"SERVICEABLE")</f>
        <v>SERVICEABLE</v>
      </c>
      <c r="N2832" s="164"/>
    </row>
    <row r="2833" spans="1:14" ht="13.2" hidden="1">
      <c r="A2833" s="164" t="str">
        <f ca="1">IFERROR(__xludf.DUMMYFUNCTION("""COMPUTED_VALUE"""),"NIR")</f>
        <v>NIR</v>
      </c>
      <c r="B2833" s="164" t="str">
        <f ca="1">IFERROR(__xludf.DUMMYFUNCTION("""COMPUTED_VALUE"""),"Negros Oriental")</f>
        <v>Negros Oriental</v>
      </c>
      <c r="C2833" s="164" t="str">
        <f ca="1">IFERROR(__xludf.DUMMYFUNCTION("""COMPUTED_VALUE"""),"Motorcycle – (Honda XRL 150)")</f>
        <v>Motorcycle – (Honda XRL 150)</v>
      </c>
      <c r="D2833" s="164" t="str">
        <f ca="1">IFERROR(__xludf.DUMMYFUNCTION("""COMPUTED_VALUE"""),"₱ 124,900.00")</f>
        <v>₱ 124,900.00</v>
      </c>
      <c r="E2833" s="164"/>
      <c r="F2833" s="164" t="str">
        <f ca="1">IFERROR(__xludf.DUMMYFUNCTION("""COMPUTED_VALUE"""),"2023-01-060-0007-48")</f>
        <v>2023-01-060-0007-48</v>
      </c>
      <c r="G2833" s="164"/>
      <c r="H2833" s="164" t="str">
        <f ca="1">IFERROR(__xludf.DUMMYFUNCTION("""COMPUTED_VALUE"""),"Jheela Maureen Tañara")</f>
        <v>Jheela Maureen Tañara</v>
      </c>
      <c r="I2833" s="164" t="str">
        <f ca="1">IFERROR(__xludf.DUMMYFUNCTION("""COMPUTED_VALUE"""),"ARPO II")</f>
        <v>ARPO II</v>
      </c>
      <c r="J2833" s="164"/>
      <c r="K2833" s="164" t="str">
        <f ca="1">IFERROR(__xludf.DUMMYFUNCTION("""COMPUTED_VALUE"""),"Jheela Maureen Tañara")</f>
        <v>Jheela Maureen Tañara</v>
      </c>
      <c r="L2833" s="164"/>
      <c r="M2833" s="164" t="str">
        <f ca="1">IFERROR(__xludf.DUMMYFUNCTION("""COMPUTED_VALUE"""),"SERVICEABLE")</f>
        <v>SERVICEABLE</v>
      </c>
      <c r="N2833" s="164"/>
    </row>
    <row r="2834" spans="1:14" ht="13.2" hidden="1">
      <c r="A2834" s="164" t="str">
        <f ca="1">IFERROR(__xludf.DUMMYFUNCTION("""COMPUTED_VALUE"""),"NIR")</f>
        <v>NIR</v>
      </c>
      <c r="B2834" s="164" t="str">
        <f ca="1">IFERROR(__xludf.DUMMYFUNCTION("""COMPUTED_VALUE"""),"Negros Oriental")</f>
        <v>Negros Oriental</v>
      </c>
      <c r="C2834" s="164" t="str">
        <f ca="1">IFERROR(__xludf.DUMMYFUNCTION("""COMPUTED_VALUE"""),"Motorcycle – (Honda XRL 150)")</f>
        <v>Motorcycle – (Honda XRL 150)</v>
      </c>
      <c r="D2834" s="164" t="str">
        <f ca="1">IFERROR(__xludf.DUMMYFUNCTION("""COMPUTED_VALUE"""),"₱ 124,900.00")</f>
        <v>₱ 124,900.00</v>
      </c>
      <c r="E2834" s="164"/>
      <c r="F2834" s="164" t="str">
        <f ca="1">IFERROR(__xludf.DUMMYFUNCTION("""COMPUTED_VALUE"""),"2023-01-060-0008-48")</f>
        <v>2023-01-060-0008-48</v>
      </c>
      <c r="G2834" s="164"/>
      <c r="H2834" s="164" t="str">
        <f ca="1">IFERROR(__xludf.DUMMYFUNCTION("""COMPUTED_VALUE"""),"Renerio T. Colina")</f>
        <v>Renerio T. Colina</v>
      </c>
      <c r="I2834" s="164" t="str">
        <f ca="1">IFERROR(__xludf.DUMMYFUNCTION("""COMPUTED_VALUE"""),"ARPT")</f>
        <v>ARPT</v>
      </c>
      <c r="J2834" s="164"/>
      <c r="K2834" s="164" t="str">
        <f ca="1">IFERROR(__xludf.DUMMYFUNCTION("""COMPUTED_VALUE"""),"Renerio T. Colina")</f>
        <v>Renerio T. Colina</v>
      </c>
      <c r="L2834" s="164"/>
      <c r="M2834" s="164" t="str">
        <f ca="1">IFERROR(__xludf.DUMMYFUNCTION("""COMPUTED_VALUE"""),"SERVICEABLE")</f>
        <v>SERVICEABLE</v>
      </c>
      <c r="N2834" s="164"/>
    </row>
    <row r="2835" spans="1:14" ht="13.2" hidden="1">
      <c r="A2835" s="164" t="str">
        <f ca="1">IFERROR(__xludf.DUMMYFUNCTION("""COMPUTED_VALUE"""),"NIR")</f>
        <v>NIR</v>
      </c>
      <c r="B2835" s="164" t="str">
        <f ca="1">IFERROR(__xludf.DUMMYFUNCTION("""COMPUTED_VALUE"""),"Negros Oriental")</f>
        <v>Negros Oriental</v>
      </c>
      <c r="C2835" s="164" t="str">
        <f ca="1">IFERROR(__xludf.DUMMYFUNCTION("""COMPUTED_VALUE"""),"Motorcycle – (Honda XRL 150)")</f>
        <v>Motorcycle – (Honda XRL 150)</v>
      </c>
      <c r="D2835" s="164" t="str">
        <f ca="1">IFERROR(__xludf.DUMMYFUNCTION("""COMPUTED_VALUE"""),"₱ 124,900.00")</f>
        <v>₱ 124,900.00</v>
      </c>
      <c r="E2835" s="164"/>
      <c r="F2835" s="164" t="str">
        <f ca="1">IFERROR(__xludf.DUMMYFUNCTION("""COMPUTED_VALUE"""),"2023-01-060-0009-48")</f>
        <v>2023-01-060-0009-48</v>
      </c>
      <c r="G2835" s="164"/>
      <c r="H2835" s="164" t="str">
        <f ca="1">IFERROR(__xludf.DUMMYFUNCTION("""COMPUTED_VALUE"""),"Mar Clinton Liu")</f>
        <v>Mar Clinton Liu</v>
      </c>
      <c r="I2835" s="164" t="str">
        <f ca="1">IFERROR(__xludf.DUMMYFUNCTION("""COMPUTED_VALUE"""),"ARPT")</f>
        <v>ARPT</v>
      </c>
      <c r="J2835" s="164"/>
      <c r="K2835" s="164" t="str">
        <f ca="1">IFERROR(__xludf.DUMMYFUNCTION("""COMPUTED_VALUE"""),"Mar Clinton Liu")</f>
        <v>Mar Clinton Liu</v>
      </c>
      <c r="L2835" s="164"/>
      <c r="M2835" s="164" t="str">
        <f ca="1">IFERROR(__xludf.DUMMYFUNCTION("""COMPUTED_VALUE"""),"SERVICEABLE")</f>
        <v>SERVICEABLE</v>
      </c>
      <c r="N2835" s="164"/>
    </row>
    <row r="2836" spans="1:14" ht="13.2" hidden="1">
      <c r="A2836" s="164" t="str">
        <f ca="1">IFERROR(__xludf.DUMMYFUNCTION("""COMPUTED_VALUE"""),"NIR")</f>
        <v>NIR</v>
      </c>
      <c r="B2836" s="164" t="str">
        <f ca="1">IFERROR(__xludf.DUMMYFUNCTION("""COMPUTED_VALUE"""),"Negros Oriental")</f>
        <v>Negros Oriental</v>
      </c>
      <c r="C2836" s="164" t="str">
        <f ca="1">IFERROR(__xludf.DUMMYFUNCTION("""COMPUTED_VALUE"""),"Motorcycle – (Honda XRL 150)")</f>
        <v>Motorcycle – (Honda XRL 150)</v>
      </c>
      <c r="D2836" s="164" t="str">
        <f ca="1">IFERROR(__xludf.DUMMYFUNCTION("""COMPUTED_VALUE"""),"₱ 124,900.00")</f>
        <v>₱ 124,900.00</v>
      </c>
      <c r="E2836" s="164"/>
      <c r="F2836" s="164" t="str">
        <f ca="1">IFERROR(__xludf.DUMMYFUNCTION("""COMPUTED_VALUE"""),"2023-01-060-0010-48")</f>
        <v>2023-01-060-0010-48</v>
      </c>
      <c r="G2836" s="164"/>
      <c r="H2836" s="164" t="str">
        <f ca="1">IFERROR(__xludf.DUMMYFUNCTION("""COMPUTED_VALUE"""),"Mark Anthony Imbo")</f>
        <v>Mark Anthony Imbo</v>
      </c>
      <c r="I2836" s="164" t="str">
        <f ca="1">IFERROR(__xludf.DUMMYFUNCTION("""COMPUTED_VALUE"""),"ARPT")</f>
        <v>ARPT</v>
      </c>
      <c r="J2836" s="164"/>
      <c r="K2836" s="164" t="str">
        <f ca="1">IFERROR(__xludf.DUMMYFUNCTION("""COMPUTED_VALUE"""),"Mark Anthony Imbo")</f>
        <v>Mark Anthony Imbo</v>
      </c>
      <c r="L2836" s="164"/>
      <c r="M2836" s="164" t="str">
        <f ca="1">IFERROR(__xludf.DUMMYFUNCTION("""COMPUTED_VALUE"""),"SERVICEABLE")</f>
        <v>SERVICEABLE</v>
      </c>
      <c r="N2836" s="164"/>
    </row>
    <row r="2837" spans="1:14" ht="13.2" hidden="1">
      <c r="A2837" s="164" t="str">
        <f ca="1">IFERROR(__xludf.DUMMYFUNCTION("""COMPUTED_VALUE"""),"NIR")</f>
        <v>NIR</v>
      </c>
      <c r="B2837" s="164" t="str">
        <f ca="1">IFERROR(__xludf.DUMMYFUNCTION("""COMPUTED_VALUE"""),"Negros Oriental")</f>
        <v>Negros Oriental</v>
      </c>
      <c r="C2837" s="164" t="str">
        <f ca="1">IFERROR(__xludf.DUMMYFUNCTION("""COMPUTED_VALUE"""),"Motorcycle – (Honda XRL 150)")</f>
        <v>Motorcycle – (Honda XRL 150)</v>
      </c>
      <c r="D2837" s="164" t="str">
        <f ca="1">IFERROR(__xludf.DUMMYFUNCTION("""COMPUTED_VALUE"""),"₱ 124,900.00")</f>
        <v>₱ 124,900.00</v>
      </c>
      <c r="E2837" s="164"/>
      <c r="F2837" s="164" t="str">
        <f ca="1">IFERROR(__xludf.DUMMYFUNCTION("""COMPUTED_VALUE"""),"2023-01-060-0011-48")</f>
        <v>2023-01-060-0011-48</v>
      </c>
      <c r="G2837" s="164"/>
      <c r="H2837" s="164" t="str">
        <f ca="1">IFERROR(__xludf.DUMMYFUNCTION("""COMPUTED_VALUE"""),"John Benedict P. Chin")</f>
        <v>John Benedict P. Chin</v>
      </c>
      <c r="I2837" s="164" t="str">
        <f ca="1">IFERROR(__xludf.DUMMYFUNCTION("""COMPUTED_VALUE"""),"ARPT")</f>
        <v>ARPT</v>
      </c>
      <c r="J2837" s="164"/>
      <c r="K2837" s="164" t="str">
        <f ca="1">IFERROR(__xludf.DUMMYFUNCTION("""COMPUTED_VALUE"""),"John Benedict P. Chin")</f>
        <v>John Benedict P. Chin</v>
      </c>
      <c r="L2837" s="164"/>
      <c r="M2837" s="164" t="str">
        <f ca="1">IFERROR(__xludf.DUMMYFUNCTION("""COMPUTED_VALUE"""),"SERVICEABLE")</f>
        <v>SERVICEABLE</v>
      </c>
      <c r="N2837" s="164"/>
    </row>
    <row r="2838" spans="1:14" ht="13.2" hidden="1">
      <c r="A2838" s="164" t="str">
        <f ca="1">IFERROR(__xludf.DUMMYFUNCTION("""COMPUTED_VALUE"""),"NIR")</f>
        <v>NIR</v>
      </c>
      <c r="B2838" s="164" t="str">
        <f ca="1">IFERROR(__xludf.DUMMYFUNCTION("""COMPUTED_VALUE"""),"Negros Oriental")</f>
        <v>Negros Oriental</v>
      </c>
      <c r="C2838" s="164" t="str">
        <f ca="1">IFERROR(__xludf.DUMMYFUNCTION("""COMPUTED_VALUE"""),"Motorcycle – (Honda XRL 150)")</f>
        <v>Motorcycle – (Honda XRL 150)</v>
      </c>
      <c r="D2838" s="164" t="str">
        <f ca="1">IFERROR(__xludf.DUMMYFUNCTION("""COMPUTED_VALUE"""),"₱ 124,900.00")</f>
        <v>₱ 124,900.00</v>
      </c>
      <c r="E2838" s="164"/>
      <c r="F2838" s="164" t="str">
        <f ca="1">IFERROR(__xludf.DUMMYFUNCTION("""COMPUTED_VALUE"""),"2023-01-060-0012-48")</f>
        <v>2023-01-060-0012-48</v>
      </c>
      <c r="G2838" s="164"/>
      <c r="H2838" s="164" t="str">
        <f ca="1">IFERROR(__xludf.DUMMYFUNCTION("""COMPUTED_VALUE"""),"Reynaldo Niño L. Vidal")</f>
        <v>Reynaldo Niño L. Vidal</v>
      </c>
      <c r="I2838" s="164" t="str">
        <f ca="1">IFERROR(__xludf.DUMMYFUNCTION("""COMPUTED_VALUE"""),"ARPT")</f>
        <v>ARPT</v>
      </c>
      <c r="J2838" s="164"/>
      <c r="K2838" s="164" t="str">
        <f ca="1">IFERROR(__xludf.DUMMYFUNCTION("""COMPUTED_VALUE"""),"Reynaldo Niño L. Vidal")</f>
        <v>Reynaldo Niño L. Vidal</v>
      </c>
      <c r="L2838" s="164"/>
      <c r="M2838" s="164" t="str">
        <f ca="1">IFERROR(__xludf.DUMMYFUNCTION("""COMPUTED_VALUE"""),"SERVICEABLE")</f>
        <v>SERVICEABLE</v>
      </c>
      <c r="N2838" s="164"/>
    </row>
    <row r="2839" spans="1:14" ht="13.2" hidden="1">
      <c r="A2839" s="164" t="str">
        <f ca="1">IFERROR(__xludf.DUMMYFUNCTION("""COMPUTED_VALUE"""),"NIR")</f>
        <v>NIR</v>
      </c>
      <c r="B2839" s="164" t="str">
        <f ca="1">IFERROR(__xludf.DUMMYFUNCTION("""COMPUTED_VALUE"""),"Negros Oriental")</f>
        <v>Negros Oriental</v>
      </c>
      <c r="C2839" s="164" t="str">
        <f ca="1">IFERROR(__xludf.DUMMYFUNCTION("""COMPUTED_VALUE"""),"Motorcycle – (Honda XRL 150)")</f>
        <v>Motorcycle – (Honda XRL 150)</v>
      </c>
      <c r="D2839" s="164" t="str">
        <f ca="1">IFERROR(__xludf.DUMMYFUNCTION("""COMPUTED_VALUE"""),"₱ 124,900.00")</f>
        <v>₱ 124,900.00</v>
      </c>
      <c r="E2839" s="164"/>
      <c r="F2839" s="164" t="str">
        <f ca="1">IFERROR(__xludf.DUMMYFUNCTION("""COMPUTED_VALUE"""),"2023-01-060-0013-48")</f>
        <v>2023-01-060-0013-48</v>
      </c>
      <c r="G2839" s="164"/>
      <c r="H2839" s="164" t="str">
        <f ca="1">IFERROR(__xludf.DUMMYFUNCTION("""COMPUTED_VALUE"""),"Zed Clyvon G. Fabugais")</f>
        <v>Zed Clyvon G. Fabugais</v>
      </c>
      <c r="I2839" s="164" t="str">
        <f ca="1">IFERROR(__xludf.DUMMYFUNCTION("""COMPUTED_VALUE"""),"ARPT")</f>
        <v>ARPT</v>
      </c>
      <c r="J2839" s="164"/>
      <c r="K2839" s="164" t="str">
        <f ca="1">IFERROR(__xludf.DUMMYFUNCTION("""COMPUTED_VALUE"""),"Zed Clyvon G. Fabugais")</f>
        <v>Zed Clyvon G. Fabugais</v>
      </c>
      <c r="L2839" s="164"/>
      <c r="M2839" s="164" t="str">
        <f ca="1">IFERROR(__xludf.DUMMYFUNCTION("""COMPUTED_VALUE"""),"SERVICEABLE")</f>
        <v>SERVICEABLE</v>
      </c>
      <c r="N2839" s="164"/>
    </row>
    <row r="2840" spans="1:14" ht="13.2" hidden="1">
      <c r="A2840" s="164" t="str">
        <f ca="1">IFERROR(__xludf.DUMMYFUNCTION("""COMPUTED_VALUE"""),"NIR")</f>
        <v>NIR</v>
      </c>
      <c r="B2840" s="164" t="str">
        <f ca="1">IFERROR(__xludf.DUMMYFUNCTION("""COMPUTED_VALUE"""),"Negros Oriental")</f>
        <v>Negros Oriental</v>
      </c>
      <c r="C2840" s="164" t="str">
        <f ca="1">IFERROR(__xludf.DUMMYFUNCTION("""COMPUTED_VALUE"""),"Motorcycle – (Honda XRL 150)")</f>
        <v>Motorcycle – (Honda XRL 150)</v>
      </c>
      <c r="D2840" s="164" t="str">
        <f ca="1">IFERROR(__xludf.DUMMYFUNCTION("""COMPUTED_VALUE"""),"₱ 124,900.00")</f>
        <v>₱ 124,900.00</v>
      </c>
      <c r="E2840" s="164"/>
      <c r="F2840" s="164" t="str">
        <f ca="1">IFERROR(__xludf.DUMMYFUNCTION("""COMPUTED_VALUE"""),"2023-01-060-0014-48")</f>
        <v>2023-01-060-0014-48</v>
      </c>
      <c r="G2840" s="164"/>
      <c r="H2840" s="164" t="str">
        <f ca="1">IFERROR(__xludf.DUMMYFUNCTION("""COMPUTED_VALUE"""),"Elmer Suanque")</f>
        <v>Elmer Suanque</v>
      </c>
      <c r="I2840" s="164" t="str">
        <f ca="1">IFERROR(__xludf.DUMMYFUNCTION("""COMPUTED_VALUE"""),"ARPT")</f>
        <v>ARPT</v>
      </c>
      <c r="J2840" s="164"/>
      <c r="K2840" s="164" t="str">
        <f ca="1">IFERROR(__xludf.DUMMYFUNCTION("""COMPUTED_VALUE"""),"Elmer Suanque")</f>
        <v>Elmer Suanque</v>
      </c>
      <c r="L2840" s="164"/>
      <c r="M2840" s="164" t="str">
        <f ca="1">IFERROR(__xludf.DUMMYFUNCTION("""COMPUTED_VALUE"""),"SERVICEABLE")</f>
        <v>SERVICEABLE</v>
      </c>
      <c r="N2840" s="164"/>
    </row>
    <row r="2841" spans="1:14" ht="13.2" hidden="1">
      <c r="A2841" s="164" t="str">
        <f ca="1">IFERROR(__xludf.DUMMYFUNCTION("""COMPUTED_VALUE"""),"NIR")</f>
        <v>NIR</v>
      </c>
      <c r="B2841" s="164" t="str">
        <f ca="1">IFERROR(__xludf.DUMMYFUNCTION("""COMPUTED_VALUE"""),"Negros Oriental")</f>
        <v>Negros Oriental</v>
      </c>
      <c r="C2841" s="164" t="str">
        <f ca="1">IFERROR(__xludf.DUMMYFUNCTION("""COMPUTED_VALUE"""),"Motorcycle – (Honda XRL 150)")</f>
        <v>Motorcycle – (Honda XRL 150)</v>
      </c>
      <c r="D2841" s="164" t="str">
        <f ca="1">IFERROR(__xludf.DUMMYFUNCTION("""COMPUTED_VALUE"""),"₱ 124,900.00")</f>
        <v>₱ 124,900.00</v>
      </c>
      <c r="E2841" s="164"/>
      <c r="F2841" s="164" t="str">
        <f ca="1">IFERROR(__xludf.DUMMYFUNCTION("""COMPUTED_VALUE"""),"2023-01-060-0015-48")</f>
        <v>2023-01-060-0015-48</v>
      </c>
      <c r="G2841" s="164"/>
      <c r="H2841" s="164" t="str">
        <f ca="1">IFERROR(__xludf.DUMMYFUNCTION("""COMPUTED_VALUE"""),"Genesis Carcusia")</f>
        <v>Genesis Carcusia</v>
      </c>
      <c r="I2841" s="164" t="str">
        <f ca="1">IFERROR(__xludf.DUMMYFUNCTION("""COMPUTED_VALUE"""),"SARPT")</f>
        <v>SARPT</v>
      </c>
      <c r="J2841" s="164"/>
      <c r="K2841" s="164" t="str">
        <f ca="1">IFERROR(__xludf.DUMMYFUNCTION("""COMPUTED_VALUE"""),"Genesis Carcusia")</f>
        <v>Genesis Carcusia</v>
      </c>
      <c r="L2841" s="164"/>
      <c r="M2841" s="164" t="str">
        <f ca="1">IFERROR(__xludf.DUMMYFUNCTION("""COMPUTED_VALUE"""),"SERVICEABLE")</f>
        <v>SERVICEABLE</v>
      </c>
      <c r="N2841" s="164"/>
    </row>
    <row r="2842" spans="1:14" ht="13.2" hidden="1">
      <c r="A2842" s="164" t="str">
        <f ca="1">IFERROR(__xludf.DUMMYFUNCTION("""COMPUTED_VALUE"""),"NIR")</f>
        <v>NIR</v>
      </c>
      <c r="B2842" s="164" t="str">
        <f ca="1">IFERROR(__xludf.DUMMYFUNCTION("""COMPUTED_VALUE"""),"Negros Oriental")</f>
        <v>Negros Oriental</v>
      </c>
      <c r="C2842" s="164" t="str">
        <f ca="1">IFERROR(__xludf.DUMMYFUNCTION("""COMPUTED_VALUE"""),"Motorcycle – (Honda XRL 150)")</f>
        <v>Motorcycle – (Honda XRL 150)</v>
      </c>
      <c r="D2842" s="164" t="str">
        <f ca="1">IFERROR(__xludf.DUMMYFUNCTION("""COMPUTED_VALUE"""),"₱ 124,900.00")</f>
        <v>₱ 124,900.00</v>
      </c>
      <c r="E2842" s="164"/>
      <c r="F2842" s="164" t="str">
        <f ca="1">IFERROR(__xludf.DUMMYFUNCTION("""COMPUTED_VALUE"""),"2023-01-060-0016-48")</f>
        <v>2023-01-060-0016-48</v>
      </c>
      <c r="G2842" s="164"/>
      <c r="H2842" s="164" t="str">
        <f ca="1">IFERROR(__xludf.DUMMYFUNCTION("""COMPUTED_VALUE"""),"Randy Carpio")</f>
        <v>Randy Carpio</v>
      </c>
      <c r="I2842" s="164" t="str">
        <f ca="1">IFERROR(__xludf.DUMMYFUNCTION("""COMPUTED_VALUE"""),"ARPT")</f>
        <v>ARPT</v>
      </c>
      <c r="J2842" s="164"/>
      <c r="K2842" s="164" t="str">
        <f ca="1">IFERROR(__xludf.DUMMYFUNCTION("""COMPUTED_VALUE"""),"Randy Carpio")</f>
        <v>Randy Carpio</v>
      </c>
      <c r="L2842" s="164"/>
      <c r="M2842" s="164" t="str">
        <f ca="1">IFERROR(__xludf.DUMMYFUNCTION("""COMPUTED_VALUE"""),"SERVICEABLE")</f>
        <v>SERVICEABLE</v>
      </c>
      <c r="N2842" s="164"/>
    </row>
    <row r="2843" spans="1:14" ht="13.2" hidden="1">
      <c r="A2843" s="164" t="str">
        <f ca="1">IFERROR(__xludf.DUMMYFUNCTION("""COMPUTED_VALUE"""),"NIR")</f>
        <v>NIR</v>
      </c>
      <c r="B2843" s="164" t="str">
        <f ca="1">IFERROR(__xludf.DUMMYFUNCTION("""COMPUTED_VALUE"""),"Negros Oriental")</f>
        <v>Negros Oriental</v>
      </c>
      <c r="C2843" s="164" t="str">
        <f ca="1">IFERROR(__xludf.DUMMYFUNCTION("""COMPUTED_VALUE"""),"Motorcycle – (Honda XRL 150)")</f>
        <v>Motorcycle – (Honda XRL 150)</v>
      </c>
      <c r="D2843" s="164" t="str">
        <f ca="1">IFERROR(__xludf.DUMMYFUNCTION("""COMPUTED_VALUE"""),"₱ 124,900.00")</f>
        <v>₱ 124,900.00</v>
      </c>
      <c r="E2843" s="164"/>
      <c r="F2843" s="164" t="str">
        <f ca="1">IFERROR(__xludf.DUMMYFUNCTION("""COMPUTED_VALUE"""),"2023-01-060-0017-48")</f>
        <v>2023-01-060-0017-48</v>
      </c>
      <c r="G2843" s="164"/>
      <c r="H2843" s="164" t="str">
        <f ca="1">IFERROR(__xludf.DUMMYFUNCTION("""COMPUTED_VALUE"""),"Willian Anthony Yee")</f>
        <v>Willian Anthony Yee</v>
      </c>
      <c r="I2843" s="164" t="str">
        <f ca="1">IFERROR(__xludf.DUMMYFUNCTION("""COMPUTED_VALUE"""),"ARPT")</f>
        <v>ARPT</v>
      </c>
      <c r="J2843" s="164"/>
      <c r="K2843" s="164" t="str">
        <f ca="1">IFERROR(__xludf.DUMMYFUNCTION("""COMPUTED_VALUE"""),"Willian Anthony Yee")</f>
        <v>Willian Anthony Yee</v>
      </c>
      <c r="L2843" s="164"/>
      <c r="M2843" s="164" t="str">
        <f ca="1">IFERROR(__xludf.DUMMYFUNCTION("""COMPUTED_VALUE"""),"SERVICEABLE")</f>
        <v>SERVICEABLE</v>
      </c>
      <c r="N2843" s="164"/>
    </row>
    <row r="2844" spans="1:14" ht="13.2" hidden="1">
      <c r="A2844" s="164" t="str">
        <f ca="1">IFERROR(__xludf.DUMMYFUNCTION("""COMPUTED_VALUE"""),"NIR")</f>
        <v>NIR</v>
      </c>
      <c r="B2844" s="164" t="str">
        <f ca="1">IFERROR(__xludf.DUMMYFUNCTION("""COMPUTED_VALUE"""),"Negros Oriental")</f>
        <v>Negros Oriental</v>
      </c>
      <c r="C2844" s="164" t="str">
        <f ca="1">IFERROR(__xludf.DUMMYFUNCTION("""COMPUTED_VALUE"""),"Motorcycle – (Honda XRL 150)")</f>
        <v>Motorcycle – (Honda XRL 150)</v>
      </c>
      <c r="D2844" s="164" t="str">
        <f ca="1">IFERROR(__xludf.DUMMYFUNCTION("""COMPUTED_VALUE"""),"₱ 124,900.00")</f>
        <v>₱ 124,900.00</v>
      </c>
      <c r="E2844" s="164"/>
      <c r="F2844" s="164" t="str">
        <f ca="1">IFERROR(__xludf.DUMMYFUNCTION("""COMPUTED_VALUE"""),"2023-01-060-0018-48")</f>
        <v>2023-01-060-0018-48</v>
      </c>
      <c r="G2844" s="164"/>
      <c r="H2844" s="164" t="str">
        <f ca="1">IFERROR(__xludf.DUMMYFUNCTION("""COMPUTED_VALUE"""),"Migaphel Godwin A. Lemence")</f>
        <v>Migaphel Godwin A. Lemence</v>
      </c>
      <c r="I2844" s="164" t="str">
        <f ca="1">IFERROR(__xludf.DUMMYFUNCTION("""COMPUTED_VALUE"""),"ARPT")</f>
        <v>ARPT</v>
      </c>
      <c r="J2844" s="164"/>
      <c r="K2844" s="164" t="str">
        <f ca="1">IFERROR(__xludf.DUMMYFUNCTION("""COMPUTED_VALUE"""),"Migaphel Godwin A. Lemence")</f>
        <v>Migaphel Godwin A. Lemence</v>
      </c>
      <c r="L2844" s="164"/>
      <c r="M2844" s="164" t="str">
        <f ca="1">IFERROR(__xludf.DUMMYFUNCTION("""COMPUTED_VALUE"""),"SERVICEABLE")</f>
        <v>SERVICEABLE</v>
      </c>
      <c r="N2844" s="164"/>
    </row>
    <row r="2845" spans="1:14" ht="13.2" hidden="1">
      <c r="A2845" s="164" t="str">
        <f ca="1">IFERROR(__xludf.DUMMYFUNCTION("""COMPUTED_VALUE"""),"NIR")</f>
        <v>NIR</v>
      </c>
      <c r="B2845" s="164" t="str">
        <f ca="1">IFERROR(__xludf.DUMMYFUNCTION("""COMPUTED_VALUE"""),"Negros Oriental")</f>
        <v>Negros Oriental</v>
      </c>
      <c r="C2845" s="164" t="str">
        <f ca="1">IFERROR(__xludf.DUMMYFUNCTION("""COMPUTED_VALUE"""),"Motorcycle – (Honda XRL 150)")</f>
        <v>Motorcycle – (Honda XRL 150)</v>
      </c>
      <c r="D2845" s="164" t="str">
        <f ca="1">IFERROR(__xludf.DUMMYFUNCTION("""COMPUTED_VALUE"""),"₱ 124,900.00")</f>
        <v>₱ 124,900.00</v>
      </c>
      <c r="E2845" s="164"/>
      <c r="F2845" s="164" t="str">
        <f ca="1">IFERROR(__xludf.DUMMYFUNCTION("""COMPUTED_VALUE"""),"2023-01-060-0019-48")</f>
        <v>2023-01-060-0019-48</v>
      </c>
      <c r="G2845" s="164"/>
      <c r="H2845" s="164" t="str">
        <f ca="1">IFERROR(__xludf.DUMMYFUNCTION("""COMPUTED_VALUE"""),"Jason A. Abelo")</f>
        <v>Jason A. Abelo</v>
      </c>
      <c r="I2845" s="164" t="str">
        <f ca="1">IFERROR(__xludf.DUMMYFUNCTION("""COMPUTED_VALUE"""),"ARPT")</f>
        <v>ARPT</v>
      </c>
      <c r="J2845" s="164"/>
      <c r="K2845" s="164" t="str">
        <f ca="1">IFERROR(__xludf.DUMMYFUNCTION("""COMPUTED_VALUE"""),"Jason A. Abelo")</f>
        <v>Jason A. Abelo</v>
      </c>
      <c r="L2845" s="164"/>
      <c r="M2845" s="164" t="str">
        <f ca="1">IFERROR(__xludf.DUMMYFUNCTION("""COMPUTED_VALUE"""),"SERVICEABLE")</f>
        <v>SERVICEABLE</v>
      </c>
      <c r="N2845" s="164"/>
    </row>
    <row r="2846" spans="1:14" ht="13.2" hidden="1">
      <c r="A2846" s="164" t="str">
        <f ca="1">IFERROR(__xludf.DUMMYFUNCTION("""COMPUTED_VALUE"""),"NIR")</f>
        <v>NIR</v>
      </c>
      <c r="B2846" s="164" t="str">
        <f ca="1">IFERROR(__xludf.DUMMYFUNCTION("""COMPUTED_VALUE"""),"Negros Oriental")</f>
        <v>Negros Oriental</v>
      </c>
      <c r="C2846" s="164" t="str">
        <f ca="1">IFERROR(__xludf.DUMMYFUNCTION("""COMPUTED_VALUE"""),"Motorcycle – (Honda XRL 150)")</f>
        <v>Motorcycle – (Honda XRL 150)</v>
      </c>
      <c r="D2846" s="164" t="str">
        <f ca="1">IFERROR(__xludf.DUMMYFUNCTION("""COMPUTED_VALUE"""),"₱ 124,900.00")</f>
        <v>₱ 124,900.00</v>
      </c>
      <c r="E2846" s="164"/>
      <c r="F2846" s="164" t="str">
        <f ca="1">IFERROR(__xludf.DUMMYFUNCTION("""COMPUTED_VALUE"""),"2023-01-060-0020-48")</f>
        <v>2023-01-060-0020-48</v>
      </c>
      <c r="G2846" s="164"/>
      <c r="H2846" s="164" t="str">
        <f ca="1">IFERROR(__xludf.DUMMYFUNCTION("""COMPUTED_VALUE"""),"Paul Aldrin C. Navarro")</f>
        <v>Paul Aldrin C. Navarro</v>
      </c>
      <c r="I2846" s="164" t="str">
        <f ca="1">IFERROR(__xludf.DUMMYFUNCTION("""COMPUTED_VALUE"""),"SARPT")</f>
        <v>SARPT</v>
      </c>
      <c r="J2846" s="164"/>
      <c r="K2846" s="164" t="str">
        <f ca="1">IFERROR(__xludf.DUMMYFUNCTION("""COMPUTED_VALUE"""),"Paul Aldrin C. Navarro")</f>
        <v>Paul Aldrin C. Navarro</v>
      </c>
      <c r="L2846" s="164"/>
      <c r="M2846" s="164" t="str">
        <f ca="1">IFERROR(__xludf.DUMMYFUNCTION("""COMPUTED_VALUE"""),"SERVICEABLE")</f>
        <v>SERVICEABLE</v>
      </c>
      <c r="N2846" s="164"/>
    </row>
    <row r="2847" spans="1:14" ht="13.2" hidden="1">
      <c r="A2847" s="164" t="str">
        <f ca="1">IFERROR(__xludf.DUMMYFUNCTION("""COMPUTED_VALUE"""),"NIR")</f>
        <v>NIR</v>
      </c>
      <c r="B2847" s="164" t="str">
        <f ca="1">IFERROR(__xludf.DUMMYFUNCTION("""COMPUTED_VALUE"""),"Negros Oriental")</f>
        <v>Negros Oriental</v>
      </c>
      <c r="C2847" s="164" t="str">
        <f ca="1">IFERROR(__xludf.DUMMYFUNCTION("""COMPUTED_VALUE"""),"Motorcycle – (Honda XRL 150)")</f>
        <v>Motorcycle – (Honda XRL 150)</v>
      </c>
      <c r="D2847" s="164" t="str">
        <f ca="1">IFERROR(__xludf.DUMMYFUNCTION("""COMPUTED_VALUE"""),"₱ 124,900.00")</f>
        <v>₱ 124,900.00</v>
      </c>
      <c r="E2847" s="164"/>
      <c r="F2847" s="164" t="str">
        <f ca="1">IFERROR(__xludf.DUMMYFUNCTION("""COMPUTED_VALUE"""),"2023-01-060-0021-48")</f>
        <v>2023-01-060-0021-48</v>
      </c>
      <c r="G2847" s="164"/>
      <c r="H2847" s="164" t="str">
        <f ca="1">IFERROR(__xludf.DUMMYFUNCTION("""COMPUTED_VALUE"""),"Ruby R. Tinaytina")</f>
        <v>Ruby R. Tinaytina</v>
      </c>
      <c r="I2847" s="164" t="str">
        <f ca="1">IFERROR(__xludf.DUMMYFUNCTION("""COMPUTED_VALUE"""),"ARPT")</f>
        <v>ARPT</v>
      </c>
      <c r="J2847" s="164"/>
      <c r="K2847" s="164" t="str">
        <f ca="1">IFERROR(__xludf.DUMMYFUNCTION("""COMPUTED_VALUE"""),"Ruby R. Tinaytina")</f>
        <v>Ruby R. Tinaytina</v>
      </c>
      <c r="L2847" s="164"/>
      <c r="M2847" s="164" t="str">
        <f ca="1">IFERROR(__xludf.DUMMYFUNCTION("""COMPUTED_VALUE"""),"SERVICEABLE")</f>
        <v>SERVICEABLE</v>
      </c>
      <c r="N2847" s="164"/>
    </row>
    <row r="2848" spans="1:14" ht="13.2">
      <c r="A2848" s="164" t="str">
        <f ca="1">IFERROR(__xludf.DUMMYFUNCTION("""COMPUTED_VALUE"""),"NIR")</f>
        <v>NIR</v>
      </c>
      <c r="B2848" s="164" t="str">
        <f ca="1">IFERROR(__xludf.DUMMYFUNCTION("""COMPUTED_VALUE"""),"Siquijor")</f>
        <v>Siquijor</v>
      </c>
      <c r="C2848" s="164" t="str">
        <f ca="1">IFERROR(__xludf.DUMMYFUNCTION("""COMPUTED_VALUE"""),"Motorcycle – (Honda XRL 150)")</f>
        <v>Motorcycle – (Honda XRL 150)</v>
      </c>
      <c r="D2848" s="164" t="str">
        <f ca="1">IFERROR(__xludf.DUMMYFUNCTION("""COMPUTED_VALUE"""),"₱ 124,900.00")</f>
        <v>₱ 124,900.00</v>
      </c>
      <c r="E2848" s="164"/>
      <c r="F2848" s="164" t="str">
        <f ca="1">IFERROR(__xludf.DUMMYFUNCTION("""COMPUTED_VALUE"""),"2023-01-060-0022-48")</f>
        <v>2023-01-060-0022-48</v>
      </c>
      <c r="G2848" s="164"/>
      <c r="H2848" s="164" t="str">
        <f ca="1">IFERROR(__xludf.DUMMYFUNCTION("""COMPUTED_VALUE"""),"Lalaine V. Toralde")</f>
        <v>Lalaine V. Toralde</v>
      </c>
      <c r="I2848" s="164" t="str">
        <f ca="1">IFERROR(__xludf.DUMMYFUNCTION("""COMPUTED_VALUE"""),"CARPO")</f>
        <v>CARPO</v>
      </c>
      <c r="J2848" s="164"/>
      <c r="K2848" s="164" t="str">
        <f ca="1">IFERROR(__xludf.DUMMYFUNCTION("""COMPUTED_VALUE"""),"Lalaine V. Toralde")</f>
        <v>Lalaine V. Toralde</v>
      </c>
      <c r="L2848" s="164"/>
      <c r="M2848" s="164" t="str">
        <f ca="1">IFERROR(__xludf.DUMMYFUNCTION("""COMPUTED_VALUE"""),"SERVICEABLE")</f>
        <v>SERVICEABLE</v>
      </c>
      <c r="N2848" s="164"/>
    </row>
    <row r="2849" spans="1:14" ht="13.2" hidden="1">
      <c r="A2849" s="164" t="str">
        <f ca="1">IFERROR(__xludf.DUMMYFUNCTION("""COMPUTED_VALUE"""),"NIR")</f>
        <v>NIR</v>
      </c>
      <c r="B2849" s="164" t="str">
        <f ca="1">IFERROR(__xludf.DUMMYFUNCTION("""COMPUTED_VALUE"""),"Negros Oriental")</f>
        <v>Negros Oriental</v>
      </c>
      <c r="C2849" s="164" t="str">
        <f ca="1">IFERROR(__xludf.DUMMYFUNCTION("""COMPUTED_VALUE"""),"Double Cabin Pick-up Vehicles – Mitsubishi Strada")</f>
        <v>Double Cabin Pick-up Vehicles – Mitsubishi Strada</v>
      </c>
      <c r="D2849" s="164" t="str">
        <f ca="1">IFERROR(__xludf.DUMMYFUNCTION("""COMPUTED_VALUE"""),"₱ 1,752,400.00")</f>
        <v>₱ 1,752,400.00</v>
      </c>
      <c r="E2849" s="164"/>
      <c r="F2849" s="164" t="str">
        <f ca="1">IFERROR(__xludf.DUMMYFUNCTION("""COMPUTED_VALUE"""),"2023-06-01-10201SP98-01")</f>
        <v>2023-06-01-10201SP98-01</v>
      </c>
      <c r="G2849" s="164" t="str">
        <f ca="1">IFERROR(__xludf.DUMMYFUNCTION("""COMPUTED_VALUE"""),"SNC 1118")</f>
        <v>SNC 1118</v>
      </c>
      <c r="H2849" s="164" t="str">
        <f ca="1">IFERROR(__xludf.DUMMYFUNCTION("""COMPUTED_VALUE"""),"Anthony Rey D. Lobrido")</f>
        <v>Anthony Rey D. Lobrido</v>
      </c>
      <c r="I2849" s="164" t="str">
        <f ca="1">IFERROR(__xludf.DUMMYFUNCTION("""COMPUTED_VALUE"""),"AO IV")</f>
        <v>AO IV</v>
      </c>
      <c r="J2849" s="164"/>
      <c r="K2849" s="164" t="str">
        <f ca="1">IFERROR(__xludf.DUMMYFUNCTION("""COMPUTED_VALUE"""),"Anthony Rey D. Lobrido")</f>
        <v>Anthony Rey D. Lobrido</v>
      </c>
      <c r="L2849" s="164"/>
      <c r="M2849" s="164" t="str">
        <f ca="1">IFERROR(__xludf.DUMMYFUNCTION("""COMPUTED_VALUE"""),"SERVICEABLE")</f>
        <v>SERVICEABLE</v>
      </c>
      <c r="N2849" s="164"/>
    </row>
    <row r="2850" spans="1:14" ht="13.2" hidden="1">
      <c r="A2850" s="164" t="str">
        <f ca="1">IFERROR(__xludf.DUMMYFUNCTION("""COMPUTED_VALUE"""),"NIR")</f>
        <v>NIR</v>
      </c>
      <c r="B2850" s="164" t="str">
        <f ca="1">IFERROR(__xludf.DUMMYFUNCTION("""COMPUTED_VALUE"""),"Negros Occidental I")</f>
        <v>Negros Occidental I</v>
      </c>
      <c r="C2850" s="164" t="str">
        <f ca="1">IFERROR(__xludf.DUMMYFUNCTION("""COMPUTED_VALUE"""),"Motorcycle – (Honda XRL 150)")</f>
        <v>Motorcycle – (Honda XRL 150)</v>
      </c>
      <c r="D2850" s="164" t="str">
        <f ca="1">IFERROR(__xludf.DUMMYFUNCTION("""COMPUTED_VALUE"""),"₱ 124,900.00")</f>
        <v>₱ 124,900.00</v>
      </c>
      <c r="E2850" s="164"/>
      <c r="F2850" s="164" t="str">
        <f ca="1">IFERROR(__xludf.DUMMYFUNCTION("""COMPUTED_VALUE"""),"2023-06-01-10202SP280-01")</f>
        <v>2023-06-01-10202SP280-01</v>
      </c>
      <c r="G2850" s="164"/>
      <c r="H2850" s="164" t="str">
        <f ca="1">IFERROR(__xludf.DUMMYFUNCTION("""COMPUTED_VALUE"""),"DOROMAL, LIBERTY V.")</f>
        <v>DOROMAL, LIBERTY V.</v>
      </c>
      <c r="I2850" s="164" t="str">
        <f ca="1">IFERROR(__xludf.DUMMYFUNCTION("""COMPUTED_VALUE"""),"ARPT.")</f>
        <v>ARPT.</v>
      </c>
      <c r="J2850" s="164" t="str">
        <f ca="1">IFERROR(__xludf.DUMMYFUNCTION("""COMPUTED_VALUE"""),"2023-05-001")</f>
        <v>2023-05-001</v>
      </c>
      <c r="K2850" s="164" t="str">
        <f ca="1">IFERROR(__xludf.DUMMYFUNCTION("""COMPUTED_VALUE"""),"DOROMAL, LIBERTY V.")</f>
        <v>DOROMAL, LIBERTY V.</v>
      </c>
      <c r="L2850" s="164"/>
      <c r="M2850" s="164" t="str">
        <f ca="1">IFERROR(__xludf.DUMMYFUNCTION("""COMPUTED_VALUE"""),"SERVICEABLE")</f>
        <v>SERVICEABLE</v>
      </c>
      <c r="N2850" s="164"/>
    </row>
    <row r="2851" spans="1:14" ht="13.2" hidden="1">
      <c r="A2851" s="164" t="str">
        <f ca="1">IFERROR(__xludf.DUMMYFUNCTION("""COMPUTED_VALUE"""),"NIR")</f>
        <v>NIR</v>
      </c>
      <c r="B2851" s="164" t="str">
        <f ca="1">IFERROR(__xludf.DUMMYFUNCTION("""COMPUTED_VALUE"""),"Negros Occidental I")</f>
        <v>Negros Occidental I</v>
      </c>
      <c r="C2851" s="164" t="str">
        <f ca="1">IFERROR(__xludf.DUMMYFUNCTION("""COMPUTED_VALUE"""),"Motorcycle – (Honda XRL 150)")</f>
        <v>Motorcycle – (Honda XRL 150)</v>
      </c>
      <c r="D2851" s="164" t="str">
        <f ca="1">IFERROR(__xludf.DUMMYFUNCTION("""COMPUTED_VALUE"""),"₱ 124,900.00")</f>
        <v>₱ 124,900.00</v>
      </c>
      <c r="E2851" s="164"/>
      <c r="F2851" s="164" t="str">
        <f ca="1">IFERROR(__xludf.DUMMYFUNCTION("""COMPUTED_VALUE"""),"2023-06-01-10202SP281-01")</f>
        <v>2023-06-01-10202SP281-01</v>
      </c>
      <c r="G2851" s="164"/>
      <c r="H2851" s="164" t="str">
        <f ca="1">IFERROR(__xludf.DUMMYFUNCTION("""COMPUTED_VALUE"""),"ESTRELLA, CRIS VINCENT D.")</f>
        <v>ESTRELLA, CRIS VINCENT D.</v>
      </c>
      <c r="I2851" s="164" t="str">
        <f ca="1">IFERROR(__xludf.DUMMYFUNCTION("""COMPUTED_VALUE"""),"ARPT.")</f>
        <v>ARPT.</v>
      </c>
      <c r="J2851" s="164" t="str">
        <f ca="1">IFERROR(__xludf.DUMMYFUNCTION("""COMPUTED_VALUE"""),"2023-05-002")</f>
        <v>2023-05-002</v>
      </c>
      <c r="K2851" s="164" t="str">
        <f ca="1">IFERROR(__xludf.DUMMYFUNCTION("""COMPUTED_VALUE"""),"ESTRELLA, CRIS VINCENT D.")</f>
        <v>ESTRELLA, CRIS VINCENT D.</v>
      </c>
      <c r="L2851" s="164"/>
      <c r="M2851" s="164" t="str">
        <f ca="1">IFERROR(__xludf.DUMMYFUNCTION("""COMPUTED_VALUE"""),"SERVICEABLE")</f>
        <v>SERVICEABLE</v>
      </c>
      <c r="N2851" s="164"/>
    </row>
    <row r="2852" spans="1:14" ht="13.2" hidden="1">
      <c r="A2852" s="164" t="str">
        <f ca="1">IFERROR(__xludf.DUMMYFUNCTION("""COMPUTED_VALUE"""),"NIR")</f>
        <v>NIR</v>
      </c>
      <c r="B2852" s="164" t="str">
        <f ca="1">IFERROR(__xludf.DUMMYFUNCTION("""COMPUTED_VALUE"""),"Negros Occidental I")</f>
        <v>Negros Occidental I</v>
      </c>
      <c r="C2852" s="164" t="str">
        <f ca="1">IFERROR(__xludf.DUMMYFUNCTION("""COMPUTED_VALUE"""),"Motorcycle – (Honda XRL 150)")</f>
        <v>Motorcycle – (Honda XRL 150)</v>
      </c>
      <c r="D2852" s="164" t="str">
        <f ca="1">IFERROR(__xludf.DUMMYFUNCTION("""COMPUTED_VALUE"""),"₱ 124,900.00")</f>
        <v>₱ 124,900.00</v>
      </c>
      <c r="E2852" s="164"/>
      <c r="F2852" s="164" t="str">
        <f ca="1">IFERROR(__xludf.DUMMYFUNCTION("""COMPUTED_VALUE"""),"2023-06-01-10202SP282-01")</f>
        <v>2023-06-01-10202SP282-01</v>
      </c>
      <c r="G2852" s="164"/>
      <c r="H2852" s="164" t="str">
        <f ca="1">IFERROR(__xludf.DUMMYFUNCTION("""COMPUTED_VALUE"""),"BENITO, EBENEZER JR. G.")</f>
        <v>BENITO, EBENEZER JR. G.</v>
      </c>
      <c r="I2852" s="164" t="str">
        <f ca="1">IFERROR(__xludf.DUMMYFUNCTION("""COMPUTED_VALUE"""),"SARPT.")</f>
        <v>SARPT.</v>
      </c>
      <c r="J2852" s="164" t="str">
        <f ca="1">IFERROR(__xludf.DUMMYFUNCTION("""COMPUTED_VALUE"""),"2023-05-003")</f>
        <v>2023-05-003</v>
      </c>
      <c r="K2852" s="164" t="str">
        <f ca="1">IFERROR(__xludf.DUMMYFUNCTION("""COMPUTED_VALUE"""),"BENITO, EBENEZER JR. G.")</f>
        <v>BENITO, EBENEZER JR. G.</v>
      </c>
      <c r="L2852" s="164"/>
      <c r="M2852" s="164" t="str">
        <f ca="1">IFERROR(__xludf.DUMMYFUNCTION("""COMPUTED_VALUE"""),"SERVICEABLE")</f>
        <v>SERVICEABLE</v>
      </c>
      <c r="N2852" s="164"/>
    </row>
    <row r="2853" spans="1:14" ht="13.2" hidden="1">
      <c r="A2853" s="164" t="str">
        <f ca="1">IFERROR(__xludf.DUMMYFUNCTION("""COMPUTED_VALUE"""),"NIR")</f>
        <v>NIR</v>
      </c>
      <c r="B2853" s="164" t="str">
        <f ca="1">IFERROR(__xludf.DUMMYFUNCTION("""COMPUTED_VALUE"""),"Negros Occidental I")</f>
        <v>Negros Occidental I</v>
      </c>
      <c r="C2853" s="164" t="str">
        <f ca="1">IFERROR(__xludf.DUMMYFUNCTION("""COMPUTED_VALUE"""),"Motorcycle – (Honda XRL 150)")</f>
        <v>Motorcycle – (Honda XRL 150)</v>
      </c>
      <c r="D2853" s="164" t="str">
        <f ca="1">IFERROR(__xludf.DUMMYFUNCTION("""COMPUTED_VALUE"""),"₱ 124,900.00")</f>
        <v>₱ 124,900.00</v>
      </c>
      <c r="E2853" s="164"/>
      <c r="F2853" s="164" t="str">
        <f ca="1">IFERROR(__xludf.DUMMYFUNCTION("""COMPUTED_VALUE"""),"2023-06-01-10202SP283-01")</f>
        <v>2023-06-01-10202SP283-01</v>
      </c>
      <c r="G2853" s="164"/>
      <c r="H2853" s="164" t="str">
        <f ca="1">IFERROR(__xludf.DUMMYFUNCTION("""COMPUTED_VALUE"""),"PEDROSA, JOSHUA OLIVER R.")</f>
        <v>PEDROSA, JOSHUA OLIVER R.</v>
      </c>
      <c r="I2853" s="164" t="str">
        <f ca="1">IFERROR(__xludf.DUMMYFUNCTION("""COMPUTED_VALUE"""),"ARPT./NTD/PeTD PREPARATION&amp; VERIFIER")</f>
        <v>ARPT./NTD/PeTD PREPARATION&amp; VERIFIER</v>
      </c>
      <c r="J2853" s="164" t="str">
        <f ca="1">IFERROR(__xludf.DUMMYFUNCTION("""COMPUTED_VALUE"""),"2023-05-004")</f>
        <v>2023-05-004</v>
      </c>
      <c r="K2853" s="164" t="str">
        <f ca="1">IFERROR(__xludf.DUMMYFUNCTION("""COMPUTED_VALUE"""),"PEDROSA, JOSHUA OLIVER R.")</f>
        <v>PEDROSA, JOSHUA OLIVER R.</v>
      </c>
      <c r="L2853" s="164"/>
      <c r="M2853" s="164" t="str">
        <f ca="1">IFERROR(__xludf.DUMMYFUNCTION("""COMPUTED_VALUE"""),"SERVICEABLE")</f>
        <v>SERVICEABLE</v>
      </c>
      <c r="N2853" s="164"/>
    </row>
    <row r="2854" spans="1:14" ht="13.2" hidden="1">
      <c r="A2854" s="164" t="str">
        <f ca="1">IFERROR(__xludf.DUMMYFUNCTION("""COMPUTED_VALUE"""),"NIR")</f>
        <v>NIR</v>
      </c>
      <c r="B2854" s="164" t="str">
        <f ca="1">IFERROR(__xludf.DUMMYFUNCTION("""COMPUTED_VALUE"""),"Negros Occidental I")</f>
        <v>Negros Occidental I</v>
      </c>
      <c r="C2854" s="164" t="str">
        <f ca="1">IFERROR(__xludf.DUMMYFUNCTION("""COMPUTED_VALUE"""),"Motorcycle – (Honda XRL 150)")</f>
        <v>Motorcycle – (Honda XRL 150)</v>
      </c>
      <c r="D2854" s="164" t="str">
        <f ca="1">IFERROR(__xludf.DUMMYFUNCTION("""COMPUTED_VALUE"""),"₱ 124,900.00")</f>
        <v>₱ 124,900.00</v>
      </c>
      <c r="E2854" s="164"/>
      <c r="F2854" s="164" t="str">
        <f ca="1">IFERROR(__xludf.DUMMYFUNCTION("""COMPUTED_VALUE"""),"2023-06-01-10202SP284-01")</f>
        <v>2023-06-01-10202SP284-01</v>
      </c>
      <c r="G2854" s="164"/>
      <c r="H2854" s="164" t="str">
        <f ca="1">IFERROR(__xludf.DUMMYFUNCTION("""COMPUTED_VALUE"""),"ZAMORA, HAROLD D.")</f>
        <v>ZAMORA, HAROLD D.</v>
      </c>
      <c r="I2854" s="164" t="str">
        <f ca="1">IFERROR(__xludf.DUMMYFUNCTION("""COMPUTED_VALUE"""),"SARPT.")</f>
        <v>SARPT.</v>
      </c>
      <c r="J2854" s="164" t="str">
        <f ca="1">IFERROR(__xludf.DUMMYFUNCTION("""COMPUTED_VALUE"""),"2023-05-005")</f>
        <v>2023-05-005</v>
      </c>
      <c r="K2854" s="164" t="str">
        <f ca="1">IFERROR(__xludf.DUMMYFUNCTION("""COMPUTED_VALUE"""),"ZAMORA, HAROLD D.")</f>
        <v>ZAMORA, HAROLD D.</v>
      </c>
      <c r="L2854" s="164"/>
      <c r="M2854" s="164" t="str">
        <f ca="1">IFERROR(__xludf.DUMMYFUNCTION("""COMPUTED_VALUE"""),"SERVICEABLE")</f>
        <v>SERVICEABLE</v>
      </c>
      <c r="N2854" s="164"/>
    </row>
    <row r="2855" spans="1:14" ht="13.2" hidden="1">
      <c r="A2855" s="164" t="str">
        <f ca="1">IFERROR(__xludf.DUMMYFUNCTION("""COMPUTED_VALUE"""),"NIR")</f>
        <v>NIR</v>
      </c>
      <c r="B2855" s="164" t="str">
        <f ca="1">IFERROR(__xludf.DUMMYFUNCTION("""COMPUTED_VALUE"""),"Negros Occidental I")</f>
        <v>Negros Occidental I</v>
      </c>
      <c r="C2855" s="164" t="str">
        <f ca="1">IFERROR(__xludf.DUMMYFUNCTION("""COMPUTED_VALUE"""),"Motorcycle – (Honda XRL 150)")</f>
        <v>Motorcycle – (Honda XRL 150)</v>
      </c>
      <c r="D2855" s="164" t="str">
        <f ca="1">IFERROR(__xludf.DUMMYFUNCTION("""COMPUTED_VALUE"""),"₱ 124,900.00")</f>
        <v>₱ 124,900.00</v>
      </c>
      <c r="E2855" s="164"/>
      <c r="F2855" s="164" t="str">
        <f ca="1">IFERROR(__xludf.DUMMYFUNCTION("""COMPUTED_VALUE"""),"2023-06-01-10202SP285-01")</f>
        <v>2023-06-01-10202SP285-01</v>
      </c>
      <c r="G2855" s="164"/>
      <c r="H2855" s="164" t="str">
        <f ca="1">IFERROR(__xludf.DUMMYFUNCTION("""COMPUTED_VALUE"""),"AGUIERO, JOSE JR., T.")</f>
        <v>AGUIERO, JOSE JR., T.</v>
      </c>
      <c r="I2855" s="164" t="str">
        <f ca="1">IFERROR(__xludf.DUMMYFUNCTION("""COMPUTED_VALUE"""),"ARPT.")</f>
        <v>ARPT.</v>
      </c>
      <c r="J2855" s="164" t="str">
        <f ca="1">IFERROR(__xludf.DUMMYFUNCTION("""COMPUTED_VALUE"""),"2023-05-006")</f>
        <v>2023-05-006</v>
      </c>
      <c r="K2855" s="164" t="str">
        <f ca="1">IFERROR(__xludf.DUMMYFUNCTION("""COMPUTED_VALUE"""),"AGUIERO, JOSE JR., T.")</f>
        <v>AGUIERO, JOSE JR., T.</v>
      </c>
      <c r="L2855" s="164"/>
      <c r="M2855" s="164" t="str">
        <f ca="1">IFERROR(__xludf.DUMMYFUNCTION("""COMPUTED_VALUE"""),"SERVICEABLE")</f>
        <v>SERVICEABLE</v>
      </c>
      <c r="N2855" s="164"/>
    </row>
    <row r="2856" spans="1:14" ht="13.2" hidden="1">
      <c r="A2856" s="164" t="str">
        <f ca="1">IFERROR(__xludf.DUMMYFUNCTION("""COMPUTED_VALUE"""),"NIR")</f>
        <v>NIR</v>
      </c>
      <c r="B2856" s="164" t="str">
        <f ca="1">IFERROR(__xludf.DUMMYFUNCTION("""COMPUTED_VALUE"""),"Negros Occidental I")</f>
        <v>Negros Occidental I</v>
      </c>
      <c r="C2856" s="164" t="str">
        <f ca="1">IFERROR(__xludf.DUMMYFUNCTION("""COMPUTED_VALUE"""),"Motorcycle – (Honda XRL 150)")</f>
        <v>Motorcycle – (Honda XRL 150)</v>
      </c>
      <c r="D2856" s="164" t="str">
        <f ca="1">IFERROR(__xludf.DUMMYFUNCTION("""COMPUTED_VALUE"""),"₱ 124,900.00")</f>
        <v>₱ 124,900.00</v>
      </c>
      <c r="E2856" s="164"/>
      <c r="F2856" s="164" t="str">
        <f ca="1">IFERROR(__xludf.DUMMYFUNCTION("""COMPUTED_VALUE"""),"2023-06-01-10202SP286-01")</f>
        <v>2023-06-01-10202SP286-01</v>
      </c>
      <c r="G2856" s="164"/>
      <c r="H2856" s="164" t="str">
        <f ca="1">IFERROR(__xludf.DUMMYFUNCTION("""COMPUTED_VALUE"""),"JAVARRO, JAN S.")</f>
        <v>JAVARRO, JAN S.</v>
      </c>
      <c r="I2856" s="164" t="str">
        <f ca="1">IFERROR(__xludf.DUMMYFUNCTION("""COMPUTED_VALUE"""),"ARPT.")</f>
        <v>ARPT.</v>
      </c>
      <c r="J2856" s="164" t="str">
        <f ca="1">IFERROR(__xludf.DUMMYFUNCTION("""COMPUTED_VALUE"""),"2023-05-007")</f>
        <v>2023-05-007</v>
      </c>
      <c r="K2856" s="164" t="str">
        <f ca="1">IFERROR(__xludf.DUMMYFUNCTION("""COMPUTED_VALUE"""),"JAVARRO, JAN S.")</f>
        <v>JAVARRO, JAN S.</v>
      </c>
      <c r="L2856" s="164"/>
      <c r="M2856" s="164" t="str">
        <f ca="1">IFERROR(__xludf.DUMMYFUNCTION("""COMPUTED_VALUE"""),"SERVICEABLE")</f>
        <v>SERVICEABLE</v>
      </c>
      <c r="N2856" s="164"/>
    </row>
    <row r="2857" spans="1:14" ht="13.2" hidden="1">
      <c r="A2857" s="164" t="str">
        <f ca="1">IFERROR(__xludf.DUMMYFUNCTION("""COMPUTED_VALUE"""),"NIR")</f>
        <v>NIR</v>
      </c>
      <c r="B2857" s="164" t="str">
        <f ca="1">IFERROR(__xludf.DUMMYFUNCTION("""COMPUTED_VALUE"""),"Negros Occidental I")</f>
        <v>Negros Occidental I</v>
      </c>
      <c r="C2857" s="164" t="str">
        <f ca="1">IFERROR(__xludf.DUMMYFUNCTION("""COMPUTED_VALUE"""),"Motorcycle – (Honda XRL 150)")</f>
        <v>Motorcycle – (Honda XRL 150)</v>
      </c>
      <c r="D2857" s="164" t="str">
        <f ca="1">IFERROR(__xludf.DUMMYFUNCTION("""COMPUTED_VALUE"""),"₱ 124,900.00")</f>
        <v>₱ 124,900.00</v>
      </c>
      <c r="E2857" s="164"/>
      <c r="F2857" s="164" t="str">
        <f ca="1">IFERROR(__xludf.DUMMYFUNCTION("""COMPUTED_VALUE"""),"2023-06-01-10202SP287-01")</f>
        <v>2023-06-01-10202SP287-01</v>
      </c>
      <c r="G2857" s="164"/>
      <c r="H2857" s="164" t="str">
        <f ca="1">IFERROR(__xludf.DUMMYFUNCTION("""COMPUTED_VALUE"""),"REPUBLICA DONEL C.")</f>
        <v>REPUBLICA DONEL C.</v>
      </c>
      <c r="I2857" s="164" t="str">
        <f ca="1">IFERROR(__xludf.DUMMYFUNCTION("""COMPUTED_VALUE"""),"ARPT.")</f>
        <v>ARPT.</v>
      </c>
      <c r="J2857" s="164" t="str">
        <f ca="1">IFERROR(__xludf.DUMMYFUNCTION("""COMPUTED_VALUE"""),"2023-05-008")</f>
        <v>2023-05-008</v>
      </c>
      <c r="K2857" s="164" t="str">
        <f ca="1">IFERROR(__xludf.DUMMYFUNCTION("""COMPUTED_VALUE"""),"REPUBLICA DONEL C.")</f>
        <v>REPUBLICA DONEL C.</v>
      </c>
      <c r="L2857" s="164"/>
      <c r="M2857" s="164" t="str">
        <f ca="1">IFERROR(__xludf.DUMMYFUNCTION("""COMPUTED_VALUE"""),"SERVICEABLE")</f>
        <v>SERVICEABLE</v>
      </c>
      <c r="N2857" s="164"/>
    </row>
    <row r="2858" spans="1:14" ht="13.2" hidden="1">
      <c r="A2858" s="164" t="str">
        <f ca="1">IFERROR(__xludf.DUMMYFUNCTION("""COMPUTED_VALUE"""),"NIR")</f>
        <v>NIR</v>
      </c>
      <c r="B2858" s="164" t="str">
        <f ca="1">IFERROR(__xludf.DUMMYFUNCTION("""COMPUTED_VALUE"""),"Negros Occidental I")</f>
        <v>Negros Occidental I</v>
      </c>
      <c r="C2858" s="164" t="str">
        <f ca="1">IFERROR(__xludf.DUMMYFUNCTION("""COMPUTED_VALUE"""),"Motorcycle – (Honda XRL 150)")</f>
        <v>Motorcycle – (Honda XRL 150)</v>
      </c>
      <c r="D2858" s="164" t="str">
        <f ca="1">IFERROR(__xludf.DUMMYFUNCTION("""COMPUTED_VALUE"""),"₱ 124,900.00")</f>
        <v>₱ 124,900.00</v>
      </c>
      <c r="E2858" s="164"/>
      <c r="F2858" s="164" t="str">
        <f ca="1">IFERROR(__xludf.DUMMYFUNCTION("""COMPUTED_VALUE"""),"2023-06-01-10202SP288-01")</f>
        <v>2023-06-01-10202SP288-01</v>
      </c>
      <c r="G2858" s="164"/>
      <c r="H2858" s="164" t="str">
        <f ca="1">IFERROR(__xludf.DUMMYFUNCTION("""COMPUTED_VALUE"""),"SEGOVIA, PETER S.")</f>
        <v>SEGOVIA, PETER S.</v>
      </c>
      <c r="I2858" s="164" t="str">
        <f ca="1">IFERROR(__xludf.DUMMYFUNCTION("""COMPUTED_VALUE"""),"ARPT./NTD/PeTD UNIT HEAD")</f>
        <v>ARPT./NTD/PeTD UNIT HEAD</v>
      </c>
      <c r="J2858" s="164" t="str">
        <f ca="1">IFERROR(__xludf.DUMMYFUNCTION("""COMPUTED_VALUE"""),"2023-05-009")</f>
        <v>2023-05-009</v>
      </c>
      <c r="K2858" s="164" t="str">
        <f ca="1">IFERROR(__xludf.DUMMYFUNCTION("""COMPUTED_VALUE"""),"SEGOVIA, PETER S.")</f>
        <v>SEGOVIA, PETER S.</v>
      </c>
      <c r="L2858" s="164"/>
      <c r="M2858" s="164" t="str">
        <f ca="1">IFERROR(__xludf.DUMMYFUNCTION("""COMPUTED_VALUE"""),"SERVICEABLE")</f>
        <v>SERVICEABLE</v>
      </c>
      <c r="N2858" s="164"/>
    </row>
    <row r="2859" spans="1:14" ht="13.2" hidden="1">
      <c r="A2859" s="164" t="str">
        <f ca="1">IFERROR(__xludf.DUMMYFUNCTION("""COMPUTED_VALUE"""),"NIR")</f>
        <v>NIR</v>
      </c>
      <c r="B2859" s="164" t="str">
        <f ca="1">IFERROR(__xludf.DUMMYFUNCTION("""COMPUTED_VALUE"""),"Negros Occidental I")</f>
        <v>Negros Occidental I</v>
      </c>
      <c r="C2859" s="164" t="str">
        <f ca="1">IFERROR(__xludf.DUMMYFUNCTION("""COMPUTED_VALUE"""),"Motorcycle – (Honda XRL 150)")</f>
        <v>Motorcycle – (Honda XRL 150)</v>
      </c>
      <c r="D2859" s="164" t="str">
        <f ca="1">IFERROR(__xludf.DUMMYFUNCTION("""COMPUTED_VALUE"""),"₱ 124,900.00")</f>
        <v>₱ 124,900.00</v>
      </c>
      <c r="E2859" s="164"/>
      <c r="F2859" s="164" t="str">
        <f ca="1">IFERROR(__xludf.DUMMYFUNCTION("""COMPUTED_VALUE"""),"2023-06-01-10202SP289-01")</f>
        <v>2023-06-01-10202SP289-01</v>
      </c>
      <c r="G2859" s="164"/>
      <c r="H2859" s="164" t="str">
        <f ca="1">IFERROR(__xludf.DUMMYFUNCTION("""COMPUTED_VALUE"""),"MORALES, ERNIE J.")</f>
        <v>MORALES, ERNIE J.</v>
      </c>
      <c r="I2859" s="164" t="str">
        <f ca="1">IFERROR(__xludf.DUMMYFUNCTION("""COMPUTED_VALUE"""),"A.O. IV/M&amp;E COORDINATOR")</f>
        <v>A.O. IV/M&amp;E COORDINATOR</v>
      </c>
      <c r="J2859" s="164" t="str">
        <f ca="1">IFERROR(__xludf.DUMMYFUNCTION("""COMPUTED_VALUE"""),"2023-05-010")</f>
        <v>2023-05-010</v>
      </c>
      <c r="K2859" s="164" t="str">
        <f ca="1">IFERROR(__xludf.DUMMYFUNCTION("""COMPUTED_VALUE"""),"MORALES, ERNIE J.")</f>
        <v>MORALES, ERNIE J.</v>
      </c>
      <c r="L2859" s="164"/>
      <c r="M2859" s="164" t="str">
        <f ca="1">IFERROR(__xludf.DUMMYFUNCTION("""COMPUTED_VALUE"""),"SERVICEABLE")</f>
        <v>SERVICEABLE</v>
      </c>
      <c r="N2859" s="164"/>
    </row>
    <row r="2860" spans="1:14" ht="13.2" hidden="1">
      <c r="A2860" s="164" t="str">
        <f ca="1">IFERROR(__xludf.DUMMYFUNCTION("""COMPUTED_VALUE"""),"NIR")</f>
        <v>NIR</v>
      </c>
      <c r="B2860" s="164" t="str">
        <f ca="1">IFERROR(__xludf.DUMMYFUNCTION("""COMPUTED_VALUE"""),"Negros Occidental I")</f>
        <v>Negros Occidental I</v>
      </c>
      <c r="C2860" s="164" t="str">
        <f ca="1">IFERROR(__xludf.DUMMYFUNCTION("""COMPUTED_VALUE"""),"Motorcycle – (Honda XRL 150)")</f>
        <v>Motorcycle – (Honda XRL 150)</v>
      </c>
      <c r="D2860" s="164" t="str">
        <f ca="1">IFERROR(__xludf.DUMMYFUNCTION("""COMPUTED_VALUE"""),"₱ 124,900.00")</f>
        <v>₱ 124,900.00</v>
      </c>
      <c r="E2860" s="164"/>
      <c r="F2860" s="164" t="str">
        <f ca="1">IFERROR(__xludf.DUMMYFUNCTION("""COMPUTED_VALUE"""),"2023-06-01-10202SP290-01")</f>
        <v>2023-06-01-10202SP290-01</v>
      </c>
      <c r="G2860" s="164"/>
      <c r="H2860" s="164" t="str">
        <f ca="1">IFERROR(__xludf.DUMMYFUNCTION("""COMPUTED_VALUE"""),"AGUIERO, JOSUNDNOVECH T.")</f>
        <v>AGUIERO, JOSUNDNOVECH T.</v>
      </c>
      <c r="I2860" s="164" t="str">
        <f ca="1">IFERROR(__xludf.DUMMYFUNCTION("""COMPUTED_VALUE"""),"SARPT.")</f>
        <v>SARPT.</v>
      </c>
      <c r="J2860" s="164" t="str">
        <f ca="1">IFERROR(__xludf.DUMMYFUNCTION("""COMPUTED_VALUE"""),"2023-05-011")</f>
        <v>2023-05-011</v>
      </c>
      <c r="K2860" s="164" t="str">
        <f ca="1">IFERROR(__xludf.DUMMYFUNCTION("""COMPUTED_VALUE"""),"AGUIERO, JOSUNDNOVECH T.")</f>
        <v>AGUIERO, JOSUNDNOVECH T.</v>
      </c>
      <c r="L2860" s="164"/>
      <c r="M2860" s="164" t="str">
        <f ca="1">IFERROR(__xludf.DUMMYFUNCTION("""COMPUTED_VALUE"""),"SERVICEABLE")</f>
        <v>SERVICEABLE</v>
      </c>
      <c r="N2860" s="164"/>
    </row>
    <row r="2861" spans="1:14" ht="13.2" hidden="1">
      <c r="A2861" s="164" t="str">
        <f ca="1">IFERROR(__xludf.DUMMYFUNCTION("""COMPUTED_VALUE"""),"NIR")</f>
        <v>NIR</v>
      </c>
      <c r="B2861" s="164" t="str">
        <f ca="1">IFERROR(__xludf.DUMMYFUNCTION("""COMPUTED_VALUE"""),"Negros Occidental I")</f>
        <v>Negros Occidental I</v>
      </c>
      <c r="C2861" s="164" t="str">
        <f ca="1">IFERROR(__xludf.DUMMYFUNCTION("""COMPUTED_VALUE"""),"Motorcycle – (Honda XRL 150)")</f>
        <v>Motorcycle – (Honda XRL 150)</v>
      </c>
      <c r="D2861" s="164" t="str">
        <f ca="1">IFERROR(__xludf.DUMMYFUNCTION("""COMPUTED_VALUE"""),"₱ 124,900.00")</f>
        <v>₱ 124,900.00</v>
      </c>
      <c r="E2861" s="164"/>
      <c r="F2861" s="164" t="str">
        <f ca="1">IFERROR(__xludf.DUMMYFUNCTION("""COMPUTED_VALUE"""),"2023-06-01-10202SP291-01")</f>
        <v>2023-06-01-10202SP291-01</v>
      </c>
      <c r="G2861" s="164"/>
      <c r="H2861" s="164" t="str">
        <f ca="1">IFERROR(__xludf.DUMMYFUNCTION("""COMPUTED_VALUE"""),"PALMERA, JOSEPH C.")</f>
        <v>PALMERA, JOSEPH C.</v>
      </c>
      <c r="I2861" s="164" t="str">
        <f ca="1">IFERROR(__xludf.DUMMYFUNCTION("""COMPUTED_VALUE"""),"ARPT.")</f>
        <v>ARPT.</v>
      </c>
      <c r="J2861" s="164" t="str">
        <f ca="1">IFERROR(__xludf.DUMMYFUNCTION("""COMPUTED_VALUE"""),"2023-05-012")</f>
        <v>2023-05-012</v>
      </c>
      <c r="K2861" s="164" t="str">
        <f ca="1">IFERROR(__xludf.DUMMYFUNCTION("""COMPUTED_VALUE"""),"PALMERA, JOSEPH C.")</f>
        <v>PALMERA, JOSEPH C.</v>
      </c>
      <c r="L2861" s="164"/>
      <c r="M2861" s="164" t="str">
        <f ca="1">IFERROR(__xludf.DUMMYFUNCTION("""COMPUTED_VALUE"""),"SERVICEABLE")</f>
        <v>SERVICEABLE</v>
      </c>
      <c r="N2861" s="164"/>
    </row>
    <row r="2862" spans="1:14" ht="13.2" hidden="1">
      <c r="A2862" s="164" t="str">
        <f ca="1">IFERROR(__xludf.DUMMYFUNCTION("""COMPUTED_VALUE"""),"NIR")</f>
        <v>NIR</v>
      </c>
      <c r="B2862" s="164" t="str">
        <f ca="1">IFERROR(__xludf.DUMMYFUNCTION("""COMPUTED_VALUE"""),"Negros Occidental I")</f>
        <v>Negros Occidental I</v>
      </c>
      <c r="C2862" s="164" t="str">
        <f ca="1">IFERROR(__xludf.DUMMYFUNCTION("""COMPUTED_VALUE"""),"Motorcycle – (Honda XRL 150)")</f>
        <v>Motorcycle – (Honda XRL 150)</v>
      </c>
      <c r="D2862" s="164" t="str">
        <f ca="1">IFERROR(__xludf.DUMMYFUNCTION("""COMPUTED_VALUE"""),"₱ 124,900.00")</f>
        <v>₱ 124,900.00</v>
      </c>
      <c r="E2862" s="164"/>
      <c r="F2862" s="164" t="str">
        <f ca="1">IFERROR(__xludf.DUMMYFUNCTION("""COMPUTED_VALUE"""),"2023-06-01-10202SP292-01")</f>
        <v>2023-06-01-10202SP292-01</v>
      </c>
      <c r="G2862" s="164"/>
      <c r="H2862" s="164" t="str">
        <f ca="1">IFERROR(__xludf.DUMMYFUNCTION("""COMPUTED_VALUE"""),"SARABIA, MARK RYAN B.")</f>
        <v>SARABIA, MARK RYAN B.</v>
      </c>
      <c r="I2862" s="164" t="str">
        <f ca="1">IFERROR(__xludf.DUMMYFUNCTION("""COMPUTED_VALUE"""),"SARPT./MIS COORDINATOR")</f>
        <v>SARPT./MIS COORDINATOR</v>
      </c>
      <c r="J2862" s="164" t="str">
        <f ca="1">IFERROR(__xludf.DUMMYFUNCTION("""COMPUTED_VALUE"""),"2023-05-013")</f>
        <v>2023-05-013</v>
      </c>
      <c r="K2862" s="164" t="str">
        <f ca="1">IFERROR(__xludf.DUMMYFUNCTION("""COMPUTED_VALUE"""),"SARABIA, MARK RYAN B.")</f>
        <v>SARABIA, MARK RYAN B.</v>
      </c>
      <c r="L2862" s="164"/>
      <c r="M2862" s="164" t="str">
        <f ca="1">IFERROR(__xludf.DUMMYFUNCTION("""COMPUTED_VALUE"""),"SERVICEABLE")</f>
        <v>SERVICEABLE</v>
      </c>
      <c r="N2862" s="164"/>
    </row>
    <row r="2863" spans="1:14" ht="13.2" hidden="1">
      <c r="A2863" s="164" t="str">
        <f ca="1">IFERROR(__xludf.DUMMYFUNCTION("""COMPUTED_VALUE"""),"NIR")</f>
        <v>NIR</v>
      </c>
      <c r="B2863" s="164" t="str">
        <f ca="1">IFERROR(__xludf.DUMMYFUNCTION("""COMPUTED_VALUE"""),"Negros Occidental I")</f>
        <v>Negros Occidental I</v>
      </c>
      <c r="C2863" s="164" t="str">
        <f ca="1">IFERROR(__xludf.DUMMYFUNCTION("""COMPUTED_VALUE"""),"Motorcycle – (Honda XRL 150)")</f>
        <v>Motorcycle – (Honda XRL 150)</v>
      </c>
      <c r="D2863" s="164" t="str">
        <f ca="1">IFERROR(__xludf.DUMMYFUNCTION("""COMPUTED_VALUE"""),"₱ 124,900.00")</f>
        <v>₱ 124,900.00</v>
      </c>
      <c r="E2863" s="164"/>
      <c r="F2863" s="164" t="str">
        <f ca="1">IFERROR(__xludf.DUMMYFUNCTION("""COMPUTED_VALUE"""),"2023-06-01-10202SP293-01")</f>
        <v>2023-06-01-10202SP293-01</v>
      </c>
      <c r="G2863" s="164"/>
      <c r="H2863" s="164" t="str">
        <f ca="1">IFERROR(__xludf.DUMMYFUNCTION("""COMPUTED_VALUE"""),"TANTERAS, MARLON G.")</f>
        <v>TANTERAS, MARLON G.</v>
      </c>
      <c r="I2863" s="164" t="str">
        <f ca="1">IFERROR(__xludf.DUMMYFUNCTION("""COMPUTED_VALUE"""),"ARPT.")</f>
        <v>ARPT.</v>
      </c>
      <c r="J2863" s="164" t="str">
        <f ca="1">IFERROR(__xludf.DUMMYFUNCTION("""COMPUTED_VALUE"""),"2023-05-014")</f>
        <v>2023-05-014</v>
      </c>
      <c r="K2863" s="164" t="str">
        <f ca="1">IFERROR(__xludf.DUMMYFUNCTION("""COMPUTED_VALUE"""),"TANTERAS, MARLON G.")</f>
        <v>TANTERAS, MARLON G.</v>
      </c>
      <c r="L2863" s="164"/>
      <c r="M2863" s="164" t="str">
        <f ca="1">IFERROR(__xludf.DUMMYFUNCTION("""COMPUTED_VALUE"""),"SERVICEABLE")</f>
        <v>SERVICEABLE</v>
      </c>
      <c r="N2863" s="164"/>
    </row>
    <row r="2864" spans="1:14" ht="13.2" hidden="1">
      <c r="A2864" s="164" t="str">
        <f ca="1">IFERROR(__xludf.DUMMYFUNCTION("""COMPUTED_VALUE"""),"NIR")</f>
        <v>NIR</v>
      </c>
      <c r="B2864" s="164" t="str">
        <f ca="1">IFERROR(__xludf.DUMMYFUNCTION("""COMPUTED_VALUE"""),"Negros Occidental I")</f>
        <v>Negros Occidental I</v>
      </c>
      <c r="C2864" s="164" t="str">
        <f ca="1">IFERROR(__xludf.DUMMYFUNCTION("""COMPUTED_VALUE"""),"Motorcycle – (Honda XRL 150)")</f>
        <v>Motorcycle – (Honda XRL 150)</v>
      </c>
      <c r="D2864" s="164" t="str">
        <f ca="1">IFERROR(__xludf.DUMMYFUNCTION("""COMPUTED_VALUE"""),"₱ 124,900.00")</f>
        <v>₱ 124,900.00</v>
      </c>
      <c r="E2864" s="164"/>
      <c r="F2864" s="164" t="str">
        <f ca="1">IFERROR(__xludf.DUMMYFUNCTION("""COMPUTED_VALUE"""),"2023-06-01-10202SP294-01")</f>
        <v>2023-06-01-10202SP294-01</v>
      </c>
      <c r="G2864" s="164"/>
      <c r="H2864" s="164" t="str">
        <f ca="1">IFERROR(__xludf.DUMMYFUNCTION("""COMPUTED_VALUE"""),"REBATO, JAY-R P.")</f>
        <v>REBATO, JAY-R P.</v>
      </c>
      <c r="I2864" s="164" t="str">
        <f ca="1">IFERROR(__xludf.DUMMYFUNCTION("""COMPUTED_VALUE"""),"ARPT.")</f>
        <v>ARPT.</v>
      </c>
      <c r="J2864" s="164" t="str">
        <f ca="1">IFERROR(__xludf.DUMMYFUNCTION("""COMPUTED_VALUE"""),"2023-05-015")</f>
        <v>2023-05-015</v>
      </c>
      <c r="K2864" s="164" t="str">
        <f ca="1">IFERROR(__xludf.DUMMYFUNCTION("""COMPUTED_VALUE"""),"REBATO, JAY-R P.")</f>
        <v>REBATO, JAY-R P.</v>
      </c>
      <c r="L2864" s="164"/>
      <c r="M2864" s="164" t="str">
        <f ca="1">IFERROR(__xludf.DUMMYFUNCTION("""COMPUTED_VALUE"""),"SERVICEABLE")</f>
        <v>SERVICEABLE</v>
      </c>
      <c r="N2864" s="164"/>
    </row>
    <row r="2865" spans="1:14" ht="13.2" hidden="1">
      <c r="A2865" s="164" t="str">
        <f ca="1">IFERROR(__xludf.DUMMYFUNCTION("""COMPUTED_VALUE"""),"NIR")</f>
        <v>NIR</v>
      </c>
      <c r="B2865" s="164" t="str">
        <f ca="1">IFERROR(__xludf.DUMMYFUNCTION("""COMPUTED_VALUE"""),"Negros Occidental I")</f>
        <v>Negros Occidental I</v>
      </c>
      <c r="C2865" s="164" t="str">
        <f ca="1">IFERROR(__xludf.DUMMYFUNCTION("""COMPUTED_VALUE"""),"Motorcycle – (Honda XRL 150)")</f>
        <v>Motorcycle – (Honda XRL 150)</v>
      </c>
      <c r="D2865" s="164" t="str">
        <f ca="1">IFERROR(__xludf.DUMMYFUNCTION("""COMPUTED_VALUE"""),"₱ 124,900.00")</f>
        <v>₱ 124,900.00</v>
      </c>
      <c r="E2865" s="164"/>
      <c r="F2865" s="164" t="str">
        <f ca="1">IFERROR(__xludf.DUMMYFUNCTION("""COMPUTED_VALUE"""),"2023-06-01-10202SP295-01")</f>
        <v>2023-06-01-10202SP295-01</v>
      </c>
      <c r="G2865" s="164"/>
      <c r="H2865" s="164" t="str">
        <f ca="1">IFERROR(__xludf.DUMMYFUNCTION("""COMPUTED_VALUE"""),"VIDAL, VINCENT FORTI S.")</f>
        <v>VIDAL, VINCENT FORTI S.</v>
      </c>
      <c r="I2865" s="164" t="str">
        <f ca="1">IFERROR(__xludf.DUMMYFUNCTION("""COMPUTED_VALUE"""),"SARPT.")</f>
        <v>SARPT.</v>
      </c>
      <c r="J2865" s="164" t="str">
        <f ca="1">IFERROR(__xludf.DUMMYFUNCTION("""COMPUTED_VALUE"""),"2023-05-016")</f>
        <v>2023-05-016</v>
      </c>
      <c r="K2865" s="164" t="str">
        <f ca="1">IFERROR(__xludf.DUMMYFUNCTION("""COMPUTED_VALUE"""),"VIDAL, VINCENT FORTI S.")</f>
        <v>VIDAL, VINCENT FORTI S.</v>
      </c>
      <c r="L2865" s="164"/>
      <c r="M2865" s="164" t="str">
        <f ca="1">IFERROR(__xludf.DUMMYFUNCTION("""COMPUTED_VALUE"""),"SERVICEABLE")</f>
        <v>SERVICEABLE</v>
      </c>
      <c r="N2865" s="164"/>
    </row>
    <row r="2866" spans="1:14" ht="13.2" hidden="1">
      <c r="A2866" s="164" t="str">
        <f ca="1">IFERROR(__xludf.DUMMYFUNCTION("""COMPUTED_VALUE"""),"NIR")</f>
        <v>NIR</v>
      </c>
      <c r="B2866" s="164" t="str">
        <f ca="1">IFERROR(__xludf.DUMMYFUNCTION("""COMPUTED_VALUE"""),"Negros Occidental I")</f>
        <v>Negros Occidental I</v>
      </c>
      <c r="C2866" s="164" t="str">
        <f ca="1">IFERROR(__xludf.DUMMYFUNCTION("""COMPUTED_VALUE"""),"Motorcycle – (Honda XRL 150)")</f>
        <v>Motorcycle – (Honda XRL 150)</v>
      </c>
      <c r="D2866" s="164" t="str">
        <f ca="1">IFERROR(__xludf.DUMMYFUNCTION("""COMPUTED_VALUE"""),"₱ 124,900.00")</f>
        <v>₱ 124,900.00</v>
      </c>
      <c r="E2866" s="164"/>
      <c r="F2866" s="164" t="str">
        <f ca="1">IFERROR(__xludf.DUMMYFUNCTION("""COMPUTED_VALUE"""),"2023-06-01-10202SP296-01")</f>
        <v>2023-06-01-10202SP296-01</v>
      </c>
      <c r="G2866" s="164"/>
      <c r="H2866" s="164" t="str">
        <f ca="1">IFERROR(__xludf.DUMMYFUNCTION("""COMPUTED_VALUE"""),"MACAPAS, RAYMOND Y.")</f>
        <v>MACAPAS, RAYMOND Y.</v>
      </c>
      <c r="I2866" s="164" t="str">
        <f ca="1">IFERROR(__xludf.DUMMYFUNCTION("""COMPUTED_VALUE"""),"SARPT.")</f>
        <v>SARPT.</v>
      </c>
      <c r="J2866" s="164" t="str">
        <f ca="1">IFERROR(__xludf.DUMMYFUNCTION("""COMPUTED_VALUE"""),"2023-05-017")</f>
        <v>2023-05-017</v>
      </c>
      <c r="K2866" s="164" t="str">
        <f ca="1">IFERROR(__xludf.DUMMYFUNCTION("""COMPUTED_VALUE"""),"MACAPAS, RAYMOND Y.")</f>
        <v>MACAPAS, RAYMOND Y.</v>
      </c>
      <c r="L2866" s="164"/>
      <c r="M2866" s="164" t="str">
        <f ca="1">IFERROR(__xludf.DUMMYFUNCTION("""COMPUTED_VALUE"""),"SERVICEABLE")</f>
        <v>SERVICEABLE</v>
      </c>
      <c r="N2866" s="164"/>
    </row>
    <row r="2867" spans="1:14" ht="13.2" hidden="1">
      <c r="A2867" s="164" t="str">
        <f ca="1">IFERROR(__xludf.DUMMYFUNCTION("""COMPUTED_VALUE"""),"NIR")</f>
        <v>NIR</v>
      </c>
      <c r="B2867" s="164" t="str">
        <f ca="1">IFERROR(__xludf.DUMMYFUNCTION("""COMPUTED_VALUE"""),"Negros Occidental I")</f>
        <v>Negros Occidental I</v>
      </c>
      <c r="C2867" s="164" t="str">
        <f ca="1">IFERROR(__xludf.DUMMYFUNCTION("""COMPUTED_VALUE"""),"Motorcycle – (Honda XRL 150)")</f>
        <v>Motorcycle – (Honda XRL 150)</v>
      </c>
      <c r="D2867" s="164" t="str">
        <f ca="1">IFERROR(__xludf.DUMMYFUNCTION("""COMPUTED_VALUE"""),"₱ 124,900.00")</f>
        <v>₱ 124,900.00</v>
      </c>
      <c r="E2867" s="164"/>
      <c r="F2867" s="164" t="str">
        <f ca="1">IFERROR(__xludf.DUMMYFUNCTION("""COMPUTED_VALUE"""),"2023-06-01-10202SP297-01")</f>
        <v>2023-06-01-10202SP297-01</v>
      </c>
      <c r="G2867" s="164"/>
      <c r="H2867" s="164" t="str">
        <f ca="1">IFERROR(__xludf.DUMMYFUNCTION("""COMPUTED_VALUE"""),"PORMENTO, MARS MICAH O.")</f>
        <v>PORMENTO, MARS MICAH O.</v>
      </c>
      <c r="I2867" s="164" t="str">
        <f ca="1">IFERROR(__xludf.DUMMYFUNCTION("""COMPUTED_VALUE"""),"ARPT.")</f>
        <v>ARPT.</v>
      </c>
      <c r="J2867" s="164" t="str">
        <f ca="1">IFERROR(__xludf.DUMMYFUNCTION("""COMPUTED_VALUE"""),"2023-05-018")</f>
        <v>2023-05-018</v>
      </c>
      <c r="K2867" s="164" t="str">
        <f ca="1">IFERROR(__xludf.DUMMYFUNCTION("""COMPUTED_VALUE"""),"PORMENTO, MARS MICAH O.")</f>
        <v>PORMENTO, MARS MICAH O.</v>
      </c>
      <c r="L2867" s="164"/>
      <c r="M2867" s="164" t="str">
        <f ca="1">IFERROR(__xludf.DUMMYFUNCTION("""COMPUTED_VALUE"""),"SERVICEABLE")</f>
        <v>SERVICEABLE</v>
      </c>
      <c r="N2867" s="164"/>
    </row>
    <row r="2868" spans="1:14" ht="13.2" hidden="1">
      <c r="A2868" s="164" t="str">
        <f ca="1">IFERROR(__xludf.DUMMYFUNCTION("""COMPUTED_VALUE"""),"NIR")</f>
        <v>NIR</v>
      </c>
      <c r="B2868" s="164" t="str">
        <f ca="1">IFERROR(__xludf.DUMMYFUNCTION("""COMPUTED_VALUE"""),"Negros Occidental I")</f>
        <v>Negros Occidental I</v>
      </c>
      <c r="C2868" s="164" t="str">
        <f ca="1">IFERROR(__xludf.DUMMYFUNCTION("""COMPUTED_VALUE"""),"Motorcycle – (Honda XRL 150)")</f>
        <v>Motorcycle – (Honda XRL 150)</v>
      </c>
      <c r="D2868" s="164" t="str">
        <f ca="1">IFERROR(__xludf.DUMMYFUNCTION("""COMPUTED_VALUE"""),"₱ 124,900.00")</f>
        <v>₱ 124,900.00</v>
      </c>
      <c r="E2868" s="164"/>
      <c r="F2868" s="164" t="str">
        <f ca="1">IFERROR(__xludf.DUMMYFUNCTION("""COMPUTED_VALUE"""),"2023-06-01-10202SP298-01")</f>
        <v>2023-06-01-10202SP298-01</v>
      </c>
      <c r="G2868" s="164"/>
      <c r="H2868" s="164" t="str">
        <f ca="1">IFERROR(__xludf.DUMMYFUNCTION("""COMPUTED_VALUE"""),"ALIPIN, KEVIN V.")</f>
        <v>ALIPIN, KEVIN V.</v>
      </c>
      <c r="I2868" s="164" t="str">
        <f ca="1">IFERROR(__xludf.DUMMYFUNCTION("""COMPUTED_VALUE"""),"SARPT.")</f>
        <v>SARPT.</v>
      </c>
      <c r="J2868" s="164" t="str">
        <f ca="1">IFERROR(__xludf.DUMMYFUNCTION("""COMPUTED_VALUE"""),"2023-05-019")</f>
        <v>2023-05-019</v>
      </c>
      <c r="K2868" s="164" t="str">
        <f ca="1">IFERROR(__xludf.DUMMYFUNCTION("""COMPUTED_VALUE"""),"ALIPIN, KEVIN V.")</f>
        <v>ALIPIN, KEVIN V.</v>
      </c>
      <c r="L2868" s="164"/>
      <c r="M2868" s="164" t="str">
        <f ca="1">IFERROR(__xludf.DUMMYFUNCTION("""COMPUTED_VALUE"""),"SERVICEABLE")</f>
        <v>SERVICEABLE</v>
      </c>
      <c r="N2868" s="164"/>
    </row>
    <row r="2869" spans="1:14" ht="13.2" hidden="1">
      <c r="A2869" s="164" t="str">
        <f ca="1">IFERROR(__xludf.DUMMYFUNCTION("""COMPUTED_VALUE"""),"NIR")</f>
        <v>NIR</v>
      </c>
      <c r="B2869" s="164" t="str">
        <f ca="1">IFERROR(__xludf.DUMMYFUNCTION("""COMPUTED_VALUE"""),"Negros Occidental I")</f>
        <v>Negros Occidental I</v>
      </c>
      <c r="C2869" s="164" t="str">
        <f ca="1">IFERROR(__xludf.DUMMYFUNCTION("""COMPUTED_VALUE"""),"Double Cabin Pick-up Vehicles – Mitsubishi Strada")</f>
        <v>Double Cabin Pick-up Vehicles – Mitsubishi Strada</v>
      </c>
      <c r="D2869" s="164" t="str">
        <f ca="1">IFERROR(__xludf.DUMMYFUNCTION("""COMPUTED_VALUE"""),"₱ 1,752,400.00")</f>
        <v>₱ 1,752,400.00</v>
      </c>
      <c r="E2869" s="164"/>
      <c r="F2869" s="164" t="str">
        <f ca="1">IFERROR(__xludf.DUMMYFUNCTION("""COMPUTED_VALUE"""),"2023-06-01-10201SP91-01")</f>
        <v>2023-06-01-10201SP91-01</v>
      </c>
      <c r="G2869" s="164" t="str">
        <f ca="1">IFERROR(__xludf.DUMMYFUNCTION("""COMPUTED_VALUE"""),"SNC 1224")</f>
        <v>SNC 1224</v>
      </c>
      <c r="H2869" s="164" t="str">
        <f ca="1">IFERROR(__xludf.DUMMYFUNCTION("""COMPUTED_VALUE"""),"MERIE KRIS A. CAPISTRANO")</f>
        <v>MERIE KRIS A. CAPISTRANO</v>
      </c>
      <c r="I2869" s="164" t="str">
        <f ca="1">IFERROR(__xludf.DUMMYFUNCTION("""COMPUTED_VALUE"""),"SARPT")</f>
        <v>SARPT</v>
      </c>
      <c r="J2869" s="164" t="str">
        <f ca="1">IFERROR(__xludf.DUMMYFUNCTION("""COMPUTED_VALUE"""),"PTR 2023-10-059")</f>
        <v>PTR 2023-10-059</v>
      </c>
      <c r="K2869" s="164" t="str">
        <f ca="1">IFERROR(__xludf.DUMMYFUNCTION("""COMPUTED_VALUE"""),"MERIE KRIS A. CAPISTRANO")</f>
        <v>MERIE KRIS A. CAPISTRANO</v>
      </c>
      <c r="L2869" s="164"/>
      <c r="M2869" s="164" t="str">
        <f ca="1">IFERROR(__xludf.DUMMYFUNCTION("""COMPUTED_VALUE"""),"SERVICEABLE")</f>
        <v>SERVICEABLE</v>
      </c>
      <c r="N2869" s="164"/>
    </row>
    <row r="2870" spans="1:14" ht="13.2" hidden="1">
      <c r="A2870" s="164" t="str">
        <f ca="1">IFERROR(__xludf.DUMMYFUNCTION("""COMPUTED_VALUE"""),"NIR")</f>
        <v>NIR</v>
      </c>
      <c r="B2870" s="164" t="str">
        <f ca="1">IFERROR(__xludf.DUMMYFUNCTION("""COMPUTED_VALUE"""),"Negros Occidental I")</f>
        <v>Negros Occidental I</v>
      </c>
      <c r="C2870" s="164" t="str">
        <f ca="1">IFERROR(__xludf.DUMMYFUNCTION("""COMPUTED_VALUE"""),"Double Cabin Pick-up Vehicles – Mitsubishi Strada")</f>
        <v>Double Cabin Pick-up Vehicles – Mitsubishi Strada</v>
      </c>
      <c r="D2870" s="164" t="str">
        <f ca="1">IFERROR(__xludf.DUMMYFUNCTION("""COMPUTED_VALUE"""),"₱ 1,752,400.00")</f>
        <v>₱ 1,752,400.00</v>
      </c>
      <c r="E2870" s="164"/>
      <c r="F2870" s="164" t="str">
        <f ca="1">IFERROR(__xludf.DUMMYFUNCTION("""COMPUTED_VALUE"""),"2023-06-01-10201SP92-01")</f>
        <v>2023-06-01-10201SP92-01</v>
      </c>
      <c r="G2870" s="164" t="str">
        <f ca="1">IFERROR(__xludf.DUMMYFUNCTION("""COMPUTED_VALUE"""),"SNC 1222")</f>
        <v>SNC 1222</v>
      </c>
      <c r="H2870" s="164" t="str">
        <f ca="1">IFERROR(__xludf.DUMMYFUNCTION("""COMPUTED_VALUE"""),"LYN HOPE C. MEDINA")</f>
        <v>LYN HOPE C. MEDINA</v>
      </c>
      <c r="I2870" s="164" t="str">
        <f ca="1">IFERROR(__xludf.DUMMYFUNCTION("""COMPUTED_VALUE"""),"ARPT")</f>
        <v>ARPT</v>
      </c>
      <c r="J2870" s="164" t="str">
        <f ca="1">IFERROR(__xludf.DUMMYFUNCTION("""COMPUTED_VALUE"""),"PTR 2023-10-059")</f>
        <v>PTR 2023-10-059</v>
      </c>
      <c r="K2870" s="164" t="str">
        <f ca="1">IFERROR(__xludf.DUMMYFUNCTION("""COMPUTED_VALUE"""),"LYN HOPE C. MEDINA")</f>
        <v>LYN HOPE C. MEDINA</v>
      </c>
      <c r="L2870" s="164"/>
      <c r="M2870" s="164" t="str">
        <f ca="1">IFERROR(__xludf.DUMMYFUNCTION("""COMPUTED_VALUE"""),"SERVICEABLE")</f>
        <v>SERVICEABLE</v>
      </c>
      <c r="N2870" s="164"/>
    </row>
    <row r="2871" spans="1:14" ht="13.2" hidden="1">
      <c r="A2871" s="164" t="str">
        <f ca="1">IFERROR(__xludf.DUMMYFUNCTION("""COMPUTED_VALUE"""),"NIR")</f>
        <v>NIR</v>
      </c>
      <c r="B2871" s="164" t="str">
        <f ca="1">IFERROR(__xludf.DUMMYFUNCTION("""COMPUTED_VALUE"""),"Negros Oriental")</f>
        <v>Negros Oriental</v>
      </c>
      <c r="C2871" s="164" t="str">
        <f ca="1">IFERROR(__xludf.DUMMYFUNCTION("""COMPUTED_VALUE"""),"A3 Printer (Brother)")</f>
        <v>A3 Printer (Brother)</v>
      </c>
      <c r="D2871" s="164" t="str">
        <f ca="1">IFERROR(__xludf.DUMMYFUNCTION("""COMPUTED_VALUE"""),"₱ 33,508.00")</f>
        <v>₱ 33,508.00</v>
      </c>
      <c r="E2871" s="164"/>
      <c r="F2871" s="164" t="str">
        <f ca="1">IFERROR(__xludf.DUMMYFUNCTION("""COMPUTED_VALUE"""),"HVSPLIT-102-24-05-04-070")</f>
        <v>HVSPLIT-102-24-05-04-070</v>
      </c>
      <c r="G2871" s="164"/>
      <c r="H2871" s="164"/>
      <c r="I2871" s="164"/>
      <c r="J2871" s="164"/>
      <c r="K2871" s="164"/>
      <c r="L2871" s="164"/>
      <c r="M2871" s="164"/>
      <c r="N2871" s="164"/>
    </row>
    <row r="2872" spans="1:14" ht="13.2" hidden="1">
      <c r="A2872" s="164" t="str">
        <f ca="1">IFERROR(__xludf.DUMMYFUNCTION("""COMPUTED_VALUE"""),"REGION VIII")</f>
        <v>REGION VIII</v>
      </c>
      <c r="B2872" s="164" t="str">
        <f ca="1">IFERROR(__xludf.DUMMYFUNCTION("""COMPUTED_VALUE"""),"Regional Office")</f>
        <v>Regional Office</v>
      </c>
      <c r="C2872" s="164" t="str">
        <f ca="1">IFERROR(__xludf.DUMMYFUNCTION("""COMPUTED_VALUE"""),"Desktop Computer – (Lenovo M70T)")</f>
        <v>Desktop Computer – (Lenovo M70T)</v>
      </c>
      <c r="D2872" s="164" t="str">
        <f ca="1">IFERROR(__xludf.DUMMYFUNCTION("""COMPUTED_VALUE"""),"₱ 75,468.00")</f>
        <v>₱ 75,468.00</v>
      </c>
      <c r="E2872" s="164"/>
      <c r="F2872" s="164" t="str">
        <f ca="1">IFERROR(__xludf.DUMMYFUNCTION("""COMPUTED_VALUE"""),"2023-05-03-10201SP1326-01")</f>
        <v>2023-05-03-10201SP1326-01</v>
      </c>
      <c r="G2872" s="164"/>
      <c r="H2872" s="164" t="str">
        <f ca="1">IFERROR(__xludf.DUMMYFUNCTION("""COMPUTED_VALUE"""),"ENGR. JOEL M. ENCINA")</f>
        <v>ENGR. JOEL M. ENCINA</v>
      </c>
      <c r="I2872" s="164" t="str">
        <f ca="1">IFERROR(__xludf.DUMMYFUNCTION("""COMPUTED_VALUE"""),"CARPO")</f>
        <v>CARPO</v>
      </c>
      <c r="J2872" s="164" t="str">
        <f ca="1">IFERROR(__xludf.DUMMYFUNCTION("""COMPUTED_VALUE"""),"PS-2023-05-01-001")</f>
        <v>PS-2023-05-01-001</v>
      </c>
      <c r="K2872" s="164" t="str">
        <f ca="1">IFERROR(__xludf.DUMMYFUNCTION("""COMPUTED_VALUE"""),"MARISSA DELA CRUZ")</f>
        <v>MARISSA DELA CRUZ</v>
      </c>
      <c r="L2872" s="164" t="str">
        <f ca="1">IFERROR(__xludf.DUMMYFUNCTION("""COMPUTED_VALUE"""),"LTS")</f>
        <v>LTS</v>
      </c>
      <c r="M2872" s="164" t="str">
        <f ca="1">IFERROR(__xludf.DUMMYFUNCTION("""COMPUTED_VALUE"""),"SERVICEABLE")</f>
        <v>SERVICEABLE</v>
      </c>
      <c r="N2872" s="164"/>
    </row>
    <row r="2873" spans="1:14" ht="13.2" hidden="1">
      <c r="A2873" s="164" t="str">
        <f ca="1">IFERROR(__xludf.DUMMYFUNCTION("""COMPUTED_VALUE"""),"REGION VIII")</f>
        <v>REGION VIII</v>
      </c>
      <c r="B2873" s="164" t="str">
        <f ca="1">IFERROR(__xludf.DUMMYFUNCTION("""COMPUTED_VALUE"""),"Regional Office")</f>
        <v>Regional Office</v>
      </c>
      <c r="C2873" s="164" t="str">
        <f ca="1">IFERROR(__xludf.DUMMYFUNCTION("""COMPUTED_VALUE"""),"Desktop Computer – (Lenovo M70T)")</f>
        <v>Desktop Computer – (Lenovo M70T)</v>
      </c>
      <c r="D2873" s="164" t="str">
        <f ca="1">IFERROR(__xludf.DUMMYFUNCTION("""COMPUTED_VALUE"""),"₱ 75,468.00")</f>
        <v>₱ 75,468.00</v>
      </c>
      <c r="E2873" s="164"/>
      <c r="F2873" s="164" t="str">
        <f ca="1">IFERROR(__xludf.DUMMYFUNCTION("""COMPUTED_VALUE"""),"2023-05-03-10201SP1327-01")</f>
        <v>2023-05-03-10201SP1327-01</v>
      </c>
      <c r="G2873" s="164"/>
      <c r="H2873" s="164" t="str">
        <f ca="1">IFERROR(__xludf.DUMMYFUNCTION("""COMPUTED_VALUE"""),"ENGR. JOEL M. ENCINA")</f>
        <v>ENGR. JOEL M. ENCINA</v>
      </c>
      <c r="I2873" s="164" t="str">
        <f ca="1">IFERROR(__xludf.DUMMYFUNCTION("""COMPUTED_VALUE"""),"CARPO")</f>
        <v>CARPO</v>
      </c>
      <c r="J2873" s="164" t="str">
        <f ca="1">IFERROR(__xludf.DUMMYFUNCTION("""COMPUTED_VALUE"""),"PS-2023-05-01-002")</f>
        <v>PS-2023-05-01-002</v>
      </c>
      <c r="K2873" s="164" t="str">
        <f ca="1">IFERROR(__xludf.DUMMYFUNCTION("""COMPUTED_VALUE"""),"GIRLIE COSTA")</f>
        <v>GIRLIE COSTA</v>
      </c>
      <c r="L2873" s="164" t="str">
        <f ca="1">IFERROR(__xludf.DUMMYFUNCTION("""COMPUTED_VALUE"""),"LTS")</f>
        <v>LTS</v>
      </c>
      <c r="M2873" s="164" t="str">
        <f ca="1">IFERROR(__xludf.DUMMYFUNCTION("""COMPUTED_VALUE"""),"SERVICEABLE")</f>
        <v>SERVICEABLE</v>
      </c>
      <c r="N2873" s="164"/>
    </row>
    <row r="2874" spans="1:14" ht="13.2" hidden="1">
      <c r="A2874" s="164" t="str">
        <f ca="1">IFERROR(__xludf.DUMMYFUNCTION("""COMPUTED_VALUE"""),"REGION VIII")</f>
        <v>REGION VIII</v>
      </c>
      <c r="B2874" s="164" t="str">
        <f ca="1">IFERROR(__xludf.DUMMYFUNCTION("""COMPUTED_VALUE"""),"Regional Office")</f>
        <v>Regional Office</v>
      </c>
      <c r="C2874" s="164" t="str">
        <f ca="1">IFERROR(__xludf.DUMMYFUNCTION("""COMPUTED_VALUE"""),"Desktop Computer – (Lenovo M70T)")</f>
        <v>Desktop Computer – (Lenovo M70T)</v>
      </c>
      <c r="D2874" s="164" t="str">
        <f ca="1">IFERROR(__xludf.DUMMYFUNCTION("""COMPUTED_VALUE"""),"₱ 75,468.00")</f>
        <v>₱ 75,468.00</v>
      </c>
      <c r="E2874" s="164"/>
      <c r="F2874" s="164" t="str">
        <f ca="1">IFERROR(__xludf.DUMMYFUNCTION("""COMPUTED_VALUE"""),"2023-05-03-10201SP1323-01")</f>
        <v>2023-05-03-10201SP1323-01</v>
      </c>
      <c r="G2874" s="164"/>
      <c r="H2874" s="164" t="str">
        <f ca="1">IFERROR(__xludf.DUMMYFUNCTION("""COMPUTED_VALUE"""),"FELIX DANTE ESPINA")</f>
        <v>FELIX DANTE ESPINA</v>
      </c>
      <c r="I2874" s="164" t="str">
        <f ca="1">IFERROR(__xludf.DUMMYFUNCTION("""COMPUTED_VALUE"""),"PO IV")</f>
        <v>PO IV</v>
      </c>
      <c r="J2874" s="164" t="str">
        <f ca="1">IFERROR(__xludf.DUMMYFUNCTION("""COMPUTED_VALUE"""),"PS-2023-05-01-003")</f>
        <v>PS-2023-05-01-003</v>
      </c>
      <c r="K2874" s="164" t="str">
        <f ca="1">IFERROR(__xludf.DUMMYFUNCTION("""COMPUTED_VALUE"""),"FELIX DANTE ESPINA")</f>
        <v>FELIX DANTE ESPINA</v>
      </c>
      <c r="L2874" s="164" t="str">
        <f ca="1">IFERROR(__xludf.DUMMYFUNCTION("""COMPUTED_VALUE"""),"STO - Planning")</f>
        <v>STO - Planning</v>
      </c>
      <c r="M2874" s="164" t="str">
        <f ca="1">IFERROR(__xludf.DUMMYFUNCTION("""COMPUTED_VALUE"""),"SERVICEABLE")</f>
        <v>SERVICEABLE</v>
      </c>
      <c r="N2874" s="164"/>
    </row>
    <row r="2875" spans="1:14" ht="13.2" hidden="1">
      <c r="A2875" s="164" t="str">
        <f ca="1">IFERROR(__xludf.DUMMYFUNCTION("""COMPUTED_VALUE"""),"REGION VIII")</f>
        <v>REGION VIII</v>
      </c>
      <c r="B2875" s="164" t="str">
        <f ca="1">IFERROR(__xludf.DUMMYFUNCTION("""COMPUTED_VALUE"""),"Regional Office")</f>
        <v>Regional Office</v>
      </c>
      <c r="C2875" s="164" t="str">
        <f ca="1">IFERROR(__xludf.DUMMYFUNCTION("""COMPUTED_VALUE"""),"Desktop Computer – (Lenovo M70T)")</f>
        <v>Desktop Computer – (Lenovo M70T)</v>
      </c>
      <c r="D2875" s="164" t="str">
        <f ca="1">IFERROR(__xludf.DUMMYFUNCTION("""COMPUTED_VALUE"""),"₱ 75,468.00")</f>
        <v>₱ 75,468.00</v>
      </c>
      <c r="E2875" s="164"/>
      <c r="F2875" s="164" t="str">
        <f ca="1">IFERROR(__xludf.DUMMYFUNCTION("""COMPUTED_VALUE"""),"2023-05-03-10201SP1349-01")</f>
        <v>2023-05-03-10201SP1349-01</v>
      </c>
      <c r="G2875" s="164"/>
      <c r="H2875" s="164" t="str">
        <f ca="1">IFERROR(__xludf.DUMMYFUNCTION("""COMPUTED_VALUE"""),"ANGELITA S. CADIGOY")</f>
        <v>ANGELITA S. CADIGOY</v>
      </c>
      <c r="I2875" s="164" t="str">
        <f ca="1">IFERROR(__xludf.DUMMYFUNCTION("""COMPUTED_VALUE"""),"(ARPO II) ACTING CASHIER")</f>
        <v>(ARPO II) ACTING CASHIER</v>
      </c>
      <c r="J2875" s="164" t="str">
        <f ca="1">IFERROR(__xludf.DUMMYFUNCTION("""COMPUTED_VALUE"""),"PS-2023-05-01-004")</f>
        <v>PS-2023-05-01-004</v>
      </c>
      <c r="K2875" s="164" t="str">
        <f ca="1">IFERROR(__xludf.DUMMYFUNCTION("""COMPUTED_VALUE"""),"TERESA PASCO")</f>
        <v>TERESA PASCO</v>
      </c>
      <c r="L2875" s="164" t="str">
        <f ca="1">IFERROR(__xludf.DUMMYFUNCTION("""COMPUTED_VALUE"""),"STO - Cashier")</f>
        <v>STO - Cashier</v>
      </c>
      <c r="M2875" s="164" t="str">
        <f ca="1">IFERROR(__xludf.DUMMYFUNCTION("""COMPUTED_VALUE"""),"SERVICEABLE")</f>
        <v>SERVICEABLE</v>
      </c>
      <c r="N2875" s="164"/>
    </row>
    <row r="2876" spans="1:14" ht="13.2" hidden="1">
      <c r="A2876" s="164" t="str">
        <f ca="1">IFERROR(__xludf.DUMMYFUNCTION("""COMPUTED_VALUE"""),"REGION VIII")</f>
        <v>REGION VIII</v>
      </c>
      <c r="B2876" s="164" t="str">
        <f ca="1">IFERROR(__xludf.DUMMYFUNCTION("""COMPUTED_VALUE"""),"Regional Office")</f>
        <v>Regional Office</v>
      </c>
      <c r="C2876" s="164" t="str">
        <f ca="1">IFERROR(__xludf.DUMMYFUNCTION("""COMPUTED_VALUE"""),"Desktop Computer – (Lenovo M70T)")</f>
        <v>Desktop Computer – (Lenovo M70T)</v>
      </c>
      <c r="D2876" s="164" t="str">
        <f ca="1">IFERROR(__xludf.DUMMYFUNCTION("""COMPUTED_VALUE"""),"₱ 75,468.00")</f>
        <v>₱ 75,468.00</v>
      </c>
      <c r="E2876" s="164"/>
      <c r="F2876" s="164" t="str">
        <f ca="1">IFERROR(__xludf.DUMMYFUNCTION("""COMPUTED_VALUE"""),"2023-05-03-10201SP1320-01")</f>
        <v>2023-05-03-10201SP1320-01</v>
      </c>
      <c r="G2876" s="164"/>
      <c r="H2876" s="164" t="str">
        <f ca="1">IFERROR(__xludf.DUMMYFUNCTION("""COMPUTED_VALUE"""),"MICHAEL M. MITARAN")</f>
        <v>MICHAEL M. MITARAN</v>
      </c>
      <c r="I2876" s="164" t="str">
        <f ca="1">IFERROR(__xludf.DUMMYFUNCTION("""COMPUTED_VALUE"""),"OIC- REGION AL ACCOUNTANT")</f>
        <v>OIC- REGION AL ACCOUNTANT</v>
      </c>
      <c r="J2876" s="164" t="str">
        <f ca="1">IFERROR(__xludf.DUMMYFUNCTION("""COMPUTED_VALUE"""),"PS-2023-05-01-005")</f>
        <v>PS-2023-05-01-005</v>
      </c>
      <c r="K2876" s="164" t="str">
        <f ca="1">IFERROR(__xludf.DUMMYFUNCTION("""COMPUTED_VALUE"""),"MICHAEL C. MITARAN")</f>
        <v>MICHAEL C. MITARAN</v>
      </c>
      <c r="L2876" s="164" t="str">
        <f ca="1">IFERROR(__xludf.DUMMYFUNCTION("""COMPUTED_VALUE"""),"Accounting")</f>
        <v>Accounting</v>
      </c>
      <c r="M2876" s="164" t="str">
        <f ca="1">IFERROR(__xludf.DUMMYFUNCTION("""COMPUTED_VALUE"""),"SERVICEABLE")</f>
        <v>SERVICEABLE</v>
      </c>
      <c r="N2876" s="164"/>
    </row>
    <row r="2877" spans="1:14" ht="13.2" hidden="1">
      <c r="A2877" s="164" t="str">
        <f ca="1">IFERROR(__xludf.DUMMYFUNCTION("""COMPUTED_VALUE"""),"REGION VIII")</f>
        <v>REGION VIII</v>
      </c>
      <c r="B2877" s="164" t="str">
        <f ca="1">IFERROR(__xludf.DUMMYFUNCTION("""COMPUTED_VALUE"""),"Regional Office")</f>
        <v>Regional Office</v>
      </c>
      <c r="C2877" s="164" t="str">
        <f ca="1">IFERROR(__xludf.DUMMYFUNCTION("""COMPUTED_VALUE"""),"Desktop Computer – (Lenovo M70T)")</f>
        <v>Desktop Computer – (Lenovo M70T)</v>
      </c>
      <c r="D2877" s="164" t="str">
        <f ca="1">IFERROR(__xludf.DUMMYFUNCTION("""COMPUTED_VALUE"""),"₱ 75,468.00")</f>
        <v>₱ 75,468.00</v>
      </c>
      <c r="E2877" s="164"/>
      <c r="F2877" s="164" t="str">
        <f ca="1">IFERROR(__xludf.DUMMYFUNCTION("""COMPUTED_VALUE"""),"2023-05-03-10201SP1325-01")</f>
        <v>2023-05-03-10201SP1325-01</v>
      </c>
      <c r="G2877" s="164"/>
      <c r="H2877" s="164" t="str">
        <f ca="1">IFERROR(__xludf.DUMMYFUNCTION("""COMPUTED_VALUE"""),"MA. ELSA M. VELOSO")</f>
        <v>MA. ELSA M. VELOSO</v>
      </c>
      <c r="I2877" s="164" t="str">
        <f ca="1">IFERROR(__xludf.DUMMYFUNCTION("""COMPUTED_VALUE"""),"OIC- REG'L. ADMIN OFFICER")</f>
        <v>OIC- REG'L. ADMIN OFFICER</v>
      </c>
      <c r="J2877" s="164" t="str">
        <f ca="1">IFERROR(__xludf.DUMMYFUNCTION("""COMPUTED_VALUE"""),"PS-2023-05-01-006")</f>
        <v>PS-2023-05-01-006</v>
      </c>
      <c r="K2877" s="164" t="str">
        <f ca="1">IFERROR(__xludf.DUMMYFUNCTION("""COMPUTED_VALUE"""),"JOMARI TAN
 CECILLE BALASE")</f>
        <v>JOMARI TAN
 CECILLE BALASE</v>
      </c>
      <c r="L2877" s="164" t="str">
        <f ca="1">IFERROR(__xludf.DUMMYFUNCTION("""COMPUTED_VALUE"""),"Admin")</f>
        <v>Admin</v>
      </c>
      <c r="M2877" s="164" t="str">
        <f ca="1">IFERROR(__xludf.DUMMYFUNCTION("""COMPUTED_VALUE"""),"SERVICEABLE")</f>
        <v>SERVICEABLE</v>
      </c>
      <c r="N2877" s="164" t="str">
        <f ca="1">IFERROR(__xludf.DUMMYFUNCTION("""COMPUTED_VALUE"""),"system unit is deemed unserviceable and can not be repaired")</f>
        <v>system unit is deemed unserviceable and can not be repaired</v>
      </c>
    </row>
    <row r="2878" spans="1:14" ht="13.2" hidden="1">
      <c r="A2878" s="164" t="str">
        <f ca="1">IFERROR(__xludf.DUMMYFUNCTION("""COMPUTED_VALUE"""),"REGION VIII")</f>
        <v>REGION VIII</v>
      </c>
      <c r="B2878" s="164" t="str">
        <f ca="1">IFERROR(__xludf.DUMMYFUNCTION("""COMPUTED_VALUE"""),"Regional Office")</f>
        <v>Regional Office</v>
      </c>
      <c r="C2878" s="164" t="str">
        <f ca="1">IFERROR(__xludf.DUMMYFUNCTION("""COMPUTED_VALUE"""),"Desktop Computer – (Lenovo M70T)")</f>
        <v>Desktop Computer – (Lenovo M70T)</v>
      </c>
      <c r="D2878" s="164" t="str">
        <f ca="1">IFERROR(__xludf.DUMMYFUNCTION("""COMPUTED_VALUE"""),"₱ 75,468.00")</f>
        <v>₱ 75,468.00</v>
      </c>
      <c r="E2878" s="164"/>
      <c r="F2878" s="164" t="str">
        <f ca="1">IFERROR(__xludf.DUMMYFUNCTION("""COMPUTED_VALUE"""),"2023-05-03-10201SP1322-01")</f>
        <v>2023-05-03-10201SP1322-01</v>
      </c>
      <c r="G2878" s="164"/>
      <c r="H2878" s="164" t="str">
        <f ca="1">IFERROR(__xludf.DUMMYFUNCTION("""COMPUTED_VALUE"""),"SEGUNDINO MATIAS, JR.")</f>
        <v>SEGUNDINO MATIAS, JR.</v>
      </c>
      <c r="I2878" s="164" t="str">
        <f ca="1">IFERROR(__xludf.DUMMYFUNCTION("""COMPUTED_VALUE"""),"REG'L. SUPPLY OFFICER")</f>
        <v>REG'L. SUPPLY OFFICER</v>
      </c>
      <c r="J2878" s="164" t="str">
        <f ca="1">IFERROR(__xludf.DUMMYFUNCTION("""COMPUTED_VALUE"""),"PS-2023-05-01-007")</f>
        <v>PS-2023-05-01-007</v>
      </c>
      <c r="K2878" s="164" t="str">
        <f ca="1">IFERROR(__xludf.DUMMYFUNCTION("""COMPUTED_VALUE"""),"SEGUNDINO MATIAS, JR.")</f>
        <v>SEGUNDINO MATIAS, JR.</v>
      </c>
      <c r="L2878" s="164" t="str">
        <f ca="1">IFERROR(__xludf.DUMMYFUNCTION("""COMPUTED_VALUE"""),"Budget")</f>
        <v>Budget</v>
      </c>
      <c r="M2878" s="164" t="str">
        <f ca="1">IFERROR(__xludf.DUMMYFUNCTION("""COMPUTED_VALUE"""),"SERVICEABLE")</f>
        <v>SERVICEABLE</v>
      </c>
      <c r="N2878" s="164"/>
    </row>
    <row r="2879" spans="1:14" ht="13.2" hidden="1">
      <c r="A2879" s="164" t="str">
        <f ca="1">IFERROR(__xludf.DUMMYFUNCTION("""COMPUTED_VALUE"""),"REGION VIII")</f>
        <v>REGION VIII</v>
      </c>
      <c r="B2879" s="164" t="str">
        <f ca="1">IFERROR(__xludf.DUMMYFUNCTION("""COMPUTED_VALUE"""),"Regional Office")</f>
        <v>Regional Office</v>
      </c>
      <c r="C2879" s="164" t="str">
        <f ca="1">IFERROR(__xludf.DUMMYFUNCTION("""COMPUTED_VALUE"""),"Desktop Computer – (Lenovo M70T)")</f>
        <v>Desktop Computer – (Lenovo M70T)</v>
      </c>
      <c r="D2879" s="164" t="str">
        <f ca="1">IFERROR(__xludf.DUMMYFUNCTION("""COMPUTED_VALUE"""),"₱ 75,468.00")</f>
        <v>₱ 75,468.00</v>
      </c>
      <c r="E2879" s="164"/>
      <c r="F2879" s="164" t="str">
        <f ca="1">IFERROR(__xludf.DUMMYFUNCTION("""COMPUTED_VALUE"""),"2023-05-03-10201SP1321-01")</f>
        <v>2023-05-03-10201SP1321-01</v>
      </c>
      <c r="G2879" s="164"/>
      <c r="H2879" s="164" t="str">
        <f ca="1">IFERROR(__xludf.DUMMYFUNCTION("""COMPUTED_VALUE"""),"GILDA R. LUNA")</f>
        <v>GILDA R. LUNA</v>
      </c>
      <c r="I2879" s="164" t="str">
        <f ca="1">IFERROR(__xludf.DUMMYFUNCTION("""COMPUTED_VALUE"""),"REG'L. SUPPLY OFFICER")</f>
        <v>REG'L. SUPPLY OFFICER</v>
      </c>
      <c r="J2879" s="164" t="str">
        <f ca="1">IFERROR(__xludf.DUMMYFUNCTION("""COMPUTED_VALUE"""),"PS-2023-05-01-008")</f>
        <v>PS-2023-05-01-008</v>
      </c>
      <c r="K2879" s="164" t="str">
        <f ca="1">IFERROR(__xludf.DUMMYFUNCTION("""COMPUTED_VALUE"""),"GILDA R. LUNA")</f>
        <v>GILDA R. LUNA</v>
      </c>
      <c r="L2879" s="164" t="str">
        <f ca="1">IFERROR(__xludf.DUMMYFUNCTION("""COMPUTED_VALUE"""),"Supply")</f>
        <v>Supply</v>
      </c>
      <c r="M2879" s="164" t="str">
        <f ca="1">IFERROR(__xludf.DUMMYFUNCTION("""COMPUTED_VALUE"""),"SERVICEABLE")</f>
        <v>SERVICEABLE</v>
      </c>
      <c r="N2879" s="164"/>
    </row>
    <row r="2880" spans="1:14" ht="13.2" hidden="1">
      <c r="A2880" s="164" t="str">
        <f ca="1">IFERROR(__xludf.DUMMYFUNCTION("""COMPUTED_VALUE"""),"REGION VIII")</f>
        <v>REGION VIII</v>
      </c>
      <c r="B2880" s="164" t="str">
        <f ca="1">IFERROR(__xludf.DUMMYFUNCTION("""COMPUTED_VALUE"""),"Regional Office")</f>
        <v>Regional Office</v>
      </c>
      <c r="C2880" s="164" t="str">
        <f ca="1">IFERROR(__xludf.DUMMYFUNCTION("""COMPUTED_VALUE"""),"Desktop Computer – (Lenovo M70T)")</f>
        <v>Desktop Computer – (Lenovo M70T)</v>
      </c>
      <c r="D2880" s="164" t="str">
        <f ca="1">IFERROR(__xludf.DUMMYFUNCTION("""COMPUTED_VALUE"""),"₱ 75,468.00")</f>
        <v>₱ 75,468.00</v>
      </c>
      <c r="E2880" s="164"/>
      <c r="F2880" s="164" t="str">
        <f ca="1">IFERROR(__xludf.DUMMYFUNCTION("""COMPUTED_VALUE"""),"2023-05-03-10201SP1324-01")</f>
        <v>2023-05-03-10201SP1324-01</v>
      </c>
      <c r="G2880" s="164"/>
      <c r="H2880" s="164" t="str">
        <f ca="1">IFERROR(__xludf.DUMMYFUNCTION("""COMPUTED_VALUE"""),"ATTY. DANIEL E. PEN")</f>
        <v>ATTY. DANIEL E. PEN</v>
      </c>
      <c r="I2880" s="164" t="str">
        <f ca="1">IFERROR(__xludf.DUMMYFUNCTION("""COMPUTED_VALUE"""),"CHIEF LEGAL DIVISION")</f>
        <v>CHIEF LEGAL DIVISION</v>
      </c>
      <c r="J2880" s="164" t="str">
        <f ca="1">IFERROR(__xludf.DUMMYFUNCTION("""COMPUTED_VALUE"""),"PS-2023-05-01-009")</f>
        <v>PS-2023-05-01-009</v>
      </c>
      <c r="K2880" s="164" t="str">
        <f ca="1">IFERROR(__xludf.DUMMYFUNCTION("""COMPUTED_VALUE"""),"ATTY. DANIEL E. PEN")</f>
        <v>ATTY. DANIEL E. PEN</v>
      </c>
      <c r="L2880" s="164" t="str">
        <f ca="1">IFERROR(__xludf.DUMMYFUNCTION("""COMPUTED_VALUE"""),"Legal")</f>
        <v>Legal</v>
      </c>
      <c r="M2880" s="164" t="str">
        <f ca="1">IFERROR(__xludf.DUMMYFUNCTION("""COMPUTED_VALUE"""),"SERVICEABLE")</f>
        <v>SERVICEABLE</v>
      </c>
      <c r="N2880" s="164"/>
    </row>
    <row r="2881" spans="1:14" ht="13.2" hidden="1">
      <c r="A2881" s="164" t="str">
        <f ca="1">IFERROR(__xludf.DUMMYFUNCTION("""COMPUTED_VALUE"""),"REGION VIII")</f>
        <v>REGION VIII</v>
      </c>
      <c r="B2881" s="164" t="str">
        <f ca="1">IFERROR(__xludf.DUMMYFUNCTION("""COMPUTED_VALUE"""),"Regional Office")</f>
        <v>Regional Office</v>
      </c>
      <c r="C2881" s="164" t="str">
        <f ca="1">IFERROR(__xludf.DUMMYFUNCTION("""COMPUTED_VALUE"""),"Desktop Computer – (Lenovo M70T)")</f>
        <v>Desktop Computer – (Lenovo M70T)</v>
      </c>
      <c r="D2881" s="164" t="str">
        <f ca="1">IFERROR(__xludf.DUMMYFUNCTION("""COMPUTED_VALUE"""),"₱ 75,468.00")</f>
        <v>₱ 75,468.00</v>
      </c>
      <c r="E2881" s="164"/>
      <c r="F2881" s="164" t="str">
        <f ca="1">IFERROR(__xludf.DUMMYFUNCTION("""COMPUTED_VALUE"""),"2023-05-03-1020SP1318-01")</f>
        <v>2023-05-03-1020SP1318-01</v>
      </c>
      <c r="G2881" s="164"/>
      <c r="H2881" s="164" t="str">
        <f ca="1">IFERROR(__xludf.DUMMYFUNCTION("""COMPUTED_VALUE"""),"ATTY.MIRA HYACINTH SOMORAY ALTAR")</f>
        <v>ATTY.MIRA HYACINTH SOMORAY ALTAR</v>
      </c>
      <c r="I2881" s="164" t="str">
        <f ca="1">IFERROR(__xludf.DUMMYFUNCTION("""COMPUTED_VALUE"""),"LEGAL SPECIALIST")</f>
        <v>LEGAL SPECIALIST</v>
      </c>
      <c r="J2881" s="164" t="str">
        <f ca="1">IFERROR(__xludf.DUMMYFUNCTION("""COMPUTED_VALUE"""),"PS-2023-05-01-010")</f>
        <v>PS-2023-05-01-010</v>
      </c>
      <c r="K2881" s="164" t="str">
        <f ca="1">IFERROR(__xludf.DUMMYFUNCTION("""COMPUTED_VALUE"""),"ATTY. MIRA HYACINTH SOMORAY ALTAR")</f>
        <v>ATTY. MIRA HYACINTH SOMORAY ALTAR</v>
      </c>
      <c r="L2881" s="164" t="str">
        <f ca="1">IFERROR(__xludf.DUMMYFUNCTION("""COMPUTED_VALUE"""),"SPLIT")</f>
        <v>SPLIT</v>
      </c>
      <c r="M2881" s="164" t="str">
        <f ca="1">IFERROR(__xludf.DUMMYFUNCTION("""COMPUTED_VALUE"""),"SERVICEABLE")</f>
        <v>SERVICEABLE</v>
      </c>
      <c r="N2881" s="164"/>
    </row>
    <row r="2882" spans="1:14" ht="13.2" hidden="1">
      <c r="A2882" s="164" t="str">
        <f ca="1">IFERROR(__xludf.DUMMYFUNCTION("""COMPUTED_VALUE"""),"REGION VIII")</f>
        <v>REGION VIII</v>
      </c>
      <c r="B2882" s="164" t="str">
        <f ca="1">IFERROR(__xludf.DUMMYFUNCTION("""COMPUTED_VALUE"""),"Regional Office")</f>
        <v>Regional Office</v>
      </c>
      <c r="C2882" s="164" t="str">
        <f ca="1">IFERROR(__xludf.DUMMYFUNCTION("""COMPUTED_VALUE"""),"Desktop Computer – (Lenovo M70T)")</f>
        <v>Desktop Computer – (Lenovo M70T)</v>
      </c>
      <c r="D2882" s="164" t="str">
        <f ca="1">IFERROR(__xludf.DUMMYFUNCTION("""COMPUTED_VALUE"""),"₱ 75,468.00")</f>
        <v>₱ 75,468.00</v>
      </c>
      <c r="E2882" s="164"/>
      <c r="F2882" s="164" t="str">
        <f ca="1">IFERROR(__xludf.DUMMYFUNCTION("""COMPUTED_VALUE"""),"2023-05-03-10201SP1315-01")</f>
        <v>2023-05-03-10201SP1315-01</v>
      </c>
      <c r="G2882" s="164"/>
      <c r="H2882" s="164" t="str">
        <f ca="1">IFERROR(__xludf.DUMMYFUNCTION("""COMPUTED_VALUE"""),"ENGR. JOEL M. ENCINA")</f>
        <v>ENGR. JOEL M. ENCINA</v>
      </c>
      <c r="I2882" s="164" t="str">
        <f ca="1">IFERROR(__xludf.DUMMYFUNCTION("""COMPUTED_VALUE"""),"CARPO LTS/VERIFIER")</f>
        <v>CARPO LTS/VERIFIER</v>
      </c>
      <c r="J2882" s="164" t="str">
        <f ca="1">IFERROR(__xludf.DUMMYFUNCTION("""COMPUTED_VALUE"""),"PS-2023-05-01-011")</f>
        <v>PS-2023-05-01-011</v>
      </c>
      <c r="K2882" s="164" t="str">
        <f ca="1">IFERROR(__xludf.DUMMYFUNCTION("""COMPUTED_VALUE"""),"LAURENCE SORIYAO")</f>
        <v>LAURENCE SORIYAO</v>
      </c>
      <c r="L2882" s="164" t="str">
        <f ca="1">IFERROR(__xludf.DUMMYFUNCTION("""COMPUTED_VALUE"""),"LTS")</f>
        <v>LTS</v>
      </c>
      <c r="M2882" s="164" t="str">
        <f ca="1">IFERROR(__xludf.DUMMYFUNCTION("""COMPUTED_VALUE"""),"SERVICEABLE")</f>
        <v>SERVICEABLE</v>
      </c>
      <c r="N2882" s="164"/>
    </row>
    <row r="2883" spans="1:14" ht="13.2" hidden="1">
      <c r="A2883" s="164" t="str">
        <f ca="1">IFERROR(__xludf.DUMMYFUNCTION("""COMPUTED_VALUE"""),"REGION VIII")</f>
        <v>REGION VIII</v>
      </c>
      <c r="B2883" s="164" t="str">
        <f ca="1">IFERROR(__xludf.DUMMYFUNCTION("""COMPUTED_VALUE"""),"Regional Office")</f>
        <v>Regional Office</v>
      </c>
      <c r="C2883" s="164" t="str">
        <f ca="1">IFERROR(__xludf.DUMMYFUNCTION("""COMPUTED_VALUE"""),"Desktop Computer – (Lenovo M70T)")</f>
        <v>Desktop Computer – (Lenovo M70T)</v>
      </c>
      <c r="D2883" s="164" t="str">
        <f ca="1">IFERROR(__xludf.DUMMYFUNCTION("""COMPUTED_VALUE"""),"₱ 75,468.00")</f>
        <v>₱ 75,468.00</v>
      </c>
      <c r="E2883" s="164"/>
      <c r="F2883" s="164" t="str">
        <f ca="1">IFERROR(__xludf.DUMMYFUNCTION("""COMPUTED_VALUE"""),"2023-05-03-10201SP1313-01")</f>
        <v>2023-05-03-10201SP1313-01</v>
      </c>
      <c r="G2883" s="164"/>
      <c r="H2883" s="164" t="str">
        <f ca="1">IFERROR(__xludf.DUMMYFUNCTION("""COMPUTED_VALUE"""),"MA. ELSA M. VELOSO")</f>
        <v>MA. ELSA M. VELOSO</v>
      </c>
      <c r="I2883" s="164" t="str">
        <f ca="1">IFERROR(__xludf.DUMMYFUNCTION("""COMPUTED_VALUE"""),"RCAO/ ADMIN SUPPORT STAFF")</f>
        <v>RCAO/ ADMIN SUPPORT STAFF</v>
      </c>
      <c r="J2883" s="164" t="str">
        <f ca="1">IFERROR(__xludf.DUMMYFUNCTION("""COMPUTED_VALUE"""),"PS-2023-05-01-012")</f>
        <v>PS-2023-05-01-012</v>
      </c>
      <c r="K2883" s="164" t="str">
        <f ca="1">IFERROR(__xludf.DUMMYFUNCTION("""COMPUTED_VALUE"""),"JESA B. OLACO")</f>
        <v>JESA B. OLACO</v>
      </c>
      <c r="L2883" s="164" t="str">
        <f ca="1">IFERROR(__xludf.DUMMYFUNCTION("""COMPUTED_VALUE"""),"Admin")</f>
        <v>Admin</v>
      </c>
      <c r="M2883" s="164" t="str">
        <f ca="1">IFERROR(__xludf.DUMMYFUNCTION("""COMPUTED_VALUE"""),"SERVICEABLE")</f>
        <v>SERVICEABLE</v>
      </c>
      <c r="N2883" s="164"/>
    </row>
    <row r="2884" spans="1:14" ht="13.2" hidden="1">
      <c r="A2884" s="164" t="str">
        <f ca="1">IFERROR(__xludf.DUMMYFUNCTION("""COMPUTED_VALUE"""),"REGION VIII")</f>
        <v>REGION VIII</v>
      </c>
      <c r="B2884" s="164" t="str">
        <f ca="1">IFERROR(__xludf.DUMMYFUNCTION("""COMPUTED_VALUE"""),"Regional Office")</f>
        <v>Regional Office</v>
      </c>
      <c r="C2884" s="164" t="str">
        <f ca="1">IFERROR(__xludf.DUMMYFUNCTION("""COMPUTED_VALUE"""),"Desktop Computer – (Lenovo M70T)")</f>
        <v>Desktop Computer – (Lenovo M70T)</v>
      </c>
      <c r="D2884" s="164" t="str">
        <f ca="1">IFERROR(__xludf.DUMMYFUNCTION("""COMPUTED_VALUE"""),"₱ 75,468.00")</f>
        <v>₱ 75,468.00</v>
      </c>
      <c r="E2884" s="164"/>
      <c r="F2884" s="164" t="str">
        <f ca="1">IFERROR(__xludf.DUMMYFUNCTION("""COMPUTED_VALUE"""),"2023-05-03-10201SP1317-01")</f>
        <v>2023-05-03-10201SP1317-01</v>
      </c>
      <c r="G2884" s="164"/>
      <c r="H2884" s="164" t="str">
        <f ca="1">IFERROR(__xludf.DUMMYFUNCTION("""COMPUTED_VALUE"""),"ENGR. JOEL M. ENCINA")</f>
        <v>ENGR. JOEL M. ENCINA</v>
      </c>
      <c r="I2884" s="164" t="str">
        <f ca="1">IFERROR(__xludf.DUMMYFUNCTION("""COMPUTED_VALUE"""),"CARPO LTS/ ENGINEER")</f>
        <v>CARPO LTS/ ENGINEER</v>
      </c>
      <c r="J2884" s="164" t="str">
        <f ca="1">IFERROR(__xludf.DUMMYFUNCTION("""COMPUTED_VALUE"""),"PS-2023-05-01-013")</f>
        <v>PS-2023-05-01-013</v>
      </c>
      <c r="K2884" s="164" t="str">
        <f ca="1">IFERROR(__xludf.DUMMYFUNCTION("""COMPUTED_VALUE"""),"WENDY JANE VILLAS")</f>
        <v>WENDY JANE VILLAS</v>
      </c>
      <c r="L2884" s="164" t="str">
        <f ca="1">IFERROR(__xludf.DUMMYFUNCTION("""COMPUTED_VALUE"""),"ESS DOCUMENTOR")</f>
        <v>ESS DOCUMENTOR</v>
      </c>
      <c r="M2884" s="164" t="str">
        <f ca="1">IFERROR(__xludf.DUMMYFUNCTION("""COMPUTED_VALUE"""),"SERVICEABLE")</f>
        <v>SERVICEABLE</v>
      </c>
      <c r="N2884" s="164"/>
    </row>
    <row r="2885" spans="1:14" ht="13.2" hidden="1">
      <c r="A2885" s="164" t="str">
        <f ca="1">IFERROR(__xludf.DUMMYFUNCTION("""COMPUTED_VALUE"""),"REGION VIII")</f>
        <v>REGION VIII</v>
      </c>
      <c r="B2885" s="164" t="str">
        <f ca="1">IFERROR(__xludf.DUMMYFUNCTION("""COMPUTED_VALUE"""),"Regional Office")</f>
        <v>Regional Office</v>
      </c>
      <c r="C2885" s="164" t="str">
        <f ca="1">IFERROR(__xludf.DUMMYFUNCTION("""COMPUTED_VALUE"""),"Desktop Computer – (Lenovo M70T)")</f>
        <v>Desktop Computer – (Lenovo M70T)</v>
      </c>
      <c r="D2885" s="164" t="str">
        <f ca="1">IFERROR(__xludf.DUMMYFUNCTION("""COMPUTED_VALUE"""),"₱ 75,468.00")</f>
        <v>₱ 75,468.00</v>
      </c>
      <c r="E2885" s="164"/>
      <c r="F2885" s="164" t="str">
        <f ca="1">IFERROR(__xludf.DUMMYFUNCTION("""COMPUTED_VALUE"""),"2023-05-03-10201SP1314-01")</f>
        <v>2023-05-03-10201SP1314-01</v>
      </c>
      <c r="G2885" s="164"/>
      <c r="H2885" s="164" t="str">
        <f ca="1">IFERROR(__xludf.DUMMYFUNCTION("""COMPUTED_VALUE"""),"JUANITA ROMANO")</f>
        <v>JUANITA ROMANO</v>
      </c>
      <c r="I2885" s="164" t="str">
        <f ca="1">IFERROR(__xludf.DUMMYFUNCTION("""COMPUTED_VALUE"""),"SUARPO/ ESSS STAFF")</f>
        <v>SUARPO/ ESSS STAFF</v>
      </c>
      <c r="J2885" s="164" t="str">
        <f ca="1">IFERROR(__xludf.DUMMYFUNCTION("""COMPUTED_VALUE"""),"PS-2023-05-01-014")</f>
        <v>PS-2023-05-01-014</v>
      </c>
      <c r="K2885" s="164" t="str">
        <f ca="1">IFERROR(__xludf.DUMMYFUNCTION("""COMPUTED_VALUE"""),"MICHAEL DABUET")</f>
        <v>MICHAEL DABUET</v>
      </c>
      <c r="L2885" s="164" t="str">
        <f ca="1">IFERROR(__xludf.DUMMYFUNCTION("""COMPUTED_VALUE"""),"ARBDSP")</f>
        <v>ARBDSP</v>
      </c>
      <c r="M2885" s="164" t="str">
        <f ca="1">IFERROR(__xludf.DUMMYFUNCTION("""COMPUTED_VALUE"""),"SERVICEABLE")</f>
        <v>SERVICEABLE</v>
      </c>
      <c r="N2885" s="164"/>
    </row>
    <row r="2886" spans="1:14" ht="13.2" hidden="1">
      <c r="A2886" s="164" t="str">
        <f ca="1">IFERROR(__xludf.DUMMYFUNCTION("""COMPUTED_VALUE"""),"REGION VIII")</f>
        <v>REGION VIII</v>
      </c>
      <c r="B2886" s="164" t="str">
        <f ca="1">IFERROR(__xludf.DUMMYFUNCTION("""COMPUTED_VALUE"""),"Regional Office")</f>
        <v>Regional Office</v>
      </c>
      <c r="C2886" s="164" t="str">
        <f ca="1">IFERROR(__xludf.DUMMYFUNCTION("""COMPUTED_VALUE"""),"Desktop Computer – (Lenovo M70T)")</f>
        <v>Desktop Computer – (Lenovo M70T)</v>
      </c>
      <c r="D2886" s="164" t="str">
        <f ca="1">IFERROR(__xludf.DUMMYFUNCTION("""COMPUTED_VALUE"""),"₱ 75,468.00")</f>
        <v>₱ 75,468.00</v>
      </c>
      <c r="E2886" s="164"/>
      <c r="F2886" s="164" t="str">
        <f ca="1">IFERROR(__xludf.DUMMYFUNCTION("""COMPUTED_VALUE"""),"2023-05-03-10201SP1316-01")</f>
        <v>2023-05-03-10201SP1316-01</v>
      </c>
      <c r="G2886" s="164"/>
      <c r="H2886" s="164" t="str">
        <f ca="1">IFERROR(__xludf.DUMMYFUNCTION("""COMPUTED_VALUE"""),"LORNA REMANDABAN")</f>
        <v>LORNA REMANDABAN</v>
      </c>
      <c r="I2886" s="164" t="str">
        <f ca="1">IFERROR(__xludf.DUMMYFUNCTION("""COMPUTED_VALUE"""),"ARPT/ PROCUREMENT STAFF")</f>
        <v>ARPT/ PROCUREMENT STAFF</v>
      </c>
      <c r="J2886" s="164" t="str">
        <f ca="1">IFERROR(__xludf.DUMMYFUNCTION("""COMPUTED_VALUE"""),"PS-2023-05-01-015")</f>
        <v>PS-2023-05-01-015</v>
      </c>
      <c r="K2886" s="164" t="str">
        <f ca="1">IFERROR(__xludf.DUMMYFUNCTION("""COMPUTED_VALUE"""),"JOAN RAAGAS")</f>
        <v>JOAN RAAGAS</v>
      </c>
      <c r="L2886" s="164" t="str">
        <f ca="1">IFERROR(__xludf.DUMMYFUNCTION("""COMPUTED_VALUE"""),"STO - Procurement")</f>
        <v>STO - Procurement</v>
      </c>
      <c r="M2886" s="164" t="str">
        <f ca="1">IFERROR(__xludf.DUMMYFUNCTION("""COMPUTED_VALUE"""),"SERVICEABLE")</f>
        <v>SERVICEABLE</v>
      </c>
      <c r="N2886" s="164"/>
    </row>
    <row r="2887" spans="1:14" ht="13.2" hidden="1">
      <c r="A2887" s="164" t="str">
        <f ca="1">IFERROR(__xludf.DUMMYFUNCTION("""COMPUTED_VALUE"""),"REGION VIII")</f>
        <v>REGION VIII</v>
      </c>
      <c r="B2887" s="164" t="str">
        <f ca="1">IFERROR(__xludf.DUMMYFUNCTION("""COMPUTED_VALUE"""),"Regional Office")</f>
        <v>Regional Office</v>
      </c>
      <c r="C2887" s="164" t="str">
        <f ca="1">IFERROR(__xludf.DUMMYFUNCTION("""COMPUTED_VALUE"""),"Desktop Computer – (Lenovo M70T)")</f>
        <v>Desktop Computer – (Lenovo M70T)</v>
      </c>
      <c r="D2887" s="164" t="str">
        <f ca="1">IFERROR(__xludf.DUMMYFUNCTION("""COMPUTED_VALUE"""),"₱ 75,468.00")</f>
        <v>₱ 75,468.00</v>
      </c>
      <c r="E2887" s="164"/>
      <c r="F2887" s="164" t="str">
        <f ca="1">IFERROR(__xludf.DUMMYFUNCTION("""COMPUTED_VALUE"""),"2023-05-03-10201SP1312-01")</f>
        <v>2023-05-03-10201SP1312-01</v>
      </c>
      <c r="G2887" s="164"/>
      <c r="H2887" s="164" t="str">
        <f ca="1">IFERROR(__xludf.DUMMYFUNCTION("""COMPUTED_VALUE"""),"MICHAEL MITARAN")</f>
        <v>MICHAEL MITARAN</v>
      </c>
      <c r="I2887" s="164" t="str">
        <f ca="1">IFERROR(__xludf.DUMMYFUNCTION("""COMPUTED_VALUE"""),"REG'ACCOUNTANT/FSS")</f>
        <v>REG'ACCOUNTANT/FSS</v>
      </c>
      <c r="J2887" s="164" t="str">
        <f ca="1">IFERROR(__xludf.DUMMYFUNCTION("""COMPUTED_VALUE"""),"PS-2023-05-01-016")</f>
        <v>PS-2023-05-01-016</v>
      </c>
      <c r="K2887" s="164" t="str">
        <f ca="1">IFERROR(__xludf.DUMMYFUNCTION("""COMPUTED_VALUE"""),"MARCELO ALICANDO")</f>
        <v>MARCELO ALICANDO</v>
      </c>
      <c r="L2887" s="164" t="str">
        <f ca="1">IFERROR(__xludf.DUMMYFUNCTION("""COMPUTED_VALUE"""),"Accounting")</f>
        <v>Accounting</v>
      </c>
      <c r="M2887" s="164" t="str">
        <f ca="1">IFERROR(__xludf.DUMMYFUNCTION("""COMPUTED_VALUE"""),"SERVICEABLE")</f>
        <v>SERVICEABLE</v>
      </c>
      <c r="N2887" s="164"/>
    </row>
    <row r="2888" spans="1:14" ht="13.2" hidden="1">
      <c r="A2888" s="164" t="str">
        <f ca="1">IFERROR(__xludf.DUMMYFUNCTION("""COMPUTED_VALUE"""),"REGION VIII")</f>
        <v>REGION VIII</v>
      </c>
      <c r="B2888" s="164" t="str">
        <f ca="1">IFERROR(__xludf.DUMMYFUNCTION("""COMPUTED_VALUE"""),"Regional Office")</f>
        <v>Regional Office</v>
      </c>
      <c r="C2888" s="164" t="str">
        <f ca="1">IFERROR(__xludf.DUMMYFUNCTION("""COMPUTED_VALUE"""),"Desktop Computer – (Lenovo M70T)")</f>
        <v>Desktop Computer – (Lenovo M70T)</v>
      </c>
      <c r="D2888" s="164" t="str">
        <f ca="1">IFERROR(__xludf.DUMMYFUNCTION("""COMPUTED_VALUE"""),"₱ 75,468.00")</f>
        <v>₱ 75,468.00</v>
      </c>
      <c r="E2888" s="164"/>
      <c r="F2888" s="164" t="str">
        <f ca="1">IFERROR(__xludf.DUMMYFUNCTION("""COMPUTED_VALUE"""),"2023-05-03-10201SP1319-01")</f>
        <v>2023-05-03-10201SP1319-01</v>
      </c>
      <c r="G2888" s="164"/>
      <c r="H2888" s="164" t="str">
        <f ca="1">IFERROR(__xludf.DUMMYFUNCTION("""COMPUTED_VALUE"""),"ENGR.J. ABALOYAN")</f>
        <v>ENGR.J. ABALOYAN</v>
      </c>
      <c r="I2888" s="164" t="str">
        <f ca="1">IFERROR(__xludf.DUMMYFUNCTION("""COMPUTED_VALUE"""),"ISA / IT STAFF")</f>
        <v>ISA / IT STAFF</v>
      </c>
      <c r="J2888" s="164" t="str">
        <f ca="1">IFERROR(__xludf.DUMMYFUNCTION("""COMPUTED_VALUE"""),"PS-2023-05-01-017")</f>
        <v>PS-2023-05-01-017</v>
      </c>
      <c r="K2888" s="164" t="str">
        <f ca="1">IFERROR(__xludf.DUMMYFUNCTION("""COMPUTED_VALUE"""),"CLEMENTE FLORENDO")</f>
        <v>CLEMENTE FLORENDO</v>
      </c>
      <c r="L2888" s="164" t="str">
        <f ca="1">IFERROR(__xludf.DUMMYFUNCTION("""COMPUTED_VALUE"""),"STO - Planning")</f>
        <v>STO - Planning</v>
      </c>
      <c r="M2888" s="164" t="str">
        <f ca="1">IFERROR(__xludf.DUMMYFUNCTION("""COMPUTED_VALUE"""),"SERVICEABLE")</f>
        <v>SERVICEABLE</v>
      </c>
      <c r="N2888" s="164"/>
    </row>
    <row r="2889" spans="1:14" ht="13.2" hidden="1">
      <c r="A2889" s="164" t="str">
        <f ca="1">IFERROR(__xludf.DUMMYFUNCTION("""COMPUTED_VALUE"""),"REGION VIII")</f>
        <v>REGION VIII</v>
      </c>
      <c r="B2889" s="164" t="str">
        <f ca="1">IFERROR(__xludf.DUMMYFUNCTION("""COMPUTED_VALUE"""),"Regional Office")</f>
        <v>Regional Office</v>
      </c>
      <c r="C2889" s="164" t="str">
        <f ca="1">IFERROR(__xludf.DUMMYFUNCTION("""COMPUTED_VALUE"""),"Desktop Computer – (Lenovo M70T)")</f>
        <v>Desktop Computer – (Lenovo M70T)</v>
      </c>
      <c r="D2889" s="164" t="str">
        <f ca="1">IFERROR(__xludf.DUMMYFUNCTION("""COMPUTED_VALUE"""),"₱ 75,468.00")</f>
        <v>₱ 75,468.00</v>
      </c>
      <c r="E2889" s="164"/>
      <c r="F2889" s="164" t="str">
        <f ca="1">IFERROR(__xludf.DUMMYFUNCTION("""COMPUTED_VALUE"""),"2023-05-03-10201SP1348-01")</f>
        <v>2023-05-03-10201SP1348-01</v>
      </c>
      <c r="G2889" s="164"/>
      <c r="H2889" s="164" t="str">
        <f ca="1">IFERROR(__xludf.DUMMYFUNCTION("""COMPUTED_VALUE"""),"ENGR. JOEL M. ENCINA")</f>
        <v>ENGR. JOEL M. ENCINA</v>
      </c>
      <c r="I2889" s="164" t="str">
        <f ca="1">IFERROR(__xludf.DUMMYFUNCTION("""COMPUTED_VALUE"""),"IT STAFF")</f>
        <v>IT STAFF</v>
      </c>
      <c r="J2889" s="164" t="str">
        <f ca="1">IFERROR(__xludf.DUMMYFUNCTION("""COMPUTED_VALUE"""),"PS-2023-05-01-018")</f>
        <v>PS-2023-05-01-018</v>
      </c>
      <c r="K2889" s="164" t="str">
        <f ca="1">IFERROR(__xludf.DUMMYFUNCTION("""COMPUTED_VALUE"""),"LEOLITO F. ADRE JR.")</f>
        <v>LEOLITO F. ADRE JR.</v>
      </c>
      <c r="L2889" s="164" t="str">
        <f ca="1">IFERROR(__xludf.DUMMYFUNCTION("""COMPUTED_VALUE"""),"LTS")</f>
        <v>LTS</v>
      </c>
      <c r="M2889" s="164" t="str">
        <f ca="1">IFERROR(__xludf.DUMMYFUNCTION("""COMPUTED_VALUE"""),"SERVICEABLE")</f>
        <v>SERVICEABLE</v>
      </c>
      <c r="N2889" s="164"/>
    </row>
    <row r="2890" spans="1:14" ht="13.2" hidden="1">
      <c r="A2890" s="164" t="str">
        <f ca="1">IFERROR(__xludf.DUMMYFUNCTION("""COMPUTED_VALUE"""),"REGION VIII")</f>
        <v>REGION VIII</v>
      </c>
      <c r="B2890" s="164" t="str">
        <f ca="1">IFERROR(__xludf.DUMMYFUNCTION("""COMPUTED_VALUE"""),"Regional Office")</f>
        <v>Regional Office</v>
      </c>
      <c r="C2890" s="164" t="str">
        <f ca="1">IFERROR(__xludf.DUMMYFUNCTION("""COMPUTED_VALUE"""),"Desktop Computer – (HP Pro SFF 280G9)")</f>
        <v>Desktop Computer – (HP Pro SFF 280G9)</v>
      </c>
      <c r="D2890" s="164" t="str">
        <f ca="1">IFERROR(__xludf.DUMMYFUNCTION("""COMPUTED_VALUE"""),"₱ 78,898.00")</f>
        <v>₱ 78,898.00</v>
      </c>
      <c r="E2890" s="164"/>
      <c r="F2890" s="164" t="str">
        <f ca="1">IFERROR(__xludf.DUMMYFUNCTION("""COMPUTED_VALUE"""),"2023-05-03-10201SP187-01")</f>
        <v>2023-05-03-10201SP187-01</v>
      </c>
      <c r="G2890" s="164"/>
      <c r="H2890" s="164" t="str">
        <f ca="1">IFERROR(__xludf.DUMMYFUNCTION("""COMPUTED_VALUE"""),"IMEE M. SABILLO (SPLIT DENR)")</f>
        <v>IMEE M. SABILLO (SPLIT DENR)</v>
      </c>
      <c r="I2890" s="164" t="str">
        <f ca="1">IFERROR(__xludf.DUMMYFUNCTION("""COMPUTED_VALUE"""),"ENGINEER II")</f>
        <v>ENGINEER II</v>
      </c>
      <c r="J2890" s="164" t="str">
        <f ca="1">IFERROR(__xludf.DUMMYFUNCTION("""COMPUTED_VALUE"""),"PS-2023-05-01-022")</f>
        <v>PS-2023-05-01-022</v>
      </c>
      <c r="K2890" s="164" t="str">
        <f ca="1">IFERROR(__xludf.DUMMYFUNCTION("""COMPUTED_VALUE"""),"IMEE M. SABILLO")</f>
        <v>IMEE M. SABILLO</v>
      </c>
      <c r="L2890" s="164" t="str">
        <f ca="1">IFERROR(__xludf.DUMMYFUNCTION("""COMPUTED_VALUE"""),"LTS")</f>
        <v>LTS</v>
      </c>
      <c r="M2890" s="164" t="str">
        <f ca="1">IFERROR(__xludf.DUMMYFUNCTION("""COMPUTED_VALUE"""),"SERVICEABLE")</f>
        <v>SERVICEABLE</v>
      </c>
      <c r="N2890" s="164"/>
    </row>
    <row r="2891" spans="1:14" ht="13.2" hidden="1">
      <c r="A2891" s="164" t="str">
        <f ca="1">IFERROR(__xludf.DUMMYFUNCTION("""COMPUTED_VALUE"""),"REGION VIII")</f>
        <v>REGION VIII</v>
      </c>
      <c r="B2891" s="164" t="str">
        <f ca="1">IFERROR(__xludf.DUMMYFUNCTION("""COMPUTED_VALUE"""),"Regional Office")</f>
        <v>Regional Office</v>
      </c>
      <c r="C2891" s="164" t="str">
        <f ca="1">IFERROR(__xludf.DUMMYFUNCTION("""COMPUTED_VALUE"""),"Desktop Computer – (HP Pro SFF 280G9)")</f>
        <v>Desktop Computer – (HP Pro SFF 280G9)</v>
      </c>
      <c r="D2891" s="164" t="str">
        <f ca="1">IFERROR(__xludf.DUMMYFUNCTION("""COMPUTED_VALUE"""),"₱ 78,898.00")</f>
        <v>₱ 78,898.00</v>
      </c>
      <c r="E2891" s="164"/>
      <c r="F2891" s="164" t="str">
        <f ca="1">IFERROR(__xludf.DUMMYFUNCTION("""COMPUTED_VALUE"""),"2023-05-03-10201SP190-01")</f>
        <v>2023-05-03-10201SP190-01</v>
      </c>
      <c r="G2891" s="164"/>
      <c r="H2891" s="164" t="str">
        <f ca="1">IFERROR(__xludf.DUMMYFUNCTION("""COMPUTED_VALUE"""),"IMEE M. SABILLO (SPLIT DENR)")</f>
        <v>IMEE M. SABILLO (SPLIT DENR)</v>
      </c>
      <c r="I2891" s="164" t="str">
        <f ca="1">IFERROR(__xludf.DUMMYFUNCTION("""COMPUTED_VALUE"""),"ENGINEER II")</f>
        <v>ENGINEER II</v>
      </c>
      <c r="J2891" s="164" t="str">
        <f ca="1">IFERROR(__xludf.DUMMYFUNCTION("""COMPUTED_VALUE"""),"PS-2023-05-01-023")</f>
        <v>PS-2023-05-01-023</v>
      </c>
      <c r="K2891" s="164" t="str">
        <f ca="1">IFERROR(__xludf.DUMMYFUNCTION("""COMPUTED_VALUE"""),"IMEE M. SABILLO")</f>
        <v>IMEE M. SABILLO</v>
      </c>
      <c r="L2891" s="164" t="str">
        <f ca="1">IFERROR(__xludf.DUMMYFUNCTION("""COMPUTED_VALUE"""),"LTS")</f>
        <v>LTS</v>
      </c>
      <c r="M2891" s="164" t="str">
        <f ca="1">IFERROR(__xludf.DUMMYFUNCTION("""COMPUTED_VALUE"""),"SERVICEABLE")</f>
        <v>SERVICEABLE</v>
      </c>
      <c r="N2891" s="164"/>
    </row>
    <row r="2892" spans="1:14" ht="13.2" hidden="1">
      <c r="A2892" s="164" t="str">
        <f ca="1">IFERROR(__xludf.DUMMYFUNCTION("""COMPUTED_VALUE"""),"REGION VIII")</f>
        <v>REGION VIII</v>
      </c>
      <c r="B2892" s="164" t="str">
        <f ca="1">IFERROR(__xludf.DUMMYFUNCTION("""COMPUTED_VALUE"""),"Regional Office")</f>
        <v>Regional Office</v>
      </c>
      <c r="C2892" s="164" t="str">
        <f ca="1">IFERROR(__xludf.DUMMYFUNCTION("""COMPUTED_VALUE"""),"Desktop Computer – (HP Pro SFF 280G9)")</f>
        <v>Desktop Computer – (HP Pro SFF 280G9)</v>
      </c>
      <c r="D2892" s="164" t="str">
        <f ca="1">IFERROR(__xludf.DUMMYFUNCTION("""COMPUTED_VALUE"""),"₱ 78,898.00")</f>
        <v>₱ 78,898.00</v>
      </c>
      <c r="E2892" s="164"/>
      <c r="F2892" s="164" t="str">
        <f ca="1">IFERROR(__xludf.DUMMYFUNCTION("""COMPUTED_VALUE"""),"2023-05-03-10201SP184-01")</f>
        <v>2023-05-03-10201SP184-01</v>
      </c>
      <c r="G2892" s="164"/>
      <c r="H2892" s="164" t="str">
        <f ca="1">IFERROR(__xludf.DUMMYFUNCTION("""COMPUTED_VALUE"""),"MA. ELSA M. VELOSO")</f>
        <v>MA. ELSA M. VELOSO</v>
      </c>
      <c r="I2892" s="164" t="str">
        <f ca="1">IFERROR(__xludf.DUMMYFUNCTION("""COMPUTED_VALUE"""),"RCAO/CBTA SUPPORT STAFF")</f>
        <v>RCAO/CBTA SUPPORT STAFF</v>
      </c>
      <c r="J2892" s="164" t="str">
        <f ca="1">IFERROR(__xludf.DUMMYFUNCTION("""COMPUTED_VALUE"""),"PS-2023-05-01-024")</f>
        <v>PS-2023-05-01-024</v>
      </c>
      <c r="K2892" s="164" t="str">
        <f ca="1">IFERROR(__xludf.DUMMYFUNCTION("""COMPUTED_VALUE"""),"MARVIN ORQUIOLA")</f>
        <v>MARVIN ORQUIOLA</v>
      </c>
      <c r="L2892" s="164" t="str">
        <f ca="1">IFERROR(__xludf.DUMMYFUNCTION("""COMPUTED_VALUE"""),"Admin")</f>
        <v>Admin</v>
      </c>
      <c r="M2892" s="164" t="str">
        <f ca="1">IFERROR(__xludf.DUMMYFUNCTION("""COMPUTED_VALUE"""),"SERVICEABLE")</f>
        <v>SERVICEABLE</v>
      </c>
      <c r="N2892" s="164"/>
    </row>
    <row r="2893" spans="1:14" ht="13.2" hidden="1">
      <c r="A2893" s="164" t="str">
        <f ca="1">IFERROR(__xludf.DUMMYFUNCTION("""COMPUTED_VALUE"""),"REGION VIII")</f>
        <v>REGION VIII</v>
      </c>
      <c r="B2893" s="164" t="str">
        <f ca="1">IFERROR(__xludf.DUMMYFUNCTION("""COMPUTED_VALUE"""),"Regional Office")</f>
        <v>Regional Office</v>
      </c>
      <c r="C2893" s="164" t="str">
        <f ca="1">IFERROR(__xludf.DUMMYFUNCTION("""COMPUTED_VALUE"""),"Desktop Computer – (HP Pro SFF 280G9)")</f>
        <v>Desktop Computer – (HP Pro SFF 280G9)</v>
      </c>
      <c r="D2893" s="164" t="str">
        <f ca="1">IFERROR(__xludf.DUMMYFUNCTION("""COMPUTED_VALUE"""),"₱ 78,898.00")</f>
        <v>₱ 78,898.00</v>
      </c>
      <c r="E2893" s="164"/>
      <c r="F2893" s="164" t="str">
        <f ca="1">IFERROR(__xludf.DUMMYFUNCTION("""COMPUTED_VALUE"""),"2023-05-03-10201SP189-01")</f>
        <v>2023-05-03-10201SP189-01</v>
      </c>
      <c r="G2893" s="164"/>
      <c r="H2893" s="164" t="str">
        <f ca="1">IFERROR(__xludf.DUMMYFUNCTION("""COMPUTED_VALUE"""),"ENGR. JOEL M. ENCINA")</f>
        <v>ENGR. JOEL M. ENCINA</v>
      </c>
      <c r="I2893" s="164" t="str">
        <f ca="1">IFERROR(__xludf.DUMMYFUNCTION("""COMPUTED_VALUE"""),"CARPO LTS/DOCUMENTOR II")</f>
        <v>CARPO LTS/DOCUMENTOR II</v>
      </c>
      <c r="J2893" s="164" t="str">
        <f ca="1">IFERROR(__xludf.DUMMYFUNCTION("""COMPUTED_VALUE"""),"PS-2023-05-01-025")</f>
        <v>PS-2023-05-01-025</v>
      </c>
      <c r="K2893" s="164" t="str">
        <f ca="1">IFERROR(__xludf.DUMMYFUNCTION("""COMPUTED_VALUE"""),"CYRIL ANN BADEO")</f>
        <v>CYRIL ANN BADEO</v>
      </c>
      <c r="L2893" s="164" t="str">
        <f ca="1">IFERROR(__xludf.DUMMYFUNCTION("""COMPUTED_VALUE"""),"LTS")</f>
        <v>LTS</v>
      </c>
      <c r="M2893" s="164" t="str">
        <f ca="1">IFERROR(__xludf.DUMMYFUNCTION("""COMPUTED_VALUE"""),"SERVICEABLE")</f>
        <v>SERVICEABLE</v>
      </c>
      <c r="N2893" s="164"/>
    </row>
    <row r="2894" spans="1:14" ht="13.2" hidden="1">
      <c r="A2894" s="164" t="str">
        <f ca="1">IFERROR(__xludf.DUMMYFUNCTION("""COMPUTED_VALUE"""),"REGION VIII")</f>
        <v>REGION VIII</v>
      </c>
      <c r="B2894" s="164" t="str">
        <f ca="1">IFERROR(__xludf.DUMMYFUNCTION("""COMPUTED_VALUE"""),"Regional Office")</f>
        <v>Regional Office</v>
      </c>
      <c r="C2894" s="164" t="str">
        <f ca="1">IFERROR(__xludf.DUMMYFUNCTION("""COMPUTED_VALUE"""),"Desktop Computer – (HP Pro SFF 280G9)")</f>
        <v>Desktop Computer – (HP Pro SFF 280G9)</v>
      </c>
      <c r="D2894" s="164" t="str">
        <f ca="1">IFERROR(__xludf.DUMMYFUNCTION("""COMPUTED_VALUE"""),"₱ 78,898.00")</f>
        <v>₱ 78,898.00</v>
      </c>
      <c r="E2894" s="164"/>
      <c r="F2894" s="164" t="str">
        <f ca="1">IFERROR(__xludf.DUMMYFUNCTION("""COMPUTED_VALUE"""),"2023-05-03-10201SP186-01")</f>
        <v>2023-05-03-10201SP186-01</v>
      </c>
      <c r="G2894" s="164"/>
      <c r="H2894" s="164" t="str">
        <f ca="1">IFERROR(__xludf.DUMMYFUNCTION("""COMPUTED_VALUE"""),"FELIX DANTE ESPINA")</f>
        <v>FELIX DANTE ESPINA</v>
      </c>
      <c r="I2894" s="164" t="str">
        <f ca="1">IFERROR(__xludf.DUMMYFUNCTION("""COMPUTED_VALUE"""),"PLANNING OFFICER/M&amp;E STAFF")</f>
        <v>PLANNING OFFICER/M&amp;E STAFF</v>
      </c>
      <c r="J2894" s="164" t="str">
        <f ca="1">IFERROR(__xludf.DUMMYFUNCTION("""COMPUTED_VALUE"""),"PS-2023-05-01-026")</f>
        <v>PS-2023-05-01-026</v>
      </c>
      <c r="K2894" s="164" t="str">
        <f ca="1">IFERROR(__xludf.DUMMYFUNCTION("""COMPUTED_VALUE"""),"MARK LESTER DIMATAWARAN")</f>
        <v>MARK LESTER DIMATAWARAN</v>
      </c>
      <c r="L2894" s="164" t="str">
        <f ca="1">IFERROR(__xludf.DUMMYFUNCTION("""COMPUTED_VALUE"""),"STO - Planning")</f>
        <v>STO - Planning</v>
      </c>
      <c r="M2894" s="164" t="str">
        <f ca="1">IFERROR(__xludf.DUMMYFUNCTION("""COMPUTED_VALUE"""),"SERVICEABLE")</f>
        <v>SERVICEABLE</v>
      </c>
      <c r="N2894" s="164"/>
    </row>
    <row r="2895" spans="1:14" ht="13.2" hidden="1">
      <c r="A2895" s="164" t="str">
        <f ca="1">IFERROR(__xludf.DUMMYFUNCTION("""COMPUTED_VALUE"""),"REGION VIII")</f>
        <v>REGION VIII</v>
      </c>
      <c r="B2895" s="164" t="str">
        <f ca="1">IFERROR(__xludf.DUMMYFUNCTION("""COMPUTED_VALUE"""),"Regional Office")</f>
        <v>Regional Office</v>
      </c>
      <c r="C2895" s="164" t="str">
        <f ca="1">IFERROR(__xludf.DUMMYFUNCTION("""COMPUTED_VALUE"""),"Desktop Computer – (HP Pro SFF 280G9)")</f>
        <v>Desktop Computer – (HP Pro SFF 280G9)</v>
      </c>
      <c r="D2895" s="164" t="str">
        <f ca="1">IFERROR(__xludf.DUMMYFUNCTION("""COMPUTED_VALUE"""),"₱ 78,898.00")</f>
        <v>₱ 78,898.00</v>
      </c>
      <c r="E2895" s="164"/>
      <c r="F2895" s="164" t="str">
        <f ca="1">IFERROR(__xludf.DUMMYFUNCTION("""COMPUTED_VALUE"""),"2023-05-03-10201SP170-01")</f>
        <v>2023-05-03-10201SP170-01</v>
      </c>
      <c r="G2895" s="164"/>
      <c r="H2895" s="164" t="str">
        <f ca="1">IFERROR(__xludf.DUMMYFUNCTION("""COMPUTED_VALUE"""),"ATTY. JEROME PADERES")</f>
        <v>ATTY. JEROME PADERES</v>
      </c>
      <c r="I2895" s="164" t="str">
        <f ca="1">IFERROR(__xludf.DUMMYFUNCTION("""COMPUTED_VALUE"""),"CHIEF LEGAL DIVISION")</f>
        <v>CHIEF LEGAL DIVISION</v>
      </c>
      <c r="J2895" s="164" t="str">
        <f ca="1">IFERROR(__xludf.DUMMYFUNCTION("""COMPUTED_VALUE"""),"PS-2023-05-01-027")</f>
        <v>PS-2023-05-01-027</v>
      </c>
      <c r="K2895" s="164" t="str">
        <f ca="1">IFERROR(__xludf.DUMMYFUNCTION("""COMPUTED_VALUE"""),"ATTY. JEROME PADERES")</f>
        <v>ATTY. JEROME PADERES</v>
      </c>
      <c r="L2895" s="164" t="str">
        <f ca="1">IFERROR(__xludf.DUMMYFUNCTION("""COMPUTED_VALUE"""),"Legal")</f>
        <v>Legal</v>
      </c>
      <c r="M2895" s="164" t="str">
        <f ca="1">IFERROR(__xludf.DUMMYFUNCTION("""COMPUTED_VALUE"""),"SERVICEABLE")</f>
        <v>SERVICEABLE</v>
      </c>
      <c r="N2895" s="164"/>
    </row>
    <row r="2896" spans="1:14" ht="13.2" hidden="1">
      <c r="A2896" s="164" t="str">
        <f ca="1">IFERROR(__xludf.DUMMYFUNCTION("""COMPUTED_VALUE"""),"REGION VIII")</f>
        <v>REGION VIII</v>
      </c>
      <c r="B2896" s="164" t="str">
        <f ca="1">IFERROR(__xludf.DUMMYFUNCTION("""COMPUTED_VALUE"""),"Regional Office")</f>
        <v>Regional Office</v>
      </c>
      <c r="C2896" s="164" t="str">
        <f ca="1">IFERROR(__xludf.DUMMYFUNCTION("""COMPUTED_VALUE"""),"Laptop – (ACER EXTENSA EX215-55G i7)")</f>
        <v>Laptop – (ACER EXTENSA EX215-55G i7)</v>
      </c>
      <c r="D2896" s="164" t="str">
        <f ca="1">IFERROR(__xludf.DUMMYFUNCTION("""COMPUTED_VALUE"""),"₱ 59,500.00")</f>
        <v>₱ 59,500.00</v>
      </c>
      <c r="E2896" s="164"/>
      <c r="F2896" s="164" t="str">
        <f ca="1">IFERROR(__xludf.DUMMYFUNCTION("""COMPUTED_VALUE"""),"2023-05-03-1020SP062-01")</f>
        <v>2023-05-03-1020SP062-01</v>
      </c>
      <c r="G2896" s="164"/>
      <c r="H2896" s="164" t="str">
        <f ca="1">IFERROR(__xludf.DUMMYFUNCTION("""COMPUTED_VALUE"""),"JOSE ALSMITNH SORIA")</f>
        <v>JOSE ALSMITNH SORIA</v>
      </c>
      <c r="I2896" s="164" t="str">
        <f ca="1">IFERROR(__xludf.DUMMYFUNCTION("""COMPUTED_VALUE"""),"INFORMATION OFFICER")</f>
        <v>INFORMATION OFFICER</v>
      </c>
      <c r="J2896" s="164" t="str">
        <f ca="1">IFERROR(__xludf.DUMMYFUNCTION("""COMPUTED_VALUE"""),"001-2023")</f>
        <v>001-2023</v>
      </c>
      <c r="K2896" s="164" t="str">
        <f ca="1">IFERROR(__xludf.DUMMYFUNCTION("""COMPUTED_VALUE"""),"JOSE ALSMITNH SORIA")</f>
        <v>JOSE ALSMITNH SORIA</v>
      </c>
      <c r="L2896" s="164" t="str">
        <f ca="1">IFERROR(__xludf.DUMMYFUNCTION("""COMPUTED_VALUE"""),"INFO OFFICE")</f>
        <v>INFO OFFICE</v>
      </c>
      <c r="M2896" s="164" t="str">
        <f ca="1">IFERROR(__xludf.DUMMYFUNCTION("""COMPUTED_VALUE"""),"SERVICEABLE")</f>
        <v>SERVICEABLE</v>
      </c>
      <c r="N2896" s="164"/>
    </row>
    <row r="2897" spans="1:14" ht="13.2" hidden="1">
      <c r="A2897" s="164" t="str">
        <f ca="1">IFERROR(__xludf.DUMMYFUNCTION("""COMPUTED_VALUE"""),"REGION VIII")</f>
        <v>REGION VIII</v>
      </c>
      <c r="B2897" s="164" t="str">
        <f ca="1">IFERROR(__xludf.DUMMYFUNCTION("""COMPUTED_VALUE"""),"Regional Office")</f>
        <v>Regional Office</v>
      </c>
      <c r="C2897" s="164" t="str">
        <f ca="1">IFERROR(__xludf.DUMMYFUNCTION("""COMPUTED_VALUE"""),"Laptop – (ACER EXTENSA EX215-55G i7)")</f>
        <v>Laptop – (ACER EXTENSA EX215-55G i7)</v>
      </c>
      <c r="D2897" s="164" t="str">
        <f ca="1">IFERROR(__xludf.DUMMYFUNCTION("""COMPUTED_VALUE"""),"₱ 59,500.00")</f>
        <v>₱ 59,500.00</v>
      </c>
      <c r="E2897" s="164"/>
      <c r="F2897" s="164" t="str">
        <f ca="1">IFERROR(__xludf.DUMMYFUNCTION("""COMPUTED_VALUE"""),"2023-05-03-1020SP249-01")</f>
        <v>2023-05-03-1020SP249-01</v>
      </c>
      <c r="G2897" s="164"/>
      <c r="H2897" s="164" t="str">
        <f ca="1">IFERROR(__xludf.DUMMYFUNCTION("""COMPUTED_VALUE"""),"IMEE M. SABILLO")</f>
        <v>IMEE M. SABILLO</v>
      </c>
      <c r="I2897" s="164" t="str">
        <f ca="1">IFERROR(__xludf.DUMMYFUNCTION("""COMPUTED_VALUE"""),"ENGINEER II")</f>
        <v>ENGINEER II</v>
      </c>
      <c r="J2897" s="164" t="str">
        <f ca="1">IFERROR(__xludf.DUMMYFUNCTION("""COMPUTED_VALUE"""),"PS-2023-05-03-001")</f>
        <v>PS-2023-05-03-001</v>
      </c>
      <c r="K2897" s="164" t="str">
        <f ca="1">IFERROR(__xludf.DUMMYFUNCTION("""COMPUTED_VALUE"""),"IMEE M. SABILLO")</f>
        <v>IMEE M. SABILLO</v>
      </c>
      <c r="L2897" s="164" t="str">
        <f ca="1">IFERROR(__xludf.DUMMYFUNCTION("""COMPUTED_VALUE"""),"LTS")</f>
        <v>LTS</v>
      </c>
      <c r="M2897" s="164" t="str">
        <f ca="1">IFERROR(__xludf.DUMMYFUNCTION("""COMPUTED_VALUE"""),"SERVICEABLE")</f>
        <v>SERVICEABLE</v>
      </c>
      <c r="N2897" s="164"/>
    </row>
    <row r="2898" spans="1:14" ht="13.2" hidden="1">
      <c r="A2898" s="164" t="str">
        <f ca="1">IFERROR(__xludf.DUMMYFUNCTION("""COMPUTED_VALUE"""),"REGION VIII")</f>
        <v>REGION VIII</v>
      </c>
      <c r="B2898" s="164" t="str">
        <f ca="1">IFERROR(__xludf.DUMMYFUNCTION("""COMPUTED_VALUE"""),"Regional Office")</f>
        <v>Regional Office</v>
      </c>
      <c r="C2898" s="164" t="str">
        <f ca="1">IFERROR(__xludf.DUMMYFUNCTION("""COMPUTED_VALUE"""),"Laptop – (ACER EXTENSA EX215-55G i7)")</f>
        <v>Laptop – (ACER EXTENSA EX215-55G i7)</v>
      </c>
      <c r="D2898" s="164" t="str">
        <f ca="1">IFERROR(__xludf.DUMMYFUNCTION("""COMPUTED_VALUE"""),"₱ 59,500.00")</f>
        <v>₱ 59,500.00</v>
      </c>
      <c r="E2898" s="164"/>
      <c r="F2898" s="164" t="str">
        <f ca="1">IFERROR(__xludf.DUMMYFUNCTION("""COMPUTED_VALUE"""),"2023-05-03-1020SP247-01")</f>
        <v>2023-05-03-1020SP247-01</v>
      </c>
      <c r="G2898" s="164"/>
      <c r="H2898" s="164" t="str">
        <f ca="1">IFERROR(__xludf.DUMMYFUNCTION("""COMPUTED_VALUE"""),"ENGR. JOEL M. ENCINA")</f>
        <v>ENGR. JOEL M. ENCINA</v>
      </c>
      <c r="I2898" s="164" t="str">
        <f ca="1">IFERROR(__xludf.DUMMYFUNCTION("""COMPUTED_VALUE"""),"CARPO-LTS")</f>
        <v>CARPO-LTS</v>
      </c>
      <c r="J2898" s="164" t="str">
        <f ca="1">IFERROR(__xludf.DUMMYFUNCTION("""COMPUTED_VALUE"""),"PS-2023-05-03-002")</f>
        <v>PS-2023-05-03-002</v>
      </c>
      <c r="K2898" s="164" t="str">
        <f ca="1">IFERROR(__xludf.DUMMYFUNCTION("""COMPUTED_VALUE"""),"ENGR. JOEL M. ENCINA")</f>
        <v>ENGR. JOEL M. ENCINA</v>
      </c>
      <c r="L2898" s="164" t="str">
        <f ca="1">IFERROR(__xludf.DUMMYFUNCTION("""COMPUTED_VALUE"""),"LTS")</f>
        <v>LTS</v>
      </c>
      <c r="M2898" s="164" t="str">
        <f ca="1">IFERROR(__xludf.DUMMYFUNCTION("""COMPUTED_VALUE"""),"SERVICEABLE")</f>
        <v>SERVICEABLE</v>
      </c>
      <c r="N2898" s="164"/>
    </row>
    <row r="2899" spans="1:14" ht="13.2" hidden="1">
      <c r="A2899" s="164" t="str">
        <f ca="1">IFERROR(__xludf.DUMMYFUNCTION("""COMPUTED_VALUE"""),"REGION VIII")</f>
        <v>REGION VIII</v>
      </c>
      <c r="B2899" s="164" t="str">
        <f ca="1">IFERROR(__xludf.DUMMYFUNCTION("""COMPUTED_VALUE"""),"Regional Office")</f>
        <v>Regional Office</v>
      </c>
      <c r="C2899" s="164" t="str">
        <f ca="1">IFERROR(__xludf.DUMMYFUNCTION("""COMPUTED_VALUE"""),"Laptop – (ACER EXTENSA EX215-55G i7)")</f>
        <v>Laptop – (ACER EXTENSA EX215-55G i7)</v>
      </c>
      <c r="D2899" s="164" t="str">
        <f ca="1">IFERROR(__xludf.DUMMYFUNCTION("""COMPUTED_VALUE"""),"₱ 59,500.00")</f>
        <v>₱ 59,500.00</v>
      </c>
      <c r="E2899" s="164"/>
      <c r="F2899" s="164" t="str">
        <f ca="1">IFERROR(__xludf.DUMMYFUNCTION("""COMPUTED_VALUE"""),"2023-05-03-1020SP258-01")</f>
        <v>2023-05-03-1020SP258-01</v>
      </c>
      <c r="G2899" s="164"/>
      <c r="H2899" s="164" t="str">
        <f ca="1">IFERROR(__xludf.DUMMYFUNCTION("""COMPUTED_VALUE"""),"ATTY. ROBERT ANTHONY P. YU")</f>
        <v>ATTY. ROBERT ANTHONY P. YU</v>
      </c>
      <c r="I2899" s="164" t="str">
        <f ca="1">IFERROR(__xludf.DUMMYFUNCTION("""COMPUTED_VALUE"""),"REGIONAL DIRECTOR")</f>
        <v>REGIONAL DIRECTOR</v>
      </c>
      <c r="J2899" s="164" t="str">
        <f ca="1">IFERROR(__xludf.DUMMYFUNCTION("""COMPUTED_VALUE"""),"PS-2023-05-03-003")</f>
        <v>PS-2023-05-03-003</v>
      </c>
      <c r="K2899" s="164" t="str">
        <f ca="1">IFERROR(__xludf.DUMMYFUNCTION("""COMPUTED_VALUE"""),"ATTY. ROBERT ANTHONY P. YU")</f>
        <v>ATTY. ROBERT ANTHONY P. YU</v>
      </c>
      <c r="L2899" s="164" t="str">
        <f ca="1">IFERROR(__xludf.DUMMYFUNCTION("""COMPUTED_VALUE"""),"RD's Office")</f>
        <v>RD's Office</v>
      </c>
      <c r="M2899" s="164" t="str">
        <f ca="1">IFERROR(__xludf.DUMMYFUNCTION("""COMPUTED_VALUE"""),"SERVICEABLE")</f>
        <v>SERVICEABLE</v>
      </c>
      <c r="N2899" s="164"/>
    </row>
    <row r="2900" spans="1:14" ht="13.2" hidden="1">
      <c r="A2900" s="164" t="str">
        <f ca="1">IFERROR(__xludf.DUMMYFUNCTION("""COMPUTED_VALUE"""),"REGION VIII")</f>
        <v>REGION VIII</v>
      </c>
      <c r="B2900" s="164" t="str">
        <f ca="1">IFERROR(__xludf.DUMMYFUNCTION("""COMPUTED_VALUE"""),"BILIRAN")</f>
        <v>BILIRAN</v>
      </c>
      <c r="C2900" s="164" t="str">
        <f ca="1">IFERROR(__xludf.DUMMYFUNCTION("""COMPUTED_VALUE"""),"HANDHELD GPS – MODEL P6")</f>
        <v>HANDHELD GPS – MODEL P6</v>
      </c>
      <c r="D2900" s="164" t="str">
        <f ca="1">IFERROR(__xludf.DUMMYFUNCTION("""COMPUTED_VALUE"""),"₱ 79,000.00")</f>
        <v>₱ 79,000.00</v>
      </c>
      <c r="E2900" s="164"/>
      <c r="F2900" s="164" t="str">
        <f ca="1">IFERROR(__xludf.DUMMYFUNCTION("""COMPUTED_VALUE"""),"2023-05-14-10202SP48-01")</f>
        <v>2023-05-14-10202SP48-01</v>
      </c>
      <c r="G2900" s="164"/>
      <c r="H2900" s="164" t="str">
        <f ca="1">IFERROR(__xludf.DUMMYFUNCTION("""COMPUTED_VALUE"""),"GILDA R. LUNA")</f>
        <v>GILDA R. LUNA</v>
      </c>
      <c r="I2900" s="164" t="str">
        <f ca="1">IFERROR(__xludf.DUMMYFUNCTION("""COMPUTED_VALUE"""),"SUPPLY OFFICER")</f>
        <v>SUPPLY OFFICER</v>
      </c>
      <c r="J2900" s="164" t="str">
        <f ca="1">IFERROR(__xludf.DUMMYFUNCTION("""COMPUTED_VALUE"""),"PS-2023-05-14-002")</f>
        <v>PS-2023-05-14-002</v>
      </c>
      <c r="K2900" s="164" t="str">
        <f ca="1">IFERROR(__xludf.DUMMYFUNCTION("""COMPUTED_VALUE"""),"GILDA R. LUNA")</f>
        <v>GILDA R. LUNA</v>
      </c>
      <c r="L2900" s="164" t="str">
        <f ca="1">IFERROR(__xludf.DUMMYFUNCTION("""COMPUTED_VALUE"""),"STO - Supply")</f>
        <v>STO - Supply</v>
      </c>
      <c r="M2900" s="164" t="str">
        <f ca="1">IFERROR(__xludf.DUMMYFUNCTION("""COMPUTED_VALUE"""),"SERVICEABLE")</f>
        <v>SERVICEABLE</v>
      </c>
      <c r="N2900" s="164"/>
    </row>
    <row r="2901" spans="1:14" ht="13.2" hidden="1">
      <c r="A2901" s="164" t="str">
        <f ca="1">IFERROR(__xludf.DUMMYFUNCTION("""COMPUTED_VALUE"""),"REGION VIII")</f>
        <v>REGION VIII</v>
      </c>
      <c r="B2901" s="164" t="str">
        <f ca="1">IFERROR(__xludf.DUMMYFUNCTION("""COMPUTED_VALUE"""),"Regional Office")</f>
        <v>Regional Office</v>
      </c>
      <c r="C2901" s="164" t="str">
        <f ca="1">IFERROR(__xludf.DUMMYFUNCTION("""COMPUTED_VALUE"""),"HANDHELD GPS – MODEL P6")</f>
        <v>HANDHELD GPS – MODEL P6</v>
      </c>
      <c r="D2901" s="164" t="str">
        <f ca="1">IFERROR(__xludf.DUMMYFUNCTION("""COMPUTED_VALUE"""),"₱ 79,000.00")</f>
        <v>₱ 79,000.00</v>
      </c>
      <c r="E2901" s="164"/>
      <c r="F2901" s="164" t="str">
        <f ca="1">IFERROR(__xludf.DUMMYFUNCTION("""COMPUTED_VALUE"""),"2023-05-14-10202SP13-01")</f>
        <v>2023-05-14-10202SP13-01</v>
      </c>
      <c r="G2901" s="164"/>
      <c r="H2901" s="164" t="str">
        <f ca="1">IFERROR(__xludf.DUMMYFUNCTION("""COMPUTED_VALUE"""),"IMEE M. SABILLO")</f>
        <v>IMEE M. SABILLO</v>
      </c>
      <c r="I2901" s="164" t="str">
        <f ca="1">IFERROR(__xludf.DUMMYFUNCTION("""COMPUTED_VALUE"""),"ENGINEER II")</f>
        <v>ENGINEER II</v>
      </c>
      <c r="J2901" s="164" t="str">
        <f ca="1">IFERROR(__xludf.DUMMYFUNCTION("""COMPUTED_VALUE"""),"PS-2023-05-14-001")</f>
        <v>PS-2023-05-14-001</v>
      </c>
      <c r="K2901" s="164" t="str">
        <f ca="1">IFERROR(__xludf.DUMMYFUNCTION("""COMPUTED_VALUE"""),"IMEE M. SABILLO")</f>
        <v>IMEE M. SABILLO</v>
      </c>
      <c r="L2901" s="164" t="str">
        <f ca="1">IFERROR(__xludf.DUMMYFUNCTION("""COMPUTED_VALUE"""),"LTS")</f>
        <v>LTS</v>
      </c>
      <c r="M2901" s="164" t="str">
        <f ca="1">IFERROR(__xludf.DUMMYFUNCTION("""COMPUTED_VALUE"""),"SERVICEABLE")</f>
        <v>SERVICEABLE</v>
      </c>
      <c r="N2901" s="164"/>
    </row>
    <row r="2902" spans="1:14" ht="13.2" hidden="1">
      <c r="A2902" s="164" t="str">
        <f ca="1">IFERROR(__xludf.DUMMYFUNCTION("""COMPUTED_VALUE"""),"REGION VIII")</f>
        <v>REGION VIII</v>
      </c>
      <c r="B2902" s="164" t="str">
        <f ca="1">IFERROR(__xludf.DUMMYFUNCTION("""COMPUTED_VALUE"""),"Regional Office")</f>
        <v>Regional Office</v>
      </c>
      <c r="C2902" s="164" t="str">
        <f ca="1">IFERROR(__xludf.DUMMYFUNCTION("""COMPUTED_VALUE"""),"PLOTTER (3IN1)")</f>
        <v>PLOTTER (3IN1)</v>
      </c>
      <c r="D2902" s="164" t="str">
        <f ca="1">IFERROR(__xludf.DUMMYFUNCTION("""COMPUTED_VALUE"""),"₱ 648,000.00")</f>
        <v>₱ 648,000.00</v>
      </c>
      <c r="E2902" s="164"/>
      <c r="F2902" s="164" t="str">
        <f ca="1">IFERROR(__xludf.DUMMYFUNCTION("""COMPUTED_VALUE"""),"2023-05-04-1020ISP-09-01")</f>
        <v>2023-05-04-1020ISP-09-01</v>
      </c>
      <c r="G2902" s="164"/>
      <c r="H2902" s="164" t="str">
        <f ca="1">IFERROR(__xludf.DUMMYFUNCTION("""COMPUTED_VALUE"""),"ENGR JOEL M ENCINA")</f>
        <v>ENGR JOEL M ENCINA</v>
      </c>
      <c r="I2902" s="164" t="str">
        <f ca="1">IFERROR(__xludf.DUMMYFUNCTION("""COMPUTED_VALUE"""),"CARPO LTS")</f>
        <v>CARPO LTS</v>
      </c>
      <c r="J2902" s="164" t="str">
        <f ca="1">IFERROR(__xludf.DUMMYFUNCTION("""COMPUTED_VALUE"""),"001-2023")</f>
        <v>001-2023</v>
      </c>
      <c r="K2902" s="164" t="str">
        <f ca="1">IFERROR(__xludf.DUMMYFUNCTION("""COMPUTED_VALUE"""),"ENGR JOEL M ENCINA")</f>
        <v>ENGR JOEL M ENCINA</v>
      </c>
      <c r="L2902" s="164" t="str">
        <f ca="1">IFERROR(__xludf.DUMMYFUNCTION("""COMPUTED_VALUE"""),"LTS")</f>
        <v>LTS</v>
      </c>
      <c r="M2902" s="164" t="str">
        <f ca="1">IFERROR(__xludf.DUMMYFUNCTION("""COMPUTED_VALUE"""),"SERVICEABLE")</f>
        <v>SERVICEABLE</v>
      </c>
      <c r="N2902" s="164"/>
    </row>
    <row r="2903" spans="1:14" ht="13.2" hidden="1">
      <c r="A2903" s="164" t="str">
        <f ca="1">IFERROR(__xludf.DUMMYFUNCTION("""COMPUTED_VALUE"""),"REGION VIII")</f>
        <v>REGION VIII</v>
      </c>
      <c r="B2903" s="164" t="str">
        <f ca="1">IFERROR(__xludf.DUMMYFUNCTION("""COMPUTED_VALUE"""),"Regional Office")</f>
        <v>Regional Office</v>
      </c>
      <c r="C2903" s="164" t="str">
        <f ca="1">IFERROR(__xludf.DUMMYFUNCTION("""COMPUTED_VALUE"""),"A3 PRINTER (BROTHER)")</f>
        <v>A3 PRINTER (BROTHER)</v>
      </c>
      <c r="D2903" s="164" t="str">
        <f ca="1">IFERROR(__xludf.DUMMYFUNCTION("""COMPUTED_VALUE"""),"₱ 33,508.00")</f>
        <v>₱ 33,508.00</v>
      </c>
      <c r="E2903" s="164"/>
      <c r="F2903" s="164" t="str">
        <f ca="1">IFERROR(__xludf.DUMMYFUNCTION("""COMPUTED_VALUE"""),"HVSPLIT-102-24-05-043")</f>
        <v>HVSPLIT-102-24-05-043</v>
      </c>
      <c r="G2903" s="164"/>
      <c r="H2903" s="164" t="str">
        <f ca="1">IFERROR(__xludf.DUMMYFUNCTION("""COMPUTED_VALUE"""),"ATTY. ROBERT ANTHONY YU")</f>
        <v>ATTY. ROBERT ANTHONY YU</v>
      </c>
      <c r="I2903" s="164" t="str">
        <f ca="1">IFERROR(__xludf.DUMMYFUNCTION("""COMPUTED_VALUE"""),"REGIONAL DIRECTOR")</f>
        <v>REGIONAL DIRECTOR</v>
      </c>
      <c r="J2903" s="164" t="str">
        <f ca="1">IFERROR(__xludf.DUMMYFUNCTION("""COMPUTED_VALUE"""),"2024-05-010")</f>
        <v>2024-05-010</v>
      </c>
      <c r="K2903" s="164"/>
      <c r="L2903" s="164" t="str">
        <f ca="1">IFERROR(__xludf.DUMMYFUNCTION("""COMPUTED_VALUE"""),"DARRO VIII")</f>
        <v>DARRO VIII</v>
      </c>
      <c r="M2903" s="164" t="str">
        <f ca="1">IFERROR(__xludf.DUMMYFUNCTION("""COMPUTED_VALUE"""),"SERVICEABLE")</f>
        <v>SERVICEABLE</v>
      </c>
      <c r="N2903" s="164"/>
    </row>
    <row r="2904" spans="1:14" ht="13.2" hidden="1">
      <c r="A2904" s="164" t="str">
        <f ca="1">IFERROR(__xludf.DUMMYFUNCTION("""COMPUTED_VALUE"""),"REGION VIII")</f>
        <v>REGION VIII</v>
      </c>
      <c r="B2904" s="164" t="str">
        <f ca="1">IFERROR(__xludf.DUMMYFUNCTION("""COMPUTED_VALUE"""),"Regional Office")</f>
        <v>Regional Office</v>
      </c>
      <c r="C2904" s="164" t="str">
        <f ca="1">IFERROR(__xludf.DUMMYFUNCTION("""COMPUTED_VALUE"""),"ACER TRAVELMATE")</f>
        <v>ACER TRAVELMATE</v>
      </c>
      <c r="D2904" s="164" t="str">
        <f ca="1">IFERROR(__xludf.DUMMYFUNCTION("""COMPUTED_VALUE"""),"₱ 46,580.00")</f>
        <v>₱ 46,580.00</v>
      </c>
      <c r="E2904" s="164"/>
      <c r="F2904" s="164" t="str">
        <f ca="1">IFERROR(__xludf.DUMMYFUNCTION("""COMPUTED_VALUE"""),"2024-05-03-10202SP-314-01")</f>
        <v>2024-05-03-10202SP-314-01</v>
      </c>
      <c r="G2904" s="164"/>
      <c r="H2904" s="164" t="str">
        <f ca="1">IFERROR(__xludf.DUMMYFUNCTION("""COMPUTED_VALUE"""),"JOSE ALSMITH L SORIA")</f>
        <v>JOSE ALSMITH L SORIA</v>
      </c>
      <c r="I2904" s="164" t="str">
        <f ca="1">IFERROR(__xludf.DUMMYFUNCTION("""COMPUTED_VALUE"""),"INFO OFFICER III")</f>
        <v>INFO OFFICER III</v>
      </c>
      <c r="J2904" s="164"/>
      <c r="K2904" s="164" t="str">
        <f ca="1">IFERROR(__xludf.DUMMYFUNCTION("""COMPUTED_VALUE"""),"JOSE ALSMITH L SORIA")</f>
        <v>JOSE ALSMITH L SORIA</v>
      </c>
      <c r="L2904" s="164" t="str">
        <f ca="1">IFERROR(__xludf.DUMMYFUNCTION("""COMPUTED_VALUE"""),"DARRO VIII")</f>
        <v>DARRO VIII</v>
      </c>
      <c r="M2904" s="164" t="str">
        <f ca="1">IFERROR(__xludf.DUMMYFUNCTION("""COMPUTED_VALUE"""),"SERVICEABLE")</f>
        <v>SERVICEABLE</v>
      </c>
      <c r="N2904" s="164"/>
    </row>
    <row r="2905" spans="1:14" ht="13.2" hidden="1">
      <c r="A2905" s="164" t="str">
        <f ca="1">IFERROR(__xludf.DUMMYFUNCTION("""COMPUTED_VALUE"""),"REGION VIII")</f>
        <v>REGION VIII</v>
      </c>
      <c r="B2905" s="164" t="str">
        <f ca="1">IFERROR(__xludf.DUMMYFUNCTION("""COMPUTED_VALUE"""),"Biliran")</f>
        <v>Biliran</v>
      </c>
      <c r="C2905" s="164" t="str">
        <f ca="1">IFERROR(__xludf.DUMMYFUNCTION("""COMPUTED_VALUE"""),"Desktop Computer – (HP Pro SFF 280G9)")</f>
        <v>Desktop Computer – (HP Pro SFF 280G9)</v>
      </c>
      <c r="D2905" s="164" t="str">
        <f ca="1">IFERROR(__xludf.DUMMYFUNCTION("""COMPUTED_VALUE"""),"₱ 78,898.00")</f>
        <v>₱ 78,898.00</v>
      </c>
      <c r="E2905" s="164"/>
      <c r="F2905" s="164" t="str">
        <f ca="1">IFERROR(__xludf.DUMMYFUNCTION("""COMPUTED_VALUE"""),"2023-06-01-10202SP-436-01")</f>
        <v>2023-06-01-10202SP-436-01</v>
      </c>
      <c r="G2905" s="164"/>
      <c r="H2905" s="164" t="str">
        <f ca="1">IFERROR(__xludf.DUMMYFUNCTION("""COMPUTED_VALUE"""),"YURI PAUL ADRIAN M. TERAZA")</f>
        <v>YURI PAUL ADRIAN M. TERAZA</v>
      </c>
      <c r="I2905" s="164" t="str">
        <f ca="1">IFERROR(__xludf.DUMMYFUNCTION("""COMPUTED_VALUE"""),"SARPT")</f>
        <v>SARPT</v>
      </c>
      <c r="J2905" s="164" t="str">
        <f ca="1">IFERROR(__xludf.DUMMYFUNCTION("""COMPUTED_VALUE"""),"2023-08-08")</f>
        <v>2023-08-08</v>
      </c>
      <c r="K2905" s="164" t="str">
        <f ca="1">IFERROR(__xludf.DUMMYFUNCTION("""COMPUTED_VALUE"""),"YURI PAUL ADRIAN M. TERAZA")</f>
        <v>YURI PAUL ADRIAN M. TERAZA</v>
      </c>
      <c r="L2905" s="164" t="str">
        <f ca="1">IFERROR(__xludf.DUMMYFUNCTION("""COMPUTED_VALUE"""),"LTSP/SPLIT")</f>
        <v>LTSP/SPLIT</v>
      </c>
      <c r="M2905" s="164" t="str">
        <f ca="1">IFERROR(__xludf.DUMMYFUNCTION("""COMPUTED_VALUE"""),"SERVICEABLE")</f>
        <v>SERVICEABLE</v>
      </c>
      <c r="N2905" s="164"/>
    </row>
    <row r="2906" spans="1:14" ht="13.2" hidden="1">
      <c r="A2906" s="164" t="str">
        <f ca="1">IFERROR(__xludf.DUMMYFUNCTION("""COMPUTED_VALUE"""),"REGION VIII")</f>
        <v>REGION VIII</v>
      </c>
      <c r="B2906" s="164" t="str">
        <f ca="1">IFERROR(__xludf.DUMMYFUNCTION("""COMPUTED_VALUE"""),"Biliran")</f>
        <v>Biliran</v>
      </c>
      <c r="C2906" s="164" t="str">
        <f ca="1">IFERROR(__xludf.DUMMYFUNCTION("""COMPUTED_VALUE"""),"Desktop Computer – (HP Pro SFF 280G9)")</f>
        <v>Desktop Computer – (HP Pro SFF 280G9)</v>
      </c>
      <c r="D2906" s="164" t="str">
        <f ca="1">IFERROR(__xludf.DUMMYFUNCTION("""COMPUTED_VALUE"""),"₱ 78,898.00")</f>
        <v>₱ 78,898.00</v>
      </c>
      <c r="E2906" s="164"/>
      <c r="F2906" s="164" t="str">
        <f ca="1">IFERROR(__xludf.DUMMYFUNCTION("""COMPUTED_VALUE"""),"2023-06-01-10202SP-440-01")</f>
        <v>2023-06-01-10202SP-440-01</v>
      </c>
      <c r="G2906" s="164"/>
      <c r="H2906" s="164" t="str">
        <f ca="1">IFERROR(__xludf.DUMMYFUNCTION("""COMPUTED_VALUE"""),"RAMELL B. PIO")</f>
        <v>RAMELL B. PIO</v>
      </c>
      <c r="I2906" s="164" t="str">
        <f ca="1">IFERROR(__xludf.DUMMYFUNCTION("""COMPUTED_VALUE"""),"ARPT")</f>
        <v>ARPT</v>
      </c>
      <c r="J2906" s="164" t="str">
        <f ca="1">IFERROR(__xludf.DUMMYFUNCTION("""COMPUTED_VALUE"""),"2023-08-08")</f>
        <v>2023-08-08</v>
      </c>
      <c r="K2906" s="164" t="str">
        <f ca="1">IFERROR(__xludf.DUMMYFUNCTION("""COMPUTED_VALUE"""),"RAMELL B. PIO")</f>
        <v>RAMELL B. PIO</v>
      </c>
      <c r="L2906" s="164" t="str">
        <f ca="1">IFERROR(__xludf.DUMMYFUNCTION("""COMPUTED_VALUE"""),"LTSP/SPLIT")</f>
        <v>LTSP/SPLIT</v>
      </c>
      <c r="M2906" s="164" t="str">
        <f ca="1">IFERROR(__xludf.DUMMYFUNCTION("""COMPUTED_VALUE"""),"SERVICEABLE")</f>
        <v>SERVICEABLE</v>
      </c>
      <c r="N2906" s="164"/>
    </row>
    <row r="2907" spans="1:14" ht="13.2" hidden="1">
      <c r="A2907" s="164" t="str">
        <f ca="1">IFERROR(__xludf.DUMMYFUNCTION("""COMPUTED_VALUE"""),"REGION VIII")</f>
        <v>REGION VIII</v>
      </c>
      <c r="B2907" s="164" t="str">
        <f ca="1">IFERROR(__xludf.DUMMYFUNCTION("""COMPUTED_VALUE"""),"Biliran")</f>
        <v>Biliran</v>
      </c>
      <c r="C2907" s="164" t="str">
        <f ca="1">IFERROR(__xludf.DUMMYFUNCTION("""COMPUTED_VALUE"""),"Desktop Computer – (HP Pro SFF 280G9)")</f>
        <v>Desktop Computer – (HP Pro SFF 280G9)</v>
      </c>
      <c r="D2907" s="164" t="str">
        <f ca="1">IFERROR(__xludf.DUMMYFUNCTION("""COMPUTED_VALUE"""),"₱ 78,898.00")</f>
        <v>₱ 78,898.00</v>
      </c>
      <c r="E2907" s="164"/>
      <c r="F2907" s="164" t="str">
        <f ca="1">IFERROR(__xludf.DUMMYFUNCTION("""COMPUTED_VALUE"""),"2023-06-01-10202SP-406-01")</f>
        <v>2023-06-01-10202SP-406-01</v>
      </c>
      <c r="G2907" s="164"/>
      <c r="H2907" s="164" t="str">
        <f ca="1">IFERROR(__xludf.DUMMYFUNCTION("""COMPUTED_VALUE"""),"CAROLINE ABAD SUMAYOD")</f>
        <v>CAROLINE ABAD SUMAYOD</v>
      </c>
      <c r="I2907" s="164" t="str">
        <f ca="1">IFERROR(__xludf.DUMMYFUNCTION("""COMPUTED_VALUE"""),"SARPT")</f>
        <v>SARPT</v>
      </c>
      <c r="J2907" s="164" t="str">
        <f ca="1">IFERROR(__xludf.DUMMYFUNCTION("""COMPUTED_VALUE"""),"2023-08-08")</f>
        <v>2023-08-08</v>
      </c>
      <c r="K2907" s="164" t="str">
        <f ca="1">IFERROR(__xludf.DUMMYFUNCTION("""COMPUTED_VALUE"""),"CAROLINE ABAD SUMAYOD")</f>
        <v>CAROLINE ABAD SUMAYOD</v>
      </c>
      <c r="L2907" s="164" t="str">
        <f ca="1">IFERROR(__xludf.DUMMYFUNCTION("""COMPUTED_VALUE"""),"LTSP/SPLIT")</f>
        <v>LTSP/SPLIT</v>
      </c>
      <c r="M2907" s="164" t="str">
        <f ca="1">IFERROR(__xludf.DUMMYFUNCTION("""COMPUTED_VALUE"""),"SERVICEABLE")</f>
        <v>SERVICEABLE</v>
      </c>
      <c r="N2907" s="164"/>
    </row>
    <row r="2908" spans="1:14" ht="13.2" hidden="1">
      <c r="A2908" s="164" t="str">
        <f ca="1">IFERROR(__xludf.DUMMYFUNCTION("""COMPUTED_VALUE"""),"REGION VIII")</f>
        <v>REGION VIII</v>
      </c>
      <c r="B2908" s="164" t="str">
        <f ca="1">IFERROR(__xludf.DUMMYFUNCTION("""COMPUTED_VALUE"""),"Biliran")</f>
        <v>Biliran</v>
      </c>
      <c r="C2908" s="164" t="str">
        <f ca="1">IFERROR(__xludf.DUMMYFUNCTION("""COMPUTED_VALUE"""),"Desktop Computer – (HP Pro SFF 280G9)")</f>
        <v>Desktop Computer – (HP Pro SFF 280G9)</v>
      </c>
      <c r="D2908" s="164" t="str">
        <f ca="1">IFERROR(__xludf.DUMMYFUNCTION("""COMPUTED_VALUE"""),"₱ 78,898.00")</f>
        <v>₱ 78,898.00</v>
      </c>
      <c r="E2908" s="164"/>
      <c r="F2908" s="164" t="str">
        <f ca="1">IFERROR(__xludf.DUMMYFUNCTION("""COMPUTED_VALUE"""),"2023-05-03-10201SP-166-01")</f>
        <v>2023-05-03-10201SP-166-01</v>
      </c>
      <c r="G2908" s="164"/>
      <c r="H2908" s="164" t="str">
        <f ca="1">IFERROR(__xludf.DUMMYFUNCTION("""COMPUTED_VALUE"""),"YURI ADRIAN PAUL M. TERAZA")</f>
        <v>YURI ADRIAN PAUL M. TERAZA</v>
      </c>
      <c r="I2908" s="164" t="str">
        <f ca="1">IFERROR(__xludf.DUMMYFUNCTION("""COMPUTED_VALUE"""),"SARPT")</f>
        <v>SARPT</v>
      </c>
      <c r="J2908" s="164" t="str">
        <f ca="1">IFERROR(__xludf.DUMMYFUNCTION("""COMPUTED_VALUE"""),"2023-10-17")</f>
        <v>2023-10-17</v>
      </c>
      <c r="K2908" s="164" t="str">
        <f ca="1">IFERROR(__xludf.DUMMYFUNCTION("""COMPUTED_VALUE"""),"YURI ADRIAN PAUL M. TERAZA")</f>
        <v>YURI ADRIAN PAUL M. TERAZA</v>
      </c>
      <c r="L2908" s="164" t="str">
        <f ca="1">IFERROR(__xludf.DUMMYFUNCTION("""COMPUTED_VALUE"""),"LTSP/SPLIT")</f>
        <v>LTSP/SPLIT</v>
      </c>
      <c r="M2908" s="164" t="str">
        <f ca="1">IFERROR(__xludf.DUMMYFUNCTION("""COMPUTED_VALUE"""),"SERVICEABLE")</f>
        <v>SERVICEABLE</v>
      </c>
      <c r="N2908" s="164"/>
    </row>
    <row r="2909" spans="1:14" ht="13.2" hidden="1">
      <c r="A2909" s="164" t="str">
        <f ca="1">IFERROR(__xludf.DUMMYFUNCTION("""COMPUTED_VALUE"""),"REGION VIII")</f>
        <v>REGION VIII</v>
      </c>
      <c r="B2909" s="164" t="str">
        <f ca="1">IFERROR(__xludf.DUMMYFUNCTION("""COMPUTED_VALUE"""),"Biliran")</f>
        <v>Biliran</v>
      </c>
      <c r="C2909" s="164" t="str">
        <f ca="1">IFERROR(__xludf.DUMMYFUNCTION("""COMPUTED_VALUE"""),"Desktop Computer – (HP Pro SFF 280G9)")</f>
        <v>Desktop Computer – (HP Pro SFF 280G9)</v>
      </c>
      <c r="D2909" s="164" t="str">
        <f ca="1">IFERROR(__xludf.DUMMYFUNCTION("""COMPUTED_VALUE"""),"₱ 78,898.00")</f>
        <v>₱ 78,898.00</v>
      </c>
      <c r="E2909" s="164"/>
      <c r="F2909" s="164" t="str">
        <f ca="1">IFERROR(__xludf.DUMMYFUNCTION("""COMPUTED_VALUE"""),"2023-05-03-10201SP-167-01")</f>
        <v>2023-05-03-10201SP-167-01</v>
      </c>
      <c r="G2909" s="164"/>
      <c r="H2909" s="164" t="str">
        <f ca="1">IFERROR(__xludf.DUMMYFUNCTION("""COMPUTED_VALUE"""),"CAROLYN S. SACEDOR")</f>
        <v>CAROLYN S. SACEDOR</v>
      </c>
      <c r="I2909" s="164" t="str">
        <f ca="1">IFERROR(__xludf.DUMMYFUNCTION("""COMPUTED_VALUE"""),"ARPT")</f>
        <v>ARPT</v>
      </c>
      <c r="J2909" s="164" t="str">
        <f ca="1">IFERROR(__xludf.DUMMYFUNCTION("""COMPUTED_VALUE"""),"2023-10-17")</f>
        <v>2023-10-17</v>
      </c>
      <c r="K2909" s="164" t="str">
        <f ca="1">IFERROR(__xludf.DUMMYFUNCTION("""COMPUTED_VALUE"""),"CAROLYN S. SACEDOR")</f>
        <v>CAROLYN S. SACEDOR</v>
      </c>
      <c r="L2909" s="164" t="str">
        <f ca="1">IFERROR(__xludf.DUMMYFUNCTION("""COMPUTED_VALUE"""),"LTSP/SPLIT")</f>
        <v>LTSP/SPLIT</v>
      </c>
      <c r="M2909" s="164" t="str">
        <f ca="1">IFERROR(__xludf.DUMMYFUNCTION("""COMPUTED_VALUE"""),"SERVICEABLE")</f>
        <v>SERVICEABLE</v>
      </c>
      <c r="N2909" s="164"/>
    </row>
    <row r="2910" spans="1:14" ht="13.2" hidden="1">
      <c r="A2910" s="164" t="str">
        <f ca="1">IFERROR(__xludf.DUMMYFUNCTION("""COMPUTED_VALUE"""),"REGION VIII")</f>
        <v>REGION VIII</v>
      </c>
      <c r="B2910" s="164" t="str">
        <f ca="1">IFERROR(__xludf.DUMMYFUNCTION("""COMPUTED_VALUE"""),"Biliran")</f>
        <v>Biliran</v>
      </c>
      <c r="C2910" s="164" t="str">
        <f ca="1">IFERROR(__xludf.DUMMYFUNCTION("""COMPUTED_VALUE"""),"Photocopier Machine – Kyocera")</f>
        <v>Photocopier Machine – Kyocera</v>
      </c>
      <c r="D2910" s="164" t="str">
        <f ca="1">IFERROR(__xludf.DUMMYFUNCTION("""COMPUTED_VALUE"""),"₱ 84,500.00")</f>
        <v>₱ 84,500.00</v>
      </c>
      <c r="E2910" s="164"/>
      <c r="F2910" s="164" t="str">
        <f ca="1">IFERROR(__xludf.DUMMYFUNCTION("""COMPUTED_VALUE"""),"2023-05-02-10202SP57-01")</f>
        <v>2023-05-02-10202SP57-01</v>
      </c>
      <c r="G2910" s="164"/>
      <c r="H2910" s="164" t="str">
        <f ca="1">IFERROR(__xludf.DUMMYFUNCTION("""COMPUTED_VALUE"""),"CAROLINE ABAD SUMAYOD")</f>
        <v>CAROLINE ABAD SUMAYOD</v>
      </c>
      <c r="I2910" s="164" t="str">
        <f ca="1">IFERROR(__xludf.DUMMYFUNCTION("""COMPUTED_VALUE"""),"SARPT")</f>
        <v>SARPT</v>
      </c>
      <c r="J2910" s="164" t="str">
        <f ca="1">IFERROR(__xludf.DUMMYFUNCTION("""COMPUTED_VALUE"""),"#######")</f>
        <v>#######</v>
      </c>
      <c r="K2910" s="164" t="str">
        <f ca="1">IFERROR(__xludf.DUMMYFUNCTION("""COMPUTED_VALUE"""),"CAROLINE ABAD SUMAYOD")</f>
        <v>CAROLINE ABAD SUMAYOD</v>
      </c>
      <c r="L2910" s="164" t="str">
        <f ca="1">IFERROR(__xludf.DUMMYFUNCTION("""COMPUTED_VALUE"""),"LTSP/SPLIT")</f>
        <v>LTSP/SPLIT</v>
      </c>
      <c r="M2910" s="164" t="str">
        <f ca="1">IFERROR(__xludf.DUMMYFUNCTION("""COMPUTED_VALUE"""),"SERVICEABLE")</f>
        <v>SERVICEABLE</v>
      </c>
      <c r="N2910" s="164"/>
    </row>
    <row r="2911" spans="1:14" ht="13.2" hidden="1">
      <c r="A2911" s="164" t="str">
        <f ca="1">IFERROR(__xludf.DUMMYFUNCTION("""COMPUTED_VALUE"""),"REGION VIII")</f>
        <v>REGION VIII</v>
      </c>
      <c r="B2911" s="164" t="str">
        <f ca="1">IFERROR(__xludf.DUMMYFUNCTION("""COMPUTED_VALUE"""),"Biliran")</f>
        <v>Biliran</v>
      </c>
      <c r="C2911" s="164" t="str">
        <f ca="1">IFERROR(__xludf.DUMMYFUNCTION("""COMPUTED_VALUE"""),"Laptop – (ACER EXTENSA EX215-55G i7)")</f>
        <v>Laptop – (ACER EXTENSA EX215-55G i7)</v>
      </c>
      <c r="D2911" s="164" t="str">
        <f ca="1">IFERROR(__xludf.DUMMYFUNCTION("""COMPUTED_VALUE"""),"₱ 59,500.00")</f>
        <v>₱ 59,500.00</v>
      </c>
      <c r="E2911" s="164"/>
      <c r="F2911" s="164" t="str">
        <f ca="1">IFERROR(__xludf.DUMMYFUNCTION("""COMPUTED_VALUE"""),"2023-05-03-10201SP-167-01")</f>
        <v>2023-05-03-10201SP-167-01</v>
      </c>
      <c r="G2911" s="164"/>
      <c r="H2911" s="164" t="str">
        <f ca="1">IFERROR(__xludf.DUMMYFUNCTION("""COMPUTED_VALUE"""),"THELMA N. ALBA")</f>
        <v>THELMA N. ALBA</v>
      </c>
      <c r="I2911" s="164" t="str">
        <f ca="1">IFERROR(__xludf.DUMMYFUNCTION("""COMPUTED_VALUE"""),"OIC CARPO-LTSP")</f>
        <v>OIC CARPO-LTSP</v>
      </c>
      <c r="J2911" s="164" t="str">
        <f ca="1">IFERROR(__xludf.DUMMYFUNCTION("""COMPUTED_VALUE"""),"#######")</f>
        <v>#######</v>
      </c>
      <c r="K2911" s="164" t="str">
        <f ca="1">IFERROR(__xludf.DUMMYFUNCTION("""COMPUTED_VALUE"""),"THELMA N. ALBA")</f>
        <v>THELMA N. ALBA</v>
      </c>
      <c r="L2911" s="164" t="str">
        <f ca="1">IFERROR(__xludf.DUMMYFUNCTION("""COMPUTED_VALUE"""),"LTSP/SPLIT")</f>
        <v>LTSP/SPLIT</v>
      </c>
      <c r="M2911" s="164" t="str">
        <f ca="1">IFERROR(__xludf.DUMMYFUNCTION("""COMPUTED_VALUE"""),"SERVICEABLE")</f>
        <v>SERVICEABLE</v>
      </c>
      <c r="N2911" s="164"/>
    </row>
    <row r="2912" spans="1:14" ht="13.2" hidden="1">
      <c r="A2912" s="164" t="str">
        <f ca="1">IFERROR(__xludf.DUMMYFUNCTION("""COMPUTED_VALUE"""),"REGION VIII")</f>
        <v>REGION VIII</v>
      </c>
      <c r="B2912" s="164" t="str">
        <f ca="1">IFERROR(__xludf.DUMMYFUNCTION("""COMPUTED_VALUE"""),"Biliran")</f>
        <v>Biliran</v>
      </c>
      <c r="C2912" s="164" t="str">
        <f ca="1">IFERROR(__xludf.DUMMYFUNCTION("""COMPUTED_VALUE"""),"Desktop Computer – (Lenovo M70T)")</f>
        <v>Desktop Computer – (Lenovo M70T)</v>
      </c>
      <c r="D2912" s="164" t="str">
        <f ca="1">IFERROR(__xludf.DUMMYFUNCTION("""COMPUTED_VALUE"""),"₱ 75,468.00")</f>
        <v>₱ 75,468.00</v>
      </c>
      <c r="E2912" s="164"/>
      <c r="F2912" s="164" t="str">
        <f ca="1">IFERROR(__xludf.DUMMYFUNCTION("""COMPUTED_VALUE"""),"2023-05-03-10201SP1328-01")</f>
        <v>2023-05-03-10201SP1328-01</v>
      </c>
      <c r="G2912" s="164"/>
      <c r="H2912" s="164" t="str">
        <f ca="1">IFERROR(__xludf.DUMMYFUNCTION("""COMPUTED_VALUE"""),"MARY ANN CANEDA")</f>
        <v>MARY ANN CANEDA</v>
      </c>
      <c r="I2912" s="164" t="str">
        <f ca="1">IFERROR(__xludf.DUMMYFUNCTION("""COMPUTED_VALUE"""),"ACTING MARO")</f>
        <v>ACTING MARO</v>
      </c>
      <c r="J2912" s="164" t="str">
        <f ca="1">IFERROR(__xludf.DUMMYFUNCTION("""COMPUTED_VALUE"""),"029-2023")</f>
        <v>029-2023</v>
      </c>
      <c r="K2912" s="164" t="str">
        <f ca="1">IFERROR(__xludf.DUMMYFUNCTION("""COMPUTED_VALUE"""),"MARY ANN CANEDA")</f>
        <v>MARY ANN CANEDA</v>
      </c>
      <c r="L2912" s="164" t="str">
        <f ca="1">IFERROR(__xludf.DUMMYFUNCTION("""COMPUTED_VALUE"""),"DARPO BILIRAN")</f>
        <v>DARPO BILIRAN</v>
      </c>
      <c r="M2912" s="164" t="str">
        <f ca="1">IFERROR(__xludf.DUMMYFUNCTION("""COMPUTED_VALUE"""),"SERVICEABLE")</f>
        <v>SERVICEABLE</v>
      </c>
      <c r="N2912" s="164"/>
    </row>
    <row r="2913" spans="1:14" ht="13.2" hidden="1">
      <c r="A2913" s="164" t="str">
        <f ca="1">IFERROR(__xludf.DUMMYFUNCTION("""COMPUTED_VALUE"""),"REGION VIII")</f>
        <v>REGION VIII</v>
      </c>
      <c r="B2913" s="164" t="str">
        <f ca="1">IFERROR(__xludf.DUMMYFUNCTION("""COMPUTED_VALUE"""),"Biliran")</f>
        <v>Biliran</v>
      </c>
      <c r="C2913" s="164" t="str">
        <f ca="1">IFERROR(__xludf.DUMMYFUNCTION("""COMPUTED_VALUE"""),"Desktop Computer – (Lenovo M70T)")</f>
        <v>Desktop Computer – (Lenovo M70T)</v>
      </c>
      <c r="D2913" s="164" t="str">
        <f ca="1">IFERROR(__xludf.DUMMYFUNCTION("""COMPUTED_VALUE"""),"₱ 75,468.00")</f>
        <v>₱ 75,468.00</v>
      </c>
      <c r="E2913" s="164"/>
      <c r="F2913" s="164" t="str">
        <f ca="1">IFERROR(__xludf.DUMMYFUNCTION("""COMPUTED_VALUE"""),"2023-05-03-10201SP1329-01")</f>
        <v>2023-05-03-10201SP1329-01</v>
      </c>
      <c r="G2913" s="164"/>
      <c r="H2913" s="164" t="str">
        <f ca="1">IFERROR(__xludf.DUMMYFUNCTION("""COMPUTED_VALUE"""),"MARY ANN CANEDA")</f>
        <v>MARY ANN CANEDA</v>
      </c>
      <c r="I2913" s="164" t="str">
        <f ca="1">IFERROR(__xludf.DUMMYFUNCTION("""COMPUTED_VALUE"""),"ACTING MARO")</f>
        <v>ACTING MARO</v>
      </c>
      <c r="J2913" s="164" t="str">
        <f ca="1">IFERROR(__xludf.DUMMYFUNCTION("""COMPUTED_VALUE"""),"029-2023")</f>
        <v>029-2023</v>
      </c>
      <c r="K2913" s="164" t="str">
        <f ca="1">IFERROR(__xludf.DUMMYFUNCTION("""COMPUTED_VALUE"""),"MARY ANN CANEDA")</f>
        <v>MARY ANN CANEDA</v>
      </c>
      <c r="L2913" s="164" t="str">
        <f ca="1">IFERROR(__xludf.DUMMYFUNCTION("""COMPUTED_VALUE"""),"DARPO BILIRAN")</f>
        <v>DARPO BILIRAN</v>
      </c>
      <c r="M2913" s="164" t="str">
        <f ca="1">IFERROR(__xludf.DUMMYFUNCTION("""COMPUTED_VALUE"""),"SERVICEABLE")</f>
        <v>SERVICEABLE</v>
      </c>
      <c r="N2913" s="164"/>
    </row>
    <row r="2914" spans="1:14" ht="13.2" hidden="1">
      <c r="A2914" s="164" t="str">
        <f ca="1">IFERROR(__xludf.DUMMYFUNCTION("""COMPUTED_VALUE"""),"REGION VIII")</f>
        <v>REGION VIII</v>
      </c>
      <c r="B2914" s="164" t="str">
        <f ca="1">IFERROR(__xludf.DUMMYFUNCTION("""COMPUTED_VALUE"""),"Biliran")</f>
        <v>Biliran</v>
      </c>
      <c r="C2914" s="164" t="str">
        <f ca="1">IFERROR(__xludf.DUMMYFUNCTION("""COMPUTED_VALUE"""),"Desktop Computer – (Lenovo M70T)")</f>
        <v>Desktop Computer – (Lenovo M70T)</v>
      </c>
      <c r="D2914" s="164" t="str">
        <f ca="1">IFERROR(__xludf.DUMMYFUNCTION("""COMPUTED_VALUE"""),"₱ 75,468.00")</f>
        <v>₱ 75,468.00</v>
      </c>
      <c r="E2914" s="164"/>
      <c r="F2914" s="164" t="str">
        <f ca="1">IFERROR(__xludf.DUMMYFUNCTION("""COMPUTED_VALUE"""),"2023-05-03-10201SP1330-01")</f>
        <v>2023-05-03-10201SP1330-01</v>
      </c>
      <c r="G2914" s="164"/>
      <c r="H2914" s="164" t="str">
        <f ca="1">IFERROR(__xludf.DUMMYFUNCTION("""COMPUTED_VALUE"""),"MARY ANN CANEDA")</f>
        <v>MARY ANN CANEDA</v>
      </c>
      <c r="I2914" s="164" t="str">
        <f ca="1">IFERROR(__xludf.DUMMYFUNCTION("""COMPUTED_VALUE"""),"ACTING MARO")</f>
        <v>ACTING MARO</v>
      </c>
      <c r="J2914" s="164" t="str">
        <f ca="1">IFERROR(__xludf.DUMMYFUNCTION("""COMPUTED_VALUE"""),"029-2023")</f>
        <v>029-2023</v>
      </c>
      <c r="K2914" s="164" t="str">
        <f ca="1">IFERROR(__xludf.DUMMYFUNCTION("""COMPUTED_VALUE"""),"MARY ANN CANEDA")</f>
        <v>MARY ANN CANEDA</v>
      </c>
      <c r="L2914" s="164" t="str">
        <f ca="1">IFERROR(__xludf.DUMMYFUNCTION("""COMPUTED_VALUE"""),"DARPO BILIRAN")</f>
        <v>DARPO BILIRAN</v>
      </c>
      <c r="M2914" s="164" t="str">
        <f ca="1">IFERROR(__xludf.DUMMYFUNCTION("""COMPUTED_VALUE"""),"SERVICEABLE")</f>
        <v>SERVICEABLE</v>
      </c>
      <c r="N2914" s="164"/>
    </row>
    <row r="2915" spans="1:14" ht="13.2" hidden="1">
      <c r="A2915" s="164" t="str">
        <f ca="1">IFERROR(__xludf.DUMMYFUNCTION("""COMPUTED_VALUE"""),"REGION VIII")</f>
        <v>REGION VIII</v>
      </c>
      <c r="B2915" s="164" t="str">
        <f ca="1">IFERROR(__xludf.DUMMYFUNCTION("""COMPUTED_VALUE"""),"Biliran")</f>
        <v>Biliran</v>
      </c>
      <c r="C2915" s="164" t="str">
        <f ca="1">IFERROR(__xludf.DUMMYFUNCTION("""COMPUTED_VALUE"""),"Desktop Computer – (Lenovo M70T)")</f>
        <v>Desktop Computer – (Lenovo M70T)</v>
      </c>
      <c r="D2915" s="164" t="str">
        <f ca="1">IFERROR(__xludf.DUMMYFUNCTION("""COMPUTED_VALUE"""),"₱ 75,468.00")</f>
        <v>₱ 75,468.00</v>
      </c>
      <c r="E2915" s="164"/>
      <c r="F2915" s="164" t="str">
        <f ca="1">IFERROR(__xludf.DUMMYFUNCTION("""COMPUTED_VALUE"""),"2023-05-03-10201SP1331-01")</f>
        <v>2023-05-03-10201SP1331-01</v>
      </c>
      <c r="G2915" s="164"/>
      <c r="H2915" s="164" t="str">
        <f ca="1">IFERROR(__xludf.DUMMYFUNCTION("""COMPUTED_VALUE"""),"MARY ANN CANEDA")</f>
        <v>MARY ANN CANEDA</v>
      </c>
      <c r="I2915" s="164" t="str">
        <f ca="1">IFERROR(__xludf.DUMMYFUNCTION("""COMPUTED_VALUE"""),"ACTING MARO")</f>
        <v>ACTING MARO</v>
      </c>
      <c r="J2915" s="164" t="str">
        <f ca="1">IFERROR(__xludf.DUMMYFUNCTION("""COMPUTED_VALUE"""),"029-2023")</f>
        <v>029-2023</v>
      </c>
      <c r="K2915" s="164" t="str">
        <f ca="1">IFERROR(__xludf.DUMMYFUNCTION("""COMPUTED_VALUE"""),"MARY ANN CANEDA")</f>
        <v>MARY ANN CANEDA</v>
      </c>
      <c r="L2915" s="164" t="str">
        <f ca="1">IFERROR(__xludf.DUMMYFUNCTION("""COMPUTED_VALUE"""),"DARPO BILIRAN")</f>
        <v>DARPO BILIRAN</v>
      </c>
      <c r="M2915" s="164" t="str">
        <f ca="1">IFERROR(__xludf.DUMMYFUNCTION("""COMPUTED_VALUE"""),"SERVICEABLE")</f>
        <v>SERVICEABLE</v>
      </c>
      <c r="N2915" s="164"/>
    </row>
    <row r="2916" spans="1:14" ht="13.2" hidden="1">
      <c r="A2916" s="164" t="str">
        <f ca="1">IFERROR(__xludf.DUMMYFUNCTION("""COMPUTED_VALUE"""),"REGION VIII")</f>
        <v>REGION VIII</v>
      </c>
      <c r="B2916" s="164" t="str">
        <f ca="1">IFERROR(__xludf.DUMMYFUNCTION("""COMPUTED_VALUE"""),"Eastern Samar")</f>
        <v>Eastern Samar</v>
      </c>
      <c r="C2916" s="164" t="str">
        <f ca="1">IFERROR(__xludf.DUMMYFUNCTION("""COMPUTED_VALUE"""),"Photocopier Machine – Kyocera")</f>
        <v>Photocopier Machine – Kyocera</v>
      </c>
      <c r="D2916" s="164" t="str">
        <f ca="1">IFERROR(__xludf.DUMMYFUNCTION("""COMPUTED_VALUE"""),"₱ 84,500.00")</f>
        <v>₱ 84,500.00</v>
      </c>
      <c r="E2916" s="164"/>
      <c r="F2916" s="164" t="str">
        <f ca="1">IFERROR(__xludf.DUMMYFUNCTION("""COMPUTED_VALUE"""),"2022-05-02-10202SP56-01")</f>
        <v>2022-05-02-10202SP56-01</v>
      </c>
      <c r="G2916" s="164"/>
      <c r="H2916" s="164" t="str">
        <f ca="1">IFERROR(__xludf.DUMMYFUNCTION("""COMPUTED_VALUE"""),"MARY CHRISTINE B. TANIÑAS")</f>
        <v>MARY CHRISTINE B. TANIÑAS</v>
      </c>
      <c r="I2916" s="164" t="str">
        <f ca="1">IFERROR(__xludf.DUMMYFUNCTION("""COMPUTED_VALUE"""),"ARPT")</f>
        <v>ARPT</v>
      </c>
      <c r="J2916" s="164" t="str">
        <f ca="1">IFERROR(__xludf.DUMMYFUNCTION("""COMPUTED_VALUE"""),"23022")</f>
        <v>23022</v>
      </c>
      <c r="K2916" s="164" t="str">
        <f ca="1">IFERROR(__xludf.DUMMYFUNCTION("""COMPUTED_VALUE"""),"SPLIT / LTSP")</f>
        <v>SPLIT / LTSP</v>
      </c>
      <c r="L2916" s="164" t="str">
        <f ca="1">IFERROR(__xludf.DUMMYFUNCTION("""COMPUTED_VALUE"""),"LTS")</f>
        <v>LTS</v>
      </c>
      <c r="M2916" s="164" t="str">
        <f ca="1">IFERROR(__xludf.DUMMYFUNCTION("""COMPUTED_VALUE"""),"SERVICEABLE")</f>
        <v>SERVICEABLE</v>
      </c>
      <c r="N2916" s="164" t="str">
        <f ca="1">IFERROR(__xludf.DUMMYFUNCTION("""COMPUTED_VALUE"""),"from Region 6")</f>
        <v>from Region 6</v>
      </c>
    </row>
    <row r="2917" spans="1:14" ht="13.2" hidden="1">
      <c r="A2917" s="164" t="str">
        <f ca="1">IFERROR(__xludf.DUMMYFUNCTION("""COMPUTED_VALUE"""),"REGION VIII")</f>
        <v>REGION VIII</v>
      </c>
      <c r="B2917" s="164" t="str">
        <f ca="1">IFERROR(__xludf.DUMMYFUNCTION("""COMPUTED_VALUE"""),"Eastern Samar")</f>
        <v>Eastern Samar</v>
      </c>
      <c r="C2917" s="164" t="str">
        <f ca="1">IFERROR(__xludf.DUMMYFUNCTION("""COMPUTED_VALUE"""),"HANDHELD GPS – MODEL P6")</f>
        <v>HANDHELD GPS – MODEL P6</v>
      </c>
      <c r="D2917" s="164" t="str">
        <f ca="1">IFERROR(__xludf.DUMMYFUNCTION("""COMPUTED_VALUE"""),"₱ 79,000.00")</f>
        <v>₱ 79,000.00</v>
      </c>
      <c r="E2917" s="164"/>
      <c r="F2917" s="164" t="str">
        <f ca="1">IFERROR(__xludf.DUMMYFUNCTION("""COMPUTED_VALUE"""),"2023-05-14-10202SP15-01")</f>
        <v>2023-05-14-10202SP15-01</v>
      </c>
      <c r="G2917" s="164"/>
      <c r="H2917" s="164" t="str">
        <f ca="1">IFERROR(__xludf.DUMMYFUNCTION("""COMPUTED_VALUE"""),"ENGR. RENAN M. CADIENTE")</f>
        <v>ENGR. RENAN M. CADIENTE</v>
      </c>
      <c r="I2917" s="164" t="str">
        <f ca="1">IFERROR(__xludf.DUMMYFUNCTION("""COMPUTED_VALUE"""),"ENGINEER II")</f>
        <v>ENGINEER II</v>
      </c>
      <c r="J2917" s="164" t="str">
        <f ca="1">IFERROR(__xludf.DUMMYFUNCTION("""COMPUTED_VALUE"""),"23019")</f>
        <v>23019</v>
      </c>
      <c r="K2917" s="164" t="str">
        <f ca="1">IFERROR(__xludf.DUMMYFUNCTION("""COMPUTED_VALUE"""),"ENGR. RENAN M. CADIENTE")</f>
        <v>ENGR. RENAN M. CADIENTE</v>
      </c>
      <c r="L2917" s="164" t="str">
        <f ca="1">IFERROR(__xludf.DUMMYFUNCTION("""COMPUTED_VALUE"""),"LTS")</f>
        <v>LTS</v>
      </c>
      <c r="M2917" s="164" t="str">
        <f ca="1">IFERROR(__xludf.DUMMYFUNCTION("""COMPUTED_VALUE"""),"SERVICEABLE")</f>
        <v>SERVICEABLE</v>
      </c>
      <c r="N2917" s="164"/>
    </row>
    <row r="2918" spans="1:14" ht="13.2" hidden="1">
      <c r="A2918" s="164" t="str">
        <f ca="1">IFERROR(__xludf.DUMMYFUNCTION("""COMPUTED_VALUE"""),"REGION VIII")</f>
        <v>REGION VIII</v>
      </c>
      <c r="B2918" s="164" t="str">
        <f ca="1">IFERROR(__xludf.DUMMYFUNCTION("""COMPUTED_VALUE"""),"Eastern Samar")</f>
        <v>Eastern Samar</v>
      </c>
      <c r="C2918" s="164" t="str">
        <f ca="1">IFERROR(__xludf.DUMMYFUNCTION("""COMPUTED_VALUE"""),"REAL-TIME KINEMATIC – GEOMAX ZENITH60")</f>
        <v>REAL-TIME KINEMATIC – GEOMAX ZENITH60</v>
      </c>
      <c r="D2918" s="164" t="str">
        <f ca="1">IFERROR(__xludf.DUMMYFUNCTION("""COMPUTED_VALUE"""),"₱ 1,849,000.00")</f>
        <v>₱ 1,849,000.00</v>
      </c>
      <c r="E2918" s="164"/>
      <c r="F2918" s="164" t="str">
        <f ca="1">IFERROR(__xludf.DUMMYFUNCTION("""COMPUTED_VALUE"""),"2023-05-14-10201SP35-01")</f>
        <v>2023-05-14-10201SP35-01</v>
      </c>
      <c r="G2918" s="164"/>
      <c r="H2918" s="164" t="str">
        <f ca="1">IFERROR(__xludf.DUMMYFUNCTION("""COMPUTED_VALUE"""),"ENGR. RENAN M. CADIENTE")</f>
        <v>ENGR. RENAN M. CADIENTE</v>
      </c>
      <c r="I2918" s="164" t="str">
        <f ca="1">IFERROR(__xludf.DUMMYFUNCTION("""COMPUTED_VALUE"""),"ENGINEER II")</f>
        <v>ENGINEER II</v>
      </c>
      <c r="J2918" s="164" t="str">
        <f ca="1">IFERROR(__xludf.DUMMYFUNCTION("""COMPUTED_VALUE"""),"23018")</f>
        <v>23018</v>
      </c>
      <c r="K2918" s="164" t="str">
        <f ca="1">IFERROR(__xludf.DUMMYFUNCTION("""COMPUTED_VALUE"""),"ENGR. RENAN M. CADIENTE")</f>
        <v>ENGR. RENAN M. CADIENTE</v>
      </c>
      <c r="L2918" s="164" t="str">
        <f ca="1">IFERROR(__xludf.DUMMYFUNCTION("""COMPUTED_VALUE"""),"LTS")</f>
        <v>LTS</v>
      </c>
      <c r="M2918" s="164" t="str">
        <f ca="1">IFERROR(__xludf.DUMMYFUNCTION("""COMPUTED_VALUE"""),"UNSERVICEABLE")</f>
        <v>UNSERVICEABLE</v>
      </c>
      <c r="N2918" s="164"/>
    </row>
    <row r="2919" spans="1:14" ht="13.2" hidden="1">
      <c r="A2919" s="164" t="str">
        <f ca="1">IFERROR(__xludf.DUMMYFUNCTION("""COMPUTED_VALUE"""),"REGION VIII")</f>
        <v>REGION VIII</v>
      </c>
      <c r="B2919" s="164" t="str">
        <f ca="1">IFERROR(__xludf.DUMMYFUNCTION("""COMPUTED_VALUE"""),"Eastern Samar")</f>
        <v>Eastern Samar</v>
      </c>
      <c r="C2919" s="164" t="str">
        <f ca="1">IFERROR(__xludf.DUMMYFUNCTION("""COMPUTED_VALUE"""),"TOTAL STATION – GEOMAX TOTAL STATION ZOOM 50")</f>
        <v>TOTAL STATION – GEOMAX TOTAL STATION ZOOM 50</v>
      </c>
      <c r="D2919" s="164" t="str">
        <f ca="1">IFERROR(__xludf.DUMMYFUNCTION("""COMPUTED_VALUE"""),"₱ 648,000.00")</f>
        <v>₱ 648,000.00</v>
      </c>
      <c r="E2919" s="164"/>
      <c r="F2919" s="164" t="str">
        <f ca="1">IFERROR(__xludf.DUMMYFUNCTION("""COMPUTED_VALUE"""),"2023-05-14-10201SP36-01")</f>
        <v>2023-05-14-10201SP36-01</v>
      </c>
      <c r="G2919" s="164"/>
      <c r="H2919" s="164" t="str">
        <f ca="1">IFERROR(__xludf.DUMMYFUNCTION("""COMPUTED_VALUE"""),"ENGR. RENAN M. CADIENTE")</f>
        <v>ENGR. RENAN M. CADIENTE</v>
      </c>
      <c r="I2919" s="164" t="str">
        <f ca="1">IFERROR(__xludf.DUMMYFUNCTION("""COMPUTED_VALUE"""),"ENGINEER II")</f>
        <v>ENGINEER II</v>
      </c>
      <c r="J2919" s="164" t="str">
        <f ca="1">IFERROR(__xludf.DUMMYFUNCTION("""COMPUTED_VALUE"""),"23017")</f>
        <v>23017</v>
      </c>
      <c r="K2919" s="164" t="str">
        <f ca="1">IFERROR(__xludf.DUMMYFUNCTION("""COMPUTED_VALUE"""),"ENGR. RENAN M. CADIENTE")</f>
        <v>ENGR. RENAN M. CADIENTE</v>
      </c>
      <c r="L2919" s="164" t="str">
        <f ca="1">IFERROR(__xludf.DUMMYFUNCTION("""COMPUTED_VALUE"""),"LTS")</f>
        <v>LTS</v>
      </c>
      <c r="M2919" s="164" t="str">
        <f ca="1">IFERROR(__xludf.DUMMYFUNCTION("""COMPUTED_VALUE"""),"SERVICEABLE")</f>
        <v>SERVICEABLE</v>
      </c>
      <c r="N2919" s="164"/>
    </row>
    <row r="2920" spans="1:14" ht="13.2" hidden="1">
      <c r="A2920" s="164" t="str">
        <f ca="1">IFERROR(__xludf.DUMMYFUNCTION("""COMPUTED_VALUE"""),"REGION VIII")</f>
        <v>REGION VIII</v>
      </c>
      <c r="B2920" s="164" t="str">
        <f ca="1">IFERROR(__xludf.DUMMYFUNCTION("""COMPUTED_VALUE"""),"Eastern Samar")</f>
        <v>Eastern Samar</v>
      </c>
      <c r="C2920" s="164" t="str">
        <f ca="1">IFERROR(__xludf.DUMMYFUNCTION("""COMPUTED_VALUE"""),"Desktop Computer – (HP Pro SFF 280G9)")</f>
        <v>Desktop Computer – (HP Pro SFF 280G9)</v>
      </c>
      <c r="D2920" s="164" t="str">
        <f ca="1">IFERROR(__xludf.DUMMYFUNCTION("""COMPUTED_VALUE"""),"₱ 78,898.00")</f>
        <v>₱ 78,898.00</v>
      </c>
      <c r="E2920" s="164"/>
      <c r="F2920" s="164" t="str">
        <f ca="1">IFERROR(__xludf.DUMMYFUNCTION("""COMPUTED_VALUE"""),"2023-05-03-10201SP180-01")</f>
        <v>2023-05-03-10201SP180-01</v>
      </c>
      <c r="G2920" s="164"/>
      <c r="H2920" s="164" t="str">
        <f ca="1">IFERROR(__xludf.DUMMYFUNCTION("""COMPUTED_VALUE"""),"ELAINE ASTER G. MERRO")</f>
        <v>ELAINE ASTER G. MERRO</v>
      </c>
      <c r="I2920" s="164" t="str">
        <f ca="1">IFERROR(__xludf.DUMMYFUNCTION("""COMPUTED_VALUE"""),"ARPO I")</f>
        <v>ARPO I</v>
      </c>
      <c r="J2920" s="164" t="str">
        <f ca="1">IFERROR(__xludf.DUMMYFUNCTION("""COMPUTED_VALUE"""),"23036")</f>
        <v>23036</v>
      </c>
      <c r="K2920" s="164" t="str">
        <f ca="1">IFERROR(__xludf.DUMMYFUNCTION("""COMPUTED_VALUE"""),"ELAINE ASTER G. MERRO")</f>
        <v>ELAINE ASTER G. MERRO</v>
      </c>
      <c r="L2920" s="164" t="str">
        <f ca="1">IFERROR(__xludf.DUMMYFUNCTION("""COMPUTED_VALUE"""),"DARMO - lawaan")</f>
        <v>DARMO - lawaan</v>
      </c>
      <c r="M2920" s="164" t="str">
        <f ca="1">IFERROR(__xludf.DUMMYFUNCTION("""COMPUTED_VALUE"""),"SERVICEABLE")</f>
        <v>SERVICEABLE</v>
      </c>
      <c r="N2920" s="164"/>
    </row>
    <row r="2921" spans="1:14" ht="13.2" hidden="1">
      <c r="A2921" s="164" t="str">
        <f ca="1">IFERROR(__xludf.DUMMYFUNCTION("""COMPUTED_VALUE"""),"REGION VIII")</f>
        <v>REGION VIII</v>
      </c>
      <c r="B2921" s="164" t="str">
        <f ca="1">IFERROR(__xludf.DUMMYFUNCTION("""COMPUTED_VALUE"""),"Eastern Samar")</f>
        <v>Eastern Samar</v>
      </c>
      <c r="C2921" s="164" t="str">
        <f ca="1">IFERROR(__xludf.DUMMYFUNCTION("""COMPUTED_VALUE"""),"Desktop Computer – (HP Pro SFF 280G9)")</f>
        <v>Desktop Computer – (HP Pro SFF 280G9)</v>
      </c>
      <c r="D2921" s="164" t="str">
        <f ca="1">IFERROR(__xludf.DUMMYFUNCTION("""COMPUTED_VALUE"""),"₱ 78,898.00")</f>
        <v>₱ 78,898.00</v>
      </c>
      <c r="E2921" s="164"/>
      <c r="F2921" s="164" t="str">
        <f ca="1">IFERROR(__xludf.DUMMYFUNCTION("""COMPUTED_VALUE"""),"2023-05-03-10201SP176-01")</f>
        <v>2023-05-03-10201SP176-01</v>
      </c>
      <c r="G2921" s="164"/>
      <c r="H2921" s="164" t="str">
        <f ca="1">IFERROR(__xludf.DUMMYFUNCTION("""COMPUTED_VALUE"""),"CHRISTOPHER RYAN P. ROSAL")</f>
        <v>CHRISTOPHER RYAN P. ROSAL</v>
      </c>
      <c r="I2921" s="164" t="str">
        <f ca="1">IFERROR(__xludf.DUMMYFUNCTION("""COMPUTED_VALUE"""),"CHIEF LEGAL")</f>
        <v>CHIEF LEGAL</v>
      </c>
      <c r="J2921" s="164" t="str">
        <f ca="1">IFERROR(__xludf.DUMMYFUNCTION("""COMPUTED_VALUE"""),"23033")</f>
        <v>23033</v>
      </c>
      <c r="K2921" s="164" t="str">
        <f ca="1">IFERROR(__xludf.DUMMYFUNCTION("""COMPUTED_VALUE"""),"CHRISTOPHER RYAN P. ROSAL")</f>
        <v>CHRISTOPHER RYAN P. ROSAL</v>
      </c>
      <c r="L2921" s="164" t="str">
        <f ca="1">IFERROR(__xludf.DUMMYFUNCTION("""COMPUTED_VALUE"""),"LEGAL")</f>
        <v>LEGAL</v>
      </c>
      <c r="M2921" s="164" t="str">
        <f ca="1">IFERROR(__xludf.DUMMYFUNCTION("""COMPUTED_VALUE"""),"SERVICEABLE")</f>
        <v>SERVICEABLE</v>
      </c>
      <c r="N2921" s="164" t="str">
        <f ca="1">IFERROR(__xludf.DUMMYFUNCTION("""COMPUTED_VALUE"""),"printer unserviceable")</f>
        <v>printer unserviceable</v>
      </c>
    </row>
    <row r="2922" spans="1:14" ht="13.2" hidden="1">
      <c r="A2922" s="164" t="str">
        <f ca="1">IFERROR(__xludf.DUMMYFUNCTION("""COMPUTED_VALUE"""),"REGION VIII")</f>
        <v>REGION VIII</v>
      </c>
      <c r="B2922" s="164" t="str">
        <f ca="1">IFERROR(__xludf.DUMMYFUNCTION("""COMPUTED_VALUE"""),"Eastern Samar")</f>
        <v>Eastern Samar</v>
      </c>
      <c r="C2922" s="164" t="str">
        <f ca="1">IFERROR(__xludf.DUMMYFUNCTION("""COMPUTED_VALUE"""),"Desktop Computer – (HP Pro SFF 280G9)")</f>
        <v>Desktop Computer – (HP Pro SFF 280G9)</v>
      </c>
      <c r="D2922" s="164" t="str">
        <f ca="1">IFERROR(__xludf.DUMMYFUNCTION("""COMPUTED_VALUE"""),"₱ 78,898.00")</f>
        <v>₱ 78,898.00</v>
      </c>
      <c r="E2922" s="164"/>
      <c r="F2922" s="164" t="str">
        <f ca="1">IFERROR(__xludf.DUMMYFUNCTION("""COMPUTED_VALUE"""),"2023-05-03-10201SP177-01")</f>
        <v>2023-05-03-10201SP177-01</v>
      </c>
      <c r="G2922" s="164"/>
      <c r="H2922" s="164" t="str">
        <f ca="1">IFERROR(__xludf.DUMMYFUNCTION("""COMPUTED_VALUE"""),"CHRISTOPHER RYAN P. ROSAL")</f>
        <v>CHRISTOPHER RYAN P. ROSAL</v>
      </c>
      <c r="I2922" s="164" t="str">
        <f ca="1">IFERROR(__xludf.DUMMYFUNCTION("""COMPUTED_VALUE"""),"CHIEF LEGAL")</f>
        <v>CHIEF LEGAL</v>
      </c>
      <c r="J2922" s="164" t="str">
        <f ca="1">IFERROR(__xludf.DUMMYFUNCTION("""COMPUTED_VALUE"""),"23033")</f>
        <v>23033</v>
      </c>
      <c r="K2922" s="164" t="str">
        <f ca="1">IFERROR(__xludf.DUMMYFUNCTION("""COMPUTED_VALUE"""),"CHRISTOPHER RYAN P. ROSAL")</f>
        <v>CHRISTOPHER RYAN P. ROSAL</v>
      </c>
      <c r="L2922" s="164" t="str">
        <f ca="1">IFERROR(__xludf.DUMMYFUNCTION("""COMPUTED_VALUE"""),"LEGAL")</f>
        <v>LEGAL</v>
      </c>
      <c r="M2922" s="164" t="str">
        <f ca="1">IFERROR(__xludf.DUMMYFUNCTION("""COMPUTED_VALUE"""),"SERVICEABLE")</f>
        <v>SERVICEABLE</v>
      </c>
      <c r="N2922" s="164"/>
    </row>
    <row r="2923" spans="1:14" ht="13.2" hidden="1">
      <c r="A2923" s="164" t="str">
        <f ca="1">IFERROR(__xludf.DUMMYFUNCTION("""COMPUTED_VALUE"""),"REGION VIII")</f>
        <v>REGION VIII</v>
      </c>
      <c r="B2923" s="164" t="str">
        <f ca="1">IFERROR(__xludf.DUMMYFUNCTION("""COMPUTED_VALUE"""),"Eastern Samar")</f>
        <v>Eastern Samar</v>
      </c>
      <c r="C2923" s="164" t="str">
        <f ca="1">IFERROR(__xludf.DUMMYFUNCTION("""COMPUTED_VALUE"""),"Desktop Computer – (HP Pro SFF 280G9)")</f>
        <v>Desktop Computer – (HP Pro SFF 280G9)</v>
      </c>
      <c r="D2923" s="164" t="str">
        <f ca="1">IFERROR(__xludf.DUMMYFUNCTION("""COMPUTED_VALUE"""),"₱ 78,898.00")</f>
        <v>₱ 78,898.00</v>
      </c>
      <c r="E2923" s="164"/>
      <c r="F2923" s="164" t="str">
        <f ca="1">IFERROR(__xludf.DUMMYFUNCTION("""COMPUTED_VALUE"""),"2023-05-03-10201SP179-01")</f>
        <v>2023-05-03-10201SP179-01</v>
      </c>
      <c r="G2923" s="164"/>
      <c r="H2923" s="164" t="str">
        <f ca="1">IFERROR(__xludf.DUMMYFUNCTION("""COMPUTED_VALUE"""),"LORENA A. AZURA")</f>
        <v>LORENA A. AZURA</v>
      </c>
      <c r="I2923" s="164" t="str">
        <f ca="1">IFERROR(__xludf.DUMMYFUNCTION("""COMPUTED_VALUE"""),"PARPO I")</f>
        <v>PARPO I</v>
      </c>
      <c r="J2923" s="164" t="str">
        <f ca="1">IFERROR(__xludf.DUMMYFUNCTION("""COMPUTED_VALUE"""),"23035")</f>
        <v>23035</v>
      </c>
      <c r="K2923" s="164" t="str">
        <f ca="1">IFERROR(__xludf.DUMMYFUNCTION("""COMPUTED_VALUE"""),"LORENA A. AZURA")</f>
        <v>LORENA A. AZURA</v>
      </c>
      <c r="L2923" s="164" t="str">
        <f ca="1">IFERROR(__xludf.DUMMYFUNCTION("""COMPUTED_VALUE"""),"ARBDSP")</f>
        <v>ARBDSP</v>
      </c>
      <c r="M2923" s="164" t="str">
        <f ca="1">IFERROR(__xludf.DUMMYFUNCTION("""COMPUTED_VALUE"""),"SERVICEABLE")</f>
        <v>SERVICEABLE</v>
      </c>
      <c r="N2923" s="164"/>
    </row>
    <row r="2924" spans="1:14" ht="13.2" hidden="1">
      <c r="A2924" s="164" t="str">
        <f ca="1">IFERROR(__xludf.DUMMYFUNCTION("""COMPUTED_VALUE"""),"REGION VIII")</f>
        <v>REGION VIII</v>
      </c>
      <c r="B2924" s="164" t="str">
        <f ca="1">IFERROR(__xludf.DUMMYFUNCTION("""COMPUTED_VALUE"""),"Eastern Samar")</f>
        <v>Eastern Samar</v>
      </c>
      <c r="C2924" s="164" t="str">
        <f ca="1">IFERROR(__xludf.DUMMYFUNCTION("""COMPUTED_VALUE"""),"Desktop Computer – (HP Pro SFF 280G9)")</f>
        <v>Desktop Computer – (HP Pro SFF 280G9)</v>
      </c>
      <c r="D2924" s="164" t="str">
        <f ca="1">IFERROR(__xludf.DUMMYFUNCTION("""COMPUTED_VALUE"""),"₱ 78,898.00")</f>
        <v>₱ 78,898.00</v>
      </c>
      <c r="E2924" s="164"/>
      <c r="F2924" s="164" t="str">
        <f ca="1">IFERROR(__xludf.DUMMYFUNCTION("""COMPUTED_VALUE"""),"2023-05-03-10201SP178-01")</f>
        <v>2023-05-03-10201SP178-01</v>
      </c>
      <c r="G2924" s="164"/>
      <c r="H2924" s="164" t="str">
        <f ca="1">IFERROR(__xludf.DUMMYFUNCTION("""COMPUTED_VALUE"""),"BLICARISA L. GLORIA")</f>
        <v>BLICARISA L. GLORIA</v>
      </c>
      <c r="I2924" s="164" t="str">
        <f ca="1">IFERROR(__xludf.DUMMYFUNCTION("""COMPUTED_VALUE"""),"ADMIN AIDE VI")</f>
        <v>ADMIN AIDE VI</v>
      </c>
      <c r="J2924" s="164" t="str">
        <f ca="1">IFERROR(__xludf.DUMMYFUNCTION("""COMPUTED_VALUE"""),"23034")</f>
        <v>23034</v>
      </c>
      <c r="K2924" s="164" t="str">
        <f ca="1">IFERROR(__xludf.DUMMYFUNCTION("""COMPUTED_VALUE"""),"BLICARISA L. GLORIA")</f>
        <v>BLICARISA L. GLORIA</v>
      </c>
      <c r="L2924" s="164" t="str">
        <f ca="1">IFERROR(__xludf.DUMMYFUNCTION("""COMPUTED_VALUE"""),"STOD- PERSONNEL SECTION")</f>
        <v>STOD- PERSONNEL SECTION</v>
      </c>
      <c r="M2924" s="164" t="str">
        <f ca="1">IFERROR(__xludf.DUMMYFUNCTION("""COMPUTED_VALUE"""),"SERVICEABLE")</f>
        <v>SERVICEABLE</v>
      </c>
      <c r="N2924" s="164" t="str">
        <f ca="1">IFERROR(__xludf.DUMMYFUNCTION("""COMPUTED_VALUE"""),"printer unserviceable")</f>
        <v>printer unserviceable</v>
      </c>
    </row>
    <row r="2925" spans="1:14" ht="13.2" hidden="1">
      <c r="A2925" s="164" t="str">
        <f ca="1">IFERROR(__xludf.DUMMYFUNCTION("""COMPUTED_VALUE"""),"REGION VIII")</f>
        <v>REGION VIII</v>
      </c>
      <c r="B2925" s="164" t="str">
        <f ca="1">IFERROR(__xludf.DUMMYFUNCTION("""COMPUTED_VALUE"""),"Eastern Samar")</f>
        <v>Eastern Samar</v>
      </c>
      <c r="C2925" s="164" t="str">
        <f ca="1">IFERROR(__xludf.DUMMYFUNCTION("""COMPUTED_VALUE"""),"Laptop – (ACER EXTENSA EX215-55G i7)")</f>
        <v>Laptop – (ACER EXTENSA EX215-55G i7)</v>
      </c>
      <c r="D2925" s="164" t="str">
        <f ca="1">IFERROR(__xludf.DUMMYFUNCTION("""COMPUTED_VALUE"""),"₱ 59,500.00")</f>
        <v>₱ 59,500.00</v>
      </c>
      <c r="E2925" s="164"/>
      <c r="F2925" s="164" t="str">
        <f ca="1">IFERROR(__xludf.DUMMYFUNCTION("""COMPUTED_VALUE"""),"2023-05-03-1020SP-251-01")</f>
        <v>2023-05-03-1020SP-251-01</v>
      </c>
      <c r="G2925" s="164"/>
      <c r="H2925" s="164" t="str">
        <f ca="1">IFERROR(__xludf.DUMMYFUNCTION("""COMPUTED_VALUE"""),"DANILO C. LOZADA")</f>
        <v>DANILO C. LOZADA</v>
      </c>
      <c r="I2925" s="164" t="str">
        <f ca="1">IFERROR(__xludf.DUMMYFUNCTION("""COMPUTED_VALUE"""),"PARPO II")</f>
        <v>PARPO II</v>
      </c>
      <c r="J2925" s="164" t="str">
        <f ca="1">IFERROR(__xludf.DUMMYFUNCTION("""COMPUTED_VALUE"""),"23039")</f>
        <v>23039</v>
      </c>
      <c r="K2925" s="164" t="str">
        <f ca="1">IFERROR(__xludf.DUMMYFUNCTION("""COMPUTED_VALUE"""),"DANILO C. LOZADA")</f>
        <v>DANILO C. LOZADA</v>
      </c>
      <c r="L2925" s="164" t="str">
        <f ca="1">IFERROR(__xludf.DUMMYFUNCTION("""COMPUTED_VALUE"""),"PARPOs Office")</f>
        <v>PARPOs Office</v>
      </c>
      <c r="M2925" s="164" t="str">
        <f ca="1">IFERROR(__xludf.DUMMYFUNCTION("""COMPUTED_VALUE"""),"SERVICEABLE")</f>
        <v>SERVICEABLE</v>
      </c>
      <c r="N2925" s="164"/>
    </row>
    <row r="2926" spans="1:14" ht="13.2" hidden="1">
      <c r="A2926" s="164" t="str">
        <f ca="1">IFERROR(__xludf.DUMMYFUNCTION("""COMPUTED_VALUE"""),"REGION VIII")</f>
        <v>REGION VIII</v>
      </c>
      <c r="B2926" s="164" t="str">
        <f ca="1">IFERROR(__xludf.DUMMYFUNCTION("""COMPUTED_VALUE"""),"Eastern Samar")</f>
        <v>Eastern Samar</v>
      </c>
      <c r="C2926" s="164" t="str">
        <f ca="1">IFERROR(__xludf.DUMMYFUNCTION("""COMPUTED_VALUE"""),"Laptop – (ACER EXTENSA EX215-55G i7)")</f>
        <v>Laptop – (ACER EXTENSA EX215-55G i7)</v>
      </c>
      <c r="D2926" s="164" t="str">
        <f ca="1">IFERROR(__xludf.DUMMYFUNCTION("""COMPUTED_VALUE"""),"₱ 59,500.00")</f>
        <v>₱ 59,500.00</v>
      </c>
      <c r="E2926" s="164"/>
      <c r="F2926" s="164" t="str">
        <f ca="1">IFERROR(__xludf.DUMMYFUNCTION("""COMPUTED_VALUE"""),"2023-05-03-1020SP-253-01")</f>
        <v>2023-05-03-1020SP-253-01</v>
      </c>
      <c r="G2926" s="164"/>
      <c r="H2926" s="164" t="str">
        <f ca="1">IFERROR(__xludf.DUMMYFUNCTION("""COMPUTED_VALUE"""),"ALLISON KAYE A. OBON")</f>
        <v>ALLISON KAYE A. OBON</v>
      </c>
      <c r="I2926" s="164" t="str">
        <f ca="1">IFERROR(__xludf.DUMMYFUNCTION("""COMPUTED_VALUE"""),"ARPT")</f>
        <v>ARPT</v>
      </c>
      <c r="J2926" s="164" t="str">
        <f ca="1">IFERROR(__xludf.DUMMYFUNCTION("""COMPUTED_VALUE"""),"23040")</f>
        <v>23040</v>
      </c>
      <c r="K2926" s="164" t="str">
        <f ca="1">IFERROR(__xludf.DUMMYFUNCTION("""COMPUTED_VALUE"""),"ALLISON KAYE A. OBON")</f>
        <v>ALLISON KAYE A. OBON</v>
      </c>
      <c r="L2926" s="164" t="str">
        <f ca="1">IFERROR(__xludf.DUMMYFUNCTION("""COMPUTED_VALUE"""),"LTS")</f>
        <v>LTS</v>
      </c>
      <c r="M2926" s="164" t="str">
        <f ca="1">IFERROR(__xludf.DUMMYFUNCTION("""COMPUTED_VALUE"""),"SERVICEABLE")</f>
        <v>SERVICEABLE</v>
      </c>
      <c r="N2926" s="164"/>
    </row>
    <row r="2927" spans="1:14" ht="13.2" hidden="1">
      <c r="A2927" s="164" t="str">
        <f ca="1">IFERROR(__xludf.DUMMYFUNCTION("""COMPUTED_VALUE"""),"REGION VIII")</f>
        <v>REGION VIII</v>
      </c>
      <c r="B2927" s="164" t="str">
        <f ca="1">IFERROR(__xludf.DUMMYFUNCTION("""COMPUTED_VALUE"""),"Eastern Samar")</f>
        <v>Eastern Samar</v>
      </c>
      <c r="C2927" s="164" t="str">
        <f ca="1">IFERROR(__xludf.DUMMYFUNCTION("""COMPUTED_VALUE"""),"Laptop – (ACER EXTENSA EX215-55G i7)")</f>
        <v>Laptop – (ACER EXTENSA EX215-55G i7)</v>
      </c>
      <c r="D2927" s="164" t="str">
        <f ca="1">IFERROR(__xludf.DUMMYFUNCTION("""COMPUTED_VALUE"""),"₱ 59,500.00")</f>
        <v>₱ 59,500.00</v>
      </c>
      <c r="E2927" s="164"/>
      <c r="F2927" s="164" t="str">
        <f ca="1">IFERROR(__xludf.DUMMYFUNCTION("""COMPUTED_VALUE"""),"2023-05-03-1020SP-252-01")</f>
        <v>2023-05-03-1020SP-252-01</v>
      </c>
      <c r="G2927" s="164"/>
      <c r="H2927" s="164" t="str">
        <f ca="1">IFERROR(__xludf.DUMMYFUNCTION("""COMPUTED_VALUE"""),"ENGR. RENAFLOR A. DAGANTA")</f>
        <v>ENGR. RENAFLOR A. DAGANTA</v>
      </c>
      <c r="I2927" s="164" t="str">
        <f ca="1">IFERROR(__xludf.DUMMYFUNCTION("""COMPUTED_VALUE"""),"ARPT")</f>
        <v>ARPT</v>
      </c>
      <c r="J2927" s="164" t="str">
        <f ca="1">IFERROR(__xludf.DUMMYFUNCTION("""COMPUTED_VALUE"""),"23038")</f>
        <v>23038</v>
      </c>
      <c r="K2927" s="164" t="str">
        <f ca="1">IFERROR(__xludf.DUMMYFUNCTION("""COMPUTED_VALUE"""),"ROSE ANGELA GACIAS")</f>
        <v>ROSE ANGELA GACIAS</v>
      </c>
      <c r="L2927" s="164" t="str">
        <f ca="1">IFERROR(__xludf.DUMMYFUNCTION("""COMPUTED_VALUE"""),"LTS")</f>
        <v>LTS</v>
      </c>
      <c r="M2927" s="164" t="str">
        <f ca="1">IFERROR(__xludf.DUMMYFUNCTION("""COMPUTED_VALUE"""),"SERVICEABLE")</f>
        <v>SERVICEABLE</v>
      </c>
      <c r="N2927" s="164"/>
    </row>
    <row r="2928" spans="1:14" ht="13.2" hidden="1">
      <c r="A2928" s="164" t="str">
        <f ca="1">IFERROR(__xludf.DUMMYFUNCTION("""COMPUTED_VALUE"""),"REGION VIII")</f>
        <v>REGION VIII</v>
      </c>
      <c r="B2928" s="164" t="str">
        <f ca="1">IFERROR(__xludf.DUMMYFUNCTION("""COMPUTED_VALUE"""),"Eastern Samar")</f>
        <v>Eastern Samar</v>
      </c>
      <c r="C2928" s="164" t="str">
        <f ca="1">IFERROR(__xludf.DUMMYFUNCTION("""COMPUTED_VALUE"""),"Laptop – (ACER EXTENSA EX215-55G i7)")</f>
        <v>Laptop – (ACER EXTENSA EX215-55G i7)</v>
      </c>
      <c r="D2928" s="164" t="str">
        <f ca="1">IFERROR(__xludf.DUMMYFUNCTION("""COMPUTED_VALUE"""),"₱ 59,500.00")</f>
        <v>₱ 59,500.00</v>
      </c>
      <c r="E2928" s="164"/>
      <c r="F2928" s="164" t="str">
        <f ca="1">IFERROR(__xludf.DUMMYFUNCTION("""COMPUTED_VALUE"""),"2023-05-03-1020SP-250-01")</f>
        <v>2023-05-03-1020SP-250-01</v>
      </c>
      <c r="G2928" s="164"/>
      <c r="H2928" s="164" t="str">
        <f ca="1">IFERROR(__xludf.DUMMYFUNCTION("""COMPUTED_VALUE"""),"HERMENIA D. BASADA")</f>
        <v>HERMENIA D. BASADA</v>
      </c>
      <c r="I2928" s="164" t="str">
        <f ca="1">IFERROR(__xludf.DUMMYFUNCTION("""COMPUTED_VALUE"""),"SARPO")</f>
        <v>SARPO</v>
      </c>
      <c r="J2928" s="164" t="str">
        <f ca="1">IFERROR(__xludf.DUMMYFUNCTION("""COMPUTED_VALUE"""),"23037")</f>
        <v>23037</v>
      </c>
      <c r="K2928" s="164" t="str">
        <f ca="1">IFERROR(__xludf.DUMMYFUNCTION("""COMPUTED_VALUE"""),"HERMENIA D. BASADA")</f>
        <v>HERMENIA D. BASADA</v>
      </c>
      <c r="L2928" s="164" t="str">
        <f ca="1">IFERROR(__xludf.DUMMYFUNCTION("""COMPUTED_VALUE"""),"LTS")</f>
        <v>LTS</v>
      </c>
      <c r="M2928" s="164" t="str">
        <f ca="1">IFERROR(__xludf.DUMMYFUNCTION("""COMPUTED_VALUE"""),"SERVICEABLE")</f>
        <v>SERVICEABLE</v>
      </c>
      <c r="N2928" s="164"/>
    </row>
    <row r="2929" spans="1:14" ht="13.2" hidden="1">
      <c r="A2929" s="164" t="str">
        <f ca="1">IFERROR(__xludf.DUMMYFUNCTION("""COMPUTED_VALUE"""),"REGION VIII")</f>
        <v>REGION VIII</v>
      </c>
      <c r="B2929" s="164" t="str">
        <f ca="1">IFERROR(__xludf.DUMMYFUNCTION("""COMPUTED_VALUE"""),"Eastern Samar")</f>
        <v>Eastern Samar</v>
      </c>
      <c r="C2929" s="164" t="str">
        <f ca="1">IFERROR(__xludf.DUMMYFUNCTION("""COMPUTED_VALUE"""),"Desktop Computer – (Lenovo M70T)")</f>
        <v>Desktop Computer – (Lenovo M70T)</v>
      </c>
      <c r="D2929" s="164" t="str">
        <f ca="1">IFERROR(__xludf.DUMMYFUNCTION("""COMPUTED_VALUE"""),"₱ 75,468.00")</f>
        <v>₱ 75,468.00</v>
      </c>
      <c r="E2929" s="164"/>
      <c r="F2929" s="164" t="str">
        <f ca="1">IFERROR(__xludf.DUMMYFUNCTION("""COMPUTED_VALUE"""),"2023-05-03-10201SP-1337-01")</f>
        <v>2023-05-03-10201SP-1337-01</v>
      </c>
      <c r="G2929" s="164"/>
      <c r="H2929" s="164" t="str">
        <f ca="1">IFERROR(__xludf.DUMMYFUNCTION("""COMPUTED_VALUE"""),"LEMUELL SETH TONOG")</f>
        <v>LEMUELL SETH TONOG</v>
      </c>
      <c r="I2929" s="164" t="str">
        <f ca="1">IFERROR(__xludf.DUMMYFUNCTION("""COMPUTED_VALUE"""),"ARPT")</f>
        <v>ARPT</v>
      </c>
      <c r="J2929" s="164" t="str">
        <f ca="1">IFERROR(__xludf.DUMMYFUNCTION("""COMPUTED_VALUE"""),"23032")</f>
        <v>23032</v>
      </c>
      <c r="K2929" s="164" t="str">
        <f ca="1">IFERROR(__xludf.DUMMYFUNCTION("""COMPUTED_VALUE"""),"LITO JAKE L. CANDIDO")</f>
        <v>LITO JAKE L. CANDIDO</v>
      </c>
      <c r="L2929" s="164" t="str">
        <f ca="1">IFERROR(__xludf.DUMMYFUNCTION("""COMPUTED_VALUE"""),"STOD - Personnel")</f>
        <v>STOD - Personnel</v>
      </c>
      <c r="M2929" s="164" t="str">
        <f ca="1">IFERROR(__xludf.DUMMYFUNCTION("""COMPUTED_VALUE"""),"SERVICEABLE")</f>
        <v>SERVICEABLE</v>
      </c>
      <c r="N2929" s="164"/>
    </row>
    <row r="2930" spans="1:14" ht="13.2" hidden="1">
      <c r="A2930" s="164" t="str">
        <f ca="1">IFERROR(__xludf.DUMMYFUNCTION("""COMPUTED_VALUE"""),"REGION VIII")</f>
        <v>REGION VIII</v>
      </c>
      <c r="B2930" s="164" t="str">
        <f ca="1">IFERROR(__xludf.DUMMYFUNCTION("""COMPUTED_VALUE"""),"Eastern Samar")</f>
        <v>Eastern Samar</v>
      </c>
      <c r="C2930" s="164" t="str">
        <f ca="1">IFERROR(__xludf.DUMMYFUNCTION("""COMPUTED_VALUE"""),"Desktop Computer – (Lenovo M70T)")</f>
        <v>Desktop Computer – (Lenovo M70T)</v>
      </c>
      <c r="D2930" s="164" t="str">
        <f ca="1">IFERROR(__xludf.DUMMYFUNCTION("""COMPUTED_VALUE"""),"₱ 75,468.00")</f>
        <v>₱ 75,468.00</v>
      </c>
      <c r="E2930" s="164"/>
      <c r="F2930" s="164" t="str">
        <f ca="1">IFERROR(__xludf.DUMMYFUNCTION("""COMPUTED_VALUE"""),"2023-05-03-10201SP-1339-01")</f>
        <v>2023-05-03-10201SP-1339-01</v>
      </c>
      <c r="G2930" s="164"/>
      <c r="H2930" s="164" t="str">
        <f ca="1">IFERROR(__xludf.DUMMYFUNCTION("""COMPUTED_VALUE"""),"ENGR. RENAFLOR A. DAGANTA")</f>
        <v>ENGR. RENAFLOR A. DAGANTA</v>
      </c>
      <c r="I2930" s="164" t="str">
        <f ca="1">IFERROR(__xludf.DUMMYFUNCTION("""COMPUTED_VALUE"""),"ARPT")</f>
        <v>ARPT</v>
      </c>
      <c r="J2930" s="164" t="str">
        <f ca="1">IFERROR(__xludf.DUMMYFUNCTION("""COMPUTED_VALUE"""),"23028")</f>
        <v>23028</v>
      </c>
      <c r="K2930" s="164" t="str">
        <f ca="1">IFERROR(__xludf.DUMMYFUNCTION("""COMPUTED_VALUE"""),"MA. AMALIA A. APIGO")</f>
        <v>MA. AMALIA A. APIGO</v>
      </c>
      <c r="L2930" s="164" t="str">
        <f ca="1">IFERROR(__xludf.DUMMYFUNCTION("""COMPUTED_VALUE"""),"LTS")</f>
        <v>LTS</v>
      </c>
      <c r="M2930" s="164" t="str">
        <f ca="1">IFERROR(__xludf.DUMMYFUNCTION("""COMPUTED_VALUE"""),"SERVICEABLE")</f>
        <v>SERVICEABLE</v>
      </c>
      <c r="N2930" s="164"/>
    </row>
    <row r="2931" spans="1:14" ht="13.2" hidden="1">
      <c r="A2931" s="164" t="str">
        <f ca="1">IFERROR(__xludf.DUMMYFUNCTION("""COMPUTED_VALUE"""),"REGION VIII")</f>
        <v>REGION VIII</v>
      </c>
      <c r="B2931" s="164" t="str">
        <f ca="1">IFERROR(__xludf.DUMMYFUNCTION("""COMPUTED_VALUE"""),"Eastern Samar")</f>
        <v>Eastern Samar</v>
      </c>
      <c r="C2931" s="164" t="str">
        <f ca="1">IFERROR(__xludf.DUMMYFUNCTION("""COMPUTED_VALUE"""),"Desktop Computer – (Lenovo M70T)")</f>
        <v>Desktop Computer – (Lenovo M70T)</v>
      </c>
      <c r="D2931" s="164" t="str">
        <f ca="1">IFERROR(__xludf.DUMMYFUNCTION("""COMPUTED_VALUE"""),"₱ 75,468.00")</f>
        <v>₱ 75,468.00</v>
      </c>
      <c r="E2931" s="164"/>
      <c r="F2931" s="164" t="str">
        <f ca="1">IFERROR(__xludf.DUMMYFUNCTION("""COMPUTED_VALUE"""),"2023-05-03-10201SP-1340-01")</f>
        <v>2023-05-03-10201SP-1340-01</v>
      </c>
      <c r="G2931" s="164"/>
      <c r="H2931" s="164" t="str">
        <f ca="1">IFERROR(__xludf.DUMMYFUNCTION("""COMPUTED_VALUE"""),"ENGR. RENAN M. CADIENTE")</f>
        <v>ENGR. RENAN M. CADIENTE</v>
      </c>
      <c r="I2931" s="164" t="str">
        <f ca="1">IFERROR(__xludf.DUMMYFUNCTION("""COMPUTED_VALUE"""),"ENGINEER II")</f>
        <v>ENGINEER II</v>
      </c>
      <c r="J2931" s="164" t="str">
        <f ca="1">IFERROR(__xludf.DUMMYFUNCTION("""COMPUTED_VALUE"""),"23029")</f>
        <v>23029</v>
      </c>
      <c r="K2931" s="164" t="str">
        <f ca="1">IFERROR(__xludf.DUMMYFUNCTION("""COMPUTED_VALUE"""),"ENGR. RENAN M. CADIENTE")</f>
        <v>ENGR. RENAN M. CADIENTE</v>
      </c>
      <c r="L2931" s="164" t="str">
        <f ca="1">IFERROR(__xludf.DUMMYFUNCTION("""COMPUTED_VALUE"""),"LTS")</f>
        <v>LTS</v>
      </c>
      <c r="M2931" s="164" t="str">
        <f ca="1">IFERROR(__xludf.DUMMYFUNCTION("""COMPUTED_VALUE"""),"SERVICEABLE")</f>
        <v>SERVICEABLE</v>
      </c>
      <c r="N2931" s="164"/>
    </row>
    <row r="2932" spans="1:14" ht="13.2" hidden="1">
      <c r="A2932" s="164" t="str">
        <f ca="1">IFERROR(__xludf.DUMMYFUNCTION("""COMPUTED_VALUE"""),"REGION VIII")</f>
        <v>REGION VIII</v>
      </c>
      <c r="B2932" s="164" t="str">
        <f ca="1">IFERROR(__xludf.DUMMYFUNCTION("""COMPUTED_VALUE"""),"Eastern Samar")</f>
        <v>Eastern Samar</v>
      </c>
      <c r="C2932" s="164" t="str">
        <f ca="1">IFERROR(__xludf.DUMMYFUNCTION("""COMPUTED_VALUE"""),"Desktop Computer – (Lenovo M70T)")</f>
        <v>Desktop Computer – (Lenovo M70T)</v>
      </c>
      <c r="D2932" s="164" t="str">
        <f ca="1">IFERROR(__xludf.DUMMYFUNCTION("""COMPUTED_VALUE"""),"₱ 75,468.00")</f>
        <v>₱ 75,468.00</v>
      </c>
      <c r="E2932" s="164"/>
      <c r="F2932" s="164" t="str">
        <f ca="1">IFERROR(__xludf.DUMMYFUNCTION("""COMPUTED_VALUE"""),"2023-05-03-10201SP-1333-01")</f>
        <v>2023-05-03-10201SP-1333-01</v>
      </c>
      <c r="G2932" s="164"/>
      <c r="H2932" s="164" t="str">
        <f ca="1">IFERROR(__xludf.DUMMYFUNCTION("""COMPUTED_VALUE"""),"ENGR. RENAFLOR A. DAGANTA")</f>
        <v>ENGR. RENAFLOR A. DAGANTA</v>
      </c>
      <c r="I2932" s="164" t="str">
        <f ca="1">IFERROR(__xludf.DUMMYFUNCTION("""COMPUTED_VALUE"""),"ARPT")</f>
        <v>ARPT</v>
      </c>
      <c r="J2932" s="164" t="str">
        <f ca="1">IFERROR(__xludf.DUMMYFUNCTION("""COMPUTED_VALUE"""),"23028")</f>
        <v>23028</v>
      </c>
      <c r="K2932" s="164" t="str">
        <f ca="1">IFERROR(__xludf.DUMMYFUNCTION("""COMPUTED_VALUE"""),"ENGR. RENAFLOR A. DAGANTA")</f>
        <v>ENGR. RENAFLOR A. DAGANTA</v>
      </c>
      <c r="L2932" s="164" t="str">
        <f ca="1">IFERROR(__xludf.DUMMYFUNCTION("""COMPUTED_VALUE"""),"LTS")</f>
        <v>LTS</v>
      </c>
      <c r="M2932" s="164" t="str">
        <f ca="1">IFERROR(__xludf.DUMMYFUNCTION("""COMPUTED_VALUE"""),"SERVICEABLE")</f>
        <v>SERVICEABLE</v>
      </c>
      <c r="N2932" s="164"/>
    </row>
    <row r="2933" spans="1:14" ht="13.2" hidden="1">
      <c r="A2933" s="164" t="str">
        <f ca="1">IFERROR(__xludf.DUMMYFUNCTION("""COMPUTED_VALUE"""),"REGION VIII")</f>
        <v>REGION VIII</v>
      </c>
      <c r="B2933" s="164" t="str">
        <f ca="1">IFERROR(__xludf.DUMMYFUNCTION("""COMPUTED_VALUE"""),"Eastern Samar")</f>
        <v>Eastern Samar</v>
      </c>
      <c r="C2933" s="164" t="str">
        <f ca="1">IFERROR(__xludf.DUMMYFUNCTION("""COMPUTED_VALUE"""),"Desktop Computer – (Lenovo M70T)")</f>
        <v>Desktop Computer – (Lenovo M70T)</v>
      </c>
      <c r="D2933" s="164" t="str">
        <f ca="1">IFERROR(__xludf.DUMMYFUNCTION("""COMPUTED_VALUE"""),"₱ 75,468.00")</f>
        <v>₱ 75,468.00</v>
      </c>
      <c r="E2933" s="164"/>
      <c r="F2933" s="164" t="str">
        <f ca="1">IFERROR(__xludf.DUMMYFUNCTION("""COMPUTED_VALUE"""),"2023-05-03-10201SP-1343-01")</f>
        <v>2023-05-03-10201SP-1343-01</v>
      </c>
      <c r="G2933" s="164"/>
      <c r="H2933" s="164" t="str">
        <f ca="1">IFERROR(__xludf.DUMMYFUNCTION("""COMPUTED_VALUE"""),"LEMUELL SETH TONOG")</f>
        <v>LEMUELL SETH TONOG</v>
      </c>
      <c r="I2933" s="164" t="str">
        <f ca="1">IFERROR(__xludf.DUMMYFUNCTION("""COMPUTED_VALUE"""),"ARPT")</f>
        <v>ARPT</v>
      </c>
      <c r="J2933" s="164" t="str">
        <f ca="1">IFERROR(__xludf.DUMMYFUNCTION("""COMPUTED_VALUE"""),"23032")</f>
        <v>23032</v>
      </c>
      <c r="K2933" s="164" t="str">
        <f ca="1">IFERROR(__xludf.DUMMYFUNCTION("""COMPUTED_VALUE"""),"LEMUELL SETH TONOG")</f>
        <v>LEMUELL SETH TONOG</v>
      </c>
      <c r="L2933" s="164" t="str">
        <f ca="1">IFERROR(__xludf.DUMMYFUNCTION("""COMPUTED_VALUE"""),"STOD - Personnel")</f>
        <v>STOD - Personnel</v>
      </c>
      <c r="M2933" s="164" t="str">
        <f ca="1">IFERROR(__xludf.DUMMYFUNCTION("""COMPUTED_VALUE"""),"SERVICEABLE")</f>
        <v>SERVICEABLE</v>
      </c>
      <c r="N2933" s="164"/>
    </row>
    <row r="2934" spans="1:14" ht="13.2" hidden="1">
      <c r="A2934" s="164" t="str">
        <f ca="1">IFERROR(__xludf.DUMMYFUNCTION("""COMPUTED_VALUE"""),"REGION VIII")</f>
        <v>REGION VIII</v>
      </c>
      <c r="B2934" s="164" t="str">
        <f ca="1">IFERROR(__xludf.DUMMYFUNCTION("""COMPUTED_VALUE"""),"Eastern Samar")</f>
        <v>Eastern Samar</v>
      </c>
      <c r="C2934" s="164" t="str">
        <f ca="1">IFERROR(__xludf.DUMMYFUNCTION("""COMPUTED_VALUE"""),"Desktop Computer – (Lenovo M70T)")</f>
        <v>Desktop Computer – (Lenovo M70T)</v>
      </c>
      <c r="D2934" s="164" t="str">
        <f ca="1">IFERROR(__xludf.DUMMYFUNCTION("""COMPUTED_VALUE"""),"₱ 75,468.00")</f>
        <v>₱ 75,468.00</v>
      </c>
      <c r="E2934" s="164"/>
      <c r="F2934" s="164" t="str">
        <f ca="1">IFERROR(__xludf.DUMMYFUNCTION("""COMPUTED_VALUE"""),"2023-05-03-10201SP-1332-01")</f>
        <v>2023-05-03-10201SP-1332-01</v>
      </c>
      <c r="G2934" s="164"/>
      <c r="H2934" s="164" t="str">
        <f ca="1">IFERROR(__xludf.DUMMYFUNCTION("""COMPUTED_VALUE"""),"MARY CHRISTINE B. TANIÑAS")</f>
        <v>MARY CHRISTINE B. TANIÑAS</v>
      </c>
      <c r="I2934" s="164" t="str">
        <f ca="1">IFERROR(__xludf.DUMMYFUNCTION("""COMPUTED_VALUE"""),"ARPO1")</f>
        <v>ARPO1</v>
      </c>
      <c r="J2934" s="164" t="str">
        <f ca="1">IFERROR(__xludf.DUMMYFUNCTION("""COMPUTED_VALUE"""),"23030")</f>
        <v>23030</v>
      </c>
      <c r="K2934" s="164" t="str">
        <f ca="1">IFERROR(__xludf.DUMMYFUNCTION("""COMPUTED_VALUE"""),"MARY CHRISTINE B. TANIÑAS")</f>
        <v>MARY CHRISTINE B. TANIÑAS</v>
      </c>
      <c r="L2934" s="164" t="str">
        <f ca="1">IFERROR(__xludf.DUMMYFUNCTION("""COMPUTED_VALUE"""),"LTS")</f>
        <v>LTS</v>
      </c>
      <c r="M2934" s="164" t="str">
        <f ca="1">IFERROR(__xludf.DUMMYFUNCTION("""COMPUTED_VALUE"""),"SERVICEABLE")</f>
        <v>SERVICEABLE</v>
      </c>
      <c r="N2934" s="164" t="str">
        <f ca="1">IFERROR(__xludf.DUMMYFUNCTION("""COMPUTED_VALUE"""),"Monitor for repair")</f>
        <v>Monitor for repair</v>
      </c>
    </row>
    <row r="2935" spans="1:14" ht="13.2" hidden="1">
      <c r="A2935" s="164" t="str">
        <f ca="1">IFERROR(__xludf.DUMMYFUNCTION("""COMPUTED_VALUE"""),"REGION VIII")</f>
        <v>REGION VIII</v>
      </c>
      <c r="B2935" s="164" t="str">
        <f ca="1">IFERROR(__xludf.DUMMYFUNCTION("""COMPUTED_VALUE"""),"Eastern Samar")</f>
        <v>Eastern Samar</v>
      </c>
      <c r="C2935" s="164" t="str">
        <f ca="1">IFERROR(__xludf.DUMMYFUNCTION("""COMPUTED_VALUE"""),"Desktop Computer – (Lenovo M70T)")</f>
        <v>Desktop Computer – (Lenovo M70T)</v>
      </c>
      <c r="D2935" s="164" t="str">
        <f ca="1">IFERROR(__xludf.DUMMYFUNCTION("""COMPUTED_VALUE"""),"₱ 75,468.00")</f>
        <v>₱ 75,468.00</v>
      </c>
      <c r="E2935" s="164"/>
      <c r="F2935" s="164" t="str">
        <f ca="1">IFERROR(__xludf.DUMMYFUNCTION("""COMPUTED_VALUE"""),"2023-05-03-10201SP-1336-01")</f>
        <v>2023-05-03-10201SP-1336-01</v>
      </c>
      <c r="G2935" s="164"/>
      <c r="H2935" s="164" t="str">
        <f ca="1">IFERROR(__xludf.DUMMYFUNCTION("""COMPUTED_VALUE"""),"ELAINE ASTER G. MERRO")</f>
        <v>ELAINE ASTER G. MERRO</v>
      </c>
      <c r="I2935" s="164" t="str">
        <f ca="1">IFERROR(__xludf.DUMMYFUNCTION("""COMPUTED_VALUE"""),"ARPO1")</f>
        <v>ARPO1</v>
      </c>
      <c r="J2935" s="164" t="str">
        <f ca="1">IFERROR(__xludf.DUMMYFUNCTION("""COMPUTED_VALUE"""),"23023")</f>
        <v>23023</v>
      </c>
      <c r="K2935" s="164" t="str">
        <f ca="1">IFERROR(__xludf.DUMMYFUNCTION("""COMPUTED_VALUE"""),"GEORGIE BOY Y. SACRISTAN")</f>
        <v>GEORGIE BOY Y. SACRISTAN</v>
      </c>
      <c r="L2935" s="164" t="str">
        <f ca="1">IFERROR(__xludf.DUMMYFUNCTION("""COMPUTED_VALUE"""),"DARMO - Lawaan")</f>
        <v>DARMO - Lawaan</v>
      </c>
      <c r="M2935" s="164" t="str">
        <f ca="1">IFERROR(__xludf.DUMMYFUNCTION("""COMPUTED_VALUE"""),"SERVICEABLE")</f>
        <v>SERVICEABLE</v>
      </c>
      <c r="N2935" s="164" t="str">
        <f ca="1">IFERROR(__xludf.DUMMYFUNCTION("""COMPUTED_VALUE"""),"printer unserviceable")</f>
        <v>printer unserviceable</v>
      </c>
    </row>
    <row r="2936" spans="1:14" ht="13.2" hidden="1">
      <c r="A2936" s="164" t="str">
        <f ca="1">IFERROR(__xludf.DUMMYFUNCTION("""COMPUTED_VALUE"""),"REGION VIII")</f>
        <v>REGION VIII</v>
      </c>
      <c r="B2936" s="164" t="str">
        <f ca="1">IFERROR(__xludf.DUMMYFUNCTION("""COMPUTED_VALUE"""),"Eastern Samar")</f>
        <v>Eastern Samar</v>
      </c>
      <c r="C2936" s="164" t="str">
        <f ca="1">IFERROR(__xludf.DUMMYFUNCTION("""COMPUTED_VALUE"""),"Desktop Computer – (Lenovo M70T)")</f>
        <v>Desktop Computer – (Lenovo M70T)</v>
      </c>
      <c r="D2936" s="164" t="str">
        <f ca="1">IFERROR(__xludf.DUMMYFUNCTION("""COMPUTED_VALUE"""),"₱ 75,468.00")</f>
        <v>₱ 75,468.00</v>
      </c>
      <c r="E2936" s="164"/>
      <c r="F2936" s="164" t="str">
        <f ca="1">IFERROR(__xludf.DUMMYFUNCTION("""COMPUTED_VALUE"""),"2023-05-03-10201SP-1335-01")</f>
        <v>2023-05-03-10201SP-1335-01</v>
      </c>
      <c r="G2936" s="164"/>
      <c r="H2936" s="164" t="str">
        <f ca="1">IFERROR(__xludf.DUMMYFUNCTION("""COMPUTED_VALUE"""),"ALLISON KAYE A. OBON")</f>
        <v>ALLISON KAYE A. OBON</v>
      </c>
      <c r="I2936" s="164" t="str">
        <f ca="1">IFERROR(__xludf.DUMMYFUNCTION("""COMPUTED_VALUE"""),"ARPT")</f>
        <v>ARPT</v>
      </c>
      <c r="J2936" s="164" t="str">
        <f ca="1">IFERROR(__xludf.DUMMYFUNCTION("""COMPUTED_VALUE"""),"23031")</f>
        <v>23031</v>
      </c>
      <c r="K2936" s="164" t="str">
        <f ca="1">IFERROR(__xludf.DUMMYFUNCTION("""COMPUTED_VALUE"""),"LINA A. MISOLA")</f>
        <v>LINA A. MISOLA</v>
      </c>
      <c r="L2936" s="164" t="str">
        <f ca="1">IFERROR(__xludf.DUMMYFUNCTION("""COMPUTED_VALUE"""),"LTS")</f>
        <v>LTS</v>
      </c>
      <c r="M2936" s="164" t="str">
        <f ca="1">IFERROR(__xludf.DUMMYFUNCTION("""COMPUTED_VALUE"""),"SERVICEABLE")</f>
        <v>SERVICEABLE</v>
      </c>
      <c r="N2936" s="164"/>
    </row>
    <row r="2937" spans="1:14" ht="13.2" hidden="1">
      <c r="A2937" s="164" t="str">
        <f ca="1">IFERROR(__xludf.DUMMYFUNCTION("""COMPUTED_VALUE"""),"REGION VIII")</f>
        <v>REGION VIII</v>
      </c>
      <c r="B2937" s="164" t="str">
        <f ca="1">IFERROR(__xludf.DUMMYFUNCTION("""COMPUTED_VALUE"""),"Eastern Samar")</f>
        <v>Eastern Samar</v>
      </c>
      <c r="C2937" s="164" t="str">
        <f ca="1">IFERROR(__xludf.DUMMYFUNCTION("""COMPUTED_VALUE"""),"Desktop Computer – (Lenovo M70T)")</f>
        <v>Desktop Computer – (Lenovo M70T)</v>
      </c>
      <c r="D2937" s="164" t="str">
        <f ca="1">IFERROR(__xludf.DUMMYFUNCTION("""COMPUTED_VALUE"""),"₱ 75,468.00")</f>
        <v>₱ 75,468.00</v>
      </c>
      <c r="E2937" s="164"/>
      <c r="F2937" s="164" t="str">
        <f ca="1">IFERROR(__xludf.DUMMYFUNCTION("""COMPUTED_VALUE"""),"2023-05-03-10201SP-1334-01")</f>
        <v>2023-05-03-10201SP-1334-01</v>
      </c>
      <c r="G2937" s="164"/>
      <c r="H2937" s="164" t="str">
        <f ca="1">IFERROR(__xludf.DUMMYFUNCTION("""COMPUTED_VALUE"""),"ENGR. RENAN M. CADIENTE")</f>
        <v>ENGR. RENAN M. CADIENTE</v>
      </c>
      <c r="I2937" s="164" t="str">
        <f ca="1">IFERROR(__xludf.DUMMYFUNCTION("""COMPUTED_VALUE"""),"ENGINEER II")</f>
        <v>ENGINEER II</v>
      </c>
      <c r="J2937" s="164" t="str">
        <f ca="1">IFERROR(__xludf.DUMMYFUNCTION("""COMPUTED_VALUE"""),"23029")</f>
        <v>23029</v>
      </c>
      <c r="K2937" s="164" t="str">
        <f ca="1">IFERROR(__xludf.DUMMYFUNCTION("""COMPUTED_VALUE"""),"RENELYN L. GREGORIO")</f>
        <v>RENELYN L. GREGORIO</v>
      </c>
      <c r="L2937" s="164" t="str">
        <f ca="1">IFERROR(__xludf.DUMMYFUNCTION("""COMPUTED_VALUE"""),"LTS")</f>
        <v>LTS</v>
      </c>
      <c r="M2937" s="164" t="str">
        <f ca="1">IFERROR(__xludf.DUMMYFUNCTION("""COMPUTED_VALUE"""),"SERVICEABLE")</f>
        <v>SERVICEABLE</v>
      </c>
      <c r="N2937" s="164"/>
    </row>
    <row r="2938" spans="1:14" ht="13.2" hidden="1">
      <c r="A2938" s="164" t="str">
        <f ca="1">IFERROR(__xludf.DUMMYFUNCTION("""COMPUTED_VALUE"""),"REGION VIII")</f>
        <v>REGION VIII</v>
      </c>
      <c r="B2938" s="164" t="str">
        <f ca="1">IFERROR(__xludf.DUMMYFUNCTION("""COMPUTED_VALUE"""),"Eastern Samar")</f>
        <v>Eastern Samar</v>
      </c>
      <c r="C2938" s="164" t="str">
        <f ca="1">IFERROR(__xludf.DUMMYFUNCTION("""COMPUTED_VALUE"""),"Desktop Computer – (Lenovo M70T)")</f>
        <v>Desktop Computer – (Lenovo M70T)</v>
      </c>
      <c r="D2938" s="164" t="str">
        <f ca="1">IFERROR(__xludf.DUMMYFUNCTION("""COMPUTED_VALUE"""),"₱ 75,468.00")</f>
        <v>₱ 75,468.00</v>
      </c>
      <c r="E2938" s="164"/>
      <c r="F2938" s="164" t="str">
        <f ca="1">IFERROR(__xludf.DUMMYFUNCTION("""COMPUTED_VALUE"""),"2023-05-03-10201SP-1346-01")</f>
        <v>2023-05-03-10201SP-1346-01</v>
      </c>
      <c r="G2938" s="164"/>
      <c r="H2938" s="164" t="str">
        <f ca="1">IFERROR(__xludf.DUMMYFUNCTION("""COMPUTED_VALUE"""),"LEMUELL SETH TONOG")</f>
        <v>LEMUELL SETH TONOG</v>
      </c>
      <c r="I2938" s="164" t="str">
        <f ca="1">IFERROR(__xludf.DUMMYFUNCTION("""COMPUTED_VALUE"""),"ARPT")</f>
        <v>ARPT</v>
      </c>
      <c r="J2938" s="164" t="str">
        <f ca="1">IFERROR(__xludf.DUMMYFUNCTION("""COMPUTED_VALUE"""),"23032")</f>
        <v>23032</v>
      </c>
      <c r="K2938" s="164" t="str">
        <f ca="1">IFERROR(__xludf.DUMMYFUNCTION("""COMPUTED_VALUE"""),"MARK ANTHONY D. PATILLA")</f>
        <v>MARK ANTHONY D. PATILLA</v>
      </c>
      <c r="L2938" s="164" t="str">
        <f ca="1">IFERROR(__xludf.DUMMYFUNCTION("""COMPUTED_VALUE"""),"STOD - Personnel")</f>
        <v>STOD - Personnel</v>
      </c>
      <c r="M2938" s="164" t="str">
        <f ca="1">IFERROR(__xludf.DUMMYFUNCTION("""COMPUTED_VALUE"""),"SERVICEABLE")</f>
        <v>SERVICEABLE</v>
      </c>
      <c r="N2938" s="164"/>
    </row>
    <row r="2939" spans="1:14" ht="13.2" hidden="1">
      <c r="A2939" s="164" t="str">
        <f ca="1">IFERROR(__xludf.DUMMYFUNCTION("""COMPUTED_VALUE"""),"REGION VIII")</f>
        <v>REGION VIII</v>
      </c>
      <c r="B2939" s="164" t="str">
        <f ca="1">IFERROR(__xludf.DUMMYFUNCTION("""COMPUTED_VALUE"""),"Eastern Samar")</f>
        <v>Eastern Samar</v>
      </c>
      <c r="C2939" s="164" t="str">
        <f ca="1">IFERROR(__xludf.DUMMYFUNCTION("""COMPUTED_VALUE"""),"Desktop Computer – (Lenovo M70T)")</f>
        <v>Desktop Computer – (Lenovo M70T)</v>
      </c>
      <c r="D2939" s="164" t="str">
        <f ca="1">IFERROR(__xludf.DUMMYFUNCTION("""COMPUTED_VALUE"""),"₱ 75,468.00")</f>
        <v>₱ 75,468.00</v>
      </c>
      <c r="E2939" s="164"/>
      <c r="F2939" s="164" t="str">
        <f ca="1">IFERROR(__xludf.DUMMYFUNCTION("""COMPUTED_VALUE"""),"2023-05-03-10201SP-1347-01")</f>
        <v>2023-05-03-10201SP-1347-01</v>
      </c>
      <c r="G2939" s="164"/>
      <c r="H2939" s="164" t="str">
        <f ca="1">IFERROR(__xludf.DUMMYFUNCTION("""COMPUTED_VALUE"""),"LEMUELL SETH TONOG")</f>
        <v>LEMUELL SETH TONOG</v>
      </c>
      <c r="I2939" s="164" t="str">
        <f ca="1">IFERROR(__xludf.DUMMYFUNCTION("""COMPUTED_VALUE"""),"ARPT")</f>
        <v>ARPT</v>
      </c>
      <c r="J2939" s="164" t="str">
        <f ca="1">IFERROR(__xludf.DUMMYFUNCTION("""COMPUTED_VALUE"""),"23032")</f>
        <v>23032</v>
      </c>
      <c r="K2939" s="164" t="str">
        <f ca="1">IFERROR(__xludf.DUMMYFUNCTION("""COMPUTED_VALUE"""),"RAYMUND CORADO")</f>
        <v>RAYMUND CORADO</v>
      </c>
      <c r="L2939" s="164" t="str">
        <f ca="1">IFERROR(__xludf.DUMMYFUNCTION("""COMPUTED_VALUE"""),"STOD - Personnel")</f>
        <v>STOD - Personnel</v>
      </c>
      <c r="M2939" s="164" t="str">
        <f ca="1">IFERROR(__xludf.DUMMYFUNCTION("""COMPUTED_VALUE"""),"SERVICEABLE")</f>
        <v>SERVICEABLE</v>
      </c>
      <c r="N2939" s="164" t="str">
        <f ca="1">IFERROR(__xludf.DUMMYFUNCTION("""COMPUTED_VALUE"""),"printer unserviceable")</f>
        <v>printer unserviceable</v>
      </c>
    </row>
    <row r="2940" spans="1:14" ht="13.2" hidden="1">
      <c r="A2940" s="164" t="str">
        <f ca="1">IFERROR(__xludf.DUMMYFUNCTION("""COMPUTED_VALUE"""),"REGION VIII")</f>
        <v>REGION VIII</v>
      </c>
      <c r="B2940" s="164" t="str">
        <f ca="1">IFERROR(__xludf.DUMMYFUNCTION("""COMPUTED_VALUE"""),"Eastern Samar")</f>
        <v>Eastern Samar</v>
      </c>
      <c r="C2940" s="164" t="str">
        <f ca="1">IFERROR(__xludf.DUMMYFUNCTION("""COMPUTED_VALUE"""),"Desktop Computer – (Lenovo M70T)")</f>
        <v>Desktop Computer – (Lenovo M70T)</v>
      </c>
      <c r="D2940" s="164" t="str">
        <f ca="1">IFERROR(__xludf.DUMMYFUNCTION("""COMPUTED_VALUE"""),"₱ 75,468.00")</f>
        <v>₱ 75,468.00</v>
      </c>
      <c r="E2940" s="164"/>
      <c r="F2940" s="164" t="str">
        <f ca="1">IFERROR(__xludf.DUMMYFUNCTION("""COMPUTED_VALUE"""),"2023-05-03-10201SP-1338-01")</f>
        <v>2023-05-03-10201SP-1338-01</v>
      </c>
      <c r="G2940" s="164"/>
      <c r="H2940" s="164" t="str">
        <f ca="1">IFERROR(__xludf.DUMMYFUNCTION("""COMPUTED_VALUE"""),"ALLAN DAVE B. ABELLA")</f>
        <v>ALLAN DAVE B. ABELLA</v>
      </c>
      <c r="I2940" s="164" t="str">
        <f ca="1">IFERROR(__xludf.DUMMYFUNCTION("""COMPUTED_VALUE"""),"ARPT")</f>
        <v>ARPT</v>
      </c>
      <c r="J2940" s="164" t="str">
        <f ca="1">IFERROR(__xludf.DUMMYFUNCTION("""COMPUTED_VALUE"""),"23024")</f>
        <v>23024</v>
      </c>
      <c r="K2940" s="164" t="str">
        <f ca="1">IFERROR(__xludf.DUMMYFUNCTION("""COMPUTED_VALUE"""),"JESSEL G. ACLA")</f>
        <v>JESSEL G. ACLA</v>
      </c>
      <c r="L2940" s="164" t="str">
        <f ca="1">IFERROR(__xludf.DUMMYFUNCTION("""COMPUTED_VALUE"""),"DARMO - Giporlos")</f>
        <v>DARMO - Giporlos</v>
      </c>
      <c r="M2940" s="164" t="str">
        <f ca="1">IFERROR(__xludf.DUMMYFUNCTION("""COMPUTED_VALUE"""),"SERVICEABLE")</f>
        <v>SERVICEABLE</v>
      </c>
      <c r="N2940" s="164" t="str">
        <f ca="1">IFERROR(__xludf.DUMMYFUNCTION("""COMPUTED_VALUE"""),"printer unserviceable")</f>
        <v>printer unserviceable</v>
      </c>
    </row>
    <row r="2941" spans="1:14" ht="13.2" hidden="1">
      <c r="A2941" s="164" t="str">
        <f ca="1">IFERROR(__xludf.DUMMYFUNCTION("""COMPUTED_VALUE"""),"REGION VIII")</f>
        <v>REGION VIII</v>
      </c>
      <c r="B2941" s="164" t="str">
        <f ca="1">IFERROR(__xludf.DUMMYFUNCTION("""COMPUTED_VALUE"""),"Eastern Samar")</f>
        <v>Eastern Samar</v>
      </c>
      <c r="C2941" s="164" t="str">
        <f ca="1">IFERROR(__xludf.DUMMYFUNCTION("""COMPUTED_VALUE"""),"Desktop Computer – (Lenovo M70T)")</f>
        <v>Desktop Computer – (Lenovo M70T)</v>
      </c>
      <c r="D2941" s="164" t="str">
        <f ca="1">IFERROR(__xludf.DUMMYFUNCTION("""COMPUTED_VALUE"""),"₱ 75,468.00")</f>
        <v>₱ 75,468.00</v>
      </c>
      <c r="E2941" s="164"/>
      <c r="F2941" s="164" t="str">
        <f ca="1">IFERROR(__xludf.DUMMYFUNCTION("""COMPUTED_VALUE"""),"2023-05-03-10201SP-1344-01")</f>
        <v>2023-05-03-10201SP-1344-01</v>
      </c>
      <c r="G2941" s="164"/>
      <c r="H2941" s="164" t="str">
        <f ca="1">IFERROR(__xludf.DUMMYFUNCTION("""COMPUTED_VALUE"""),"ALLAN DAVE B. ABELLA")</f>
        <v>ALLAN DAVE B. ABELLA</v>
      </c>
      <c r="I2941" s="164" t="str">
        <f ca="1">IFERROR(__xludf.DUMMYFUNCTION("""COMPUTED_VALUE"""),"ARPT")</f>
        <v>ARPT</v>
      </c>
      <c r="J2941" s="164" t="str">
        <f ca="1">IFERROR(__xludf.DUMMYFUNCTION("""COMPUTED_VALUE"""),"23024")</f>
        <v>23024</v>
      </c>
      <c r="K2941" s="164" t="str">
        <f ca="1">IFERROR(__xludf.DUMMYFUNCTION("""COMPUTED_VALUE"""),"ALLAN DAVE B. ABELLA")</f>
        <v>ALLAN DAVE B. ABELLA</v>
      </c>
      <c r="L2941" s="164" t="str">
        <f ca="1">IFERROR(__xludf.DUMMYFUNCTION("""COMPUTED_VALUE"""),"DARMO - Giporlos")</f>
        <v>DARMO - Giporlos</v>
      </c>
      <c r="M2941" s="164" t="str">
        <f ca="1">IFERROR(__xludf.DUMMYFUNCTION("""COMPUTED_VALUE"""),"SERVICEABLE")</f>
        <v>SERVICEABLE</v>
      </c>
      <c r="N2941" s="164"/>
    </row>
    <row r="2942" spans="1:14" ht="13.2" hidden="1">
      <c r="A2942" s="164" t="str">
        <f ca="1">IFERROR(__xludf.DUMMYFUNCTION("""COMPUTED_VALUE"""),"REGION VIII")</f>
        <v>REGION VIII</v>
      </c>
      <c r="B2942" s="164" t="str">
        <f ca="1">IFERROR(__xludf.DUMMYFUNCTION("""COMPUTED_VALUE"""),"Eastern Samar")</f>
        <v>Eastern Samar</v>
      </c>
      <c r="C2942" s="164" t="str">
        <f ca="1">IFERROR(__xludf.DUMMYFUNCTION("""COMPUTED_VALUE"""),"Desktop Computer – (Lenovo M70T)")</f>
        <v>Desktop Computer – (Lenovo M70T)</v>
      </c>
      <c r="D2942" s="164" t="str">
        <f ca="1">IFERROR(__xludf.DUMMYFUNCTION("""COMPUTED_VALUE"""),"₱ 75,468.00")</f>
        <v>₱ 75,468.00</v>
      </c>
      <c r="E2942" s="164"/>
      <c r="F2942" s="164" t="str">
        <f ca="1">IFERROR(__xludf.DUMMYFUNCTION("""COMPUTED_VALUE"""),"2023-05-03-10201SP-1345-01")</f>
        <v>2023-05-03-10201SP-1345-01</v>
      </c>
      <c r="G2942" s="164"/>
      <c r="H2942" s="164" t="str">
        <f ca="1">IFERROR(__xludf.DUMMYFUNCTION("""COMPUTED_VALUE"""),"MA. FLOR DAGANTA")</f>
        <v>MA. FLOR DAGANTA</v>
      </c>
      <c r="I2942" s="164" t="str">
        <f ca="1">IFERROR(__xludf.DUMMYFUNCTION("""COMPUTED_VALUE"""),"AO IV/OIC MARO")</f>
        <v>AO IV/OIC MARO</v>
      </c>
      <c r="J2942" s="164" t="str">
        <f ca="1">IFERROR(__xludf.DUMMYFUNCTION("""COMPUTED_VALUE"""),"23027")</f>
        <v>23027</v>
      </c>
      <c r="K2942" s="164" t="str">
        <f ca="1">IFERROR(__xludf.DUMMYFUNCTION("""COMPUTED_VALUE"""),"MA. FLOR DAGANTA")</f>
        <v>MA. FLOR DAGANTA</v>
      </c>
      <c r="L2942" s="164" t="str">
        <f ca="1">IFERROR(__xludf.DUMMYFUNCTION("""COMPUTED_VALUE"""),"DARMO - Borongan")</f>
        <v>DARMO - Borongan</v>
      </c>
      <c r="M2942" s="164" t="str">
        <f ca="1">IFERROR(__xludf.DUMMYFUNCTION("""COMPUTED_VALUE"""),"SERVICEABLE")</f>
        <v>SERVICEABLE</v>
      </c>
      <c r="N2942" s="164"/>
    </row>
    <row r="2943" spans="1:14" ht="13.2" hidden="1">
      <c r="A2943" s="164" t="str">
        <f ca="1">IFERROR(__xludf.DUMMYFUNCTION("""COMPUTED_VALUE"""),"REGION VIII")</f>
        <v>REGION VIII</v>
      </c>
      <c r="B2943" s="164" t="str">
        <f ca="1">IFERROR(__xludf.DUMMYFUNCTION("""COMPUTED_VALUE"""),"Eastern Samar")</f>
        <v>Eastern Samar</v>
      </c>
      <c r="C2943" s="164" t="str">
        <f ca="1">IFERROR(__xludf.DUMMYFUNCTION("""COMPUTED_VALUE"""),"Desktop Computer – (Lenovo M70T)")</f>
        <v>Desktop Computer – (Lenovo M70T)</v>
      </c>
      <c r="D2943" s="164" t="str">
        <f ca="1">IFERROR(__xludf.DUMMYFUNCTION("""COMPUTED_VALUE"""),"₱ 75,468.00")</f>
        <v>₱ 75,468.00</v>
      </c>
      <c r="E2943" s="164"/>
      <c r="F2943" s="164" t="str">
        <f ca="1">IFERROR(__xludf.DUMMYFUNCTION("""COMPUTED_VALUE"""),"2023-05-03-10201SP-1341-01")</f>
        <v>2023-05-03-10201SP-1341-01</v>
      </c>
      <c r="G2943" s="164"/>
      <c r="H2943" s="164" t="str">
        <f ca="1">IFERROR(__xludf.DUMMYFUNCTION("""COMPUTED_VALUE"""),"HARLEANE LIANNE CATILLEJOS")</f>
        <v>HARLEANE LIANNE CATILLEJOS</v>
      </c>
      <c r="I2943" s="164" t="str">
        <f ca="1">IFERROR(__xludf.DUMMYFUNCTION("""COMPUTED_VALUE"""),"Accountant")</f>
        <v>Accountant</v>
      </c>
      <c r="J2943" s="164" t="str">
        <f ca="1">IFERROR(__xludf.DUMMYFUNCTION("""COMPUTED_VALUE"""),"23025")</f>
        <v>23025</v>
      </c>
      <c r="K2943" s="164" t="str">
        <f ca="1">IFERROR(__xludf.DUMMYFUNCTION("""COMPUTED_VALUE"""),"MICHA ARAGO")</f>
        <v>MICHA ARAGO</v>
      </c>
      <c r="L2943" s="164" t="str">
        <f ca="1">IFERROR(__xludf.DUMMYFUNCTION("""COMPUTED_VALUE"""),"STOD - Accounting")</f>
        <v>STOD - Accounting</v>
      </c>
      <c r="M2943" s="164" t="str">
        <f ca="1">IFERROR(__xludf.DUMMYFUNCTION("""COMPUTED_VALUE"""),"SERVICEABLE")</f>
        <v>SERVICEABLE</v>
      </c>
      <c r="N2943" s="164"/>
    </row>
    <row r="2944" spans="1:14" ht="13.2" hidden="1">
      <c r="A2944" s="164" t="str">
        <f ca="1">IFERROR(__xludf.DUMMYFUNCTION("""COMPUTED_VALUE"""),"REGION VIII")</f>
        <v>REGION VIII</v>
      </c>
      <c r="B2944" s="164" t="str">
        <f ca="1">IFERROR(__xludf.DUMMYFUNCTION("""COMPUTED_VALUE"""),"Eastern Samar")</f>
        <v>Eastern Samar</v>
      </c>
      <c r="C2944" s="164" t="str">
        <f ca="1">IFERROR(__xludf.DUMMYFUNCTION("""COMPUTED_VALUE"""),"Desktop Computer – (Lenovo M70T)")</f>
        <v>Desktop Computer – (Lenovo M70T)</v>
      </c>
      <c r="D2944" s="164" t="str">
        <f ca="1">IFERROR(__xludf.DUMMYFUNCTION("""COMPUTED_VALUE"""),"₱ 75,468.00")</f>
        <v>₱ 75,468.00</v>
      </c>
      <c r="E2944" s="164"/>
      <c r="F2944" s="164" t="str">
        <f ca="1">IFERROR(__xludf.DUMMYFUNCTION("""COMPUTED_VALUE"""),"2023-05-03-10201SP-1342-01")</f>
        <v>2023-05-03-10201SP-1342-01</v>
      </c>
      <c r="G2944" s="164"/>
      <c r="H2944" s="164" t="str">
        <f ca="1">IFERROR(__xludf.DUMMYFUNCTION("""COMPUTED_VALUE"""),"HERMENIA D. BASADA")</f>
        <v>HERMENIA D. BASADA</v>
      </c>
      <c r="I2944" s="164" t="str">
        <f ca="1">IFERROR(__xludf.DUMMYFUNCTION("""COMPUTED_VALUE"""),"SARPO")</f>
        <v>SARPO</v>
      </c>
      <c r="J2944" s="164" t="str">
        <f ca="1">IFERROR(__xludf.DUMMYFUNCTION("""COMPUTED_VALUE"""),"23026")</f>
        <v>23026</v>
      </c>
      <c r="K2944" s="164" t="str">
        <f ca="1">IFERROR(__xludf.DUMMYFUNCTION("""COMPUTED_VALUE"""),"HERMENIA D. BASADA")</f>
        <v>HERMENIA D. BASADA</v>
      </c>
      <c r="L2944" s="164" t="str">
        <f ca="1">IFERROR(__xludf.DUMMYFUNCTION("""COMPUTED_VALUE"""),"LTS")</f>
        <v>LTS</v>
      </c>
      <c r="M2944" s="164" t="str">
        <f ca="1">IFERROR(__xludf.DUMMYFUNCTION("""COMPUTED_VALUE"""),"SERVICEABLE")</f>
        <v>SERVICEABLE</v>
      </c>
      <c r="N2944" s="164" t="str">
        <f ca="1">IFERROR(__xludf.DUMMYFUNCTION("""COMPUTED_VALUE"""),"printer unserviceable")</f>
        <v>printer unserviceable</v>
      </c>
    </row>
    <row r="2945" spans="1:14" ht="13.2" hidden="1">
      <c r="A2945" s="164" t="str">
        <f ca="1">IFERROR(__xludf.DUMMYFUNCTION("""COMPUTED_VALUE"""),"REGION VIII")</f>
        <v>REGION VIII</v>
      </c>
      <c r="B2945" s="164" t="str">
        <f ca="1">IFERROR(__xludf.DUMMYFUNCTION("""COMPUTED_VALUE"""),"Eastern Samar")</f>
        <v>Eastern Samar</v>
      </c>
      <c r="C2945" s="164" t="str">
        <f ca="1">IFERROR(__xludf.DUMMYFUNCTION("""COMPUTED_VALUE"""),"A3 PRINTER (BROTHER)")</f>
        <v>A3 PRINTER (BROTHER)</v>
      </c>
      <c r="D2945" s="164" t="str">
        <f ca="1">IFERROR(__xludf.DUMMYFUNCTION("""COMPUTED_VALUE"""),"₱ 33,508.00")</f>
        <v>₱ 33,508.00</v>
      </c>
      <c r="E2945" s="164"/>
      <c r="F2945" s="164" t="str">
        <f ca="1">IFERROR(__xludf.DUMMYFUNCTION("""COMPUTED_VALUE"""),"HVSPLIT-102-24-05-047")</f>
        <v>HVSPLIT-102-24-05-047</v>
      </c>
      <c r="G2945" s="164"/>
      <c r="H2945" s="164" t="str">
        <f ca="1">IFERROR(__xludf.DUMMYFUNCTION("""COMPUTED_VALUE"""),"ATTY. ROBERT ANTHONY YU")</f>
        <v>ATTY. ROBERT ANTHONY YU</v>
      </c>
      <c r="I2945" s="164" t="str">
        <f ca="1">IFERROR(__xludf.DUMMYFUNCTION("""COMPUTED_VALUE"""),"REGIONAL DIRECTOR")</f>
        <v>REGIONAL DIRECTOR</v>
      </c>
      <c r="J2945" s="164" t="str">
        <f ca="1">IFERROR(__xludf.DUMMYFUNCTION("""COMPUTED_VALUE"""),"2024-05-010")</f>
        <v>2024-05-010</v>
      </c>
      <c r="K2945" s="164"/>
      <c r="L2945" s="164" t="str">
        <f ca="1">IFERROR(__xludf.DUMMYFUNCTION("""COMPUTED_VALUE"""),"DARPO E. SAMAR")</f>
        <v>DARPO E. SAMAR</v>
      </c>
      <c r="M2945" s="164" t="str">
        <f ca="1">IFERROR(__xludf.DUMMYFUNCTION("""COMPUTED_VALUE"""),"SERVICEABLE")</f>
        <v>SERVICEABLE</v>
      </c>
      <c r="N2945" s="164"/>
    </row>
    <row r="2946" spans="1:14" ht="13.2" hidden="1">
      <c r="A2946" s="164" t="str">
        <f ca="1">IFERROR(__xludf.DUMMYFUNCTION("""COMPUTED_VALUE"""),"REGION VIII")</f>
        <v>REGION VIII</v>
      </c>
      <c r="B2946" s="164" t="str">
        <f ca="1">IFERROR(__xludf.DUMMYFUNCTION("""COMPUTED_VALUE"""),"Northern Samar")</f>
        <v>Northern Samar</v>
      </c>
      <c r="C2946" s="164" t="str">
        <f ca="1">IFERROR(__xludf.DUMMYFUNCTION("""COMPUTED_VALUE"""),"REAL-TIME KINEMATIC – GEOMAX ZENITH60")</f>
        <v>REAL-TIME KINEMATIC – GEOMAX ZENITH60</v>
      </c>
      <c r="D2946" s="164" t="str">
        <f ca="1">IFERROR(__xludf.DUMMYFUNCTION("""COMPUTED_VALUE"""),"₱ 1,849,000.00")</f>
        <v>₱ 1,849,000.00</v>
      </c>
      <c r="E2946" s="164"/>
      <c r="F2946" s="164" t="str">
        <f ca="1">IFERROR(__xludf.DUMMYFUNCTION("""COMPUTED_VALUE"""),"2023-05-14-10201SP33-01")</f>
        <v>2023-05-14-10201SP33-01</v>
      </c>
      <c r="G2946" s="164"/>
      <c r="H2946" s="164" t="str">
        <f ca="1">IFERROR(__xludf.DUMMYFUNCTION("""COMPUTED_VALUE"""),"EUGENIA W. ALMASCO")</f>
        <v>EUGENIA W. ALMASCO</v>
      </c>
      <c r="I2946" s="164" t="str">
        <f ca="1">IFERROR(__xludf.DUMMYFUNCTION("""COMPUTED_VALUE"""),"CARPO-LTSP/PPMO")</f>
        <v>CARPO-LTSP/PPMO</v>
      </c>
      <c r="J2946" s="164" t="str">
        <f ca="1">IFERROR(__xludf.DUMMYFUNCTION("""COMPUTED_VALUE"""),"#######")</f>
        <v>#######</v>
      </c>
      <c r="K2946" s="164" t="str">
        <f ca="1">IFERROR(__xludf.DUMMYFUNCTION("""COMPUTED_VALUE"""),"JASTIN ROMERO
 LOLITO C. DAPULAG")</f>
        <v>JASTIN ROMERO
 LOLITO C. DAPULAG</v>
      </c>
      <c r="L2946" s="164" t="str">
        <f ca="1">IFERROR(__xludf.DUMMYFUNCTION("""COMPUTED_VALUE"""),"LTSP")</f>
        <v>LTSP</v>
      </c>
      <c r="M2946" s="164" t="str">
        <f ca="1">IFERROR(__xludf.DUMMYFUNCTION("""COMPUTED_VALUE"""),"SERVICEABLE")</f>
        <v>SERVICEABLE</v>
      </c>
      <c r="N2946" s="164"/>
    </row>
    <row r="2947" spans="1:14" ht="13.2" hidden="1">
      <c r="A2947" s="164" t="str">
        <f ca="1">IFERROR(__xludf.DUMMYFUNCTION("""COMPUTED_VALUE"""),"REGION VIII")</f>
        <v>REGION VIII</v>
      </c>
      <c r="B2947" s="164" t="str">
        <f ca="1">IFERROR(__xludf.DUMMYFUNCTION("""COMPUTED_VALUE"""),"Northern Samar")</f>
        <v>Northern Samar</v>
      </c>
      <c r="C2947" s="164" t="str">
        <f ca="1">IFERROR(__xludf.DUMMYFUNCTION("""COMPUTED_VALUE"""),"TOTAL STATION – GEOMAX TOTAL STATION ZOOM 50")</f>
        <v>TOTAL STATION – GEOMAX TOTAL STATION ZOOM 50</v>
      </c>
      <c r="D2947" s="164" t="str">
        <f ca="1">IFERROR(__xludf.DUMMYFUNCTION("""COMPUTED_VALUE"""),"₱ 648,000.00")</f>
        <v>₱ 648,000.00</v>
      </c>
      <c r="E2947" s="164"/>
      <c r="F2947" s="164" t="str">
        <f ca="1">IFERROR(__xludf.DUMMYFUNCTION("""COMPUTED_VALUE"""),"2023-05-14-1020SP33-01")</f>
        <v>2023-05-14-1020SP33-01</v>
      </c>
      <c r="G2947" s="164"/>
      <c r="H2947" s="164" t="str">
        <f ca="1">IFERROR(__xludf.DUMMYFUNCTION("""COMPUTED_VALUE"""),"EUGENIA W. ALMASCO")</f>
        <v>EUGENIA W. ALMASCO</v>
      </c>
      <c r="I2947" s="164" t="str">
        <f ca="1">IFERROR(__xludf.DUMMYFUNCTION("""COMPUTED_VALUE"""),"CARPO-LTSP/PPMO")</f>
        <v>CARPO-LTSP/PPMO</v>
      </c>
      <c r="J2947" s="164" t="str">
        <f ca="1">IFERROR(__xludf.DUMMYFUNCTION("""COMPUTED_VALUE"""),"#######")</f>
        <v>#######</v>
      </c>
      <c r="K2947" s="164" t="str">
        <f ca="1">IFERROR(__xludf.DUMMYFUNCTION("""COMPUTED_VALUE"""),"EUGENIA W. ALMASCO")</f>
        <v>EUGENIA W. ALMASCO</v>
      </c>
      <c r="L2947" s="164" t="str">
        <f ca="1">IFERROR(__xludf.DUMMYFUNCTION("""COMPUTED_VALUE"""),"LTSP")</f>
        <v>LTSP</v>
      </c>
      <c r="M2947" s="164" t="str">
        <f ca="1">IFERROR(__xludf.DUMMYFUNCTION("""COMPUTED_VALUE"""),"SERVICEABLE")</f>
        <v>SERVICEABLE</v>
      </c>
      <c r="N2947" s="164"/>
    </row>
    <row r="2948" spans="1:14" ht="13.2" hidden="1">
      <c r="A2948" s="164" t="str">
        <f ca="1">IFERROR(__xludf.DUMMYFUNCTION("""COMPUTED_VALUE"""),"REGION VIII")</f>
        <v>REGION VIII</v>
      </c>
      <c r="B2948" s="164" t="str">
        <f ca="1">IFERROR(__xludf.DUMMYFUNCTION("""COMPUTED_VALUE"""),"Northern Samar")</f>
        <v>Northern Samar</v>
      </c>
      <c r="C2948" s="164" t="str">
        <f ca="1">IFERROR(__xludf.DUMMYFUNCTION("""COMPUTED_VALUE"""),"Photocopier Machine – Kyocera")</f>
        <v>Photocopier Machine – Kyocera</v>
      </c>
      <c r="D2948" s="164" t="str">
        <f ca="1">IFERROR(__xludf.DUMMYFUNCTION("""COMPUTED_VALUE"""),"₱ 84,500.00")</f>
        <v>₱ 84,500.00</v>
      </c>
      <c r="E2948" s="164"/>
      <c r="F2948" s="164" t="str">
        <f ca="1">IFERROR(__xludf.DUMMYFUNCTION("""COMPUTED_VALUE"""),"2022-05-02-10202SP60-01")</f>
        <v>2022-05-02-10202SP60-01</v>
      </c>
      <c r="G2948" s="164"/>
      <c r="H2948" s="164" t="str">
        <f ca="1">IFERROR(__xludf.DUMMYFUNCTION("""COMPUTED_VALUE"""),"NEIL CONRAD M. LI")</f>
        <v>NEIL CONRAD M. LI</v>
      </c>
      <c r="I2948" s="164" t="str">
        <f ca="1">IFERROR(__xludf.DUMMYFUNCTION("""COMPUTED_VALUE"""),"CARPO-LTSP/PPMO")</f>
        <v>CARPO-LTSP/PPMO</v>
      </c>
      <c r="J2948" s="164" t="str">
        <f ca="1">IFERROR(__xludf.DUMMYFUNCTION("""COMPUTED_VALUE"""),"N/A")</f>
        <v>N/A</v>
      </c>
      <c r="K2948" s="164" t="str">
        <f ca="1">IFERROR(__xludf.DUMMYFUNCTION("""COMPUTED_VALUE"""),"NEIL CONRAD M. LI")</f>
        <v>NEIL CONRAD M. LI</v>
      </c>
      <c r="L2948" s="164" t="str">
        <f ca="1">IFERROR(__xludf.DUMMYFUNCTION("""COMPUTED_VALUE"""),"LTSP")</f>
        <v>LTSP</v>
      </c>
      <c r="M2948" s="164" t="str">
        <f ca="1">IFERROR(__xludf.DUMMYFUNCTION("""COMPUTED_VALUE"""),"SERVICEABLE")</f>
        <v>SERVICEABLE</v>
      </c>
      <c r="N2948" s="164"/>
    </row>
    <row r="2949" spans="1:14" ht="13.2" hidden="1">
      <c r="A2949" s="164" t="str">
        <f ca="1">IFERROR(__xludf.DUMMYFUNCTION("""COMPUTED_VALUE"""),"REGION VIII")</f>
        <v>REGION VIII</v>
      </c>
      <c r="B2949" s="164" t="str">
        <f ca="1">IFERROR(__xludf.DUMMYFUNCTION("""COMPUTED_VALUE"""),"Northern Samar")</f>
        <v>Northern Samar</v>
      </c>
      <c r="C2949" s="164" t="str">
        <f ca="1">IFERROR(__xludf.DUMMYFUNCTION("""COMPUTED_VALUE"""),"Laptop – (ACER EXTENSA EX215-55G i7)")</f>
        <v>Laptop – (ACER EXTENSA EX215-55G i7)</v>
      </c>
      <c r="D2949" s="164" t="str">
        <f ca="1">IFERROR(__xludf.DUMMYFUNCTION("""COMPUTED_VALUE"""),"₱ 59,500.00")</f>
        <v>₱ 59,500.00</v>
      </c>
      <c r="E2949" s="164"/>
      <c r="F2949" s="164" t="str">
        <f ca="1">IFERROR(__xludf.DUMMYFUNCTION("""COMPUTED_VALUE"""),"2023-05-03-1020SP-260-01")</f>
        <v>2023-05-03-1020SP-260-01</v>
      </c>
      <c r="G2949" s="164"/>
      <c r="H2949" s="164" t="str">
        <f ca="1">IFERROR(__xludf.DUMMYFUNCTION("""COMPUTED_VALUE"""),"MELANIE E. MANATAD")</f>
        <v>MELANIE E. MANATAD</v>
      </c>
      <c r="I2949" s="164" t="str">
        <f ca="1">IFERROR(__xludf.DUMMYFUNCTION("""COMPUTED_VALUE"""),"ACCOUNTANT II/PPMO")</f>
        <v>ACCOUNTANT II/PPMO</v>
      </c>
      <c r="J2949" s="164" t="str">
        <f ca="1">IFERROR(__xludf.DUMMYFUNCTION("""COMPUTED_VALUE"""),"2024-01-001-PAR-SPLIT")</f>
        <v>2024-01-001-PAR-SPLIT</v>
      </c>
      <c r="K2949" s="164" t="str">
        <f ca="1">IFERROR(__xludf.DUMMYFUNCTION("""COMPUTED_VALUE"""),"MELANIE E. MANATAD
 JOCELYN C. BALLICUD")</f>
        <v>MELANIE E. MANATAD
 JOCELYN C. BALLICUD</v>
      </c>
      <c r="L2949" s="164" t="str">
        <f ca="1">IFERROR(__xludf.DUMMYFUNCTION("""COMPUTED_VALUE"""),"STOD")</f>
        <v>STOD</v>
      </c>
      <c r="M2949" s="164" t="str">
        <f ca="1">IFERROR(__xludf.DUMMYFUNCTION("""COMPUTED_VALUE"""),"SERVICEABLE")</f>
        <v>SERVICEABLE</v>
      </c>
      <c r="N2949" s="164"/>
    </row>
    <row r="2950" spans="1:14" ht="13.2" hidden="1">
      <c r="A2950" s="164" t="str">
        <f ca="1">IFERROR(__xludf.DUMMYFUNCTION("""COMPUTED_VALUE"""),"REGION VIII")</f>
        <v>REGION VIII</v>
      </c>
      <c r="B2950" s="164" t="str">
        <f ca="1">IFERROR(__xludf.DUMMYFUNCTION("""COMPUTED_VALUE"""),"Northern Samar")</f>
        <v>Northern Samar</v>
      </c>
      <c r="C2950" s="164" t="str">
        <f ca="1">IFERROR(__xludf.DUMMYFUNCTION("""COMPUTED_VALUE"""),"Laptop – (ACER EXTENSA EX215-55G i7)")</f>
        <v>Laptop – (ACER EXTENSA EX215-55G i7)</v>
      </c>
      <c r="D2950" s="164" t="str">
        <f ca="1">IFERROR(__xludf.DUMMYFUNCTION("""COMPUTED_VALUE"""),"₱ 59,500.00")</f>
        <v>₱ 59,500.00</v>
      </c>
      <c r="E2950" s="164"/>
      <c r="F2950" s="164" t="str">
        <f ca="1">IFERROR(__xludf.DUMMYFUNCTION("""COMPUTED_VALUE"""),"2023-05-03-1020SP-261-01")</f>
        <v>2023-05-03-1020SP-261-01</v>
      </c>
      <c r="G2950" s="164"/>
      <c r="H2950" s="164" t="str">
        <f ca="1">IFERROR(__xludf.DUMMYFUNCTION("""COMPUTED_VALUE"""),"JOCELYN C. BALLICUD")</f>
        <v>JOCELYN C. BALLICUD</v>
      </c>
      <c r="I2950" s="164" t="str">
        <f ca="1">IFERROR(__xludf.DUMMYFUNCTION("""COMPUTED_VALUE"""),"MARPO")</f>
        <v>MARPO</v>
      </c>
      <c r="J2950" s="164" t="str">
        <f ca="1">IFERROR(__xludf.DUMMYFUNCTION("""COMPUTED_VALUE"""),"2024-01-002-PAR-SPLIT")</f>
        <v>2024-01-002-PAR-SPLIT</v>
      </c>
      <c r="K2950" s="164" t="str">
        <f ca="1">IFERROR(__xludf.DUMMYFUNCTION("""COMPUTED_VALUE"""),"JOCELYN C. BALLICUD
 MARIAN D. MARQUITA")</f>
        <v>JOCELYN C. BALLICUD
 MARIAN D. MARQUITA</v>
      </c>
      <c r="L2950" s="164" t="str">
        <f ca="1">IFERROR(__xludf.DUMMYFUNCTION("""COMPUTED_VALUE"""),"LTSP")</f>
        <v>LTSP</v>
      </c>
      <c r="M2950" s="164" t="str">
        <f ca="1">IFERROR(__xludf.DUMMYFUNCTION("""COMPUTED_VALUE"""),"SERVICEABLE")</f>
        <v>SERVICEABLE</v>
      </c>
      <c r="N2950" s="164"/>
    </row>
    <row r="2951" spans="1:14" ht="13.2" hidden="1">
      <c r="A2951" s="164" t="str">
        <f ca="1">IFERROR(__xludf.DUMMYFUNCTION("""COMPUTED_VALUE"""),"REGION VIII")</f>
        <v>REGION VIII</v>
      </c>
      <c r="B2951" s="164" t="str">
        <f ca="1">IFERROR(__xludf.DUMMYFUNCTION("""COMPUTED_VALUE"""),"Northern Samar")</f>
        <v>Northern Samar</v>
      </c>
      <c r="C2951" s="164" t="str">
        <f ca="1">IFERROR(__xludf.DUMMYFUNCTION("""COMPUTED_VALUE"""),"Laptop – (ACER EXTENSA EX215-55G i7)")</f>
        <v>Laptop – (ACER EXTENSA EX215-55G i7)</v>
      </c>
      <c r="D2951" s="164" t="str">
        <f ca="1">IFERROR(__xludf.DUMMYFUNCTION("""COMPUTED_VALUE"""),"₱ 59,500.00")</f>
        <v>₱ 59,500.00</v>
      </c>
      <c r="E2951" s="164"/>
      <c r="F2951" s="164" t="str">
        <f ca="1">IFERROR(__xludf.DUMMYFUNCTION("""COMPUTED_VALUE"""),"2023-05-03-1020SP-262-01")</f>
        <v>2023-05-03-1020SP-262-01</v>
      </c>
      <c r="G2951" s="164"/>
      <c r="H2951" s="164" t="str">
        <f ca="1">IFERROR(__xludf.DUMMYFUNCTION("""COMPUTED_VALUE"""),"ALEX G. MACEDA")</f>
        <v>ALEX G. MACEDA</v>
      </c>
      <c r="I2951" s="164" t="str">
        <f ca="1">IFERROR(__xludf.DUMMYFUNCTION("""COMPUTED_VALUE"""),"PLANNING OFFICER II/PPMO")</f>
        <v>PLANNING OFFICER II/PPMO</v>
      </c>
      <c r="J2951" s="164" t="str">
        <f ca="1">IFERROR(__xludf.DUMMYFUNCTION("""COMPUTED_VALUE"""),"2024-01-003-PAR-SPLIT")</f>
        <v>2024-01-003-PAR-SPLIT</v>
      </c>
      <c r="K2951" s="164" t="str">
        <f ca="1">IFERROR(__xludf.DUMMYFUNCTION("""COMPUTED_VALUE"""),"ALEX G. MACEDA
 MARIETA S. SOMORAY")</f>
        <v>ALEX G. MACEDA
 MARIETA S. SOMORAY</v>
      </c>
      <c r="L2951" s="164" t="str">
        <f ca="1">IFERROR(__xludf.DUMMYFUNCTION("""COMPUTED_VALUE"""),"STOD")</f>
        <v>STOD</v>
      </c>
      <c r="M2951" s="164" t="str">
        <f ca="1">IFERROR(__xludf.DUMMYFUNCTION("""COMPUTED_VALUE"""),"SERVICEABLE")</f>
        <v>SERVICEABLE</v>
      </c>
      <c r="N2951" s="164"/>
    </row>
    <row r="2952" spans="1:14" ht="13.2" hidden="1">
      <c r="A2952" s="164" t="str">
        <f ca="1">IFERROR(__xludf.DUMMYFUNCTION("""COMPUTED_VALUE"""),"REGION VIII")</f>
        <v>REGION VIII</v>
      </c>
      <c r="B2952" s="164" t="str">
        <f ca="1">IFERROR(__xludf.DUMMYFUNCTION("""COMPUTED_VALUE"""),"Northern Samar")</f>
        <v>Northern Samar</v>
      </c>
      <c r="C2952" s="164" t="str">
        <f ca="1">IFERROR(__xludf.DUMMYFUNCTION("""COMPUTED_VALUE"""),"Laptop – (ACER EXTENSA EX215-55G i7)")</f>
        <v>Laptop – (ACER EXTENSA EX215-55G i7)</v>
      </c>
      <c r="D2952" s="164" t="str">
        <f ca="1">IFERROR(__xludf.DUMMYFUNCTION("""COMPUTED_VALUE"""),"₱ 59,500.00")</f>
        <v>₱ 59,500.00</v>
      </c>
      <c r="E2952" s="164"/>
      <c r="F2952" s="164" t="str">
        <f ca="1">IFERROR(__xludf.DUMMYFUNCTION("""COMPUTED_VALUE"""),"2023-05-03-1020SP-263-01")</f>
        <v>2023-05-03-1020SP-263-01</v>
      </c>
      <c r="G2952" s="164"/>
      <c r="H2952" s="164" t="str">
        <f ca="1">IFERROR(__xludf.DUMMYFUNCTION("""COMPUTED_VALUE"""),"MARIETTA S. SOMORAY")</f>
        <v>MARIETTA S. SOMORAY</v>
      </c>
      <c r="I2952" s="164" t="str">
        <f ca="1">IFERROR(__xludf.DUMMYFUNCTION("""COMPUTED_VALUE"""),"SARPO/PPMO")</f>
        <v>SARPO/PPMO</v>
      </c>
      <c r="J2952" s="164" t="str">
        <f ca="1">IFERROR(__xludf.DUMMYFUNCTION("""COMPUTED_VALUE"""),"2024-01-004-PAR-SPLIT")</f>
        <v>2024-01-004-PAR-SPLIT</v>
      </c>
      <c r="K2952" s="164" t="str">
        <f ca="1">IFERROR(__xludf.DUMMYFUNCTION("""COMPUTED_VALUE"""),"MARIETTA S. SOMORAY
 ATTY. MA. LUCILLE G. DE GUIA")</f>
        <v>MARIETTA S. SOMORAY
 ATTY. MA. LUCILLE G. DE GUIA</v>
      </c>
      <c r="L2952" s="164" t="str">
        <f ca="1">IFERROR(__xludf.DUMMYFUNCTION("""COMPUTED_VALUE"""),"LTSP")</f>
        <v>LTSP</v>
      </c>
      <c r="M2952" s="164" t="str">
        <f ca="1">IFERROR(__xludf.DUMMYFUNCTION("""COMPUTED_VALUE"""),"SERVICEABLE")</f>
        <v>SERVICEABLE</v>
      </c>
      <c r="N2952" s="164"/>
    </row>
    <row r="2953" spans="1:14" ht="13.2" hidden="1">
      <c r="A2953" s="164" t="str">
        <f ca="1">IFERROR(__xludf.DUMMYFUNCTION("""COMPUTED_VALUE"""),"REGION VIII")</f>
        <v>REGION VIII</v>
      </c>
      <c r="B2953" s="164" t="str">
        <f ca="1">IFERROR(__xludf.DUMMYFUNCTION("""COMPUTED_VALUE"""),"Northern Samar")</f>
        <v>Northern Samar</v>
      </c>
      <c r="C2953" s="164" t="str">
        <f ca="1">IFERROR(__xludf.DUMMYFUNCTION("""COMPUTED_VALUE"""),"Desktop Computer – (HP Pro SFF 280G9)")</f>
        <v>Desktop Computer – (HP Pro SFF 280G9)</v>
      </c>
      <c r="D2953" s="164" t="str">
        <f ca="1">IFERROR(__xludf.DUMMYFUNCTION("""COMPUTED_VALUE"""),"₱ 78,898.00")</f>
        <v>₱ 78,898.00</v>
      </c>
      <c r="E2953" s="164"/>
      <c r="F2953" s="164" t="str">
        <f ca="1">IFERROR(__xludf.DUMMYFUNCTION("""COMPUTED_VALUE"""),"2023-06-03-10201SP-162-01")</f>
        <v>2023-06-03-10201SP-162-01</v>
      </c>
      <c r="G2953" s="164"/>
      <c r="H2953" s="164" t="str">
        <f ca="1">IFERROR(__xludf.DUMMYFUNCTION("""COMPUTED_VALUE"""),"MELANIE E. MANATAD")</f>
        <v>MELANIE E. MANATAD</v>
      </c>
      <c r="I2953" s="164" t="str">
        <f ca="1">IFERROR(__xludf.DUMMYFUNCTION("""COMPUTED_VALUE"""),"ACCOUNTANT II/PPMO")</f>
        <v>ACCOUNTANT II/PPMO</v>
      </c>
      <c r="J2953" s="164" t="str">
        <f ca="1">IFERROR(__xludf.DUMMYFUNCTION("""COMPUTED_VALUE"""),"2024-01-005-PAR-SPLIT")</f>
        <v>2024-01-005-PAR-SPLIT</v>
      </c>
      <c r="K2953" s="164" t="str">
        <f ca="1">IFERROR(__xludf.DUMMYFUNCTION("""COMPUTED_VALUE"""),"MELANIE E. MANATAD")</f>
        <v>MELANIE E. MANATAD</v>
      </c>
      <c r="L2953" s="164" t="str">
        <f ca="1">IFERROR(__xludf.DUMMYFUNCTION("""COMPUTED_VALUE"""),"STOD")</f>
        <v>STOD</v>
      </c>
      <c r="M2953" s="164" t="str">
        <f ca="1">IFERROR(__xludf.DUMMYFUNCTION("""COMPUTED_VALUE"""),"SERVICEABLE")</f>
        <v>SERVICEABLE</v>
      </c>
      <c r="N2953" s="164"/>
    </row>
    <row r="2954" spans="1:14" ht="13.2" hidden="1">
      <c r="A2954" s="164" t="str">
        <f ca="1">IFERROR(__xludf.DUMMYFUNCTION("""COMPUTED_VALUE"""),"REGION VIII")</f>
        <v>REGION VIII</v>
      </c>
      <c r="B2954" s="164" t="str">
        <f ca="1">IFERROR(__xludf.DUMMYFUNCTION("""COMPUTED_VALUE"""),"Northern Samar")</f>
        <v>Northern Samar</v>
      </c>
      <c r="C2954" s="164" t="str">
        <f ca="1">IFERROR(__xludf.DUMMYFUNCTION("""COMPUTED_VALUE"""),"Desktop Computer – (HP Pro SFF 280G9)")</f>
        <v>Desktop Computer – (HP Pro SFF 280G9)</v>
      </c>
      <c r="D2954" s="164" t="str">
        <f ca="1">IFERROR(__xludf.DUMMYFUNCTION("""COMPUTED_VALUE"""),"₱ 78,898.00")</f>
        <v>₱ 78,898.00</v>
      </c>
      <c r="E2954" s="164"/>
      <c r="F2954" s="164" t="str">
        <f ca="1">IFERROR(__xludf.DUMMYFUNCTION("""COMPUTED_VALUE"""),"2023-06-03-10201SP-163-01")</f>
        <v>2023-06-03-10201SP-163-01</v>
      </c>
      <c r="G2954" s="164"/>
      <c r="H2954" s="164" t="str">
        <f ca="1">IFERROR(__xludf.DUMMYFUNCTION("""COMPUTED_VALUE"""),"NEIL CONRAD M. LI")</f>
        <v>NEIL CONRAD M. LI</v>
      </c>
      <c r="I2954" s="164" t="str">
        <f ca="1">IFERROR(__xludf.DUMMYFUNCTION("""COMPUTED_VALUE"""),"SUPPLY OFFICER/ARPT")</f>
        <v>SUPPLY OFFICER/ARPT</v>
      </c>
      <c r="J2954" s="164" t="str">
        <f ca="1">IFERROR(__xludf.DUMMYFUNCTION("""COMPUTED_VALUE"""),"2024-01-006-PAR-SPLIT")</f>
        <v>2024-01-006-PAR-SPLIT</v>
      </c>
      <c r="K2954" s="164" t="str">
        <f ca="1">IFERROR(__xludf.DUMMYFUNCTION("""COMPUTED_VALUE"""),"NEIL CONRAD M. LI")</f>
        <v>NEIL CONRAD M. LI</v>
      </c>
      <c r="L2954" s="164" t="str">
        <f ca="1">IFERROR(__xludf.DUMMYFUNCTION("""COMPUTED_VALUE"""),"LTSP")</f>
        <v>LTSP</v>
      </c>
      <c r="M2954" s="164" t="str">
        <f ca="1">IFERROR(__xludf.DUMMYFUNCTION("""COMPUTED_VALUE"""),"SERVICEABLE")</f>
        <v>SERVICEABLE</v>
      </c>
      <c r="N2954" s="164"/>
    </row>
    <row r="2955" spans="1:14" ht="13.2" hidden="1">
      <c r="A2955" s="164" t="str">
        <f ca="1">IFERROR(__xludf.DUMMYFUNCTION("""COMPUTED_VALUE"""),"REGION VIII")</f>
        <v>REGION VIII</v>
      </c>
      <c r="B2955" s="164" t="str">
        <f ca="1">IFERROR(__xludf.DUMMYFUNCTION("""COMPUTED_VALUE"""),"Northern Samar")</f>
        <v>Northern Samar</v>
      </c>
      <c r="C2955" s="164" t="str">
        <f ca="1">IFERROR(__xludf.DUMMYFUNCTION("""COMPUTED_VALUE"""),"Desktop Computer – (HP Pro SFF 280G9)")</f>
        <v>Desktop Computer – (HP Pro SFF 280G9)</v>
      </c>
      <c r="D2955" s="164" t="str">
        <f ca="1">IFERROR(__xludf.DUMMYFUNCTION("""COMPUTED_VALUE"""),"₱ 78,898.00")</f>
        <v>₱ 78,898.00</v>
      </c>
      <c r="E2955" s="164"/>
      <c r="F2955" s="164" t="str">
        <f ca="1">IFERROR(__xludf.DUMMYFUNCTION("""COMPUTED_VALUE"""),"2023-06-03-10201SP-164-01")</f>
        <v>2023-06-03-10201SP-164-01</v>
      </c>
      <c r="G2955" s="164"/>
      <c r="H2955" s="164" t="str">
        <f ca="1">IFERROR(__xludf.DUMMYFUNCTION("""COMPUTED_VALUE"""),"NEIL CONRAD M. LI")</f>
        <v>NEIL CONRAD M. LI</v>
      </c>
      <c r="I2955" s="164" t="str">
        <f ca="1">IFERROR(__xludf.DUMMYFUNCTION("""COMPUTED_VALUE"""),"SUPPLY OFFICER/ARPT")</f>
        <v>SUPPLY OFFICER/ARPT</v>
      </c>
      <c r="J2955" s="164" t="str">
        <f ca="1">IFERROR(__xludf.DUMMYFUNCTION("""COMPUTED_VALUE"""),"2024-01-007-PAR-SPLIT")</f>
        <v>2024-01-007-PAR-SPLIT</v>
      </c>
      <c r="K2955" s="164" t="str">
        <f ca="1">IFERROR(__xludf.DUMMYFUNCTION("""COMPUTED_VALUE"""),"NEIL CONRAD M. LI")</f>
        <v>NEIL CONRAD M. LI</v>
      </c>
      <c r="L2955" s="164" t="str">
        <f ca="1">IFERROR(__xludf.DUMMYFUNCTION("""COMPUTED_VALUE"""),"LTSP")</f>
        <v>LTSP</v>
      </c>
      <c r="M2955" s="164" t="str">
        <f ca="1">IFERROR(__xludf.DUMMYFUNCTION("""COMPUTED_VALUE"""),"SERVICEABLE")</f>
        <v>SERVICEABLE</v>
      </c>
      <c r="N2955" s="164"/>
    </row>
    <row r="2956" spans="1:14" ht="13.2" hidden="1">
      <c r="A2956" s="164" t="str">
        <f ca="1">IFERROR(__xludf.DUMMYFUNCTION("""COMPUTED_VALUE"""),"REGION VIII")</f>
        <v>REGION VIII</v>
      </c>
      <c r="B2956" s="164" t="str">
        <f ca="1">IFERROR(__xludf.DUMMYFUNCTION("""COMPUTED_VALUE"""),"Northern Samar")</f>
        <v>Northern Samar</v>
      </c>
      <c r="C2956" s="164" t="str">
        <f ca="1">IFERROR(__xludf.DUMMYFUNCTION("""COMPUTED_VALUE"""),"Desktop Computer – (HP Pro SFF 280G9)")</f>
        <v>Desktop Computer – (HP Pro SFF 280G9)</v>
      </c>
      <c r="D2956" s="164" t="str">
        <f ca="1">IFERROR(__xludf.DUMMYFUNCTION("""COMPUTED_VALUE"""),"₱ 78,898.00")</f>
        <v>₱ 78,898.00</v>
      </c>
      <c r="E2956" s="164"/>
      <c r="F2956" s="164" t="str">
        <f ca="1">IFERROR(__xludf.DUMMYFUNCTION("""COMPUTED_VALUE"""),"2023-06-03-10201SP-165-01")</f>
        <v>2023-06-03-10201SP-165-01</v>
      </c>
      <c r="G2956" s="164"/>
      <c r="H2956" s="164" t="str">
        <f ca="1">IFERROR(__xludf.DUMMYFUNCTION("""COMPUTED_VALUE"""),"MARIETTA S. SOMORAY")</f>
        <v>MARIETTA S. SOMORAY</v>
      </c>
      <c r="I2956" s="164" t="str">
        <f ca="1">IFERROR(__xludf.DUMMYFUNCTION("""COMPUTED_VALUE"""),"SARPO/PPMO")</f>
        <v>SARPO/PPMO</v>
      </c>
      <c r="J2956" s="164" t="str">
        <f ca="1">IFERROR(__xludf.DUMMYFUNCTION("""COMPUTED_VALUE"""),"2024-01-008-PAR-SPLIT")</f>
        <v>2024-01-008-PAR-SPLIT</v>
      </c>
      <c r="K2956" s="164" t="str">
        <f ca="1">IFERROR(__xludf.DUMMYFUNCTION("""COMPUTED_VALUE"""),"MARIETTA S. SOMORAY")</f>
        <v>MARIETTA S. SOMORAY</v>
      </c>
      <c r="L2956" s="164" t="str">
        <f ca="1">IFERROR(__xludf.DUMMYFUNCTION("""COMPUTED_VALUE"""),"LTSP")</f>
        <v>LTSP</v>
      </c>
      <c r="M2956" s="164" t="str">
        <f ca="1">IFERROR(__xludf.DUMMYFUNCTION("""COMPUTED_VALUE"""),"SERVICEABLE")</f>
        <v>SERVICEABLE</v>
      </c>
      <c r="N2956" s="164"/>
    </row>
    <row r="2957" spans="1:14" ht="13.2" hidden="1">
      <c r="A2957" s="164" t="str">
        <f ca="1">IFERROR(__xludf.DUMMYFUNCTION("""COMPUTED_VALUE"""),"REGION VIII")</f>
        <v>REGION VIII</v>
      </c>
      <c r="B2957" s="164" t="str">
        <f ca="1">IFERROR(__xludf.DUMMYFUNCTION("""COMPUTED_VALUE"""),"Northern Samar")</f>
        <v>Northern Samar</v>
      </c>
      <c r="C2957" s="164" t="str">
        <f ca="1">IFERROR(__xludf.DUMMYFUNCTION("""COMPUTED_VALUE"""),"Desktop Computer – (Lenovo M70T)")</f>
        <v>Desktop Computer – (Lenovo M70T)</v>
      </c>
      <c r="D2957" s="164" t="str">
        <f ca="1">IFERROR(__xludf.DUMMYFUNCTION("""COMPUTED_VALUE"""),"₱ 75,468.00")</f>
        <v>₱ 75,468.00</v>
      </c>
      <c r="E2957" s="164"/>
      <c r="F2957" s="164" t="str">
        <f ca="1">IFERROR(__xludf.DUMMYFUNCTION("""COMPUTED_VALUE"""),"2023-05-03-1120ASP1368-01")</f>
        <v>2023-05-03-1120ASP1368-01</v>
      </c>
      <c r="G2957" s="164"/>
      <c r="H2957" s="164" t="str">
        <f ca="1">IFERROR(__xludf.DUMMYFUNCTION("""COMPUTED_VALUE"""),"MELANIE E. MANATAD")</f>
        <v>MELANIE E. MANATAD</v>
      </c>
      <c r="I2957" s="164" t="str">
        <f ca="1">IFERROR(__xludf.DUMMYFUNCTION("""COMPUTED_VALUE"""),"ACCOUNTANT II/PPMO")</f>
        <v>ACCOUNTANT II/PPMO</v>
      </c>
      <c r="J2957" s="164" t="str">
        <f ca="1">IFERROR(__xludf.DUMMYFUNCTION("""COMPUTED_VALUE"""),"2023-06-02")</f>
        <v>2023-06-02</v>
      </c>
      <c r="K2957" s="164" t="str">
        <f ca="1">IFERROR(__xludf.DUMMYFUNCTION("""COMPUTED_VALUE"""),"MELANIE E MANATAD")</f>
        <v>MELANIE E MANATAD</v>
      </c>
      <c r="L2957" s="164" t="str">
        <f ca="1">IFERROR(__xludf.DUMMYFUNCTION("""COMPUTED_VALUE"""),"STOD")</f>
        <v>STOD</v>
      </c>
      <c r="M2957" s="164" t="str">
        <f ca="1">IFERROR(__xludf.DUMMYFUNCTION("""COMPUTED_VALUE"""),"SERVICEABLE")</f>
        <v>SERVICEABLE</v>
      </c>
      <c r="N2957" s="164"/>
    </row>
    <row r="2958" spans="1:14" ht="13.2" hidden="1">
      <c r="A2958" s="164" t="str">
        <f ca="1">IFERROR(__xludf.DUMMYFUNCTION("""COMPUTED_VALUE"""),"REGION VIII")</f>
        <v>REGION VIII</v>
      </c>
      <c r="B2958" s="164" t="str">
        <f ca="1">IFERROR(__xludf.DUMMYFUNCTION("""COMPUTED_VALUE"""),"Northern Samar")</f>
        <v>Northern Samar</v>
      </c>
      <c r="C2958" s="164" t="str">
        <f ca="1">IFERROR(__xludf.DUMMYFUNCTION("""COMPUTED_VALUE"""),"Desktop Computer – (Lenovo M70T)")</f>
        <v>Desktop Computer – (Lenovo M70T)</v>
      </c>
      <c r="D2958" s="164" t="str">
        <f ca="1">IFERROR(__xludf.DUMMYFUNCTION("""COMPUTED_VALUE"""),"₱ 75,468.00")</f>
        <v>₱ 75,468.00</v>
      </c>
      <c r="E2958" s="164"/>
      <c r="F2958" s="164" t="str">
        <f ca="1">IFERROR(__xludf.DUMMYFUNCTION("""COMPUTED_VALUE"""),"2023-05-03-10201SP1369-01")</f>
        <v>2023-05-03-10201SP1369-01</v>
      </c>
      <c r="G2958" s="164"/>
      <c r="H2958" s="164" t="str">
        <f ca="1">IFERROR(__xludf.DUMMYFUNCTION("""COMPUTED_VALUE"""),"MARILOU T. ORSUA")</f>
        <v>MARILOU T. ORSUA</v>
      </c>
      <c r="I2958" s="164" t="str">
        <f ca="1">IFERROR(__xludf.DUMMYFUNCTION("""COMPUTED_VALUE"""),"N/A")</f>
        <v>N/A</v>
      </c>
      <c r="J2958" s="164" t="str">
        <f ca="1">IFERROR(__xludf.DUMMYFUNCTION("""COMPUTED_VALUE"""),"2023-06-02")</f>
        <v>2023-06-02</v>
      </c>
      <c r="K2958" s="164" t="str">
        <f ca="1">IFERROR(__xludf.DUMMYFUNCTION("""COMPUTED_VALUE"""),"MARILOU T. ORSUA")</f>
        <v>MARILOU T. ORSUA</v>
      </c>
      <c r="L2958" s="164" t="str">
        <f ca="1">IFERROR(__xludf.DUMMYFUNCTION("""COMPUTED_VALUE"""),"STOD")</f>
        <v>STOD</v>
      </c>
      <c r="M2958" s="164" t="str">
        <f ca="1">IFERROR(__xludf.DUMMYFUNCTION("""COMPUTED_VALUE"""),"SERVICEABLE")</f>
        <v>SERVICEABLE</v>
      </c>
      <c r="N2958" s="164"/>
    </row>
    <row r="2959" spans="1:14" ht="13.2" hidden="1">
      <c r="A2959" s="164" t="str">
        <f ca="1">IFERROR(__xludf.DUMMYFUNCTION("""COMPUTED_VALUE"""),"REGION VIII")</f>
        <v>REGION VIII</v>
      </c>
      <c r="B2959" s="164" t="str">
        <f ca="1">IFERROR(__xludf.DUMMYFUNCTION("""COMPUTED_VALUE"""),"Northern Samar")</f>
        <v>Northern Samar</v>
      </c>
      <c r="C2959" s="164" t="str">
        <f ca="1">IFERROR(__xludf.DUMMYFUNCTION("""COMPUTED_VALUE"""),"Desktop Computer – (Lenovo M70T)")</f>
        <v>Desktop Computer – (Lenovo M70T)</v>
      </c>
      <c r="D2959" s="164" t="str">
        <f ca="1">IFERROR(__xludf.DUMMYFUNCTION("""COMPUTED_VALUE"""),"₱ 75,468.00")</f>
        <v>₱ 75,468.00</v>
      </c>
      <c r="E2959" s="164"/>
      <c r="F2959" s="164" t="str">
        <f ca="1">IFERROR(__xludf.DUMMYFUNCTION("""COMPUTED_VALUE"""),"2023-05-03-10201SP1370-01")</f>
        <v>2023-05-03-10201SP1370-01</v>
      </c>
      <c r="G2959" s="164"/>
      <c r="H2959" s="164" t="str">
        <f ca="1">IFERROR(__xludf.DUMMYFUNCTION("""COMPUTED_VALUE"""),"ANN LIZA T. IRINCO")</f>
        <v>ANN LIZA T. IRINCO</v>
      </c>
      <c r="I2959" s="164" t="str">
        <f ca="1">IFERROR(__xludf.DUMMYFUNCTION("""COMPUTED_VALUE"""),"ARPT/PPMO")</f>
        <v>ARPT/PPMO</v>
      </c>
      <c r="J2959" s="164" t="str">
        <f ca="1">IFERROR(__xludf.DUMMYFUNCTION("""COMPUTED_VALUE"""),"2023-06-11")</f>
        <v>2023-06-11</v>
      </c>
      <c r="K2959" s="164" t="str">
        <f ca="1">IFERROR(__xludf.DUMMYFUNCTION("""COMPUTED_VALUE"""),"ANN LIZA T. IRINCO")</f>
        <v>ANN LIZA T. IRINCO</v>
      </c>
      <c r="L2959" s="164" t="str">
        <f ca="1">IFERROR(__xludf.DUMMYFUNCTION("""COMPUTED_VALUE"""),"LTSP")</f>
        <v>LTSP</v>
      </c>
      <c r="M2959" s="164" t="str">
        <f ca="1">IFERROR(__xludf.DUMMYFUNCTION("""COMPUTED_VALUE"""),"SERVICEABLE")</f>
        <v>SERVICEABLE</v>
      </c>
      <c r="N2959" s="164" t="str">
        <f ca="1">IFERROR(__xludf.DUMMYFUNCTION("""COMPUTED_VALUE"""),"CPU for repair")</f>
        <v>CPU for repair</v>
      </c>
    </row>
    <row r="2960" spans="1:14" ht="13.2" hidden="1">
      <c r="A2960" s="164" t="str">
        <f ca="1">IFERROR(__xludf.DUMMYFUNCTION("""COMPUTED_VALUE"""),"REGION VIII")</f>
        <v>REGION VIII</v>
      </c>
      <c r="B2960" s="164" t="str">
        <f ca="1">IFERROR(__xludf.DUMMYFUNCTION("""COMPUTED_VALUE"""),"Northern Samar")</f>
        <v>Northern Samar</v>
      </c>
      <c r="C2960" s="164" t="str">
        <f ca="1">IFERROR(__xludf.DUMMYFUNCTION("""COMPUTED_VALUE"""),"Desktop Computer – (Lenovo M70T)")</f>
        <v>Desktop Computer – (Lenovo M70T)</v>
      </c>
      <c r="D2960" s="164" t="str">
        <f ca="1">IFERROR(__xludf.DUMMYFUNCTION("""COMPUTED_VALUE"""),"₱ 75,468.00")</f>
        <v>₱ 75,468.00</v>
      </c>
      <c r="E2960" s="164"/>
      <c r="F2960" s="164" t="str">
        <f ca="1">IFERROR(__xludf.DUMMYFUNCTION("""COMPUTED_VALUE"""),"2023-05-03-10201SP1371-01")</f>
        <v>2023-05-03-10201SP1371-01</v>
      </c>
      <c r="G2960" s="164"/>
      <c r="H2960" s="164" t="str">
        <f ca="1">IFERROR(__xludf.DUMMYFUNCTION("""COMPUTED_VALUE"""),"JESSA MAE MOSCARE")</f>
        <v>JESSA MAE MOSCARE</v>
      </c>
      <c r="I2960" s="164"/>
      <c r="J2960" s="164" t="str">
        <f ca="1">IFERROR(__xludf.DUMMYFUNCTION("""COMPUTED_VALUE"""),"2023-06-15")</f>
        <v>2023-06-15</v>
      </c>
      <c r="K2960" s="164" t="str">
        <f ca="1">IFERROR(__xludf.DUMMYFUNCTION("""COMPUTED_VALUE"""),"JESSA MAE MOSCARE")</f>
        <v>JESSA MAE MOSCARE</v>
      </c>
      <c r="L2960" s="164" t="str">
        <f ca="1">IFERROR(__xludf.DUMMYFUNCTION("""COMPUTED_VALUE"""),"PARPO II")</f>
        <v>PARPO II</v>
      </c>
      <c r="M2960" s="164" t="str">
        <f ca="1">IFERROR(__xludf.DUMMYFUNCTION("""COMPUTED_VALUE"""),"SERVICEABLE")</f>
        <v>SERVICEABLE</v>
      </c>
      <c r="N2960" s="164" t="str">
        <f ca="1">IFERROR(__xludf.DUMMYFUNCTION("""COMPUTED_VALUE"""),"CPU for repair")</f>
        <v>CPU for repair</v>
      </c>
    </row>
    <row r="2961" spans="1:14" ht="13.2" hidden="1">
      <c r="A2961" s="164" t="str">
        <f ca="1">IFERROR(__xludf.DUMMYFUNCTION("""COMPUTED_VALUE"""),"REGION VIII")</f>
        <v>REGION VIII</v>
      </c>
      <c r="B2961" s="164" t="str">
        <f ca="1">IFERROR(__xludf.DUMMYFUNCTION("""COMPUTED_VALUE"""),"Northern Samar")</f>
        <v>Northern Samar</v>
      </c>
      <c r="C2961" s="164" t="str">
        <f ca="1">IFERROR(__xludf.DUMMYFUNCTION("""COMPUTED_VALUE"""),"Desktop Computer – (Lenovo M70T)")</f>
        <v>Desktop Computer – (Lenovo M70T)</v>
      </c>
      <c r="D2961" s="164" t="str">
        <f ca="1">IFERROR(__xludf.DUMMYFUNCTION("""COMPUTED_VALUE"""),"₱ 75,468.00")</f>
        <v>₱ 75,468.00</v>
      </c>
      <c r="E2961" s="164"/>
      <c r="F2961" s="164" t="str">
        <f ca="1">IFERROR(__xludf.DUMMYFUNCTION("""COMPUTED_VALUE"""),"2023-05-03-10201SP1372-01")</f>
        <v>2023-05-03-10201SP1372-01</v>
      </c>
      <c r="G2961" s="164"/>
      <c r="H2961" s="164" t="str">
        <f ca="1">IFERROR(__xludf.DUMMYFUNCTION("""COMPUTED_VALUE"""),"NIKKA LORENA P. ALERIA")</f>
        <v>NIKKA LORENA P. ALERIA</v>
      </c>
      <c r="I2961" s="164" t="str">
        <f ca="1">IFERROR(__xludf.DUMMYFUNCTION("""COMPUTED_VALUE"""),"ARPT")</f>
        <v>ARPT</v>
      </c>
      <c r="J2961" s="164" t="str">
        <f ca="1">IFERROR(__xludf.DUMMYFUNCTION("""COMPUTED_VALUE"""),"2023-06-08")</f>
        <v>2023-06-08</v>
      </c>
      <c r="K2961" s="164" t="str">
        <f ca="1">IFERROR(__xludf.DUMMYFUNCTION("""COMPUTED_VALUE"""),"NIKKA LORENA P. ALERIA")</f>
        <v>NIKKA LORENA P. ALERIA</v>
      </c>
      <c r="L2961" s="164" t="str">
        <f ca="1">IFERROR(__xludf.DUMMYFUNCTION("""COMPUTED_VALUE"""),"LTSP")</f>
        <v>LTSP</v>
      </c>
      <c r="M2961" s="164" t="str">
        <f ca="1">IFERROR(__xludf.DUMMYFUNCTION("""COMPUTED_VALUE"""),"SERVICEABLE")</f>
        <v>SERVICEABLE</v>
      </c>
      <c r="N2961" s="164"/>
    </row>
    <row r="2962" spans="1:14" ht="13.2" hidden="1">
      <c r="A2962" s="164" t="str">
        <f ca="1">IFERROR(__xludf.DUMMYFUNCTION("""COMPUTED_VALUE"""),"REGION VIII")</f>
        <v>REGION VIII</v>
      </c>
      <c r="B2962" s="164" t="str">
        <f ca="1">IFERROR(__xludf.DUMMYFUNCTION("""COMPUTED_VALUE"""),"Northern Samar")</f>
        <v>Northern Samar</v>
      </c>
      <c r="C2962" s="164" t="str">
        <f ca="1">IFERROR(__xludf.DUMMYFUNCTION("""COMPUTED_VALUE"""),"Desktop Computer – (Lenovo M70T)")</f>
        <v>Desktop Computer – (Lenovo M70T)</v>
      </c>
      <c r="D2962" s="164" t="str">
        <f ca="1">IFERROR(__xludf.DUMMYFUNCTION("""COMPUTED_VALUE"""),"₱ 75,468.00")</f>
        <v>₱ 75,468.00</v>
      </c>
      <c r="E2962" s="164"/>
      <c r="F2962" s="164" t="str">
        <f ca="1">IFERROR(__xludf.DUMMYFUNCTION("""COMPUTED_VALUE"""),"2023-05-03-10201SP1373-01")</f>
        <v>2023-05-03-10201SP1373-01</v>
      </c>
      <c r="G2962" s="164"/>
      <c r="H2962" s="164" t="str">
        <f ca="1">IFERROR(__xludf.DUMMYFUNCTION("""COMPUTED_VALUE"""),"PHOEBE CATHY M. ADVINCULA")</f>
        <v>PHOEBE CATHY M. ADVINCULA</v>
      </c>
      <c r="I2962" s="164"/>
      <c r="J2962" s="164" t="str">
        <f ca="1">IFERROR(__xludf.DUMMYFUNCTION("""COMPUTED_VALUE"""),"2023-06-25")</f>
        <v>2023-06-25</v>
      </c>
      <c r="K2962" s="164" t="str">
        <f ca="1">IFERROR(__xludf.DUMMYFUNCTION("""COMPUTED_VALUE"""),"PHOEBE CATHY M. ADVINCULA")</f>
        <v>PHOEBE CATHY M. ADVINCULA</v>
      </c>
      <c r="L2962" s="164" t="str">
        <f ca="1">IFERROR(__xludf.DUMMYFUNCTION("""COMPUTED_VALUE"""),"LTSP")</f>
        <v>LTSP</v>
      </c>
      <c r="M2962" s="164" t="str">
        <f ca="1">IFERROR(__xludf.DUMMYFUNCTION("""COMPUTED_VALUE"""),"SERVICEABLE")</f>
        <v>SERVICEABLE</v>
      </c>
      <c r="N2962" s="164"/>
    </row>
    <row r="2963" spans="1:14" ht="13.2" hidden="1">
      <c r="A2963" s="164" t="str">
        <f ca="1">IFERROR(__xludf.DUMMYFUNCTION("""COMPUTED_VALUE"""),"REGION VIII")</f>
        <v>REGION VIII</v>
      </c>
      <c r="B2963" s="164" t="str">
        <f ca="1">IFERROR(__xludf.DUMMYFUNCTION("""COMPUTED_VALUE"""),"Northern Samar")</f>
        <v>Northern Samar</v>
      </c>
      <c r="C2963" s="164" t="str">
        <f ca="1">IFERROR(__xludf.DUMMYFUNCTION("""COMPUTED_VALUE"""),"Desktop Computer – (Lenovo M70T)")</f>
        <v>Desktop Computer – (Lenovo M70T)</v>
      </c>
      <c r="D2963" s="164" t="str">
        <f ca="1">IFERROR(__xludf.DUMMYFUNCTION("""COMPUTED_VALUE"""),"₱ 75,468.00")</f>
        <v>₱ 75,468.00</v>
      </c>
      <c r="E2963" s="164"/>
      <c r="F2963" s="164" t="str">
        <f ca="1">IFERROR(__xludf.DUMMYFUNCTION("""COMPUTED_VALUE"""),"2023-05-03-10201SP1374-01")</f>
        <v>2023-05-03-10201SP1374-01</v>
      </c>
      <c r="G2963" s="164"/>
      <c r="H2963" s="164" t="str">
        <f ca="1">IFERROR(__xludf.DUMMYFUNCTION("""COMPUTED_VALUE"""),"MARGUERITE JOYCE C. DE ASIS")</f>
        <v>MARGUERITE JOYCE C. DE ASIS</v>
      </c>
      <c r="I2963" s="164"/>
      <c r="J2963" s="164" t="str">
        <f ca="1">IFERROR(__xludf.DUMMYFUNCTION("""COMPUTED_VALUE"""),"2023-06-01")</f>
        <v>2023-06-01</v>
      </c>
      <c r="K2963" s="164" t="str">
        <f ca="1">IFERROR(__xludf.DUMMYFUNCTION("""COMPUTED_VALUE"""),"MARGUERITE JOYCE C. DE ASIS")</f>
        <v>MARGUERITE JOYCE C. DE ASIS</v>
      </c>
      <c r="L2963" s="164" t="str">
        <f ca="1">IFERROR(__xludf.DUMMYFUNCTION("""COMPUTED_VALUE"""),"STOD")</f>
        <v>STOD</v>
      </c>
      <c r="M2963" s="164" t="str">
        <f ca="1">IFERROR(__xludf.DUMMYFUNCTION("""COMPUTED_VALUE"""),"SERVICEABLE")</f>
        <v>SERVICEABLE</v>
      </c>
      <c r="N2963" s="164"/>
    </row>
    <row r="2964" spans="1:14" ht="13.2" hidden="1">
      <c r="A2964" s="164" t="str">
        <f ca="1">IFERROR(__xludf.DUMMYFUNCTION("""COMPUTED_VALUE"""),"REGION VIII")</f>
        <v>REGION VIII</v>
      </c>
      <c r="B2964" s="164" t="str">
        <f ca="1">IFERROR(__xludf.DUMMYFUNCTION("""COMPUTED_VALUE"""),"Northern Samar")</f>
        <v>Northern Samar</v>
      </c>
      <c r="C2964" s="164" t="str">
        <f ca="1">IFERROR(__xludf.DUMMYFUNCTION("""COMPUTED_VALUE"""),"Desktop Computer – (Lenovo M70T)")</f>
        <v>Desktop Computer – (Lenovo M70T)</v>
      </c>
      <c r="D2964" s="164" t="str">
        <f ca="1">IFERROR(__xludf.DUMMYFUNCTION("""COMPUTED_VALUE"""),"₱ 75,468.00")</f>
        <v>₱ 75,468.00</v>
      </c>
      <c r="E2964" s="164"/>
      <c r="F2964" s="164" t="str">
        <f ca="1">IFERROR(__xludf.DUMMYFUNCTION("""COMPUTED_VALUE"""),"2023-05-03-1020ASP1375-01")</f>
        <v>2023-05-03-1020ASP1375-01</v>
      </c>
      <c r="G2964" s="164"/>
      <c r="H2964" s="164" t="str">
        <f ca="1">IFERROR(__xludf.DUMMYFUNCTION("""COMPUTED_VALUE"""),"KELVIN R. ARTECHE")</f>
        <v>KELVIN R. ARTECHE</v>
      </c>
      <c r="I2964" s="164"/>
      <c r="J2964" s="164" t="str">
        <f ca="1">IFERROR(__xludf.DUMMYFUNCTION("""COMPUTED_VALUE"""),"2023-06-13")</f>
        <v>2023-06-13</v>
      </c>
      <c r="K2964" s="164" t="str">
        <f ca="1">IFERROR(__xludf.DUMMYFUNCTION("""COMPUTED_VALUE"""),"KELVIN R. ARTECHE")</f>
        <v>KELVIN R. ARTECHE</v>
      </c>
      <c r="L2964" s="164" t="str">
        <f ca="1">IFERROR(__xludf.DUMMYFUNCTION("""COMPUTED_VALUE"""),"LTSP")</f>
        <v>LTSP</v>
      </c>
      <c r="M2964" s="164" t="str">
        <f ca="1">IFERROR(__xludf.DUMMYFUNCTION("""COMPUTED_VALUE"""),"SERVICEABLE")</f>
        <v>SERVICEABLE</v>
      </c>
      <c r="N2964" s="164"/>
    </row>
    <row r="2965" spans="1:14" ht="13.2" hidden="1">
      <c r="A2965" s="164" t="str">
        <f ca="1">IFERROR(__xludf.DUMMYFUNCTION("""COMPUTED_VALUE"""),"REGION VIII")</f>
        <v>REGION VIII</v>
      </c>
      <c r="B2965" s="164" t="str">
        <f ca="1">IFERROR(__xludf.DUMMYFUNCTION("""COMPUTED_VALUE"""),"Northern Samar")</f>
        <v>Northern Samar</v>
      </c>
      <c r="C2965" s="164" t="str">
        <f ca="1">IFERROR(__xludf.DUMMYFUNCTION("""COMPUTED_VALUE"""),"Desktop Computer – (Lenovo M70T)")</f>
        <v>Desktop Computer – (Lenovo M70T)</v>
      </c>
      <c r="D2965" s="164" t="str">
        <f ca="1">IFERROR(__xludf.DUMMYFUNCTION("""COMPUTED_VALUE"""),"₱ 75,468.00")</f>
        <v>₱ 75,468.00</v>
      </c>
      <c r="E2965" s="164"/>
      <c r="F2965" s="164" t="str">
        <f ca="1">IFERROR(__xludf.DUMMYFUNCTION("""COMPUTED_VALUE"""),"2023-05-03-10201SP1376-01")</f>
        <v>2023-05-03-10201SP1376-01</v>
      </c>
      <c r="G2965" s="164"/>
      <c r="H2965" s="164" t="str">
        <f ca="1">IFERROR(__xludf.DUMMYFUNCTION("""COMPUTED_VALUE"""),"MARIA CORAZON B. PABONITA")</f>
        <v>MARIA CORAZON B. PABONITA</v>
      </c>
      <c r="I2965" s="164"/>
      <c r="J2965" s="164" t="str">
        <f ca="1">IFERROR(__xludf.DUMMYFUNCTION("""COMPUTED_VALUE"""),"2023-06-13")</f>
        <v>2023-06-13</v>
      </c>
      <c r="K2965" s="164" t="str">
        <f ca="1">IFERROR(__xludf.DUMMYFUNCTION("""COMPUTED_VALUE"""),"MARIA CORAZON B. PABONITA")</f>
        <v>MARIA CORAZON B. PABONITA</v>
      </c>
      <c r="L2965" s="164" t="str">
        <f ca="1">IFERROR(__xludf.DUMMYFUNCTION("""COMPUTED_VALUE"""),"LTSP")</f>
        <v>LTSP</v>
      </c>
      <c r="M2965" s="164" t="str">
        <f ca="1">IFERROR(__xludf.DUMMYFUNCTION("""COMPUTED_VALUE"""),"SERVICEABLE")</f>
        <v>SERVICEABLE</v>
      </c>
      <c r="N2965" s="164"/>
    </row>
    <row r="2966" spans="1:14" ht="13.2" hidden="1">
      <c r="A2966" s="164" t="str">
        <f ca="1">IFERROR(__xludf.DUMMYFUNCTION("""COMPUTED_VALUE"""),"REGION VIII")</f>
        <v>REGION VIII</v>
      </c>
      <c r="B2966" s="164" t="str">
        <f ca="1">IFERROR(__xludf.DUMMYFUNCTION("""COMPUTED_VALUE"""),"Northern Samar")</f>
        <v>Northern Samar</v>
      </c>
      <c r="C2966" s="164" t="str">
        <f ca="1">IFERROR(__xludf.DUMMYFUNCTION("""COMPUTED_VALUE"""),"Desktop Computer – (Lenovo M70T)")</f>
        <v>Desktop Computer – (Lenovo M70T)</v>
      </c>
      <c r="D2966" s="164" t="str">
        <f ca="1">IFERROR(__xludf.DUMMYFUNCTION("""COMPUTED_VALUE"""),"₱ 75,468.00")</f>
        <v>₱ 75,468.00</v>
      </c>
      <c r="E2966" s="164"/>
      <c r="F2966" s="164" t="str">
        <f ca="1">IFERROR(__xludf.DUMMYFUNCTION("""COMPUTED_VALUE"""),"2023-05-03-10201SP-1377-01")</f>
        <v>2023-05-03-10201SP-1377-01</v>
      </c>
      <c r="G2966" s="164"/>
      <c r="H2966" s="164" t="str">
        <f ca="1">IFERROR(__xludf.DUMMYFUNCTION("""COMPUTED_VALUE"""),"BEVERLY O. MALAKI")</f>
        <v>BEVERLY O. MALAKI</v>
      </c>
      <c r="I2966" s="164" t="str">
        <f ca="1">IFERROR(__xludf.DUMMYFUNCTION("""COMPUTED_VALUE"""),"ARPO I")</f>
        <v>ARPO I</v>
      </c>
      <c r="J2966" s="164" t="str">
        <f ca="1">IFERROR(__xludf.DUMMYFUNCTION("""COMPUTED_VALUE"""),"2023-06-04")</f>
        <v>2023-06-04</v>
      </c>
      <c r="K2966" s="164" t="str">
        <f ca="1">IFERROR(__xludf.DUMMYFUNCTION("""COMPUTED_VALUE"""),"BEVERLY O. MALAKI")</f>
        <v>BEVERLY O. MALAKI</v>
      </c>
      <c r="L2966" s="164" t="str">
        <f ca="1">IFERROR(__xludf.DUMMYFUNCTION("""COMPUTED_VALUE"""),"LTSP")</f>
        <v>LTSP</v>
      </c>
      <c r="M2966" s="164" t="str">
        <f ca="1">IFERROR(__xludf.DUMMYFUNCTION("""COMPUTED_VALUE"""),"SERVICEABLE")</f>
        <v>SERVICEABLE</v>
      </c>
      <c r="N2966" s="164"/>
    </row>
    <row r="2967" spans="1:14" ht="13.2" hidden="1">
      <c r="A2967" s="164" t="str">
        <f ca="1">IFERROR(__xludf.DUMMYFUNCTION("""COMPUTED_VALUE"""),"REGION VIII")</f>
        <v>REGION VIII</v>
      </c>
      <c r="B2967" s="164" t="str">
        <f ca="1">IFERROR(__xludf.DUMMYFUNCTION("""COMPUTED_VALUE"""),"Northern Samar")</f>
        <v>Northern Samar</v>
      </c>
      <c r="C2967" s="164" t="str">
        <f ca="1">IFERROR(__xludf.DUMMYFUNCTION("""COMPUTED_VALUE"""),"Desktop Computer – (Lenovo M70T)")</f>
        <v>Desktop Computer – (Lenovo M70T)</v>
      </c>
      <c r="D2967" s="164" t="str">
        <f ca="1">IFERROR(__xludf.DUMMYFUNCTION("""COMPUTED_VALUE"""),"₱ 75,468.00")</f>
        <v>₱ 75,468.00</v>
      </c>
      <c r="E2967" s="164"/>
      <c r="F2967" s="164" t="str">
        <f ca="1">IFERROR(__xludf.DUMMYFUNCTION("""COMPUTED_VALUE"""),"2023-05-03-10201SP1383-01")</f>
        <v>2023-05-03-10201SP1383-01</v>
      </c>
      <c r="G2967" s="164"/>
      <c r="H2967" s="164" t="str">
        <f ca="1">IFERROR(__xludf.DUMMYFUNCTION("""COMPUTED_VALUE"""),"MA. LORDELLE A. FLORES")</f>
        <v>MA. LORDELLE A. FLORES</v>
      </c>
      <c r="I2967" s="164"/>
      <c r="J2967" s="164" t="str">
        <f ca="1">IFERROR(__xludf.DUMMYFUNCTION("""COMPUTED_VALUE"""),"2023-06-13")</f>
        <v>2023-06-13</v>
      </c>
      <c r="K2967" s="164" t="str">
        <f ca="1">IFERROR(__xludf.DUMMYFUNCTION("""COMPUTED_VALUE"""),"MA. LORDELLE A. FLORES")</f>
        <v>MA. LORDELLE A. FLORES</v>
      </c>
      <c r="L2967" s="164" t="str">
        <f ca="1">IFERROR(__xludf.DUMMYFUNCTION("""COMPUTED_VALUE"""),"LTSP")</f>
        <v>LTSP</v>
      </c>
      <c r="M2967" s="164" t="str">
        <f ca="1">IFERROR(__xludf.DUMMYFUNCTION("""COMPUTED_VALUE"""),"SERVICEABLE")</f>
        <v>SERVICEABLE</v>
      </c>
      <c r="N2967" s="164"/>
    </row>
    <row r="2968" spans="1:14" ht="13.2" hidden="1">
      <c r="A2968" s="164" t="str">
        <f ca="1">IFERROR(__xludf.DUMMYFUNCTION("""COMPUTED_VALUE"""),"REGION VIII")</f>
        <v>REGION VIII</v>
      </c>
      <c r="B2968" s="164" t="str">
        <f ca="1">IFERROR(__xludf.DUMMYFUNCTION("""COMPUTED_VALUE"""),"Northern Samar")</f>
        <v>Northern Samar</v>
      </c>
      <c r="C2968" s="164" t="str">
        <f ca="1">IFERROR(__xludf.DUMMYFUNCTION("""COMPUTED_VALUE"""),"Desktop Computer – (Lenovo M70T)")</f>
        <v>Desktop Computer – (Lenovo M70T)</v>
      </c>
      <c r="D2968" s="164" t="str">
        <f ca="1">IFERROR(__xludf.DUMMYFUNCTION("""COMPUTED_VALUE"""),"₱ 75,468.00")</f>
        <v>₱ 75,468.00</v>
      </c>
      <c r="E2968" s="164"/>
      <c r="F2968" s="164" t="str">
        <f ca="1">IFERROR(__xludf.DUMMYFUNCTION("""COMPUTED_VALUE"""),"2023-05-03-1020ASP1384-01")</f>
        <v>2023-05-03-1020ASP1384-01</v>
      </c>
      <c r="G2968" s="164"/>
      <c r="H2968" s="164" t="str">
        <f ca="1">IFERROR(__xludf.DUMMYFUNCTION("""COMPUTED_VALUE"""),"REYNALD L. BALANQUIT")</f>
        <v>REYNALD L. BALANQUIT</v>
      </c>
      <c r="I2968" s="164" t="str">
        <f ca="1">IFERROR(__xludf.DUMMYFUNCTION("""COMPUTED_VALUE"""),"ARPO I")</f>
        <v>ARPO I</v>
      </c>
      <c r="J2968" s="164" t="str">
        <f ca="1">IFERROR(__xludf.DUMMYFUNCTION("""COMPUTED_VALUE"""),"2023-06-25")</f>
        <v>2023-06-25</v>
      </c>
      <c r="K2968" s="164" t="str">
        <f ca="1">IFERROR(__xludf.DUMMYFUNCTION("""COMPUTED_VALUE"""),"REYNALD L. BALANQUIT")</f>
        <v>REYNALD L. BALANQUIT</v>
      </c>
      <c r="L2968" s="164" t="str">
        <f ca="1">IFERROR(__xludf.DUMMYFUNCTION("""COMPUTED_VALUE"""),"LTSP")</f>
        <v>LTSP</v>
      </c>
      <c r="M2968" s="164" t="str">
        <f ca="1">IFERROR(__xludf.DUMMYFUNCTION("""COMPUTED_VALUE"""),"SERVICEABLE")</f>
        <v>SERVICEABLE</v>
      </c>
      <c r="N2968" s="164"/>
    </row>
    <row r="2969" spans="1:14" ht="13.2" hidden="1">
      <c r="A2969" s="164" t="str">
        <f ca="1">IFERROR(__xludf.DUMMYFUNCTION("""COMPUTED_VALUE"""),"REGION VIII")</f>
        <v>REGION VIII</v>
      </c>
      <c r="B2969" s="164" t="str">
        <f ca="1">IFERROR(__xludf.DUMMYFUNCTION("""COMPUTED_VALUE"""),"Northern Samar")</f>
        <v>Northern Samar</v>
      </c>
      <c r="C2969" s="164" t="str">
        <f ca="1">IFERROR(__xludf.DUMMYFUNCTION("""COMPUTED_VALUE"""),"Desktop Computer – (Lenovo M70T)")</f>
        <v>Desktop Computer – (Lenovo M70T)</v>
      </c>
      <c r="D2969" s="164" t="str">
        <f ca="1">IFERROR(__xludf.DUMMYFUNCTION("""COMPUTED_VALUE"""),"₱ 75,468.00")</f>
        <v>₱ 75,468.00</v>
      </c>
      <c r="E2969" s="164"/>
      <c r="F2969" s="164" t="str">
        <f ca="1">IFERROR(__xludf.DUMMYFUNCTION("""COMPUTED_VALUE"""),"2023-05-03-10201SP1385-01")</f>
        <v>2023-05-03-10201SP1385-01</v>
      </c>
      <c r="G2969" s="164"/>
      <c r="H2969" s="164" t="str">
        <f ca="1">IFERROR(__xludf.DUMMYFUNCTION("""COMPUTED_VALUE"""),"CARMELITA U. GARCELAZO")</f>
        <v>CARMELITA U. GARCELAZO</v>
      </c>
      <c r="I2969" s="164"/>
      <c r="J2969" s="164" t="str">
        <f ca="1">IFERROR(__xludf.DUMMYFUNCTION("""COMPUTED_VALUE"""),"2023-06-20")</f>
        <v>2023-06-20</v>
      </c>
      <c r="K2969" s="164" t="str">
        <f ca="1">IFERROR(__xludf.DUMMYFUNCTION("""COMPUTED_VALUE"""),"CARMELITA U. GARCELAZO")</f>
        <v>CARMELITA U. GARCELAZO</v>
      </c>
      <c r="L2969" s="164" t="str">
        <f ca="1">IFERROR(__xludf.DUMMYFUNCTION("""COMPUTED_VALUE"""),"LTSP")</f>
        <v>LTSP</v>
      </c>
      <c r="M2969" s="164" t="str">
        <f ca="1">IFERROR(__xludf.DUMMYFUNCTION("""COMPUTED_VALUE"""),"SERVICEABLE")</f>
        <v>SERVICEABLE</v>
      </c>
      <c r="N2969" s="164"/>
    </row>
    <row r="2970" spans="1:14" ht="13.2" hidden="1">
      <c r="A2970" s="164" t="str">
        <f ca="1">IFERROR(__xludf.DUMMYFUNCTION("""COMPUTED_VALUE"""),"REGION VIII")</f>
        <v>REGION VIII</v>
      </c>
      <c r="B2970" s="164" t="str">
        <f ca="1">IFERROR(__xludf.DUMMYFUNCTION("""COMPUTED_VALUE"""),"Northern Samar")</f>
        <v>Northern Samar</v>
      </c>
      <c r="C2970" s="164" t="str">
        <f ca="1">IFERROR(__xludf.DUMMYFUNCTION("""COMPUTED_VALUE"""),"Desktop Computer – (Lenovo M70T)")</f>
        <v>Desktop Computer – (Lenovo M70T)</v>
      </c>
      <c r="D2970" s="164" t="str">
        <f ca="1">IFERROR(__xludf.DUMMYFUNCTION("""COMPUTED_VALUE"""),"₱ 75,468.00")</f>
        <v>₱ 75,468.00</v>
      </c>
      <c r="E2970" s="164"/>
      <c r="F2970" s="164" t="str">
        <f ca="1">IFERROR(__xludf.DUMMYFUNCTION("""COMPUTED_VALUE"""),"2023-05-03-10201SP-1378-01")</f>
        <v>2023-05-03-10201SP-1378-01</v>
      </c>
      <c r="G2970" s="164"/>
      <c r="H2970" s="164" t="str">
        <f ca="1">IFERROR(__xludf.DUMMYFUNCTION("""COMPUTED_VALUE"""),"AMABEL I. LIM")</f>
        <v>AMABEL I. LIM</v>
      </c>
      <c r="I2970" s="164"/>
      <c r="J2970" s="164" t="str">
        <f ca="1">IFERROR(__xludf.DUMMYFUNCTION("""COMPUTED_VALUE"""),"2023-06-04")</f>
        <v>2023-06-04</v>
      </c>
      <c r="K2970" s="164" t="str">
        <f ca="1">IFERROR(__xludf.DUMMYFUNCTION("""COMPUTED_VALUE"""),"AMABEL I. LIM")</f>
        <v>AMABEL I. LIM</v>
      </c>
      <c r="L2970" s="164" t="str">
        <f ca="1">IFERROR(__xludf.DUMMYFUNCTION("""COMPUTED_VALUE"""),"STOD")</f>
        <v>STOD</v>
      </c>
      <c r="M2970" s="164" t="str">
        <f ca="1">IFERROR(__xludf.DUMMYFUNCTION("""COMPUTED_VALUE"""),"SERVICEABLE")</f>
        <v>SERVICEABLE</v>
      </c>
      <c r="N2970" s="164"/>
    </row>
    <row r="2971" spans="1:14" ht="13.2" hidden="1">
      <c r="A2971" s="164" t="str">
        <f ca="1">IFERROR(__xludf.DUMMYFUNCTION("""COMPUTED_VALUE"""),"REGION VIII")</f>
        <v>REGION VIII</v>
      </c>
      <c r="B2971" s="164" t="str">
        <f ca="1">IFERROR(__xludf.DUMMYFUNCTION("""COMPUTED_VALUE"""),"Northern Samar")</f>
        <v>Northern Samar</v>
      </c>
      <c r="C2971" s="164" t="str">
        <f ca="1">IFERROR(__xludf.DUMMYFUNCTION("""COMPUTED_VALUE"""),"Desktop Computer – (Lenovo M70T)")</f>
        <v>Desktop Computer – (Lenovo M70T)</v>
      </c>
      <c r="D2971" s="164" t="str">
        <f ca="1">IFERROR(__xludf.DUMMYFUNCTION("""COMPUTED_VALUE"""),"₱ 75,468.00")</f>
        <v>₱ 75,468.00</v>
      </c>
      <c r="E2971" s="164"/>
      <c r="F2971" s="164" t="str">
        <f ca="1">IFERROR(__xludf.DUMMYFUNCTION("""COMPUTED_VALUE"""),"2023-05-03-10201SP-1379-01")</f>
        <v>2023-05-03-10201SP-1379-01</v>
      </c>
      <c r="G2971" s="164"/>
      <c r="H2971" s="164" t="str">
        <f ca="1">IFERROR(__xludf.DUMMYFUNCTION("""COMPUTED_VALUE"""),"JASTIN S. ROMERO")</f>
        <v>JASTIN S. ROMERO</v>
      </c>
      <c r="I2971" s="164" t="str">
        <f ca="1">IFERROR(__xludf.DUMMYFUNCTION("""COMPUTED_VALUE"""),"ARPT")</f>
        <v>ARPT</v>
      </c>
      <c r="J2971" s="164" t="str">
        <f ca="1">IFERROR(__xludf.DUMMYFUNCTION("""COMPUTED_VALUE"""),"2023-06-16")</f>
        <v>2023-06-16</v>
      </c>
      <c r="K2971" s="164" t="str">
        <f ca="1">IFERROR(__xludf.DUMMYFUNCTION("""COMPUTED_VALUE"""),"JASTIN S. ROMERO")</f>
        <v>JASTIN S. ROMERO</v>
      </c>
      <c r="L2971" s="164" t="str">
        <f ca="1">IFERROR(__xludf.DUMMYFUNCTION("""COMPUTED_VALUE"""),"LTSP")</f>
        <v>LTSP</v>
      </c>
      <c r="M2971" s="164" t="str">
        <f ca="1">IFERROR(__xludf.DUMMYFUNCTION("""COMPUTED_VALUE"""),"SERVICEABLE")</f>
        <v>SERVICEABLE</v>
      </c>
      <c r="N2971" s="164"/>
    </row>
    <row r="2972" spans="1:14" ht="13.2" hidden="1">
      <c r="A2972" s="164" t="str">
        <f ca="1">IFERROR(__xludf.DUMMYFUNCTION("""COMPUTED_VALUE"""),"REGION VIII")</f>
        <v>REGION VIII</v>
      </c>
      <c r="B2972" s="164" t="str">
        <f ca="1">IFERROR(__xludf.DUMMYFUNCTION("""COMPUTED_VALUE"""),"Northern Samar")</f>
        <v>Northern Samar</v>
      </c>
      <c r="C2972" s="164" t="str">
        <f ca="1">IFERROR(__xludf.DUMMYFUNCTION("""COMPUTED_VALUE"""),"Desktop Computer – (Lenovo M70T)")</f>
        <v>Desktop Computer – (Lenovo M70T)</v>
      </c>
      <c r="D2972" s="164" t="str">
        <f ca="1">IFERROR(__xludf.DUMMYFUNCTION("""COMPUTED_VALUE"""),"₱ 75,468.00")</f>
        <v>₱ 75,468.00</v>
      </c>
      <c r="E2972" s="164"/>
      <c r="F2972" s="164" t="str">
        <f ca="1">IFERROR(__xludf.DUMMYFUNCTION("""COMPUTED_VALUE"""),"2023-05-03-10201SP-1380-01")</f>
        <v>2023-05-03-10201SP-1380-01</v>
      </c>
      <c r="G2972" s="164"/>
      <c r="H2972" s="164" t="str">
        <f ca="1">IFERROR(__xludf.DUMMYFUNCTION("""COMPUTED_VALUE"""),"LORELYN L. ESCULLAR")</f>
        <v>LORELYN L. ESCULLAR</v>
      </c>
      <c r="I2972" s="164" t="str">
        <f ca="1">IFERROR(__xludf.DUMMYFUNCTION("""COMPUTED_VALUE"""),"ADMIN AIDE")</f>
        <v>ADMIN AIDE</v>
      </c>
      <c r="J2972" s="164" t="str">
        <f ca="1">IFERROR(__xludf.DUMMYFUNCTION("""COMPUTED_VALUE"""),"2023-06-15")</f>
        <v>2023-06-15</v>
      </c>
      <c r="K2972" s="164" t="str">
        <f ca="1">IFERROR(__xludf.DUMMYFUNCTION("""COMPUTED_VALUE"""),"LORELYN L. ESCULLAR")</f>
        <v>LORELYN L. ESCULLAR</v>
      </c>
      <c r="L2972" s="164" t="str">
        <f ca="1">IFERROR(__xludf.DUMMYFUNCTION("""COMPUTED_VALUE"""),"LTSP")</f>
        <v>LTSP</v>
      </c>
      <c r="M2972" s="164" t="str">
        <f ca="1">IFERROR(__xludf.DUMMYFUNCTION("""COMPUTED_VALUE"""),"SERVICEABLE")</f>
        <v>SERVICEABLE</v>
      </c>
      <c r="N2972" s="164"/>
    </row>
    <row r="2973" spans="1:14" ht="13.2" hidden="1">
      <c r="A2973" s="164" t="str">
        <f ca="1">IFERROR(__xludf.DUMMYFUNCTION("""COMPUTED_VALUE"""),"REGION VIII")</f>
        <v>REGION VIII</v>
      </c>
      <c r="B2973" s="164" t="str">
        <f ca="1">IFERROR(__xludf.DUMMYFUNCTION("""COMPUTED_VALUE"""),"Northern Samar")</f>
        <v>Northern Samar</v>
      </c>
      <c r="C2973" s="164" t="str">
        <f ca="1">IFERROR(__xludf.DUMMYFUNCTION("""COMPUTED_VALUE"""),"Desktop Computer – (Lenovo M70T)")</f>
        <v>Desktop Computer – (Lenovo M70T)</v>
      </c>
      <c r="D2973" s="164" t="str">
        <f ca="1">IFERROR(__xludf.DUMMYFUNCTION("""COMPUTED_VALUE"""),"₱ 75,468.00")</f>
        <v>₱ 75,468.00</v>
      </c>
      <c r="E2973" s="164"/>
      <c r="F2973" s="164" t="str">
        <f ca="1">IFERROR(__xludf.DUMMYFUNCTION("""COMPUTED_VALUE"""),"2023-05-03-10201SP-1381-01")</f>
        <v>2023-05-03-10201SP-1381-01</v>
      </c>
      <c r="G2973" s="164"/>
      <c r="H2973" s="164" t="str">
        <f ca="1">IFERROR(__xludf.DUMMYFUNCTION("""COMPUTED_VALUE"""),"GERMAN D. DASIG")</f>
        <v>GERMAN D. DASIG</v>
      </c>
      <c r="I2973" s="164" t="str">
        <f ca="1">IFERROR(__xludf.DUMMYFUNCTION("""COMPUTED_VALUE"""),"ARPO II")</f>
        <v>ARPO II</v>
      </c>
      <c r="J2973" s="164" t="str">
        <f ca="1">IFERROR(__xludf.DUMMYFUNCTION("""COMPUTED_VALUE"""),"2023-06-17")</f>
        <v>2023-06-17</v>
      </c>
      <c r="K2973" s="164" t="str">
        <f ca="1">IFERROR(__xludf.DUMMYFUNCTION("""COMPUTED_VALUE"""),"GERMAN D. DASIG")</f>
        <v>GERMAN D. DASIG</v>
      </c>
      <c r="L2973" s="164" t="str">
        <f ca="1">IFERROR(__xludf.DUMMYFUNCTION("""COMPUTED_VALUE"""),"LEGAL")</f>
        <v>LEGAL</v>
      </c>
      <c r="M2973" s="164" t="str">
        <f ca="1">IFERROR(__xludf.DUMMYFUNCTION("""COMPUTED_VALUE"""),"SERVICEABLE")</f>
        <v>SERVICEABLE</v>
      </c>
      <c r="N2973" s="164" t="str">
        <f ca="1">IFERROR(__xludf.DUMMYFUNCTION("""COMPUTED_VALUE"""),"Monitor for repair")</f>
        <v>Monitor for repair</v>
      </c>
    </row>
    <row r="2974" spans="1:14" ht="13.2" hidden="1">
      <c r="A2974" s="164" t="str">
        <f ca="1">IFERROR(__xludf.DUMMYFUNCTION("""COMPUTED_VALUE"""),"REGION VIII")</f>
        <v>REGION VIII</v>
      </c>
      <c r="B2974" s="164" t="str">
        <f ca="1">IFERROR(__xludf.DUMMYFUNCTION("""COMPUTED_VALUE"""),"Northern Samar")</f>
        <v>Northern Samar</v>
      </c>
      <c r="C2974" s="164" t="str">
        <f ca="1">IFERROR(__xludf.DUMMYFUNCTION("""COMPUTED_VALUE"""),"Desktop Computer – (Lenovo M70T)")</f>
        <v>Desktop Computer – (Lenovo M70T)</v>
      </c>
      <c r="D2974" s="164" t="str">
        <f ca="1">IFERROR(__xludf.DUMMYFUNCTION("""COMPUTED_VALUE"""),"₱ 75,468.00")</f>
        <v>₱ 75,468.00</v>
      </c>
      <c r="E2974" s="164"/>
      <c r="F2974" s="164" t="str">
        <f ca="1">IFERROR(__xludf.DUMMYFUNCTION("""COMPUTED_VALUE"""),"2023-05-03-10201SP-1382-01")</f>
        <v>2023-05-03-10201SP-1382-01</v>
      </c>
      <c r="G2974" s="164"/>
      <c r="H2974" s="164" t="str">
        <f ca="1">IFERROR(__xludf.DUMMYFUNCTION("""COMPUTED_VALUE"""),"FRECA S. UBALDO")</f>
        <v>FRECA S. UBALDO</v>
      </c>
      <c r="I2974" s="164"/>
      <c r="J2974" s="164" t="str">
        <f ca="1">IFERROR(__xludf.DUMMYFUNCTION("""COMPUTED_VALUE"""),"2023-06-16")</f>
        <v>2023-06-16</v>
      </c>
      <c r="K2974" s="164" t="str">
        <f ca="1">IFERROR(__xludf.DUMMYFUNCTION("""COMPUTED_VALUE"""),"FRECA S. UBALDO")</f>
        <v>FRECA S. UBALDO</v>
      </c>
      <c r="L2974" s="164" t="str">
        <f ca="1">IFERROR(__xludf.DUMMYFUNCTION("""COMPUTED_VALUE"""),"LTSP")</f>
        <v>LTSP</v>
      </c>
      <c r="M2974" s="164" t="str">
        <f ca="1">IFERROR(__xludf.DUMMYFUNCTION("""COMPUTED_VALUE"""),"SERVICEABLE")</f>
        <v>SERVICEABLE</v>
      </c>
      <c r="N2974" s="164"/>
    </row>
    <row r="2975" spans="1:14" ht="13.2" hidden="1">
      <c r="A2975" s="164" t="str">
        <f ca="1">IFERROR(__xludf.DUMMYFUNCTION("""COMPUTED_VALUE"""),"REGION VIII")</f>
        <v>REGION VIII</v>
      </c>
      <c r="B2975" s="164" t="str">
        <f ca="1">IFERROR(__xludf.DUMMYFUNCTION("""COMPUTED_VALUE"""),"Northern Samar")</f>
        <v>Northern Samar</v>
      </c>
      <c r="C2975" s="164" t="str">
        <f ca="1">IFERROR(__xludf.DUMMYFUNCTION("""COMPUTED_VALUE"""),"A3 PRINTER (BROTHER)")</f>
        <v>A3 PRINTER (BROTHER)</v>
      </c>
      <c r="D2975" s="164" t="str">
        <f ca="1">IFERROR(__xludf.DUMMYFUNCTION("""COMPUTED_VALUE"""),"₱ 33,508.00")</f>
        <v>₱ 33,508.00</v>
      </c>
      <c r="E2975" s="164"/>
      <c r="F2975" s="164" t="str">
        <f ca="1">IFERROR(__xludf.DUMMYFUNCTION("""COMPUTED_VALUE"""),"HVSPLIT-102-24-05-053
")</f>
        <v xml:space="preserve">HVSPLIT-102-24-05-053
</v>
      </c>
      <c r="G2975" s="164"/>
      <c r="H2975" s="164" t="str">
        <f ca="1">IFERROR(__xludf.DUMMYFUNCTION("""COMPUTED_VALUE"""),"ATTY. ROBERT ANTHONY YU")</f>
        <v>ATTY. ROBERT ANTHONY YU</v>
      </c>
      <c r="I2975" s="164" t="str">
        <f ca="1">IFERROR(__xludf.DUMMYFUNCTION("""COMPUTED_VALUE"""),"REGIONAL DIRECTOR")</f>
        <v>REGIONAL DIRECTOR</v>
      </c>
      <c r="J2975" s="164" t="str">
        <f ca="1">IFERROR(__xludf.DUMMYFUNCTION("""COMPUTED_VALUE"""),"2024-05-010")</f>
        <v>2024-05-010</v>
      </c>
      <c r="K2975" s="164" t="str">
        <f ca="1">IFERROR(__xludf.DUMMYFUNCTION("""COMPUTED_VALUE"""),"EUGENIA W. ALMASCO")</f>
        <v>EUGENIA W. ALMASCO</v>
      </c>
      <c r="L2975" s="164" t="str">
        <f ca="1">IFERROR(__xludf.DUMMYFUNCTION("""COMPUTED_VALUE"""),"DARPO N. SAMAR")</f>
        <v>DARPO N. SAMAR</v>
      </c>
      <c r="M2975" s="164" t="str">
        <f ca="1">IFERROR(__xludf.DUMMYFUNCTION("""COMPUTED_VALUE"""),"SERVICEABLE")</f>
        <v>SERVICEABLE</v>
      </c>
      <c r="N2975" s="164"/>
    </row>
    <row r="2976" spans="1:14" ht="13.2" hidden="1">
      <c r="A2976" s="164" t="str">
        <f ca="1">IFERROR(__xludf.DUMMYFUNCTION("""COMPUTED_VALUE"""),"REGION VIII")</f>
        <v>REGION VIII</v>
      </c>
      <c r="B2976" s="164" t="str">
        <f ca="1">IFERROR(__xludf.DUMMYFUNCTION("""COMPUTED_VALUE"""),"Western Samar")</f>
        <v>Western Samar</v>
      </c>
      <c r="C2976" s="164" t="str">
        <f ca="1">IFERROR(__xludf.DUMMYFUNCTION("""COMPUTED_VALUE"""),"Photocopier Machine – Kyocera")</f>
        <v>Photocopier Machine – Kyocera</v>
      </c>
      <c r="D2976" s="164" t="str">
        <f ca="1">IFERROR(__xludf.DUMMYFUNCTION("""COMPUTED_VALUE"""),"₱ 84,500.00")</f>
        <v>₱ 84,500.00</v>
      </c>
      <c r="E2976" s="164"/>
      <c r="F2976" s="164" t="str">
        <f ca="1">IFERROR(__xludf.DUMMYFUNCTION("""COMPUTED_VALUE"""),"2022-05-02-10202SP59-01")</f>
        <v>2022-05-02-10202SP59-01</v>
      </c>
      <c r="G2976" s="164"/>
      <c r="H2976" s="164" t="str">
        <f ca="1">IFERROR(__xludf.DUMMYFUNCTION("""COMPUTED_VALUE"""),"ENGR. MELVIN ELEUTERIO")</f>
        <v>ENGR. MELVIN ELEUTERIO</v>
      </c>
      <c r="I2976" s="164" t="str">
        <f ca="1">IFERROR(__xludf.DUMMYFUNCTION("""COMPUTED_VALUE"""),"Engineer II")</f>
        <v>Engineer II</v>
      </c>
      <c r="J2976" s="164" t="str">
        <f ca="1">IFERROR(__xludf.DUMMYFUNCTION("""COMPUTED_VALUE"""),"PTR# SP2023-02-9015")</f>
        <v>PTR# SP2023-02-9015</v>
      </c>
      <c r="K2976" s="164" t="str">
        <f ca="1">IFERROR(__xludf.DUMMYFUNCTION("""COMPUTED_VALUE"""),"ENGR. MELVIN ELEUTERIO")</f>
        <v>ENGR. MELVIN ELEUTERIO</v>
      </c>
      <c r="L2976" s="164" t="str">
        <f ca="1">IFERROR(__xludf.DUMMYFUNCTION("""COMPUTED_VALUE"""),"LTSP")</f>
        <v>LTSP</v>
      </c>
      <c r="M2976" s="164" t="str">
        <f ca="1">IFERROR(__xludf.DUMMYFUNCTION("""COMPUTED_VALUE"""),"SERVICEABLE")</f>
        <v>SERVICEABLE</v>
      </c>
      <c r="N2976" s="164"/>
    </row>
    <row r="2977" spans="1:14" ht="13.2" hidden="1">
      <c r="A2977" s="164" t="str">
        <f ca="1">IFERROR(__xludf.DUMMYFUNCTION("""COMPUTED_VALUE"""),"REGION VIII")</f>
        <v>REGION VIII</v>
      </c>
      <c r="B2977" s="164" t="str">
        <f ca="1">IFERROR(__xludf.DUMMYFUNCTION("""COMPUTED_VALUE"""),"Western Samar")</f>
        <v>Western Samar</v>
      </c>
      <c r="C2977" s="164" t="str">
        <f ca="1">IFERROR(__xludf.DUMMYFUNCTION("""COMPUTED_VALUE"""),"REAL-TIME KINEMATIC – GEOMAX ZENITH60")</f>
        <v>REAL-TIME KINEMATIC – GEOMAX ZENITH60</v>
      </c>
      <c r="D2977" s="164" t="str">
        <f ca="1">IFERROR(__xludf.DUMMYFUNCTION("""COMPUTED_VALUE"""),"₱ 1,849,000.00")</f>
        <v>₱ 1,849,000.00</v>
      </c>
      <c r="E2977" s="164"/>
      <c r="F2977" s="164" t="str">
        <f ca="1">IFERROR(__xludf.DUMMYFUNCTION("""COMPUTED_VALUE"""),"2023-05-14-10201SP-36-01")</f>
        <v>2023-05-14-10201SP-36-01</v>
      </c>
      <c r="G2977" s="164"/>
      <c r="H2977" s="164" t="str">
        <f ca="1">IFERROR(__xludf.DUMMYFUNCTION("""COMPUTED_VALUE"""),"ENGR. MELVIN ELEUTERIO")</f>
        <v>ENGR. MELVIN ELEUTERIO</v>
      </c>
      <c r="I2977" s="164" t="str">
        <f ca="1">IFERROR(__xludf.DUMMYFUNCTION("""COMPUTED_VALUE"""),"Engineer II")</f>
        <v>Engineer II</v>
      </c>
      <c r="J2977" s="164" t="str">
        <f ca="1">IFERROR(__xludf.DUMMYFUNCTION("""COMPUTED_VALUE"""),"PTR# SP2023-10-9038")</f>
        <v>PTR# SP2023-10-9038</v>
      </c>
      <c r="K2977" s="164" t="str">
        <f ca="1">IFERROR(__xludf.DUMMYFUNCTION("""COMPUTED_VALUE"""),"ENGR. MELVIN ELEUTERIO")</f>
        <v>ENGR. MELVIN ELEUTERIO</v>
      </c>
      <c r="L2977" s="164" t="str">
        <f ca="1">IFERROR(__xludf.DUMMYFUNCTION("""COMPUTED_VALUE"""),"LTSP")</f>
        <v>LTSP</v>
      </c>
      <c r="M2977" s="164" t="str">
        <f ca="1">IFERROR(__xludf.DUMMYFUNCTION("""COMPUTED_VALUE"""),"UNSERVICEABLE")</f>
        <v>UNSERVICEABLE</v>
      </c>
      <c r="N2977" s="164" t="str">
        <f ca="1">IFERROR(__xludf.DUMMYFUNCTION("""COMPUTED_VALUE"""),"no controller, expired license")</f>
        <v>no controller, expired license</v>
      </c>
    </row>
    <row r="2978" spans="1:14" ht="13.2" hidden="1">
      <c r="A2978" s="164" t="str">
        <f ca="1">IFERROR(__xludf.DUMMYFUNCTION("""COMPUTED_VALUE"""),"REGION VIII")</f>
        <v>REGION VIII</v>
      </c>
      <c r="B2978" s="164" t="str">
        <f ca="1">IFERROR(__xludf.DUMMYFUNCTION("""COMPUTED_VALUE"""),"Western Samar")</f>
        <v>Western Samar</v>
      </c>
      <c r="C2978" s="164" t="str">
        <f ca="1">IFERROR(__xludf.DUMMYFUNCTION("""COMPUTED_VALUE"""),"TOTAL STATION – GEOMAX TOTAL STATION ZOOM 50")</f>
        <v>TOTAL STATION – GEOMAX TOTAL STATION ZOOM 50</v>
      </c>
      <c r="D2978" s="164" t="str">
        <f ca="1">IFERROR(__xludf.DUMMYFUNCTION("""COMPUTED_VALUE"""),"₱ 648,000.00")</f>
        <v>₱ 648,000.00</v>
      </c>
      <c r="E2978" s="164"/>
      <c r="F2978" s="164" t="str">
        <f ca="1">IFERROR(__xludf.DUMMYFUNCTION("""COMPUTED_VALUE"""),"2023-05-14-10201SP-36-01")</f>
        <v>2023-05-14-10201SP-36-01</v>
      </c>
      <c r="G2978" s="164"/>
      <c r="H2978" s="164" t="str">
        <f ca="1">IFERROR(__xludf.DUMMYFUNCTION("""COMPUTED_VALUE"""),"ENGR. MELVIN ELEUTERIO")</f>
        <v>ENGR. MELVIN ELEUTERIO</v>
      </c>
      <c r="I2978" s="164" t="str">
        <f ca="1">IFERROR(__xludf.DUMMYFUNCTION("""COMPUTED_VALUE"""),"Engineer II")</f>
        <v>Engineer II</v>
      </c>
      <c r="J2978" s="164" t="str">
        <f ca="1">IFERROR(__xludf.DUMMYFUNCTION("""COMPUTED_VALUE"""),"PTR# SP2023-10-9039")</f>
        <v>PTR# SP2023-10-9039</v>
      </c>
      <c r="K2978" s="164" t="str">
        <f ca="1">IFERROR(__xludf.DUMMYFUNCTION("""COMPUTED_VALUE"""),"ENGR. MELVIN ELEUTERIO")</f>
        <v>ENGR. MELVIN ELEUTERIO</v>
      </c>
      <c r="L2978" s="164" t="str">
        <f ca="1">IFERROR(__xludf.DUMMYFUNCTION("""COMPUTED_VALUE"""),"LTSP")</f>
        <v>LTSP</v>
      </c>
      <c r="M2978" s="164" t="str">
        <f ca="1">IFERROR(__xludf.DUMMYFUNCTION("""COMPUTED_VALUE"""),"UNSERVICEABLE")</f>
        <v>UNSERVICEABLE</v>
      </c>
      <c r="N2978" s="164" t="str">
        <f ca="1">IFERROR(__xludf.DUMMYFUNCTION("""COMPUTED_VALUE"""),"expired license")</f>
        <v>expired license</v>
      </c>
    </row>
    <row r="2979" spans="1:14" ht="13.2" hidden="1">
      <c r="A2979" s="164" t="str">
        <f ca="1">IFERROR(__xludf.DUMMYFUNCTION("""COMPUTED_VALUE"""),"REGION VIII")</f>
        <v>REGION VIII</v>
      </c>
      <c r="B2979" s="164" t="str">
        <f ca="1">IFERROR(__xludf.DUMMYFUNCTION("""COMPUTED_VALUE"""),"Western Samar")</f>
        <v>Western Samar</v>
      </c>
      <c r="C2979" s="164" t="str">
        <f ca="1">IFERROR(__xludf.DUMMYFUNCTION("""COMPUTED_VALUE"""),"HANDHELD GPS – MODEL P6")</f>
        <v>HANDHELD GPS – MODEL P6</v>
      </c>
      <c r="D2979" s="164" t="str">
        <f ca="1">IFERROR(__xludf.DUMMYFUNCTION("""COMPUTED_VALUE"""),"₱ 79,000.00")</f>
        <v>₱ 79,000.00</v>
      </c>
      <c r="E2979" s="164"/>
      <c r="F2979" s="164" t="str">
        <f ca="1">IFERROR(__xludf.DUMMYFUNCTION("""COMPUTED_VALUE"""),"2023-05-14-10202SP-16-01")</f>
        <v>2023-05-14-10202SP-16-01</v>
      </c>
      <c r="G2979" s="164"/>
      <c r="H2979" s="164" t="str">
        <f ca="1">IFERROR(__xludf.DUMMYFUNCTION("""COMPUTED_VALUE"""),"ENGR. MELVIN ELEUTERIO")</f>
        <v>ENGR. MELVIN ELEUTERIO</v>
      </c>
      <c r="I2979" s="164" t="str">
        <f ca="1">IFERROR(__xludf.DUMMYFUNCTION("""COMPUTED_VALUE"""),"Engineer II")</f>
        <v>Engineer II</v>
      </c>
      <c r="J2979" s="164" t="str">
        <f ca="1">IFERROR(__xludf.DUMMYFUNCTION("""COMPUTED_VALUE"""),"PTR# SP2023-10-9040")</f>
        <v>PTR# SP2023-10-9040</v>
      </c>
      <c r="K2979" s="164" t="str">
        <f ca="1">IFERROR(__xludf.DUMMYFUNCTION("""COMPUTED_VALUE"""),"ENGR. MELVIN ELEUTERIO")</f>
        <v>ENGR. MELVIN ELEUTERIO</v>
      </c>
      <c r="L2979" s="164" t="str">
        <f ca="1">IFERROR(__xludf.DUMMYFUNCTION("""COMPUTED_VALUE"""),"LTSP")</f>
        <v>LTSP</v>
      </c>
      <c r="M2979" s="164" t="str">
        <f ca="1">IFERROR(__xludf.DUMMYFUNCTION("""COMPUTED_VALUE"""),"UNSERVICEABLE")</f>
        <v>UNSERVICEABLE</v>
      </c>
      <c r="N2979" s="164" t="str">
        <f ca="1">IFERROR(__xludf.DUMMYFUNCTION("""COMPUTED_VALUE"""),"expired license")</f>
        <v>expired license</v>
      </c>
    </row>
    <row r="2980" spans="1:14" ht="13.2" hidden="1">
      <c r="A2980" s="164" t="str">
        <f ca="1">IFERROR(__xludf.DUMMYFUNCTION("""COMPUTED_VALUE"""),"REGION VIII")</f>
        <v>REGION VIII</v>
      </c>
      <c r="B2980" s="164" t="str">
        <f ca="1">IFERROR(__xludf.DUMMYFUNCTION("""COMPUTED_VALUE"""),"Western Samar")</f>
        <v>Western Samar</v>
      </c>
      <c r="C2980" s="164" t="str">
        <f ca="1">IFERROR(__xludf.DUMMYFUNCTION("""COMPUTED_VALUE"""),"Desktop Computer – (Lenovo M70T)")</f>
        <v>Desktop Computer – (Lenovo M70T)</v>
      </c>
      <c r="D2980" s="164" t="str">
        <f ca="1">IFERROR(__xludf.DUMMYFUNCTION("""COMPUTED_VALUE"""),"₱ 75,468.00")</f>
        <v>₱ 75,468.00</v>
      </c>
      <c r="E2980" s="164"/>
      <c r="F2980" s="164" t="str">
        <f ca="1">IFERROR(__xludf.DUMMYFUNCTION("""COMPUTED_VALUE"""),"2023-05-03-10201SP-1404-01")</f>
        <v>2023-05-03-10201SP-1404-01</v>
      </c>
      <c r="G2980" s="164"/>
      <c r="H2980" s="164" t="str">
        <f ca="1">IFERROR(__xludf.DUMMYFUNCTION("""COMPUTED_VALUE"""),"MARK LOUIE BACIERRA / DAPAL, MARK RAJIB Y.")</f>
        <v>MARK LOUIE BACIERRA / DAPAL, MARK RAJIB Y.</v>
      </c>
      <c r="I2980" s="164" t="str">
        <f ca="1">IFERROR(__xludf.DUMMYFUNCTION("""COMPUTED_VALUE"""),"MIS Staff")</f>
        <v>MIS Staff</v>
      </c>
      <c r="J2980" s="164" t="str">
        <f ca="1">IFERROR(__xludf.DUMMYFUNCTION("""COMPUTED_VALUE"""),"PTR# 031-2023")</f>
        <v>PTR# 031-2023</v>
      </c>
      <c r="K2980" s="164" t="str">
        <f ca="1">IFERROR(__xludf.DUMMYFUNCTION("""COMPUTED_VALUE"""),"MARK LOUIE BACIERRA / DAPAL, MARK RAJIB Y.")</f>
        <v>MARK LOUIE BACIERRA / DAPAL, MARK RAJIB Y.</v>
      </c>
      <c r="L2980" s="164" t="str">
        <f ca="1">IFERROR(__xludf.DUMMYFUNCTION("""COMPUTED_VALUE"""),"SPLIT")</f>
        <v>SPLIT</v>
      </c>
      <c r="M2980" s="164" t="str">
        <f ca="1">IFERROR(__xludf.DUMMYFUNCTION("""COMPUTED_VALUE"""),"SERVICEABLE")</f>
        <v>SERVICEABLE</v>
      </c>
      <c r="N2980" s="164"/>
    </row>
    <row r="2981" spans="1:14" ht="13.2" hidden="1">
      <c r="A2981" s="164" t="str">
        <f ca="1">IFERROR(__xludf.DUMMYFUNCTION("""COMPUTED_VALUE"""),"REGION VIII")</f>
        <v>REGION VIII</v>
      </c>
      <c r="B2981" s="164" t="str">
        <f ca="1">IFERROR(__xludf.DUMMYFUNCTION("""COMPUTED_VALUE"""),"Western Samar")</f>
        <v>Western Samar</v>
      </c>
      <c r="C2981" s="164" t="str">
        <f ca="1">IFERROR(__xludf.DUMMYFUNCTION("""COMPUTED_VALUE"""),"Desktop Computer – (Lenovo M70T)")</f>
        <v>Desktop Computer – (Lenovo M70T)</v>
      </c>
      <c r="D2981" s="164" t="str">
        <f ca="1">IFERROR(__xludf.DUMMYFUNCTION("""COMPUTED_VALUE"""),"₱ 75,468.00")</f>
        <v>₱ 75,468.00</v>
      </c>
      <c r="E2981" s="164"/>
      <c r="F2981" s="164" t="str">
        <f ca="1">IFERROR(__xludf.DUMMYFUNCTION("""COMPUTED_VALUE"""),"2023-05-03-10201SP-1405-01")</f>
        <v>2023-05-03-10201SP-1405-01</v>
      </c>
      <c r="G2981" s="164"/>
      <c r="H2981" s="164" t="str">
        <f ca="1">IFERROR(__xludf.DUMMYFUNCTION("""COMPUTED_VALUE"""),"MARK LOUIE BACIERRA / CAÑETE, ARIANE C.")</f>
        <v>MARK LOUIE BACIERRA / CAÑETE, ARIANE C.</v>
      </c>
      <c r="I2981" s="164" t="str">
        <f ca="1">IFERROR(__xludf.DUMMYFUNCTION("""COMPUTED_VALUE"""),"M&amp;E Staff")</f>
        <v>M&amp;E Staff</v>
      </c>
      <c r="J2981" s="164" t="str">
        <f ca="1">IFERROR(__xludf.DUMMYFUNCTION("""COMPUTED_VALUE"""),"PTR# 031-2023")</f>
        <v>PTR# 031-2023</v>
      </c>
      <c r="K2981" s="164" t="str">
        <f ca="1">IFERROR(__xludf.DUMMYFUNCTION("""COMPUTED_VALUE"""),"MARK LOUIE BACIERRA / CAÑETE, ARIANE C.")</f>
        <v>MARK LOUIE BACIERRA / CAÑETE, ARIANE C.</v>
      </c>
      <c r="L2981" s="164" t="str">
        <f ca="1">IFERROR(__xludf.DUMMYFUNCTION("""COMPUTED_VALUE"""),"SPLIT")</f>
        <v>SPLIT</v>
      </c>
      <c r="M2981" s="164" t="str">
        <f ca="1">IFERROR(__xludf.DUMMYFUNCTION("""COMPUTED_VALUE"""),"SERVICEABLE")</f>
        <v>SERVICEABLE</v>
      </c>
      <c r="N2981" s="164"/>
    </row>
    <row r="2982" spans="1:14" ht="13.2" hidden="1">
      <c r="A2982" s="164" t="str">
        <f ca="1">IFERROR(__xludf.DUMMYFUNCTION("""COMPUTED_VALUE"""),"REGION VIII")</f>
        <v>REGION VIII</v>
      </c>
      <c r="B2982" s="164" t="str">
        <f ca="1">IFERROR(__xludf.DUMMYFUNCTION("""COMPUTED_VALUE"""),"Western Samar")</f>
        <v>Western Samar</v>
      </c>
      <c r="C2982" s="164" t="str">
        <f ca="1">IFERROR(__xludf.DUMMYFUNCTION("""COMPUTED_VALUE"""),"Desktop Computer – (Lenovo M70T)")</f>
        <v>Desktop Computer – (Lenovo M70T)</v>
      </c>
      <c r="D2982" s="164" t="str">
        <f ca="1">IFERROR(__xludf.DUMMYFUNCTION("""COMPUTED_VALUE"""),"₱ 75,468.00")</f>
        <v>₱ 75,468.00</v>
      </c>
      <c r="E2982" s="164"/>
      <c r="F2982" s="164" t="str">
        <f ca="1">IFERROR(__xludf.DUMMYFUNCTION("""COMPUTED_VALUE"""),"2023-05-03-10201SP-1406-01")</f>
        <v>2023-05-03-10201SP-1406-01</v>
      </c>
      <c r="G2982" s="164"/>
      <c r="H2982" s="164" t="str">
        <f ca="1">IFERROR(__xludf.DUMMYFUNCTION("""COMPUTED_VALUE"""),"MARK LOUIE BACIERRA / GOLISAO, ALLEN C.")</f>
        <v>MARK LOUIE BACIERRA / GOLISAO, ALLEN C.</v>
      </c>
      <c r="I2982" s="164" t="str">
        <f ca="1">IFERROR(__xludf.DUMMYFUNCTION("""COMPUTED_VALUE"""),"AutoCad Operator")</f>
        <v>AutoCad Operator</v>
      </c>
      <c r="J2982" s="164" t="str">
        <f ca="1">IFERROR(__xludf.DUMMYFUNCTION("""COMPUTED_VALUE"""),"PTR# 031-2023")</f>
        <v>PTR# 031-2023</v>
      </c>
      <c r="K2982" s="164" t="str">
        <f ca="1">IFERROR(__xludf.DUMMYFUNCTION("""COMPUTED_VALUE"""),"MARK LOUIE BACIERRA / GOLISAO, ALLEN C.")</f>
        <v>MARK LOUIE BACIERRA / GOLISAO, ALLEN C.</v>
      </c>
      <c r="L2982" s="164" t="str">
        <f ca="1">IFERROR(__xludf.DUMMYFUNCTION("""COMPUTED_VALUE"""),"SPLIT")</f>
        <v>SPLIT</v>
      </c>
      <c r="M2982" s="164" t="str">
        <f ca="1">IFERROR(__xludf.DUMMYFUNCTION("""COMPUTED_VALUE"""),"SERVICEABLE")</f>
        <v>SERVICEABLE</v>
      </c>
      <c r="N2982" s="164"/>
    </row>
    <row r="2983" spans="1:14" ht="13.2" hidden="1">
      <c r="A2983" s="164" t="str">
        <f ca="1">IFERROR(__xludf.DUMMYFUNCTION("""COMPUTED_VALUE"""),"REGION VIII")</f>
        <v>REGION VIII</v>
      </c>
      <c r="B2983" s="164" t="str">
        <f ca="1">IFERROR(__xludf.DUMMYFUNCTION("""COMPUTED_VALUE"""),"Western Samar")</f>
        <v>Western Samar</v>
      </c>
      <c r="C2983" s="164" t="str">
        <f ca="1">IFERROR(__xludf.DUMMYFUNCTION("""COMPUTED_VALUE"""),"Desktop Computer – (Lenovo M70T)")</f>
        <v>Desktop Computer – (Lenovo M70T)</v>
      </c>
      <c r="D2983" s="164" t="str">
        <f ca="1">IFERROR(__xludf.DUMMYFUNCTION("""COMPUTED_VALUE"""),"₱ 75,468.00")</f>
        <v>₱ 75,468.00</v>
      </c>
      <c r="E2983" s="164"/>
      <c r="F2983" s="164" t="str">
        <f ca="1">IFERROR(__xludf.DUMMYFUNCTION("""COMPUTED_VALUE"""),"2023-05-03-10201SP-1408-01")</f>
        <v>2023-05-03-10201SP-1408-01</v>
      </c>
      <c r="G2983" s="164"/>
      <c r="H2983" s="164" t="str">
        <f ca="1">IFERROR(__xludf.DUMMYFUNCTION("""COMPUTED_VALUE"""),"MARK LOUIE BACIERRA / OLAJE, REYLITA C.")</f>
        <v>MARK LOUIE BACIERRA / OLAJE, REYLITA C.</v>
      </c>
      <c r="I2983" s="164" t="str">
        <f ca="1">IFERROR(__xludf.DUMMYFUNCTION("""COMPUTED_VALUE"""),"Validator")</f>
        <v>Validator</v>
      </c>
      <c r="J2983" s="164" t="str">
        <f ca="1">IFERROR(__xludf.DUMMYFUNCTION("""COMPUTED_VALUE"""),"PTR# 031-2023")</f>
        <v>PTR# 031-2023</v>
      </c>
      <c r="K2983" s="164" t="str">
        <f ca="1">IFERROR(__xludf.DUMMYFUNCTION("""COMPUTED_VALUE"""),"MARK LOUIE BACIERRA / OLAJE, REYLITA C.")</f>
        <v>MARK LOUIE BACIERRA / OLAJE, REYLITA C.</v>
      </c>
      <c r="L2983" s="164" t="str">
        <f ca="1">IFERROR(__xludf.DUMMYFUNCTION("""COMPUTED_VALUE"""),"SPLIT")</f>
        <v>SPLIT</v>
      </c>
      <c r="M2983" s="164" t="str">
        <f ca="1">IFERROR(__xludf.DUMMYFUNCTION("""COMPUTED_VALUE"""),"SERVICEABLE")</f>
        <v>SERVICEABLE</v>
      </c>
      <c r="N2983" s="164"/>
    </row>
    <row r="2984" spans="1:14" ht="13.2" hidden="1">
      <c r="A2984" s="164" t="str">
        <f ca="1">IFERROR(__xludf.DUMMYFUNCTION("""COMPUTED_VALUE"""),"REGION VIII")</f>
        <v>REGION VIII</v>
      </c>
      <c r="B2984" s="164" t="str">
        <f ca="1">IFERROR(__xludf.DUMMYFUNCTION("""COMPUTED_VALUE"""),"Western Samar")</f>
        <v>Western Samar</v>
      </c>
      <c r="C2984" s="164" t="str">
        <f ca="1">IFERROR(__xludf.DUMMYFUNCTION("""COMPUTED_VALUE"""),"Desktop Computer – (Lenovo M70T)")</f>
        <v>Desktop Computer – (Lenovo M70T)</v>
      </c>
      <c r="D2984" s="164" t="str">
        <f ca="1">IFERROR(__xludf.DUMMYFUNCTION("""COMPUTED_VALUE"""),"₱ 75,468.00")</f>
        <v>₱ 75,468.00</v>
      </c>
      <c r="E2984" s="164"/>
      <c r="F2984" s="164" t="str">
        <f ca="1">IFERROR(__xludf.DUMMYFUNCTION("""COMPUTED_VALUE"""),"2023-05-03-10201SP-1409-01")</f>
        <v>2023-05-03-10201SP-1409-01</v>
      </c>
      <c r="G2984" s="164"/>
      <c r="H2984" s="164" t="str">
        <f ca="1">IFERROR(__xludf.DUMMYFUNCTION("""COMPUTED_VALUE"""),"MARK LOUIE BACIERRA / DUTERTE, MARGIE L.")</f>
        <v>MARK LOUIE BACIERRA / DUTERTE, MARGIE L.</v>
      </c>
      <c r="I2984" s="164" t="str">
        <f ca="1">IFERROR(__xludf.DUMMYFUNCTION("""COMPUTED_VALUE"""),"Finance Support Staff")</f>
        <v>Finance Support Staff</v>
      </c>
      <c r="J2984" s="164" t="str">
        <f ca="1">IFERROR(__xludf.DUMMYFUNCTION("""COMPUTED_VALUE"""),"PTR# 031-2023")</f>
        <v>PTR# 031-2023</v>
      </c>
      <c r="K2984" s="164" t="str">
        <f ca="1">IFERROR(__xludf.DUMMYFUNCTION("""COMPUTED_VALUE"""),"MARK LOUIE BACIERRA / DUTERTE, MARGIE L.")</f>
        <v>MARK LOUIE BACIERRA / DUTERTE, MARGIE L.</v>
      </c>
      <c r="L2984" s="164" t="str">
        <f ca="1">IFERROR(__xludf.DUMMYFUNCTION("""COMPUTED_VALUE"""),"SPLIT")</f>
        <v>SPLIT</v>
      </c>
      <c r="M2984" s="164" t="str">
        <f ca="1">IFERROR(__xludf.DUMMYFUNCTION("""COMPUTED_VALUE"""),"SERVICEABLE")</f>
        <v>SERVICEABLE</v>
      </c>
      <c r="N2984" s="164"/>
    </row>
    <row r="2985" spans="1:14" ht="13.2" hidden="1">
      <c r="A2985" s="164" t="str">
        <f ca="1">IFERROR(__xludf.DUMMYFUNCTION("""COMPUTED_VALUE"""),"REGION VIII")</f>
        <v>REGION VIII</v>
      </c>
      <c r="B2985" s="164" t="str">
        <f ca="1">IFERROR(__xludf.DUMMYFUNCTION("""COMPUTED_VALUE"""),"Western Samar")</f>
        <v>Western Samar</v>
      </c>
      <c r="C2985" s="164" t="str">
        <f ca="1">IFERROR(__xludf.DUMMYFUNCTION("""COMPUTED_VALUE"""),"Desktop Computer – (Lenovo M70T)")</f>
        <v>Desktop Computer – (Lenovo M70T)</v>
      </c>
      <c r="D2985" s="164" t="str">
        <f ca="1">IFERROR(__xludf.DUMMYFUNCTION("""COMPUTED_VALUE"""),"₱ 75,468.00")</f>
        <v>₱ 75,468.00</v>
      </c>
      <c r="E2985" s="164"/>
      <c r="F2985" s="164" t="str">
        <f ca="1">IFERROR(__xludf.DUMMYFUNCTION("""COMPUTED_VALUE"""),"2023-05-03-10201SP-1410-01")</f>
        <v>2023-05-03-10201SP-1410-01</v>
      </c>
      <c r="G2985" s="164"/>
      <c r="H2985" s="164" t="str">
        <f ca="1">IFERROR(__xludf.DUMMYFUNCTION("""COMPUTED_VALUE"""),"MARK LOUIE BACIERRA / OCENAR, MARIA VICTORIA D.")</f>
        <v>MARK LOUIE BACIERRA / OCENAR, MARIA VICTORIA D.</v>
      </c>
      <c r="I2985" s="164" t="str">
        <f ca="1">IFERROR(__xludf.DUMMYFUNCTION("""COMPUTED_VALUE"""),"Administrative Support Staff")</f>
        <v>Administrative Support Staff</v>
      </c>
      <c r="J2985" s="164" t="str">
        <f ca="1">IFERROR(__xludf.DUMMYFUNCTION("""COMPUTED_VALUE"""),"PTR# 031-2023")</f>
        <v>PTR# 031-2023</v>
      </c>
      <c r="K2985" s="164" t="str">
        <f ca="1">IFERROR(__xludf.DUMMYFUNCTION("""COMPUTED_VALUE"""),"MARK LOUIE BACIERRA / OCENAR, MARIA VICTORIA D.")</f>
        <v>MARK LOUIE BACIERRA / OCENAR, MARIA VICTORIA D.</v>
      </c>
      <c r="L2985" s="164" t="str">
        <f ca="1">IFERROR(__xludf.DUMMYFUNCTION("""COMPUTED_VALUE"""),"SPLIT")</f>
        <v>SPLIT</v>
      </c>
      <c r="M2985" s="164" t="str">
        <f ca="1">IFERROR(__xludf.DUMMYFUNCTION("""COMPUTED_VALUE"""),"SERVICEABLE")</f>
        <v>SERVICEABLE</v>
      </c>
      <c r="N2985" s="164"/>
    </row>
    <row r="2986" spans="1:14" ht="13.2" hidden="1">
      <c r="A2986" s="164" t="str">
        <f ca="1">IFERROR(__xludf.DUMMYFUNCTION("""COMPUTED_VALUE"""),"REGION VIII")</f>
        <v>REGION VIII</v>
      </c>
      <c r="B2986" s="164" t="str">
        <f ca="1">IFERROR(__xludf.DUMMYFUNCTION("""COMPUTED_VALUE"""),"Western Samar")</f>
        <v>Western Samar</v>
      </c>
      <c r="C2986" s="164" t="str">
        <f ca="1">IFERROR(__xludf.DUMMYFUNCTION("""COMPUTED_VALUE"""),"Desktop Computer – (Lenovo M70T)")</f>
        <v>Desktop Computer – (Lenovo M70T)</v>
      </c>
      <c r="D2986" s="164" t="str">
        <f ca="1">IFERROR(__xludf.DUMMYFUNCTION("""COMPUTED_VALUE"""),"₱ 75,468.00")</f>
        <v>₱ 75,468.00</v>
      </c>
      <c r="E2986" s="164"/>
      <c r="F2986" s="164" t="str">
        <f ca="1">IFERROR(__xludf.DUMMYFUNCTION("""COMPUTED_VALUE"""),"2023-05-03-10201SP-1411-01")</f>
        <v>2023-05-03-10201SP-1411-01</v>
      </c>
      <c r="G2986" s="164"/>
      <c r="H2986" s="164" t="str">
        <f ca="1">IFERROR(__xludf.DUMMYFUNCTION("""COMPUTED_VALUE"""),"MARK LOUIE BACIERRA / FLOR, SHEIREY ANN")</f>
        <v>MARK LOUIE BACIERRA / FLOR, SHEIREY ANN</v>
      </c>
      <c r="I2986" s="164" t="str">
        <f ca="1">IFERROR(__xludf.DUMMYFUNCTION("""COMPUTED_VALUE"""),"Procurement Support Staff")</f>
        <v>Procurement Support Staff</v>
      </c>
      <c r="J2986" s="164" t="str">
        <f ca="1">IFERROR(__xludf.DUMMYFUNCTION("""COMPUTED_VALUE"""),"PTR# 031-2023")</f>
        <v>PTR# 031-2023</v>
      </c>
      <c r="K2986" s="164" t="str">
        <f ca="1">IFERROR(__xludf.DUMMYFUNCTION("""COMPUTED_VALUE"""),"MARK LOUIE BACIERRA / FLOR, SHEIREY ANN")</f>
        <v>MARK LOUIE BACIERRA / FLOR, SHEIREY ANN</v>
      </c>
      <c r="L2986" s="164" t="str">
        <f ca="1">IFERROR(__xludf.DUMMYFUNCTION("""COMPUTED_VALUE"""),"SPLIT")</f>
        <v>SPLIT</v>
      </c>
      <c r="M2986" s="164" t="str">
        <f ca="1">IFERROR(__xludf.DUMMYFUNCTION("""COMPUTED_VALUE"""),"SERVICEABLE")</f>
        <v>SERVICEABLE</v>
      </c>
      <c r="N2986" s="164"/>
    </row>
    <row r="2987" spans="1:14" ht="13.2" hidden="1">
      <c r="A2987" s="164" t="str">
        <f ca="1">IFERROR(__xludf.DUMMYFUNCTION("""COMPUTED_VALUE"""),"REGION VIII")</f>
        <v>REGION VIII</v>
      </c>
      <c r="B2987" s="164" t="str">
        <f ca="1">IFERROR(__xludf.DUMMYFUNCTION("""COMPUTED_VALUE"""),"Western Samar")</f>
        <v>Western Samar</v>
      </c>
      <c r="C2987" s="164" t="str">
        <f ca="1">IFERROR(__xludf.DUMMYFUNCTION("""COMPUTED_VALUE"""),"Desktop Computer – (Lenovo M70T)")</f>
        <v>Desktop Computer – (Lenovo M70T)</v>
      </c>
      <c r="D2987" s="164" t="str">
        <f ca="1">IFERROR(__xludf.DUMMYFUNCTION("""COMPUTED_VALUE"""),"₱ 75,468.00")</f>
        <v>₱ 75,468.00</v>
      </c>
      <c r="E2987" s="164"/>
      <c r="F2987" s="164" t="str">
        <f ca="1">IFERROR(__xludf.DUMMYFUNCTION("""COMPUTED_VALUE"""),"2023-05-03-10201SP-1407-01")</f>
        <v>2023-05-03-10201SP-1407-01</v>
      </c>
      <c r="G2987" s="164"/>
      <c r="H2987" s="164" t="str">
        <f ca="1">IFERROR(__xludf.DUMMYFUNCTION("""COMPUTED_VALUE"""),"MARK LOUIE BACIERRA / ISANAN, CHARLIE D.")</f>
        <v>MARK LOUIE BACIERRA / ISANAN, CHARLIE D.</v>
      </c>
      <c r="I2987" s="164" t="str">
        <f ca="1">IFERROR(__xludf.DUMMYFUNCTION("""COMPUTED_VALUE"""),"Technical Support Staff")</f>
        <v>Technical Support Staff</v>
      </c>
      <c r="J2987" s="164" t="str">
        <f ca="1">IFERROR(__xludf.DUMMYFUNCTION("""COMPUTED_VALUE"""),"PTR# 031-2023")</f>
        <v>PTR# 031-2023</v>
      </c>
      <c r="K2987" s="164" t="str">
        <f ca="1">IFERROR(__xludf.DUMMYFUNCTION("""COMPUTED_VALUE"""),"MARK LOUIE BACIERRA / ISANAN, CHARLIE D.")</f>
        <v>MARK LOUIE BACIERRA / ISANAN, CHARLIE D.</v>
      </c>
      <c r="L2987" s="164" t="str">
        <f ca="1">IFERROR(__xludf.DUMMYFUNCTION("""COMPUTED_VALUE"""),"SPLIT")</f>
        <v>SPLIT</v>
      </c>
      <c r="M2987" s="164" t="str">
        <f ca="1">IFERROR(__xludf.DUMMYFUNCTION("""COMPUTED_VALUE"""),"SERVICEABLE")</f>
        <v>SERVICEABLE</v>
      </c>
      <c r="N2987" s="164"/>
    </row>
    <row r="2988" spans="1:14" ht="13.2" hidden="1">
      <c r="A2988" s="164" t="str">
        <f ca="1">IFERROR(__xludf.DUMMYFUNCTION("""COMPUTED_VALUE"""),"REGION VIII")</f>
        <v>REGION VIII</v>
      </c>
      <c r="B2988" s="164" t="str">
        <f ca="1">IFERROR(__xludf.DUMMYFUNCTION("""COMPUTED_VALUE"""),"Western Samar")</f>
        <v>Western Samar</v>
      </c>
      <c r="C2988" s="164" t="str">
        <f ca="1">IFERROR(__xludf.DUMMYFUNCTION("""COMPUTED_VALUE"""),"Desktop Computer – (Lenovo M70T)")</f>
        <v>Desktop Computer – (Lenovo M70T)</v>
      </c>
      <c r="D2988" s="164" t="str">
        <f ca="1">IFERROR(__xludf.DUMMYFUNCTION("""COMPUTED_VALUE"""),"₱ 75,468.00")</f>
        <v>₱ 75,468.00</v>
      </c>
      <c r="E2988" s="164"/>
      <c r="F2988" s="164" t="str">
        <f ca="1">IFERROR(__xludf.DUMMYFUNCTION("""COMPUTED_VALUE"""),"2023-05-03-10201SP-1413-01")</f>
        <v>2023-05-03-10201SP-1413-01</v>
      </c>
      <c r="G2988" s="164"/>
      <c r="H2988" s="164" t="str">
        <f ca="1">IFERROR(__xludf.DUMMYFUNCTION("""COMPUTED_VALUE"""),"FERWIL JAN AQUINO")</f>
        <v>FERWIL JAN AQUINO</v>
      </c>
      <c r="I2988" s="164" t="str">
        <f ca="1">IFERROR(__xludf.DUMMYFUNCTION("""COMPUTED_VALUE"""),"ARPT")</f>
        <v>ARPT</v>
      </c>
      <c r="J2988" s="164" t="str">
        <f ca="1">IFERROR(__xludf.DUMMYFUNCTION("""COMPUTED_VALUE"""),"PTR# SP2023-06-9028")</f>
        <v>PTR# SP2023-06-9028</v>
      </c>
      <c r="K2988" s="164" t="str">
        <f ca="1">IFERROR(__xludf.DUMMYFUNCTION("""COMPUTED_VALUE"""),"FERWIL JAN AQUINO")</f>
        <v>FERWIL JAN AQUINO</v>
      </c>
      <c r="L2988" s="164" t="str">
        <f ca="1">IFERROR(__xludf.DUMMYFUNCTION("""COMPUTED_VALUE"""),"LTSP")</f>
        <v>LTSP</v>
      </c>
      <c r="M2988" s="164" t="str">
        <f ca="1">IFERROR(__xludf.DUMMYFUNCTION("""COMPUTED_VALUE"""),"SERVICEABLE")</f>
        <v>SERVICEABLE</v>
      </c>
      <c r="N2988" s="164"/>
    </row>
    <row r="2989" spans="1:14" ht="13.2" hidden="1">
      <c r="A2989" s="164" t="str">
        <f ca="1">IFERROR(__xludf.DUMMYFUNCTION("""COMPUTED_VALUE"""),"REGION VIII")</f>
        <v>REGION VIII</v>
      </c>
      <c r="B2989" s="164" t="str">
        <f ca="1">IFERROR(__xludf.DUMMYFUNCTION("""COMPUTED_VALUE"""),"Western Samar")</f>
        <v>Western Samar</v>
      </c>
      <c r="C2989" s="164" t="str">
        <f ca="1">IFERROR(__xludf.DUMMYFUNCTION("""COMPUTED_VALUE"""),"Desktop Computer – (Lenovo M70T)")</f>
        <v>Desktop Computer – (Lenovo M70T)</v>
      </c>
      <c r="D2989" s="164" t="str">
        <f ca="1">IFERROR(__xludf.DUMMYFUNCTION("""COMPUTED_VALUE"""),"₱ 75,468.00")</f>
        <v>₱ 75,468.00</v>
      </c>
      <c r="E2989" s="164"/>
      <c r="F2989" s="164" t="str">
        <f ca="1">IFERROR(__xludf.DUMMYFUNCTION("""COMPUTED_VALUE"""),"2023-05-03-10201SP-1414-01")</f>
        <v>2023-05-03-10201SP-1414-01</v>
      </c>
      <c r="G2989" s="164"/>
      <c r="H2989" s="164" t="str">
        <f ca="1">IFERROR(__xludf.DUMMYFUNCTION("""COMPUTED_VALUE"""),"KIMBERLY BRONDIAL")</f>
        <v>KIMBERLY BRONDIAL</v>
      </c>
      <c r="I2989" s="164" t="str">
        <f ca="1">IFERROR(__xludf.DUMMYFUNCTION("""COMPUTED_VALUE"""),"ARPT")</f>
        <v>ARPT</v>
      </c>
      <c r="J2989" s="164" t="str">
        <f ca="1">IFERROR(__xludf.DUMMYFUNCTION("""COMPUTED_VALUE"""),"PTR# SP2023-10-9030")</f>
        <v>PTR# SP2023-10-9030</v>
      </c>
      <c r="K2989" s="164" t="str">
        <f ca="1">IFERROR(__xludf.DUMMYFUNCTION("""COMPUTED_VALUE"""),"KIMBERLY BRONDIAL")</f>
        <v>KIMBERLY BRONDIAL</v>
      </c>
      <c r="L2989" s="164" t="str">
        <f ca="1">IFERROR(__xludf.DUMMYFUNCTION("""COMPUTED_VALUE"""),"LTSP")</f>
        <v>LTSP</v>
      </c>
      <c r="M2989" s="164" t="str">
        <f ca="1">IFERROR(__xludf.DUMMYFUNCTION("""COMPUTED_VALUE"""),"SERVICEABLE")</f>
        <v>SERVICEABLE</v>
      </c>
      <c r="N2989" s="164"/>
    </row>
    <row r="2990" spans="1:14" ht="13.2" hidden="1">
      <c r="A2990" s="164" t="str">
        <f ca="1">IFERROR(__xludf.DUMMYFUNCTION("""COMPUTED_VALUE"""),"REGION VIII")</f>
        <v>REGION VIII</v>
      </c>
      <c r="B2990" s="164" t="str">
        <f ca="1">IFERROR(__xludf.DUMMYFUNCTION("""COMPUTED_VALUE"""),"Western Samar")</f>
        <v>Western Samar</v>
      </c>
      <c r="C2990" s="164" t="str">
        <f ca="1">IFERROR(__xludf.DUMMYFUNCTION("""COMPUTED_VALUE"""),"Desktop Computer – (Lenovo M70T)")</f>
        <v>Desktop Computer – (Lenovo M70T)</v>
      </c>
      <c r="D2990" s="164" t="str">
        <f ca="1">IFERROR(__xludf.DUMMYFUNCTION("""COMPUTED_VALUE"""),"₱ 75,468.00")</f>
        <v>₱ 75,468.00</v>
      </c>
      <c r="E2990" s="164"/>
      <c r="F2990" s="164" t="str">
        <f ca="1">IFERROR(__xludf.DUMMYFUNCTION("""COMPUTED_VALUE"""),"2023-05-03-10201SP-1412-01")</f>
        <v>2023-05-03-10201SP-1412-01</v>
      </c>
      <c r="G2990" s="164"/>
      <c r="H2990" s="164" t="str">
        <f ca="1">IFERROR(__xludf.DUMMYFUNCTION("""COMPUTED_VALUE"""),"JODL CHRISTI PEPITO")</f>
        <v>JODL CHRISTI PEPITO</v>
      </c>
      <c r="I2990" s="164" t="str">
        <f ca="1">IFERROR(__xludf.DUMMYFUNCTION("""COMPUTED_VALUE"""),"ARPT")</f>
        <v>ARPT</v>
      </c>
      <c r="J2990" s="164" t="str">
        <f ca="1">IFERROR(__xludf.DUMMYFUNCTION("""COMPUTED_VALUE"""),"PTR# SP2023-06-9027")</f>
        <v>PTR# SP2023-06-9027</v>
      </c>
      <c r="K2990" s="164" t="str">
        <f ca="1">IFERROR(__xludf.DUMMYFUNCTION("""COMPUTED_VALUE"""),"JODL CHRISTI PEPITO")</f>
        <v>JODL CHRISTI PEPITO</v>
      </c>
      <c r="L2990" s="164" t="str">
        <f ca="1">IFERROR(__xludf.DUMMYFUNCTION("""COMPUTED_VALUE"""),"LTSP")</f>
        <v>LTSP</v>
      </c>
      <c r="M2990" s="164" t="str">
        <f ca="1">IFERROR(__xludf.DUMMYFUNCTION("""COMPUTED_VALUE"""),"SERVICEABLE")</f>
        <v>SERVICEABLE</v>
      </c>
      <c r="N2990" s="164"/>
    </row>
    <row r="2991" spans="1:14" ht="13.2" hidden="1">
      <c r="A2991" s="164" t="str">
        <f ca="1">IFERROR(__xludf.DUMMYFUNCTION("""COMPUTED_VALUE"""),"REGION VIII")</f>
        <v>REGION VIII</v>
      </c>
      <c r="B2991" s="164" t="str">
        <f ca="1">IFERROR(__xludf.DUMMYFUNCTION("""COMPUTED_VALUE"""),"Western Samar")</f>
        <v>Western Samar</v>
      </c>
      <c r="C2991" s="164" t="str">
        <f ca="1">IFERROR(__xludf.DUMMYFUNCTION("""COMPUTED_VALUE"""),"Desktop Computer – (Lenovo M70T)")</f>
        <v>Desktop Computer – (Lenovo M70T)</v>
      </c>
      <c r="D2991" s="164" t="str">
        <f ca="1">IFERROR(__xludf.DUMMYFUNCTION("""COMPUTED_VALUE"""),"₱ 75,468.00")</f>
        <v>₱ 75,468.00</v>
      </c>
      <c r="E2991" s="164"/>
      <c r="F2991" s="164" t="str">
        <f ca="1">IFERROR(__xludf.DUMMYFUNCTION("""COMPUTED_VALUE"""),"2023-05-03-10201SP-1415-01")</f>
        <v>2023-05-03-10201SP-1415-01</v>
      </c>
      <c r="G2991" s="164"/>
      <c r="H2991" s="164" t="str">
        <f ca="1">IFERROR(__xludf.DUMMYFUNCTION("""COMPUTED_VALUE"""),"LUCENA M. MANCOL")</f>
        <v>LUCENA M. MANCOL</v>
      </c>
      <c r="I2991" s="164" t="str">
        <f ca="1">IFERROR(__xludf.DUMMYFUNCTION("""COMPUTED_VALUE"""),"CARPO - LTSP")</f>
        <v>CARPO - LTSP</v>
      </c>
      <c r="J2991" s="164" t="str">
        <f ca="1">IFERROR(__xludf.DUMMYFUNCTION("""COMPUTED_VALUE"""),"PTR# SP2023-10-9031")</f>
        <v>PTR# SP2023-10-9031</v>
      </c>
      <c r="K2991" s="164" t="str">
        <f ca="1">IFERROR(__xludf.DUMMYFUNCTION("""COMPUTED_VALUE"""),"LUCENA M. MANCOL")</f>
        <v>LUCENA M. MANCOL</v>
      </c>
      <c r="L2991" s="164" t="str">
        <f ca="1">IFERROR(__xludf.DUMMYFUNCTION("""COMPUTED_VALUE"""),"LTSP")</f>
        <v>LTSP</v>
      </c>
      <c r="M2991" s="164" t="str">
        <f ca="1">IFERROR(__xludf.DUMMYFUNCTION("""COMPUTED_VALUE"""),"SERVICEABLE")</f>
        <v>SERVICEABLE</v>
      </c>
      <c r="N2991" s="164"/>
    </row>
    <row r="2992" spans="1:14" ht="13.2" hidden="1">
      <c r="A2992" s="164" t="str">
        <f ca="1">IFERROR(__xludf.DUMMYFUNCTION("""COMPUTED_VALUE"""),"REGION VIII")</f>
        <v>REGION VIII</v>
      </c>
      <c r="B2992" s="164" t="str">
        <f ca="1">IFERROR(__xludf.DUMMYFUNCTION("""COMPUTED_VALUE"""),"Western Samar")</f>
        <v>Western Samar</v>
      </c>
      <c r="C2992" s="164" t="str">
        <f ca="1">IFERROR(__xludf.DUMMYFUNCTION("""COMPUTED_VALUE"""),"Desktop Computer – (Lenovo M70T)")</f>
        <v>Desktop Computer – (Lenovo M70T)</v>
      </c>
      <c r="D2992" s="164" t="str">
        <f ca="1">IFERROR(__xludf.DUMMYFUNCTION("""COMPUTED_VALUE"""),"₱ 75,468.00")</f>
        <v>₱ 75,468.00</v>
      </c>
      <c r="E2992" s="164"/>
      <c r="F2992" s="164" t="str">
        <f ca="1">IFERROR(__xludf.DUMMYFUNCTION("""COMPUTED_VALUE"""),"2023-05-03-10201SP-1416-01")</f>
        <v>2023-05-03-10201SP-1416-01</v>
      </c>
      <c r="G2992" s="164"/>
      <c r="H2992" s="164" t="str">
        <f ca="1">IFERROR(__xludf.DUMMYFUNCTION("""COMPUTED_VALUE"""),"BRYAN JOY BADAJOS")</f>
        <v>BRYAN JOY BADAJOS</v>
      </c>
      <c r="I2992" s="164" t="str">
        <f ca="1">IFERROR(__xludf.DUMMYFUNCTION("""COMPUTED_VALUE"""),"Budget Officer")</f>
        <v>Budget Officer</v>
      </c>
      <c r="J2992" s="164" t="str">
        <f ca="1">IFERROR(__xludf.DUMMYFUNCTION("""COMPUTED_VALUE"""),"PTR# SP2023-10-9032")</f>
        <v>PTR# SP2023-10-9032</v>
      </c>
      <c r="K2992" s="164" t="str">
        <f ca="1">IFERROR(__xludf.DUMMYFUNCTION("""COMPUTED_VALUE"""),"BRYAN JOY BADAJOS")</f>
        <v>BRYAN JOY BADAJOS</v>
      </c>
      <c r="L2992" s="164" t="str">
        <f ca="1">IFERROR(__xludf.DUMMYFUNCTION("""COMPUTED_VALUE"""),"STOD")</f>
        <v>STOD</v>
      </c>
      <c r="M2992" s="164" t="str">
        <f ca="1">IFERROR(__xludf.DUMMYFUNCTION("""COMPUTED_VALUE"""),"SERVICEABLE")</f>
        <v>SERVICEABLE</v>
      </c>
      <c r="N2992" s="164"/>
    </row>
    <row r="2993" spans="1:14" ht="13.2" hidden="1">
      <c r="A2993" s="164" t="str">
        <f ca="1">IFERROR(__xludf.DUMMYFUNCTION("""COMPUTED_VALUE"""),"REGION VIII")</f>
        <v>REGION VIII</v>
      </c>
      <c r="B2993" s="164" t="str">
        <f ca="1">IFERROR(__xludf.DUMMYFUNCTION("""COMPUTED_VALUE"""),"Western Samar")</f>
        <v>Western Samar</v>
      </c>
      <c r="C2993" s="164" t="str">
        <f ca="1">IFERROR(__xludf.DUMMYFUNCTION("""COMPUTED_VALUE"""),"Desktop Computer – (Lenovo M70T)")</f>
        <v>Desktop Computer – (Lenovo M70T)</v>
      </c>
      <c r="D2993" s="164" t="str">
        <f ca="1">IFERROR(__xludf.DUMMYFUNCTION("""COMPUTED_VALUE"""),"₱ 75,468.00")</f>
        <v>₱ 75,468.00</v>
      </c>
      <c r="E2993" s="164"/>
      <c r="F2993" s="164" t="str">
        <f ca="1">IFERROR(__xludf.DUMMYFUNCTION("""COMPUTED_VALUE"""),"2023-05-03-10201SP-1417-01")</f>
        <v>2023-05-03-10201SP-1417-01</v>
      </c>
      <c r="G2993" s="164"/>
      <c r="H2993" s="164" t="str">
        <f ca="1">IFERROR(__xludf.DUMMYFUNCTION("""COMPUTED_VALUE"""),"KIRBY NOGADAS")</f>
        <v>KIRBY NOGADAS</v>
      </c>
      <c r="I2993" s="164" t="str">
        <f ca="1">IFERROR(__xludf.DUMMYFUNCTION("""COMPUTED_VALUE"""),"Accountant II")</f>
        <v>Accountant II</v>
      </c>
      <c r="J2993" s="164" t="str">
        <f ca="1">IFERROR(__xludf.DUMMYFUNCTION("""COMPUTED_VALUE"""),"PTR# SP2023-10-9033")</f>
        <v>PTR# SP2023-10-9033</v>
      </c>
      <c r="K2993" s="164" t="str">
        <f ca="1">IFERROR(__xludf.DUMMYFUNCTION("""COMPUTED_VALUE"""),"KIRBY NOGADAS")</f>
        <v>KIRBY NOGADAS</v>
      </c>
      <c r="L2993" s="164" t="str">
        <f ca="1">IFERROR(__xludf.DUMMYFUNCTION("""COMPUTED_VALUE"""),"STOD")</f>
        <v>STOD</v>
      </c>
      <c r="M2993" s="164" t="str">
        <f ca="1">IFERROR(__xludf.DUMMYFUNCTION("""COMPUTED_VALUE"""),"SERVICEABLE")</f>
        <v>SERVICEABLE</v>
      </c>
      <c r="N2993" s="164"/>
    </row>
    <row r="2994" spans="1:14" ht="13.2" hidden="1">
      <c r="A2994" s="164" t="str">
        <f ca="1">IFERROR(__xludf.DUMMYFUNCTION("""COMPUTED_VALUE"""),"REGION VIII")</f>
        <v>REGION VIII</v>
      </c>
      <c r="B2994" s="164" t="str">
        <f ca="1">IFERROR(__xludf.DUMMYFUNCTION("""COMPUTED_VALUE"""),"Western Samar")</f>
        <v>Western Samar</v>
      </c>
      <c r="C2994" s="164" t="str">
        <f ca="1">IFERROR(__xludf.DUMMYFUNCTION("""COMPUTED_VALUE"""),"Desktop Computer – (Lenovo M70T)")</f>
        <v>Desktop Computer – (Lenovo M70T)</v>
      </c>
      <c r="D2994" s="164" t="str">
        <f ca="1">IFERROR(__xludf.DUMMYFUNCTION("""COMPUTED_VALUE"""),"₱ 75,468.00")</f>
        <v>₱ 75,468.00</v>
      </c>
      <c r="E2994" s="164"/>
      <c r="F2994" s="164" t="str">
        <f ca="1">IFERROR(__xludf.DUMMYFUNCTION("""COMPUTED_VALUE"""),"2023-05-03-10201SP-1418-01")</f>
        <v>2023-05-03-10201SP-1418-01</v>
      </c>
      <c r="G2994" s="164"/>
      <c r="H2994" s="164" t="str">
        <f ca="1">IFERROR(__xludf.DUMMYFUNCTION("""COMPUTED_VALUE"""),"MA. DANA BRAZAS")</f>
        <v>MA. DANA BRAZAS</v>
      </c>
      <c r="I2994" s="164" t="str">
        <f ca="1">IFERROR(__xludf.DUMMYFUNCTION("""COMPUTED_VALUE"""),"ARPO I / PARPO's Staff")</f>
        <v>ARPO I / PARPO's Staff</v>
      </c>
      <c r="J2994" s="164" t="str">
        <f ca="1">IFERROR(__xludf.DUMMYFUNCTION("""COMPUTED_VALUE"""),"PTR# SP2023-10-9034")</f>
        <v>PTR# SP2023-10-9034</v>
      </c>
      <c r="K2994" s="164" t="str">
        <f ca="1">IFERROR(__xludf.DUMMYFUNCTION("""COMPUTED_VALUE"""),"MA. DANA BRAZAS")</f>
        <v>MA. DANA BRAZAS</v>
      </c>
      <c r="L2994" s="164" t="str">
        <f ca="1">IFERROR(__xludf.DUMMYFUNCTION("""COMPUTED_VALUE"""),"PARPO'S OFFICE")</f>
        <v>PARPO'S OFFICE</v>
      </c>
      <c r="M2994" s="164" t="str">
        <f ca="1">IFERROR(__xludf.DUMMYFUNCTION("""COMPUTED_VALUE"""),"SERVICEABLE")</f>
        <v>SERVICEABLE</v>
      </c>
      <c r="N2994" s="164"/>
    </row>
    <row r="2995" spans="1:14" ht="13.2" hidden="1">
      <c r="A2995" s="164" t="str">
        <f ca="1">IFERROR(__xludf.DUMMYFUNCTION("""COMPUTED_VALUE"""),"REGION VIII")</f>
        <v>REGION VIII</v>
      </c>
      <c r="B2995" s="164" t="str">
        <f ca="1">IFERROR(__xludf.DUMMYFUNCTION("""COMPUTED_VALUE"""),"Western Samar")</f>
        <v>Western Samar</v>
      </c>
      <c r="C2995" s="164" t="str">
        <f ca="1">IFERROR(__xludf.DUMMYFUNCTION("""COMPUTED_VALUE"""),"Desktop Computer – (Lenovo M70T)")</f>
        <v>Desktop Computer – (Lenovo M70T)</v>
      </c>
      <c r="D2995" s="164" t="str">
        <f ca="1">IFERROR(__xludf.DUMMYFUNCTION("""COMPUTED_VALUE"""),"₱ 75,468.00")</f>
        <v>₱ 75,468.00</v>
      </c>
      <c r="E2995" s="164"/>
      <c r="F2995" s="164" t="str">
        <f ca="1">IFERROR(__xludf.DUMMYFUNCTION("""COMPUTED_VALUE"""),"2023-05-03-10201SP-1419-01")</f>
        <v>2023-05-03-10201SP-1419-01</v>
      </c>
      <c r="G2995" s="164"/>
      <c r="H2995" s="164" t="str">
        <f ca="1">IFERROR(__xludf.DUMMYFUNCTION("""COMPUTED_VALUE"""),"RICARDO FLOR")</f>
        <v>RICARDO FLOR</v>
      </c>
      <c r="I2995" s="164" t="str">
        <f ca="1">IFERROR(__xludf.DUMMYFUNCTION("""COMPUTED_VALUE"""),"MARPO")</f>
        <v>MARPO</v>
      </c>
      <c r="J2995" s="164" t="str">
        <f ca="1">IFERROR(__xludf.DUMMYFUNCTION("""COMPUTED_VALUE"""),"PTR# SP2023-10-9035")</f>
        <v>PTR# SP2023-10-9035</v>
      </c>
      <c r="K2995" s="164" t="str">
        <f ca="1">IFERROR(__xludf.DUMMYFUNCTION("""COMPUTED_VALUE"""),"RICARDO FLOR")</f>
        <v>RICARDO FLOR</v>
      </c>
      <c r="L2995" s="164" t="str">
        <f ca="1">IFERROR(__xludf.DUMMYFUNCTION("""COMPUTED_VALUE"""),"DARMO SAN JORGE")</f>
        <v>DARMO SAN JORGE</v>
      </c>
      <c r="M2995" s="164" t="str">
        <f ca="1">IFERROR(__xludf.DUMMYFUNCTION("""COMPUTED_VALUE"""),"SERVICEABLE")</f>
        <v>SERVICEABLE</v>
      </c>
      <c r="N2995" s="164"/>
    </row>
    <row r="2996" spans="1:14" ht="13.2" hidden="1">
      <c r="A2996" s="164" t="str">
        <f ca="1">IFERROR(__xludf.DUMMYFUNCTION("""COMPUTED_VALUE"""),"REGION VIII")</f>
        <v>REGION VIII</v>
      </c>
      <c r="B2996" s="164" t="str">
        <f ca="1">IFERROR(__xludf.DUMMYFUNCTION("""COMPUTED_VALUE"""),"Western Samar")</f>
        <v>Western Samar</v>
      </c>
      <c r="C2996" s="164" t="str">
        <f ca="1">IFERROR(__xludf.DUMMYFUNCTION("""COMPUTED_VALUE"""),"Desktop Computer – (Lenovo M70T)")</f>
        <v>Desktop Computer – (Lenovo M70T)</v>
      </c>
      <c r="D2996" s="164" t="str">
        <f ca="1">IFERROR(__xludf.DUMMYFUNCTION("""COMPUTED_VALUE"""),"₱ 75,468.00")</f>
        <v>₱ 75,468.00</v>
      </c>
      <c r="E2996" s="164"/>
      <c r="F2996" s="164" t="str">
        <f ca="1">IFERROR(__xludf.DUMMYFUNCTION("""COMPUTED_VALUE"""),"2023-05-03-10201SP-1420-01")</f>
        <v>2023-05-03-10201SP-1420-01</v>
      </c>
      <c r="G2996" s="164"/>
      <c r="H2996" s="164" t="str">
        <f ca="1">IFERROR(__xludf.DUMMYFUNCTION("""COMPUTED_VALUE"""),"CONSTANCIO MABAG JR.")</f>
        <v>CONSTANCIO MABAG JR.</v>
      </c>
      <c r="I2996" s="164" t="str">
        <f ca="1">IFERROR(__xludf.DUMMYFUNCTION("""COMPUTED_VALUE"""),"MARPO")</f>
        <v>MARPO</v>
      </c>
      <c r="J2996" s="164" t="str">
        <f ca="1">IFERROR(__xludf.DUMMYFUNCTION("""COMPUTED_VALUE"""),"PTR# SP2023-12-9050")</f>
        <v>PTR# SP2023-12-9050</v>
      </c>
      <c r="K2996" s="164" t="str">
        <f ca="1">IFERROR(__xludf.DUMMYFUNCTION("""COMPUTED_VALUE"""),"CONSTANCIO MABAG JR.")</f>
        <v>CONSTANCIO MABAG JR.</v>
      </c>
      <c r="L2996" s="164" t="str">
        <f ca="1">IFERROR(__xludf.DUMMYFUNCTION("""COMPUTED_VALUE"""),"DARMO CALBIGA")</f>
        <v>DARMO CALBIGA</v>
      </c>
      <c r="M2996" s="164" t="str">
        <f ca="1">IFERROR(__xludf.DUMMYFUNCTION("""COMPUTED_VALUE"""),"SERVICEABLE")</f>
        <v>SERVICEABLE</v>
      </c>
      <c r="N2996" s="164"/>
    </row>
    <row r="2997" spans="1:14" ht="13.2" hidden="1">
      <c r="A2997" s="164" t="str">
        <f ca="1">IFERROR(__xludf.DUMMYFUNCTION("""COMPUTED_VALUE"""),"REGION VIII")</f>
        <v>REGION VIII</v>
      </c>
      <c r="B2997" s="164" t="str">
        <f ca="1">IFERROR(__xludf.DUMMYFUNCTION("""COMPUTED_VALUE"""),"Western Samar")</f>
        <v>Western Samar</v>
      </c>
      <c r="C2997" s="164" t="str">
        <f ca="1">IFERROR(__xludf.DUMMYFUNCTION("""COMPUTED_VALUE"""),"Desktop Computer – (Lenovo M70T)")</f>
        <v>Desktop Computer – (Lenovo M70T)</v>
      </c>
      <c r="D2997" s="164" t="str">
        <f ca="1">IFERROR(__xludf.DUMMYFUNCTION("""COMPUTED_VALUE"""),"₱ 75,468.00")</f>
        <v>₱ 75,468.00</v>
      </c>
      <c r="E2997" s="164"/>
      <c r="F2997" s="164" t="str">
        <f ca="1">IFERROR(__xludf.DUMMYFUNCTION("""COMPUTED_VALUE"""),"2023-05-03-10201SP-1421-01")</f>
        <v>2023-05-03-10201SP-1421-01</v>
      </c>
      <c r="G2997" s="164"/>
      <c r="H2997" s="164" t="str">
        <f ca="1">IFERROR(__xludf.DUMMYFUNCTION("""COMPUTED_VALUE"""),"LINDA AGBON")</f>
        <v>LINDA AGBON</v>
      </c>
      <c r="I2997" s="164" t="str">
        <f ca="1">IFERROR(__xludf.DUMMYFUNCTION("""COMPUTED_VALUE"""),"MARPO")</f>
        <v>MARPO</v>
      </c>
      <c r="J2997" s="164" t="str">
        <f ca="1">IFERROR(__xludf.DUMMYFUNCTION("""COMPUTED_VALUE"""),"PTR# SP2023-10-9037")</f>
        <v>PTR# SP2023-10-9037</v>
      </c>
      <c r="K2997" s="164" t="str">
        <f ca="1">IFERROR(__xludf.DUMMYFUNCTION("""COMPUTED_VALUE"""),"LINDA AGBON")</f>
        <v>LINDA AGBON</v>
      </c>
      <c r="L2997" s="164" t="str">
        <f ca="1">IFERROR(__xludf.DUMMYFUNCTION("""COMPUTED_VALUE"""),"DARMO CATBALOGAN")</f>
        <v>DARMO CATBALOGAN</v>
      </c>
      <c r="M2997" s="164" t="str">
        <f ca="1">IFERROR(__xludf.DUMMYFUNCTION("""COMPUTED_VALUE"""),"SERVICEABLE")</f>
        <v>SERVICEABLE</v>
      </c>
      <c r="N2997" s="164"/>
    </row>
    <row r="2998" spans="1:14" ht="13.2" hidden="1">
      <c r="A2998" s="164" t="str">
        <f ca="1">IFERROR(__xludf.DUMMYFUNCTION("""COMPUTED_VALUE"""),"REGION VIII")</f>
        <v>REGION VIII</v>
      </c>
      <c r="B2998" s="164" t="str">
        <f ca="1">IFERROR(__xludf.DUMMYFUNCTION("""COMPUTED_VALUE"""),"Western Samar")</f>
        <v>Western Samar</v>
      </c>
      <c r="C2998" s="164" t="str">
        <f ca="1">IFERROR(__xludf.DUMMYFUNCTION("""COMPUTED_VALUE"""),"Desktop Computer – (HP Pro SFF 280G9)")</f>
        <v>Desktop Computer – (HP Pro SFF 280G9)</v>
      </c>
      <c r="D2998" s="164" t="str">
        <f ca="1">IFERROR(__xludf.DUMMYFUNCTION("""COMPUTED_VALUE"""),"₱ 78,898.00")</f>
        <v>₱ 78,898.00</v>
      </c>
      <c r="E2998" s="164"/>
      <c r="F2998" s="164" t="str">
        <f ca="1">IFERROR(__xludf.DUMMYFUNCTION("""COMPUTED_VALUE"""),"2023-05-03-10201SP-171-01")</f>
        <v>2023-05-03-10201SP-171-01</v>
      </c>
      <c r="G2998" s="164"/>
      <c r="H2998" s="164" t="str">
        <f ca="1">IFERROR(__xludf.DUMMYFUNCTION("""COMPUTED_VALUE"""),"ATTY. RONALDO ESCRIBANO")</f>
        <v>ATTY. RONALDO ESCRIBANO</v>
      </c>
      <c r="I2998" s="164" t="str">
        <f ca="1">IFERROR(__xludf.DUMMYFUNCTION("""COMPUTED_VALUE"""),"OIC-Chief Legal Officer")</f>
        <v>OIC-Chief Legal Officer</v>
      </c>
      <c r="J2998" s="164" t="str">
        <f ca="1">IFERROR(__xludf.DUMMYFUNCTION("""COMPUTED_VALUE"""),"PTR# SP2023-12-9041")</f>
        <v>PTR# SP2023-12-9041</v>
      </c>
      <c r="K2998" s="164" t="str">
        <f ca="1">IFERROR(__xludf.DUMMYFUNCTION("""COMPUTED_VALUE"""),"ATTY. RONALDO ESCRIBANO")</f>
        <v>ATTY. RONALDO ESCRIBANO</v>
      </c>
      <c r="L2998" s="164" t="str">
        <f ca="1">IFERROR(__xludf.DUMMYFUNCTION("""COMPUTED_VALUE"""),"LEGAL")</f>
        <v>LEGAL</v>
      </c>
      <c r="M2998" s="164" t="str">
        <f ca="1">IFERROR(__xludf.DUMMYFUNCTION("""COMPUTED_VALUE"""),"SERVICEABLE")</f>
        <v>SERVICEABLE</v>
      </c>
      <c r="N2998" s="164"/>
    </row>
    <row r="2999" spans="1:14" ht="13.2" hidden="1">
      <c r="A2999" s="164" t="str">
        <f ca="1">IFERROR(__xludf.DUMMYFUNCTION("""COMPUTED_VALUE"""),"REGION VIII")</f>
        <v>REGION VIII</v>
      </c>
      <c r="B2999" s="164" t="str">
        <f ca="1">IFERROR(__xludf.DUMMYFUNCTION("""COMPUTED_VALUE"""),"Western Samar")</f>
        <v>Western Samar</v>
      </c>
      <c r="C2999" s="164" t="str">
        <f ca="1">IFERROR(__xludf.DUMMYFUNCTION("""COMPUTED_VALUE"""),"Desktop Computer – (HP Pro SFF 280G9)")</f>
        <v>Desktop Computer – (HP Pro SFF 280G9)</v>
      </c>
      <c r="D2999" s="164" t="str">
        <f ca="1">IFERROR(__xludf.DUMMYFUNCTION("""COMPUTED_VALUE"""),"₱ 78,898.00")</f>
        <v>₱ 78,898.00</v>
      </c>
      <c r="E2999" s="164"/>
      <c r="F2999" s="164" t="str">
        <f ca="1">IFERROR(__xludf.DUMMYFUNCTION("""COMPUTED_VALUE"""),"2023-05-03-10201SP-172-01")</f>
        <v>2023-05-03-10201SP-172-01</v>
      </c>
      <c r="G2999" s="164"/>
      <c r="H2999" s="164" t="str">
        <f ca="1">IFERROR(__xludf.DUMMYFUNCTION("""COMPUTED_VALUE"""),"ATTY. RONALDO ESCRIBANO")</f>
        <v>ATTY. RONALDO ESCRIBANO</v>
      </c>
      <c r="I2999" s="164" t="str">
        <f ca="1">IFERROR(__xludf.DUMMYFUNCTION("""COMPUTED_VALUE"""),"OIC-Chief Legal Officer")</f>
        <v>OIC-Chief Legal Officer</v>
      </c>
      <c r="J2999" s="164" t="str">
        <f ca="1">IFERROR(__xludf.DUMMYFUNCTION("""COMPUTED_VALUE"""),"PTR# SP2023-12-9042")</f>
        <v>PTR# SP2023-12-9042</v>
      </c>
      <c r="K2999" s="164" t="str">
        <f ca="1">IFERROR(__xludf.DUMMYFUNCTION("""COMPUTED_VALUE"""),"ATTY. RONALDO ESCRIBANO")</f>
        <v>ATTY. RONALDO ESCRIBANO</v>
      </c>
      <c r="L2999" s="164" t="str">
        <f ca="1">IFERROR(__xludf.DUMMYFUNCTION("""COMPUTED_VALUE"""),"LEGAL")</f>
        <v>LEGAL</v>
      </c>
      <c r="M2999" s="164" t="str">
        <f ca="1">IFERROR(__xludf.DUMMYFUNCTION("""COMPUTED_VALUE"""),"SERVICEABLE")</f>
        <v>SERVICEABLE</v>
      </c>
      <c r="N2999" s="164"/>
    </row>
    <row r="3000" spans="1:14" ht="13.2" hidden="1">
      <c r="A3000" s="164" t="str">
        <f ca="1">IFERROR(__xludf.DUMMYFUNCTION("""COMPUTED_VALUE"""),"REGION VIII")</f>
        <v>REGION VIII</v>
      </c>
      <c r="B3000" s="164" t="str">
        <f ca="1">IFERROR(__xludf.DUMMYFUNCTION("""COMPUTED_VALUE"""),"Western Samar")</f>
        <v>Western Samar</v>
      </c>
      <c r="C3000" s="164" t="str">
        <f ca="1">IFERROR(__xludf.DUMMYFUNCTION("""COMPUTED_VALUE"""),"Desktop Computer – (HP Pro SFF 280G9)")</f>
        <v>Desktop Computer – (HP Pro SFF 280G9)</v>
      </c>
      <c r="D3000" s="164" t="str">
        <f ca="1">IFERROR(__xludf.DUMMYFUNCTION("""COMPUTED_VALUE"""),"₱ 78,898.00")</f>
        <v>₱ 78,898.00</v>
      </c>
      <c r="E3000" s="164"/>
      <c r="F3000" s="164" t="str">
        <f ca="1">IFERROR(__xludf.DUMMYFUNCTION("""COMPUTED_VALUE"""),"2023-05-03-10201SP-173-01")</f>
        <v>2023-05-03-10201SP-173-01</v>
      </c>
      <c r="G3000" s="164"/>
      <c r="H3000" s="164" t="str">
        <f ca="1">IFERROR(__xludf.DUMMYFUNCTION("""COMPUTED_VALUE"""),"LUCENA M. MANCOL")</f>
        <v>LUCENA M. MANCOL</v>
      </c>
      <c r="I3000" s="164" t="str">
        <f ca="1">IFERROR(__xludf.DUMMYFUNCTION("""COMPUTED_VALUE"""),"CARPO - LTSP")</f>
        <v>CARPO - LTSP</v>
      </c>
      <c r="J3000" s="164" t="str">
        <f ca="1">IFERROR(__xludf.DUMMYFUNCTION("""COMPUTED_VALUE"""),"PTR# SP2023-12-9043")</f>
        <v>PTR# SP2023-12-9043</v>
      </c>
      <c r="K3000" s="164" t="str">
        <f ca="1">IFERROR(__xludf.DUMMYFUNCTION("""COMPUTED_VALUE"""),"LUCENA M. MANCOL")</f>
        <v>LUCENA M. MANCOL</v>
      </c>
      <c r="L3000" s="164" t="str">
        <f ca="1">IFERROR(__xludf.DUMMYFUNCTION("""COMPUTED_VALUE"""),"SPLIT")</f>
        <v>SPLIT</v>
      </c>
      <c r="M3000" s="164" t="str">
        <f ca="1">IFERROR(__xludf.DUMMYFUNCTION("""COMPUTED_VALUE"""),"SERVICEABLE")</f>
        <v>SERVICEABLE</v>
      </c>
      <c r="N3000" s="164"/>
    </row>
    <row r="3001" spans="1:14" ht="13.2" hidden="1">
      <c r="A3001" s="164" t="str">
        <f ca="1">IFERROR(__xludf.DUMMYFUNCTION("""COMPUTED_VALUE"""),"REGION VIII")</f>
        <v>REGION VIII</v>
      </c>
      <c r="B3001" s="164" t="str">
        <f ca="1">IFERROR(__xludf.DUMMYFUNCTION("""COMPUTED_VALUE"""),"Western Samar")</f>
        <v>Western Samar</v>
      </c>
      <c r="C3001" s="164" t="str">
        <f ca="1">IFERROR(__xludf.DUMMYFUNCTION("""COMPUTED_VALUE"""),"Desktop Computer – (HP Pro SFF 280G9)")</f>
        <v>Desktop Computer – (HP Pro SFF 280G9)</v>
      </c>
      <c r="D3001" s="164" t="str">
        <f ca="1">IFERROR(__xludf.DUMMYFUNCTION("""COMPUTED_VALUE"""),"₱ 78,898.00")</f>
        <v>₱ 78,898.00</v>
      </c>
      <c r="E3001" s="164"/>
      <c r="F3001" s="164" t="str">
        <f ca="1">IFERROR(__xludf.DUMMYFUNCTION("""COMPUTED_VALUE"""),"2023-05-03-10201SP-174-01")</f>
        <v>2023-05-03-10201SP-174-01</v>
      </c>
      <c r="G3001" s="164"/>
      <c r="H3001" s="164" t="str">
        <f ca="1">IFERROR(__xludf.DUMMYFUNCTION("""COMPUTED_VALUE"""),"LUCENA M. MANCOL")</f>
        <v>LUCENA M. MANCOL</v>
      </c>
      <c r="I3001" s="164" t="str">
        <f ca="1">IFERROR(__xludf.DUMMYFUNCTION("""COMPUTED_VALUE"""),"CARPO - LTSP")</f>
        <v>CARPO - LTSP</v>
      </c>
      <c r="J3001" s="164" t="str">
        <f ca="1">IFERROR(__xludf.DUMMYFUNCTION("""COMPUTED_VALUE"""),"PTR# SP2023-12-9044")</f>
        <v>PTR# SP2023-12-9044</v>
      </c>
      <c r="K3001" s="164" t="str">
        <f ca="1">IFERROR(__xludf.DUMMYFUNCTION("""COMPUTED_VALUE"""),"LUCENA M. MANCOL")</f>
        <v>LUCENA M. MANCOL</v>
      </c>
      <c r="L3001" s="164" t="str">
        <f ca="1">IFERROR(__xludf.DUMMYFUNCTION("""COMPUTED_VALUE"""),"SPLIT")</f>
        <v>SPLIT</v>
      </c>
      <c r="M3001" s="164" t="str">
        <f ca="1">IFERROR(__xludf.DUMMYFUNCTION("""COMPUTED_VALUE"""),"SERVICEABLE")</f>
        <v>SERVICEABLE</v>
      </c>
      <c r="N3001" s="164"/>
    </row>
    <row r="3002" spans="1:14" ht="13.2" hidden="1">
      <c r="A3002" s="164" t="str">
        <f ca="1">IFERROR(__xludf.DUMMYFUNCTION("""COMPUTED_VALUE"""),"REGION VIII")</f>
        <v>REGION VIII</v>
      </c>
      <c r="B3002" s="164" t="str">
        <f ca="1">IFERROR(__xludf.DUMMYFUNCTION("""COMPUTED_VALUE"""),"Western Samar")</f>
        <v>Western Samar</v>
      </c>
      <c r="C3002" s="164" t="str">
        <f ca="1">IFERROR(__xludf.DUMMYFUNCTION("""COMPUTED_VALUE"""),"Desktop Computer – (HP Pro SFF 280G9)")</f>
        <v>Desktop Computer – (HP Pro SFF 280G9)</v>
      </c>
      <c r="D3002" s="164" t="str">
        <f ca="1">IFERROR(__xludf.DUMMYFUNCTION("""COMPUTED_VALUE"""),"₱ 78,898.00")</f>
        <v>₱ 78,898.00</v>
      </c>
      <c r="E3002" s="164"/>
      <c r="F3002" s="164" t="str">
        <f ca="1">IFERROR(__xludf.DUMMYFUNCTION("""COMPUTED_VALUE"""),"2023-05-03-10201SP-175-01")</f>
        <v>2023-05-03-10201SP-175-01</v>
      </c>
      <c r="G3002" s="164"/>
      <c r="H3002" s="164" t="str">
        <f ca="1">IFERROR(__xludf.DUMMYFUNCTION("""COMPUTED_VALUE"""),"SEGUNDINO PAGLIAWAN")</f>
        <v>SEGUNDINO PAGLIAWAN</v>
      </c>
      <c r="I3002" s="164" t="str">
        <f ca="1">IFERROR(__xludf.DUMMYFUNCTION("""COMPUTED_VALUE"""),"PARPO I")</f>
        <v>PARPO I</v>
      </c>
      <c r="J3002" s="164" t="str">
        <f ca="1">IFERROR(__xludf.DUMMYFUNCTION("""COMPUTED_VALUE"""),"PTR# SP2023-12-9045")</f>
        <v>PTR# SP2023-12-9045</v>
      </c>
      <c r="K3002" s="164" t="str">
        <f ca="1">IFERROR(__xludf.DUMMYFUNCTION("""COMPUTED_VALUE"""),"SEGUNDINO PAGLIAWAN")</f>
        <v>SEGUNDINO PAGLIAWAN</v>
      </c>
      <c r="L3002" s="164" t="str">
        <f ca="1">IFERROR(__xludf.DUMMYFUNCTION("""COMPUTED_VALUE"""),"SPLIT")</f>
        <v>SPLIT</v>
      </c>
      <c r="M3002" s="164" t="str">
        <f ca="1">IFERROR(__xludf.DUMMYFUNCTION("""COMPUTED_VALUE"""),"SERVICEABLE")</f>
        <v>SERVICEABLE</v>
      </c>
      <c r="N3002" s="164"/>
    </row>
    <row r="3003" spans="1:14" ht="13.2" hidden="1">
      <c r="A3003" s="164" t="str">
        <f ca="1">IFERROR(__xludf.DUMMYFUNCTION("""COMPUTED_VALUE"""),"REGION VIII")</f>
        <v>REGION VIII</v>
      </c>
      <c r="B3003" s="164" t="str">
        <f ca="1">IFERROR(__xludf.DUMMYFUNCTION("""COMPUTED_VALUE"""),"Western Samar")</f>
        <v>Western Samar</v>
      </c>
      <c r="C3003" s="164" t="str">
        <f ca="1">IFERROR(__xludf.DUMMYFUNCTION("""COMPUTED_VALUE"""),"Laptop – (ACER EXTENSA EX215-55G i7)")</f>
        <v>Laptop – (ACER EXTENSA EX215-55G i7)</v>
      </c>
      <c r="D3003" s="164" t="str">
        <f ca="1">IFERROR(__xludf.DUMMYFUNCTION("""COMPUTED_VALUE"""),"₱ 59,500.00")</f>
        <v>₱ 59,500.00</v>
      </c>
      <c r="E3003" s="164"/>
      <c r="F3003" s="164" t="str">
        <f ca="1">IFERROR(__xludf.DUMMYFUNCTION("""COMPUTED_VALUE"""),"2023-05-03-10202SP-245-01")</f>
        <v>2023-05-03-10202SP-245-01</v>
      </c>
      <c r="G3003" s="164"/>
      <c r="H3003" s="164" t="str">
        <f ca="1">IFERROR(__xludf.DUMMYFUNCTION("""COMPUTED_VALUE"""),"SEGUNDINO PAGLIAWAN")</f>
        <v>SEGUNDINO PAGLIAWAN</v>
      </c>
      <c r="I3003" s="164" t="str">
        <f ca="1">IFERROR(__xludf.DUMMYFUNCTION("""COMPUTED_VALUE"""),"PARPO I")</f>
        <v>PARPO I</v>
      </c>
      <c r="J3003" s="164" t="str">
        <f ca="1">IFERROR(__xludf.DUMMYFUNCTION("""COMPUTED_VALUE"""),"PTR# SP2023-12-9046")</f>
        <v>PTR# SP2023-12-9046</v>
      </c>
      <c r="K3003" s="164" t="str">
        <f ca="1">IFERROR(__xludf.DUMMYFUNCTION("""COMPUTED_VALUE"""),"SEGUNDINO PAGLIAWAN")</f>
        <v>SEGUNDINO PAGLIAWAN</v>
      </c>
      <c r="L3003" s="164" t="str">
        <f ca="1">IFERROR(__xludf.DUMMYFUNCTION("""COMPUTED_VALUE"""),"SPLIT")</f>
        <v>SPLIT</v>
      </c>
      <c r="M3003" s="164" t="str">
        <f ca="1">IFERROR(__xludf.DUMMYFUNCTION("""COMPUTED_VALUE"""),"SERVICEABLE")</f>
        <v>SERVICEABLE</v>
      </c>
      <c r="N3003" s="164"/>
    </row>
    <row r="3004" spans="1:14" ht="13.2" hidden="1">
      <c r="A3004" s="164" t="str">
        <f ca="1">IFERROR(__xludf.DUMMYFUNCTION("""COMPUTED_VALUE"""),"REGION VIII")</f>
        <v>REGION VIII</v>
      </c>
      <c r="B3004" s="164" t="str">
        <f ca="1">IFERROR(__xludf.DUMMYFUNCTION("""COMPUTED_VALUE"""),"Western Samar")</f>
        <v>Western Samar</v>
      </c>
      <c r="C3004" s="164" t="str">
        <f ca="1">IFERROR(__xludf.DUMMYFUNCTION("""COMPUTED_VALUE"""),"Laptop – (ACER EXTENSA EX215-55G i7)")</f>
        <v>Laptop – (ACER EXTENSA EX215-55G i7)</v>
      </c>
      <c r="D3004" s="164" t="str">
        <f ca="1">IFERROR(__xludf.DUMMYFUNCTION("""COMPUTED_VALUE"""),"₱ 59,500.00")</f>
        <v>₱ 59,500.00</v>
      </c>
      <c r="E3004" s="164"/>
      <c r="F3004" s="164" t="str">
        <f ca="1">IFERROR(__xludf.DUMMYFUNCTION("""COMPUTED_VALUE"""),"2023-05-03-10202SP-246-01")</f>
        <v>2023-05-03-10202SP-246-01</v>
      </c>
      <c r="G3004" s="164"/>
      <c r="H3004" s="164" t="str">
        <f ca="1">IFERROR(__xludf.DUMMYFUNCTION("""COMPUTED_VALUE"""),"SEGUNDINO PAGLIAWAN")</f>
        <v>SEGUNDINO PAGLIAWAN</v>
      </c>
      <c r="I3004" s="164" t="str">
        <f ca="1">IFERROR(__xludf.DUMMYFUNCTION("""COMPUTED_VALUE"""),"PARPO I")</f>
        <v>PARPO I</v>
      </c>
      <c r="J3004" s="164" t="str">
        <f ca="1">IFERROR(__xludf.DUMMYFUNCTION("""COMPUTED_VALUE"""),"PTR# SP2023-12-9047")</f>
        <v>PTR# SP2023-12-9047</v>
      </c>
      <c r="K3004" s="164" t="str">
        <f ca="1">IFERROR(__xludf.DUMMYFUNCTION("""COMPUTED_VALUE"""),"SEGUNDINO PAGLIAWAN")</f>
        <v>SEGUNDINO PAGLIAWAN</v>
      </c>
      <c r="L3004" s="164" t="str">
        <f ca="1">IFERROR(__xludf.DUMMYFUNCTION("""COMPUTED_VALUE"""),"SPLIT")</f>
        <v>SPLIT</v>
      </c>
      <c r="M3004" s="164" t="str">
        <f ca="1">IFERROR(__xludf.DUMMYFUNCTION("""COMPUTED_VALUE"""),"SERVICEABLE")</f>
        <v>SERVICEABLE</v>
      </c>
      <c r="N3004" s="164"/>
    </row>
    <row r="3005" spans="1:14" ht="13.2" hidden="1">
      <c r="A3005" s="164" t="str">
        <f ca="1">IFERROR(__xludf.DUMMYFUNCTION("""COMPUTED_VALUE"""),"REGION VIII")</f>
        <v>REGION VIII</v>
      </c>
      <c r="B3005" s="164" t="str">
        <f ca="1">IFERROR(__xludf.DUMMYFUNCTION("""COMPUTED_VALUE"""),"Western Samar")</f>
        <v>Western Samar</v>
      </c>
      <c r="C3005" s="164" t="str">
        <f ca="1">IFERROR(__xludf.DUMMYFUNCTION("""COMPUTED_VALUE"""),"Laptop – (ACER EXTENSA EX215-55G i7)")</f>
        <v>Laptop – (ACER EXTENSA EX215-55G i7)</v>
      </c>
      <c r="D3005" s="164" t="str">
        <f ca="1">IFERROR(__xludf.DUMMYFUNCTION("""COMPUTED_VALUE"""),"₱ 59,500.00")</f>
        <v>₱ 59,500.00</v>
      </c>
      <c r="E3005" s="164"/>
      <c r="F3005" s="164" t="str">
        <f ca="1">IFERROR(__xludf.DUMMYFUNCTION("""COMPUTED_VALUE"""),"2023-05-03-10202SP-248-01")</f>
        <v>2023-05-03-10202SP-248-01</v>
      </c>
      <c r="G3005" s="164"/>
      <c r="H3005" s="164" t="str">
        <f ca="1">IFERROR(__xludf.DUMMYFUNCTION("""COMPUTED_VALUE"""),"LUCENA M. MANCOL")</f>
        <v>LUCENA M. MANCOL</v>
      </c>
      <c r="I3005" s="164" t="str">
        <f ca="1">IFERROR(__xludf.DUMMYFUNCTION("""COMPUTED_VALUE"""),"CARPO - LTSP")</f>
        <v>CARPO - LTSP</v>
      </c>
      <c r="J3005" s="164" t="str">
        <f ca="1">IFERROR(__xludf.DUMMYFUNCTION("""COMPUTED_VALUE"""),"PTR# SP2023-12-9048")</f>
        <v>PTR# SP2023-12-9048</v>
      </c>
      <c r="K3005" s="164" t="str">
        <f ca="1">IFERROR(__xludf.DUMMYFUNCTION("""COMPUTED_VALUE"""),"LUCENA M. MANCOL")</f>
        <v>LUCENA M. MANCOL</v>
      </c>
      <c r="L3005" s="164" t="str">
        <f ca="1">IFERROR(__xludf.DUMMYFUNCTION("""COMPUTED_VALUE"""),"SPLIT")</f>
        <v>SPLIT</v>
      </c>
      <c r="M3005" s="164" t="str">
        <f ca="1">IFERROR(__xludf.DUMMYFUNCTION("""COMPUTED_VALUE"""),"SERVICEABLE")</f>
        <v>SERVICEABLE</v>
      </c>
      <c r="N3005" s="164"/>
    </row>
    <row r="3006" spans="1:14" ht="13.2" hidden="1">
      <c r="A3006" s="164" t="str">
        <f ca="1">IFERROR(__xludf.DUMMYFUNCTION("""COMPUTED_VALUE"""),"REGION VIII")</f>
        <v>REGION VIII</v>
      </c>
      <c r="B3006" s="164" t="str">
        <f ca="1">IFERROR(__xludf.DUMMYFUNCTION("""COMPUTED_VALUE"""),"Western Samar")</f>
        <v>Western Samar</v>
      </c>
      <c r="C3006" s="164" t="str">
        <f ca="1">IFERROR(__xludf.DUMMYFUNCTION("""COMPUTED_VALUE"""),"Laptop – (ACER EXTENSA EX215-55G i7)")</f>
        <v>Laptop – (ACER EXTENSA EX215-55G i7)</v>
      </c>
      <c r="D3006" s="164" t="str">
        <f ca="1">IFERROR(__xludf.DUMMYFUNCTION("""COMPUTED_VALUE"""),"₱ 59,500.00")</f>
        <v>₱ 59,500.00</v>
      </c>
      <c r="E3006" s="164"/>
      <c r="F3006" s="164" t="str">
        <f ca="1">IFERROR(__xludf.DUMMYFUNCTION("""COMPUTED_VALUE"""),"2023-05-03-10202SP-264-01")</f>
        <v>2023-05-03-10202SP-264-01</v>
      </c>
      <c r="G3006" s="164"/>
      <c r="H3006" s="164" t="str">
        <f ca="1">IFERROR(__xludf.DUMMYFUNCTION("""COMPUTED_VALUE"""),"LUCENA M. MANCOL")</f>
        <v>LUCENA M. MANCOL</v>
      </c>
      <c r="I3006" s="164" t="str">
        <f ca="1">IFERROR(__xludf.DUMMYFUNCTION("""COMPUTED_VALUE"""),"CARPO - LTSP")</f>
        <v>CARPO - LTSP</v>
      </c>
      <c r="J3006" s="164" t="str">
        <f ca="1">IFERROR(__xludf.DUMMYFUNCTION("""COMPUTED_VALUE"""),"PTR# SP2023-12-9049")</f>
        <v>PTR# SP2023-12-9049</v>
      </c>
      <c r="K3006" s="164" t="str">
        <f ca="1">IFERROR(__xludf.DUMMYFUNCTION("""COMPUTED_VALUE"""),"LUCENA M. MANCOL")</f>
        <v>LUCENA M. MANCOL</v>
      </c>
      <c r="L3006" s="164" t="str">
        <f ca="1">IFERROR(__xludf.DUMMYFUNCTION("""COMPUTED_VALUE"""),"SPLIT")</f>
        <v>SPLIT</v>
      </c>
      <c r="M3006" s="164" t="str">
        <f ca="1">IFERROR(__xludf.DUMMYFUNCTION("""COMPUTED_VALUE"""),"SERVICEABLE")</f>
        <v>SERVICEABLE</v>
      </c>
      <c r="N3006" s="164"/>
    </row>
    <row r="3007" spans="1:14" ht="13.2" hidden="1">
      <c r="A3007" s="164" t="str">
        <f ca="1">IFERROR(__xludf.DUMMYFUNCTION("""COMPUTED_VALUE"""),"REGION VIII")</f>
        <v>REGION VIII</v>
      </c>
      <c r="B3007" s="164" t="str">
        <f ca="1">IFERROR(__xludf.DUMMYFUNCTION("""COMPUTED_VALUE"""),"Western Samar")</f>
        <v>Western Samar</v>
      </c>
      <c r="C3007" s="164" t="str">
        <f ca="1">IFERROR(__xludf.DUMMYFUNCTION("""COMPUTED_VALUE"""),"A3 PRINTER (BROTHER)")</f>
        <v>A3 PRINTER (BROTHER)</v>
      </c>
      <c r="D3007" s="164" t="str">
        <f ca="1">IFERROR(__xludf.DUMMYFUNCTION("""COMPUTED_VALUE"""),"₱ 33,508.00")</f>
        <v>₱ 33,508.00</v>
      </c>
      <c r="E3007" s="164"/>
      <c r="F3007" s="164" t="str">
        <f ca="1">IFERROR(__xludf.DUMMYFUNCTION("""COMPUTED_VALUE"""),"HVSPLIT-102-24-05-092")</f>
        <v>HVSPLIT-102-24-05-092</v>
      </c>
      <c r="G3007" s="164"/>
      <c r="H3007" s="164" t="str">
        <f ca="1">IFERROR(__xludf.DUMMYFUNCTION("""COMPUTED_VALUE"""),"ATTY. ROBERT ANTHONY YU")</f>
        <v>ATTY. ROBERT ANTHONY YU</v>
      </c>
      <c r="I3007" s="164" t="str">
        <f ca="1">IFERROR(__xludf.DUMMYFUNCTION("""COMPUTED_VALUE"""),"REGIONAL DIRECTOR")</f>
        <v>REGIONAL DIRECTOR</v>
      </c>
      <c r="J3007" s="164" t="str">
        <f ca="1">IFERROR(__xludf.DUMMYFUNCTION("""COMPUTED_VALUE"""),"2024-05-010")</f>
        <v>2024-05-010</v>
      </c>
      <c r="K3007" s="164"/>
      <c r="L3007" s="164" t="str">
        <f ca="1">IFERROR(__xludf.DUMMYFUNCTION("""COMPUTED_VALUE"""),"DARPO W. SAMAR")</f>
        <v>DARPO W. SAMAR</v>
      </c>
      <c r="M3007" s="164" t="str">
        <f ca="1">IFERROR(__xludf.DUMMYFUNCTION("""COMPUTED_VALUE"""),"SERVICEABLE")</f>
        <v>SERVICEABLE</v>
      </c>
      <c r="N3007" s="164"/>
    </row>
    <row r="3008" spans="1:14" ht="13.2" hidden="1">
      <c r="A3008" s="164" t="str">
        <f ca="1">IFERROR(__xludf.DUMMYFUNCTION("""COMPUTED_VALUE"""),"REGION VIII")</f>
        <v>REGION VIII</v>
      </c>
      <c r="B3008" s="164" t="str">
        <f ca="1">IFERROR(__xludf.DUMMYFUNCTION("""COMPUTED_VALUE"""),"Leyte")</f>
        <v>Leyte</v>
      </c>
      <c r="C3008" s="164" t="str">
        <f ca="1">IFERROR(__xludf.DUMMYFUNCTION("""COMPUTED_VALUE"""),"REAL-TIME KINEMATIC – GEOMAX ZENITH60")</f>
        <v>REAL-TIME KINEMATIC – GEOMAX ZENITH60</v>
      </c>
      <c r="D3008" s="164" t="str">
        <f ca="1">IFERROR(__xludf.DUMMYFUNCTION("""COMPUTED_VALUE"""),"₱ 1,849,000.00")</f>
        <v>₱ 1,849,000.00</v>
      </c>
      <c r="E3008" s="164"/>
      <c r="F3008" s="164" t="str">
        <f ca="1">IFERROR(__xludf.DUMMYFUNCTION("""COMPUTED_VALUE"""),"2023-05-14-10201SP37-01")</f>
        <v>2023-05-14-10201SP37-01</v>
      </c>
      <c r="G3008" s="164"/>
      <c r="H3008" s="164" t="str">
        <f ca="1">IFERROR(__xludf.DUMMYFUNCTION("""COMPUTED_VALUE"""),"PERPETUA D. SABALDAN")</f>
        <v>PERPETUA D. SABALDAN</v>
      </c>
      <c r="I3008" s="164" t="str">
        <f ca="1">IFERROR(__xludf.DUMMYFUNCTION("""COMPUTED_VALUE"""),"CARPO LTS / PARCELIZATION COORDINATOR")</f>
        <v>CARPO LTS / PARCELIZATION COORDINATOR</v>
      </c>
      <c r="J3008" s="164" t="str">
        <f ca="1">IFERROR(__xludf.DUMMYFUNCTION("""COMPUTED_VALUE"""),"23-03-0001")</f>
        <v>23-03-0001</v>
      </c>
      <c r="K3008" s="164" t="str">
        <f ca="1">IFERROR(__xludf.DUMMYFUNCTION("""COMPUTED_VALUE"""),"MARISSA C. ESTOLANO/RYAN ALMENARIO")</f>
        <v>MARISSA C. ESTOLANO/RYAN ALMENARIO</v>
      </c>
      <c r="L3008" s="164" t="str">
        <f ca="1">IFERROR(__xludf.DUMMYFUNCTION("""COMPUTED_VALUE"""),"LTSP")</f>
        <v>LTSP</v>
      </c>
      <c r="M3008" s="164" t="str">
        <f ca="1">IFERROR(__xludf.DUMMYFUNCTION("""COMPUTED_VALUE"""),"SERVICEABLE")</f>
        <v>SERVICEABLE</v>
      </c>
      <c r="N3008" s="164" t="str">
        <f ca="1">IFERROR(__xludf.DUMMYFUNCTION("""COMPUTED_VALUE"""),"LICENSE AND CAPABILITY ISSUE")</f>
        <v>LICENSE AND CAPABILITY ISSUE</v>
      </c>
    </row>
    <row r="3009" spans="1:14" ht="13.2" hidden="1">
      <c r="A3009" s="164" t="str">
        <f ca="1">IFERROR(__xludf.DUMMYFUNCTION("""COMPUTED_VALUE"""),"REGION VIII")</f>
        <v>REGION VIII</v>
      </c>
      <c r="B3009" s="164" t="str">
        <f ca="1">IFERROR(__xludf.DUMMYFUNCTION("""COMPUTED_VALUE"""),"Leyte")</f>
        <v>Leyte</v>
      </c>
      <c r="C3009" s="164" t="str">
        <f ca="1">IFERROR(__xludf.DUMMYFUNCTION("""COMPUTED_VALUE"""),"TOTAL STATION – GEOMAX TOTAL STATION ZOOM 50")</f>
        <v>TOTAL STATION – GEOMAX TOTAL STATION ZOOM 50</v>
      </c>
      <c r="D3009" s="164" t="str">
        <f ca="1">IFERROR(__xludf.DUMMYFUNCTION("""COMPUTED_VALUE"""),"₱ 648,000.00")</f>
        <v>₱ 648,000.00</v>
      </c>
      <c r="E3009" s="164"/>
      <c r="F3009" s="164" t="str">
        <f ca="1">IFERROR(__xludf.DUMMYFUNCTION("""COMPUTED_VALUE"""),"2023-05-14-10201SP37-01")</f>
        <v>2023-05-14-10201SP37-01</v>
      </c>
      <c r="G3009" s="164"/>
      <c r="H3009" s="164" t="str">
        <f ca="1">IFERROR(__xludf.DUMMYFUNCTION("""COMPUTED_VALUE"""),"PERPETUA D. SABALDAN")</f>
        <v>PERPETUA D. SABALDAN</v>
      </c>
      <c r="I3009" s="164" t="str">
        <f ca="1">IFERROR(__xludf.DUMMYFUNCTION("""COMPUTED_VALUE"""),"CARPO LTS / PARCELIZATION COORDINATOR")</f>
        <v>CARPO LTS / PARCELIZATION COORDINATOR</v>
      </c>
      <c r="J3009" s="164" t="str">
        <f ca="1">IFERROR(__xludf.DUMMYFUNCTION("""COMPUTED_VALUE"""),"23-03-0002")</f>
        <v>23-03-0002</v>
      </c>
      <c r="K3009" s="164" t="str">
        <f ca="1">IFERROR(__xludf.DUMMYFUNCTION("""COMPUTED_VALUE"""),"MARISSA C. ESTOLANO/RYAN ALMENARIO")</f>
        <v>MARISSA C. ESTOLANO/RYAN ALMENARIO</v>
      </c>
      <c r="L3009" s="164" t="str">
        <f ca="1">IFERROR(__xludf.DUMMYFUNCTION("""COMPUTED_VALUE"""),"LTSP")</f>
        <v>LTSP</v>
      </c>
      <c r="M3009" s="164" t="str">
        <f ca="1">IFERROR(__xludf.DUMMYFUNCTION("""COMPUTED_VALUE"""),"SERVICEABLE")</f>
        <v>SERVICEABLE</v>
      </c>
      <c r="N3009" s="164" t="str">
        <f ca="1">IFERROR(__xludf.DUMMYFUNCTION("""COMPUTED_VALUE"""),"LICENSE AND CAPABILITY ISSUE")</f>
        <v>LICENSE AND CAPABILITY ISSUE</v>
      </c>
    </row>
    <row r="3010" spans="1:14" ht="13.2" hidden="1">
      <c r="A3010" s="164" t="str">
        <f ca="1">IFERROR(__xludf.DUMMYFUNCTION("""COMPUTED_VALUE"""),"REGION VIII")</f>
        <v>REGION VIII</v>
      </c>
      <c r="B3010" s="164" t="str">
        <f ca="1">IFERROR(__xludf.DUMMYFUNCTION("""COMPUTED_VALUE"""),"Leyte")</f>
        <v>Leyte</v>
      </c>
      <c r="C3010" s="164" t="str">
        <f ca="1">IFERROR(__xludf.DUMMYFUNCTION("""COMPUTED_VALUE"""),"HANDHELD GPS – MODEL P6")</f>
        <v>HANDHELD GPS – MODEL P6</v>
      </c>
      <c r="D3010" s="164" t="str">
        <f ca="1">IFERROR(__xludf.DUMMYFUNCTION("""COMPUTED_VALUE"""),"₱ 79,000.00")</f>
        <v>₱ 79,000.00</v>
      </c>
      <c r="E3010" s="164"/>
      <c r="F3010" s="164" t="str">
        <f ca="1">IFERROR(__xludf.DUMMYFUNCTION("""COMPUTED_VALUE"""),"2023-05-14-10202SP17-01")</f>
        <v>2023-05-14-10202SP17-01</v>
      </c>
      <c r="G3010" s="164"/>
      <c r="H3010" s="164" t="str">
        <f ca="1">IFERROR(__xludf.DUMMYFUNCTION("""COMPUTED_VALUE"""),"PERPETUA D. SABALDAN")</f>
        <v>PERPETUA D. SABALDAN</v>
      </c>
      <c r="I3010" s="164" t="str">
        <f ca="1">IFERROR(__xludf.DUMMYFUNCTION("""COMPUTED_VALUE"""),"CARPO LTS / PARCELIZATION COORDINATOR")</f>
        <v>CARPO LTS / PARCELIZATION COORDINATOR</v>
      </c>
      <c r="J3010" s="164" t="str">
        <f ca="1">IFERROR(__xludf.DUMMYFUNCTION("""COMPUTED_VALUE"""),"23-03-0003")</f>
        <v>23-03-0003</v>
      </c>
      <c r="K3010" s="164" t="str">
        <f ca="1">IFERROR(__xludf.DUMMYFUNCTION("""COMPUTED_VALUE"""),"MARISSA C. ESTOLANO/RYAN ALMENARIO")</f>
        <v>MARISSA C. ESTOLANO/RYAN ALMENARIO</v>
      </c>
      <c r="L3010" s="164" t="str">
        <f ca="1">IFERROR(__xludf.DUMMYFUNCTION("""COMPUTED_VALUE"""),"LTSP")</f>
        <v>LTSP</v>
      </c>
      <c r="M3010" s="164" t="str">
        <f ca="1">IFERROR(__xludf.DUMMYFUNCTION("""COMPUTED_VALUE"""),"SERVICEABLE")</f>
        <v>SERVICEABLE</v>
      </c>
      <c r="N3010" s="164"/>
    </row>
    <row r="3011" spans="1:14" ht="13.2" hidden="1">
      <c r="A3011" s="164" t="str">
        <f ca="1">IFERROR(__xludf.DUMMYFUNCTION("""COMPUTED_VALUE"""),"REGION VIII")</f>
        <v>REGION VIII</v>
      </c>
      <c r="B3011" s="164" t="str">
        <f ca="1">IFERROR(__xludf.DUMMYFUNCTION("""COMPUTED_VALUE"""),"Leyte")</f>
        <v>Leyte</v>
      </c>
      <c r="C3011" s="164" t="str">
        <f ca="1">IFERROR(__xludf.DUMMYFUNCTION("""COMPUTED_VALUE"""),"Laptop – (ACER EXTENSA EX215-55G i7)")</f>
        <v>Laptop – (ACER EXTENSA EX215-55G i7)</v>
      </c>
      <c r="D3011" s="164" t="str">
        <f ca="1">IFERROR(__xludf.DUMMYFUNCTION("""COMPUTED_VALUE"""),"₱ 59,500.00")</f>
        <v>₱ 59,500.00</v>
      </c>
      <c r="E3011" s="164"/>
      <c r="F3011" s="164" t="str">
        <f ca="1">IFERROR(__xludf.DUMMYFUNCTION("""COMPUTED_VALUE"""),"2023-05-03-1020SP-254-01")</f>
        <v>2023-05-03-1020SP-254-01</v>
      </c>
      <c r="G3011" s="164"/>
      <c r="H3011" s="164" t="str">
        <f ca="1">IFERROR(__xludf.DUMMYFUNCTION("""COMPUTED_VALUE"""),"ATTY. DANIEL E. PEN")</f>
        <v>ATTY. DANIEL E. PEN</v>
      </c>
      <c r="I3011" s="164" t="str">
        <f ca="1">IFERROR(__xludf.DUMMYFUNCTION("""COMPUTED_VALUE"""),"PARPO II / PROJECT MANAGER")</f>
        <v>PARPO II / PROJECT MANAGER</v>
      </c>
      <c r="J3011" s="164" t="str">
        <f ca="1">IFERROR(__xludf.DUMMYFUNCTION("""COMPUTED_VALUE"""),"23-09-0025")</f>
        <v>23-09-0025</v>
      </c>
      <c r="K3011" s="164" t="str">
        <f ca="1">IFERROR(__xludf.DUMMYFUNCTION("""COMPUTED_VALUE"""),"ATTY. DANIEL E. PEN")</f>
        <v>ATTY. DANIEL E. PEN</v>
      </c>
      <c r="L3011" s="164" t="str">
        <f ca="1">IFERROR(__xludf.DUMMYFUNCTION("""COMPUTED_VALUE"""),"OFFICE OF THE PARPO II")</f>
        <v>OFFICE OF THE PARPO II</v>
      </c>
      <c r="M3011" s="164" t="str">
        <f ca="1">IFERROR(__xludf.DUMMYFUNCTION("""COMPUTED_VALUE"""),"SERVICEABLE")</f>
        <v>SERVICEABLE</v>
      </c>
      <c r="N3011" s="164"/>
    </row>
    <row r="3012" spans="1:14" ht="13.2" hidden="1">
      <c r="A3012" s="164" t="str">
        <f ca="1">IFERROR(__xludf.DUMMYFUNCTION("""COMPUTED_VALUE"""),"REGION VIII")</f>
        <v>REGION VIII</v>
      </c>
      <c r="B3012" s="164" t="str">
        <f ca="1">IFERROR(__xludf.DUMMYFUNCTION("""COMPUTED_VALUE"""),"Leyte")</f>
        <v>Leyte</v>
      </c>
      <c r="C3012" s="164" t="str">
        <f ca="1">IFERROR(__xludf.DUMMYFUNCTION("""COMPUTED_VALUE"""),"Laptop – (ACER EXTENSA EX215-55G i7)")</f>
        <v>Laptop – (ACER EXTENSA EX215-55G i7)</v>
      </c>
      <c r="D3012" s="164" t="str">
        <f ca="1">IFERROR(__xludf.DUMMYFUNCTION("""COMPUTED_VALUE"""),"₱ 59,500.00")</f>
        <v>₱ 59,500.00</v>
      </c>
      <c r="E3012" s="164"/>
      <c r="F3012" s="164" t="str">
        <f ca="1">IFERROR(__xludf.DUMMYFUNCTION("""COMPUTED_VALUE"""),"2023-05-03-1020SP-255-01")</f>
        <v>2023-05-03-1020SP-255-01</v>
      </c>
      <c r="G3012" s="164"/>
      <c r="H3012" s="164" t="str">
        <f ca="1">IFERROR(__xludf.DUMMYFUNCTION("""COMPUTED_VALUE"""),"PEDRO B. BIDUA, JR.")</f>
        <v>PEDRO B. BIDUA, JR.</v>
      </c>
      <c r="I3012" s="164" t="str">
        <f ca="1">IFERROR(__xludf.DUMMYFUNCTION("""COMPUTED_VALUE"""),"ARPO I / MIS COORDINATOR")</f>
        <v>ARPO I / MIS COORDINATOR</v>
      </c>
      <c r="J3012" s="164" t="str">
        <f ca="1">IFERROR(__xludf.DUMMYFUNCTION("""COMPUTED_VALUE"""),"23-09-0026")</f>
        <v>23-09-0026</v>
      </c>
      <c r="K3012" s="164" t="str">
        <f ca="1">IFERROR(__xludf.DUMMYFUNCTION("""COMPUTED_VALUE"""),"PEDRO B. BIDUA, JR.")</f>
        <v>PEDRO B. BIDUA, JR.</v>
      </c>
      <c r="L3012" s="164" t="str">
        <f ca="1">IFERROR(__xludf.DUMMYFUNCTION("""COMPUTED_VALUE"""),"LTSP")</f>
        <v>LTSP</v>
      </c>
      <c r="M3012" s="164" t="str">
        <f ca="1">IFERROR(__xludf.DUMMYFUNCTION("""COMPUTED_VALUE"""),"SERVICEABLE")</f>
        <v>SERVICEABLE</v>
      </c>
      <c r="N3012" s="164"/>
    </row>
    <row r="3013" spans="1:14" ht="13.2" hidden="1">
      <c r="A3013" s="164" t="str">
        <f ca="1">IFERROR(__xludf.DUMMYFUNCTION("""COMPUTED_VALUE"""),"REGION VIII")</f>
        <v>REGION VIII</v>
      </c>
      <c r="B3013" s="164" t="str">
        <f ca="1">IFERROR(__xludf.DUMMYFUNCTION("""COMPUTED_VALUE"""),"Leyte")</f>
        <v>Leyte</v>
      </c>
      <c r="C3013" s="164" t="str">
        <f ca="1">IFERROR(__xludf.DUMMYFUNCTION("""COMPUTED_VALUE"""),"Photocopier Machine – Kyocera")</f>
        <v>Photocopier Machine – Kyocera</v>
      </c>
      <c r="D3013" s="164" t="str">
        <f ca="1">IFERROR(__xludf.DUMMYFUNCTION("""COMPUTED_VALUE"""),"₱ 84,500.00")</f>
        <v>₱ 84,500.00</v>
      </c>
      <c r="E3013" s="164"/>
      <c r="F3013" s="164" t="str">
        <f ca="1">IFERROR(__xludf.DUMMYFUNCTION("""COMPUTED_VALUE"""),"2023-05-02-10202SP58-01")</f>
        <v>2023-05-02-10202SP58-01</v>
      </c>
      <c r="G3013" s="164"/>
      <c r="H3013" s="164" t="str">
        <f ca="1">IFERROR(__xludf.DUMMYFUNCTION("""COMPUTED_VALUE"""),"PEDRO B. BIDUA, JR.")</f>
        <v>PEDRO B. BIDUA, JR.</v>
      </c>
      <c r="I3013" s="164" t="str">
        <f ca="1">IFERROR(__xludf.DUMMYFUNCTION("""COMPUTED_VALUE"""),"PARPO I / CBTA for Implementers / ESS Coordinator")</f>
        <v>PARPO I / CBTA for Implementers / ESS Coordinator</v>
      </c>
      <c r="J3013" s="164" t="str">
        <f ca="1">IFERROR(__xludf.DUMMYFUNCTION("""COMPUTED_VALUE"""),"23-05-0004")</f>
        <v>23-05-0004</v>
      </c>
      <c r="K3013" s="164" t="str">
        <f ca="1">IFERROR(__xludf.DUMMYFUNCTION("""COMPUTED_VALUE"""),"PEDRO B. BIDUA, JR.")</f>
        <v>PEDRO B. BIDUA, JR.</v>
      </c>
      <c r="L3013" s="164" t="str">
        <f ca="1">IFERROR(__xludf.DUMMYFUNCTION("""COMPUTED_VALUE"""),"OFFICE OF THE PARPO I")</f>
        <v>OFFICE OF THE PARPO I</v>
      </c>
      <c r="M3013" s="164" t="str">
        <f ca="1">IFERROR(__xludf.DUMMYFUNCTION("""COMPUTED_VALUE"""),"SERVICEABLE")</f>
        <v>SERVICEABLE</v>
      </c>
      <c r="N3013" s="164"/>
    </row>
    <row r="3014" spans="1:14" ht="13.2" hidden="1">
      <c r="A3014" s="164" t="str">
        <f ca="1">IFERROR(__xludf.DUMMYFUNCTION("""COMPUTED_VALUE"""),"REGION VIII")</f>
        <v>REGION VIII</v>
      </c>
      <c r="B3014" s="164" t="str">
        <f ca="1">IFERROR(__xludf.DUMMYFUNCTION("""COMPUTED_VALUE"""),"Leyte")</f>
        <v>Leyte</v>
      </c>
      <c r="C3014" s="164" t="str">
        <f ca="1">IFERROR(__xludf.DUMMYFUNCTION("""COMPUTED_VALUE"""),"Desktop Computer – (Lenovo M70T)")</f>
        <v>Desktop Computer – (Lenovo M70T)</v>
      </c>
      <c r="D3014" s="164" t="str">
        <f ca="1">IFERROR(__xludf.DUMMYFUNCTION("""COMPUTED_VALUE"""),"₱ 75,468.00")</f>
        <v>₱ 75,468.00</v>
      </c>
      <c r="E3014" s="164"/>
      <c r="F3014" s="164" t="str">
        <f ca="1">IFERROR(__xludf.DUMMYFUNCTION("""COMPUTED_VALUE"""),"2023-05-03-102015SP1350-01")</f>
        <v>2023-05-03-102015SP1350-01</v>
      </c>
      <c r="G3014" s="164"/>
      <c r="H3014" s="164" t="str">
        <f ca="1">IFERROR(__xludf.DUMMYFUNCTION("""COMPUTED_VALUE"""),"JANET S. MABAG")</f>
        <v>JANET S. MABAG</v>
      </c>
      <c r="I3014" s="164" t="str">
        <f ca="1">IFERROR(__xludf.DUMMYFUNCTION("""COMPUTED_VALUE"""),"ARPT / SPLIT ACCOUNTANT")</f>
        <v>ARPT / SPLIT ACCOUNTANT</v>
      </c>
      <c r="J3014" s="164" t="str">
        <f ca="1">IFERROR(__xludf.DUMMYFUNCTION("""COMPUTED_VALUE"""),"23-05-0007")</f>
        <v>23-05-0007</v>
      </c>
      <c r="K3014" s="164" t="str">
        <f ca="1">IFERROR(__xludf.DUMMYFUNCTION("""COMPUTED_VALUE"""),"JANET S. MABAG")</f>
        <v>JANET S. MABAG</v>
      </c>
      <c r="L3014" s="164" t="str">
        <f ca="1">IFERROR(__xludf.DUMMYFUNCTION("""COMPUTED_VALUE"""),"STOD")</f>
        <v>STOD</v>
      </c>
      <c r="M3014" s="164" t="str">
        <f ca="1">IFERROR(__xludf.DUMMYFUNCTION("""COMPUTED_VALUE"""),"SERVICEABLE")</f>
        <v>SERVICEABLE</v>
      </c>
      <c r="N3014" s="164"/>
    </row>
    <row r="3015" spans="1:14" ht="13.2" hidden="1">
      <c r="A3015" s="164" t="str">
        <f ca="1">IFERROR(__xludf.DUMMYFUNCTION("""COMPUTED_VALUE"""),"REGION VIII")</f>
        <v>REGION VIII</v>
      </c>
      <c r="B3015" s="164" t="str">
        <f ca="1">IFERROR(__xludf.DUMMYFUNCTION("""COMPUTED_VALUE"""),"Leyte")</f>
        <v>Leyte</v>
      </c>
      <c r="C3015" s="164" t="str">
        <f ca="1">IFERROR(__xludf.DUMMYFUNCTION("""COMPUTED_VALUE"""),"Desktop Computer – (Lenovo M70T)")</f>
        <v>Desktop Computer – (Lenovo M70T)</v>
      </c>
      <c r="D3015" s="164" t="str">
        <f ca="1">IFERROR(__xludf.DUMMYFUNCTION("""COMPUTED_VALUE"""),"₱ 75,468.00")</f>
        <v>₱ 75,468.00</v>
      </c>
      <c r="E3015" s="164"/>
      <c r="F3015" s="164" t="str">
        <f ca="1">IFERROR(__xludf.DUMMYFUNCTION("""COMPUTED_VALUE"""),"2023-05-03-102015SP1351-01")</f>
        <v>2023-05-03-102015SP1351-01</v>
      </c>
      <c r="G3015" s="164"/>
      <c r="H3015" s="164" t="str">
        <f ca="1">IFERROR(__xludf.DUMMYFUNCTION("""COMPUTED_VALUE"""),"ATTY. PATRECIA A. RAMOS")</f>
        <v>ATTY. PATRECIA A. RAMOS</v>
      </c>
      <c r="I3015" s="164" t="str">
        <f ca="1">IFERROR(__xludf.DUMMYFUNCTION("""COMPUTED_VALUE"""),"ATTYIII / CHIEF, LEGAL DIV / LEGAL COORDINATOR")</f>
        <v>ATTYIII / CHIEF, LEGAL DIV / LEGAL COORDINATOR</v>
      </c>
      <c r="J3015" s="164" t="str">
        <f ca="1">IFERROR(__xludf.DUMMYFUNCTION("""COMPUTED_VALUE"""),"23-05-0008")</f>
        <v>23-05-0008</v>
      </c>
      <c r="K3015" s="164" t="str">
        <f ca="1">IFERROR(__xludf.DUMMYFUNCTION("""COMPUTED_VALUE"""),"MARIFIEL GONO")</f>
        <v>MARIFIEL GONO</v>
      </c>
      <c r="L3015" s="164" t="str">
        <f ca="1">IFERROR(__xludf.DUMMYFUNCTION("""COMPUTED_VALUE"""),"LEGAL DIVISION")</f>
        <v>LEGAL DIVISION</v>
      </c>
      <c r="M3015" s="164" t="str">
        <f ca="1">IFERROR(__xludf.DUMMYFUNCTION("""COMPUTED_VALUE"""),"SERVICEABLE")</f>
        <v>SERVICEABLE</v>
      </c>
      <c r="N3015" s="164"/>
    </row>
    <row r="3016" spans="1:14" ht="13.2" hidden="1">
      <c r="A3016" s="164" t="str">
        <f ca="1">IFERROR(__xludf.DUMMYFUNCTION("""COMPUTED_VALUE"""),"REGION VIII")</f>
        <v>REGION VIII</v>
      </c>
      <c r="B3016" s="164" t="str">
        <f ca="1">IFERROR(__xludf.DUMMYFUNCTION("""COMPUTED_VALUE"""),"Leyte")</f>
        <v>Leyte</v>
      </c>
      <c r="C3016" s="164" t="str">
        <f ca="1">IFERROR(__xludf.DUMMYFUNCTION("""COMPUTED_VALUE"""),"Desktop Computer – (Lenovo M70T)")</f>
        <v>Desktop Computer – (Lenovo M70T)</v>
      </c>
      <c r="D3016" s="164" t="str">
        <f ca="1">IFERROR(__xludf.DUMMYFUNCTION("""COMPUTED_VALUE"""),"₱ 75,468.00")</f>
        <v>₱ 75,468.00</v>
      </c>
      <c r="E3016" s="164"/>
      <c r="F3016" s="164" t="str">
        <f ca="1">IFERROR(__xludf.DUMMYFUNCTION("""COMPUTED_VALUE"""),"2023-05-03-102015SP1352-01")</f>
        <v>2023-05-03-102015SP1352-01</v>
      </c>
      <c r="G3016" s="164"/>
      <c r="H3016" s="164" t="str">
        <f ca="1">IFERROR(__xludf.DUMMYFUNCTION("""COMPUTED_VALUE"""),"ARNILYN MAE T. BALDESCO")</f>
        <v>ARNILYN MAE T. BALDESCO</v>
      </c>
      <c r="I3016" s="164" t="str">
        <f ca="1">IFERROR(__xludf.DUMMYFUNCTION("""COMPUTED_VALUE"""),"ARPT")</f>
        <v>ARPT</v>
      </c>
      <c r="J3016" s="164" t="str">
        <f ca="1">IFERROR(__xludf.DUMMYFUNCTION("""COMPUTED_VALUE"""),"23-05-0009")</f>
        <v>23-05-0009</v>
      </c>
      <c r="K3016" s="164" t="str">
        <f ca="1">IFERROR(__xludf.DUMMYFUNCTION("""COMPUTED_VALUE"""),"ARNILYN MAE T. BALDESCO")</f>
        <v>ARNILYN MAE T. BALDESCO</v>
      </c>
      <c r="L3016" s="164" t="str">
        <f ca="1">IFERROR(__xludf.DUMMYFUNCTION("""COMPUTED_VALUE"""),"LTSP")</f>
        <v>LTSP</v>
      </c>
      <c r="M3016" s="164" t="str">
        <f ca="1">IFERROR(__xludf.DUMMYFUNCTION("""COMPUTED_VALUE"""),"SERVICEABLE")</f>
        <v>SERVICEABLE</v>
      </c>
      <c r="N3016" s="164"/>
    </row>
    <row r="3017" spans="1:14" ht="13.2" hidden="1">
      <c r="A3017" s="164" t="str">
        <f ca="1">IFERROR(__xludf.DUMMYFUNCTION("""COMPUTED_VALUE"""),"REGION VIII")</f>
        <v>REGION VIII</v>
      </c>
      <c r="B3017" s="164" t="str">
        <f ca="1">IFERROR(__xludf.DUMMYFUNCTION("""COMPUTED_VALUE"""),"Leyte")</f>
        <v>Leyte</v>
      </c>
      <c r="C3017" s="164" t="str">
        <f ca="1">IFERROR(__xludf.DUMMYFUNCTION("""COMPUTED_VALUE"""),"Desktop Computer – (Lenovo M70T)")</f>
        <v>Desktop Computer – (Lenovo M70T)</v>
      </c>
      <c r="D3017" s="164" t="str">
        <f ca="1">IFERROR(__xludf.DUMMYFUNCTION("""COMPUTED_VALUE"""),"₱ 75,468.00")</f>
        <v>₱ 75,468.00</v>
      </c>
      <c r="E3017" s="164"/>
      <c r="F3017" s="164" t="str">
        <f ca="1">IFERROR(__xludf.DUMMYFUNCTION("""COMPUTED_VALUE"""),"2023-05-03-102015SP1353-01")</f>
        <v>2023-05-03-102015SP1353-01</v>
      </c>
      <c r="G3017" s="164"/>
      <c r="H3017" s="164" t="str">
        <f ca="1">IFERROR(__xludf.DUMMYFUNCTION("""COMPUTED_VALUE"""),"PERPETUA D. SABALDAN")</f>
        <v>PERPETUA D. SABALDAN</v>
      </c>
      <c r="I3017" s="164" t="str">
        <f ca="1">IFERROR(__xludf.DUMMYFUNCTION("""COMPUTED_VALUE"""),"CARPO LTS / PARCELIZATION COORDINATOR")</f>
        <v>CARPO LTS / PARCELIZATION COORDINATOR</v>
      </c>
      <c r="J3017" s="164" t="str">
        <f ca="1">IFERROR(__xludf.DUMMYFUNCTION("""COMPUTED_VALUE"""),"23-05-0010")</f>
        <v>23-05-0010</v>
      </c>
      <c r="K3017" s="164" t="str">
        <f ca="1">IFERROR(__xludf.DUMMYFUNCTION("""COMPUTED_VALUE"""),"MARCELINA FERRAER")</f>
        <v>MARCELINA FERRAER</v>
      </c>
      <c r="L3017" s="164" t="str">
        <f ca="1">IFERROR(__xludf.DUMMYFUNCTION("""COMPUTED_VALUE"""),"LTSP")</f>
        <v>LTSP</v>
      </c>
      <c r="M3017" s="164" t="str">
        <f ca="1">IFERROR(__xludf.DUMMYFUNCTION("""COMPUTED_VALUE"""),"SERVICEABLE")</f>
        <v>SERVICEABLE</v>
      </c>
      <c r="N3017" s="164"/>
    </row>
    <row r="3018" spans="1:14" ht="13.2" hidden="1">
      <c r="A3018" s="164" t="str">
        <f ca="1">IFERROR(__xludf.DUMMYFUNCTION("""COMPUTED_VALUE"""),"REGION VIII")</f>
        <v>REGION VIII</v>
      </c>
      <c r="B3018" s="164" t="str">
        <f ca="1">IFERROR(__xludf.DUMMYFUNCTION("""COMPUTED_VALUE"""),"Leyte")</f>
        <v>Leyte</v>
      </c>
      <c r="C3018" s="164" t="str">
        <f ca="1">IFERROR(__xludf.DUMMYFUNCTION("""COMPUTED_VALUE"""),"Desktop Computer – (Lenovo M70T)")</f>
        <v>Desktop Computer – (Lenovo M70T)</v>
      </c>
      <c r="D3018" s="164" t="str">
        <f ca="1">IFERROR(__xludf.DUMMYFUNCTION("""COMPUTED_VALUE"""),"₱ 75,468.00")</f>
        <v>₱ 75,468.00</v>
      </c>
      <c r="E3018" s="164"/>
      <c r="F3018" s="164" t="str">
        <f ca="1">IFERROR(__xludf.DUMMYFUNCTION("""COMPUTED_VALUE"""),"2023-05-03-102015SP1354-01")</f>
        <v>2023-05-03-102015SP1354-01</v>
      </c>
      <c r="G3018" s="164"/>
      <c r="H3018" s="164" t="str">
        <f ca="1">IFERROR(__xludf.DUMMYFUNCTION("""COMPUTED_VALUE"""),"PERPETUA D. SABALDAN")</f>
        <v>PERPETUA D. SABALDAN</v>
      </c>
      <c r="I3018" s="164" t="str">
        <f ca="1">IFERROR(__xludf.DUMMYFUNCTION("""COMPUTED_VALUE"""),"CARPO LTS / PARCELIZATION COORDINATOR")</f>
        <v>CARPO LTS / PARCELIZATION COORDINATOR</v>
      </c>
      <c r="J3018" s="164" t="str">
        <f ca="1">IFERROR(__xludf.DUMMYFUNCTION("""COMPUTED_VALUE"""),"23-05-0022")</f>
        <v>23-05-0022</v>
      </c>
      <c r="K3018" s="164" t="str">
        <f ca="1">IFERROR(__xludf.DUMMYFUNCTION("""COMPUTED_VALUE"""),"MARK CACHAO")</f>
        <v>MARK CACHAO</v>
      </c>
      <c r="L3018" s="164" t="str">
        <f ca="1">IFERROR(__xludf.DUMMYFUNCTION("""COMPUTED_VALUE"""),"LTSP")</f>
        <v>LTSP</v>
      </c>
      <c r="M3018" s="164" t="str">
        <f ca="1">IFERROR(__xludf.DUMMYFUNCTION("""COMPUTED_VALUE"""),"SERVICEABLE")</f>
        <v>SERVICEABLE</v>
      </c>
      <c r="N3018" s="164" t="str">
        <f ca="1">IFERROR(__xludf.DUMMYFUNCTION("""COMPUTED_VALUE"""),"printer unserviceable")</f>
        <v>printer unserviceable</v>
      </c>
    </row>
    <row r="3019" spans="1:14" ht="13.2" hidden="1">
      <c r="A3019" s="164" t="str">
        <f ca="1">IFERROR(__xludf.DUMMYFUNCTION("""COMPUTED_VALUE"""),"REGION VIII")</f>
        <v>REGION VIII</v>
      </c>
      <c r="B3019" s="164" t="str">
        <f ca="1">IFERROR(__xludf.DUMMYFUNCTION("""COMPUTED_VALUE"""),"Leyte")</f>
        <v>Leyte</v>
      </c>
      <c r="C3019" s="164" t="str">
        <f ca="1">IFERROR(__xludf.DUMMYFUNCTION("""COMPUTED_VALUE"""),"Desktop Computer – (Lenovo M70T)")</f>
        <v>Desktop Computer – (Lenovo M70T)</v>
      </c>
      <c r="D3019" s="164" t="str">
        <f ca="1">IFERROR(__xludf.DUMMYFUNCTION("""COMPUTED_VALUE"""),"₱ 75,468.00")</f>
        <v>₱ 75,468.00</v>
      </c>
      <c r="E3019" s="164"/>
      <c r="F3019" s="164" t="str">
        <f ca="1">IFERROR(__xludf.DUMMYFUNCTION("""COMPUTED_VALUE"""),"2023-05-03-102015SP1355-01")</f>
        <v>2023-05-03-102015SP1355-01</v>
      </c>
      <c r="G3019" s="164"/>
      <c r="H3019" s="164" t="str">
        <f ca="1">IFERROR(__xludf.DUMMYFUNCTION("""COMPUTED_VALUE"""),"NIEZEL L. MACION")</f>
        <v>NIEZEL L. MACION</v>
      </c>
      <c r="I3019" s="164" t="str">
        <f ca="1">IFERROR(__xludf.DUMMYFUNCTION("""COMPUTED_VALUE"""),"ARPT - GE")</f>
        <v>ARPT - GE</v>
      </c>
      <c r="J3019" s="164" t="str">
        <f ca="1">IFERROR(__xludf.DUMMYFUNCTION("""COMPUTED_VALUE"""),"23-05-0012")</f>
        <v>23-05-0012</v>
      </c>
      <c r="K3019" s="164" t="str">
        <f ca="1">IFERROR(__xludf.DUMMYFUNCTION("""COMPUTED_VALUE"""),"NIEZEL L. MACION")</f>
        <v>NIEZEL L. MACION</v>
      </c>
      <c r="L3019" s="164" t="str">
        <f ca="1">IFERROR(__xludf.DUMMYFUNCTION("""COMPUTED_VALUE"""),"LTSP - SURVEY")</f>
        <v>LTSP - SURVEY</v>
      </c>
      <c r="M3019" s="164" t="str">
        <f ca="1">IFERROR(__xludf.DUMMYFUNCTION("""COMPUTED_VALUE"""),"SERVICEABLE")</f>
        <v>SERVICEABLE</v>
      </c>
      <c r="N3019" s="164" t="str">
        <f ca="1">IFERROR(__xludf.DUMMYFUNCTION("""COMPUTED_VALUE"""),"printer unserviceable")</f>
        <v>printer unserviceable</v>
      </c>
    </row>
    <row r="3020" spans="1:14" ht="13.2" hidden="1">
      <c r="A3020" s="164" t="str">
        <f ca="1">IFERROR(__xludf.DUMMYFUNCTION("""COMPUTED_VALUE"""),"REGION VIII")</f>
        <v>REGION VIII</v>
      </c>
      <c r="B3020" s="164" t="str">
        <f ca="1">IFERROR(__xludf.DUMMYFUNCTION("""COMPUTED_VALUE"""),"Leyte")</f>
        <v>Leyte</v>
      </c>
      <c r="C3020" s="164" t="str">
        <f ca="1">IFERROR(__xludf.DUMMYFUNCTION("""COMPUTED_VALUE"""),"Desktop Computer – (Lenovo M70T)")</f>
        <v>Desktop Computer – (Lenovo M70T)</v>
      </c>
      <c r="D3020" s="164" t="str">
        <f ca="1">IFERROR(__xludf.DUMMYFUNCTION("""COMPUTED_VALUE"""),"₱ 75,468.00")</f>
        <v>₱ 75,468.00</v>
      </c>
      <c r="E3020" s="164"/>
      <c r="F3020" s="164" t="str">
        <f ca="1">IFERROR(__xludf.DUMMYFUNCTION("""COMPUTED_VALUE"""),"2023-05-03-102015SP1356-01")</f>
        <v>2023-05-03-102015SP1356-01</v>
      </c>
      <c r="G3020" s="164"/>
      <c r="H3020" s="164" t="str">
        <f ca="1">IFERROR(__xludf.DUMMYFUNCTION("""COMPUTED_VALUE"""),"SHEILA LUCILLE M. SEMBRERO")</f>
        <v>SHEILA LUCILLE M. SEMBRERO</v>
      </c>
      <c r="I3020" s="164" t="str">
        <f ca="1">IFERROR(__xludf.DUMMYFUNCTION("""COMPUTED_VALUE"""),"AO IV (BUDGET OFFICER)")</f>
        <v>AO IV (BUDGET OFFICER)</v>
      </c>
      <c r="J3020" s="164" t="str">
        <f ca="1">IFERROR(__xludf.DUMMYFUNCTION("""COMPUTED_VALUE"""),"23-05-0013")</f>
        <v>23-05-0013</v>
      </c>
      <c r="K3020" s="164" t="str">
        <f ca="1">IFERROR(__xludf.DUMMYFUNCTION("""COMPUTED_VALUE"""),"SHEILA LUCILLE M. SEMBRERO")</f>
        <v>SHEILA LUCILLE M. SEMBRERO</v>
      </c>
      <c r="L3020" s="164" t="str">
        <f ca="1">IFERROR(__xludf.DUMMYFUNCTION("""COMPUTED_VALUE"""),"STOD")</f>
        <v>STOD</v>
      </c>
      <c r="M3020" s="164" t="str">
        <f ca="1">IFERROR(__xludf.DUMMYFUNCTION("""COMPUTED_VALUE"""),"SERVICEABLE")</f>
        <v>SERVICEABLE</v>
      </c>
      <c r="N3020" s="164"/>
    </row>
    <row r="3021" spans="1:14" ht="13.2" hidden="1">
      <c r="A3021" s="164" t="str">
        <f ca="1">IFERROR(__xludf.DUMMYFUNCTION("""COMPUTED_VALUE"""),"REGION VIII")</f>
        <v>REGION VIII</v>
      </c>
      <c r="B3021" s="164" t="str">
        <f ca="1">IFERROR(__xludf.DUMMYFUNCTION("""COMPUTED_VALUE"""),"Leyte")</f>
        <v>Leyte</v>
      </c>
      <c r="C3021" s="164" t="str">
        <f ca="1">IFERROR(__xludf.DUMMYFUNCTION("""COMPUTED_VALUE"""),"Desktop Computer – (Lenovo M70T)")</f>
        <v>Desktop Computer – (Lenovo M70T)</v>
      </c>
      <c r="D3021" s="164" t="str">
        <f ca="1">IFERROR(__xludf.DUMMYFUNCTION("""COMPUTED_VALUE"""),"₱ 75,468.00")</f>
        <v>₱ 75,468.00</v>
      </c>
      <c r="E3021" s="164"/>
      <c r="F3021" s="164" t="str">
        <f ca="1">IFERROR(__xludf.DUMMYFUNCTION("""COMPUTED_VALUE"""),"2023-05-03-102015SP1357-01")</f>
        <v>2023-05-03-102015SP1357-01</v>
      </c>
      <c r="G3021" s="164"/>
      <c r="H3021" s="164" t="str">
        <f ca="1">IFERROR(__xludf.DUMMYFUNCTION("""COMPUTED_VALUE"""),"ESTELA H. ENCINA")</f>
        <v>ESTELA H. ENCINA</v>
      </c>
      <c r="I3021" s="164" t="str">
        <f ca="1">IFERROR(__xludf.DUMMYFUNCTION("""COMPUTED_VALUE"""),"AO III (CASHIER)")</f>
        <v>AO III (CASHIER)</v>
      </c>
      <c r="J3021" s="164" t="str">
        <f ca="1">IFERROR(__xludf.DUMMYFUNCTION("""COMPUTED_VALUE"""),"23-05-0014")</f>
        <v>23-05-0014</v>
      </c>
      <c r="K3021" s="164" t="str">
        <f ca="1">IFERROR(__xludf.DUMMYFUNCTION("""COMPUTED_VALUE"""),"ESTELA H. ENCINA")</f>
        <v>ESTELA H. ENCINA</v>
      </c>
      <c r="L3021" s="164" t="str">
        <f ca="1">IFERROR(__xludf.DUMMYFUNCTION("""COMPUTED_VALUE"""),"STOD")</f>
        <v>STOD</v>
      </c>
      <c r="M3021" s="164" t="str">
        <f ca="1">IFERROR(__xludf.DUMMYFUNCTION("""COMPUTED_VALUE"""),"SERVICEABLE")</f>
        <v>SERVICEABLE</v>
      </c>
      <c r="N3021" s="164"/>
    </row>
    <row r="3022" spans="1:14" ht="13.2" hidden="1">
      <c r="A3022" s="164" t="str">
        <f ca="1">IFERROR(__xludf.DUMMYFUNCTION("""COMPUTED_VALUE"""),"REGION VIII")</f>
        <v>REGION VIII</v>
      </c>
      <c r="B3022" s="164" t="str">
        <f ca="1">IFERROR(__xludf.DUMMYFUNCTION("""COMPUTED_VALUE"""),"Leyte")</f>
        <v>Leyte</v>
      </c>
      <c r="C3022" s="164" t="str">
        <f ca="1">IFERROR(__xludf.DUMMYFUNCTION("""COMPUTED_VALUE"""),"Desktop Computer – (Lenovo M70T)")</f>
        <v>Desktop Computer – (Lenovo M70T)</v>
      </c>
      <c r="D3022" s="164" t="str">
        <f ca="1">IFERROR(__xludf.DUMMYFUNCTION("""COMPUTED_VALUE"""),"₱ 75,468.00")</f>
        <v>₱ 75,468.00</v>
      </c>
      <c r="E3022" s="164"/>
      <c r="F3022" s="164" t="str">
        <f ca="1">IFERROR(__xludf.DUMMYFUNCTION("""COMPUTED_VALUE"""),"2023-05-03-102015SP1358-01")</f>
        <v>2023-05-03-102015SP1358-01</v>
      </c>
      <c r="G3022" s="164"/>
      <c r="H3022" s="164" t="str">
        <f ca="1">IFERROR(__xludf.DUMMYFUNCTION("""COMPUTED_VALUE"""),"ATTY. DANIEL E. PEN")</f>
        <v>ATTY. DANIEL E. PEN</v>
      </c>
      <c r="I3022" s="164" t="str">
        <f ca="1">IFERROR(__xludf.DUMMYFUNCTION("""COMPUTED_VALUE"""),"PARPO II / PROJECT MANAGER")</f>
        <v>PARPO II / PROJECT MANAGER</v>
      </c>
      <c r="J3022" s="164" t="str">
        <f ca="1">IFERROR(__xludf.DUMMYFUNCTION("""COMPUTED_VALUE"""),"23-05-0015")</f>
        <v>23-05-0015</v>
      </c>
      <c r="K3022" s="164" t="str">
        <f ca="1">IFERROR(__xludf.DUMMYFUNCTION("""COMPUTED_VALUE"""),"ALDINA SANCHEZ")</f>
        <v>ALDINA SANCHEZ</v>
      </c>
      <c r="L3022" s="164" t="str">
        <f ca="1">IFERROR(__xludf.DUMMYFUNCTION("""COMPUTED_VALUE"""),"OFFICE OF THE PARPO II")</f>
        <v>OFFICE OF THE PARPO II</v>
      </c>
      <c r="M3022" s="164" t="str">
        <f ca="1">IFERROR(__xludf.DUMMYFUNCTION("""COMPUTED_VALUE"""),"SERVICEABLE")</f>
        <v>SERVICEABLE</v>
      </c>
      <c r="N3022" s="164"/>
    </row>
    <row r="3023" spans="1:14" ht="13.2" hidden="1">
      <c r="A3023" s="164" t="str">
        <f ca="1">IFERROR(__xludf.DUMMYFUNCTION("""COMPUTED_VALUE"""),"REGION VIII")</f>
        <v>REGION VIII</v>
      </c>
      <c r="B3023" s="164" t="str">
        <f ca="1">IFERROR(__xludf.DUMMYFUNCTION("""COMPUTED_VALUE"""),"Leyte")</f>
        <v>Leyte</v>
      </c>
      <c r="C3023" s="164" t="str">
        <f ca="1">IFERROR(__xludf.DUMMYFUNCTION("""COMPUTED_VALUE"""),"Desktop Computer – (Lenovo M70T)")</f>
        <v>Desktop Computer – (Lenovo M70T)</v>
      </c>
      <c r="D3023" s="164" t="str">
        <f ca="1">IFERROR(__xludf.DUMMYFUNCTION("""COMPUTED_VALUE"""),"₱ 75,468.00")</f>
        <v>₱ 75,468.00</v>
      </c>
      <c r="E3023" s="164"/>
      <c r="F3023" s="164" t="str">
        <f ca="1">IFERROR(__xludf.DUMMYFUNCTION("""COMPUTED_VALUE"""),"2023-05-03-102015SP1359-01")</f>
        <v>2023-05-03-102015SP1359-01</v>
      </c>
      <c r="G3023" s="164"/>
      <c r="H3023" s="164" t="str">
        <f ca="1">IFERROR(__xludf.DUMMYFUNCTION("""COMPUTED_VALUE"""),"LOVELY JOY E. CUSTODIO")</f>
        <v>LOVELY JOY E. CUSTODIO</v>
      </c>
      <c r="I3023" s="164" t="str">
        <f ca="1">IFERROR(__xludf.DUMMYFUNCTION("""COMPUTED_VALUE"""),"ARPT/CLRP APPROVER 1")</f>
        <v>ARPT/CLRP APPROVER 1</v>
      </c>
      <c r="J3023" s="164" t="str">
        <f ca="1">IFERROR(__xludf.DUMMYFUNCTION("""COMPUTED_VALUE"""),"23-05-0016")</f>
        <v>23-05-0016</v>
      </c>
      <c r="K3023" s="164" t="str">
        <f ca="1">IFERROR(__xludf.DUMMYFUNCTION("""COMPUTED_VALUE"""),"LOVELY JOY E. CUSTODIO")</f>
        <v>LOVELY JOY E. CUSTODIO</v>
      </c>
      <c r="L3023" s="164" t="str">
        <f ca="1">IFERROR(__xludf.DUMMYFUNCTION("""COMPUTED_VALUE"""),"OFFICE OF THE PARPO I")</f>
        <v>OFFICE OF THE PARPO I</v>
      </c>
      <c r="M3023" s="164" t="str">
        <f ca="1">IFERROR(__xludf.DUMMYFUNCTION("""COMPUTED_VALUE"""),"SERVICEABLE")</f>
        <v>SERVICEABLE</v>
      </c>
      <c r="N3023" s="164" t="str">
        <f ca="1">IFERROR(__xludf.DUMMYFUNCTION("""COMPUTED_VALUE"""),"printer unserviceable")</f>
        <v>printer unserviceable</v>
      </c>
    </row>
    <row r="3024" spans="1:14" ht="13.2" hidden="1">
      <c r="A3024" s="164" t="str">
        <f ca="1">IFERROR(__xludf.DUMMYFUNCTION("""COMPUTED_VALUE"""),"REGION VIII")</f>
        <v>REGION VIII</v>
      </c>
      <c r="B3024" s="164" t="str">
        <f ca="1">IFERROR(__xludf.DUMMYFUNCTION("""COMPUTED_VALUE"""),"Leyte")</f>
        <v>Leyte</v>
      </c>
      <c r="C3024" s="164" t="str">
        <f ca="1">IFERROR(__xludf.DUMMYFUNCTION("""COMPUTED_VALUE"""),"Desktop Computer – (Lenovo M70T)")</f>
        <v>Desktop Computer – (Lenovo M70T)</v>
      </c>
      <c r="D3024" s="164" t="str">
        <f ca="1">IFERROR(__xludf.DUMMYFUNCTION("""COMPUTED_VALUE"""),"₱ 75,468.00")</f>
        <v>₱ 75,468.00</v>
      </c>
      <c r="E3024" s="164"/>
      <c r="F3024" s="164" t="str">
        <f ca="1">IFERROR(__xludf.DUMMYFUNCTION("""COMPUTED_VALUE"""),"2023-05-03-102015SP1360-01")</f>
        <v>2023-05-03-102015SP1360-01</v>
      </c>
      <c r="G3024" s="164"/>
      <c r="H3024" s="164" t="str">
        <f ca="1">IFERROR(__xludf.DUMMYFUNCTION("""COMPUTED_VALUE"""),"LILIBETH L. CARCILLAR")</f>
        <v>LILIBETH L. CARCILLAR</v>
      </c>
      <c r="I3024" s="164" t="str">
        <f ca="1">IFERROR(__xludf.DUMMYFUNCTION("""COMPUTED_VALUE"""),"ENGR II - GE")</f>
        <v>ENGR II - GE</v>
      </c>
      <c r="J3024" s="164" t="str">
        <f ca="1">IFERROR(__xludf.DUMMYFUNCTION("""COMPUTED_VALUE"""),"23-05-0017")</f>
        <v>23-05-0017</v>
      </c>
      <c r="K3024" s="164" t="str">
        <f ca="1">IFERROR(__xludf.DUMMYFUNCTION("""COMPUTED_VALUE"""),"LILIBETH L. CARCILLAR")</f>
        <v>LILIBETH L. CARCILLAR</v>
      </c>
      <c r="L3024" s="164" t="str">
        <f ca="1">IFERROR(__xludf.DUMMYFUNCTION("""COMPUTED_VALUE"""),"LTSP - SURVEY")</f>
        <v>LTSP - SURVEY</v>
      </c>
      <c r="M3024" s="164" t="str">
        <f ca="1">IFERROR(__xludf.DUMMYFUNCTION("""COMPUTED_VALUE"""),"SERVICEABLE")</f>
        <v>SERVICEABLE</v>
      </c>
      <c r="N3024" s="164"/>
    </row>
    <row r="3025" spans="1:14" ht="13.2" hidden="1">
      <c r="A3025" s="164" t="str">
        <f ca="1">IFERROR(__xludf.DUMMYFUNCTION("""COMPUTED_VALUE"""),"REGION VIII")</f>
        <v>REGION VIII</v>
      </c>
      <c r="B3025" s="164" t="str">
        <f ca="1">IFERROR(__xludf.DUMMYFUNCTION("""COMPUTED_VALUE"""),"Leyte")</f>
        <v>Leyte</v>
      </c>
      <c r="C3025" s="164" t="str">
        <f ca="1">IFERROR(__xludf.DUMMYFUNCTION("""COMPUTED_VALUE"""),"Desktop Computer – (Lenovo M70T)")</f>
        <v>Desktop Computer – (Lenovo M70T)</v>
      </c>
      <c r="D3025" s="164" t="str">
        <f ca="1">IFERROR(__xludf.DUMMYFUNCTION("""COMPUTED_VALUE"""),"₱ 75,468.00")</f>
        <v>₱ 75,468.00</v>
      </c>
      <c r="E3025" s="164"/>
      <c r="F3025" s="164" t="str">
        <f ca="1">IFERROR(__xludf.DUMMYFUNCTION("""COMPUTED_VALUE"""),"2023-05-03-10201SP1367-01")</f>
        <v>2023-05-03-10201SP1367-01</v>
      </c>
      <c r="G3025" s="164"/>
      <c r="H3025" s="164" t="str">
        <f ca="1">IFERROR(__xludf.DUMMYFUNCTION("""COMPUTED_VALUE"""),"ROEHL-LEE ROY A. MARMITA")</f>
        <v>ROEHL-LEE ROY A. MARMITA</v>
      </c>
      <c r="I3025" s="164" t="str">
        <f ca="1">IFERROR(__xludf.DUMMYFUNCTION("""COMPUTED_VALUE"""),"PCAO / Admin and Finance Officer")</f>
        <v>PCAO / Admin and Finance Officer</v>
      </c>
      <c r="J3025" s="164" t="str">
        <f ca="1">IFERROR(__xludf.DUMMYFUNCTION("""COMPUTED_VALUE"""),"23-05-0018")</f>
        <v>23-05-0018</v>
      </c>
      <c r="K3025" s="164" t="str">
        <f ca="1">IFERROR(__xludf.DUMMYFUNCTION("""COMPUTED_VALUE"""),"LORENLY T. FUSIO")</f>
        <v>LORENLY T. FUSIO</v>
      </c>
      <c r="L3025" s="164" t="str">
        <f ca="1">IFERROR(__xludf.DUMMYFUNCTION("""COMPUTED_VALUE"""),"STOD")</f>
        <v>STOD</v>
      </c>
      <c r="M3025" s="164" t="str">
        <f ca="1">IFERROR(__xludf.DUMMYFUNCTION("""COMPUTED_VALUE"""),"SERVICEABLE")</f>
        <v>SERVICEABLE</v>
      </c>
      <c r="N3025" s="164"/>
    </row>
    <row r="3026" spans="1:14" ht="13.2" hidden="1">
      <c r="A3026" s="164" t="str">
        <f ca="1">IFERROR(__xludf.DUMMYFUNCTION("""COMPUTED_VALUE"""),"REGION VIII")</f>
        <v>REGION VIII</v>
      </c>
      <c r="B3026" s="164" t="str">
        <f ca="1">IFERROR(__xludf.DUMMYFUNCTION("""COMPUTED_VALUE"""),"Leyte")</f>
        <v>Leyte</v>
      </c>
      <c r="C3026" s="164" t="str">
        <f ca="1">IFERROR(__xludf.DUMMYFUNCTION("""COMPUTED_VALUE"""),"Desktop Computer – (Lenovo M70T)")</f>
        <v>Desktop Computer – (Lenovo M70T)</v>
      </c>
      <c r="D3026" s="164" t="str">
        <f ca="1">IFERROR(__xludf.DUMMYFUNCTION("""COMPUTED_VALUE"""),"₱ 75,468.00")</f>
        <v>₱ 75,468.00</v>
      </c>
      <c r="E3026" s="164"/>
      <c r="F3026" s="164" t="str">
        <f ca="1">IFERROR(__xludf.DUMMYFUNCTION("""COMPUTED_VALUE"""),"2023-05-03-10201SP1361-01")</f>
        <v>2023-05-03-10201SP1361-01</v>
      </c>
      <c r="G3026" s="164"/>
      <c r="H3026" s="164" t="str">
        <f ca="1">IFERROR(__xludf.DUMMYFUNCTION("""COMPUTED_VALUE"""),"ROEHL-LEE ROY A. MARMITA")</f>
        <v>ROEHL-LEE ROY A. MARMITA</v>
      </c>
      <c r="I3026" s="164" t="str">
        <f ca="1">IFERROR(__xludf.DUMMYFUNCTION("""COMPUTED_VALUE"""),"PCAO / Admin and Finance Officer")</f>
        <v>PCAO / Admin and Finance Officer</v>
      </c>
      <c r="J3026" s="164" t="str">
        <f ca="1">IFERROR(__xludf.DUMMYFUNCTION("""COMPUTED_VALUE"""),"23-05-0019")</f>
        <v>23-05-0019</v>
      </c>
      <c r="K3026" s="164" t="str">
        <f ca="1">IFERROR(__xludf.DUMMYFUNCTION("""COMPUTED_VALUE"""),"CAROL FEDILES")</f>
        <v>CAROL FEDILES</v>
      </c>
      <c r="L3026" s="164" t="str">
        <f ca="1">IFERROR(__xludf.DUMMYFUNCTION("""COMPUTED_VALUE"""),"STOD")</f>
        <v>STOD</v>
      </c>
      <c r="M3026" s="164" t="str">
        <f ca="1">IFERROR(__xludf.DUMMYFUNCTION("""COMPUTED_VALUE"""),"SERVICEABLE")</f>
        <v>SERVICEABLE</v>
      </c>
      <c r="N3026" s="164"/>
    </row>
    <row r="3027" spans="1:14" ht="13.2" hidden="1">
      <c r="A3027" s="164" t="str">
        <f ca="1">IFERROR(__xludf.DUMMYFUNCTION("""COMPUTED_VALUE"""),"REGION VIII")</f>
        <v>REGION VIII</v>
      </c>
      <c r="B3027" s="164" t="str">
        <f ca="1">IFERROR(__xludf.DUMMYFUNCTION("""COMPUTED_VALUE"""),"Leyte")</f>
        <v>Leyte</v>
      </c>
      <c r="C3027" s="164" t="str">
        <f ca="1">IFERROR(__xludf.DUMMYFUNCTION("""COMPUTED_VALUE"""),"Desktop Computer – (Lenovo M70T)")</f>
        <v>Desktop Computer – (Lenovo M70T)</v>
      </c>
      <c r="D3027" s="164" t="str">
        <f ca="1">IFERROR(__xludf.DUMMYFUNCTION("""COMPUTED_VALUE"""),"₱ 75,468.00")</f>
        <v>₱ 75,468.00</v>
      </c>
      <c r="E3027" s="164"/>
      <c r="F3027" s="164" t="str">
        <f ca="1">IFERROR(__xludf.DUMMYFUNCTION("""COMPUTED_VALUE"""),"2023-05-03-102015SP1362-01")</f>
        <v>2023-05-03-102015SP1362-01</v>
      </c>
      <c r="G3027" s="164"/>
      <c r="H3027" s="164" t="str">
        <f ca="1">IFERROR(__xludf.DUMMYFUNCTION("""COMPUTED_VALUE"""),"PEDRO B. BIDUA, JR.")</f>
        <v>PEDRO B. BIDUA, JR.</v>
      </c>
      <c r="I3027" s="164" t="str">
        <f ca="1">IFERROR(__xludf.DUMMYFUNCTION("""COMPUTED_VALUE"""),"ARPT/CLRP ENCODER")</f>
        <v>ARPT/CLRP ENCODER</v>
      </c>
      <c r="J3027" s="164" t="str">
        <f ca="1">IFERROR(__xludf.DUMMYFUNCTION("""COMPUTED_VALUE"""),"23-05-0020")</f>
        <v>23-05-0020</v>
      </c>
      <c r="K3027" s="164" t="str">
        <f ca="1">IFERROR(__xludf.DUMMYFUNCTION("""COMPUTED_VALUE"""),"PEDRO B. BIDUA, JR.")</f>
        <v>PEDRO B. BIDUA, JR.</v>
      </c>
      <c r="L3027" s="164" t="str">
        <f ca="1">IFERROR(__xludf.DUMMYFUNCTION("""COMPUTED_VALUE"""),"LTSP / SPLIT")</f>
        <v>LTSP / SPLIT</v>
      </c>
      <c r="M3027" s="164" t="str">
        <f ca="1">IFERROR(__xludf.DUMMYFUNCTION("""COMPUTED_VALUE"""),"SERVICEABLE")</f>
        <v>SERVICEABLE</v>
      </c>
      <c r="N3027" s="164"/>
    </row>
    <row r="3028" spans="1:14" ht="13.2" hidden="1">
      <c r="A3028" s="164" t="str">
        <f ca="1">IFERROR(__xludf.DUMMYFUNCTION("""COMPUTED_VALUE"""),"REGION VIII")</f>
        <v>REGION VIII</v>
      </c>
      <c r="B3028" s="164" t="str">
        <f ca="1">IFERROR(__xludf.DUMMYFUNCTION("""COMPUTED_VALUE"""),"Leyte")</f>
        <v>Leyte</v>
      </c>
      <c r="C3028" s="164" t="str">
        <f ca="1">IFERROR(__xludf.DUMMYFUNCTION("""COMPUTED_VALUE"""),"Desktop Computer – (Lenovo M70T)")</f>
        <v>Desktop Computer – (Lenovo M70T)</v>
      </c>
      <c r="D3028" s="164" t="str">
        <f ca="1">IFERROR(__xludf.DUMMYFUNCTION("""COMPUTED_VALUE"""),"₱ 75,468.00")</f>
        <v>₱ 75,468.00</v>
      </c>
      <c r="E3028" s="164"/>
      <c r="F3028" s="164" t="str">
        <f ca="1">IFERROR(__xludf.DUMMYFUNCTION("""COMPUTED_VALUE"""),"2023-05-03-102015SP1363-01")</f>
        <v>2023-05-03-102015SP1363-01</v>
      </c>
      <c r="G3028" s="164"/>
      <c r="H3028" s="164" t="str">
        <f ca="1">IFERROR(__xludf.DUMMYFUNCTION("""COMPUTED_VALUE"""),"PERPETUA D. SABALDAN")</f>
        <v>PERPETUA D. SABALDAN</v>
      </c>
      <c r="I3028" s="164" t="str">
        <f ca="1">IFERROR(__xludf.DUMMYFUNCTION("""COMPUTED_VALUE"""),"CARPO LTS / PARCELIZATION COORDINATOR")</f>
        <v>CARPO LTS / PARCELIZATION COORDINATOR</v>
      </c>
      <c r="J3028" s="164" t="str">
        <f ca="1">IFERROR(__xludf.DUMMYFUNCTION("""COMPUTED_VALUE"""),"23-05-0021")</f>
        <v>23-05-0021</v>
      </c>
      <c r="K3028" s="164" t="str">
        <f ca="1">IFERROR(__xludf.DUMMYFUNCTION("""COMPUTED_VALUE"""),"JEANETTE CENTILLAS")</f>
        <v>JEANETTE CENTILLAS</v>
      </c>
      <c r="L3028" s="164" t="str">
        <f ca="1">IFERROR(__xludf.DUMMYFUNCTION("""COMPUTED_VALUE"""),"LTSP")</f>
        <v>LTSP</v>
      </c>
      <c r="M3028" s="164" t="str">
        <f ca="1">IFERROR(__xludf.DUMMYFUNCTION("""COMPUTED_VALUE"""),"SERVICEABLE")</f>
        <v>SERVICEABLE</v>
      </c>
      <c r="N3028" s="164"/>
    </row>
    <row r="3029" spans="1:14" ht="13.2" hidden="1">
      <c r="A3029" s="164" t="str">
        <f ca="1">IFERROR(__xludf.DUMMYFUNCTION("""COMPUTED_VALUE"""),"REGION VIII")</f>
        <v>REGION VIII</v>
      </c>
      <c r="B3029" s="164" t="str">
        <f ca="1">IFERROR(__xludf.DUMMYFUNCTION("""COMPUTED_VALUE"""),"Leyte")</f>
        <v>Leyte</v>
      </c>
      <c r="C3029" s="164" t="str">
        <f ca="1">IFERROR(__xludf.DUMMYFUNCTION("""COMPUTED_VALUE"""),"Desktop Computer – (Lenovo M70T)")</f>
        <v>Desktop Computer – (Lenovo M70T)</v>
      </c>
      <c r="D3029" s="164" t="str">
        <f ca="1">IFERROR(__xludf.DUMMYFUNCTION("""COMPUTED_VALUE"""),"₱ 75,468.00")</f>
        <v>₱ 75,468.00</v>
      </c>
      <c r="E3029" s="164"/>
      <c r="F3029" s="164" t="str">
        <f ca="1">IFERROR(__xludf.DUMMYFUNCTION("""COMPUTED_VALUE"""),"2023-05-03-102015SP1364-01")</f>
        <v>2023-05-03-102015SP1364-01</v>
      </c>
      <c r="G3029" s="164"/>
      <c r="H3029" s="164" t="str">
        <f ca="1">IFERROR(__xludf.DUMMYFUNCTION("""COMPUTED_VALUE"""),"PERPETUA D. SABALDAN")</f>
        <v>PERPETUA D. SABALDAN</v>
      </c>
      <c r="I3029" s="164" t="str">
        <f ca="1">IFERROR(__xludf.DUMMYFUNCTION("""COMPUTED_VALUE"""),"CARPO LTS / PARCELIZATION COORDINATOR")</f>
        <v>CARPO LTS / PARCELIZATION COORDINATOR</v>
      </c>
      <c r="J3029" s="164" t="str">
        <f ca="1">IFERROR(__xludf.DUMMYFUNCTION("""COMPUTED_VALUE"""),"23-05-0011")</f>
        <v>23-05-0011</v>
      </c>
      <c r="K3029" s="164" t="str">
        <f ca="1">IFERROR(__xludf.DUMMYFUNCTION("""COMPUTED_VALUE"""),"KYLE MARIE N. GERMANES")</f>
        <v>KYLE MARIE N. GERMANES</v>
      </c>
      <c r="L3029" s="164" t="str">
        <f ca="1">IFERROR(__xludf.DUMMYFUNCTION("""COMPUTED_VALUE"""),"LTSP")</f>
        <v>LTSP</v>
      </c>
      <c r="M3029" s="164" t="str">
        <f ca="1">IFERROR(__xludf.DUMMYFUNCTION("""COMPUTED_VALUE"""),"SERVICEABLE")</f>
        <v>SERVICEABLE</v>
      </c>
      <c r="N3029" s="164"/>
    </row>
    <row r="3030" spans="1:14" ht="13.2" hidden="1">
      <c r="A3030" s="164" t="str">
        <f ca="1">IFERROR(__xludf.DUMMYFUNCTION("""COMPUTED_VALUE"""),"REGION VIII")</f>
        <v>REGION VIII</v>
      </c>
      <c r="B3030" s="164" t="str">
        <f ca="1">IFERROR(__xludf.DUMMYFUNCTION("""COMPUTED_VALUE"""),"Leyte")</f>
        <v>Leyte</v>
      </c>
      <c r="C3030" s="164" t="str">
        <f ca="1">IFERROR(__xludf.DUMMYFUNCTION("""COMPUTED_VALUE"""),"Desktop Computer – (Lenovo M70T)")</f>
        <v>Desktop Computer – (Lenovo M70T)</v>
      </c>
      <c r="D3030" s="164" t="str">
        <f ca="1">IFERROR(__xludf.DUMMYFUNCTION("""COMPUTED_VALUE"""),"₱ 75,468.00")</f>
        <v>₱ 75,468.00</v>
      </c>
      <c r="E3030" s="164"/>
      <c r="F3030" s="164" t="str">
        <f ca="1">IFERROR(__xludf.DUMMYFUNCTION("""COMPUTED_VALUE"""),"2023-05-03-102015SP1365-01")</f>
        <v>2023-05-03-102015SP1365-01</v>
      </c>
      <c r="G3030" s="164"/>
      <c r="H3030" s="164" t="str">
        <f ca="1">IFERROR(__xludf.DUMMYFUNCTION("""COMPUTED_VALUE"""),"MARICHU L. TY")</f>
        <v>MARICHU L. TY</v>
      </c>
      <c r="I3030" s="164" t="str">
        <f ca="1">IFERROR(__xludf.DUMMYFUNCTION("""COMPUTED_VALUE"""),"PLANNING OFFICER II / M &amp; E COORDINATOR")</f>
        <v>PLANNING OFFICER II / M &amp; E COORDINATOR</v>
      </c>
      <c r="J3030" s="164" t="str">
        <f ca="1">IFERROR(__xludf.DUMMYFUNCTION("""COMPUTED_VALUE"""),"23-05-0023")</f>
        <v>23-05-0023</v>
      </c>
      <c r="K3030" s="164" t="str">
        <f ca="1">IFERROR(__xludf.DUMMYFUNCTION("""COMPUTED_VALUE"""),"AXEL ERWIN AGNER")</f>
        <v>AXEL ERWIN AGNER</v>
      </c>
      <c r="L3030" s="164" t="str">
        <f ca="1">IFERROR(__xludf.DUMMYFUNCTION("""COMPUTED_VALUE"""),"OFFICE OF THE PARPO II")</f>
        <v>OFFICE OF THE PARPO II</v>
      </c>
      <c r="M3030" s="164" t="str">
        <f ca="1">IFERROR(__xludf.DUMMYFUNCTION("""COMPUTED_VALUE"""),"SERVICEABLE")</f>
        <v>SERVICEABLE</v>
      </c>
      <c r="N3030" s="164"/>
    </row>
    <row r="3031" spans="1:14" ht="13.2" hidden="1">
      <c r="A3031" s="164" t="str">
        <f ca="1">IFERROR(__xludf.DUMMYFUNCTION("""COMPUTED_VALUE"""),"REGION VIII")</f>
        <v>REGION VIII</v>
      </c>
      <c r="B3031" s="164" t="str">
        <f ca="1">IFERROR(__xludf.DUMMYFUNCTION("""COMPUTED_VALUE"""),"Leyte")</f>
        <v>Leyte</v>
      </c>
      <c r="C3031" s="164" t="str">
        <f ca="1">IFERROR(__xludf.DUMMYFUNCTION("""COMPUTED_VALUE"""),"Desktop Computer – (Lenovo M70T)")</f>
        <v>Desktop Computer – (Lenovo M70T)</v>
      </c>
      <c r="D3031" s="164" t="str">
        <f ca="1">IFERROR(__xludf.DUMMYFUNCTION("""COMPUTED_VALUE"""),"₱ 75,468.00")</f>
        <v>₱ 75,468.00</v>
      </c>
      <c r="E3031" s="164"/>
      <c r="F3031" s="164" t="str">
        <f ca="1">IFERROR(__xludf.DUMMYFUNCTION("""COMPUTED_VALUE"""),"2023-05-03-102015SP1366-01")</f>
        <v>2023-05-03-102015SP1366-01</v>
      </c>
      <c r="G3031" s="164"/>
      <c r="H3031" s="164" t="str">
        <f ca="1">IFERROR(__xludf.DUMMYFUNCTION("""COMPUTED_VALUE"""),"ATTY. PATRECIA A. RAMOS")</f>
        <v>ATTY. PATRECIA A. RAMOS</v>
      </c>
      <c r="I3031" s="164" t="str">
        <f ca="1">IFERROR(__xludf.DUMMYFUNCTION("""COMPUTED_VALUE"""),"ATTY V / CHIEF, LEGAL DIV / LEGAL COORDINATOR")</f>
        <v>ATTY V / CHIEF, LEGAL DIV / LEGAL COORDINATOR</v>
      </c>
      <c r="J3031" s="164" t="str">
        <f ca="1">IFERROR(__xludf.DUMMYFUNCTION("""COMPUTED_VALUE"""),"23-05-0024")</f>
        <v>23-05-0024</v>
      </c>
      <c r="K3031" s="164" t="str">
        <f ca="1">IFERROR(__xludf.DUMMYFUNCTION("""COMPUTED_VALUE"""),"KETTRICK EDLES")</f>
        <v>KETTRICK EDLES</v>
      </c>
      <c r="L3031" s="164" t="str">
        <f ca="1">IFERROR(__xludf.DUMMYFUNCTION("""COMPUTED_VALUE"""),"LEGAL DIVISION")</f>
        <v>LEGAL DIVISION</v>
      </c>
      <c r="M3031" s="164" t="str">
        <f ca="1">IFERROR(__xludf.DUMMYFUNCTION("""COMPUTED_VALUE"""),"SERVICEABLE")</f>
        <v>SERVICEABLE</v>
      </c>
      <c r="N3031" s="164" t="str">
        <f ca="1">IFERROR(__xludf.DUMMYFUNCTION("""COMPUTED_VALUE"""),"printer unserviceable")</f>
        <v>printer unserviceable</v>
      </c>
    </row>
    <row r="3032" spans="1:14" ht="13.2" hidden="1">
      <c r="A3032" s="164" t="str">
        <f ca="1">IFERROR(__xludf.DUMMYFUNCTION("""COMPUTED_VALUE"""),"REGION VIII")</f>
        <v>REGION VIII</v>
      </c>
      <c r="B3032" s="164" t="str">
        <f ca="1">IFERROR(__xludf.DUMMYFUNCTION("""COMPUTED_VALUE"""),"Leyte")</f>
        <v>Leyte</v>
      </c>
      <c r="C3032" s="164" t="str">
        <f ca="1">IFERROR(__xludf.DUMMYFUNCTION("""COMPUTED_VALUE"""),"Desktop Computer – (HP Pro SFF 280G9)")</f>
        <v>Desktop Computer – (HP Pro SFF 280G9)</v>
      </c>
      <c r="D3032" s="164" t="str">
        <f ca="1">IFERROR(__xludf.DUMMYFUNCTION("""COMPUTED_VALUE"""),"₱ 78,898.00")</f>
        <v>₱ 78,898.00</v>
      </c>
      <c r="E3032" s="164"/>
      <c r="F3032" s="164" t="str">
        <f ca="1">IFERROR(__xludf.DUMMYFUNCTION("""COMPUTED_VALUE"""),"2023-05-03-10201SP-161-01")</f>
        <v>2023-05-03-10201SP-161-01</v>
      </c>
      <c r="G3032" s="164"/>
      <c r="H3032" s="164" t="str">
        <f ca="1">IFERROR(__xludf.DUMMYFUNCTION("""COMPUTED_VALUE"""),"MA. JUN A. CINCO")</f>
        <v>MA. JUN A. CINCO</v>
      </c>
      <c r="I3032" s="164" t="str">
        <f ca="1">IFERROR(__xludf.DUMMYFUNCTION("""COMPUTED_VALUE"""),"MARPO")</f>
        <v>MARPO</v>
      </c>
      <c r="J3032" s="164" t="str">
        <f ca="1">IFERROR(__xludf.DUMMYFUNCTION("""COMPUTED_VALUE"""),"23-10-0031")</f>
        <v>23-10-0031</v>
      </c>
      <c r="K3032" s="164" t="str">
        <f ca="1">IFERROR(__xludf.DUMMYFUNCTION("""COMPUTED_VALUE"""),"MA. JUN A. CINCO")</f>
        <v>MA. JUN A. CINCO</v>
      </c>
      <c r="L3032" s="164" t="str">
        <f ca="1">IFERROR(__xludf.DUMMYFUNCTION("""COMPUTED_VALUE"""),"DARMO BATO")</f>
        <v>DARMO BATO</v>
      </c>
      <c r="M3032" s="164" t="str">
        <f ca="1">IFERROR(__xludf.DUMMYFUNCTION("""COMPUTED_VALUE"""),"SERVICEABLE")</f>
        <v>SERVICEABLE</v>
      </c>
      <c r="N3032" s="164"/>
    </row>
    <row r="3033" spans="1:14" ht="13.2" hidden="1">
      <c r="A3033" s="164" t="str">
        <f ca="1">IFERROR(__xludf.DUMMYFUNCTION("""COMPUTED_VALUE"""),"REGION VIII")</f>
        <v>REGION VIII</v>
      </c>
      <c r="B3033" s="164" t="str">
        <f ca="1">IFERROR(__xludf.DUMMYFUNCTION("""COMPUTED_VALUE"""),"Leyte")</f>
        <v>Leyte</v>
      </c>
      <c r="C3033" s="164" t="str">
        <f ca="1">IFERROR(__xludf.DUMMYFUNCTION("""COMPUTED_VALUE"""),"Desktop Computer – (HP Pro SFF 280G9)")</f>
        <v>Desktop Computer – (HP Pro SFF 280G9)</v>
      </c>
      <c r="D3033" s="164" t="str">
        <f ca="1">IFERROR(__xludf.DUMMYFUNCTION("""COMPUTED_VALUE"""),"₱ 78,898.00")</f>
        <v>₱ 78,898.00</v>
      </c>
      <c r="E3033" s="164"/>
      <c r="F3033" s="164" t="str">
        <f ca="1">IFERROR(__xludf.DUMMYFUNCTION("""COMPUTED_VALUE"""),"2023-05-03-10201SP-169-01")</f>
        <v>2023-05-03-10201SP-169-01</v>
      </c>
      <c r="G3033" s="164"/>
      <c r="H3033" s="164" t="str">
        <f ca="1">IFERROR(__xludf.DUMMYFUNCTION("""COMPUTED_VALUE"""),"LIGAYA R. BATINGAL")</f>
        <v>LIGAYA R. BATINGAL</v>
      </c>
      <c r="I3033" s="164" t="str">
        <f ca="1">IFERROR(__xludf.DUMMYFUNCTION("""COMPUTED_VALUE"""),"MARPO")</f>
        <v>MARPO</v>
      </c>
      <c r="J3033" s="164" t="str">
        <f ca="1">IFERROR(__xludf.DUMMYFUNCTION("""COMPUTED_VALUE"""),"23-10-0030")</f>
        <v>23-10-0030</v>
      </c>
      <c r="K3033" s="164" t="str">
        <f ca="1">IFERROR(__xludf.DUMMYFUNCTION("""COMPUTED_VALUE"""),"LIGAYA R. BATINGAL")</f>
        <v>LIGAYA R. BATINGAL</v>
      </c>
      <c r="L3033" s="164" t="str">
        <f ca="1">IFERROR(__xludf.DUMMYFUNCTION("""COMPUTED_VALUE"""),"DARMO TABANGO")</f>
        <v>DARMO TABANGO</v>
      </c>
      <c r="M3033" s="164" t="str">
        <f ca="1">IFERROR(__xludf.DUMMYFUNCTION("""COMPUTED_VALUE"""),"SERVICEABLE")</f>
        <v>SERVICEABLE</v>
      </c>
      <c r="N3033" s="164"/>
    </row>
    <row r="3034" spans="1:14" ht="13.2" hidden="1">
      <c r="A3034" s="164" t="str">
        <f ca="1">IFERROR(__xludf.DUMMYFUNCTION("""COMPUTED_VALUE"""),"REGION VIII")</f>
        <v>REGION VIII</v>
      </c>
      <c r="B3034" s="164" t="str">
        <f ca="1">IFERROR(__xludf.DUMMYFUNCTION("""COMPUTED_VALUE"""),"Leyte")</f>
        <v>Leyte</v>
      </c>
      <c r="C3034" s="164" t="str">
        <f ca="1">IFERROR(__xludf.DUMMYFUNCTION("""COMPUTED_VALUE"""),"A3 PRINTER (BROTHER)")</f>
        <v>A3 PRINTER (BROTHER)</v>
      </c>
      <c r="D3034" s="164" t="str">
        <f ca="1">IFERROR(__xludf.DUMMYFUNCTION("""COMPUTED_VALUE"""),"₱ 33,508.00")</f>
        <v>₱ 33,508.00</v>
      </c>
      <c r="E3034" s="164"/>
      <c r="F3034" s="164" t="str">
        <f ca="1">IFERROR(__xludf.DUMMYFUNCTION("""COMPUTED_VALUE"""),"HVSPLIT-102-24-05-093")</f>
        <v>HVSPLIT-102-24-05-093</v>
      </c>
      <c r="G3034" s="164"/>
      <c r="H3034" s="164" t="str">
        <f ca="1">IFERROR(__xludf.DUMMYFUNCTION("""COMPUTED_VALUE"""),"ATTY. ROBERT ANTHONY YU")</f>
        <v>ATTY. ROBERT ANTHONY YU</v>
      </c>
      <c r="I3034" s="164" t="str">
        <f ca="1">IFERROR(__xludf.DUMMYFUNCTION("""COMPUTED_VALUE"""),"REGIONAL DIRECTOR")</f>
        <v>REGIONAL DIRECTOR</v>
      </c>
      <c r="J3034" s="164" t="str">
        <f ca="1">IFERROR(__xludf.DUMMYFUNCTION("""COMPUTED_VALUE"""),"2024-05-010")</f>
        <v>2024-05-010</v>
      </c>
      <c r="K3034" s="164"/>
      <c r="L3034" s="164" t="str">
        <f ca="1">IFERROR(__xludf.DUMMYFUNCTION("""COMPUTED_VALUE"""),"DARPO LEYTE")</f>
        <v>DARPO LEYTE</v>
      </c>
      <c r="M3034" s="164" t="str">
        <f ca="1">IFERROR(__xludf.DUMMYFUNCTION("""COMPUTED_VALUE"""),"SERVICEABLE")</f>
        <v>SERVICEABLE</v>
      </c>
      <c r="N3034" s="164"/>
    </row>
    <row r="3035" spans="1:14" ht="13.2" hidden="1">
      <c r="A3035" s="164" t="str">
        <f ca="1">IFERROR(__xludf.DUMMYFUNCTION("""COMPUTED_VALUE"""),"REGION VIII")</f>
        <v>REGION VIII</v>
      </c>
      <c r="B3035" s="164" t="str">
        <f ca="1">IFERROR(__xludf.DUMMYFUNCTION("""COMPUTED_VALUE"""),"Southern Leyte")</f>
        <v>Southern Leyte</v>
      </c>
      <c r="C3035" s="164" t="str">
        <f ca="1">IFERROR(__xludf.DUMMYFUNCTION("""COMPUTED_VALUE"""),"Photocopier Machine – Kyocera")</f>
        <v>Photocopier Machine – Kyocera</v>
      </c>
      <c r="D3035" s="164" t="str">
        <f ca="1">IFERROR(__xludf.DUMMYFUNCTION("""COMPUTED_VALUE"""),"₱ 84,500.00")</f>
        <v>₱ 84,500.00</v>
      </c>
      <c r="E3035" s="164"/>
      <c r="F3035" s="164" t="str">
        <f ca="1">IFERROR(__xludf.DUMMYFUNCTION("""COMPUTED_VALUE"""),"2022-05-02-10202SP61-01")</f>
        <v>2022-05-02-10202SP61-01</v>
      </c>
      <c r="G3035" s="164"/>
      <c r="H3035" s="164" t="str">
        <f ca="1">IFERROR(__xludf.DUMMYFUNCTION("""COMPUTED_VALUE"""),"ENG'R. FRANCO C. CINCO")</f>
        <v>ENG'R. FRANCO C. CINCO</v>
      </c>
      <c r="I3035" s="164" t="str">
        <f ca="1">IFERROR(__xludf.DUMMYFUNCTION("""COMPUTED_VALUE"""),"MARPO/OIC-CARPO LTID/Parcelization Officer/ FVT Coordinator")</f>
        <v>MARPO/OIC-CARPO LTID/Parcelization Officer/ FVT Coordinator</v>
      </c>
      <c r="J3035" s="164" t="str">
        <f ca="1">IFERROR(__xludf.DUMMYFUNCTION("""COMPUTED_VALUE"""),"2023-0004")</f>
        <v>2023-0004</v>
      </c>
      <c r="K3035" s="164" t="str">
        <f ca="1">IFERROR(__xludf.DUMMYFUNCTION("""COMPUTED_VALUE"""),"ENG'R. FRANCO C. CINCO")</f>
        <v>ENG'R. FRANCO C. CINCO</v>
      </c>
      <c r="L3035" s="164" t="str">
        <f ca="1">IFERROR(__xludf.DUMMYFUNCTION("""COMPUTED_VALUE"""),"DARPO-LTID")</f>
        <v>DARPO-LTID</v>
      </c>
      <c r="M3035" s="164" t="str">
        <f ca="1">IFERROR(__xludf.DUMMYFUNCTION("""COMPUTED_VALUE"""),"SERVICEABLE")</f>
        <v>SERVICEABLE</v>
      </c>
      <c r="N3035" s="164"/>
    </row>
    <row r="3036" spans="1:14" ht="13.2" hidden="1">
      <c r="A3036" s="164" t="str">
        <f ca="1">IFERROR(__xludf.DUMMYFUNCTION("""COMPUTED_VALUE"""),"REGION VIII")</f>
        <v>REGION VIII</v>
      </c>
      <c r="B3036" s="164" t="str">
        <f ca="1">IFERROR(__xludf.DUMMYFUNCTION("""COMPUTED_VALUE"""),"Southern Leyte")</f>
        <v>Southern Leyte</v>
      </c>
      <c r="C3036" s="164" t="str">
        <f ca="1">IFERROR(__xludf.DUMMYFUNCTION("""COMPUTED_VALUE"""),"REAL-TIME KINEMATIC – GEOMAX ZENITH60")</f>
        <v>REAL-TIME KINEMATIC – GEOMAX ZENITH60</v>
      </c>
      <c r="D3036" s="164" t="str">
        <f ca="1">IFERROR(__xludf.DUMMYFUNCTION("""COMPUTED_VALUE"""),"₱ 1,849,000.00")</f>
        <v>₱ 1,849,000.00</v>
      </c>
      <c r="E3036" s="164"/>
      <c r="F3036" s="164" t="str">
        <f ca="1">IFERROR(__xludf.DUMMYFUNCTION("""COMPUTED_VALUE"""),"2023-05-14-10201SP-34-01")</f>
        <v>2023-05-14-10201SP-34-01</v>
      </c>
      <c r="G3036" s="164"/>
      <c r="H3036" s="164" t="str">
        <f ca="1">IFERROR(__xludf.DUMMYFUNCTION("""COMPUTED_VALUE"""),"ENG'R. FRANCO C. CINCO")</f>
        <v>ENG'R. FRANCO C. CINCO</v>
      </c>
      <c r="I3036" s="164" t="str">
        <f ca="1">IFERROR(__xludf.DUMMYFUNCTION("""COMPUTED_VALUE"""),"MARPO/OIC-CARPO LTID/Parcelization Officer/ FVT Coordinator")</f>
        <v>MARPO/OIC-CARPO LTID/Parcelization Officer/ FVT Coordinator</v>
      </c>
      <c r="J3036" s="164" t="str">
        <f ca="1">IFERROR(__xludf.DUMMYFUNCTION("""COMPUTED_VALUE"""),"2023-0030")</f>
        <v>2023-0030</v>
      </c>
      <c r="K3036" s="164" t="str">
        <f ca="1">IFERROR(__xludf.DUMMYFUNCTION("""COMPUTED_VALUE"""),"ENG'R. FRANCO C. CINCO")</f>
        <v>ENG'R. FRANCO C. CINCO</v>
      </c>
      <c r="L3036" s="164" t="str">
        <f ca="1">IFERROR(__xludf.DUMMYFUNCTION("""COMPUTED_VALUE"""),"DARPO-LTID")</f>
        <v>DARPO-LTID</v>
      </c>
      <c r="M3036" s="164" t="str">
        <f ca="1">IFERROR(__xludf.DUMMYFUNCTION("""COMPUTED_VALUE"""),"UNSERVICEABLE")</f>
        <v>UNSERVICEABLE</v>
      </c>
      <c r="N3036" s="164" t="str">
        <f ca="1">IFERROR(__xludf.DUMMYFUNCTION("""COMPUTED_VALUE"""),"UNSERVICEABLE")</f>
        <v>UNSERVICEABLE</v>
      </c>
    </row>
    <row r="3037" spans="1:14" ht="13.2" hidden="1">
      <c r="A3037" s="164" t="str">
        <f ca="1">IFERROR(__xludf.DUMMYFUNCTION("""COMPUTED_VALUE"""),"REGION VIII")</f>
        <v>REGION VIII</v>
      </c>
      <c r="B3037" s="164" t="str">
        <f ca="1">IFERROR(__xludf.DUMMYFUNCTION("""COMPUTED_VALUE"""),"Southern Leyte")</f>
        <v>Southern Leyte</v>
      </c>
      <c r="C3037" s="164" t="str">
        <f ca="1">IFERROR(__xludf.DUMMYFUNCTION("""COMPUTED_VALUE"""),"TOTAL STATION – GEOMAX TOTAL STATION ZOOM 50")</f>
        <v>TOTAL STATION – GEOMAX TOTAL STATION ZOOM 50</v>
      </c>
      <c r="D3037" s="164" t="str">
        <f ca="1">IFERROR(__xludf.DUMMYFUNCTION("""COMPUTED_VALUE"""),"₱ 648,000.00")</f>
        <v>₱ 648,000.00</v>
      </c>
      <c r="E3037" s="164"/>
      <c r="F3037" s="164" t="str">
        <f ca="1">IFERROR(__xludf.DUMMYFUNCTION("""COMPUTED_VALUE"""),"2023-05-14-10201SP-34-01")</f>
        <v>2023-05-14-10201SP-34-01</v>
      </c>
      <c r="G3037" s="164"/>
      <c r="H3037" s="164" t="str">
        <f ca="1">IFERROR(__xludf.DUMMYFUNCTION("""COMPUTED_VALUE"""),"ENG'R. FRANCO C. CINCO")</f>
        <v>ENG'R. FRANCO C. CINCO</v>
      </c>
      <c r="I3037" s="164" t="str">
        <f ca="1">IFERROR(__xludf.DUMMYFUNCTION("""COMPUTED_VALUE"""),"MARPO/OIC-CARPO LTID/Parcelization Officer/ FVT Coordinator")</f>
        <v>MARPO/OIC-CARPO LTID/Parcelization Officer/ FVT Coordinator</v>
      </c>
      <c r="J3037" s="164" t="str">
        <f ca="1">IFERROR(__xludf.DUMMYFUNCTION("""COMPUTED_VALUE"""),"2023-0031")</f>
        <v>2023-0031</v>
      </c>
      <c r="K3037" s="164" t="str">
        <f ca="1">IFERROR(__xludf.DUMMYFUNCTION("""COMPUTED_VALUE"""),"ENG'R. FRANCO C. CINCO")</f>
        <v>ENG'R. FRANCO C. CINCO</v>
      </c>
      <c r="L3037" s="164" t="str">
        <f ca="1">IFERROR(__xludf.DUMMYFUNCTION("""COMPUTED_VALUE"""),"DARPO-LTID")</f>
        <v>DARPO-LTID</v>
      </c>
      <c r="M3037" s="164" t="str">
        <f ca="1">IFERROR(__xludf.DUMMYFUNCTION("""COMPUTED_VALUE"""),"UNSERVICEABLE")</f>
        <v>UNSERVICEABLE</v>
      </c>
      <c r="N3037" s="164" t="str">
        <f ca="1">IFERROR(__xludf.DUMMYFUNCTION("""COMPUTED_VALUE"""),"UNSERVICEABLE")</f>
        <v>UNSERVICEABLE</v>
      </c>
    </row>
    <row r="3038" spans="1:14" ht="13.2" hidden="1">
      <c r="A3038" s="164" t="str">
        <f ca="1">IFERROR(__xludf.DUMMYFUNCTION("""COMPUTED_VALUE"""),"REGION VIII")</f>
        <v>REGION VIII</v>
      </c>
      <c r="B3038" s="164" t="str">
        <f ca="1">IFERROR(__xludf.DUMMYFUNCTION("""COMPUTED_VALUE"""),"Southern Leyte")</f>
        <v>Southern Leyte</v>
      </c>
      <c r="C3038" s="164" t="str">
        <f ca="1">IFERROR(__xludf.DUMMYFUNCTION("""COMPUTED_VALUE"""),"HANDHELD GPS – MODEL P6")</f>
        <v>HANDHELD GPS – MODEL P6</v>
      </c>
      <c r="D3038" s="164" t="str">
        <f ca="1">IFERROR(__xludf.DUMMYFUNCTION("""COMPUTED_VALUE"""),"₱ 79,000.00")</f>
        <v>₱ 79,000.00</v>
      </c>
      <c r="E3038" s="164"/>
      <c r="F3038" s="164" t="str">
        <f ca="1">IFERROR(__xludf.DUMMYFUNCTION("""COMPUTED_VALUE"""),"2023-05-14-10202SP-14-01")</f>
        <v>2023-05-14-10202SP-14-01</v>
      </c>
      <c r="G3038" s="164"/>
      <c r="H3038" s="164" t="str">
        <f ca="1">IFERROR(__xludf.DUMMYFUNCTION("""COMPUTED_VALUE"""),"ENG'R. FRANCO C. CINCO")</f>
        <v>ENG'R. FRANCO C. CINCO</v>
      </c>
      <c r="I3038" s="164" t="str">
        <f ca="1">IFERROR(__xludf.DUMMYFUNCTION("""COMPUTED_VALUE"""),"MARPO/OIC-CARPO LTID/Parcelization Officer/ FVT Coordinator")</f>
        <v>MARPO/OIC-CARPO LTID/Parcelization Officer/ FVT Coordinator</v>
      </c>
      <c r="J3038" s="164" t="str">
        <f ca="1">IFERROR(__xludf.DUMMYFUNCTION("""COMPUTED_VALUE"""),"2023-0032")</f>
        <v>2023-0032</v>
      </c>
      <c r="K3038" s="164" t="str">
        <f ca="1">IFERROR(__xludf.DUMMYFUNCTION("""COMPUTED_VALUE"""),"ENG'R. FRANCO C. CINCO")</f>
        <v>ENG'R. FRANCO C. CINCO</v>
      </c>
      <c r="L3038" s="164" t="str">
        <f ca="1">IFERROR(__xludf.DUMMYFUNCTION("""COMPUTED_VALUE"""),"DARPO-LTID")</f>
        <v>DARPO-LTID</v>
      </c>
      <c r="M3038" s="164" t="str">
        <f ca="1">IFERROR(__xludf.DUMMYFUNCTION("""COMPUTED_VALUE"""),"UNSERVICEABLE")</f>
        <v>UNSERVICEABLE</v>
      </c>
      <c r="N3038" s="164" t="str">
        <f ca="1">IFERROR(__xludf.DUMMYFUNCTION("""COMPUTED_VALUE"""),"UNSERVICEABLE")</f>
        <v>UNSERVICEABLE</v>
      </c>
    </row>
    <row r="3039" spans="1:14" ht="13.2" hidden="1">
      <c r="A3039" s="164" t="str">
        <f ca="1">IFERROR(__xludf.DUMMYFUNCTION("""COMPUTED_VALUE"""),"REGION VIII")</f>
        <v>REGION VIII</v>
      </c>
      <c r="B3039" s="164" t="str">
        <f ca="1">IFERROR(__xludf.DUMMYFUNCTION("""COMPUTED_VALUE"""),"Southern Leyte")</f>
        <v>Southern Leyte</v>
      </c>
      <c r="C3039" s="164" t="str">
        <f ca="1">IFERROR(__xludf.DUMMYFUNCTION("""COMPUTED_VALUE"""),"Desktop Computer – (Lenovo M70T)")</f>
        <v>Desktop Computer – (Lenovo M70T)</v>
      </c>
      <c r="D3039" s="164" t="str">
        <f ca="1">IFERROR(__xludf.DUMMYFUNCTION("""COMPUTED_VALUE"""),"₱ 75,468.00")</f>
        <v>₱ 75,468.00</v>
      </c>
      <c r="E3039" s="164"/>
      <c r="F3039" s="164" t="str">
        <f ca="1">IFERROR(__xludf.DUMMYFUNCTION("""COMPUTED_VALUE"""),"2023-05-03-10201SP-1386-01")</f>
        <v>2023-05-03-10201SP-1386-01</v>
      </c>
      <c r="G3039" s="164"/>
      <c r="H3039" s="164" t="str">
        <f ca="1">IFERROR(__xludf.DUMMYFUNCTION("""COMPUTED_VALUE"""),"RODERICK B. RANCES")</f>
        <v>RODERICK B. RANCES</v>
      </c>
      <c r="I3039" s="164" t="str">
        <f ca="1">IFERROR(__xludf.DUMMYFUNCTION("""COMPUTED_VALUE"""),"PARPO II/Provincial Project Manager")</f>
        <v>PARPO II/Provincial Project Manager</v>
      </c>
      <c r="J3039" s="164" t="str">
        <f ca="1">IFERROR(__xludf.DUMMYFUNCTION("""COMPUTED_VALUE"""),"2023-0024")</f>
        <v>2023-0024</v>
      </c>
      <c r="K3039" s="164" t="str">
        <f ca="1">IFERROR(__xludf.DUMMYFUNCTION("""COMPUTED_VALUE"""),"RODERICK B. RANCES")</f>
        <v>RODERICK B. RANCES</v>
      </c>
      <c r="L3039" s="164" t="str">
        <f ca="1">IFERROR(__xludf.DUMMYFUNCTION("""COMPUTED_VALUE"""),"DARPO-PARPO II")</f>
        <v>DARPO-PARPO II</v>
      </c>
      <c r="M3039" s="164" t="str">
        <f ca="1">IFERROR(__xludf.DUMMYFUNCTION("""COMPUTED_VALUE"""),"SERVICEABLE")</f>
        <v>SERVICEABLE</v>
      </c>
      <c r="N3039" s="164"/>
    </row>
    <row r="3040" spans="1:14" ht="13.2" hidden="1">
      <c r="A3040" s="164" t="str">
        <f ca="1">IFERROR(__xludf.DUMMYFUNCTION("""COMPUTED_VALUE"""),"REGION VIII")</f>
        <v>REGION VIII</v>
      </c>
      <c r="B3040" s="164" t="str">
        <f ca="1">IFERROR(__xludf.DUMMYFUNCTION("""COMPUTED_VALUE"""),"Southern Leyte")</f>
        <v>Southern Leyte</v>
      </c>
      <c r="C3040" s="164" t="str">
        <f ca="1">IFERROR(__xludf.DUMMYFUNCTION("""COMPUTED_VALUE"""),"Desktop Computer – (Lenovo M70T)")</f>
        <v>Desktop Computer – (Lenovo M70T)</v>
      </c>
      <c r="D3040" s="164" t="str">
        <f ca="1">IFERROR(__xludf.DUMMYFUNCTION("""COMPUTED_VALUE"""),"₱ 75,468.00")</f>
        <v>₱ 75,468.00</v>
      </c>
      <c r="E3040" s="164"/>
      <c r="F3040" s="164" t="str">
        <f ca="1">IFERROR(__xludf.DUMMYFUNCTION("""COMPUTED_VALUE"""),"2023-05-03-10201SP-1389-01")</f>
        <v>2023-05-03-10201SP-1389-01</v>
      </c>
      <c r="G3040" s="164"/>
      <c r="H3040" s="164" t="str">
        <f ca="1">IFERROR(__xludf.DUMMYFUNCTION("""COMPUTED_VALUE"""),"MA. FE P. CASTRO")</f>
        <v>MA. FE P. CASTRO</v>
      </c>
      <c r="I3040" s="164" t="str">
        <f ca="1">IFERROR(__xludf.DUMMYFUNCTION("""COMPUTED_VALUE"""),"OIC-PARPO I/ESS Coordinator")</f>
        <v>OIC-PARPO I/ESS Coordinator</v>
      </c>
      <c r="J3040" s="164" t="str">
        <f ca="1">IFERROR(__xludf.DUMMYFUNCTION("""COMPUTED_VALUE"""),"2023-0009")</f>
        <v>2023-0009</v>
      </c>
      <c r="K3040" s="164" t="str">
        <f ca="1">IFERROR(__xludf.DUMMYFUNCTION("""COMPUTED_VALUE"""),"MA. FE P. CASTRO")</f>
        <v>MA. FE P. CASTRO</v>
      </c>
      <c r="L3040" s="164" t="str">
        <f ca="1">IFERROR(__xludf.DUMMYFUNCTION("""COMPUTED_VALUE"""),"DARPO-PBDD")</f>
        <v>DARPO-PBDD</v>
      </c>
      <c r="M3040" s="164" t="str">
        <f ca="1">IFERROR(__xludf.DUMMYFUNCTION("""COMPUTED_VALUE"""),"SERVICEABLE")</f>
        <v>SERVICEABLE</v>
      </c>
      <c r="N3040" s="164"/>
    </row>
    <row r="3041" spans="1:14" ht="13.2" hidden="1">
      <c r="A3041" s="164" t="str">
        <f ca="1">IFERROR(__xludf.DUMMYFUNCTION("""COMPUTED_VALUE"""),"REGION VIII")</f>
        <v>REGION VIII</v>
      </c>
      <c r="B3041" s="164" t="str">
        <f ca="1">IFERROR(__xludf.DUMMYFUNCTION("""COMPUTED_VALUE"""),"Southern Leyte")</f>
        <v>Southern Leyte</v>
      </c>
      <c r="C3041" s="164" t="str">
        <f ca="1">IFERROR(__xludf.DUMMYFUNCTION("""COMPUTED_VALUE"""),"Desktop Computer – (Lenovo M70T)")</f>
        <v>Desktop Computer – (Lenovo M70T)</v>
      </c>
      <c r="D3041" s="164" t="str">
        <f ca="1">IFERROR(__xludf.DUMMYFUNCTION("""COMPUTED_VALUE"""),"₱ 75,468.00")</f>
        <v>₱ 75,468.00</v>
      </c>
      <c r="E3041" s="164"/>
      <c r="F3041" s="164" t="str">
        <f ca="1">IFERROR(__xludf.DUMMYFUNCTION("""COMPUTED_VALUE"""),"2023-05-03-10201SP-1402-01")</f>
        <v>2023-05-03-10201SP-1402-01</v>
      </c>
      <c r="G3041" s="164"/>
      <c r="H3041" s="164" t="str">
        <f ca="1">IFERROR(__xludf.DUMMYFUNCTION("""COMPUTED_VALUE"""),"ENG'R. FRANCO C. CINCO")</f>
        <v>ENG'R. FRANCO C. CINCO</v>
      </c>
      <c r="I3041" s="164" t="str">
        <f ca="1">IFERROR(__xludf.DUMMYFUNCTION("""COMPUTED_VALUE"""),"MARPO/OIC-CARPO LTID/Parcelization Officer/ FVT Coordinator")</f>
        <v>MARPO/OIC-CARPO LTID/Parcelization Officer/ FVT Coordinator</v>
      </c>
      <c r="J3041" s="164" t="str">
        <f ca="1">IFERROR(__xludf.DUMMYFUNCTION("""COMPUTED_VALUE"""),"2023-0022")</f>
        <v>2023-0022</v>
      </c>
      <c r="K3041" s="164" t="str">
        <f ca="1">IFERROR(__xludf.DUMMYFUNCTION("""COMPUTED_VALUE"""),"ENG'R. FRANCO C. CINCO")</f>
        <v>ENG'R. FRANCO C. CINCO</v>
      </c>
      <c r="L3041" s="164" t="str">
        <f ca="1">IFERROR(__xludf.DUMMYFUNCTION("""COMPUTED_VALUE"""),"DARPO-LTID")</f>
        <v>DARPO-LTID</v>
      </c>
      <c r="M3041" s="164" t="str">
        <f ca="1">IFERROR(__xludf.DUMMYFUNCTION("""COMPUTED_VALUE"""),"SERVICEABLE")</f>
        <v>SERVICEABLE</v>
      </c>
      <c r="N3041" s="164"/>
    </row>
    <row r="3042" spans="1:14" ht="13.2" hidden="1">
      <c r="A3042" s="164" t="str">
        <f ca="1">IFERROR(__xludf.DUMMYFUNCTION("""COMPUTED_VALUE"""),"REGION VIII")</f>
        <v>REGION VIII</v>
      </c>
      <c r="B3042" s="164" t="str">
        <f ca="1">IFERROR(__xludf.DUMMYFUNCTION("""COMPUTED_VALUE"""),"Southern Leyte")</f>
        <v>Southern Leyte</v>
      </c>
      <c r="C3042" s="164" t="str">
        <f ca="1">IFERROR(__xludf.DUMMYFUNCTION("""COMPUTED_VALUE"""),"Desktop Computer – (Lenovo M70T)")</f>
        <v>Desktop Computer – (Lenovo M70T)</v>
      </c>
      <c r="D3042" s="164" t="str">
        <f ca="1">IFERROR(__xludf.DUMMYFUNCTION("""COMPUTED_VALUE"""),"₱ 75,468.00")</f>
        <v>₱ 75,468.00</v>
      </c>
      <c r="E3042" s="164"/>
      <c r="F3042" s="164" t="str">
        <f ca="1">IFERROR(__xludf.DUMMYFUNCTION("""COMPUTED_VALUE"""),"2023-05-03-10201SP-1396-01")</f>
        <v>2023-05-03-10201SP-1396-01</v>
      </c>
      <c r="G3042" s="164"/>
      <c r="H3042" s="164" t="str">
        <f ca="1">IFERROR(__xludf.DUMMYFUNCTION("""COMPUTED_VALUE"""),"ENG'R. FRANCO C. CINCO")</f>
        <v>ENG'R. FRANCO C. CINCO</v>
      </c>
      <c r="I3042" s="164" t="str">
        <f ca="1">IFERROR(__xludf.DUMMYFUNCTION("""COMPUTED_VALUE"""),"MARPO/OIC-CARPO LTID/Parcelization Officer/ FVT Coordinator")</f>
        <v>MARPO/OIC-CARPO LTID/Parcelization Officer/ FVT Coordinator</v>
      </c>
      <c r="J3042" s="164" t="str">
        <f ca="1">IFERROR(__xludf.DUMMYFUNCTION("""COMPUTED_VALUE"""),"2023-0016")</f>
        <v>2023-0016</v>
      </c>
      <c r="K3042" s="164" t="str">
        <f ca="1">IFERROR(__xludf.DUMMYFUNCTION("""COMPUTED_VALUE"""),"ENG'R. FRANCO C. CINCO")</f>
        <v>ENG'R. FRANCO C. CINCO</v>
      </c>
      <c r="L3042" s="164" t="str">
        <f ca="1">IFERROR(__xludf.DUMMYFUNCTION("""COMPUTED_VALUE"""),"DARPO-LTID")</f>
        <v>DARPO-LTID</v>
      </c>
      <c r="M3042" s="164" t="str">
        <f ca="1">IFERROR(__xludf.DUMMYFUNCTION("""COMPUTED_VALUE"""),"SERVICEABLE")</f>
        <v>SERVICEABLE</v>
      </c>
      <c r="N3042" s="164"/>
    </row>
    <row r="3043" spans="1:14" ht="13.2" hidden="1">
      <c r="A3043" s="164" t="str">
        <f ca="1">IFERROR(__xludf.DUMMYFUNCTION("""COMPUTED_VALUE"""),"REGION VIII")</f>
        <v>REGION VIII</v>
      </c>
      <c r="B3043" s="164" t="str">
        <f ca="1">IFERROR(__xludf.DUMMYFUNCTION("""COMPUTED_VALUE"""),"Southern Leyte")</f>
        <v>Southern Leyte</v>
      </c>
      <c r="C3043" s="164" t="str">
        <f ca="1">IFERROR(__xludf.DUMMYFUNCTION("""COMPUTED_VALUE"""),"Desktop Computer – (Lenovo M70T)")</f>
        <v>Desktop Computer – (Lenovo M70T)</v>
      </c>
      <c r="D3043" s="164" t="str">
        <f ca="1">IFERROR(__xludf.DUMMYFUNCTION("""COMPUTED_VALUE"""),"₱ 75,468.00")</f>
        <v>₱ 75,468.00</v>
      </c>
      <c r="E3043" s="164"/>
      <c r="F3043" s="164" t="str">
        <f ca="1">IFERROR(__xludf.DUMMYFUNCTION("""COMPUTED_VALUE"""),"2023-05-03-10201SP-1387-01")</f>
        <v>2023-05-03-10201SP-1387-01</v>
      </c>
      <c r="G3043" s="164"/>
      <c r="H3043" s="164" t="str">
        <f ca="1">IFERROR(__xludf.DUMMYFUNCTION("""COMPUTED_VALUE"""),"JONATHAN C. ESPEDILLA")</f>
        <v>JONATHAN C. ESPEDILLA</v>
      </c>
      <c r="I3043" s="164" t="str">
        <f ca="1">IFERROR(__xludf.DUMMYFUNCTION("""COMPUTED_VALUE"""),"SARPO/Survey Coordinator")</f>
        <v>SARPO/Survey Coordinator</v>
      </c>
      <c r="J3043" s="164" t="str">
        <f ca="1">IFERROR(__xludf.DUMMYFUNCTION("""COMPUTED_VALUE"""),"2023-0007")</f>
        <v>2023-0007</v>
      </c>
      <c r="K3043" s="164" t="str">
        <f ca="1">IFERROR(__xludf.DUMMYFUNCTION("""COMPUTED_VALUE"""),"JONATHAN C. ESPEDILLA")</f>
        <v>JONATHAN C. ESPEDILLA</v>
      </c>
      <c r="L3043" s="164" t="str">
        <f ca="1">IFERROR(__xludf.DUMMYFUNCTION("""COMPUTED_VALUE"""),"DARPO-LTID")</f>
        <v>DARPO-LTID</v>
      </c>
      <c r="M3043" s="164" t="str">
        <f ca="1">IFERROR(__xludf.DUMMYFUNCTION("""COMPUTED_VALUE"""),"SERVICEABLE")</f>
        <v>SERVICEABLE</v>
      </c>
      <c r="N3043" s="164"/>
    </row>
    <row r="3044" spans="1:14" ht="13.2" hidden="1">
      <c r="A3044" s="164" t="str">
        <f ca="1">IFERROR(__xludf.DUMMYFUNCTION("""COMPUTED_VALUE"""),"REGION VIII")</f>
        <v>REGION VIII</v>
      </c>
      <c r="B3044" s="164" t="str">
        <f ca="1">IFERROR(__xludf.DUMMYFUNCTION("""COMPUTED_VALUE"""),"Southern Leyte")</f>
        <v>Southern Leyte</v>
      </c>
      <c r="C3044" s="164" t="str">
        <f ca="1">IFERROR(__xludf.DUMMYFUNCTION("""COMPUTED_VALUE"""),"Desktop Computer – (Lenovo M70T)")</f>
        <v>Desktop Computer – (Lenovo M70T)</v>
      </c>
      <c r="D3044" s="164" t="str">
        <f ca="1">IFERROR(__xludf.DUMMYFUNCTION("""COMPUTED_VALUE"""),"₱ 75,468.00")</f>
        <v>₱ 75,468.00</v>
      </c>
      <c r="E3044" s="164"/>
      <c r="F3044" s="164" t="str">
        <f ca="1">IFERROR(__xludf.DUMMYFUNCTION("""COMPUTED_VALUE"""),"2023-05-03-10201SP-1397-01")</f>
        <v>2023-05-03-10201SP-1397-01</v>
      </c>
      <c r="G3044" s="164"/>
      <c r="H3044" s="164" t="str">
        <f ca="1">IFERROR(__xludf.DUMMYFUNCTION("""COMPUTED_VALUE"""),"ROSA JANE B. ALARAS")</f>
        <v>ROSA JANE B. ALARAS</v>
      </c>
      <c r="I3044" s="164" t="str">
        <f ca="1">IFERROR(__xludf.DUMMYFUNCTION("""COMPUTED_VALUE"""),"ARPO II/ESS Staff")</f>
        <v>ARPO II/ESS Staff</v>
      </c>
      <c r="J3044" s="164" t="str">
        <f ca="1">IFERROR(__xludf.DUMMYFUNCTION("""COMPUTED_VALUE"""),"2023-0017")</f>
        <v>2023-0017</v>
      </c>
      <c r="K3044" s="164" t="str">
        <f ca="1">IFERROR(__xludf.DUMMYFUNCTION("""COMPUTED_VALUE"""),"ROSA JANE B. ALARAS")</f>
        <v>ROSA JANE B. ALARAS</v>
      </c>
      <c r="L3044" s="164" t="str">
        <f ca="1">IFERROR(__xludf.DUMMYFUNCTION("""COMPUTED_VALUE"""),"DARPO-LTID")</f>
        <v>DARPO-LTID</v>
      </c>
      <c r="M3044" s="164" t="str">
        <f ca="1">IFERROR(__xludf.DUMMYFUNCTION("""COMPUTED_VALUE"""),"SERVICEABLE")</f>
        <v>SERVICEABLE</v>
      </c>
      <c r="N3044" s="164"/>
    </row>
    <row r="3045" spans="1:14" ht="13.2" hidden="1">
      <c r="A3045" s="164" t="str">
        <f ca="1">IFERROR(__xludf.DUMMYFUNCTION("""COMPUTED_VALUE"""),"REGION VIII")</f>
        <v>REGION VIII</v>
      </c>
      <c r="B3045" s="164" t="str">
        <f ca="1">IFERROR(__xludf.DUMMYFUNCTION("""COMPUTED_VALUE"""),"Southern Leyte")</f>
        <v>Southern Leyte</v>
      </c>
      <c r="C3045" s="164" t="str">
        <f ca="1">IFERROR(__xludf.DUMMYFUNCTION("""COMPUTED_VALUE"""),"Desktop Computer – (Lenovo M70T)")</f>
        <v>Desktop Computer – (Lenovo M70T)</v>
      </c>
      <c r="D3045" s="164" t="str">
        <f ca="1">IFERROR(__xludf.DUMMYFUNCTION("""COMPUTED_VALUE"""),"₱ 75,468.00")</f>
        <v>₱ 75,468.00</v>
      </c>
      <c r="E3045" s="164"/>
      <c r="F3045" s="164" t="str">
        <f ca="1">IFERROR(__xludf.DUMMYFUNCTION("""COMPUTED_VALUE"""),"2023-05-03-10201SP-1388-01")</f>
        <v>2023-05-03-10201SP-1388-01</v>
      </c>
      <c r="G3045" s="164"/>
      <c r="H3045" s="164" t="str">
        <f ca="1">IFERROR(__xludf.DUMMYFUNCTION("""COMPUTED_VALUE"""),"CECILE BENITA M. CALATRAVA")</f>
        <v>CECILE BENITA M. CALATRAVA</v>
      </c>
      <c r="I3045" s="164" t="str">
        <f ca="1">IFERROR(__xludf.DUMMYFUNCTION("""COMPUTED_VALUE"""),"ARPO I")</f>
        <v>ARPO I</v>
      </c>
      <c r="J3045" s="164" t="str">
        <f ca="1">IFERROR(__xludf.DUMMYFUNCTION("""COMPUTED_VALUE"""),"2023-0008")</f>
        <v>2023-0008</v>
      </c>
      <c r="K3045" s="164" t="str">
        <f ca="1">IFERROR(__xludf.DUMMYFUNCTION("""COMPUTED_VALUE"""),"CECILE BENITA M. CALATRAVA")</f>
        <v>CECILE BENITA M. CALATRAVA</v>
      </c>
      <c r="L3045" s="164" t="str">
        <f ca="1">IFERROR(__xludf.DUMMYFUNCTION("""COMPUTED_VALUE"""),"DARMO MAASIN")</f>
        <v>DARMO MAASIN</v>
      </c>
      <c r="M3045" s="164" t="str">
        <f ca="1">IFERROR(__xludf.DUMMYFUNCTION("""COMPUTED_VALUE"""),"SERVICEABLE")</f>
        <v>SERVICEABLE</v>
      </c>
      <c r="N3045" s="164"/>
    </row>
    <row r="3046" spans="1:14" ht="13.2" hidden="1">
      <c r="A3046" s="164" t="str">
        <f ca="1">IFERROR(__xludf.DUMMYFUNCTION("""COMPUTED_VALUE"""),"REGION VIII")</f>
        <v>REGION VIII</v>
      </c>
      <c r="B3046" s="164" t="str">
        <f ca="1">IFERROR(__xludf.DUMMYFUNCTION("""COMPUTED_VALUE"""),"Southern Leyte")</f>
        <v>Southern Leyte</v>
      </c>
      <c r="C3046" s="164" t="str">
        <f ca="1">IFERROR(__xludf.DUMMYFUNCTION("""COMPUTED_VALUE"""),"Desktop Computer – (Lenovo M70T)")</f>
        <v>Desktop Computer – (Lenovo M70T)</v>
      </c>
      <c r="D3046" s="164" t="str">
        <f ca="1">IFERROR(__xludf.DUMMYFUNCTION("""COMPUTED_VALUE"""),"₱ 75,468.00")</f>
        <v>₱ 75,468.00</v>
      </c>
      <c r="E3046" s="164"/>
      <c r="F3046" s="164" t="str">
        <f ca="1">IFERROR(__xludf.DUMMYFUNCTION("""COMPUTED_VALUE"""),"2023-05-03-10201SP-1390-01")</f>
        <v>2023-05-03-10201SP-1390-01</v>
      </c>
      <c r="G3046" s="164"/>
      <c r="H3046" s="164" t="str">
        <f ca="1">IFERROR(__xludf.DUMMYFUNCTION("""COMPUTED_VALUE"""),"VICTORIA C. LIGTAS")</f>
        <v>VICTORIA C. LIGTAS</v>
      </c>
      <c r="I3046" s="164" t="str">
        <f ca="1">IFERROR(__xludf.DUMMYFUNCTION("""COMPUTED_VALUE"""),"MARPO")</f>
        <v>MARPO</v>
      </c>
      <c r="J3046" s="164" t="str">
        <f ca="1">IFERROR(__xludf.DUMMYFUNCTION("""COMPUTED_VALUE"""),"2023-0010")</f>
        <v>2023-0010</v>
      </c>
      <c r="K3046" s="164" t="str">
        <f ca="1">IFERROR(__xludf.DUMMYFUNCTION("""COMPUTED_VALUE"""),"VICTORIA C. LIGTAS")</f>
        <v>VICTORIA C. LIGTAS</v>
      </c>
      <c r="L3046" s="164" t="str">
        <f ca="1">IFERROR(__xludf.DUMMYFUNCTION("""COMPUTED_VALUE"""),"DARMO SOGOD")</f>
        <v>DARMO SOGOD</v>
      </c>
      <c r="M3046" s="164" t="str">
        <f ca="1">IFERROR(__xludf.DUMMYFUNCTION("""COMPUTED_VALUE"""),"SERVICEABLE")</f>
        <v>SERVICEABLE</v>
      </c>
      <c r="N3046" s="164"/>
    </row>
    <row r="3047" spans="1:14" ht="13.2" hidden="1">
      <c r="A3047" s="164" t="str">
        <f ca="1">IFERROR(__xludf.DUMMYFUNCTION("""COMPUTED_VALUE"""),"REGION VIII")</f>
        <v>REGION VIII</v>
      </c>
      <c r="B3047" s="164" t="str">
        <f ca="1">IFERROR(__xludf.DUMMYFUNCTION("""COMPUTED_VALUE"""),"Southern Leyte")</f>
        <v>Southern Leyte</v>
      </c>
      <c r="C3047" s="164" t="str">
        <f ca="1">IFERROR(__xludf.DUMMYFUNCTION("""COMPUTED_VALUE"""),"Desktop Computer – (Lenovo M70T)")</f>
        <v>Desktop Computer – (Lenovo M70T)</v>
      </c>
      <c r="D3047" s="164" t="str">
        <f ca="1">IFERROR(__xludf.DUMMYFUNCTION("""COMPUTED_VALUE"""),"₱ 75,468.00")</f>
        <v>₱ 75,468.00</v>
      </c>
      <c r="E3047" s="164"/>
      <c r="F3047" s="164" t="str">
        <f ca="1">IFERROR(__xludf.DUMMYFUNCTION("""COMPUTED_VALUE"""),"2023-05-03-10201SP-1391-01")</f>
        <v>2023-05-03-10201SP-1391-01</v>
      </c>
      <c r="G3047" s="164"/>
      <c r="H3047" s="164" t="str">
        <f ca="1">IFERROR(__xludf.DUMMYFUNCTION("""COMPUTED_VALUE"""),"VISSA ARNELA Y. VILLA")</f>
        <v>VISSA ARNELA Y. VILLA</v>
      </c>
      <c r="I3047" s="164" t="str">
        <f ca="1">IFERROR(__xludf.DUMMYFUNCTION("""COMPUTED_VALUE"""),"MARPO")</f>
        <v>MARPO</v>
      </c>
      <c r="J3047" s="164" t="str">
        <f ca="1">IFERROR(__xludf.DUMMYFUNCTION("""COMPUTED_VALUE"""),"2023-0011")</f>
        <v>2023-0011</v>
      </c>
      <c r="K3047" s="164" t="str">
        <f ca="1">IFERROR(__xludf.DUMMYFUNCTION("""COMPUTED_VALUE"""),"VISSA ARNELA Y. VILLA")</f>
        <v>VISSA ARNELA Y. VILLA</v>
      </c>
      <c r="L3047" s="164" t="str">
        <f ca="1">IFERROR(__xludf.DUMMYFUNCTION("""COMPUTED_VALUE"""),"DARPO MAASIN")</f>
        <v>DARPO MAASIN</v>
      </c>
      <c r="M3047" s="164" t="str">
        <f ca="1">IFERROR(__xludf.DUMMYFUNCTION("""COMPUTED_VALUE"""),"SERVICEABLE")</f>
        <v>SERVICEABLE</v>
      </c>
      <c r="N3047" s="164"/>
    </row>
    <row r="3048" spans="1:14" ht="13.2" hidden="1">
      <c r="A3048" s="164" t="str">
        <f ca="1">IFERROR(__xludf.DUMMYFUNCTION("""COMPUTED_VALUE"""),"REGION VIII")</f>
        <v>REGION VIII</v>
      </c>
      <c r="B3048" s="164" t="str">
        <f ca="1">IFERROR(__xludf.DUMMYFUNCTION("""COMPUTED_VALUE"""),"Southern Leyte")</f>
        <v>Southern Leyte</v>
      </c>
      <c r="C3048" s="164" t="str">
        <f ca="1">IFERROR(__xludf.DUMMYFUNCTION("""COMPUTED_VALUE"""),"Desktop Computer – (Lenovo M70T)")</f>
        <v>Desktop Computer – (Lenovo M70T)</v>
      </c>
      <c r="D3048" s="164" t="str">
        <f ca="1">IFERROR(__xludf.DUMMYFUNCTION("""COMPUTED_VALUE"""),"₱ 75,468.00")</f>
        <v>₱ 75,468.00</v>
      </c>
      <c r="E3048" s="164"/>
      <c r="F3048" s="164" t="str">
        <f ca="1">IFERROR(__xludf.DUMMYFUNCTION("""COMPUTED_VALUE"""),"2023-05-03-10201SP-1392-01")</f>
        <v>2023-05-03-10201SP-1392-01</v>
      </c>
      <c r="G3048" s="164"/>
      <c r="H3048" s="164" t="str">
        <f ca="1">IFERROR(__xludf.DUMMYFUNCTION("""COMPUTED_VALUE"""),"LUCITA G. GALLETO")</f>
        <v>LUCITA G. GALLETO</v>
      </c>
      <c r="I3048" s="164" t="str">
        <f ca="1">IFERROR(__xludf.DUMMYFUNCTION("""COMPUTED_VALUE"""),"OIC-MARPO")</f>
        <v>OIC-MARPO</v>
      </c>
      <c r="J3048" s="164" t="str">
        <f ca="1">IFERROR(__xludf.DUMMYFUNCTION("""COMPUTED_VALUE"""),"2023-0012")</f>
        <v>2023-0012</v>
      </c>
      <c r="K3048" s="164" t="str">
        <f ca="1">IFERROR(__xludf.DUMMYFUNCTION("""COMPUTED_VALUE"""),"LUCITA G. GALLETO")</f>
        <v>LUCITA G. GALLETO</v>
      </c>
      <c r="L3048" s="164" t="str">
        <f ca="1">IFERROR(__xludf.DUMMYFUNCTION("""COMPUTED_VALUE"""),"DARMO MALITBOG")</f>
        <v>DARMO MALITBOG</v>
      </c>
      <c r="M3048" s="164" t="str">
        <f ca="1">IFERROR(__xludf.DUMMYFUNCTION("""COMPUTED_VALUE"""),"SERVICEABLE")</f>
        <v>SERVICEABLE</v>
      </c>
      <c r="N3048" s="164"/>
    </row>
    <row r="3049" spans="1:14" ht="13.2" hidden="1">
      <c r="A3049" s="164" t="str">
        <f ca="1">IFERROR(__xludf.DUMMYFUNCTION("""COMPUTED_VALUE"""),"REGION VIII")</f>
        <v>REGION VIII</v>
      </c>
      <c r="B3049" s="164" t="str">
        <f ca="1">IFERROR(__xludf.DUMMYFUNCTION("""COMPUTED_VALUE"""),"Southern Leyte")</f>
        <v>Southern Leyte</v>
      </c>
      <c r="C3049" s="164" t="str">
        <f ca="1">IFERROR(__xludf.DUMMYFUNCTION("""COMPUTED_VALUE"""),"Desktop Computer – (Lenovo M70T)")</f>
        <v>Desktop Computer – (Lenovo M70T)</v>
      </c>
      <c r="D3049" s="164" t="str">
        <f ca="1">IFERROR(__xludf.DUMMYFUNCTION("""COMPUTED_VALUE"""),"₱ 75,468.00")</f>
        <v>₱ 75,468.00</v>
      </c>
      <c r="E3049" s="164"/>
      <c r="F3049" s="164" t="str">
        <f ca="1">IFERROR(__xludf.DUMMYFUNCTION("""COMPUTED_VALUE"""),"2023-05-03-10201SP-1395-01")</f>
        <v>2023-05-03-10201SP-1395-01</v>
      </c>
      <c r="G3049" s="164"/>
      <c r="H3049" s="164" t="str">
        <f ca="1">IFERROR(__xludf.DUMMYFUNCTION("""COMPUTED_VALUE"""),"NAPOLEON B. ALBA")</f>
        <v>NAPOLEON B. ALBA</v>
      </c>
      <c r="I3049" s="164" t="str">
        <f ca="1">IFERROR(__xludf.DUMMYFUNCTION("""COMPUTED_VALUE"""),"MARPO")</f>
        <v>MARPO</v>
      </c>
      <c r="J3049" s="164" t="str">
        <f ca="1">IFERROR(__xludf.DUMMYFUNCTION("""COMPUTED_VALUE"""),"2023-0015")</f>
        <v>2023-0015</v>
      </c>
      <c r="K3049" s="164" t="str">
        <f ca="1">IFERROR(__xludf.DUMMYFUNCTION("""COMPUTED_VALUE"""),"NAPOLEON B. ALBA")</f>
        <v>NAPOLEON B. ALBA</v>
      </c>
      <c r="L3049" s="164" t="str">
        <f ca="1">IFERROR(__xludf.DUMMYFUNCTION("""COMPUTED_VALUE"""),"DARMO SAN FRANCISCO")</f>
        <v>DARMO SAN FRANCISCO</v>
      </c>
      <c r="M3049" s="164" t="str">
        <f ca="1">IFERROR(__xludf.DUMMYFUNCTION("""COMPUTED_VALUE"""),"SERVICEABLE")</f>
        <v>SERVICEABLE</v>
      </c>
      <c r="N3049" s="164"/>
    </row>
    <row r="3050" spans="1:14" ht="13.2" hidden="1">
      <c r="A3050" s="164" t="str">
        <f ca="1">IFERROR(__xludf.DUMMYFUNCTION("""COMPUTED_VALUE"""),"REGION VIII")</f>
        <v>REGION VIII</v>
      </c>
      <c r="B3050" s="164" t="str">
        <f ca="1">IFERROR(__xludf.DUMMYFUNCTION("""COMPUTED_VALUE"""),"Southern Leyte")</f>
        <v>Southern Leyte</v>
      </c>
      <c r="C3050" s="164" t="str">
        <f ca="1">IFERROR(__xludf.DUMMYFUNCTION("""COMPUTED_VALUE"""),"Desktop Computer – (Lenovo M70T)")</f>
        <v>Desktop Computer – (Lenovo M70T)</v>
      </c>
      <c r="D3050" s="164" t="str">
        <f ca="1">IFERROR(__xludf.DUMMYFUNCTION("""COMPUTED_VALUE"""),"₱ 75,468.00")</f>
        <v>₱ 75,468.00</v>
      </c>
      <c r="E3050" s="164"/>
      <c r="F3050" s="164" t="str">
        <f ca="1">IFERROR(__xludf.DUMMYFUNCTION("""COMPUTED_VALUE"""),"2023-05-03-10201SP-1393-01")</f>
        <v>2023-05-03-10201SP-1393-01</v>
      </c>
      <c r="G3050" s="164"/>
      <c r="H3050" s="164" t="str">
        <f ca="1">IFERROR(__xludf.DUMMYFUNCTION("""COMPUTED_VALUE"""),"SAMMY V. LAGUNAY")</f>
        <v>SAMMY V. LAGUNAY</v>
      </c>
      <c r="I3050" s="164" t="str">
        <f ca="1">IFERROR(__xludf.DUMMYFUNCTION("""COMPUTED_VALUE"""),"SARPT/OIC-MARPO")</f>
        <v>SARPT/OIC-MARPO</v>
      </c>
      <c r="J3050" s="164" t="str">
        <f ca="1">IFERROR(__xludf.DUMMYFUNCTION("""COMPUTED_VALUE"""),"2023-0013")</f>
        <v>2023-0013</v>
      </c>
      <c r="K3050" s="164" t="str">
        <f ca="1">IFERROR(__xludf.DUMMYFUNCTION("""COMPUTED_VALUE"""),"SAMMY V. LAGUNAY")</f>
        <v>SAMMY V. LAGUNAY</v>
      </c>
      <c r="L3050" s="164" t="str">
        <f ca="1">IFERROR(__xludf.DUMMYFUNCTION("""COMPUTED_VALUE"""),"DARMO SAINT BERNARD")</f>
        <v>DARMO SAINT BERNARD</v>
      </c>
      <c r="M3050" s="164" t="str">
        <f ca="1">IFERROR(__xludf.DUMMYFUNCTION("""COMPUTED_VALUE"""),"SERVICEABLE")</f>
        <v>SERVICEABLE</v>
      </c>
      <c r="N3050" s="164" t="str">
        <f ca="1">IFERROR(__xludf.DUMMYFUNCTION("""COMPUTED_VALUE"""),"UNSERVICEABLE")</f>
        <v>UNSERVICEABLE</v>
      </c>
    </row>
    <row r="3051" spans="1:14" ht="13.2" hidden="1">
      <c r="A3051" s="164" t="str">
        <f ca="1">IFERROR(__xludf.DUMMYFUNCTION("""COMPUTED_VALUE"""),"REGION VIII")</f>
        <v>REGION VIII</v>
      </c>
      <c r="B3051" s="164" t="str">
        <f ca="1">IFERROR(__xludf.DUMMYFUNCTION("""COMPUTED_VALUE"""),"Southern Leyte")</f>
        <v>Southern Leyte</v>
      </c>
      <c r="C3051" s="164" t="str">
        <f ca="1">IFERROR(__xludf.DUMMYFUNCTION("""COMPUTED_VALUE"""),"Desktop Computer – (Lenovo M70T)")</f>
        <v>Desktop Computer – (Lenovo M70T)</v>
      </c>
      <c r="D3051" s="164" t="str">
        <f ca="1">IFERROR(__xludf.DUMMYFUNCTION("""COMPUTED_VALUE"""),"₱ 75,468.00")</f>
        <v>₱ 75,468.00</v>
      </c>
      <c r="E3051" s="164"/>
      <c r="F3051" s="164" t="str">
        <f ca="1">IFERROR(__xludf.DUMMYFUNCTION("""COMPUTED_VALUE"""),"2023-05-03-10201SP-1394-01")</f>
        <v>2023-05-03-10201SP-1394-01</v>
      </c>
      <c r="G3051" s="164"/>
      <c r="H3051" s="164" t="str">
        <f ca="1">IFERROR(__xludf.DUMMYFUNCTION("""COMPUTED_VALUE"""),"LILIBETH L. OLITA")</f>
        <v>LILIBETH L. OLITA</v>
      </c>
      <c r="I3051" s="164" t="str">
        <f ca="1">IFERROR(__xludf.DUMMYFUNCTION("""COMPUTED_VALUE"""),"MARPO")</f>
        <v>MARPO</v>
      </c>
      <c r="J3051" s="164" t="str">
        <f ca="1">IFERROR(__xludf.DUMMYFUNCTION("""COMPUTED_VALUE"""),"2023-0014")</f>
        <v>2023-0014</v>
      </c>
      <c r="K3051" s="164" t="str">
        <f ca="1">IFERROR(__xludf.DUMMYFUNCTION("""COMPUTED_VALUE"""),"LILIBETH L. OLITA")</f>
        <v>LILIBETH L. OLITA</v>
      </c>
      <c r="L3051" s="164" t="str">
        <f ca="1">IFERROR(__xludf.DUMMYFUNCTION("""COMPUTED_VALUE"""),"DARMO HINUNANGAN")</f>
        <v>DARMO HINUNANGAN</v>
      </c>
      <c r="M3051" s="164" t="str">
        <f ca="1">IFERROR(__xludf.DUMMYFUNCTION("""COMPUTED_VALUE"""),"SERVICEABLE")</f>
        <v>SERVICEABLE</v>
      </c>
      <c r="N3051" s="164"/>
    </row>
    <row r="3052" spans="1:14" ht="13.2" hidden="1">
      <c r="A3052" s="164" t="str">
        <f ca="1">IFERROR(__xludf.DUMMYFUNCTION("""COMPUTED_VALUE"""),"REGION VIII")</f>
        <v>REGION VIII</v>
      </c>
      <c r="B3052" s="164" t="str">
        <f ca="1">IFERROR(__xludf.DUMMYFUNCTION("""COMPUTED_VALUE"""),"Southern Leyte")</f>
        <v>Southern Leyte</v>
      </c>
      <c r="C3052" s="164" t="str">
        <f ca="1">IFERROR(__xludf.DUMMYFUNCTION("""COMPUTED_VALUE"""),"Desktop Computer – (Lenovo M70T)")</f>
        <v>Desktop Computer – (Lenovo M70T)</v>
      </c>
      <c r="D3052" s="164" t="str">
        <f ca="1">IFERROR(__xludf.DUMMYFUNCTION("""COMPUTED_VALUE"""),"₱ 75,468.00")</f>
        <v>₱ 75,468.00</v>
      </c>
      <c r="E3052" s="164"/>
      <c r="F3052" s="164" t="str">
        <f ca="1">IFERROR(__xludf.DUMMYFUNCTION("""COMPUTED_VALUE"""),"2023-05-03-10201SP-1398-01")</f>
        <v>2023-05-03-10201SP-1398-01</v>
      </c>
      <c r="G3052" s="164"/>
      <c r="H3052" s="164" t="str">
        <f ca="1">IFERROR(__xludf.DUMMYFUNCTION("""COMPUTED_VALUE"""),"FAMILA R. ABADINGO")</f>
        <v>FAMILA R. ABADINGO</v>
      </c>
      <c r="I3052" s="164" t="str">
        <f ca="1">IFERROR(__xludf.DUMMYFUNCTION("""COMPUTED_VALUE"""),"AO IV/OIC-PCAO/Admin and Finance Officer")</f>
        <v>AO IV/OIC-PCAO/Admin and Finance Officer</v>
      </c>
      <c r="J3052" s="164" t="str">
        <f ca="1">IFERROR(__xludf.DUMMYFUNCTION("""COMPUTED_VALUE"""),"2023-0018")</f>
        <v>2023-0018</v>
      </c>
      <c r="K3052" s="164" t="str">
        <f ca="1">IFERROR(__xludf.DUMMYFUNCTION("""COMPUTED_VALUE"""),"FAMILA R. ABADINGO")</f>
        <v>FAMILA R. ABADINGO</v>
      </c>
      <c r="L3052" s="164" t="str">
        <f ca="1">IFERROR(__xludf.DUMMYFUNCTION("""COMPUTED_VALUE"""),"DARPO-STOD")</f>
        <v>DARPO-STOD</v>
      </c>
      <c r="M3052" s="164" t="str">
        <f ca="1">IFERROR(__xludf.DUMMYFUNCTION("""COMPUTED_VALUE"""),"SERVICEABLE")</f>
        <v>SERVICEABLE</v>
      </c>
      <c r="N3052" s="164"/>
    </row>
    <row r="3053" spans="1:14" ht="13.2" hidden="1">
      <c r="A3053" s="164" t="str">
        <f ca="1">IFERROR(__xludf.DUMMYFUNCTION("""COMPUTED_VALUE"""),"REGION VIII")</f>
        <v>REGION VIII</v>
      </c>
      <c r="B3053" s="164" t="str">
        <f ca="1">IFERROR(__xludf.DUMMYFUNCTION("""COMPUTED_VALUE"""),"Southern Leyte")</f>
        <v>Southern Leyte</v>
      </c>
      <c r="C3053" s="164" t="str">
        <f ca="1">IFERROR(__xludf.DUMMYFUNCTION("""COMPUTED_VALUE"""),"Desktop Computer – (Lenovo M70T)")</f>
        <v>Desktop Computer – (Lenovo M70T)</v>
      </c>
      <c r="D3053" s="164" t="str">
        <f ca="1">IFERROR(__xludf.DUMMYFUNCTION("""COMPUTED_VALUE"""),"₱ 75,468.00")</f>
        <v>₱ 75,468.00</v>
      </c>
      <c r="E3053" s="164"/>
      <c r="F3053" s="164" t="str">
        <f ca="1">IFERROR(__xludf.DUMMYFUNCTION("""COMPUTED_VALUE"""),"2023-05-03-10201SP-1399-01")</f>
        <v>2023-05-03-10201SP-1399-01</v>
      </c>
      <c r="G3053" s="164"/>
      <c r="H3053" s="164" t="str">
        <f ca="1">IFERROR(__xludf.DUMMYFUNCTION("""COMPUTED_VALUE"""),"MICHAEL C. MITARAN")</f>
        <v>MICHAEL C. MITARAN</v>
      </c>
      <c r="I3053" s="164" t="str">
        <f ca="1">IFERROR(__xludf.DUMMYFUNCTION("""COMPUTED_VALUE"""),"ACCOUNTANT II")</f>
        <v>ACCOUNTANT II</v>
      </c>
      <c r="J3053" s="164" t="str">
        <f ca="1">IFERROR(__xludf.DUMMYFUNCTION("""COMPUTED_VALUE"""),"2023-0019")</f>
        <v>2023-0019</v>
      </c>
      <c r="K3053" s="164" t="str">
        <f ca="1">IFERROR(__xludf.DUMMYFUNCTION("""COMPUTED_VALUE"""),"MICHAEL C. MITARAN")</f>
        <v>MICHAEL C. MITARAN</v>
      </c>
      <c r="L3053" s="164" t="str">
        <f ca="1">IFERROR(__xludf.DUMMYFUNCTION("""COMPUTED_VALUE"""),"DARPO-STOD")</f>
        <v>DARPO-STOD</v>
      </c>
      <c r="M3053" s="164" t="str">
        <f ca="1">IFERROR(__xludf.DUMMYFUNCTION("""COMPUTED_VALUE"""),"SERVICEABLE")</f>
        <v>SERVICEABLE</v>
      </c>
      <c r="N3053" s="164" t="str">
        <f ca="1">IFERROR(__xludf.DUMMYFUNCTION("""COMPUTED_VALUE"""),"UNSERVICEABLE")</f>
        <v>UNSERVICEABLE</v>
      </c>
    </row>
    <row r="3054" spans="1:14" ht="13.2" hidden="1">
      <c r="A3054" s="164" t="str">
        <f ca="1">IFERROR(__xludf.DUMMYFUNCTION("""COMPUTED_VALUE"""),"REGION VIII")</f>
        <v>REGION VIII</v>
      </c>
      <c r="B3054" s="164" t="str">
        <f ca="1">IFERROR(__xludf.DUMMYFUNCTION("""COMPUTED_VALUE"""),"Southern Leyte")</f>
        <v>Southern Leyte</v>
      </c>
      <c r="C3054" s="164" t="str">
        <f ca="1">IFERROR(__xludf.DUMMYFUNCTION("""COMPUTED_VALUE"""),"Desktop Computer – (Lenovo M70T)")</f>
        <v>Desktop Computer – (Lenovo M70T)</v>
      </c>
      <c r="D3054" s="164" t="str">
        <f ca="1">IFERROR(__xludf.DUMMYFUNCTION("""COMPUTED_VALUE"""),"₱ 75,468.00")</f>
        <v>₱ 75,468.00</v>
      </c>
      <c r="E3054" s="164"/>
      <c r="F3054" s="164" t="str">
        <f ca="1">IFERROR(__xludf.DUMMYFUNCTION("""COMPUTED_VALUE"""),"2023-05-03-10201SP-1400-01")</f>
        <v>2023-05-03-10201SP-1400-01</v>
      </c>
      <c r="G3054" s="164"/>
      <c r="H3054" s="164" t="str">
        <f ca="1">IFERROR(__xludf.DUMMYFUNCTION("""COMPUTED_VALUE"""),"JOSIELYN M. RAGAS")</f>
        <v>JOSIELYN M. RAGAS</v>
      </c>
      <c r="I3054" s="164" t="str">
        <f ca="1">IFERROR(__xludf.DUMMYFUNCTION("""COMPUTED_VALUE"""),"BUDGET OFFICER")</f>
        <v>BUDGET OFFICER</v>
      </c>
      <c r="J3054" s="164" t="str">
        <f ca="1">IFERROR(__xludf.DUMMYFUNCTION("""COMPUTED_VALUE"""),"2023-0020")</f>
        <v>2023-0020</v>
      </c>
      <c r="K3054" s="164" t="str">
        <f ca="1">IFERROR(__xludf.DUMMYFUNCTION("""COMPUTED_VALUE"""),"JOSIELYN M. RAGAS")</f>
        <v>JOSIELYN M. RAGAS</v>
      </c>
      <c r="L3054" s="164" t="str">
        <f ca="1">IFERROR(__xludf.DUMMYFUNCTION("""COMPUTED_VALUE"""),"DARPO-STOD")</f>
        <v>DARPO-STOD</v>
      </c>
      <c r="M3054" s="164" t="str">
        <f ca="1">IFERROR(__xludf.DUMMYFUNCTION("""COMPUTED_VALUE"""),"SERVICEABLE")</f>
        <v>SERVICEABLE</v>
      </c>
      <c r="N3054" s="164"/>
    </row>
    <row r="3055" spans="1:14" ht="13.2" hidden="1">
      <c r="A3055" s="164" t="str">
        <f ca="1">IFERROR(__xludf.DUMMYFUNCTION("""COMPUTED_VALUE"""),"REGION VIII")</f>
        <v>REGION VIII</v>
      </c>
      <c r="B3055" s="164" t="str">
        <f ca="1">IFERROR(__xludf.DUMMYFUNCTION("""COMPUTED_VALUE"""),"Southern Leyte")</f>
        <v>Southern Leyte</v>
      </c>
      <c r="C3055" s="164" t="str">
        <f ca="1">IFERROR(__xludf.DUMMYFUNCTION("""COMPUTED_VALUE"""),"Desktop Computer – (Lenovo M70T)")</f>
        <v>Desktop Computer – (Lenovo M70T)</v>
      </c>
      <c r="D3055" s="164" t="str">
        <f ca="1">IFERROR(__xludf.DUMMYFUNCTION("""COMPUTED_VALUE"""),"₱ 75,468.00")</f>
        <v>₱ 75,468.00</v>
      </c>
      <c r="E3055" s="164"/>
      <c r="F3055" s="164" t="str">
        <f ca="1">IFERROR(__xludf.DUMMYFUNCTION("""COMPUTED_VALUE"""),"2023-05-03-10201SP-1401-01")</f>
        <v>2023-05-03-10201SP-1401-01</v>
      </c>
      <c r="G3055" s="164"/>
      <c r="H3055" s="164" t="str">
        <f ca="1">IFERROR(__xludf.DUMMYFUNCTION("""COMPUTED_VALUE"""),"CHERRIE U. EDULAN")</f>
        <v>CHERRIE U. EDULAN</v>
      </c>
      <c r="I3055" s="164" t="str">
        <f ca="1">IFERROR(__xludf.DUMMYFUNCTION("""COMPUTED_VALUE"""),"CASHIER")</f>
        <v>CASHIER</v>
      </c>
      <c r="J3055" s="164" t="str">
        <f ca="1">IFERROR(__xludf.DUMMYFUNCTION("""COMPUTED_VALUE"""),"2023-0021")</f>
        <v>2023-0021</v>
      </c>
      <c r="K3055" s="164" t="str">
        <f ca="1">IFERROR(__xludf.DUMMYFUNCTION("""COMPUTED_VALUE"""),"CHERRIE U. EDULAN")</f>
        <v>CHERRIE U. EDULAN</v>
      </c>
      <c r="L3055" s="164" t="str">
        <f ca="1">IFERROR(__xludf.DUMMYFUNCTION("""COMPUTED_VALUE"""),"DARPO-STOD")</f>
        <v>DARPO-STOD</v>
      </c>
      <c r="M3055" s="164" t="str">
        <f ca="1">IFERROR(__xludf.DUMMYFUNCTION("""COMPUTED_VALUE"""),"SERVICEABLE")</f>
        <v>SERVICEABLE</v>
      </c>
      <c r="N3055" s="164"/>
    </row>
    <row r="3056" spans="1:14" ht="13.2" hidden="1">
      <c r="A3056" s="164" t="str">
        <f ca="1">IFERROR(__xludf.DUMMYFUNCTION("""COMPUTED_VALUE"""),"REGION VIII")</f>
        <v>REGION VIII</v>
      </c>
      <c r="B3056" s="164" t="str">
        <f ca="1">IFERROR(__xludf.DUMMYFUNCTION("""COMPUTED_VALUE"""),"Southern Leyte")</f>
        <v>Southern Leyte</v>
      </c>
      <c r="C3056" s="164" t="str">
        <f ca="1">IFERROR(__xludf.DUMMYFUNCTION("""COMPUTED_VALUE"""),"Desktop Computer – (Lenovo M70T)")</f>
        <v>Desktop Computer – (Lenovo M70T)</v>
      </c>
      <c r="D3056" s="164" t="str">
        <f ca="1">IFERROR(__xludf.DUMMYFUNCTION("""COMPUTED_VALUE"""),"₱ 75,468.00")</f>
        <v>₱ 75,468.00</v>
      </c>
      <c r="E3056" s="164"/>
      <c r="F3056" s="164" t="str">
        <f ca="1">IFERROR(__xludf.DUMMYFUNCTION("""COMPUTED_VALUE"""),"2023-05-03-10201SP-1403-01")</f>
        <v>2023-05-03-10201SP-1403-01</v>
      </c>
      <c r="G3056" s="164"/>
      <c r="H3056" s="164" t="str">
        <f ca="1">IFERROR(__xludf.DUMMYFUNCTION("""COMPUTED_VALUE"""),"ATTY. HAROLD C. ABEAR")</f>
        <v>ATTY. HAROLD C. ABEAR</v>
      </c>
      <c r="I3056" s="164" t="str">
        <f ca="1">IFERROR(__xludf.DUMMYFUNCTION("""COMPUTED_VALUE"""),"ATTORNEY V/Legal Coordinator")</f>
        <v>ATTORNEY V/Legal Coordinator</v>
      </c>
      <c r="J3056" s="164" t="str">
        <f ca="1">IFERROR(__xludf.DUMMYFUNCTION("""COMPUTED_VALUE"""),"2023-0023")</f>
        <v>2023-0023</v>
      </c>
      <c r="K3056" s="164" t="str">
        <f ca="1">IFERROR(__xludf.DUMMYFUNCTION("""COMPUTED_VALUE"""),"ATTY. HAROLD C. ABEAR")</f>
        <v>ATTY. HAROLD C. ABEAR</v>
      </c>
      <c r="L3056" s="164" t="str">
        <f ca="1">IFERROR(__xludf.DUMMYFUNCTION("""COMPUTED_VALUE"""),"DARPO-LEGAL DIV.")</f>
        <v>DARPO-LEGAL DIV.</v>
      </c>
      <c r="M3056" s="164" t="str">
        <f ca="1">IFERROR(__xludf.DUMMYFUNCTION("""COMPUTED_VALUE"""),"SERVICEABLE")</f>
        <v>SERVICEABLE</v>
      </c>
      <c r="N3056" s="164"/>
    </row>
    <row r="3057" spans="1:14" ht="13.2" hidden="1">
      <c r="A3057" s="164" t="str">
        <f ca="1">IFERROR(__xludf.DUMMYFUNCTION("""COMPUTED_VALUE"""),"REGION VIII")</f>
        <v>REGION VIII</v>
      </c>
      <c r="B3057" s="164" t="str">
        <f ca="1">IFERROR(__xludf.DUMMYFUNCTION("""COMPUTED_VALUE"""),"Southern Leyte")</f>
        <v>Southern Leyte</v>
      </c>
      <c r="C3057" s="164" t="str">
        <f ca="1">IFERROR(__xludf.DUMMYFUNCTION("""COMPUTED_VALUE"""),"Laptop – (ACER EXTENSA EX215-55G i7)")</f>
        <v>Laptop – (ACER EXTENSA EX215-55G i7)</v>
      </c>
      <c r="D3057" s="164" t="str">
        <f ca="1">IFERROR(__xludf.DUMMYFUNCTION("""COMPUTED_VALUE"""),"₱ 59,500.00")</f>
        <v>₱ 59,500.00</v>
      </c>
      <c r="E3057" s="164"/>
      <c r="F3057" s="164" t="str">
        <f ca="1">IFERROR(__xludf.DUMMYFUNCTION("""COMPUTED_VALUE"""),"2023-05-02-10203SP-256-01")</f>
        <v>2023-05-02-10203SP-256-01</v>
      </c>
      <c r="G3057" s="164"/>
      <c r="H3057" s="164" t="str">
        <f ca="1">IFERROR(__xludf.DUMMYFUNCTION("""COMPUTED_VALUE"""),"RODERICK B. RANCES")</f>
        <v>RODERICK B. RANCES</v>
      </c>
      <c r="I3057" s="164" t="str">
        <f ca="1">IFERROR(__xludf.DUMMYFUNCTION("""COMPUTED_VALUE"""),"PARPO II/Provincial Project Manager")</f>
        <v>PARPO II/Provincial Project Manager</v>
      </c>
      <c r="J3057" s="164" t="str">
        <f ca="1">IFERROR(__xludf.DUMMYFUNCTION("""COMPUTED_VALUE"""),"2023-0025")</f>
        <v>2023-0025</v>
      </c>
      <c r="K3057" s="164" t="str">
        <f ca="1">IFERROR(__xludf.DUMMYFUNCTION("""COMPUTED_VALUE"""),"RODERICK B. RANCES")</f>
        <v>RODERICK B. RANCES</v>
      </c>
      <c r="L3057" s="164" t="str">
        <f ca="1">IFERROR(__xludf.DUMMYFUNCTION("""COMPUTED_VALUE"""),"DARPO-PARPO II")</f>
        <v>DARPO-PARPO II</v>
      </c>
      <c r="M3057" s="164" t="str">
        <f ca="1">IFERROR(__xludf.DUMMYFUNCTION("""COMPUTED_VALUE"""),"SERVICEABLE")</f>
        <v>SERVICEABLE</v>
      </c>
      <c r="N3057" s="164"/>
    </row>
    <row r="3058" spans="1:14" ht="13.2" hidden="1">
      <c r="A3058" s="164" t="str">
        <f ca="1">IFERROR(__xludf.DUMMYFUNCTION("""COMPUTED_VALUE"""),"REGION VIII")</f>
        <v>REGION VIII</v>
      </c>
      <c r="B3058" s="164" t="str">
        <f ca="1">IFERROR(__xludf.DUMMYFUNCTION("""COMPUTED_VALUE"""),"Southern Leyte")</f>
        <v>Southern Leyte</v>
      </c>
      <c r="C3058" s="164" t="str">
        <f ca="1">IFERROR(__xludf.DUMMYFUNCTION("""COMPUTED_VALUE"""),"Laptop – (ACER EXTENSA EX215-55G i7)")</f>
        <v>Laptop – (ACER EXTENSA EX215-55G i7)</v>
      </c>
      <c r="D3058" s="164" t="str">
        <f ca="1">IFERROR(__xludf.DUMMYFUNCTION("""COMPUTED_VALUE"""),"₱ 59,500.00")</f>
        <v>₱ 59,500.00</v>
      </c>
      <c r="E3058" s="164"/>
      <c r="F3058" s="164" t="str">
        <f ca="1">IFERROR(__xludf.DUMMYFUNCTION("""COMPUTED_VALUE"""),"2023-05-02-10203SP-257-01")</f>
        <v>2023-05-02-10203SP-257-01</v>
      </c>
      <c r="G3058" s="164"/>
      <c r="H3058" s="164" t="str">
        <f ca="1">IFERROR(__xludf.DUMMYFUNCTION("""COMPUTED_VALUE"""),"CECILIA R. ARGUILLES")</f>
        <v>CECILIA R. ARGUILLES</v>
      </c>
      <c r="I3058" s="164" t="str">
        <f ca="1">IFERROR(__xludf.DUMMYFUNCTION("""COMPUTED_VALUE"""),"SARPT")</f>
        <v>SARPT</v>
      </c>
      <c r="J3058" s="164" t="str">
        <f ca="1">IFERROR(__xludf.DUMMYFUNCTION("""COMPUTED_VALUE"""),"2023-0026")</f>
        <v>2023-0026</v>
      </c>
      <c r="K3058" s="164" t="str">
        <f ca="1">IFERROR(__xludf.DUMMYFUNCTION("""COMPUTED_VALUE"""),"CECILIA R. ARGUILLES")</f>
        <v>CECILIA R. ARGUILLES</v>
      </c>
      <c r="L3058" s="164" t="str">
        <f ca="1">IFERROR(__xludf.DUMMYFUNCTION("""COMPUTED_VALUE"""),"DARPO-LTID")</f>
        <v>DARPO-LTID</v>
      </c>
      <c r="M3058" s="164" t="str">
        <f ca="1">IFERROR(__xludf.DUMMYFUNCTION("""COMPUTED_VALUE"""),"SERVICEABLE")</f>
        <v>SERVICEABLE</v>
      </c>
      <c r="N3058" s="164"/>
    </row>
    <row r="3059" spans="1:14" ht="13.2" hidden="1">
      <c r="A3059" s="164" t="str">
        <f ca="1">IFERROR(__xludf.DUMMYFUNCTION("""COMPUTED_VALUE"""),"REGION VIII")</f>
        <v>REGION VIII</v>
      </c>
      <c r="B3059" s="164" t="str">
        <f ca="1">IFERROR(__xludf.DUMMYFUNCTION("""COMPUTED_VALUE"""),"Southern Leyte")</f>
        <v>Southern Leyte</v>
      </c>
      <c r="C3059" s="164" t="str">
        <f ca="1">IFERROR(__xludf.DUMMYFUNCTION("""COMPUTED_VALUE"""),"Desktop Computer – (HP Pro SFF 280G9)")</f>
        <v>Desktop Computer – (HP Pro SFF 280G9)</v>
      </c>
      <c r="D3059" s="164" t="str">
        <f ca="1">IFERROR(__xludf.DUMMYFUNCTION("""COMPUTED_VALUE"""),"₱ 78,898.00")</f>
        <v>₱ 78,898.00</v>
      </c>
      <c r="E3059" s="164"/>
      <c r="F3059" s="164" t="str">
        <f ca="1">IFERROR(__xludf.DUMMYFUNCTION("""COMPUTED_VALUE"""),"2023-05-03-10201SP-183-01")</f>
        <v>2023-05-03-10201SP-183-01</v>
      </c>
      <c r="G3059" s="164"/>
      <c r="H3059" s="164" t="str">
        <f ca="1">IFERROR(__xludf.DUMMYFUNCTION("""COMPUTED_VALUE"""),"ROSA JANE B. ALARAS")</f>
        <v>ROSA JANE B. ALARAS</v>
      </c>
      <c r="I3059" s="164" t="str">
        <f ca="1">IFERROR(__xludf.DUMMYFUNCTION("""COMPUTED_VALUE"""),"ARPO II/ESS Staff")</f>
        <v>ARPO II/ESS Staff</v>
      </c>
      <c r="J3059" s="164" t="str">
        <f ca="1">IFERROR(__xludf.DUMMYFUNCTION("""COMPUTED_VALUE"""),"2023-0029")</f>
        <v>2023-0029</v>
      </c>
      <c r="K3059" s="164" t="str">
        <f ca="1">IFERROR(__xludf.DUMMYFUNCTION("""COMPUTED_VALUE"""),"ROSA JANE B. ALARAS")</f>
        <v>ROSA JANE B. ALARAS</v>
      </c>
      <c r="L3059" s="164" t="str">
        <f ca="1">IFERROR(__xludf.DUMMYFUNCTION("""COMPUTED_VALUE"""),"DARPO-LTID")</f>
        <v>DARPO-LTID</v>
      </c>
      <c r="M3059" s="164" t="str">
        <f ca="1">IFERROR(__xludf.DUMMYFUNCTION("""COMPUTED_VALUE"""),"SERVICEABLE")</f>
        <v>SERVICEABLE</v>
      </c>
      <c r="N3059" s="164"/>
    </row>
    <row r="3060" spans="1:14" ht="13.2" hidden="1">
      <c r="A3060" s="164" t="str">
        <f ca="1">IFERROR(__xludf.DUMMYFUNCTION("""COMPUTED_VALUE"""),"REGION VIII")</f>
        <v>REGION VIII</v>
      </c>
      <c r="B3060" s="164" t="str">
        <f ca="1">IFERROR(__xludf.DUMMYFUNCTION("""COMPUTED_VALUE"""),"Southern Leyte")</f>
        <v>Southern Leyte</v>
      </c>
      <c r="C3060" s="164" t="str">
        <f ca="1">IFERROR(__xludf.DUMMYFUNCTION("""COMPUTED_VALUE"""),"Desktop Computer – (HP Pro SFF 280G9)")</f>
        <v>Desktop Computer – (HP Pro SFF 280G9)</v>
      </c>
      <c r="D3060" s="164" t="str">
        <f ca="1">IFERROR(__xludf.DUMMYFUNCTION("""COMPUTED_VALUE"""),"₱ 78,898.00")</f>
        <v>₱ 78,898.00</v>
      </c>
      <c r="E3060" s="164"/>
      <c r="F3060" s="164" t="str">
        <f ca="1">IFERROR(__xludf.DUMMYFUNCTION("""COMPUTED_VALUE"""),"2023-05-03-10201SP-181-01")</f>
        <v>2023-05-03-10201SP-181-01</v>
      </c>
      <c r="G3060" s="164"/>
      <c r="H3060" s="164" t="str">
        <f ca="1">IFERROR(__xludf.DUMMYFUNCTION("""COMPUTED_VALUE"""),"ENG'R. FRANCO C. CINCO")</f>
        <v>ENG'R. FRANCO C. CINCO</v>
      </c>
      <c r="I3060" s="164" t="str">
        <f ca="1">IFERROR(__xludf.DUMMYFUNCTION("""COMPUTED_VALUE"""),"MARPO/OIC-CARPO LTID/Parcelization Officer/ FVT Coordinator")</f>
        <v>MARPO/OIC-CARPO LTID/Parcelization Officer/ FVT Coordinator</v>
      </c>
      <c r="J3060" s="164" t="str">
        <f ca="1">IFERROR(__xludf.DUMMYFUNCTION("""COMPUTED_VALUE"""),"2023-0027")</f>
        <v>2023-0027</v>
      </c>
      <c r="K3060" s="164" t="str">
        <f ca="1">IFERROR(__xludf.DUMMYFUNCTION("""COMPUTED_VALUE"""),"ENG'R. FRANCO C. CINCO")</f>
        <v>ENG'R. FRANCO C. CINCO</v>
      </c>
      <c r="L3060" s="164" t="str">
        <f ca="1">IFERROR(__xludf.DUMMYFUNCTION("""COMPUTED_VALUE"""),"DARPO-LTID")</f>
        <v>DARPO-LTID</v>
      </c>
      <c r="M3060" s="164" t="str">
        <f ca="1">IFERROR(__xludf.DUMMYFUNCTION("""COMPUTED_VALUE"""),"SERVICEABLE")</f>
        <v>SERVICEABLE</v>
      </c>
      <c r="N3060" s="164" t="str">
        <f ca="1">IFERROR(__xludf.DUMMYFUNCTION("""COMPUTED_VALUE"""),"UNSERVICEABLE")</f>
        <v>UNSERVICEABLE</v>
      </c>
    </row>
    <row r="3061" spans="1:14" ht="13.2" hidden="1">
      <c r="A3061" s="164" t="str">
        <f ca="1">IFERROR(__xludf.DUMMYFUNCTION("""COMPUTED_VALUE"""),"REGION VIII")</f>
        <v>REGION VIII</v>
      </c>
      <c r="B3061" s="164" t="str">
        <f ca="1">IFERROR(__xludf.DUMMYFUNCTION("""COMPUTED_VALUE"""),"Southern Leyte")</f>
        <v>Southern Leyte</v>
      </c>
      <c r="C3061" s="164" t="str">
        <f ca="1">IFERROR(__xludf.DUMMYFUNCTION("""COMPUTED_VALUE"""),"Desktop Computer – (HP Pro SFF 280G9)")</f>
        <v>Desktop Computer – (HP Pro SFF 280G9)</v>
      </c>
      <c r="D3061" s="164" t="str">
        <f ca="1">IFERROR(__xludf.DUMMYFUNCTION("""COMPUTED_VALUE"""),"₱ 78,898.00")</f>
        <v>₱ 78,898.00</v>
      </c>
      <c r="E3061" s="164"/>
      <c r="F3061" s="164" t="str">
        <f ca="1">IFERROR(__xludf.DUMMYFUNCTION("""COMPUTED_VALUE"""),"2023-05-03-10201SP-182-01")</f>
        <v>2023-05-03-10201SP-182-01</v>
      </c>
      <c r="G3061" s="164"/>
      <c r="H3061" s="164" t="str">
        <f ca="1">IFERROR(__xludf.DUMMYFUNCTION("""COMPUTED_VALUE"""),"ENG'R. FRANCO C. CINCO")</f>
        <v>ENG'R. FRANCO C. CINCO</v>
      </c>
      <c r="I3061" s="164" t="str">
        <f ca="1">IFERROR(__xludf.DUMMYFUNCTION("""COMPUTED_VALUE"""),"MARPO/OIC-CARPO LTID/Parcelization Officer/ FVT Coordinator")</f>
        <v>MARPO/OIC-CARPO LTID/Parcelization Officer/ FVT Coordinator</v>
      </c>
      <c r="J3061" s="164" t="str">
        <f ca="1">IFERROR(__xludf.DUMMYFUNCTION("""COMPUTED_VALUE"""),"2023-0028")</f>
        <v>2023-0028</v>
      </c>
      <c r="K3061" s="164" t="str">
        <f ca="1">IFERROR(__xludf.DUMMYFUNCTION("""COMPUTED_VALUE"""),"ENG'R. FRANCO C. CINCO")</f>
        <v>ENG'R. FRANCO C. CINCO</v>
      </c>
      <c r="L3061" s="164" t="str">
        <f ca="1">IFERROR(__xludf.DUMMYFUNCTION("""COMPUTED_VALUE"""),"DARPO-LTID")</f>
        <v>DARPO-LTID</v>
      </c>
      <c r="M3061" s="164" t="str">
        <f ca="1">IFERROR(__xludf.DUMMYFUNCTION("""COMPUTED_VALUE"""),"SERVICEABLE")</f>
        <v>SERVICEABLE</v>
      </c>
      <c r="N3061" s="164" t="str">
        <f ca="1">IFERROR(__xludf.DUMMYFUNCTION("""COMPUTED_VALUE"""),"UNSERVICEABLE")</f>
        <v>UNSERVICEABLE</v>
      </c>
    </row>
    <row r="3062" spans="1:14" ht="13.2" hidden="1">
      <c r="A3062" s="164" t="str">
        <f ca="1">IFERROR(__xludf.DUMMYFUNCTION("""COMPUTED_VALUE"""),"REGION VIII")</f>
        <v>REGION VIII</v>
      </c>
      <c r="B3062" s="164" t="str">
        <f ca="1">IFERROR(__xludf.DUMMYFUNCTION("""COMPUTED_VALUE"""),"Southern Leyte")</f>
        <v>Southern Leyte</v>
      </c>
      <c r="C3062" s="164" t="str">
        <f ca="1">IFERROR(__xludf.DUMMYFUNCTION("""COMPUTED_VALUE"""),"A3 PRINTER (BROTHER)")</f>
        <v>A3 PRINTER (BROTHER)</v>
      </c>
      <c r="D3062" s="164" t="str">
        <f ca="1">IFERROR(__xludf.DUMMYFUNCTION("""COMPUTED_VALUE"""),"₱ 33,508.00")</f>
        <v>₱ 33,508.00</v>
      </c>
      <c r="E3062" s="164"/>
      <c r="F3062" s="164" t="str">
        <f ca="1">IFERROR(__xludf.DUMMYFUNCTION("""COMPUTED_VALUE"""),"HVSPLIT-102-24-05-095")</f>
        <v>HVSPLIT-102-24-05-095</v>
      </c>
      <c r="G3062" s="164"/>
      <c r="H3062" s="164" t="str">
        <f ca="1">IFERROR(__xludf.DUMMYFUNCTION("""COMPUTED_VALUE"""),"ATTY. ROBERT ANTHONY YU")</f>
        <v>ATTY. ROBERT ANTHONY YU</v>
      </c>
      <c r="I3062" s="164" t="str">
        <f ca="1">IFERROR(__xludf.DUMMYFUNCTION("""COMPUTED_VALUE"""),"REGIONAL DIRECTOR")</f>
        <v>REGIONAL DIRECTOR</v>
      </c>
      <c r="J3062" s="164" t="str">
        <f ca="1">IFERROR(__xludf.DUMMYFUNCTION("""COMPUTED_VALUE"""),"2024-05-010")</f>
        <v>2024-05-010</v>
      </c>
      <c r="K3062" s="164"/>
      <c r="L3062" s="164" t="str">
        <f ca="1">IFERROR(__xludf.DUMMYFUNCTION("""COMPUTED_VALUE"""),"DARPO S. LEYTE")</f>
        <v>DARPO S. LEYTE</v>
      </c>
      <c r="M3062" s="164" t="str">
        <f ca="1">IFERROR(__xludf.DUMMYFUNCTION("""COMPUTED_VALUE"""),"SERVICEABLE")</f>
        <v>SERVICEABLE</v>
      </c>
      <c r="N3062" s="164"/>
    </row>
    <row r="3063" spans="1:14" ht="13.2" hidden="1">
      <c r="A3063" s="164" t="str">
        <f ca="1">IFERROR(__xludf.DUMMYFUNCTION("""COMPUTED_VALUE"""),"REGION VIII")</f>
        <v>REGION VIII</v>
      </c>
      <c r="B3063" s="164" t="str">
        <f ca="1">IFERROR(__xludf.DUMMYFUNCTION("""COMPUTED_VALUE"""),"Northern Samar")</f>
        <v>Northern Samar</v>
      </c>
      <c r="C3063" s="164" t="str">
        <f ca="1">IFERROR(__xludf.DUMMYFUNCTION("""COMPUTED_VALUE"""),"Desktop Computer – (MSI PRO DP180)")</f>
        <v>Desktop Computer – (MSI PRO DP180)</v>
      </c>
      <c r="D3063" s="164" t="str">
        <f ca="1">IFERROR(__xludf.DUMMYFUNCTION("""COMPUTED_VALUE"""),"₱ 49,300.00")</f>
        <v>₱ 49,300.00</v>
      </c>
      <c r="E3063" s="164"/>
      <c r="F3063" s="164" t="str">
        <f ca="1">IFERROR(__xludf.DUMMYFUNCTION("""COMPUTED_VALUE"""),"HV-SPLIT-102-24-05-01-315-01")</f>
        <v>HV-SPLIT-102-24-05-01-315-01</v>
      </c>
      <c r="G3063" s="164"/>
      <c r="H3063" s="164" t="str">
        <f ca="1">IFERROR(__xludf.DUMMYFUNCTION("""COMPUTED_VALUE"""),"LEO NEIL M. DORADO")</f>
        <v>LEO NEIL M. DORADO</v>
      </c>
      <c r="I3063" s="164"/>
      <c r="J3063" s="164"/>
      <c r="K3063" s="164" t="str">
        <f ca="1">IFERROR(__xludf.DUMMYFUNCTION("""COMPUTED_VALUE"""),"LEO NEIL M. DORADO")</f>
        <v>LEO NEIL M. DORADO</v>
      </c>
      <c r="L3063" s="164"/>
      <c r="M3063" s="164"/>
      <c r="N3063" s="164"/>
    </row>
    <row r="3064" spans="1:14" ht="13.2" hidden="1">
      <c r="A3064" s="164" t="str">
        <f ca="1">IFERROR(__xludf.DUMMYFUNCTION("""COMPUTED_VALUE"""),"REGION VIII")</f>
        <v>REGION VIII</v>
      </c>
      <c r="B3064" s="164" t="str">
        <f ca="1">IFERROR(__xludf.DUMMYFUNCTION("""COMPUTED_VALUE"""),"Northern Samar")</f>
        <v>Northern Samar</v>
      </c>
      <c r="C3064" s="164" t="str">
        <f ca="1">IFERROR(__xludf.DUMMYFUNCTION("""COMPUTED_VALUE"""),"Desktop Computer – (MSI PRO DP180)")</f>
        <v>Desktop Computer – (MSI PRO DP180)</v>
      </c>
      <c r="D3064" s="164" t="str">
        <f ca="1">IFERROR(__xludf.DUMMYFUNCTION("""COMPUTED_VALUE"""),"₱ 49,300.00")</f>
        <v>₱ 49,300.00</v>
      </c>
      <c r="E3064" s="164"/>
      <c r="F3064" s="164" t="str">
        <f ca="1">IFERROR(__xludf.DUMMYFUNCTION("""COMPUTED_VALUE"""),"HV-SPLIT-102-24-05-01-319-01")</f>
        <v>HV-SPLIT-102-24-05-01-319-01</v>
      </c>
      <c r="G3064" s="164"/>
      <c r="H3064" s="164" t="str">
        <f ca="1">IFERROR(__xludf.DUMMYFUNCTION("""COMPUTED_VALUE"""),"FRECCA S. UBALDO")</f>
        <v>FRECCA S. UBALDO</v>
      </c>
      <c r="I3064" s="164"/>
      <c r="J3064" s="164"/>
      <c r="K3064" s="164" t="str">
        <f ca="1">IFERROR(__xludf.DUMMYFUNCTION("""COMPUTED_VALUE"""),"FRECCA S. UBALDO")</f>
        <v>FRECCA S. UBALDO</v>
      </c>
      <c r="L3064" s="164"/>
      <c r="M3064" s="164"/>
      <c r="N3064" s="164"/>
    </row>
    <row r="3065" spans="1:14" ht="13.2" hidden="1">
      <c r="A3065" s="164" t="str">
        <f ca="1">IFERROR(__xludf.DUMMYFUNCTION("""COMPUTED_VALUE"""),"REGION VIII")</f>
        <v>REGION VIII</v>
      </c>
      <c r="B3065" s="164" t="str">
        <f ca="1">IFERROR(__xludf.DUMMYFUNCTION("""COMPUTED_VALUE"""),"Northern Samar")</f>
        <v>Northern Samar</v>
      </c>
      <c r="C3065" s="164" t="str">
        <f ca="1">IFERROR(__xludf.DUMMYFUNCTION("""COMPUTED_VALUE"""),"Desktop Computer – (MSI PRO DP180)")</f>
        <v>Desktop Computer – (MSI PRO DP180)</v>
      </c>
      <c r="D3065" s="164" t="str">
        <f ca="1">IFERROR(__xludf.DUMMYFUNCTION("""COMPUTED_VALUE"""),"₱ 49,300.00")</f>
        <v>₱ 49,300.00</v>
      </c>
      <c r="E3065" s="164"/>
      <c r="F3065" s="164" t="str">
        <f ca="1">IFERROR(__xludf.DUMMYFUNCTION("""COMPUTED_VALUE"""),"HV-SPLIT-102-24-05-01-325-01")</f>
        <v>HV-SPLIT-102-24-05-01-325-01</v>
      </c>
      <c r="G3065" s="164"/>
      <c r="H3065" s="164" t="str">
        <f ca="1">IFERROR(__xludf.DUMMYFUNCTION("""COMPUTED_VALUE"""),"JASTIN S. ROMERO")</f>
        <v>JASTIN S. ROMERO</v>
      </c>
      <c r="I3065" s="164"/>
      <c r="J3065" s="164"/>
      <c r="K3065" s="164" t="str">
        <f ca="1">IFERROR(__xludf.DUMMYFUNCTION("""COMPUTED_VALUE"""),"JASTIN S. ROMERO")</f>
        <v>JASTIN S. ROMERO</v>
      </c>
      <c r="L3065" s="164"/>
      <c r="M3065" s="164"/>
      <c r="N3065" s="164"/>
    </row>
    <row r="3066" spans="1:14" ht="13.2" hidden="1">
      <c r="A3066" s="164" t="str">
        <f ca="1">IFERROR(__xludf.DUMMYFUNCTION("""COMPUTED_VALUE"""),"REGION VIII")</f>
        <v>REGION VIII</v>
      </c>
      <c r="B3066" s="164" t="str">
        <f ca="1">IFERROR(__xludf.DUMMYFUNCTION("""COMPUTED_VALUE"""),"Northern Samar")</f>
        <v>Northern Samar</v>
      </c>
      <c r="C3066" s="164" t="str">
        <f ca="1">IFERROR(__xludf.DUMMYFUNCTION("""COMPUTED_VALUE"""),"Desktop Computer – (MSI PRO DP180)")</f>
        <v>Desktop Computer – (MSI PRO DP180)</v>
      </c>
      <c r="D3066" s="164" t="str">
        <f ca="1">IFERROR(__xludf.DUMMYFUNCTION("""COMPUTED_VALUE"""),"₱ 49,300.00")</f>
        <v>₱ 49,300.00</v>
      </c>
      <c r="E3066" s="164"/>
      <c r="F3066" s="164" t="str">
        <f ca="1">IFERROR(__xludf.DUMMYFUNCTION("""COMPUTED_VALUE"""),"HV-SPLIT-102-24-05-01-328-01")</f>
        <v>HV-SPLIT-102-24-05-01-328-01</v>
      </c>
      <c r="G3066" s="164"/>
      <c r="H3066" s="164" t="str">
        <f ca="1">IFERROR(__xludf.DUMMYFUNCTION("""COMPUTED_VALUE"""),"AMIEL D. SABILLO")</f>
        <v>AMIEL D. SABILLO</v>
      </c>
      <c r="I3066" s="164"/>
      <c r="J3066" s="164"/>
      <c r="K3066" s="164" t="str">
        <f ca="1">IFERROR(__xludf.DUMMYFUNCTION("""COMPUTED_VALUE"""),"AMIEL D. SABILLO")</f>
        <v>AMIEL D. SABILLO</v>
      </c>
      <c r="L3066" s="164"/>
      <c r="M3066" s="164"/>
      <c r="N3066" s="164"/>
    </row>
    <row r="3067" spans="1:14" ht="13.2" hidden="1">
      <c r="A3067" s="164" t="str">
        <f ca="1">IFERROR(__xludf.DUMMYFUNCTION("""COMPUTED_VALUE"""),"REGION VIII")</f>
        <v>REGION VIII</v>
      </c>
      <c r="B3067" s="164" t="str">
        <f ca="1">IFERROR(__xludf.DUMMYFUNCTION("""COMPUTED_VALUE"""),"Northern Samar")</f>
        <v>Northern Samar</v>
      </c>
      <c r="C3067" s="164" t="str">
        <f ca="1">IFERROR(__xludf.DUMMYFUNCTION("""COMPUTED_VALUE"""),"HANDHELD GPS – MODEL P6")</f>
        <v>HANDHELD GPS – MODEL P6</v>
      </c>
      <c r="D3067" s="164" t="str">
        <f ca="1">IFERROR(__xludf.DUMMYFUNCTION("""COMPUTED_VALUE"""),"₱ 79,000.00")</f>
        <v>₱ 79,000.00</v>
      </c>
      <c r="E3067" s="164"/>
      <c r="F3067" s="164" t="str">
        <f ca="1">IFERROR(__xludf.DUMMYFUNCTION("""COMPUTED_VALUE"""),"2023-05-14-1020S-P49-01")</f>
        <v>2023-05-14-1020S-P49-01</v>
      </c>
      <c r="G3067" s="164"/>
      <c r="H3067" s="164" t="str">
        <f ca="1">IFERROR(__xludf.DUMMYFUNCTION("""COMPUTED_VALUE"""),"JASTIN S. ROMERO")</f>
        <v>JASTIN S. ROMERO</v>
      </c>
      <c r="I3067" s="164"/>
      <c r="J3067" s="164"/>
      <c r="K3067" s="164" t="str">
        <f ca="1">IFERROR(__xludf.DUMMYFUNCTION("""COMPUTED_VALUE"""),"JASTIN S. ROMERO")</f>
        <v>JASTIN S. ROMERO</v>
      </c>
      <c r="L3067" s="164"/>
      <c r="M3067" s="164"/>
      <c r="N3067" s="164"/>
    </row>
    <row r="3068" spans="1:14" ht="13.2" hidden="1">
      <c r="A3068" s="164" t="str">
        <f ca="1">IFERROR(__xludf.DUMMYFUNCTION("""COMPUTED_VALUE"""),"REGION VIII")</f>
        <v>REGION VIII</v>
      </c>
      <c r="B3068" s="164" t="str">
        <f ca="1">IFERROR(__xludf.DUMMYFUNCTION("""COMPUTED_VALUE"""),"Northern Samar")</f>
        <v>Northern Samar</v>
      </c>
      <c r="C3068" s="164" t="str">
        <f ca="1">IFERROR(__xludf.DUMMYFUNCTION("""COMPUTED_VALUE"""),"Laptop – (ACER EXTENSA EX215-55G i7)")</f>
        <v>Laptop – (ACER EXTENSA EX215-55G i7)</v>
      </c>
      <c r="D3068" s="164" t="str">
        <f ca="1">IFERROR(__xludf.DUMMYFUNCTION("""COMPUTED_VALUE"""),"₱ 59,500.00")</f>
        <v>₱ 59,500.00</v>
      </c>
      <c r="E3068" s="164"/>
      <c r="F3068" s="164" t="str">
        <f ca="1">IFERROR(__xludf.DUMMYFUNCTION("""COMPUTED_VALUE"""),"2023-05-03-10202SP67-01")</f>
        <v>2023-05-03-10202SP67-01</v>
      </c>
      <c r="G3068" s="164"/>
      <c r="H3068" s="164" t="str">
        <f ca="1">IFERROR(__xludf.DUMMYFUNCTION("""COMPUTED_VALUE"""),"MELANIE E. MANATAD")</f>
        <v>MELANIE E. MANATAD</v>
      </c>
      <c r="I3068" s="164" t="str">
        <f ca="1">IFERROR(__xludf.DUMMYFUNCTION("""COMPUTED_VALUE"""),"ACCOUNTANT II/PPMO")</f>
        <v>ACCOUNTANT II/PPMO</v>
      </c>
      <c r="J3068" s="164" t="str">
        <f ca="1">IFERROR(__xludf.DUMMYFUNCTION("""COMPUTED_VALUE"""),"2024-01-001-PAR-SPLIT")</f>
        <v>2024-01-001-PAR-SPLIT</v>
      </c>
      <c r="K3068" s="164" t="str">
        <f ca="1">IFERROR(__xludf.DUMMYFUNCTION("""COMPUTED_VALUE"""),"MELANIE E. MANATAD
 JOCELYN C. BALLICUD")</f>
        <v>MELANIE E. MANATAD
 JOCELYN C. BALLICUD</v>
      </c>
      <c r="L3068" s="164" t="str">
        <f ca="1">IFERROR(__xludf.DUMMYFUNCTION("""COMPUTED_VALUE"""),"STOD")</f>
        <v>STOD</v>
      </c>
      <c r="M3068" s="164" t="str">
        <f ca="1">IFERROR(__xludf.DUMMYFUNCTION("""COMPUTED_VALUE"""),"SERVICEABLE")</f>
        <v>SERVICEABLE</v>
      </c>
      <c r="N3068" s="164"/>
    </row>
    <row r="3069" spans="1:14" ht="13.2" hidden="1">
      <c r="A3069" s="164" t="str">
        <f ca="1">IFERROR(__xludf.DUMMYFUNCTION("""COMPUTED_VALUE"""),"REGION VIII")</f>
        <v>REGION VIII</v>
      </c>
      <c r="B3069" s="164" t="str">
        <f ca="1">IFERROR(__xludf.DUMMYFUNCTION("""COMPUTED_VALUE"""),"Southern Leyte")</f>
        <v>Southern Leyte</v>
      </c>
      <c r="C3069" s="164" t="str">
        <f ca="1">IFERROR(__xludf.DUMMYFUNCTION("""COMPUTED_VALUE"""),"Laptop – (ACER EXTENSA EX215-55G i7)")</f>
        <v>Laptop – (ACER EXTENSA EX215-55G i7)</v>
      </c>
      <c r="D3069" s="164" t="str">
        <f ca="1">IFERROR(__xludf.DUMMYFUNCTION("""COMPUTED_VALUE"""),"₱ 59,500.00")</f>
        <v>₱ 59,500.00</v>
      </c>
      <c r="E3069" s="164"/>
      <c r="F3069" s="164" t="str">
        <f ca="1">IFERROR(__xludf.DUMMYFUNCTION("""COMPUTED_VALUE"""),"2023-05-03-10202SP64-01")</f>
        <v>2023-05-03-10202SP64-01</v>
      </c>
      <c r="G3069" s="164"/>
      <c r="H3069" s="164" t="str">
        <f ca="1">IFERROR(__xludf.DUMMYFUNCTION("""COMPUTED_VALUE"""),"RODERICK B. RANCES")</f>
        <v>RODERICK B. RANCES</v>
      </c>
      <c r="I3069" s="164" t="str">
        <f ca="1">IFERROR(__xludf.DUMMYFUNCTION("""COMPUTED_VALUE"""),"PARPO II/Provincial Project Manager")</f>
        <v>PARPO II/Provincial Project Manager</v>
      </c>
      <c r="J3069" s="164" t="str">
        <f ca="1">IFERROR(__xludf.DUMMYFUNCTION("""COMPUTED_VALUE"""),"2023-0025")</f>
        <v>2023-0025</v>
      </c>
      <c r="K3069" s="164" t="str">
        <f ca="1">IFERROR(__xludf.DUMMYFUNCTION("""COMPUTED_VALUE"""),"RODERICK B. RANCES")</f>
        <v>RODERICK B. RANCES</v>
      </c>
      <c r="L3069" s="164" t="str">
        <f ca="1">IFERROR(__xludf.DUMMYFUNCTION("""COMPUTED_VALUE"""),"DARPO-PARPO II")</f>
        <v>DARPO-PARPO II</v>
      </c>
      <c r="M3069" s="164" t="str">
        <f ca="1">IFERROR(__xludf.DUMMYFUNCTION("""COMPUTED_VALUE"""),"SERVICEABLE")</f>
        <v>SERVICEABLE</v>
      </c>
      <c r="N3069" s="164"/>
    </row>
    <row r="3070" spans="1:14" ht="13.2" hidden="1">
      <c r="A3070" s="164" t="str">
        <f ca="1">IFERROR(__xludf.DUMMYFUNCTION("""COMPUTED_VALUE"""),"REGION VIII")</f>
        <v>REGION VIII</v>
      </c>
      <c r="B3070" s="164" t="str">
        <f ca="1">IFERROR(__xludf.DUMMYFUNCTION("""COMPUTED_VALUE"""),"Western Samar")</f>
        <v>Western Samar</v>
      </c>
      <c r="C3070" s="164" t="str">
        <f ca="1">IFERROR(__xludf.DUMMYFUNCTION("""COMPUTED_VALUE"""),"Laptop – (ACER EXTENSA EX215-55G i7)")</f>
        <v>Laptop – (ACER EXTENSA EX215-55G i7)</v>
      </c>
      <c r="D3070" s="164" t="str">
        <f ca="1">IFERROR(__xludf.DUMMYFUNCTION("""COMPUTED_VALUE"""),"₱ 59,500.00")</f>
        <v>₱ 59,500.00</v>
      </c>
      <c r="E3070" s="164"/>
      <c r="F3070" s="164" t="str">
        <f ca="1">IFERROR(__xludf.DUMMYFUNCTION("""COMPUTED_VALUE"""),"2023-05-03-10202SP265-01")</f>
        <v>2023-05-03-10202SP265-01</v>
      </c>
      <c r="G3070" s="164"/>
      <c r="H3070" s="164" t="str">
        <f ca="1">IFERROR(__xludf.DUMMYFUNCTION("""COMPUTED_VALUE"""),"SEGUNDINO PAGLIAWAN")</f>
        <v>SEGUNDINO PAGLIAWAN</v>
      </c>
      <c r="I3070" s="164" t="str">
        <f ca="1">IFERROR(__xludf.DUMMYFUNCTION("""COMPUTED_VALUE"""),"PARPO I")</f>
        <v>PARPO I</v>
      </c>
      <c r="J3070" s="164" t="str">
        <f ca="1">IFERROR(__xludf.DUMMYFUNCTION("""COMPUTED_VALUE"""),"PTR# SP2023-12-9046")</f>
        <v>PTR# SP2023-12-9046</v>
      </c>
      <c r="K3070" s="164" t="str">
        <f ca="1">IFERROR(__xludf.DUMMYFUNCTION("""COMPUTED_VALUE"""),"SEGUNDINO PAGLIAWAN")</f>
        <v>SEGUNDINO PAGLIAWAN</v>
      </c>
      <c r="L3070" s="164" t="str">
        <f ca="1">IFERROR(__xludf.DUMMYFUNCTION("""COMPUTED_VALUE"""),"SPLIT")</f>
        <v>SPLIT</v>
      </c>
      <c r="M3070" s="164" t="str">
        <f ca="1">IFERROR(__xludf.DUMMYFUNCTION("""COMPUTED_VALUE"""),"SERVICEABLE")</f>
        <v>SERVICEABLE</v>
      </c>
      <c r="N3070" s="164"/>
    </row>
    <row r="3071" spans="1:14" ht="13.2" hidden="1">
      <c r="A3071" s="164" t="str">
        <f ca="1">IFERROR(__xludf.DUMMYFUNCTION("""COMPUTED_VALUE"""),"REGION VIII")</f>
        <v>REGION VIII</v>
      </c>
      <c r="B3071" s="164" t="str">
        <f ca="1">IFERROR(__xludf.DUMMYFUNCTION("""COMPUTED_VALUE"""),"Eastern Samar")</f>
        <v>Eastern Samar</v>
      </c>
      <c r="C3071" s="164" t="str">
        <f ca="1">IFERROR(__xludf.DUMMYFUNCTION("""COMPUTED_VALUE"""),"Laptop – (ACER EXTENSA EX215-55G i7)")</f>
        <v>Laptop – (ACER EXTENSA EX215-55G i7)</v>
      </c>
      <c r="D3071" s="164" t="str">
        <f ca="1">IFERROR(__xludf.DUMMYFUNCTION("""COMPUTED_VALUE"""),"₱ 59,500.00")</f>
        <v>₱ 59,500.00</v>
      </c>
      <c r="E3071" s="164"/>
      <c r="F3071" s="164" t="str">
        <f ca="1">IFERROR(__xludf.DUMMYFUNCTION("""COMPUTED_VALUE"""),"2023-05-03-10202SP66-01")</f>
        <v>2023-05-03-10202SP66-01</v>
      </c>
      <c r="G3071" s="164"/>
      <c r="H3071" s="164" t="str">
        <f ca="1">IFERROR(__xludf.DUMMYFUNCTION("""COMPUTED_VALUE"""),"ALLISON KAYE A. OBON")</f>
        <v>ALLISON KAYE A. OBON</v>
      </c>
      <c r="I3071" s="164" t="str">
        <f ca="1">IFERROR(__xludf.DUMMYFUNCTION("""COMPUTED_VALUE"""),"ARPT")</f>
        <v>ARPT</v>
      </c>
      <c r="J3071" s="164" t="str">
        <f ca="1">IFERROR(__xludf.DUMMYFUNCTION("""COMPUTED_VALUE"""),"23040")</f>
        <v>23040</v>
      </c>
      <c r="K3071" s="164" t="str">
        <f ca="1">IFERROR(__xludf.DUMMYFUNCTION("""COMPUTED_VALUE"""),"ALLISON KAYE A. OBON")</f>
        <v>ALLISON KAYE A. OBON</v>
      </c>
      <c r="L3071" s="164" t="str">
        <f ca="1">IFERROR(__xludf.DUMMYFUNCTION("""COMPUTED_VALUE"""),"LTS")</f>
        <v>LTS</v>
      </c>
      <c r="M3071" s="164" t="str">
        <f ca="1">IFERROR(__xludf.DUMMYFUNCTION("""COMPUTED_VALUE"""),"SERVICEABLE")</f>
        <v>SERVICEABLE</v>
      </c>
      <c r="N3071" s="164"/>
    </row>
    <row r="3072" spans="1:14" ht="13.2" hidden="1">
      <c r="A3072" s="164" t="str">
        <f ca="1">IFERROR(__xludf.DUMMYFUNCTION("""COMPUTED_VALUE"""),"REGION VIII")</f>
        <v>REGION VIII</v>
      </c>
      <c r="B3072" s="164" t="str">
        <f ca="1">IFERROR(__xludf.DUMMYFUNCTION("""COMPUTED_VALUE"""),"Northern Samar")</f>
        <v>Northern Samar</v>
      </c>
      <c r="C3072" s="164" t="str">
        <f ca="1">IFERROR(__xludf.DUMMYFUNCTION("""COMPUTED_VALUE"""),"Desktop Computer – (MSI PRO DP180)")</f>
        <v>Desktop Computer – (MSI PRO DP180)</v>
      </c>
      <c r="D3072" s="164" t="str">
        <f ca="1">IFERROR(__xludf.DUMMYFUNCTION("""COMPUTED_VALUE"""),"₱ 49,300.00")</f>
        <v>₱ 49,300.00</v>
      </c>
      <c r="E3072" s="164"/>
      <c r="F3072" s="164" t="str">
        <f ca="1">IFERROR(__xludf.DUMMYFUNCTION("""COMPUTED_VALUE"""),"HV-SPLIT-102-24-05-01-176-01")</f>
        <v>HV-SPLIT-102-24-05-01-176-01</v>
      </c>
      <c r="G3072" s="164"/>
      <c r="H3072" s="164" t="str">
        <f ca="1">IFERROR(__xludf.DUMMYFUNCTION("""COMPUTED_VALUE"""),"AMIEL D. SABILLO")</f>
        <v>AMIEL D. SABILLO</v>
      </c>
      <c r="I3072" s="164"/>
      <c r="J3072" s="164"/>
      <c r="K3072" s="164" t="str">
        <f ca="1">IFERROR(__xludf.DUMMYFUNCTION("""COMPUTED_VALUE"""),"AMIEL D. SABILLO")</f>
        <v>AMIEL D. SABILLO</v>
      </c>
      <c r="L3072" s="164"/>
      <c r="M3072" s="164"/>
      <c r="N3072" s="164"/>
    </row>
    <row r="3073" spans="1:14" ht="13.2" hidden="1">
      <c r="A3073" s="164" t="str">
        <f ca="1">IFERROR(__xludf.DUMMYFUNCTION("""COMPUTED_VALUE"""),"REGION VIII")</f>
        <v>REGION VIII</v>
      </c>
      <c r="B3073" s="164" t="str">
        <f ca="1">IFERROR(__xludf.DUMMYFUNCTION("""COMPUTED_VALUE"""),"Northern Samar")</f>
        <v>Northern Samar</v>
      </c>
      <c r="C3073" s="164" t="str">
        <f ca="1">IFERROR(__xludf.DUMMYFUNCTION("""COMPUTED_VALUE"""),"Desktop Computer – (MSI PRO DP180)")</f>
        <v>Desktop Computer – (MSI PRO DP180)</v>
      </c>
      <c r="D3073" s="164" t="str">
        <f ca="1">IFERROR(__xludf.DUMMYFUNCTION("""COMPUTED_VALUE"""),"₱ 49,300.00")</f>
        <v>₱ 49,300.00</v>
      </c>
      <c r="E3073" s="164"/>
      <c r="F3073" s="164" t="str">
        <f ca="1">IFERROR(__xludf.DUMMYFUNCTION("""COMPUTED_VALUE"""),"HV-SPLIT-102-24-05-01-311-01")</f>
        <v>HV-SPLIT-102-24-05-01-311-01</v>
      </c>
      <c r="G3073" s="164"/>
      <c r="H3073" s="164" t="str">
        <f ca="1">IFERROR(__xludf.DUMMYFUNCTION("""COMPUTED_VALUE"""),"AMIEL D. SABILLO")</f>
        <v>AMIEL D. SABILLO</v>
      </c>
      <c r="I3073" s="164"/>
      <c r="J3073" s="164"/>
      <c r="K3073" s="164" t="str">
        <f ca="1">IFERROR(__xludf.DUMMYFUNCTION("""COMPUTED_VALUE"""),"AMIEL D. SABILLO")</f>
        <v>AMIEL D. SABILLO</v>
      </c>
      <c r="L3073" s="164"/>
      <c r="M3073" s="164"/>
      <c r="N3073" s="164"/>
    </row>
    <row r="3074" spans="1:14" ht="13.2" hidden="1">
      <c r="A3074" s="164" t="str">
        <f ca="1">IFERROR(__xludf.DUMMYFUNCTION("""COMPUTED_VALUE"""),"REGION VIII")</f>
        <v>REGION VIII</v>
      </c>
      <c r="B3074" s="164" t="str">
        <f ca="1">IFERROR(__xludf.DUMMYFUNCTION("""COMPUTED_VALUE"""),"Northern Samar")</f>
        <v>Northern Samar</v>
      </c>
      <c r="C3074" s="164" t="str">
        <f ca="1">IFERROR(__xludf.DUMMYFUNCTION("""COMPUTED_VALUE"""),"Desktop Computer – (MSI PRO DP180)")</f>
        <v>Desktop Computer – (MSI PRO DP180)</v>
      </c>
      <c r="D3074" s="164" t="str">
        <f ca="1">IFERROR(__xludf.DUMMYFUNCTION("""COMPUTED_VALUE"""),"₱ 49,300.00")</f>
        <v>₱ 49,300.00</v>
      </c>
      <c r="E3074" s="164"/>
      <c r="F3074" s="164" t="str">
        <f ca="1">IFERROR(__xludf.DUMMYFUNCTION("""COMPUTED_VALUE"""),"HV-SPLIT-102-24-05-01-312-01")</f>
        <v>HV-SPLIT-102-24-05-01-312-01</v>
      </c>
      <c r="G3074" s="164"/>
      <c r="H3074" s="164" t="str">
        <f ca="1">IFERROR(__xludf.DUMMYFUNCTION("""COMPUTED_VALUE"""),"AMIEL D. SABILLO")</f>
        <v>AMIEL D. SABILLO</v>
      </c>
      <c r="I3074" s="164"/>
      <c r="J3074" s="164"/>
      <c r="K3074" s="164" t="str">
        <f ca="1">IFERROR(__xludf.DUMMYFUNCTION("""COMPUTED_VALUE"""),"AMIEL D. SABILLO")</f>
        <v>AMIEL D. SABILLO</v>
      </c>
      <c r="L3074" s="164"/>
      <c r="M3074" s="164"/>
      <c r="N3074" s="164"/>
    </row>
    <row r="3075" spans="1:14" ht="13.2" hidden="1">
      <c r="A3075" s="164" t="str">
        <f ca="1">IFERROR(__xludf.DUMMYFUNCTION("""COMPUTED_VALUE"""),"REGION VIII")</f>
        <v>REGION VIII</v>
      </c>
      <c r="B3075" s="164" t="str">
        <f ca="1">IFERROR(__xludf.DUMMYFUNCTION("""COMPUTED_VALUE"""),"Northern Samar")</f>
        <v>Northern Samar</v>
      </c>
      <c r="C3075" s="164" t="str">
        <f ca="1">IFERROR(__xludf.DUMMYFUNCTION("""COMPUTED_VALUE"""),"Desktop Computer – (MSI PRO DP180)")</f>
        <v>Desktop Computer – (MSI PRO DP180)</v>
      </c>
      <c r="D3075" s="164" t="str">
        <f ca="1">IFERROR(__xludf.DUMMYFUNCTION("""COMPUTED_VALUE"""),"₱ 49,300.00")</f>
        <v>₱ 49,300.00</v>
      </c>
      <c r="E3075" s="164"/>
      <c r="F3075" s="164" t="str">
        <f ca="1">IFERROR(__xludf.DUMMYFUNCTION("""COMPUTED_VALUE"""),"HV-SPLIT-102-24-05-01-313-01")</f>
        <v>HV-SPLIT-102-24-05-01-313-01</v>
      </c>
      <c r="G3075" s="164"/>
      <c r="H3075" s="164" t="str">
        <f ca="1">IFERROR(__xludf.DUMMYFUNCTION("""COMPUTED_VALUE"""),"AMIEL D. SABILLO")</f>
        <v>AMIEL D. SABILLO</v>
      </c>
      <c r="I3075" s="164"/>
      <c r="J3075" s="164"/>
      <c r="K3075" s="164" t="str">
        <f ca="1">IFERROR(__xludf.DUMMYFUNCTION("""COMPUTED_VALUE"""),"AMIEL D. SABILLO")</f>
        <v>AMIEL D. SABILLO</v>
      </c>
      <c r="L3075" s="164"/>
      <c r="M3075" s="164"/>
      <c r="N3075" s="164"/>
    </row>
    <row r="3076" spans="1:14" ht="13.2" hidden="1">
      <c r="A3076" s="164" t="str">
        <f ca="1">IFERROR(__xludf.DUMMYFUNCTION("""COMPUTED_VALUE"""),"REGION VIII")</f>
        <v>REGION VIII</v>
      </c>
      <c r="B3076" s="164" t="str">
        <f ca="1">IFERROR(__xludf.DUMMYFUNCTION("""COMPUTED_VALUE"""),"Northern Samar")</f>
        <v>Northern Samar</v>
      </c>
      <c r="C3076" s="164" t="str">
        <f ca="1">IFERROR(__xludf.DUMMYFUNCTION("""COMPUTED_VALUE"""),"Desktop Computer – (MSI PRO DP180)")</f>
        <v>Desktop Computer – (MSI PRO DP180)</v>
      </c>
      <c r="D3076" s="164" t="str">
        <f ca="1">IFERROR(__xludf.DUMMYFUNCTION("""COMPUTED_VALUE"""),"₱ 49,300.00")</f>
        <v>₱ 49,300.00</v>
      </c>
      <c r="E3076" s="164"/>
      <c r="F3076" s="164" t="str">
        <f ca="1">IFERROR(__xludf.DUMMYFUNCTION("""COMPUTED_VALUE"""),"HV-SPLIT-102-24-05-01-314-01")</f>
        <v>HV-SPLIT-102-24-05-01-314-01</v>
      </c>
      <c r="G3076" s="164"/>
      <c r="H3076" s="164" t="str">
        <f ca="1">IFERROR(__xludf.DUMMYFUNCTION("""COMPUTED_VALUE"""),"AMIEL D. SABILLO")</f>
        <v>AMIEL D. SABILLO</v>
      </c>
      <c r="I3076" s="164"/>
      <c r="J3076" s="164"/>
      <c r="K3076" s="164" t="str">
        <f ca="1">IFERROR(__xludf.DUMMYFUNCTION("""COMPUTED_VALUE"""),"AMIEL D. SABILLO")</f>
        <v>AMIEL D. SABILLO</v>
      </c>
      <c r="L3076" s="164"/>
      <c r="M3076" s="164"/>
      <c r="N3076" s="164"/>
    </row>
    <row r="3077" spans="1:14" ht="13.2" hidden="1">
      <c r="A3077" s="164" t="str">
        <f ca="1">IFERROR(__xludf.DUMMYFUNCTION("""COMPUTED_VALUE"""),"REGION VIII")</f>
        <v>REGION VIII</v>
      </c>
      <c r="B3077" s="164" t="str">
        <f ca="1">IFERROR(__xludf.DUMMYFUNCTION("""COMPUTED_VALUE"""),"Northern Samar")</f>
        <v>Northern Samar</v>
      </c>
      <c r="C3077" s="164" t="str">
        <f ca="1">IFERROR(__xludf.DUMMYFUNCTION("""COMPUTED_VALUE"""),"Desktop Computer – (MSI PRO DP180)")</f>
        <v>Desktop Computer – (MSI PRO DP180)</v>
      </c>
      <c r="D3077" s="164" t="str">
        <f ca="1">IFERROR(__xludf.DUMMYFUNCTION("""COMPUTED_VALUE"""),"₱ 49,300.00")</f>
        <v>₱ 49,300.00</v>
      </c>
      <c r="E3077" s="164"/>
      <c r="F3077" s="164" t="str">
        <f ca="1">IFERROR(__xludf.DUMMYFUNCTION("""COMPUTED_VALUE"""),"HV-SPLIT-102-24-05-01-316-01")</f>
        <v>HV-SPLIT-102-24-05-01-316-01</v>
      </c>
      <c r="G3077" s="164"/>
      <c r="H3077" s="164" t="str">
        <f ca="1">IFERROR(__xludf.DUMMYFUNCTION("""COMPUTED_VALUE"""),"AMIEL D. SABILLO")</f>
        <v>AMIEL D. SABILLO</v>
      </c>
      <c r="I3077" s="164"/>
      <c r="J3077" s="164"/>
      <c r="K3077" s="164" t="str">
        <f ca="1">IFERROR(__xludf.DUMMYFUNCTION("""COMPUTED_VALUE"""),"AMIEL D. SABILLO")</f>
        <v>AMIEL D. SABILLO</v>
      </c>
      <c r="L3077" s="164"/>
      <c r="M3077" s="164"/>
      <c r="N3077" s="164"/>
    </row>
    <row r="3078" spans="1:14" ht="13.2" hidden="1">
      <c r="A3078" s="164" t="str">
        <f ca="1">IFERROR(__xludf.DUMMYFUNCTION("""COMPUTED_VALUE"""),"REGION VIII")</f>
        <v>REGION VIII</v>
      </c>
      <c r="B3078" s="164" t="str">
        <f ca="1">IFERROR(__xludf.DUMMYFUNCTION("""COMPUTED_VALUE"""),"Northern Samar")</f>
        <v>Northern Samar</v>
      </c>
      <c r="C3078" s="164" t="str">
        <f ca="1">IFERROR(__xludf.DUMMYFUNCTION("""COMPUTED_VALUE"""),"Desktop Computer – (MSI PRO DP180)")</f>
        <v>Desktop Computer – (MSI PRO DP180)</v>
      </c>
      <c r="D3078" s="164" t="str">
        <f ca="1">IFERROR(__xludf.DUMMYFUNCTION("""COMPUTED_VALUE"""),"₱ 49,300.00")</f>
        <v>₱ 49,300.00</v>
      </c>
      <c r="E3078" s="164"/>
      <c r="F3078" s="164" t="str">
        <f ca="1">IFERROR(__xludf.DUMMYFUNCTION("""COMPUTED_VALUE"""),"HV-SPLIT-102-24-05-01-317-01")</f>
        <v>HV-SPLIT-102-24-05-01-317-01</v>
      </c>
      <c r="G3078" s="164"/>
      <c r="H3078" s="164" t="str">
        <f ca="1">IFERROR(__xludf.DUMMYFUNCTION("""COMPUTED_VALUE"""),"AMIEL D. SABILLO")</f>
        <v>AMIEL D. SABILLO</v>
      </c>
      <c r="I3078" s="164"/>
      <c r="J3078" s="164"/>
      <c r="K3078" s="164" t="str">
        <f ca="1">IFERROR(__xludf.DUMMYFUNCTION("""COMPUTED_VALUE"""),"AMIEL D. SABILLO")</f>
        <v>AMIEL D. SABILLO</v>
      </c>
      <c r="L3078" s="164"/>
      <c r="M3078" s="164"/>
      <c r="N3078" s="164"/>
    </row>
    <row r="3079" spans="1:14" ht="13.2" hidden="1">
      <c r="A3079" s="164" t="str">
        <f ca="1">IFERROR(__xludf.DUMMYFUNCTION("""COMPUTED_VALUE"""),"REGION VIII")</f>
        <v>REGION VIII</v>
      </c>
      <c r="B3079" s="164" t="str">
        <f ca="1">IFERROR(__xludf.DUMMYFUNCTION("""COMPUTED_VALUE"""),"Northern Samar")</f>
        <v>Northern Samar</v>
      </c>
      <c r="C3079" s="164" t="str">
        <f ca="1">IFERROR(__xludf.DUMMYFUNCTION("""COMPUTED_VALUE"""),"Desktop Computer – (MSI PRO DP180)")</f>
        <v>Desktop Computer – (MSI PRO DP180)</v>
      </c>
      <c r="D3079" s="164" t="str">
        <f ca="1">IFERROR(__xludf.DUMMYFUNCTION("""COMPUTED_VALUE"""),"₱ 49,300.00")</f>
        <v>₱ 49,300.00</v>
      </c>
      <c r="E3079" s="164"/>
      <c r="F3079" s="164" t="str">
        <f ca="1">IFERROR(__xludf.DUMMYFUNCTION("""COMPUTED_VALUE"""),"HV-SPLIT-102-24-05-01-318-01")</f>
        <v>HV-SPLIT-102-24-05-01-318-01</v>
      </c>
      <c r="G3079" s="164"/>
      <c r="H3079" s="164" t="str">
        <f ca="1">IFERROR(__xludf.DUMMYFUNCTION("""COMPUTED_VALUE"""),"AMIEL D. SABILLO")</f>
        <v>AMIEL D. SABILLO</v>
      </c>
      <c r="I3079" s="164"/>
      <c r="J3079" s="164"/>
      <c r="K3079" s="164" t="str">
        <f ca="1">IFERROR(__xludf.DUMMYFUNCTION("""COMPUTED_VALUE"""),"AMIEL D. SABILLO")</f>
        <v>AMIEL D. SABILLO</v>
      </c>
      <c r="L3079" s="164"/>
      <c r="M3079" s="164"/>
      <c r="N3079" s="164"/>
    </row>
    <row r="3080" spans="1:14" ht="13.2" hidden="1">
      <c r="A3080" s="164" t="str">
        <f ca="1">IFERROR(__xludf.DUMMYFUNCTION("""COMPUTED_VALUE"""),"REGION VIII")</f>
        <v>REGION VIII</v>
      </c>
      <c r="B3080" s="164" t="str">
        <f ca="1">IFERROR(__xludf.DUMMYFUNCTION("""COMPUTED_VALUE"""),"Northern Samar")</f>
        <v>Northern Samar</v>
      </c>
      <c r="C3080" s="164" t="str">
        <f ca="1">IFERROR(__xludf.DUMMYFUNCTION("""COMPUTED_VALUE"""),"Desktop Computer – (MSI PRO DP180)")</f>
        <v>Desktop Computer – (MSI PRO DP180)</v>
      </c>
      <c r="D3080" s="164" t="str">
        <f ca="1">IFERROR(__xludf.DUMMYFUNCTION("""COMPUTED_VALUE"""),"₱ 49,300.00")</f>
        <v>₱ 49,300.00</v>
      </c>
      <c r="E3080" s="164"/>
      <c r="F3080" s="164" t="str">
        <f ca="1">IFERROR(__xludf.DUMMYFUNCTION("""COMPUTED_VALUE"""),"HV-SPLIT-102-24-05-01-320-01")</f>
        <v>HV-SPLIT-102-24-05-01-320-01</v>
      </c>
      <c r="G3080" s="164"/>
      <c r="H3080" s="164" t="str">
        <f ca="1">IFERROR(__xludf.DUMMYFUNCTION("""COMPUTED_VALUE"""),"AMIEL D. SABILLO")</f>
        <v>AMIEL D. SABILLO</v>
      </c>
      <c r="I3080" s="164"/>
      <c r="J3080" s="164"/>
      <c r="K3080" s="164" t="str">
        <f ca="1">IFERROR(__xludf.DUMMYFUNCTION("""COMPUTED_VALUE"""),"AMIEL D. SABILLO")</f>
        <v>AMIEL D. SABILLO</v>
      </c>
      <c r="L3080" s="164"/>
      <c r="M3080" s="164"/>
      <c r="N3080" s="164"/>
    </row>
    <row r="3081" spans="1:14" ht="13.2" hidden="1">
      <c r="A3081" s="164" t="str">
        <f ca="1">IFERROR(__xludf.DUMMYFUNCTION("""COMPUTED_VALUE"""),"REGION VIII")</f>
        <v>REGION VIII</v>
      </c>
      <c r="B3081" s="164" t="str">
        <f ca="1">IFERROR(__xludf.DUMMYFUNCTION("""COMPUTED_VALUE"""),"Northern Samar")</f>
        <v>Northern Samar</v>
      </c>
      <c r="C3081" s="164" t="str">
        <f ca="1">IFERROR(__xludf.DUMMYFUNCTION("""COMPUTED_VALUE"""),"Desktop Computer – (MSI PRO DP180)")</f>
        <v>Desktop Computer – (MSI PRO DP180)</v>
      </c>
      <c r="D3081" s="164" t="str">
        <f ca="1">IFERROR(__xludf.DUMMYFUNCTION("""COMPUTED_VALUE"""),"₱ 49,300.00")</f>
        <v>₱ 49,300.00</v>
      </c>
      <c r="E3081" s="164"/>
      <c r="F3081" s="164" t="str">
        <f ca="1">IFERROR(__xludf.DUMMYFUNCTION("""COMPUTED_VALUE"""),"HV-SPLIT-102-24-05-01-321-01")</f>
        <v>HV-SPLIT-102-24-05-01-321-01</v>
      </c>
      <c r="G3081" s="164"/>
      <c r="H3081" s="164" t="str">
        <f ca="1">IFERROR(__xludf.DUMMYFUNCTION("""COMPUTED_VALUE"""),"AMIEL D. SABILLO")</f>
        <v>AMIEL D. SABILLO</v>
      </c>
      <c r="I3081" s="164"/>
      <c r="J3081" s="164"/>
      <c r="K3081" s="164" t="str">
        <f ca="1">IFERROR(__xludf.DUMMYFUNCTION("""COMPUTED_VALUE"""),"AMIEL D. SABILLO")</f>
        <v>AMIEL D. SABILLO</v>
      </c>
      <c r="L3081" s="164"/>
      <c r="M3081" s="164"/>
      <c r="N3081" s="164"/>
    </row>
    <row r="3082" spans="1:14" ht="13.2" hidden="1">
      <c r="A3082" s="164" t="str">
        <f ca="1">IFERROR(__xludf.DUMMYFUNCTION("""COMPUTED_VALUE"""),"REGION VIII")</f>
        <v>REGION VIII</v>
      </c>
      <c r="B3082" s="164" t="str">
        <f ca="1">IFERROR(__xludf.DUMMYFUNCTION("""COMPUTED_VALUE"""),"Northern Samar")</f>
        <v>Northern Samar</v>
      </c>
      <c r="C3082" s="164" t="str">
        <f ca="1">IFERROR(__xludf.DUMMYFUNCTION("""COMPUTED_VALUE"""),"Desktop Computer – (MSI PRO DP180)")</f>
        <v>Desktop Computer – (MSI PRO DP180)</v>
      </c>
      <c r="D3082" s="164" t="str">
        <f ca="1">IFERROR(__xludf.DUMMYFUNCTION("""COMPUTED_VALUE"""),"₱ 49,300.00")</f>
        <v>₱ 49,300.00</v>
      </c>
      <c r="E3082" s="164"/>
      <c r="F3082" s="164" t="str">
        <f ca="1">IFERROR(__xludf.DUMMYFUNCTION("""COMPUTED_VALUE"""),"HV-SPLIT-102-24-05-01-322-01")</f>
        <v>HV-SPLIT-102-24-05-01-322-01</v>
      </c>
      <c r="G3082" s="164"/>
      <c r="H3082" s="164" t="str">
        <f ca="1">IFERROR(__xludf.DUMMYFUNCTION("""COMPUTED_VALUE"""),"AMIEL D. SABILLO")</f>
        <v>AMIEL D. SABILLO</v>
      </c>
      <c r="I3082" s="164"/>
      <c r="J3082" s="164"/>
      <c r="K3082" s="164" t="str">
        <f ca="1">IFERROR(__xludf.DUMMYFUNCTION("""COMPUTED_VALUE"""),"AMIEL D. SABILLO")</f>
        <v>AMIEL D. SABILLO</v>
      </c>
      <c r="L3082" s="164"/>
      <c r="M3082" s="164"/>
      <c r="N3082" s="164"/>
    </row>
    <row r="3083" spans="1:14" ht="13.2" hidden="1">
      <c r="A3083" s="164" t="str">
        <f ca="1">IFERROR(__xludf.DUMMYFUNCTION("""COMPUTED_VALUE"""),"REGION VIII")</f>
        <v>REGION VIII</v>
      </c>
      <c r="B3083" s="164" t="str">
        <f ca="1">IFERROR(__xludf.DUMMYFUNCTION("""COMPUTED_VALUE"""),"Northern Samar")</f>
        <v>Northern Samar</v>
      </c>
      <c r="C3083" s="164" t="str">
        <f ca="1">IFERROR(__xludf.DUMMYFUNCTION("""COMPUTED_VALUE"""),"Desktop Computer – (MSI PRO DP180)")</f>
        <v>Desktop Computer – (MSI PRO DP180)</v>
      </c>
      <c r="D3083" s="164" t="str">
        <f ca="1">IFERROR(__xludf.DUMMYFUNCTION("""COMPUTED_VALUE"""),"₱ 49,300.00")</f>
        <v>₱ 49,300.00</v>
      </c>
      <c r="E3083" s="164"/>
      <c r="F3083" s="164" t="str">
        <f ca="1">IFERROR(__xludf.DUMMYFUNCTION("""COMPUTED_VALUE"""),"HV-SPLIT-102-24-05-01-323-01")</f>
        <v>HV-SPLIT-102-24-05-01-323-01</v>
      </c>
      <c r="G3083" s="164"/>
      <c r="H3083" s="164" t="str">
        <f ca="1">IFERROR(__xludf.DUMMYFUNCTION("""COMPUTED_VALUE"""),"AMIEL D. SABILLO")</f>
        <v>AMIEL D. SABILLO</v>
      </c>
      <c r="I3083" s="164"/>
      <c r="J3083" s="164"/>
      <c r="K3083" s="164" t="str">
        <f ca="1">IFERROR(__xludf.DUMMYFUNCTION("""COMPUTED_VALUE"""),"AMIEL D. SABILLO")</f>
        <v>AMIEL D. SABILLO</v>
      </c>
      <c r="L3083" s="164"/>
      <c r="M3083" s="164"/>
      <c r="N3083" s="164"/>
    </row>
    <row r="3084" spans="1:14" ht="13.2" hidden="1">
      <c r="A3084" s="164" t="str">
        <f ca="1">IFERROR(__xludf.DUMMYFUNCTION("""COMPUTED_VALUE"""),"REGION VIII")</f>
        <v>REGION VIII</v>
      </c>
      <c r="B3084" s="164" t="str">
        <f ca="1">IFERROR(__xludf.DUMMYFUNCTION("""COMPUTED_VALUE"""),"Northern Samar")</f>
        <v>Northern Samar</v>
      </c>
      <c r="C3084" s="164" t="str">
        <f ca="1">IFERROR(__xludf.DUMMYFUNCTION("""COMPUTED_VALUE"""),"Desktop Computer – (MSI PRO DP180)")</f>
        <v>Desktop Computer – (MSI PRO DP180)</v>
      </c>
      <c r="D3084" s="164" t="str">
        <f ca="1">IFERROR(__xludf.DUMMYFUNCTION("""COMPUTED_VALUE"""),"₱ 49,300.00")</f>
        <v>₱ 49,300.00</v>
      </c>
      <c r="E3084" s="164"/>
      <c r="F3084" s="164" t="str">
        <f ca="1">IFERROR(__xludf.DUMMYFUNCTION("""COMPUTED_VALUE"""),"HV-SPLIT-102-24-05-01-324-01")</f>
        <v>HV-SPLIT-102-24-05-01-324-01</v>
      </c>
      <c r="G3084" s="164"/>
      <c r="H3084" s="164" t="str">
        <f ca="1">IFERROR(__xludf.DUMMYFUNCTION("""COMPUTED_VALUE"""),"AMIEL D. SABILLO")</f>
        <v>AMIEL D. SABILLO</v>
      </c>
      <c r="I3084" s="164"/>
      <c r="J3084" s="164"/>
      <c r="K3084" s="164" t="str">
        <f ca="1">IFERROR(__xludf.DUMMYFUNCTION("""COMPUTED_VALUE"""),"AMIEL D. SABILLO")</f>
        <v>AMIEL D. SABILLO</v>
      </c>
      <c r="L3084" s="164"/>
      <c r="M3084" s="164"/>
      <c r="N3084" s="164"/>
    </row>
    <row r="3085" spans="1:14" ht="13.2" hidden="1">
      <c r="A3085" s="164" t="str">
        <f ca="1">IFERROR(__xludf.DUMMYFUNCTION("""COMPUTED_VALUE"""),"REGION VIII")</f>
        <v>REGION VIII</v>
      </c>
      <c r="B3085" s="164" t="str">
        <f ca="1">IFERROR(__xludf.DUMMYFUNCTION("""COMPUTED_VALUE"""),"Northern Samar")</f>
        <v>Northern Samar</v>
      </c>
      <c r="C3085" s="164" t="str">
        <f ca="1">IFERROR(__xludf.DUMMYFUNCTION("""COMPUTED_VALUE"""),"Desktop Computer – (MSI PRO DP180)")</f>
        <v>Desktop Computer – (MSI PRO DP180)</v>
      </c>
      <c r="D3085" s="164" t="str">
        <f ca="1">IFERROR(__xludf.DUMMYFUNCTION("""COMPUTED_VALUE"""),"₱ 49,300.00")</f>
        <v>₱ 49,300.00</v>
      </c>
      <c r="E3085" s="164"/>
      <c r="F3085" s="164" t="str">
        <f ca="1">IFERROR(__xludf.DUMMYFUNCTION("""COMPUTED_VALUE"""),"HV-SPLIT-102-24-05-01-326-01")</f>
        <v>HV-SPLIT-102-24-05-01-326-01</v>
      </c>
      <c r="G3085" s="164"/>
      <c r="H3085" s="164" t="str">
        <f ca="1">IFERROR(__xludf.DUMMYFUNCTION("""COMPUTED_VALUE"""),"AMIEL D. SABILLO")</f>
        <v>AMIEL D. SABILLO</v>
      </c>
      <c r="I3085" s="164"/>
      <c r="J3085" s="164"/>
      <c r="K3085" s="164" t="str">
        <f ca="1">IFERROR(__xludf.DUMMYFUNCTION("""COMPUTED_VALUE"""),"AMIEL D. SABILLO")</f>
        <v>AMIEL D. SABILLO</v>
      </c>
      <c r="L3085" s="164"/>
      <c r="M3085" s="164"/>
      <c r="N3085" s="164"/>
    </row>
    <row r="3086" spans="1:14" ht="13.2" hidden="1">
      <c r="A3086" s="164" t="str">
        <f ca="1">IFERROR(__xludf.DUMMYFUNCTION("""COMPUTED_VALUE"""),"REGION VIII")</f>
        <v>REGION VIII</v>
      </c>
      <c r="B3086" s="164" t="str">
        <f ca="1">IFERROR(__xludf.DUMMYFUNCTION("""COMPUTED_VALUE"""),"Northern Samar")</f>
        <v>Northern Samar</v>
      </c>
      <c r="C3086" s="164" t="str">
        <f ca="1">IFERROR(__xludf.DUMMYFUNCTION("""COMPUTED_VALUE"""),"Desktop Computer – (MSI PRO DP180)")</f>
        <v>Desktop Computer – (MSI PRO DP180)</v>
      </c>
      <c r="D3086" s="164" t="str">
        <f ca="1">IFERROR(__xludf.DUMMYFUNCTION("""COMPUTED_VALUE"""),"₱ 49,300.00")</f>
        <v>₱ 49,300.00</v>
      </c>
      <c r="E3086" s="164"/>
      <c r="F3086" s="164" t="str">
        <f ca="1">IFERROR(__xludf.DUMMYFUNCTION("""COMPUTED_VALUE"""),"HV-SPLIT-102-24-05-01-327-01")</f>
        <v>HV-SPLIT-102-24-05-01-327-01</v>
      </c>
      <c r="G3086" s="164"/>
      <c r="H3086" s="164" t="str">
        <f ca="1">IFERROR(__xludf.DUMMYFUNCTION("""COMPUTED_VALUE"""),"AMIEL D. SABILLO")</f>
        <v>AMIEL D. SABILLO</v>
      </c>
      <c r="I3086" s="164"/>
      <c r="J3086" s="164"/>
      <c r="K3086" s="164" t="str">
        <f ca="1">IFERROR(__xludf.DUMMYFUNCTION("""COMPUTED_VALUE"""),"AMIEL D. SABILLO")</f>
        <v>AMIEL D. SABILLO</v>
      </c>
      <c r="L3086" s="164"/>
      <c r="M3086" s="164"/>
      <c r="N3086" s="164"/>
    </row>
    <row r="3087" spans="1:14" ht="13.2" hidden="1">
      <c r="A3087" s="164" t="str">
        <f ca="1">IFERROR(__xludf.DUMMYFUNCTION("""COMPUTED_VALUE"""),"REGION VIII")</f>
        <v>REGION VIII</v>
      </c>
      <c r="B3087" s="164" t="str">
        <f ca="1">IFERROR(__xludf.DUMMYFUNCTION("""COMPUTED_VALUE"""),"Northern Samar")</f>
        <v>Northern Samar</v>
      </c>
      <c r="C3087" s="164" t="str">
        <f ca="1">IFERROR(__xludf.DUMMYFUNCTION("""COMPUTED_VALUE"""),"Desktop Computer – (MSI PRO DP180)")</f>
        <v>Desktop Computer – (MSI PRO DP180)</v>
      </c>
      <c r="D3087" s="164" t="str">
        <f ca="1">IFERROR(__xludf.DUMMYFUNCTION("""COMPUTED_VALUE"""),"₱ 49,300.00")</f>
        <v>₱ 49,300.00</v>
      </c>
      <c r="E3087" s="164"/>
      <c r="F3087" s="164" t="str">
        <f ca="1">IFERROR(__xludf.DUMMYFUNCTION("""COMPUTED_VALUE"""),"HV-SPLIT-102-24-05-01-329-01")</f>
        <v>HV-SPLIT-102-24-05-01-329-01</v>
      </c>
      <c r="G3087" s="164"/>
      <c r="H3087" s="164" t="str">
        <f ca="1">IFERROR(__xludf.DUMMYFUNCTION("""COMPUTED_VALUE"""),"AMIEL D. SABILLO")</f>
        <v>AMIEL D. SABILLO</v>
      </c>
      <c r="I3087" s="164"/>
      <c r="J3087" s="164"/>
      <c r="K3087" s="164" t="str">
        <f ca="1">IFERROR(__xludf.DUMMYFUNCTION("""COMPUTED_VALUE"""),"AMIEL D. SABILLO")</f>
        <v>AMIEL D. SABILLO</v>
      </c>
      <c r="L3087" s="164"/>
      <c r="M3087" s="164"/>
      <c r="N3087" s="164"/>
    </row>
    <row r="3088" spans="1:14" ht="13.2" hidden="1">
      <c r="A3088" s="164" t="str">
        <f ca="1">IFERROR(__xludf.DUMMYFUNCTION("""COMPUTED_VALUE"""),"REGION VIII")</f>
        <v>REGION VIII</v>
      </c>
      <c r="B3088" s="164" t="str">
        <f ca="1">IFERROR(__xludf.DUMMYFUNCTION("""COMPUTED_VALUE"""),"Northern Samar")</f>
        <v>Northern Samar</v>
      </c>
      <c r="C3088" s="164" t="str">
        <f ca="1">IFERROR(__xludf.DUMMYFUNCTION("""COMPUTED_VALUE"""),"Desktop Computer – (MSI PRO DP180)")</f>
        <v>Desktop Computer – (MSI PRO DP180)</v>
      </c>
      <c r="D3088" s="164" t="str">
        <f ca="1">IFERROR(__xludf.DUMMYFUNCTION("""COMPUTED_VALUE"""),"₱ 49,300.00")</f>
        <v>₱ 49,300.00</v>
      </c>
      <c r="E3088" s="164"/>
      <c r="F3088" s="164" t="str">
        <f ca="1">IFERROR(__xludf.DUMMYFUNCTION("""COMPUTED_VALUE"""),"HV-SPLIT-102-24-05-01-330-01")</f>
        <v>HV-SPLIT-102-24-05-01-330-01</v>
      </c>
      <c r="G3088" s="164"/>
      <c r="H3088" s="164" t="str">
        <f ca="1">IFERROR(__xludf.DUMMYFUNCTION("""COMPUTED_VALUE"""),"AMIEL D. SABILLO")</f>
        <v>AMIEL D. SABILLO</v>
      </c>
      <c r="I3088" s="164"/>
      <c r="J3088" s="164"/>
      <c r="K3088" s="164" t="str">
        <f ca="1">IFERROR(__xludf.DUMMYFUNCTION("""COMPUTED_VALUE"""),"AMIEL D. SABILLO")</f>
        <v>AMIEL D. SABILLO</v>
      </c>
      <c r="L3088" s="164"/>
      <c r="M3088" s="164"/>
      <c r="N3088" s="164"/>
    </row>
    <row r="3089" spans="1:14" ht="13.2" hidden="1">
      <c r="A3089" s="164" t="str">
        <f ca="1">IFERROR(__xludf.DUMMYFUNCTION("""COMPUTED_VALUE"""),"REGION VIII")</f>
        <v>REGION VIII</v>
      </c>
      <c r="B3089" s="164" t="str">
        <f ca="1">IFERROR(__xludf.DUMMYFUNCTION("""COMPUTED_VALUE"""),"Northern Samar")</f>
        <v>Northern Samar</v>
      </c>
      <c r="C3089" s="164" t="str">
        <f ca="1">IFERROR(__xludf.DUMMYFUNCTION("""COMPUTED_VALUE"""),"Desktop Computer – (MSI PRO DP180)")</f>
        <v>Desktop Computer – (MSI PRO DP180)</v>
      </c>
      <c r="D3089" s="164" t="str">
        <f ca="1">IFERROR(__xludf.DUMMYFUNCTION("""COMPUTED_VALUE"""),"₱ 49,300.00")</f>
        <v>₱ 49,300.00</v>
      </c>
      <c r="E3089" s="164"/>
      <c r="F3089" s="164" t="str">
        <f ca="1">IFERROR(__xludf.DUMMYFUNCTION("""COMPUTED_VALUE"""),"HV-SPLIT-102-24-05-01-331-01")</f>
        <v>HV-SPLIT-102-24-05-01-331-01</v>
      </c>
      <c r="G3089" s="164"/>
      <c r="H3089" s="164" t="str">
        <f ca="1">IFERROR(__xludf.DUMMYFUNCTION("""COMPUTED_VALUE"""),"AMIEL D. SABILLO")</f>
        <v>AMIEL D. SABILLO</v>
      </c>
      <c r="I3089" s="164"/>
      <c r="J3089" s="164"/>
      <c r="K3089" s="164" t="str">
        <f ca="1">IFERROR(__xludf.DUMMYFUNCTION("""COMPUTED_VALUE"""),"AMIEL D. SABILLO")</f>
        <v>AMIEL D. SABILLO</v>
      </c>
      <c r="L3089" s="164"/>
      <c r="M3089" s="164"/>
      <c r="N3089" s="164"/>
    </row>
    <row r="3090" spans="1:14" ht="13.2" hidden="1">
      <c r="A3090" s="164" t="str">
        <f ca="1">IFERROR(__xludf.DUMMYFUNCTION("""COMPUTED_VALUE"""),"REGION VIII")</f>
        <v>REGION VIII</v>
      </c>
      <c r="B3090" s="164" t="str">
        <f ca="1">IFERROR(__xludf.DUMMYFUNCTION("""COMPUTED_VALUE"""),"Northern Samar")</f>
        <v>Northern Samar</v>
      </c>
      <c r="C3090" s="164" t="str">
        <f ca="1">IFERROR(__xludf.DUMMYFUNCTION("""COMPUTED_VALUE"""),"Desktop Computer – (MSI PRO DP180)")</f>
        <v>Desktop Computer – (MSI PRO DP180)</v>
      </c>
      <c r="D3090" s="164" t="str">
        <f ca="1">IFERROR(__xludf.DUMMYFUNCTION("""COMPUTED_VALUE"""),"₱ 49,300.00")</f>
        <v>₱ 49,300.00</v>
      </c>
      <c r="E3090" s="164"/>
      <c r="F3090" s="164" t="str">
        <f ca="1">IFERROR(__xludf.DUMMYFUNCTION("""COMPUTED_VALUE"""),"HV-SPLIT-102-24-05-01-332-01")</f>
        <v>HV-SPLIT-102-24-05-01-332-01</v>
      </c>
      <c r="G3090" s="164"/>
      <c r="H3090" s="164" t="str">
        <f ca="1">IFERROR(__xludf.DUMMYFUNCTION("""COMPUTED_VALUE"""),"AMIEL D. SABILLO")</f>
        <v>AMIEL D. SABILLO</v>
      </c>
      <c r="I3090" s="164"/>
      <c r="J3090" s="164"/>
      <c r="K3090" s="164" t="str">
        <f ca="1">IFERROR(__xludf.DUMMYFUNCTION("""COMPUTED_VALUE"""),"AMIEL D. SABILLO")</f>
        <v>AMIEL D. SABILLO</v>
      </c>
      <c r="L3090" s="164"/>
      <c r="M3090" s="164"/>
      <c r="N3090" s="164"/>
    </row>
    <row r="3091" spans="1:14" ht="13.2" hidden="1">
      <c r="A3091" s="164" t="str">
        <f ca="1">IFERROR(__xludf.DUMMYFUNCTION("""COMPUTED_VALUE"""),"REGION VIII")</f>
        <v>REGION VIII</v>
      </c>
      <c r="B3091" s="164" t="str">
        <f ca="1">IFERROR(__xludf.DUMMYFUNCTION("""COMPUTED_VALUE"""),"Northern Samar")</f>
        <v>Northern Samar</v>
      </c>
      <c r="C3091" s="164" t="str">
        <f ca="1">IFERROR(__xludf.DUMMYFUNCTION("""COMPUTED_VALUE"""),"Desktop Computer – (MSI PRO DP180)")</f>
        <v>Desktop Computer – (MSI PRO DP180)</v>
      </c>
      <c r="D3091" s="164" t="str">
        <f ca="1">IFERROR(__xludf.DUMMYFUNCTION("""COMPUTED_VALUE"""),"₱ 49,300.00")</f>
        <v>₱ 49,300.00</v>
      </c>
      <c r="E3091" s="164"/>
      <c r="F3091" s="164" t="str">
        <f ca="1">IFERROR(__xludf.DUMMYFUNCTION("""COMPUTED_VALUE"""),"HV-SPLIT-102-24-05-01-333-01")</f>
        <v>HV-SPLIT-102-24-05-01-333-01</v>
      </c>
      <c r="G3091" s="164"/>
      <c r="H3091" s="164" t="str">
        <f ca="1">IFERROR(__xludf.DUMMYFUNCTION("""COMPUTED_VALUE"""),"AMIEL D. SABILLO")</f>
        <v>AMIEL D. SABILLO</v>
      </c>
      <c r="I3091" s="164"/>
      <c r="J3091" s="164"/>
      <c r="K3091" s="164" t="str">
        <f ca="1">IFERROR(__xludf.DUMMYFUNCTION("""COMPUTED_VALUE"""),"AMIEL D. SABILLO")</f>
        <v>AMIEL D. SABILLO</v>
      </c>
      <c r="L3091" s="164"/>
      <c r="M3091" s="164"/>
      <c r="N3091" s="164"/>
    </row>
    <row r="3092" spans="1:14" ht="13.2" hidden="1">
      <c r="A3092" s="164" t="str">
        <f ca="1">IFERROR(__xludf.DUMMYFUNCTION("""COMPUTED_VALUE"""),"REGION VIII")</f>
        <v>REGION VIII</v>
      </c>
      <c r="B3092" s="164" t="str">
        <f ca="1">IFERROR(__xludf.DUMMYFUNCTION("""COMPUTED_VALUE"""),"Northern Samar")</f>
        <v>Northern Samar</v>
      </c>
      <c r="C3092" s="164" t="str">
        <f ca="1">IFERROR(__xludf.DUMMYFUNCTION("""COMPUTED_VALUE"""),"Desktop Computer – (MSI PRO DP180)")</f>
        <v>Desktop Computer – (MSI PRO DP180)</v>
      </c>
      <c r="D3092" s="164" t="str">
        <f ca="1">IFERROR(__xludf.DUMMYFUNCTION("""COMPUTED_VALUE"""),"₱ 49,300.00")</f>
        <v>₱ 49,300.00</v>
      </c>
      <c r="E3092" s="164"/>
      <c r="F3092" s="164" t="str">
        <f ca="1">IFERROR(__xludf.DUMMYFUNCTION("""COMPUTED_VALUE"""),"HV-SPLIT-102-24-05-01-334-01")</f>
        <v>HV-SPLIT-102-24-05-01-334-01</v>
      </c>
      <c r="G3092" s="164"/>
      <c r="H3092" s="164" t="str">
        <f ca="1">IFERROR(__xludf.DUMMYFUNCTION("""COMPUTED_VALUE"""),"AMIEL D. SABILLO")</f>
        <v>AMIEL D. SABILLO</v>
      </c>
      <c r="I3092" s="164"/>
      <c r="J3092" s="164"/>
      <c r="K3092" s="164" t="str">
        <f ca="1">IFERROR(__xludf.DUMMYFUNCTION("""COMPUTED_VALUE"""),"AMIEL D. SABILLO")</f>
        <v>AMIEL D. SABILLO</v>
      </c>
      <c r="L3092" s="164"/>
      <c r="M3092" s="164"/>
      <c r="N3092" s="164"/>
    </row>
    <row r="3093" spans="1:14" ht="13.2" hidden="1">
      <c r="A3093" s="164" t="str">
        <f ca="1">IFERROR(__xludf.DUMMYFUNCTION("""COMPUTED_VALUE"""),"REGION VIII")</f>
        <v>REGION VIII</v>
      </c>
      <c r="B3093" s="164" t="str">
        <f ca="1">IFERROR(__xludf.DUMMYFUNCTION("""COMPUTED_VALUE"""),"Northern Samar")</f>
        <v>Northern Samar</v>
      </c>
      <c r="C3093" s="164" t="str">
        <f ca="1">IFERROR(__xludf.DUMMYFUNCTION("""COMPUTED_VALUE"""),"Desktop Computer – (MSI PRO DP180)")</f>
        <v>Desktop Computer – (MSI PRO DP180)</v>
      </c>
      <c r="D3093" s="164" t="str">
        <f ca="1">IFERROR(__xludf.DUMMYFUNCTION("""COMPUTED_VALUE"""),"₱ 49,300.00")</f>
        <v>₱ 49,300.00</v>
      </c>
      <c r="E3093" s="164"/>
      <c r="F3093" s="164" t="str">
        <f ca="1">IFERROR(__xludf.DUMMYFUNCTION("""COMPUTED_VALUE"""),"HV-SPLIT-102-24-05-01-335-01")</f>
        <v>HV-SPLIT-102-24-05-01-335-01</v>
      </c>
      <c r="G3093" s="164"/>
      <c r="H3093" s="164" t="str">
        <f ca="1">IFERROR(__xludf.DUMMYFUNCTION("""COMPUTED_VALUE"""),"AMIEL D. SABILLO")</f>
        <v>AMIEL D. SABILLO</v>
      </c>
      <c r="I3093" s="164"/>
      <c r="J3093" s="164"/>
      <c r="K3093" s="164" t="str">
        <f ca="1">IFERROR(__xludf.DUMMYFUNCTION("""COMPUTED_VALUE"""),"AMIEL D. SABILLO")</f>
        <v>AMIEL D. SABILLO</v>
      </c>
      <c r="L3093" s="164"/>
      <c r="M3093" s="164"/>
      <c r="N3093" s="164"/>
    </row>
    <row r="3094" spans="1:14" ht="13.2" hidden="1">
      <c r="A3094" s="164" t="str">
        <f ca="1">IFERROR(__xludf.DUMMYFUNCTION("""COMPUTED_VALUE"""),"REGION VIII")</f>
        <v>REGION VIII</v>
      </c>
      <c r="B3094" s="164" t="str">
        <f ca="1">IFERROR(__xludf.DUMMYFUNCTION("""COMPUTED_VALUE"""),"Northern Samar")</f>
        <v>Northern Samar</v>
      </c>
      <c r="C3094" s="164" t="str">
        <f ca="1">IFERROR(__xludf.DUMMYFUNCTION("""COMPUTED_VALUE"""),"Desktop Computer – (MSI PRO DP180)")</f>
        <v>Desktop Computer – (MSI PRO DP180)</v>
      </c>
      <c r="D3094" s="164" t="str">
        <f ca="1">IFERROR(__xludf.DUMMYFUNCTION("""COMPUTED_VALUE"""),"₱ 49,300.00")</f>
        <v>₱ 49,300.00</v>
      </c>
      <c r="E3094" s="164"/>
      <c r="F3094" s="164" t="str">
        <f ca="1">IFERROR(__xludf.DUMMYFUNCTION("""COMPUTED_VALUE"""),"HV-SPLIT-102-24-05-01-336-01")</f>
        <v>HV-SPLIT-102-24-05-01-336-01</v>
      </c>
      <c r="G3094" s="164"/>
      <c r="H3094" s="164" t="str">
        <f ca="1">IFERROR(__xludf.DUMMYFUNCTION("""COMPUTED_VALUE"""),"AMIEL D. SABILLO")</f>
        <v>AMIEL D. SABILLO</v>
      </c>
      <c r="I3094" s="164"/>
      <c r="J3094" s="164"/>
      <c r="K3094" s="164" t="str">
        <f ca="1">IFERROR(__xludf.DUMMYFUNCTION("""COMPUTED_VALUE"""),"AMIEL D. SABILLO")</f>
        <v>AMIEL D. SABILLO</v>
      </c>
      <c r="L3094" s="164"/>
      <c r="M3094" s="164"/>
      <c r="N3094" s="164"/>
    </row>
    <row r="3095" spans="1:14" ht="13.2" hidden="1">
      <c r="A3095" s="164" t="str">
        <f ca="1">IFERROR(__xludf.DUMMYFUNCTION("""COMPUTED_VALUE"""),"REGION VIII")</f>
        <v>REGION VIII</v>
      </c>
      <c r="B3095" s="164" t="str">
        <f ca="1">IFERROR(__xludf.DUMMYFUNCTION("""COMPUTED_VALUE"""),"Northern Samar")</f>
        <v>Northern Samar</v>
      </c>
      <c r="C3095" s="164" t="str">
        <f ca="1">IFERROR(__xludf.DUMMYFUNCTION("""COMPUTED_VALUE"""),"Desktop Computer – (MSI PRO DP180)")</f>
        <v>Desktop Computer – (MSI PRO DP180)</v>
      </c>
      <c r="D3095" s="164" t="str">
        <f ca="1">IFERROR(__xludf.DUMMYFUNCTION("""COMPUTED_VALUE"""),"₱ 49,300.00")</f>
        <v>₱ 49,300.00</v>
      </c>
      <c r="E3095" s="164"/>
      <c r="F3095" s="164" t="str">
        <f ca="1">IFERROR(__xludf.DUMMYFUNCTION("""COMPUTED_VALUE"""),"HV-SPLIT-102-24-05-01-337-01")</f>
        <v>HV-SPLIT-102-24-05-01-337-01</v>
      </c>
      <c r="G3095" s="164"/>
      <c r="H3095" s="164" t="str">
        <f ca="1">IFERROR(__xludf.DUMMYFUNCTION("""COMPUTED_VALUE"""),"AMIEL D. SABILLO")</f>
        <v>AMIEL D. SABILLO</v>
      </c>
      <c r="I3095" s="164"/>
      <c r="J3095" s="164"/>
      <c r="K3095" s="164" t="str">
        <f ca="1">IFERROR(__xludf.DUMMYFUNCTION("""COMPUTED_VALUE"""),"AMIEL D. SABILLO")</f>
        <v>AMIEL D. SABILLO</v>
      </c>
      <c r="L3095" s="164"/>
      <c r="M3095" s="164"/>
      <c r="N3095" s="164"/>
    </row>
    <row r="3096" spans="1:14" ht="13.2" hidden="1">
      <c r="A3096" s="164" t="str">
        <f ca="1">IFERROR(__xludf.DUMMYFUNCTION("""COMPUTED_VALUE"""),"REGION VIII")</f>
        <v>REGION VIII</v>
      </c>
      <c r="B3096" s="164" t="str">
        <f ca="1">IFERROR(__xludf.DUMMYFUNCTION("""COMPUTED_VALUE"""),"Northern Samar")</f>
        <v>Northern Samar</v>
      </c>
      <c r="C3096" s="164" t="str">
        <f ca="1">IFERROR(__xludf.DUMMYFUNCTION("""COMPUTED_VALUE"""),"Desktop Computer – (MSI PRO DP180)")</f>
        <v>Desktop Computer – (MSI PRO DP180)</v>
      </c>
      <c r="D3096" s="164" t="str">
        <f ca="1">IFERROR(__xludf.DUMMYFUNCTION("""COMPUTED_VALUE"""),"₱ 49,300.00")</f>
        <v>₱ 49,300.00</v>
      </c>
      <c r="E3096" s="164"/>
      <c r="F3096" s="164" t="str">
        <f ca="1">IFERROR(__xludf.DUMMYFUNCTION("""COMPUTED_VALUE"""),"HV-SPLIT-102-24-05-01-068-01")</f>
        <v>HV-SPLIT-102-24-05-01-068-01</v>
      </c>
      <c r="G3096" s="164"/>
      <c r="H3096" s="164" t="str">
        <f ca="1">IFERROR(__xludf.DUMMYFUNCTION("""COMPUTED_VALUE"""),"AMIEL D. SABILLO")</f>
        <v>AMIEL D. SABILLO</v>
      </c>
      <c r="I3096" s="164"/>
      <c r="J3096" s="164"/>
      <c r="K3096" s="164" t="str">
        <f ca="1">IFERROR(__xludf.DUMMYFUNCTION("""COMPUTED_VALUE"""),"AMIEL D. SABILLO")</f>
        <v>AMIEL D. SABILLO</v>
      </c>
      <c r="L3096" s="164"/>
      <c r="M3096" s="164"/>
      <c r="N3096" s="164"/>
    </row>
    <row r="3097" spans="1:14" ht="13.2" hidden="1">
      <c r="A3097" s="164" t="str">
        <f ca="1">IFERROR(__xludf.DUMMYFUNCTION("""COMPUTED_VALUE"""),"REGION VIII")</f>
        <v>REGION VIII</v>
      </c>
      <c r="B3097" s="164" t="str">
        <f ca="1">IFERROR(__xludf.DUMMYFUNCTION("""COMPUTED_VALUE"""),"Northern Samar")</f>
        <v>Northern Samar</v>
      </c>
      <c r="C3097" s="164" t="str">
        <f ca="1">IFERROR(__xludf.DUMMYFUNCTION("""COMPUTED_VALUE"""),"Desktop Computer – (MSI PRO DP180)")</f>
        <v>Desktop Computer – (MSI PRO DP180)</v>
      </c>
      <c r="D3097" s="164" t="str">
        <f ca="1">IFERROR(__xludf.DUMMYFUNCTION("""COMPUTED_VALUE"""),"₱ 49,300.00")</f>
        <v>₱ 49,300.00</v>
      </c>
      <c r="E3097" s="164"/>
      <c r="F3097" s="164" t="str">
        <f ca="1">IFERROR(__xludf.DUMMYFUNCTION("""COMPUTED_VALUE"""),"HV-SPLIT-102-24-05-01-069-01")</f>
        <v>HV-SPLIT-102-24-05-01-069-01</v>
      </c>
      <c r="G3097" s="164"/>
      <c r="H3097" s="164" t="str">
        <f ca="1">IFERROR(__xludf.DUMMYFUNCTION("""COMPUTED_VALUE"""),"AMIEL D. SABILLO")</f>
        <v>AMIEL D. SABILLO</v>
      </c>
      <c r="I3097" s="164"/>
      <c r="J3097" s="164"/>
      <c r="K3097" s="164" t="str">
        <f ca="1">IFERROR(__xludf.DUMMYFUNCTION("""COMPUTED_VALUE"""),"AMIEL D. SABILLO")</f>
        <v>AMIEL D. SABILLO</v>
      </c>
      <c r="L3097" s="164"/>
      <c r="M3097" s="164"/>
      <c r="N3097" s="164"/>
    </row>
    <row r="3098" spans="1:14" ht="13.2" hidden="1">
      <c r="A3098" s="164" t="str">
        <f ca="1">IFERROR(__xludf.DUMMYFUNCTION("""COMPUTED_VALUE"""),"REGION VIII")</f>
        <v>REGION VIII</v>
      </c>
      <c r="B3098" s="164" t="str">
        <f ca="1">IFERROR(__xludf.DUMMYFUNCTION("""COMPUTED_VALUE"""),"Regional Office")</f>
        <v>Regional Office</v>
      </c>
      <c r="C3098" s="164" t="str">
        <f ca="1">IFERROR(__xludf.DUMMYFUNCTION("""COMPUTED_VALUE"""),"Double Cabin Pick-up Vehicles – Mitsubishi Strada")</f>
        <v>Double Cabin Pick-up Vehicles – Mitsubishi Strada</v>
      </c>
      <c r="D3098" s="164" t="str">
        <f ca="1">IFERROR(__xludf.DUMMYFUNCTION("""COMPUTED_VALUE"""),"₱ 1,752,400.00")</f>
        <v>₱ 1,752,400.00</v>
      </c>
      <c r="E3098" s="164"/>
      <c r="F3098" s="164" t="str">
        <f ca="1">IFERROR(__xludf.DUMMYFUNCTION("""COMPUTED_VALUE"""),"2023-06-01-1020ISP-101-01")</f>
        <v>2023-06-01-1020ISP-101-01</v>
      </c>
      <c r="G3098" s="164" t="str">
        <f ca="1">IFERROR(__xludf.DUMMYFUNCTION("""COMPUTED_VALUE"""),"SNC 1221")</f>
        <v>SNC 1221</v>
      </c>
      <c r="H3098" s="164" t="str">
        <f ca="1">IFERROR(__xludf.DUMMYFUNCTION("""COMPUTED_VALUE"""),"ATTY. ROBERT ANTHONY P. YU")</f>
        <v>ATTY. ROBERT ANTHONY P. YU</v>
      </c>
      <c r="I3098" s="164" t="str">
        <f ca="1">IFERROR(__xludf.DUMMYFUNCTION("""COMPUTED_VALUE"""),"REGIONAL DIRECTOR")</f>
        <v>REGIONAL DIRECTOR</v>
      </c>
      <c r="J3098" s="164" t="str">
        <f ca="1">IFERROR(__xludf.DUMMYFUNCTION("""COMPUTED_VALUE"""),"PS-M-2023-06-01-002")</f>
        <v>PS-M-2023-06-01-002</v>
      </c>
      <c r="K3098" s="164" t="str">
        <f ca="1">IFERROR(__xludf.DUMMYFUNCTION("""COMPUTED_VALUE"""),"ATTY. ROBERT ANTHONY P. YU")</f>
        <v>ATTY. ROBERT ANTHONY P. YU</v>
      </c>
      <c r="L3098" s="164" t="str">
        <f ca="1">IFERROR(__xludf.DUMMYFUNCTION("""COMPUTED_VALUE"""),"RD's Office")</f>
        <v>RD's Office</v>
      </c>
      <c r="M3098" s="164" t="str">
        <f ca="1">IFERROR(__xludf.DUMMYFUNCTION("""COMPUTED_VALUE"""),"SERVICEABLE")</f>
        <v>SERVICEABLE</v>
      </c>
      <c r="N3098" s="164"/>
    </row>
    <row r="3099" spans="1:14" ht="13.2" hidden="1">
      <c r="A3099" s="164" t="str">
        <f ca="1">IFERROR(__xludf.DUMMYFUNCTION("""COMPUTED_VALUE"""),"REGION VIII")</f>
        <v>REGION VIII</v>
      </c>
      <c r="B3099" s="164" t="str">
        <f ca="1">IFERROR(__xludf.DUMMYFUNCTION("""COMPUTED_VALUE"""),"Regional Office")</f>
        <v>Regional Office</v>
      </c>
      <c r="C3099" s="164" t="str">
        <f ca="1">IFERROR(__xludf.DUMMYFUNCTION("""COMPUTED_VALUE"""),"Double Cabin Pick-up Vehicles – Mitsubishi Strada")</f>
        <v>Double Cabin Pick-up Vehicles – Mitsubishi Strada</v>
      </c>
      <c r="D3099" s="164" t="str">
        <f ca="1">IFERROR(__xludf.DUMMYFUNCTION("""COMPUTED_VALUE"""),"₱ 1,752,400.00")</f>
        <v>₱ 1,752,400.00</v>
      </c>
      <c r="E3099" s="164"/>
      <c r="F3099" s="164" t="str">
        <f ca="1">IFERROR(__xludf.DUMMYFUNCTION("""COMPUTED_VALUE"""),"2023-06-01-1020ISP-100-01")</f>
        <v>2023-06-01-1020ISP-100-01</v>
      </c>
      <c r="G3099" s="164" t="str">
        <f ca="1">IFERROR(__xludf.DUMMYFUNCTION("""COMPUTED_VALUE"""),"SNC 1200")</f>
        <v>SNC 1200</v>
      </c>
      <c r="H3099" s="164" t="str">
        <f ca="1">IFERROR(__xludf.DUMMYFUNCTION("""COMPUTED_VALUE"""),"ATTY. VIRGILIO L. ROSACAY")</f>
        <v>ATTY. VIRGILIO L. ROSACAY</v>
      </c>
      <c r="I3099" s="164" t="str">
        <f ca="1">IFERROR(__xludf.DUMMYFUNCTION("""COMPUTED_VALUE"""),"Regional Agrarian Reform Adjudicator")</f>
        <v>Regional Agrarian Reform Adjudicator</v>
      </c>
      <c r="J3099" s="164" t="str">
        <f ca="1">IFERROR(__xludf.DUMMYFUNCTION("""COMPUTED_VALUE"""),"PS-M-2023-06-01-004")</f>
        <v>PS-M-2023-06-01-004</v>
      </c>
      <c r="K3099" s="164" t="str">
        <f ca="1">IFERROR(__xludf.DUMMYFUNCTION("""COMPUTED_VALUE"""),"ATTY. VIRGILIO L. ROSACAY")</f>
        <v>ATTY. VIRGILIO L. ROSACAY</v>
      </c>
      <c r="L3099" s="164" t="str">
        <f ca="1">IFERROR(__xludf.DUMMYFUNCTION("""COMPUTED_VALUE"""),"RARAD Office")</f>
        <v>RARAD Office</v>
      </c>
      <c r="M3099" s="164" t="str">
        <f ca="1">IFERROR(__xludf.DUMMYFUNCTION("""COMPUTED_VALUE"""),"SERVICEABLE")</f>
        <v>SERVICEABLE</v>
      </c>
      <c r="N3099" s="164"/>
    </row>
    <row r="3100" spans="1:14" ht="13.2" hidden="1">
      <c r="A3100" s="164" t="str">
        <f ca="1">IFERROR(__xludf.DUMMYFUNCTION("""COMPUTED_VALUE"""),"REGION VIII")</f>
        <v>REGION VIII</v>
      </c>
      <c r="B3100" s="164" t="str">
        <f ca="1">IFERROR(__xludf.DUMMYFUNCTION("""COMPUTED_VALUE"""),"Regional Office")</f>
        <v>Regional Office</v>
      </c>
      <c r="C3100" s="164" t="str">
        <f ca="1">IFERROR(__xludf.DUMMYFUNCTION("""COMPUTED_VALUE"""),"Double Cabin Pick-up Vehicles – Mitsubishi Strada")</f>
        <v>Double Cabin Pick-up Vehicles – Mitsubishi Strada</v>
      </c>
      <c r="D3100" s="164" t="str">
        <f ca="1">IFERROR(__xludf.DUMMYFUNCTION("""COMPUTED_VALUE"""),"₱ 1,752,400.00")</f>
        <v>₱ 1,752,400.00</v>
      </c>
      <c r="E3100" s="164"/>
      <c r="F3100" s="164" t="str">
        <f ca="1">IFERROR(__xludf.DUMMYFUNCTION("""COMPUTED_VALUE"""),"2023-06-01-1020ISP-147-01")</f>
        <v>2023-06-01-1020ISP-147-01</v>
      </c>
      <c r="G3100" s="164" t="str">
        <f ca="1">IFERROR(__xludf.DUMMYFUNCTION("""COMPUTED_VALUE"""),"SNC 1145/NFX 2072")</f>
        <v>SNC 1145/NFX 2072</v>
      </c>
      <c r="H3100" s="164" t="str">
        <f ca="1">IFERROR(__xludf.DUMMYFUNCTION("""COMPUTED_VALUE"""),"JOHN RAFAEL T. GADAINGAN")</f>
        <v>JOHN RAFAEL T. GADAINGAN</v>
      </c>
      <c r="I3100" s="164" t="str">
        <f ca="1">IFERROR(__xludf.DUMMYFUNCTION("""COMPUTED_VALUE"""),"ARPO I")</f>
        <v>ARPO I</v>
      </c>
      <c r="J3100" s="164" t="str">
        <f ca="1">IFERROR(__xludf.DUMMYFUNCTION("""COMPUTED_VALUE"""),"PS-M-2023-06-01-003")</f>
        <v>PS-M-2023-06-01-003</v>
      </c>
      <c r="K3100" s="164" t="str">
        <f ca="1">IFERROR(__xludf.DUMMYFUNCTION("""COMPUTED_VALUE"""),"JOHN RAFAEL T. GADAINGAN")</f>
        <v>JOHN RAFAEL T. GADAINGAN</v>
      </c>
      <c r="L3100" s="164" t="str">
        <f ca="1">IFERROR(__xludf.DUMMYFUNCTION("""COMPUTED_VALUE"""),"ARDA'S Office")</f>
        <v>ARDA'S Office</v>
      </c>
      <c r="M3100" s="164" t="str">
        <f ca="1">IFERROR(__xludf.DUMMYFUNCTION("""COMPUTED_VALUE"""),"SERVICEABLE")</f>
        <v>SERVICEABLE</v>
      </c>
      <c r="N3100" s="164"/>
    </row>
    <row r="3101" spans="1:14" ht="13.2" hidden="1">
      <c r="A3101" s="164" t="str">
        <f ca="1">IFERROR(__xludf.DUMMYFUNCTION("""COMPUTED_VALUE"""),"REGION VIII")</f>
        <v>REGION VIII</v>
      </c>
      <c r="B3101" s="164" t="str">
        <f ca="1">IFERROR(__xludf.DUMMYFUNCTION("""COMPUTED_VALUE"""),"Regional Office")</f>
        <v>Regional Office</v>
      </c>
      <c r="C3101" s="164" t="str">
        <f ca="1">IFERROR(__xludf.DUMMYFUNCTION("""COMPUTED_VALUE"""),"Double Cabin Pick-up Vehicles – Mitsubishi Strada")</f>
        <v>Double Cabin Pick-up Vehicles – Mitsubishi Strada</v>
      </c>
      <c r="D3101" s="164" t="str">
        <f ca="1">IFERROR(__xludf.DUMMYFUNCTION("""COMPUTED_VALUE"""),"₱ 1,752,400.00")</f>
        <v>₱ 1,752,400.00</v>
      </c>
      <c r="E3101" s="164"/>
      <c r="F3101" s="164" t="str">
        <f ca="1">IFERROR(__xludf.DUMMYFUNCTION("""COMPUTED_VALUE"""),"2023-06-01-1020ISP-146-01")</f>
        <v>2023-06-01-1020ISP-146-01</v>
      </c>
      <c r="G3101" s="164" t="str">
        <f ca="1">IFERROR(__xludf.DUMMYFUNCTION("""COMPUTED_VALUE"""),"SNC 1137")</f>
        <v>SNC 1137</v>
      </c>
      <c r="H3101" s="164" t="str">
        <f ca="1">IFERROR(__xludf.DUMMYFUNCTION("""COMPUTED_VALUE"""),"RENATO G. BADILLA")</f>
        <v>RENATO G. BADILLA</v>
      </c>
      <c r="I3101" s="164" t="str">
        <f ca="1">IFERROR(__xludf.DUMMYFUNCTION("""COMPUTED_VALUE"""),"ARD for Operation")</f>
        <v>ARD for Operation</v>
      </c>
      <c r="J3101" s="164" t="str">
        <f ca="1">IFERROR(__xludf.DUMMYFUNCTION("""COMPUTED_VALUE"""),"PS-M-2023-06-01-001")</f>
        <v>PS-M-2023-06-01-001</v>
      </c>
      <c r="K3101" s="164" t="str">
        <f ca="1">IFERROR(__xludf.DUMMYFUNCTION("""COMPUTED_VALUE"""),"RENATO G. BADILLA")</f>
        <v>RENATO G. BADILLA</v>
      </c>
      <c r="L3101" s="164" t="str">
        <f ca="1">IFERROR(__xludf.DUMMYFUNCTION("""COMPUTED_VALUE"""),"ARDO's Office")</f>
        <v>ARDO's Office</v>
      </c>
      <c r="M3101" s="164" t="str">
        <f ca="1">IFERROR(__xludf.DUMMYFUNCTION("""COMPUTED_VALUE"""),"SERVICEABLE")</f>
        <v>SERVICEABLE</v>
      </c>
      <c r="N3101" s="164"/>
    </row>
    <row r="3102" spans="1:14" ht="13.2" hidden="1">
      <c r="A3102" s="164" t="str">
        <f ca="1">IFERROR(__xludf.DUMMYFUNCTION("""COMPUTED_VALUE"""),"REGION VIII")</f>
        <v>REGION VIII</v>
      </c>
      <c r="B3102" s="164" t="str">
        <f ca="1">IFERROR(__xludf.DUMMYFUNCTION("""COMPUTED_VALUE"""),"Biliran")</f>
        <v>Biliran</v>
      </c>
      <c r="C3102" s="164" t="str">
        <f ca="1">IFERROR(__xludf.DUMMYFUNCTION("""COMPUTED_VALUE"""),"Motorcycle – (Honda XRL 150)")</f>
        <v>Motorcycle – (Honda XRL 150)</v>
      </c>
      <c r="D3102" s="164" t="str">
        <f ca="1">IFERROR(__xludf.DUMMYFUNCTION("""COMPUTED_VALUE"""),"₱ 124,900.00")</f>
        <v>₱ 124,900.00</v>
      </c>
      <c r="E3102" s="164"/>
      <c r="F3102" s="164" t="str">
        <f ca="1">IFERROR(__xludf.DUMMYFUNCTION("""COMPUTED_VALUE"""),"2023-06-01-10202SP-436-01")</f>
        <v>2023-06-01-10202SP-436-01</v>
      </c>
      <c r="G3102" s="164"/>
      <c r="H3102" s="164" t="str">
        <f ca="1">IFERROR(__xludf.DUMMYFUNCTION("""COMPUTED_VALUE"""),"YURI PAUL ADRIAN M. TERAZA")</f>
        <v>YURI PAUL ADRIAN M. TERAZA</v>
      </c>
      <c r="I3102" s="164" t="str">
        <f ca="1">IFERROR(__xludf.DUMMYFUNCTION("""COMPUTED_VALUE"""),"SARPT")</f>
        <v>SARPT</v>
      </c>
      <c r="J3102" s="164"/>
      <c r="K3102" s="164" t="str">
        <f ca="1">IFERROR(__xludf.DUMMYFUNCTION("""COMPUTED_VALUE"""),"YURI PAUL ADRIAN M. TERAZA")</f>
        <v>YURI PAUL ADRIAN M. TERAZA</v>
      </c>
      <c r="L3102" s="164" t="str">
        <f ca="1">IFERROR(__xludf.DUMMYFUNCTION("""COMPUTED_VALUE"""),"LTSP/SPLIT")</f>
        <v>LTSP/SPLIT</v>
      </c>
      <c r="M3102" s="164" t="str">
        <f ca="1">IFERROR(__xludf.DUMMYFUNCTION("""COMPUTED_VALUE"""),"SERVICEABLE")</f>
        <v>SERVICEABLE</v>
      </c>
      <c r="N3102" s="164"/>
    </row>
    <row r="3103" spans="1:14" ht="13.2" hidden="1">
      <c r="A3103" s="164" t="str">
        <f ca="1">IFERROR(__xludf.DUMMYFUNCTION("""COMPUTED_VALUE"""),"REGION VIII")</f>
        <v>REGION VIII</v>
      </c>
      <c r="B3103" s="164" t="str">
        <f ca="1">IFERROR(__xludf.DUMMYFUNCTION("""COMPUTED_VALUE"""),"Biliran")</f>
        <v>Biliran</v>
      </c>
      <c r="C3103" s="164" t="str">
        <f ca="1">IFERROR(__xludf.DUMMYFUNCTION("""COMPUTED_VALUE"""),"Motorcycle – (Honda XRL 150)")</f>
        <v>Motorcycle – (Honda XRL 150)</v>
      </c>
      <c r="D3103" s="164" t="str">
        <f ca="1">IFERROR(__xludf.DUMMYFUNCTION("""COMPUTED_VALUE"""),"₱ 124,900.00")</f>
        <v>₱ 124,900.00</v>
      </c>
      <c r="E3103" s="164"/>
      <c r="F3103" s="164" t="str">
        <f ca="1">IFERROR(__xludf.DUMMYFUNCTION("""COMPUTED_VALUE"""),"2023-06-01-10202SP-440-01")</f>
        <v>2023-06-01-10202SP-440-01</v>
      </c>
      <c r="G3103" s="164"/>
      <c r="H3103" s="164" t="str">
        <f ca="1">IFERROR(__xludf.DUMMYFUNCTION("""COMPUTED_VALUE"""),"RAMELL B. PIO")</f>
        <v>RAMELL B. PIO</v>
      </c>
      <c r="I3103" s="164" t="str">
        <f ca="1">IFERROR(__xludf.DUMMYFUNCTION("""COMPUTED_VALUE"""),"ARPT")</f>
        <v>ARPT</v>
      </c>
      <c r="J3103" s="164"/>
      <c r="K3103" s="164" t="str">
        <f ca="1">IFERROR(__xludf.DUMMYFUNCTION("""COMPUTED_VALUE"""),"RAMELL B. PIO")</f>
        <v>RAMELL B. PIO</v>
      </c>
      <c r="L3103" s="164" t="str">
        <f ca="1">IFERROR(__xludf.DUMMYFUNCTION("""COMPUTED_VALUE"""),"LTSP/SPLIT")</f>
        <v>LTSP/SPLIT</v>
      </c>
      <c r="M3103" s="164" t="str">
        <f ca="1">IFERROR(__xludf.DUMMYFUNCTION("""COMPUTED_VALUE"""),"SERVICEABLE")</f>
        <v>SERVICEABLE</v>
      </c>
      <c r="N3103" s="164"/>
    </row>
    <row r="3104" spans="1:14" ht="13.2" hidden="1">
      <c r="A3104" s="164" t="str">
        <f ca="1">IFERROR(__xludf.DUMMYFUNCTION("""COMPUTED_VALUE"""),"REGION VIII")</f>
        <v>REGION VIII</v>
      </c>
      <c r="B3104" s="164" t="str">
        <f ca="1">IFERROR(__xludf.DUMMYFUNCTION("""COMPUTED_VALUE"""),"Biliran")</f>
        <v>Biliran</v>
      </c>
      <c r="C3104" s="164" t="str">
        <f ca="1">IFERROR(__xludf.DUMMYFUNCTION("""COMPUTED_VALUE"""),"Motorcycle – (Honda XRL 150)")</f>
        <v>Motorcycle – (Honda XRL 150)</v>
      </c>
      <c r="D3104" s="164" t="str">
        <f ca="1">IFERROR(__xludf.DUMMYFUNCTION("""COMPUTED_VALUE"""),"₱ 124,900.00")</f>
        <v>₱ 124,900.00</v>
      </c>
      <c r="E3104" s="164"/>
      <c r="F3104" s="164" t="str">
        <f ca="1">IFERROR(__xludf.DUMMYFUNCTION("""COMPUTED_VALUE"""),"2023-06-01-10202SP-406-01")</f>
        <v>2023-06-01-10202SP-406-01</v>
      </c>
      <c r="G3104" s="164"/>
      <c r="H3104" s="164" t="str">
        <f ca="1">IFERROR(__xludf.DUMMYFUNCTION("""COMPUTED_VALUE"""),"CAROLINE ABAD SUMAYOD")</f>
        <v>CAROLINE ABAD SUMAYOD</v>
      </c>
      <c r="I3104" s="164" t="str">
        <f ca="1">IFERROR(__xludf.DUMMYFUNCTION("""COMPUTED_VALUE"""),"SARPT")</f>
        <v>SARPT</v>
      </c>
      <c r="J3104" s="164"/>
      <c r="K3104" s="164" t="str">
        <f ca="1">IFERROR(__xludf.DUMMYFUNCTION("""COMPUTED_VALUE"""),"CAROLINE ABAD SUMAYOD")</f>
        <v>CAROLINE ABAD SUMAYOD</v>
      </c>
      <c r="L3104" s="164" t="str">
        <f ca="1">IFERROR(__xludf.DUMMYFUNCTION("""COMPUTED_VALUE"""),"LTSP/SPLIT")</f>
        <v>LTSP/SPLIT</v>
      </c>
      <c r="M3104" s="164" t="str">
        <f ca="1">IFERROR(__xludf.DUMMYFUNCTION("""COMPUTED_VALUE"""),"SERVICEABLE")</f>
        <v>SERVICEABLE</v>
      </c>
      <c r="N3104" s="164"/>
    </row>
    <row r="3105" spans="1:14" ht="13.2" hidden="1">
      <c r="A3105" s="164" t="str">
        <f ca="1">IFERROR(__xludf.DUMMYFUNCTION("""COMPUTED_VALUE"""),"REGION VIII")</f>
        <v>REGION VIII</v>
      </c>
      <c r="B3105" s="164" t="str">
        <f ca="1">IFERROR(__xludf.DUMMYFUNCTION("""COMPUTED_VALUE"""),"Biliran")</f>
        <v>Biliran</v>
      </c>
      <c r="C3105" s="164" t="str">
        <f ca="1">IFERROR(__xludf.DUMMYFUNCTION("""COMPUTED_VALUE"""),"Double Cabin Pick-up Vehicles – Mitsubishi Strada")</f>
        <v>Double Cabin Pick-up Vehicles – Mitsubishi Strada</v>
      </c>
      <c r="D3105" s="164" t="str">
        <f ca="1">IFERROR(__xludf.DUMMYFUNCTION("""COMPUTED_VALUE"""),"₱ 124,900.00")</f>
        <v>₱ 124,900.00</v>
      </c>
      <c r="E3105" s="164"/>
      <c r="F3105" s="164" t="str">
        <f ca="1">IFERROR(__xludf.DUMMYFUNCTION("""COMPUTED_VALUE"""),"2023-06-01-1020ISP-102-01")</f>
        <v>2023-06-01-1020ISP-102-01</v>
      </c>
      <c r="G3105" s="164" t="str">
        <f ca="1">IFERROR(__xludf.DUMMYFUNCTION("""COMPUTED_VALUE"""),"SNC 1062")</f>
        <v>SNC 1062</v>
      </c>
      <c r="H3105" s="164" t="str">
        <f ca="1">IFERROR(__xludf.DUMMYFUNCTION("""COMPUTED_VALUE"""),"MA MARITES GADE")</f>
        <v>MA MARITES GADE</v>
      </c>
      <c r="I3105" s="164" t="str">
        <f ca="1">IFERROR(__xludf.DUMMYFUNCTION("""COMPUTED_VALUE"""),"AO IV")</f>
        <v>AO IV</v>
      </c>
      <c r="J3105" s="164" t="str">
        <f ca="1">IFERROR(__xludf.DUMMYFUNCTION("""COMPUTED_VALUE"""),"010-2023")</f>
        <v>010-2023</v>
      </c>
      <c r="K3105" s="164" t="str">
        <f ca="1">IFERROR(__xludf.DUMMYFUNCTION("""COMPUTED_VALUE"""),"GERARDO M PECAYO")</f>
        <v>GERARDO M PECAYO</v>
      </c>
      <c r="L3105" s="164" t="str">
        <f ca="1">IFERROR(__xludf.DUMMYFUNCTION("""COMPUTED_VALUE"""),"DARPO BILIRAN")</f>
        <v>DARPO BILIRAN</v>
      </c>
      <c r="M3105" s="164" t="str">
        <f ca="1">IFERROR(__xludf.DUMMYFUNCTION("""COMPUTED_VALUE"""),"SERVICEABLE")</f>
        <v>SERVICEABLE</v>
      </c>
      <c r="N3105" s="164"/>
    </row>
    <row r="3106" spans="1:14" ht="13.2" hidden="1">
      <c r="A3106" s="164" t="str">
        <f ca="1">IFERROR(__xludf.DUMMYFUNCTION("""COMPUTED_VALUE"""),"REGION VIII")</f>
        <v>REGION VIII</v>
      </c>
      <c r="B3106" s="164" t="str">
        <f ca="1">IFERROR(__xludf.DUMMYFUNCTION("""COMPUTED_VALUE"""),"Eastern Samar")</f>
        <v>Eastern Samar</v>
      </c>
      <c r="C3106" s="164" t="str">
        <f ca="1">IFERROR(__xludf.DUMMYFUNCTION("""COMPUTED_VALUE"""),"Motorcycle – (Honda XRL 150)")</f>
        <v>Motorcycle – (Honda XRL 150)</v>
      </c>
      <c r="D3106" s="164" t="str">
        <f ca="1">IFERROR(__xludf.DUMMYFUNCTION("""COMPUTED_VALUE"""),"₱ 124,900.00")</f>
        <v>₱ 124,900.00</v>
      </c>
      <c r="E3106" s="164"/>
      <c r="F3106" s="164" t="str">
        <f ca="1">IFERROR(__xludf.DUMMYFUNCTION("""COMPUTED_VALUE"""),"2023-06-01-10202SP486-01")</f>
        <v>2023-06-01-10202SP486-01</v>
      </c>
      <c r="G3106" s="164"/>
      <c r="H3106" s="164" t="str">
        <f ca="1">IFERROR(__xludf.DUMMYFUNCTION("""COMPUTED_VALUE"""),"MAGDALENA A. AUTOR")</f>
        <v>MAGDALENA A. AUTOR</v>
      </c>
      <c r="I3106" s="164" t="str">
        <f ca="1">IFERROR(__xludf.DUMMYFUNCTION("""COMPUTED_VALUE"""),"ARPT")</f>
        <v>ARPT</v>
      </c>
      <c r="J3106" s="164" t="str">
        <f ca="1">IFERROR(__xludf.DUMMYFUNCTION("""COMPUTED_VALUE"""),"23014")</f>
        <v>23014</v>
      </c>
      <c r="K3106" s="164" t="str">
        <f ca="1">IFERROR(__xludf.DUMMYFUNCTION("""COMPUTED_VALUE"""),"MAGDALENA A. AUTOR")</f>
        <v>MAGDALENA A. AUTOR</v>
      </c>
      <c r="L3106" s="164" t="str">
        <f ca="1">IFERROR(__xludf.DUMMYFUNCTION("""COMPUTED_VALUE"""),"DARMO - Hernani")</f>
        <v>DARMO - Hernani</v>
      </c>
      <c r="M3106" s="164" t="str">
        <f ca="1">IFERROR(__xludf.DUMMYFUNCTION("""COMPUTED_VALUE"""),"SERVICEABLE")</f>
        <v>SERVICEABLE</v>
      </c>
      <c r="N3106" s="164"/>
    </row>
    <row r="3107" spans="1:14" ht="13.2" hidden="1">
      <c r="A3107" s="164" t="str">
        <f ca="1">IFERROR(__xludf.DUMMYFUNCTION("""COMPUTED_VALUE"""),"REGION VIII")</f>
        <v>REGION VIII</v>
      </c>
      <c r="B3107" s="164" t="str">
        <f ca="1">IFERROR(__xludf.DUMMYFUNCTION("""COMPUTED_VALUE"""),"Eastern Samar")</f>
        <v>Eastern Samar</v>
      </c>
      <c r="C3107" s="164" t="str">
        <f ca="1">IFERROR(__xludf.DUMMYFUNCTION("""COMPUTED_VALUE"""),"Motorcycle – (Honda XRL 150)")</f>
        <v>Motorcycle – (Honda XRL 150)</v>
      </c>
      <c r="D3107" s="164" t="str">
        <f ca="1">IFERROR(__xludf.DUMMYFUNCTION("""COMPUTED_VALUE"""),"₱ 124,900.00")</f>
        <v>₱ 124,900.00</v>
      </c>
      <c r="E3107" s="164"/>
      <c r="F3107" s="164" t="str">
        <f ca="1">IFERROR(__xludf.DUMMYFUNCTION("""COMPUTED_VALUE"""),"2023-06-01-10202SP418-01")</f>
        <v>2023-06-01-10202SP418-01</v>
      </c>
      <c r="G3107" s="164"/>
      <c r="H3107" s="164" t="str">
        <f ca="1">IFERROR(__xludf.DUMMYFUNCTION("""COMPUTED_VALUE"""),"GRACE HOPE LAZARRA")</f>
        <v>GRACE HOPE LAZARRA</v>
      </c>
      <c r="I3107" s="164" t="str">
        <f ca="1">IFERROR(__xludf.DUMMYFUNCTION("""COMPUTED_VALUE"""),"ARPT")</f>
        <v>ARPT</v>
      </c>
      <c r="J3107" s="164" t="str">
        <f ca="1">IFERROR(__xludf.DUMMYFUNCTION("""COMPUTED_VALUE"""),"23003")</f>
        <v>23003</v>
      </c>
      <c r="K3107" s="164" t="str">
        <f ca="1">IFERROR(__xludf.DUMMYFUNCTION("""COMPUTED_VALUE"""),"GRACE HOPE LAZARRA")</f>
        <v>GRACE HOPE LAZARRA</v>
      </c>
      <c r="L3107" s="164" t="str">
        <f ca="1">IFERROR(__xludf.DUMMYFUNCTION("""COMPUTED_VALUE"""),"DARMO - Oras")</f>
        <v>DARMO - Oras</v>
      </c>
      <c r="M3107" s="164" t="str">
        <f ca="1">IFERROR(__xludf.DUMMYFUNCTION("""COMPUTED_VALUE"""),"SERVICEABLE")</f>
        <v>SERVICEABLE</v>
      </c>
      <c r="N3107" s="164"/>
    </row>
    <row r="3108" spans="1:14" ht="13.2" hidden="1">
      <c r="A3108" s="164" t="str">
        <f ca="1">IFERROR(__xludf.DUMMYFUNCTION("""COMPUTED_VALUE"""),"REGION VIII")</f>
        <v>REGION VIII</v>
      </c>
      <c r="B3108" s="164" t="str">
        <f ca="1">IFERROR(__xludf.DUMMYFUNCTION("""COMPUTED_VALUE"""),"Eastern Samar")</f>
        <v>Eastern Samar</v>
      </c>
      <c r="C3108" s="164" t="str">
        <f ca="1">IFERROR(__xludf.DUMMYFUNCTION("""COMPUTED_VALUE"""),"Motorcycle – (Honda XRL 150)")</f>
        <v>Motorcycle – (Honda XRL 150)</v>
      </c>
      <c r="D3108" s="164" t="str">
        <f ca="1">IFERROR(__xludf.DUMMYFUNCTION("""COMPUTED_VALUE"""),"₱ 124,900.00")</f>
        <v>₱ 124,900.00</v>
      </c>
      <c r="E3108" s="164"/>
      <c r="F3108" s="164" t="str">
        <f ca="1">IFERROR(__xludf.DUMMYFUNCTION("""COMPUTED_VALUE"""),"2023-06-01-10202SP441-01")</f>
        <v>2023-06-01-10202SP441-01</v>
      </c>
      <c r="G3108" s="164"/>
      <c r="H3108" s="164" t="str">
        <f ca="1">IFERROR(__xludf.DUMMYFUNCTION("""COMPUTED_VALUE"""),"ALLISON KAYE A. OBON")</f>
        <v>ALLISON KAYE A. OBON</v>
      </c>
      <c r="I3108" s="164" t="str">
        <f ca="1">IFERROR(__xludf.DUMMYFUNCTION("""COMPUTED_VALUE"""),"ARPT")</f>
        <v>ARPT</v>
      </c>
      <c r="J3108" s="164" t="str">
        <f ca="1">IFERROR(__xludf.DUMMYFUNCTION("""COMPUTED_VALUE"""),"23007")</f>
        <v>23007</v>
      </c>
      <c r="K3108" s="164" t="str">
        <f ca="1">IFERROR(__xludf.DUMMYFUNCTION("""COMPUTED_VALUE"""),"ALLISON KAYE A. OBON")</f>
        <v>ALLISON KAYE A. OBON</v>
      </c>
      <c r="L3108" s="164" t="str">
        <f ca="1">IFERROR(__xludf.DUMMYFUNCTION("""COMPUTED_VALUE"""),"LTS")</f>
        <v>LTS</v>
      </c>
      <c r="M3108" s="164" t="str">
        <f ca="1">IFERROR(__xludf.DUMMYFUNCTION("""COMPUTED_VALUE"""),"SERVICEABLE")</f>
        <v>SERVICEABLE</v>
      </c>
      <c r="N3108" s="164"/>
    </row>
    <row r="3109" spans="1:14" ht="13.2" hidden="1">
      <c r="A3109" s="164" t="str">
        <f ca="1">IFERROR(__xludf.DUMMYFUNCTION("""COMPUTED_VALUE"""),"REGION VIII")</f>
        <v>REGION VIII</v>
      </c>
      <c r="B3109" s="164" t="str">
        <f ca="1">IFERROR(__xludf.DUMMYFUNCTION("""COMPUTED_VALUE"""),"Eastern Samar")</f>
        <v>Eastern Samar</v>
      </c>
      <c r="C3109" s="164" t="str">
        <f ca="1">IFERROR(__xludf.DUMMYFUNCTION("""COMPUTED_VALUE"""),"Motorcycle – (Honda XRL 150)")</f>
        <v>Motorcycle – (Honda XRL 150)</v>
      </c>
      <c r="D3109" s="164" t="str">
        <f ca="1">IFERROR(__xludf.DUMMYFUNCTION("""COMPUTED_VALUE"""),"₱ 124,900.00")</f>
        <v>₱ 124,900.00</v>
      </c>
      <c r="E3109" s="164"/>
      <c r="F3109" s="164" t="str">
        <f ca="1">IFERROR(__xludf.DUMMYFUNCTION("""COMPUTED_VALUE"""),"2023-06-01-10202SP409-01")</f>
        <v>2023-06-01-10202SP409-01</v>
      </c>
      <c r="G3109" s="164"/>
      <c r="H3109" s="164" t="str">
        <f ca="1">IFERROR(__xludf.DUMMYFUNCTION("""COMPUTED_VALUE"""),"ELAINE ASTER G. MERRO")</f>
        <v>ELAINE ASTER G. MERRO</v>
      </c>
      <c r="I3109" s="164" t="str">
        <f ca="1">IFERROR(__xludf.DUMMYFUNCTION("""COMPUTED_VALUE"""),"ARPO1")</f>
        <v>ARPO1</v>
      </c>
      <c r="J3109" s="164" t="str">
        <f ca="1">IFERROR(__xludf.DUMMYFUNCTION("""COMPUTED_VALUE"""),"23016")</f>
        <v>23016</v>
      </c>
      <c r="K3109" s="164" t="str">
        <f ca="1">IFERROR(__xludf.DUMMYFUNCTION("""COMPUTED_VALUE"""),"ELAINE ASTER G. MERRO")</f>
        <v>ELAINE ASTER G. MERRO</v>
      </c>
      <c r="L3109" s="164" t="str">
        <f ca="1">IFERROR(__xludf.DUMMYFUNCTION("""COMPUTED_VALUE"""),"DARMO - Lawaan")</f>
        <v>DARMO - Lawaan</v>
      </c>
      <c r="M3109" s="164" t="str">
        <f ca="1">IFERROR(__xludf.DUMMYFUNCTION("""COMPUTED_VALUE"""),"SERVICEABLE")</f>
        <v>SERVICEABLE</v>
      </c>
      <c r="N3109" s="164"/>
    </row>
    <row r="3110" spans="1:14" ht="13.2" hidden="1">
      <c r="A3110" s="164" t="str">
        <f ca="1">IFERROR(__xludf.DUMMYFUNCTION("""COMPUTED_VALUE"""),"REGION VIII")</f>
        <v>REGION VIII</v>
      </c>
      <c r="B3110" s="164" t="str">
        <f ca="1">IFERROR(__xludf.DUMMYFUNCTION("""COMPUTED_VALUE"""),"Eastern Samar")</f>
        <v>Eastern Samar</v>
      </c>
      <c r="C3110" s="164" t="str">
        <f ca="1">IFERROR(__xludf.DUMMYFUNCTION("""COMPUTED_VALUE"""),"Motorcycle – (Honda XRL 150)")</f>
        <v>Motorcycle – (Honda XRL 150)</v>
      </c>
      <c r="D3110" s="164" t="str">
        <f ca="1">IFERROR(__xludf.DUMMYFUNCTION("""COMPUTED_VALUE"""),"₱ 124,900.00")</f>
        <v>₱ 124,900.00</v>
      </c>
      <c r="E3110" s="164"/>
      <c r="F3110" s="164" t="str">
        <f ca="1">IFERROR(__xludf.DUMMYFUNCTION("""COMPUTED_VALUE"""),"2023-06-01-10202SP450-01")</f>
        <v>2023-06-01-10202SP450-01</v>
      </c>
      <c r="G3110" s="164"/>
      <c r="H3110" s="164" t="str">
        <f ca="1">IFERROR(__xludf.DUMMYFUNCTION("""COMPUTED_VALUE"""),"LAWRENCE STEVE L. TONOG")</f>
        <v>LAWRENCE STEVE L. TONOG</v>
      </c>
      <c r="I3110" s="164" t="str">
        <f ca="1">IFERROR(__xludf.DUMMYFUNCTION("""COMPUTED_VALUE"""),"SHERIFF")</f>
        <v>SHERIFF</v>
      </c>
      <c r="J3110" s="164" t="str">
        <f ca="1">IFERROR(__xludf.DUMMYFUNCTION("""COMPUTED_VALUE"""),"23008")</f>
        <v>23008</v>
      </c>
      <c r="K3110" s="164" t="str">
        <f ca="1">IFERROR(__xludf.DUMMYFUNCTION("""COMPUTED_VALUE"""),"LAWRENCE STEVE L. TONOG")</f>
        <v>LAWRENCE STEVE L. TONOG</v>
      </c>
      <c r="L3110" s="164" t="str">
        <f ca="1">IFERROR(__xludf.DUMMYFUNCTION("""COMPUTED_VALUE"""),"DARAB")</f>
        <v>DARAB</v>
      </c>
      <c r="M3110" s="164" t="str">
        <f ca="1">IFERROR(__xludf.DUMMYFUNCTION("""COMPUTED_VALUE"""),"SERVICEABLE")</f>
        <v>SERVICEABLE</v>
      </c>
      <c r="N3110" s="164"/>
    </row>
    <row r="3111" spans="1:14" ht="13.2" hidden="1">
      <c r="A3111" s="164" t="str">
        <f ca="1">IFERROR(__xludf.DUMMYFUNCTION("""COMPUTED_VALUE"""),"REGION VIII")</f>
        <v>REGION VIII</v>
      </c>
      <c r="B3111" s="164" t="str">
        <f ca="1">IFERROR(__xludf.DUMMYFUNCTION("""COMPUTED_VALUE"""),"Eastern Samar")</f>
        <v>Eastern Samar</v>
      </c>
      <c r="C3111" s="164" t="str">
        <f ca="1">IFERROR(__xludf.DUMMYFUNCTION("""COMPUTED_VALUE"""),"Motorcycle – (Honda XRL 150)")</f>
        <v>Motorcycle – (Honda XRL 150)</v>
      </c>
      <c r="D3111" s="164" t="str">
        <f ca="1">IFERROR(__xludf.DUMMYFUNCTION("""COMPUTED_VALUE"""),"₱ 124,900.00")</f>
        <v>₱ 124,900.00</v>
      </c>
      <c r="E3111" s="164"/>
      <c r="F3111" s="164" t="str">
        <f ca="1">IFERROR(__xludf.DUMMYFUNCTION("""COMPUTED_VALUE"""),"2023-06-01-10202SP484-01")</f>
        <v>2023-06-01-10202SP484-01</v>
      </c>
      <c r="G3111" s="164"/>
      <c r="H3111" s="164" t="str">
        <f ca="1">IFERROR(__xludf.DUMMYFUNCTION("""COMPUTED_VALUE"""),"ENGR. RENAFLOR A. DAGANTA")</f>
        <v>ENGR. RENAFLOR A. DAGANTA</v>
      </c>
      <c r="I3111" s="164" t="str">
        <f ca="1">IFERROR(__xludf.DUMMYFUNCTION("""COMPUTED_VALUE"""),"ARPT")</f>
        <v>ARPT</v>
      </c>
      <c r="J3111" s="164" t="str">
        <f ca="1">IFERROR(__xludf.DUMMYFUNCTION("""COMPUTED_VALUE"""),"23013")</f>
        <v>23013</v>
      </c>
      <c r="K3111" s="164" t="str">
        <f ca="1">IFERROR(__xludf.DUMMYFUNCTION("""COMPUTED_VALUE"""),"ENGR. RENAFLOR A. DAGANTA")</f>
        <v>ENGR. RENAFLOR A. DAGANTA</v>
      </c>
      <c r="L3111" s="164" t="str">
        <f ca="1">IFERROR(__xludf.DUMMYFUNCTION("""COMPUTED_VALUE"""),"LTS")</f>
        <v>LTS</v>
      </c>
      <c r="M3111" s="164" t="str">
        <f ca="1">IFERROR(__xludf.DUMMYFUNCTION("""COMPUTED_VALUE"""),"SERVICEABLE")</f>
        <v>SERVICEABLE</v>
      </c>
      <c r="N3111" s="164"/>
    </row>
    <row r="3112" spans="1:14" ht="13.2" hidden="1">
      <c r="A3112" s="164" t="str">
        <f ca="1">IFERROR(__xludf.DUMMYFUNCTION("""COMPUTED_VALUE"""),"REGION VIII")</f>
        <v>REGION VIII</v>
      </c>
      <c r="B3112" s="164" t="str">
        <f ca="1">IFERROR(__xludf.DUMMYFUNCTION("""COMPUTED_VALUE"""),"Eastern Samar")</f>
        <v>Eastern Samar</v>
      </c>
      <c r="C3112" s="164" t="str">
        <f ca="1">IFERROR(__xludf.DUMMYFUNCTION("""COMPUTED_VALUE"""),"Motorcycle – (Honda XRL 150)")</f>
        <v>Motorcycle – (Honda XRL 150)</v>
      </c>
      <c r="D3112" s="164" t="str">
        <f ca="1">IFERROR(__xludf.DUMMYFUNCTION("""COMPUTED_VALUE"""),"₱ 124,900.00")</f>
        <v>₱ 124,900.00</v>
      </c>
      <c r="E3112" s="164"/>
      <c r="F3112" s="164" t="str">
        <f ca="1">IFERROR(__xludf.DUMMYFUNCTION("""COMPUTED_VALUE"""),"2023-06-01-10202SP467-01")</f>
        <v>2023-06-01-10202SP467-01</v>
      </c>
      <c r="G3112" s="164"/>
      <c r="H3112" s="164" t="str">
        <f ca="1">IFERROR(__xludf.DUMMYFUNCTION("""COMPUTED_VALUE"""),"LEMUELL SETH L. TONOG")</f>
        <v>LEMUELL SETH L. TONOG</v>
      </c>
      <c r="I3112" s="164" t="str">
        <f ca="1">IFERROR(__xludf.DUMMYFUNCTION("""COMPUTED_VALUE"""),"ARPT")</f>
        <v>ARPT</v>
      </c>
      <c r="J3112" s="164" t="str">
        <f ca="1">IFERROR(__xludf.DUMMYFUNCTION("""COMPUTED_VALUE"""),"23011")</f>
        <v>23011</v>
      </c>
      <c r="K3112" s="164" t="str">
        <f ca="1">IFERROR(__xludf.DUMMYFUNCTION("""COMPUTED_VALUE"""),"LEMUELL SETH L. TONOG")</f>
        <v>LEMUELL SETH L. TONOG</v>
      </c>
      <c r="L3112" s="164" t="str">
        <f ca="1">IFERROR(__xludf.DUMMYFUNCTION("""COMPUTED_VALUE"""),"STOD - Personnel")</f>
        <v>STOD - Personnel</v>
      </c>
      <c r="M3112" s="164" t="str">
        <f ca="1">IFERROR(__xludf.DUMMYFUNCTION("""COMPUTED_VALUE"""),"SERVICEABLE")</f>
        <v>SERVICEABLE</v>
      </c>
      <c r="N3112" s="164"/>
    </row>
    <row r="3113" spans="1:14" ht="13.2" hidden="1">
      <c r="A3113" s="164" t="str">
        <f ca="1">IFERROR(__xludf.DUMMYFUNCTION("""COMPUTED_VALUE"""),"REGION VIII")</f>
        <v>REGION VIII</v>
      </c>
      <c r="B3113" s="164" t="str">
        <f ca="1">IFERROR(__xludf.DUMMYFUNCTION("""COMPUTED_VALUE"""),"Eastern Samar")</f>
        <v>Eastern Samar</v>
      </c>
      <c r="C3113" s="164" t="str">
        <f ca="1">IFERROR(__xludf.DUMMYFUNCTION("""COMPUTED_VALUE"""),"Motorcycle – (Honda XRL 150)")</f>
        <v>Motorcycle – (Honda XRL 150)</v>
      </c>
      <c r="D3113" s="164" t="str">
        <f ca="1">IFERROR(__xludf.DUMMYFUNCTION("""COMPUTED_VALUE"""),"₱ 124,900.00")</f>
        <v>₱ 124,900.00</v>
      </c>
      <c r="E3113" s="164"/>
      <c r="F3113" s="164" t="str">
        <f ca="1">IFERROR(__xludf.DUMMYFUNCTION("""COMPUTED_VALUE"""),"2023-06-01-10202SP414-01")</f>
        <v>2023-06-01-10202SP414-01</v>
      </c>
      <c r="G3113" s="164"/>
      <c r="H3113" s="164" t="str">
        <f ca="1">IFERROR(__xludf.DUMMYFUNCTION("""COMPUTED_VALUE"""),"GRACE R. RANOLA")</f>
        <v>GRACE R. RANOLA</v>
      </c>
      <c r="I3113" s="164" t="str">
        <f ca="1">IFERROR(__xludf.DUMMYFUNCTION("""COMPUTED_VALUE"""),"ARPT")</f>
        <v>ARPT</v>
      </c>
      <c r="J3113" s="164" t="str">
        <f ca="1">IFERROR(__xludf.DUMMYFUNCTION("""COMPUTED_VALUE"""),"23002")</f>
        <v>23002</v>
      </c>
      <c r="K3113" s="164" t="str">
        <f ca="1">IFERROR(__xludf.DUMMYFUNCTION("""COMPUTED_VALUE"""),"GRACE R. RANOLA")</f>
        <v>GRACE R. RANOLA</v>
      </c>
      <c r="L3113" s="164" t="str">
        <f ca="1">IFERROR(__xludf.DUMMYFUNCTION("""COMPUTED_VALUE"""),"DARMO - Llorente")</f>
        <v>DARMO - Llorente</v>
      </c>
      <c r="M3113" s="164" t="str">
        <f ca="1">IFERROR(__xludf.DUMMYFUNCTION("""COMPUTED_VALUE"""),"SERVICEABLE")</f>
        <v>SERVICEABLE</v>
      </c>
      <c r="N3113" s="164"/>
    </row>
    <row r="3114" spans="1:14" ht="13.2" hidden="1">
      <c r="A3114" s="164" t="str">
        <f ca="1">IFERROR(__xludf.DUMMYFUNCTION("""COMPUTED_VALUE"""),"REGION VIII")</f>
        <v>REGION VIII</v>
      </c>
      <c r="B3114" s="164" t="str">
        <f ca="1">IFERROR(__xludf.DUMMYFUNCTION("""COMPUTED_VALUE"""),"Eastern Samar")</f>
        <v>Eastern Samar</v>
      </c>
      <c r="C3114" s="164" t="str">
        <f ca="1">IFERROR(__xludf.DUMMYFUNCTION("""COMPUTED_VALUE"""),"Motorcycle – (Honda XRL 150)")</f>
        <v>Motorcycle – (Honda XRL 150)</v>
      </c>
      <c r="D3114" s="164" t="str">
        <f ca="1">IFERROR(__xludf.DUMMYFUNCTION("""COMPUTED_VALUE"""),"₱ 124,900.00")</f>
        <v>₱ 124,900.00</v>
      </c>
      <c r="E3114" s="164"/>
      <c r="F3114" s="164" t="str">
        <f ca="1">IFERROR(__xludf.DUMMYFUNCTION("""COMPUTED_VALUE"""),"2023-06-01-10202SP432-01")</f>
        <v>2023-06-01-10202SP432-01</v>
      </c>
      <c r="G3114" s="164"/>
      <c r="H3114" s="164" t="str">
        <f ca="1">IFERROR(__xludf.DUMMYFUNCTION("""COMPUTED_VALUE"""),"MARICRIS D. ORGANISTA")</f>
        <v>MARICRIS D. ORGANISTA</v>
      </c>
      <c r="I3114" s="164" t="str">
        <f ca="1">IFERROR(__xludf.DUMMYFUNCTION("""COMPUTED_VALUE"""),"ARPT")</f>
        <v>ARPT</v>
      </c>
      <c r="J3114" s="164" t="str">
        <f ca="1">IFERROR(__xludf.DUMMYFUNCTION("""COMPUTED_VALUE"""),"23006")</f>
        <v>23006</v>
      </c>
      <c r="K3114" s="164" t="str">
        <f ca="1">IFERROR(__xludf.DUMMYFUNCTION("""COMPUTED_VALUE"""),"MARICRIS D. ORGANISTA")</f>
        <v>MARICRIS D. ORGANISTA</v>
      </c>
      <c r="L3114" s="164" t="str">
        <f ca="1">IFERROR(__xludf.DUMMYFUNCTION("""COMPUTED_VALUE"""),"DARMO - Sulat")</f>
        <v>DARMO - Sulat</v>
      </c>
      <c r="M3114" s="164" t="str">
        <f ca="1">IFERROR(__xludf.DUMMYFUNCTION("""COMPUTED_VALUE"""),"SERVICEABLE")</f>
        <v>SERVICEABLE</v>
      </c>
      <c r="N3114" s="164"/>
    </row>
    <row r="3115" spans="1:14" ht="13.2" hidden="1">
      <c r="A3115" s="164" t="str">
        <f ca="1">IFERROR(__xludf.DUMMYFUNCTION("""COMPUTED_VALUE"""),"REGION VIII")</f>
        <v>REGION VIII</v>
      </c>
      <c r="B3115" s="164" t="str">
        <f ca="1">IFERROR(__xludf.DUMMYFUNCTION("""COMPUTED_VALUE"""),"Eastern Samar")</f>
        <v>Eastern Samar</v>
      </c>
      <c r="C3115" s="164" t="str">
        <f ca="1">IFERROR(__xludf.DUMMYFUNCTION("""COMPUTED_VALUE"""),"Motorcycle – (Honda XRL 150)")</f>
        <v>Motorcycle – (Honda XRL 150)</v>
      </c>
      <c r="D3115" s="164" t="str">
        <f ca="1">IFERROR(__xludf.DUMMYFUNCTION("""COMPUTED_VALUE"""),"₱ 124,900.00")</f>
        <v>₱ 124,900.00</v>
      </c>
      <c r="E3115" s="164"/>
      <c r="F3115" s="164" t="str">
        <f ca="1">IFERROR(__xludf.DUMMYFUNCTION("""COMPUTED_VALUE"""),"2023-06-01-10202SP424-01")</f>
        <v>2023-06-01-10202SP424-01</v>
      </c>
      <c r="G3115" s="164"/>
      <c r="H3115" s="164" t="str">
        <f ca="1">IFERROR(__xludf.DUMMYFUNCTION("""COMPUTED_VALUE"""),"DIZALYN C. ALEGRE")</f>
        <v>DIZALYN C. ALEGRE</v>
      </c>
      <c r="I3115" s="164" t="str">
        <f ca="1">IFERROR(__xludf.DUMMYFUNCTION("""COMPUTED_VALUE"""),"ARPO1")</f>
        <v>ARPO1</v>
      </c>
      <c r="J3115" s="164" t="str">
        <f ca="1">IFERROR(__xludf.DUMMYFUNCTION("""COMPUTED_VALUE"""),"23004")</f>
        <v>23004</v>
      </c>
      <c r="K3115" s="164" t="str">
        <f ca="1">IFERROR(__xludf.DUMMYFUNCTION("""COMPUTED_VALUE"""),"DIZALYN C. ALEGRE")</f>
        <v>DIZALYN C. ALEGRE</v>
      </c>
      <c r="L3115" s="164" t="str">
        <f ca="1">IFERROR(__xludf.DUMMYFUNCTION("""COMPUTED_VALUE"""),"DARMO - San Julian")</f>
        <v>DARMO - San Julian</v>
      </c>
      <c r="M3115" s="164" t="str">
        <f ca="1">IFERROR(__xludf.DUMMYFUNCTION("""COMPUTED_VALUE"""),"SERVICEABLE")</f>
        <v>SERVICEABLE</v>
      </c>
      <c r="N3115" s="164"/>
    </row>
    <row r="3116" spans="1:14" ht="13.2" hidden="1">
      <c r="A3116" s="164" t="str">
        <f ca="1">IFERROR(__xludf.DUMMYFUNCTION("""COMPUTED_VALUE"""),"REGION VIII")</f>
        <v>REGION VIII</v>
      </c>
      <c r="B3116" s="164" t="str">
        <f ca="1">IFERROR(__xludf.DUMMYFUNCTION("""COMPUTED_VALUE"""),"Eastern Samar")</f>
        <v>Eastern Samar</v>
      </c>
      <c r="C3116" s="164" t="str">
        <f ca="1">IFERROR(__xludf.DUMMYFUNCTION("""COMPUTED_VALUE"""),"Motorcycle – (Honda XRL 150)")</f>
        <v>Motorcycle – (Honda XRL 150)</v>
      </c>
      <c r="D3116" s="164" t="str">
        <f ca="1">IFERROR(__xludf.DUMMYFUNCTION("""COMPUTED_VALUE"""),"₱ 124,900.00")</f>
        <v>₱ 124,900.00</v>
      </c>
      <c r="E3116" s="164"/>
      <c r="F3116" s="164" t="str">
        <f ca="1">IFERROR(__xludf.DUMMYFUNCTION("""COMPUTED_VALUE"""),"2023-06-01-10202SP451-01")</f>
        <v>2023-06-01-10202SP451-01</v>
      </c>
      <c r="G3116" s="164"/>
      <c r="H3116" s="164" t="str">
        <f ca="1">IFERROR(__xludf.DUMMYFUNCTION("""COMPUTED_VALUE"""),"JIMMY B. OMLANG")</f>
        <v>JIMMY B. OMLANG</v>
      </c>
      <c r="I3116" s="164" t="str">
        <f ca="1">IFERROR(__xludf.DUMMYFUNCTION("""COMPUTED_VALUE"""),"ENGINEER AIDE/GSO")</f>
        <v>ENGINEER AIDE/GSO</v>
      </c>
      <c r="J3116" s="164" t="str">
        <f ca="1">IFERROR(__xludf.DUMMYFUNCTION("""COMPUTED_VALUE"""),"23009")</f>
        <v>23009</v>
      </c>
      <c r="K3116" s="164" t="str">
        <f ca="1">IFERROR(__xludf.DUMMYFUNCTION("""COMPUTED_VALUE"""),"JIMMY B. OMLANG")</f>
        <v>JIMMY B. OMLANG</v>
      </c>
      <c r="L3116" s="164"/>
      <c r="M3116" s="164" t="str">
        <f ca="1">IFERROR(__xludf.DUMMYFUNCTION("""COMPUTED_VALUE"""),"SERVICEABLE")</f>
        <v>SERVICEABLE</v>
      </c>
      <c r="N3116" s="164"/>
    </row>
    <row r="3117" spans="1:14" ht="13.2" hidden="1">
      <c r="A3117" s="164" t="str">
        <f ca="1">IFERROR(__xludf.DUMMYFUNCTION("""COMPUTED_VALUE"""),"REGION VIII")</f>
        <v>REGION VIII</v>
      </c>
      <c r="B3117" s="164" t="str">
        <f ca="1">IFERROR(__xludf.DUMMYFUNCTION("""COMPUTED_VALUE"""),"Eastern Samar")</f>
        <v>Eastern Samar</v>
      </c>
      <c r="C3117" s="164" t="str">
        <f ca="1">IFERROR(__xludf.DUMMYFUNCTION("""COMPUTED_VALUE"""),"Motorcycle – (Honda XRL 150)")</f>
        <v>Motorcycle – (Honda XRL 150)</v>
      </c>
      <c r="D3117" s="164" t="str">
        <f ca="1">IFERROR(__xludf.DUMMYFUNCTION("""COMPUTED_VALUE"""),"₱ 124,900.00")</f>
        <v>₱ 124,900.00</v>
      </c>
      <c r="E3117" s="164"/>
      <c r="F3117" s="164" t="str">
        <f ca="1">IFERROR(__xludf.DUMMYFUNCTION("""COMPUTED_VALUE"""),"2023-06-01-10202SP425-01")</f>
        <v>2023-06-01-10202SP425-01</v>
      </c>
      <c r="G3117" s="164"/>
      <c r="H3117" s="164" t="str">
        <f ca="1">IFERROR(__xludf.DUMMYFUNCTION("""COMPUTED_VALUE"""),"ALLAN DAVE B. ABELLA")</f>
        <v>ALLAN DAVE B. ABELLA</v>
      </c>
      <c r="I3117" s="164" t="str">
        <f ca="1">IFERROR(__xludf.DUMMYFUNCTION("""COMPUTED_VALUE"""),"ARPT")</f>
        <v>ARPT</v>
      </c>
      <c r="J3117" s="164" t="str">
        <f ca="1">IFERROR(__xludf.DUMMYFUNCTION("""COMPUTED_VALUE"""),"23005")</f>
        <v>23005</v>
      </c>
      <c r="K3117" s="164" t="str">
        <f ca="1">IFERROR(__xludf.DUMMYFUNCTION("""COMPUTED_VALUE"""),"ALLAN DAVE B. ABELLA")</f>
        <v>ALLAN DAVE B. ABELLA</v>
      </c>
      <c r="L3117" s="164" t="str">
        <f ca="1">IFERROR(__xludf.DUMMYFUNCTION("""COMPUTED_VALUE"""),"DARMO - Giporlos")</f>
        <v>DARMO - Giporlos</v>
      </c>
      <c r="M3117" s="164" t="str">
        <f ca="1">IFERROR(__xludf.DUMMYFUNCTION("""COMPUTED_VALUE"""),"SERVICEABLE")</f>
        <v>SERVICEABLE</v>
      </c>
      <c r="N3117" s="164"/>
    </row>
    <row r="3118" spans="1:14" ht="13.2" hidden="1">
      <c r="A3118" s="164" t="str">
        <f ca="1">IFERROR(__xludf.DUMMYFUNCTION("""COMPUTED_VALUE"""),"REGION VIII")</f>
        <v>REGION VIII</v>
      </c>
      <c r="B3118" s="164" t="str">
        <f ca="1">IFERROR(__xludf.DUMMYFUNCTION("""COMPUTED_VALUE"""),"Eastern Samar")</f>
        <v>Eastern Samar</v>
      </c>
      <c r="C3118" s="164" t="str">
        <f ca="1">IFERROR(__xludf.DUMMYFUNCTION("""COMPUTED_VALUE"""),"Motorcycle – (Honda XRL 150)")</f>
        <v>Motorcycle – (Honda XRL 150)</v>
      </c>
      <c r="D3118" s="164" t="str">
        <f ca="1">IFERROR(__xludf.DUMMYFUNCTION("""COMPUTED_VALUE"""),"₱ 124,900.00")</f>
        <v>₱ 124,900.00</v>
      </c>
      <c r="E3118" s="164"/>
      <c r="F3118" s="164" t="str">
        <f ca="1">IFERROR(__xludf.DUMMYFUNCTION("""COMPUTED_VALUE"""),"2023-06-01-10202SP482-01")</f>
        <v>2023-06-01-10202SP482-01</v>
      </c>
      <c r="G3118" s="164"/>
      <c r="H3118" s="164" t="str">
        <f ca="1">IFERROR(__xludf.DUMMYFUNCTION("""COMPUTED_VALUE"""),"MARY CHRISTINE B. TANIÑAS")</f>
        <v>MARY CHRISTINE B. TANIÑAS</v>
      </c>
      <c r="I3118" s="164" t="str">
        <f ca="1">IFERROR(__xludf.DUMMYFUNCTION("""COMPUTED_VALUE"""),"ARPT")</f>
        <v>ARPT</v>
      </c>
      <c r="J3118" s="164" t="str">
        <f ca="1">IFERROR(__xludf.DUMMYFUNCTION("""COMPUTED_VALUE"""),"23012")</f>
        <v>23012</v>
      </c>
      <c r="K3118" s="164" t="str">
        <f ca="1">IFERROR(__xludf.DUMMYFUNCTION("""COMPUTED_VALUE"""),"MARY CHRISTINE B. TANIÑAS")</f>
        <v>MARY CHRISTINE B. TANIÑAS</v>
      </c>
      <c r="L3118" s="164" t="str">
        <f ca="1">IFERROR(__xludf.DUMMYFUNCTION("""COMPUTED_VALUE"""),"LTS")</f>
        <v>LTS</v>
      </c>
      <c r="M3118" s="164" t="str">
        <f ca="1">IFERROR(__xludf.DUMMYFUNCTION("""COMPUTED_VALUE"""),"SERVICEABLE")</f>
        <v>SERVICEABLE</v>
      </c>
      <c r="N3118" s="164"/>
    </row>
    <row r="3119" spans="1:14" ht="13.2" hidden="1">
      <c r="A3119" s="164" t="str">
        <f ca="1">IFERROR(__xludf.DUMMYFUNCTION("""COMPUTED_VALUE"""),"REGION VIII")</f>
        <v>REGION VIII</v>
      </c>
      <c r="B3119" s="164" t="str">
        <f ca="1">IFERROR(__xludf.DUMMYFUNCTION("""COMPUTED_VALUE"""),"Eastern Samar")</f>
        <v>Eastern Samar</v>
      </c>
      <c r="C3119" s="164" t="str">
        <f ca="1">IFERROR(__xludf.DUMMYFUNCTION("""COMPUTED_VALUE"""),"Motorcycle – (Honda XRL 150)")</f>
        <v>Motorcycle – (Honda XRL 150)</v>
      </c>
      <c r="D3119" s="164" t="str">
        <f ca="1">IFERROR(__xludf.DUMMYFUNCTION("""COMPUTED_VALUE"""),"₱ 124,900.00")</f>
        <v>₱ 124,900.00</v>
      </c>
      <c r="E3119" s="164"/>
      <c r="F3119" s="164" t="str">
        <f ca="1">IFERROR(__xludf.DUMMYFUNCTION("""COMPUTED_VALUE"""),"2023-06-01-10202SP411-01")</f>
        <v>2023-06-01-10202SP411-01</v>
      </c>
      <c r="G3119" s="164"/>
      <c r="H3119" s="164" t="str">
        <f ca="1">IFERROR(__xludf.DUMMYFUNCTION("""COMPUTED_VALUE"""),"ZENAIDA C. TEGERO")</f>
        <v>ZENAIDA C. TEGERO</v>
      </c>
      <c r="I3119" s="164" t="str">
        <f ca="1">IFERROR(__xludf.DUMMYFUNCTION("""COMPUTED_VALUE"""),"ARPT")</f>
        <v>ARPT</v>
      </c>
      <c r="J3119" s="164" t="str">
        <f ca="1">IFERROR(__xludf.DUMMYFUNCTION("""COMPUTED_VALUE"""),"23001")</f>
        <v>23001</v>
      </c>
      <c r="K3119" s="164" t="str">
        <f ca="1">IFERROR(__xludf.DUMMYFUNCTION("""COMPUTED_VALUE"""),"ZENAIDA C. TEGERO")</f>
        <v>ZENAIDA C. TEGERO</v>
      </c>
      <c r="L3119" s="164" t="str">
        <f ca="1">IFERROR(__xludf.DUMMYFUNCTION("""COMPUTED_VALUE"""),"DARMO - Quinapondan")</f>
        <v>DARMO - Quinapondan</v>
      </c>
      <c r="M3119" s="164" t="str">
        <f ca="1">IFERROR(__xludf.DUMMYFUNCTION("""COMPUTED_VALUE"""),"SERVICEABLE")</f>
        <v>SERVICEABLE</v>
      </c>
      <c r="N3119" s="164"/>
    </row>
    <row r="3120" spans="1:14" ht="13.2" hidden="1">
      <c r="A3120" s="164" t="str">
        <f ca="1">IFERROR(__xludf.DUMMYFUNCTION("""COMPUTED_VALUE"""),"REGION VIII")</f>
        <v>REGION VIII</v>
      </c>
      <c r="B3120" s="164" t="str">
        <f ca="1">IFERROR(__xludf.DUMMYFUNCTION("""COMPUTED_VALUE"""),"Eastern Samar")</f>
        <v>Eastern Samar</v>
      </c>
      <c r="C3120" s="164" t="str">
        <f ca="1">IFERROR(__xludf.DUMMYFUNCTION("""COMPUTED_VALUE"""),"Motorcycle – (Honda XRL 150)")</f>
        <v>Motorcycle – (Honda XRL 150)</v>
      </c>
      <c r="D3120" s="164" t="str">
        <f ca="1">IFERROR(__xludf.DUMMYFUNCTION("""COMPUTED_VALUE"""),"₱ 124,900.00")</f>
        <v>₱ 124,900.00</v>
      </c>
      <c r="E3120" s="164"/>
      <c r="F3120" s="164" t="str">
        <f ca="1">IFERROR(__xludf.DUMMYFUNCTION("""COMPUTED_VALUE"""),"2023-06-01-10202SP464-01")</f>
        <v>2023-06-01-10202SP464-01</v>
      </c>
      <c r="G3120" s="164"/>
      <c r="H3120" s="164" t="str">
        <f ca="1">IFERROR(__xludf.DUMMYFUNCTION("""COMPUTED_VALUE"""),"ENGR. RENAN M. CADIENTE")</f>
        <v>ENGR. RENAN M. CADIENTE</v>
      </c>
      <c r="I3120" s="164" t="str">
        <f ca="1">IFERROR(__xludf.DUMMYFUNCTION("""COMPUTED_VALUE"""),"ENGINEER II")</f>
        <v>ENGINEER II</v>
      </c>
      <c r="J3120" s="164" t="str">
        <f ca="1">IFERROR(__xludf.DUMMYFUNCTION("""COMPUTED_VALUE"""),"23010")</f>
        <v>23010</v>
      </c>
      <c r="K3120" s="164" t="str">
        <f ca="1">IFERROR(__xludf.DUMMYFUNCTION("""COMPUTED_VALUE"""),"RENAN M. CADIENTE")</f>
        <v>RENAN M. CADIENTE</v>
      </c>
      <c r="L3120" s="164" t="str">
        <f ca="1">IFERROR(__xludf.DUMMYFUNCTION("""COMPUTED_VALUE"""),"LTS")</f>
        <v>LTS</v>
      </c>
      <c r="M3120" s="164" t="str">
        <f ca="1">IFERROR(__xludf.DUMMYFUNCTION("""COMPUTED_VALUE"""),"SERVICEABLE")</f>
        <v>SERVICEABLE</v>
      </c>
      <c r="N3120" s="164"/>
    </row>
    <row r="3121" spans="1:14" ht="13.2" hidden="1">
      <c r="A3121" s="164" t="str">
        <f ca="1">IFERROR(__xludf.DUMMYFUNCTION("""COMPUTED_VALUE"""),"REGION VIII")</f>
        <v>REGION VIII</v>
      </c>
      <c r="B3121" s="164" t="str">
        <f ca="1">IFERROR(__xludf.DUMMYFUNCTION("""COMPUTED_VALUE"""),"Eastern Samar")</f>
        <v>Eastern Samar</v>
      </c>
      <c r="C3121" s="164" t="str">
        <f ca="1">IFERROR(__xludf.DUMMYFUNCTION("""COMPUTED_VALUE"""),"Motorcycle – (Honda XRL 150)")</f>
        <v>Motorcycle – (Honda XRL 150)</v>
      </c>
      <c r="D3121" s="164" t="str">
        <f ca="1">IFERROR(__xludf.DUMMYFUNCTION("""COMPUTED_VALUE"""),"₱ 124,900.00")</f>
        <v>₱ 124,900.00</v>
      </c>
      <c r="E3121" s="164"/>
      <c r="F3121" s="164" t="str">
        <f ca="1">IFERROR(__xludf.DUMMYFUNCTION("""COMPUTED_VALUE"""),"2023-06-01-10202SP415-01")</f>
        <v>2023-06-01-10202SP415-01</v>
      </c>
      <c r="G3121" s="164"/>
      <c r="H3121" s="164" t="str">
        <f ca="1">IFERROR(__xludf.DUMMYFUNCTION("""COMPUTED_VALUE"""),"SALDY A. CORADO")</f>
        <v>SALDY A. CORADO</v>
      </c>
      <c r="I3121" s="164" t="str">
        <f ca="1">IFERROR(__xludf.DUMMYFUNCTION("""COMPUTED_VALUE"""),"CARTOGRAPHER")</f>
        <v>CARTOGRAPHER</v>
      </c>
      <c r="J3121" s="164" t="str">
        <f ca="1">IFERROR(__xludf.DUMMYFUNCTION("""COMPUTED_VALUE"""),"23015")</f>
        <v>23015</v>
      </c>
      <c r="K3121" s="164" t="str">
        <f ca="1">IFERROR(__xludf.DUMMYFUNCTION("""COMPUTED_VALUE"""),"SALDY A. CORADO")</f>
        <v>SALDY A. CORADO</v>
      </c>
      <c r="L3121" s="164" t="str">
        <f ca="1">IFERROR(__xludf.DUMMYFUNCTION("""COMPUTED_VALUE"""),"LTS")</f>
        <v>LTS</v>
      </c>
      <c r="M3121" s="164" t="str">
        <f ca="1">IFERROR(__xludf.DUMMYFUNCTION("""COMPUTED_VALUE"""),"SERVICEABLE")</f>
        <v>SERVICEABLE</v>
      </c>
      <c r="N3121" s="164"/>
    </row>
    <row r="3122" spans="1:14" ht="13.2" hidden="1">
      <c r="A3122" s="164" t="str">
        <f ca="1">IFERROR(__xludf.DUMMYFUNCTION("""COMPUTED_VALUE"""),"REGION VIII")</f>
        <v>REGION VIII</v>
      </c>
      <c r="B3122" s="164" t="str">
        <f ca="1">IFERROR(__xludf.DUMMYFUNCTION("""COMPUTED_VALUE"""),"Eastern Samar")</f>
        <v>Eastern Samar</v>
      </c>
      <c r="C3122" s="164" t="str">
        <f ca="1">IFERROR(__xludf.DUMMYFUNCTION("""COMPUTED_VALUE"""),"Double Cabin Pick-up Vehicles – Mitsubishi Strada")</f>
        <v>Double Cabin Pick-up Vehicles – Mitsubishi Strada</v>
      </c>
      <c r="D3122" s="164" t="str">
        <f ca="1">IFERROR(__xludf.DUMMYFUNCTION("""COMPUTED_VALUE"""),"₱ 1,752,400.00")</f>
        <v>₱ 1,752,400.00</v>
      </c>
      <c r="E3122" s="164"/>
      <c r="F3122" s="164" t="str">
        <f ca="1">IFERROR(__xludf.DUMMYFUNCTION("""COMPUTED_VALUE"""),"2023-06-01-1020ISP-103-01")</f>
        <v>2023-06-01-1020ISP-103-01</v>
      </c>
      <c r="G3122" s="164" t="str">
        <f ca="1">IFERROR(__xludf.DUMMYFUNCTION("""COMPUTED_VALUE"""),"SNC 1147")</f>
        <v>SNC 1147</v>
      </c>
      <c r="H3122" s="164" t="str">
        <f ca="1">IFERROR(__xludf.DUMMYFUNCTION("""COMPUTED_VALUE"""),"ENGR. DANILO C. LOZADA")</f>
        <v>ENGR. DANILO C. LOZADA</v>
      </c>
      <c r="I3122" s="164" t="str">
        <f ca="1">IFERROR(__xludf.DUMMYFUNCTION("""COMPUTED_VALUE"""),"PARPO II")</f>
        <v>PARPO II</v>
      </c>
      <c r="J3122" s="164"/>
      <c r="K3122" s="164" t="str">
        <f ca="1">IFERROR(__xludf.DUMMYFUNCTION("""COMPUTED_VALUE"""),"ENGR. DANILO C. LOZADA")</f>
        <v>ENGR. DANILO C. LOZADA</v>
      </c>
      <c r="L3122" s="164" t="str">
        <f ca="1">IFERROR(__xludf.DUMMYFUNCTION("""COMPUTED_VALUE"""),"PARPOs Office")</f>
        <v>PARPOs Office</v>
      </c>
      <c r="M3122" s="164" t="str">
        <f ca="1">IFERROR(__xludf.DUMMYFUNCTION("""COMPUTED_VALUE"""),"SERVICEABLE")</f>
        <v>SERVICEABLE</v>
      </c>
      <c r="N3122" s="164"/>
    </row>
    <row r="3123" spans="1:14" ht="13.2" hidden="1">
      <c r="A3123" s="164" t="str">
        <f ca="1">IFERROR(__xludf.DUMMYFUNCTION("""COMPUTED_VALUE"""),"REGION VIII")</f>
        <v>REGION VIII</v>
      </c>
      <c r="B3123" s="164" t="str">
        <f ca="1">IFERROR(__xludf.DUMMYFUNCTION("""COMPUTED_VALUE"""),"Northern Samar")</f>
        <v>Northern Samar</v>
      </c>
      <c r="C3123" s="164" t="str">
        <f ca="1">IFERROR(__xludf.DUMMYFUNCTION("""COMPUTED_VALUE"""),"Motorcycle – (Honda XRL 150)")</f>
        <v>Motorcycle – (Honda XRL 150)</v>
      </c>
      <c r="D3123" s="164" t="str">
        <f ca="1">IFERROR(__xludf.DUMMYFUNCTION("""COMPUTED_VALUE"""),"₱ 124,900.00")</f>
        <v>₱ 124,900.00</v>
      </c>
      <c r="E3123" s="164"/>
      <c r="F3123" s="164" t="str">
        <f ca="1">IFERROR(__xludf.DUMMYFUNCTION("""COMPUTED_VALUE"""),"2023-06-01-10202SP-412-01")</f>
        <v>2023-06-01-10202SP-412-01</v>
      </c>
      <c r="G3123" s="164"/>
      <c r="H3123" s="164" t="str">
        <f ca="1">IFERROR(__xludf.DUMMYFUNCTION("""COMPUTED_VALUE"""),"JEREMY TATOY")</f>
        <v>JEREMY TATOY</v>
      </c>
      <c r="I3123" s="164" t="str">
        <f ca="1">IFERROR(__xludf.DUMMYFUNCTION("""COMPUTED_VALUE"""),"ARPT")</f>
        <v>ARPT</v>
      </c>
      <c r="J3123" s="164" t="str">
        <f ca="1">IFERROR(__xludf.DUMMYFUNCTION("""COMPUTED_VALUE"""),"2023-03-001")</f>
        <v>2023-03-001</v>
      </c>
      <c r="K3123" s="164" t="str">
        <f ca="1">IFERROR(__xludf.DUMMYFUNCTION("""COMPUTED_VALUE"""),"JEREMY TATOY
 PAUL T. CALUBID")</f>
        <v>JEREMY TATOY
 PAUL T. CALUBID</v>
      </c>
      <c r="L3123" s="164" t="str">
        <f ca="1">IFERROR(__xludf.DUMMYFUNCTION("""COMPUTED_VALUE"""),"LTSP")</f>
        <v>LTSP</v>
      </c>
      <c r="M3123" s="164" t="str">
        <f ca="1">IFERROR(__xludf.DUMMYFUNCTION("""COMPUTED_VALUE"""),"SERVICEABLE")</f>
        <v>SERVICEABLE</v>
      </c>
      <c r="N3123" s="164"/>
    </row>
    <row r="3124" spans="1:14" ht="13.2" hidden="1">
      <c r="A3124" s="164" t="str">
        <f ca="1">IFERROR(__xludf.DUMMYFUNCTION("""COMPUTED_VALUE"""),"REGION VIII")</f>
        <v>REGION VIII</v>
      </c>
      <c r="B3124" s="164" t="str">
        <f ca="1">IFERROR(__xludf.DUMMYFUNCTION("""COMPUTED_VALUE"""),"Northern Samar")</f>
        <v>Northern Samar</v>
      </c>
      <c r="C3124" s="164" t="str">
        <f ca="1">IFERROR(__xludf.DUMMYFUNCTION("""COMPUTED_VALUE"""),"Motorcycle – (Honda XRL 150)")</f>
        <v>Motorcycle – (Honda XRL 150)</v>
      </c>
      <c r="D3124" s="164" t="str">
        <f ca="1">IFERROR(__xludf.DUMMYFUNCTION("""COMPUTED_VALUE"""),"₱ 124,900.00")</f>
        <v>₱ 124,900.00</v>
      </c>
      <c r="E3124" s="164"/>
      <c r="F3124" s="164" t="str">
        <f ca="1">IFERROR(__xludf.DUMMYFUNCTION("""COMPUTED_VALUE"""),"2023-08-01-10202SP-419-01")</f>
        <v>2023-08-01-10202SP-419-01</v>
      </c>
      <c r="G3124" s="164"/>
      <c r="H3124" s="164" t="str">
        <f ca="1">IFERROR(__xludf.DUMMYFUNCTION("""COMPUTED_VALUE"""),"JOHN ERIC CERDA")</f>
        <v>JOHN ERIC CERDA</v>
      </c>
      <c r="I3124" s="164" t="str">
        <f ca="1">IFERROR(__xludf.DUMMYFUNCTION("""COMPUTED_VALUE"""),"ARPT")</f>
        <v>ARPT</v>
      </c>
      <c r="J3124" s="164" t="str">
        <f ca="1">IFERROR(__xludf.DUMMYFUNCTION("""COMPUTED_VALUE"""),"2023-06-001")</f>
        <v>2023-06-001</v>
      </c>
      <c r="K3124" s="164" t="str">
        <f ca="1">IFERROR(__xludf.DUMMYFUNCTION("""COMPUTED_VALUE"""),"JOHN ERIC CERDA
 NILO P. DETABLAN")</f>
        <v>JOHN ERIC CERDA
 NILO P. DETABLAN</v>
      </c>
      <c r="L3124" s="164" t="str">
        <f ca="1">IFERROR(__xludf.DUMMYFUNCTION("""COMPUTED_VALUE"""),"LTSP")</f>
        <v>LTSP</v>
      </c>
      <c r="M3124" s="164" t="str">
        <f ca="1">IFERROR(__xludf.DUMMYFUNCTION("""COMPUTED_VALUE"""),"SERVICEABLE")</f>
        <v>SERVICEABLE</v>
      </c>
      <c r="N3124" s="164"/>
    </row>
    <row r="3125" spans="1:14" ht="13.2" hidden="1">
      <c r="A3125" s="164" t="str">
        <f ca="1">IFERROR(__xludf.DUMMYFUNCTION("""COMPUTED_VALUE"""),"REGION VIII")</f>
        <v>REGION VIII</v>
      </c>
      <c r="B3125" s="164" t="str">
        <f ca="1">IFERROR(__xludf.DUMMYFUNCTION("""COMPUTED_VALUE"""),"Northern Samar")</f>
        <v>Northern Samar</v>
      </c>
      <c r="C3125" s="164" t="str">
        <f ca="1">IFERROR(__xludf.DUMMYFUNCTION("""COMPUTED_VALUE"""),"Motorcycle – (Honda XRL 150)")</f>
        <v>Motorcycle – (Honda XRL 150)</v>
      </c>
      <c r="D3125" s="164" t="str">
        <f ca="1">IFERROR(__xludf.DUMMYFUNCTION("""COMPUTED_VALUE"""),"₱ 124,900.00")</f>
        <v>₱ 124,900.00</v>
      </c>
      <c r="E3125" s="164"/>
      <c r="F3125" s="164" t="str">
        <f ca="1">IFERROR(__xludf.DUMMYFUNCTION("""COMPUTED_VALUE"""),"2023-08-01-10202SP-420-01")</f>
        <v>2023-08-01-10202SP-420-01</v>
      </c>
      <c r="G3125" s="164"/>
      <c r="H3125" s="164" t="str">
        <f ca="1">IFERROR(__xludf.DUMMYFUNCTION("""COMPUTED_VALUE"""),"ALBIN C. CALAMAY")</f>
        <v>ALBIN C. CALAMAY</v>
      </c>
      <c r="I3125" s="164" t="str">
        <f ca="1">IFERROR(__xludf.DUMMYFUNCTION("""COMPUTED_VALUE"""),"SARPT")</f>
        <v>SARPT</v>
      </c>
      <c r="J3125" s="164" t="str">
        <f ca="1">IFERROR(__xludf.DUMMYFUNCTION("""COMPUTED_VALUE"""),"2023-03-007")</f>
        <v>2023-03-007</v>
      </c>
      <c r="K3125" s="164" t="str">
        <f ca="1">IFERROR(__xludf.DUMMYFUNCTION("""COMPUTED_VALUE"""),"ALBIN C. CALAMAY
 NEIL CONRAD M. LI")</f>
        <v>ALBIN C. CALAMAY
 NEIL CONRAD M. LI</v>
      </c>
      <c r="L3125" s="164" t="str">
        <f ca="1">IFERROR(__xludf.DUMMYFUNCTION("""COMPUTED_VALUE"""),"LTSP")</f>
        <v>LTSP</v>
      </c>
      <c r="M3125" s="164" t="str">
        <f ca="1">IFERROR(__xludf.DUMMYFUNCTION("""COMPUTED_VALUE"""),"SERVICEABLE")</f>
        <v>SERVICEABLE</v>
      </c>
      <c r="N3125" s="164"/>
    </row>
    <row r="3126" spans="1:14" ht="13.2" hidden="1">
      <c r="A3126" s="164" t="str">
        <f ca="1">IFERROR(__xludf.DUMMYFUNCTION("""COMPUTED_VALUE"""),"REGION VIII")</f>
        <v>REGION VIII</v>
      </c>
      <c r="B3126" s="164" t="str">
        <f ca="1">IFERROR(__xludf.DUMMYFUNCTION("""COMPUTED_VALUE"""),"Northern Samar")</f>
        <v>Northern Samar</v>
      </c>
      <c r="C3126" s="164" t="str">
        <f ca="1">IFERROR(__xludf.DUMMYFUNCTION("""COMPUTED_VALUE"""),"Motorcycle – (Honda XRL 150)")</f>
        <v>Motorcycle – (Honda XRL 150)</v>
      </c>
      <c r="D3126" s="164" t="str">
        <f ca="1">IFERROR(__xludf.DUMMYFUNCTION("""COMPUTED_VALUE"""),"₱ 124,900.00")</f>
        <v>₱ 124,900.00</v>
      </c>
      <c r="E3126" s="164"/>
      <c r="F3126" s="164" t="str">
        <f ca="1">IFERROR(__xludf.DUMMYFUNCTION("""COMPUTED_VALUE"""),"2023-08-01-10202SP-445-01")</f>
        <v>2023-08-01-10202SP-445-01</v>
      </c>
      <c r="G3126" s="164"/>
      <c r="H3126" s="164" t="str">
        <f ca="1">IFERROR(__xludf.DUMMYFUNCTION("""COMPUTED_VALUE"""),"AUGUSTO D. ARANDIA")</f>
        <v>AUGUSTO D. ARANDIA</v>
      </c>
      <c r="I3126" s="164" t="str">
        <f ca="1">IFERROR(__xludf.DUMMYFUNCTION("""COMPUTED_VALUE"""),"ARPO I")</f>
        <v>ARPO I</v>
      </c>
      <c r="J3126" s="164" t="str">
        <f ca="1">IFERROR(__xludf.DUMMYFUNCTION("""COMPUTED_VALUE"""),"2023-03-002")</f>
        <v>2023-03-002</v>
      </c>
      <c r="K3126" s="164" t="str">
        <f ca="1">IFERROR(__xludf.DUMMYFUNCTION("""COMPUTED_VALUE"""),"AUGUSTO D. ARANDIA
 CHRISTOPHER S. GETALADO")</f>
        <v>AUGUSTO D. ARANDIA
 CHRISTOPHER S. GETALADO</v>
      </c>
      <c r="L3126" s="164" t="str">
        <f ca="1">IFERROR(__xludf.DUMMYFUNCTION("""COMPUTED_VALUE"""),"LTSP")</f>
        <v>LTSP</v>
      </c>
      <c r="M3126" s="164" t="str">
        <f ca="1">IFERROR(__xludf.DUMMYFUNCTION("""COMPUTED_VALUE"""),"SERVICEABLE")</f>
        <v>SERVICEABLE</v>
      </c>
      <c r="N3126" s="164"/>
    </row>
    <row r="3127" spans="1:14" ht="13.2" hidden="1">
      <c r="A3127" s="164" t="str">
        <f ca="1">IFERROR(__xludf.DUMMYFUNCTION("""COMPUTED_VALUE"""),"REGION VIII")</f>
        <v>REGION VIII</v>
      </c>
      <c r="B3127" s="164" t="str">
        <f ca="1">IFERROR(__xludf.DUMMYFUNCTION("""COMPUTED_VALUE"""),"Northern Samar")</f>
        <v>Northern Samar</v>
      </c>
      <c r="C3127" s="164" t="str">
        <f ca="1">IFERROR(__xludf.DUMMYFUNCTION("""COMPUTED_VALUE"""),"Motorcycle – (Honda XRL 150)")</f>
        <v>Motorcycle – (Honda XRL 150)</v>
      </c>
      <c r="D3127" s="164" t="str">
        <f ca="1">IFERROR(__xludf.DUMMYFUNCTION("""COMPUTED_VALUE"""),"₱ 124,900.00")</f>
        <v>₱ 124,900.00</v>
      </c>
      <c r="E3127" s="164"/>
      <c r="F3127" s="164" t="str">
        <f ca="1">IFERROR(__xludf.DUMMYFUNCTION("""COMPUTED_VALUE"""),"2023-08-01-10202SP-422-01")</f>
        <v>2023-08-01-10202SP-422-01</v>
      </c>
      <c r="G3127" s="164"/>
      <c r="H3127" s="164" t="str">
        <f ca="1">IFERROR(__xludf.DUMMYFUNCTION("""COMPUTED_VALUE"""),"SILVERIO P. CAGRO")</f>
        <v>SILVERIO P. CAGRO</v>
      </c>
      <c r="I3127" s="164" t="str">
        <f ca="1">IFERROR(__xludf.DUMMYFUNCTION("""COMPUTED_VALUE"""),"ARPT")</f>
        <v>ARPT</v>
      </c>
      <c r="J3127" s="164" t="str">
        <f ca="1">IFERROR(__xludf.DUMMYFUNCTION("""COMPUTED_VALUE"""),"2023-03-006")</f>
        <v>2023-03-006</v>
      </c>
      <c r="K3127" s="164" t="str">
        <f ca="1">IFERROR(__xludf.DUMMYFUNCTION("""COMPUTED_VALUE"""),"SILVERIO P. CAGRO
 GEESSA GLACE M. CARIQUITAN")</f>
        <v>SILVERIO P. CAGRO
 GEESSA GLACE M. CARIQUITAN</v>
      </c>
      <c r="L3127" s="164" t="str">
        <f ca="1">IFERROR(__xludf.DUMMYFUNCTION("""COMPUTED_VALUE"""),"LTSP")</f>
        <v>LTSP</v>
      </c>
      <c r="M3127" s="164" t="str">
        <f ca="1">IFERROR(__xludf.DUMMYFUNCTION("""COMPUTED_VALUE"""),"SERVICEABLE")</f>
        <v>SERVICEABLE</v>
      </c>
      <c r="N3127" s="164"/>
    </row>
    <row r="3128" spans="1:14" ht="13.2" hidden="1">
      <c r="A3128" s="164" t="str">
        <f ca="1">IFERROR(__xludf.DUMMYFUNCTION("""COMPUTED_VALUE"""),"REGION VIII")</f>
        <v>REGION VIII</v>
      </c>
      <c r="B3128" s="164" t="str">
        <f ca="1">IFERROR(__xludf.DUMMYFUNCTION("""COMPUTED_VALUE"""),"Northern Samar")</f>
        <v>Northern Samar</v>
      </c>
      <c r="C3128" s="164" t="str">
        <f ca="1">IFERROR(__xludf.DUMMYFUNCTION("""COMPUTED_VALUE"""),"Motorcycle – (Honda XRL 150)")</f>
        <v>Motorcycle – (Honda XRL 150)</v>
      </c>
      <c r="D3128" s="164" t="str">
        <f ca="1">IFERROR(__xludf.DUMMYFUNCTION("""COMPUTED_VALUE"""),"₱ 124,900.00")</f>
        <v>₱ 124,900.00</v>
      </c>
      <c r="E3128" s="164"/>
      <c r="F3128" s="164" t="str">
        <f ca="1">IFERROR(__xludf.DUMMYFUNCTION("""COMPUTED_VALUE"""),"2023-08-01-10202SP-423-01")</f>
        <v>2023-08-01-10202SP-423-01</v>
      </c>
      <c r="G3128" s="164"/>
      <c r="H3128" s="164" t="str">
        <f ca="1">IFERROR(__xludf.DUMMYFUNCTION("""COMPUTED_VALUE"""),"IAN FRUTO PAUL EBRADA")</f>
        <v>IAN FRUTO PAUL EBRADA</v>
      </c>
      <c r="I3128" s="164" t="str">
        <f ca="1">IFERROR(__xludf.DUMMYFUNCTION("""COMPUTED_VALUE"""),"ARPT")</f>
        <v>ARPT</v>
      </c>
      <c r="J3128" s="164" t="str">
        <f ca="1">IFERROR(__xludf.DUMMYFUNCTION("""COMPUTED_VALUE"""),"2023-03-003")</f>
        <v>2023-03-003</v>
      </c>
      <c r="K3128" s="164" t="str">
        <f ca="1">IFERROR(__xludf.DUMMYFUNCTION("""COMPUTED_VALUE"""),"IAN FRUTO PAUL EBRADA
 ALBIN C. CALAMAY")</f>
        <v>IAN FRUTO PAUL EBRADA
 ALBIN C. CALAMAY</v>
      </c>
      <c r="L3128" s="164" t="str">
        <f ca="1">IFERROR(__xludf.DUMMYFUNCTION("""COMPUTED_VALUE"""),"LTSP")</f>
        <v>LTSP</v>
      </c>
      <c r="M3128" s="164" t="str">
        <f ca="1">IFERROR(__xludf.DUMMYFUNCTION("""COMPUTED_VALUE"""),"SERVICEABLE")</f>
        <v>SERVICEABLE</v>
      </c>
      <c r="N3128" s="164"/>
    </row>
    <row r="3129" spans="1:14" ht="13.2" hidden="1">
      <c r="A3129" s="164" t="str">
        <f ca="1">IFERROR(__xludf.DUMMYFUNCTION("""COMPUTED_VALUE"""),"REGION VIII")</f>
        <v>REGION VIII</v>
      </c>
      <c r="B3129" s="164" t="str">
        <f ca="1">IFERROR(__xludf.DUMMYFUNCTION("""COMPUTED_VALUE"""),"Northern Samar")</f>
        <v>Northern Samar</v>
      </c>
      <c r="C3129" s="164" t="str">
        <f ca="1">IFERROR(__xludf.DUMMYFUNCTION("""COMPUTED_VALUE"""),"Motorcycle – (Honda XRL 150)")</f>
        <v>Motorcycle – (Honda XRL 150)</v>
      </c>
      <c r="D3129" s="164" t="str">
        <f ca="1">IFERROR(__xludf.DUMMYFUNCTION("""COMPUTED_VALUE"""),"₱ 124,900.00")</f>
        <v>₱ 124,900.00</v>
      </c>
      <c r="E3129" s="164"/>
      <c r="F3129" s="164" t="str">
        <f ca="1">IFERROR(__xludf.DUMMYFUNCTION("""COMPUTED_VALUE"""),"2023-08-01-10202SP-426-01")</f>
        <v>2023-08-01-10202SP-426-01</v>
      </c>
      <c r="G3129" s="164"/>
      <c r="H3129" s="164" t="str">
        <f ca="1">IFERROR(__xludf.DUMMYFUNCTION("""COMPUTED_VALUE"""),"LOUIE MA. U. LIM")</f>
        <v>LOUIE MA. U. LIM</v>
      </c>
      <c r="I3129" s="164" t="str">
        <f ca="1">IFERROR(__xludf.DUMMYFUNCTION("""COMPUTED_VALUE"""),"ARPT")</f>
        <v>ARPT</v>
      </c>
      <c r="J3129" s="164" t="str">
        <f ca="1">IFERROR(__xludf.DUMMYFUNCTION("""COMPUTED_VALUE"""),"2023-02-001")</f>
        <v>2023-02-001</v>
      </c>
      <c r="K3129" s="164" t="str">
        <f ca="1">IFERROR(__xludf.DUMMYFUNCTION("""COMPUTED_VALUE"""),"LOUIE MA. U. LIM
 ANDREW S. MADAYAG")</f>
        <v>LOUIE MA. U. LIM
 ANDREW S. MADAYAG</v>
      </c>
      <c r="L3129" s="164" t="str">
        <f ca="1">IFERROR(__xludf.DUMMYFUNCTION("""COMPUTED_VALUE"""),"LTSP")</f>
        <v>LTSP</v>
      </c>
      <c r="M3129" s="164" t="str">
        <f ca="1">IFERROR(__xludf.DUMMYFUNCTION("""COMPUTED_VALUE"""),"SERVICEABLE")</f>
        <v>SERVICEABLE</v>
      </c>
      <c r="N3129" s="164"/>
    </row>
    <row r="3130" spans="1:14" ht="13.2" hidden="1">
      <c r="A3130" s="164" t="str">
        <f ca="1">IFERROR(__xludf.DUMMYFUNCTION("""COMPUTED_VALUE"""),"REGION VIII")</f>
        <v>REGION VIII</v>
      </c>
      <c r="B3130" s="164" t="str">
        <f ca="1">IFERROR(__xludf.DUMMYFUNCTION("""COMPUTED_VALUE"""),"Northern Samar")</f>
        <v>Northern Samar</v>
      </c>
      <c r="C3130" s="164" t="str">
        <f ca="1">IFERROR(__xludf.DUMMYFUNCTION("""COMPUTED_VALUE"""),"Motorcycle – (Honda XRL 150)")</f>
        <v>Motorcycle – (Honda XRL 150)</v>
      </c>
      <c r="D3130" s="164" t="str">
        <f ca="1">IFERROR(__xludf.DUMMYFUNCTION("""COMPUTED_VALUE"""),"₱ 124,900.00")</f>
        <v>₱ 124,900.00</v>
      </c>
      <c r="E3130" s="164"/>
      <c r="F3130" s="164" t="str">
        <f ca="1">IFERROR(__xludf.DUMMYFUNCTION("""COMPUTED_VALUE"""),"2023-08-01-10202SP-427-01")</f>
        <v>2023-08-01-10202SP-427-01</v>
      </c>
      <c r="G3130" s="164"/>
      <c r="H3130" s="164" t="str">
        <f ca="1">IFERROR(__xludf.DUMMYFUNCTION("""COMPUTED_VALUE"""),"MARIE PAS V. UY")</f>
        <v>MARIE PAS V. UY</v>
      </c>
      <c r="I3130" s="164" t="str">
        <f ca="1">IFERROR(__xludf.DUMMYFUNCTION("""COMPUTED_VALUE"""),"ARPO 1")</f>
        <v>ARPO 1</v>
      </c>
      <c r="J3130" s="164" t="str">
        <f ca="1">IFERROR(__xludf.DUMMYFUNCTION("""COMPUTED_VALUE"""),"2023-03-008")</f>
        <v>2023-03-008</v>
      </c>
      <c r="K3130" s="164" t="str">
        <f ca="1">IFERROR(__xludf.DUMMYFUNCTION("""COMPUTED_VALUE"""),"MARIE PAS V. UY")</f>
        <v>MARIE PAS V. UY</v>
      </c>
      <c r="L3130" s="164" t="str">
        <f ca="1">IFERROR(__xludf.DUMMYFUNCTION("""COMPUTED_VALUE"""),"LTSP")</f>
        <v>LTSP</v>
      </c>
      <c r="M3130" s="164" t="str">
        <f ca="1">IFERROR(__xludf.DUMMYFUNCTION("""COMPUTED_VALUE"""),"SERVICEABLE")</f>
        <v>SERVICEABLE</v>
      </c>
      <c r="N3130" s="164"/>
    </row>
    <row r="3131" spans="1:14" ht="13.2" hidden="1">
      <c r="A3131" s="164" t="str">
        <f ca="1">IFERROR(__xludf.DUMMYFUNCTION("""COMPUTED_VALUE"""),"REGION VIII")</f>
        <v>REGION VIII</v>
      </c>
      <c r="B3131" s="164" t="str">
        <f ca="1">IFERROR(__xludf.DUMMYFUNCTION("""COMPUTED_VALUE"""),"Northern Samar")</f>
        <v>Northern Samar</v>
      </c>
      <c r="C3131" s="164" t="str">
        <f ca="1">IFERROR(__xludf.DUMMYFUNCTION("""COMPUTED_VALUE"""),"Motorcycle – (Honda XRL 150)")</f>
        <v>Motorcycle – (Honda XRL 150)</v>
      </c>
      <c r="D3131" s="164" t="str">
        <f ca="1">IFERROR(__xludf.DUMMYFUNCTION("""COMPUTED_VALUE"""),"₱ 124,900.00")</f>
        <v>₱ 124,900.00</v>
      </c>
      <c r="E3131" s="164"/>
      <c r="F3131" s="164" t="str">
        <f ca="1">IFERROR(__xludf.DUMMYFUNCTION("""COMPUTED_VALUE"""),"2023-08-01-10202SP-407-01")</f>
        <v>2023-08-01-10202SP-407-01</v>
      </c>
      <c r="G3131" s="164"/>
      <c r="H3131" s="164" t="str">
        <f ca="1">IFERROR(__xludf.DUMMYFUNCTION("""COMPUTED_VALUE"""),"BENIGNO S. LEBRINO")</f>
        <v>BENIGNO S. LEBRINO</v>
      </c>
      <c r="I3131" s="164" t="str">
        <f ca="1">IFERROR(__xludf.DUMMYFUNCTION("""COMPUTED_VALUE"""),"SARPT")</f>
        <v>SARPT</v>
      </c>
      <c r="J3131" s="164" t="str">
        <f ca="1">IFERROR(__xludf.DUMMYFUNCTION("""COMPUTED_VALUE"""),"2023-03-010")</f>
        <v>2023-03-010</v>
      </c>
      <c r="K3131" s="164" t="str">
        <f ca="1">IFERROR(__xludf.DUMMYFUNCTION("""COMPUTED_VALUE"""),"BENIGNO S. LEBRINO
 ROGER M. BRENZUELA")</f>
        <v>BENIGNO S. LEBRINO
 ROGER M. BRENZUELA</v>
      </c>
      <c r="L3131" s="164" t="str">
        <f ca="1">IFERROR(__xludf.DUMMYFUNCTION("""COMPUTED_VALUE"""),"LTSP")</f>
        <v>LTSP</v>
      </c>
      <c r="M3131" s="164" t="str">
        <f ca="1">IFERROR(__xludf.DUMMYFUNCTION("""COMPUTED_VALUE"""),"SERVICEABLE")</f>
        <v>SERVICEABLE</v>
      </c>
      <c r="N3131" s="164"/>
    </row>
    <row r="3132" spans="1:14" ht="13.2" hidden="1">
      <c r="A3132" s="164" t="str">
        <f ca="1">IFERROR(__xludf.DUMMYFUNCTION("""COMPUTED_VALUE"""),"REGION VIII")</f>
        <v>REGION VIII</v>
      </c>
      <c r="B3132" s="164" t="str">
        <f ca="1">IFERROR(__xludf.DUMMYFUNCTION("""COMPUTED_VALUE"""),"Northern Samar")</f>
        <v>Northern Samar</v>
      </c>
      <c r="C3132" s="164" t="str">
        <f ca="1">IFERROR(__xludf.DUMMYFUNCTION("""COMPUTED_VALUE"""),"Motorcycle – (Honda XRL 150)")</f>
        <v>Motorcycle – (Honda XRL 150)</v>
      </c>
      <c r="D3132" s="164" t="str">
        <f ca="1">IFERROR(__xludf.DUMMYFUNCTION("""COMPUTED_VALUE"""),"₱ 124,900.00")</f>
        <v>₱ 124,900.00</v>
      </c>
      <c r="E3132" s="164"/>
      <c r="F3132" s="164" t="str">
        <f ca="1">IFERROR(__xludf.DUMMYFUNCTION("""COMPUTED_VALUE"""),"2023-08-01-10202SP-410-01")</f>
        <v>2023-08-01-10202SP-410-01</v>
      </c>
      <c r="G3132" s="164"/>
      <c r="H3132" s="164" t="str">
        <f ca="1">IFERROR(__xludf.DUMMYFUNCTION("""COMPUTED_VALUE"""),"LEO NEIL M. DORADO")</f>
        <v>LEO NEIL M. DORADO</v>
      </c>
      <c r="I3132" s="164" t="str">
        <f ca="1">IFERROR(__xludf.DUMMYFUNCTION("""COMPUTED_VALUE"""),"ENGR I")</f>
        <v>ENGR I</v>
      </c>
      <c r="J3132" s="164" t="str">
        <f ca="1">IFERROR(__xludf.DUMMYFUNCTION("""COMPUTED_VALUE"""),"2023-03-012")</f>
        <v>2023-03-012</v>
      </c>
      <c r="K3132" s="164" t="str">
        <f ca="1">IFERROR(__xludf.DUMMYFUNCTION("""COMPUTED_VALUE"""),"LEO NEIL M. DORADO
 LOLITO C. DAPULAG")</f>
        <v>LEO NEIL M. DORADO
 LOLITO C. DAPULAG</v>
      </c>
      <c r="L3132" s="164" t="str">
        <f ca="1">IFERROR(__xludf.DUMMYFUNCTION("""COMPUTED_VALUE"""),"LTSP")</f>
        <v>LTSP</v>
      </c>
      <c r="M3132" s="164" t="str">
        <f ca="1">IFERROR(__xludf.DUMMYFUNCTION("""COMPUTED_VALUE"""),"SERVICEABLE")</f>
        <v>SERVICEABLE</v>
      </c>
      <c r="N3132" s="164"/>
    </row>
    <row r="3133" spans="1:14" ht="13.2" hidden="1">
      <c r="A3133" s="164" t="str">
        <f ca="1">IFERROR(__xludf.DUMMYFUNCTION("""COMPUTED_VALUE"""),"REGION VIII")</f>
        <v>REGION VIII</v>
      </c>
      <c r="B3133" s="164" t="str">
        <f ca="1">IFERROR(__xludf.DUMMYFUNCTION("""COMPUTED_VALUE"""),"Northern Samar")</f>
        <v>Northern Samar</v>
      </c>
      <c r="C3133" s="164" t="str">
        <f ca="1">IFERROR(__xludf.DUMMYFUNCTION("""COMPUTED_VALUE"""),"Motorcycle – (Honda XRL 150)")</f>
        <v>Motorcycle – (Honda XRL 150)</v>
      </c>
      <c r="D3133" s="164" t="str">
        <f ca="1">IFERROR(__xludf.DUMMYFUNCTION("""COMPUTED_VALUE"""),"₱ 124,900.00")</f>
        <v>₱ 124,900.00</v>
      </c>
      <c r="E3133" s="164"/>
      <c r="F3133" s="164" t="str">
        <f ca="1">IFERROR(__xludf.DUMMYFUNCTION("""COMPUTED_VALUE"""),"2023-08-01-10202SP-428-01")</f>
        <v>2023-08-01-10202SP-428-01</v>
      </c>
      <c r="G3133" s="164"/>
      <c r="H3133" s="164" t="str">
        <f ca="1">IFERROR(__xludf.DUMMYFUNCTION("""COMPUTED_VALUE"""),"HENRICH BENIDICK D. LOBOS")</f>
        <v>HENRICH BENIDICK D. LOBOS</v>
      </c>
      <c r="I3133" s="164" t="str">
        <f ca="1">IFERROR(__xludf.DUMMYFUNCTION("""COMPUTED_VALUE"""),"ARPO 1")</f>
        <v>ARPO 1</v>
      </c>
      <c r="J3133" s="164" t="str">
        <f ca="1">IFERROR(__xludf.DUMMYFUNCTION("""COMPUTED_VALUE"""),"2023-03-009")</f>
        <v>2023-03-009</v>
      </c>
      <c r="K3133" s="164" t="str">
        <f ca="1">IFERROR(__xludf.DUMMYFUNCTION("""COMPUTED_VALUE"""),"HENRICH BENIDICK D. LOBOS
 ALBIN C. CALAMAY")</f>
        <v>HENRICH BENIDICK D. LOBOS
 ALBIN C. CALAMAY</v>
      </c>
      <c r="L3133" s="164" t="str">
        <f ca="1">IFERROR(__xludf.DUMMYFUNCTION("""COMPUTED_VALUE"""),"LTSP")</f>
        <v>LTSP</v>
      </c>
      <c r="M3133" s="164" t="str">
        <f ca="1">IFERROR(__xludf.DUMMYFUNCTION("""COMPUTED_VALUE"""),"SERVICEABLE")</f>
        <v>SERVICEABLE</v>
      </c>
      <c r="N3133" s="164"/>
    </row>
    <row r="3134" spans="1:14" ht="13.2" hidden="1">
      <c r="A3134" s="164" t="str">
        <f ca="1">IFERROR(__xludf.DUMMYFUNCTION("""COMPUTED_VALUE"""),"REGION VIII")</f>
        <v>REGION VIII</v>
      </c>
      <c r="B3134" s="164" t="str">
        <f ca="1">IFERROR(__xludf.DUMMYFUNCTION("""COMPUTED_VALUE"""),"Northern Samar")</f>
        <v>Northern Samar</v>
      </c>
      <c r="C3134" s="164" t="str">
        <f ca="1">IFERROR(__xludf.DUMMYFUNCTION("""COMPUTED_VALUE"""),"Motorcycle – (Honda XRL 150)")</f>
        <v>Motorcycle – (Honda XRL 150)</v>
      </c>
      <c r="D3134" s="164" t="str">
        <f ca="1">IFERROR(__xludf.DUMMYFUNCTION("""COMPUTED_VALUE"""),"₱ 124,900.00")</f>
        <v>₱ 124,900.00</v>
      </c>
      <c r="E3134" s="164"/>
      <c r="F3134" s="164" t="str">
        <f ca="1">IFERROR(__xludf.DUMMYFUNCTION("""COMPUTED_VALUE"""),"2023-08-01-10202SP-430-01")</f>
        <v>2023-08-01-10202SP-430-01</v>
      </c>
      <c r="G3134" s="164"/>
      <c r="H3134" s="164" t="str">
        <f ca="1">IFERROR(__xludf.DUMMYFUNCTION("""COMPUTED_VALUE"""),"ANDREW S. MADAYAG")</f>
        <v>ANDREW S. MADAYAG</v>
      </c>
      <c r="I3134" s="164" t="str">
        <f ca="1">IFERROR(__xludf.DUMMYFUNCTION("""COMPUTED_VALUE"""),"ARPT")</f>
        <v>ARPT</v>
      </c>
      <c r="J3134" s="164" t="str">
        <f ca="1">IFERROR(__xludf.DUMMYFUNCTION("""COMPUTED_VALUE"""),"2023-03-011")</f>
        <v>2023-03-011</v>
      </c>
      <c r="K3134" s="164" t="str">
        <f ca="1">IFERROR(__xludf.DUMMYFUNCTION("""COMPUTED_VALUE"""),"ANDREW S. MADAYAG
 JASTIN S. ROMERO")</f>
        <v>ANDREW S. MADAYAG
 JASTIN S. ROMERO</v>
      </c>
      <c r="L3134" s="164" t="str">
        <f ca="1">IFERROR(__xludf.DUMMYFUNCTION("""COMPUTED_VALUE"""),"LTSP")</f>
        <v>LTSP</v>
      </c>
      <c r="M3134" s="164" t="str">
        <f ca="1">IFERROR(__xludf.DUMMYFUNCTION("""COMPUTED_VALUE"""),"SERVICEABLE")</f>
        <v>SERVICEABLE</v>
      </c>
      <c r="N3134" s="164"/>
    </row>
    <row r="3135" spans="1:14" ht="13.2" hidden="1">
      <c r="A3135" s="164" t="str">
        <f ca="1">IFERROR(__xludf.DUMMYFUNCTION("""COMPUTED_VALUE"""),"REGION VIII")</f>
        <v>REGION VIII</v>
      </c>
      <c r="B3135" s="164" t="str">
        <f ca="1">IFERROR(__xludf.DUMMYFUNCTION("""COMPUTED_VALUE"""),"Northern Samar")</f>
        <v>Northern Samar</v>
      </c>
      <c r="C3135" s="164" t="str">
        <f ca="1">IFERROR(__xludf.DUMMYFUNCTION("""COMPUTED_VALUE"""),"Motorcycle – (Honda XRL 150)")</f>
        <v>Motorcycle – (Honda XRL 150)</v>
      </c>
      <c r="D3135" s="164" t="str">
        <f ca="1">IFERROR(__xludf.DUMMYFUNCTION("""COMPUTED_VALUE"""),"₱ 124,900.00")</f>
        <v>₱ 124,900.00</v>
      </c>
      <c r="E3135" s="164"/>
      <c r="F3135" s="164" t="str">
        <f ca="1">IFERROR(__xludf.DUMMYFUNCTION("""COMPUTED_VALUE"""),"2023-08-01-10202SP-434-01")</f>
        <v>2023-08-01-10202SP-434-01</v>
      </c>
      <c r="G3135" s="164"/>
      <c r="H3135" s="164" t="str">
        <f ca="1">IFERROR(__xludf.DUMMYFUNCTION("""COMPUTED_VALUE"""),"JASTIN S. ROMERO")</f>
        <v>JASTIN S. ROMERO</v>
      </c>
      <c r="I3135" s="164" t="str">
        <f ca="1">IFERROR(__xludf.DUMMYFUNCTION("""COMPUTED_VALUE"""),"ARPT")</f>
        <v>ARPT</v>
      </c>
      <c r="J3135" s="164" t="str">
        <f ca="1">IFERROR(__xludf.DUMMYFUNCTION("""COMPUTED_VALUE"""),"2023-03-015")</f>
        <v>2023-03-015</v>
      </c>
      <c r="K3135" s="164" t="str">
        <f ca="1">IFERROR(__xludf.DUMMYFUNCTION("""COMPUTED_VALUE"""),"JASTIN S. ROMERO")</f>
        <v>JASTIN S. ROMERO</v>
      </c>
      <c r="L3135" s="164" t="str">
        <f ca="1">IFERROR(__xludf.DUMMYFUNCTION("""COMPUTED_VALUE"""),"LTSP")</f>
        <v>LTSP</v>
      </c>
      <c r="M3135" s="164" t="str">
        <f ca="1">IFERROR(__xludf.DUMMYFUNCTION("""COMPUTED_VALUE"""),"SERVICEABLE")</f>
        <v>SERVICEABLE</v>
      </c>
      <c r="N3135" s="164"/>
    </row>
    <row r="3136" spans="1:14" ht="13.2" hidden="1">
      <c r="A3136" s="164" t="str">
        <f ca="1">IFERROR(__xludf.DUMMYFUNCTION("""COMPUTED_VALUE"""),"REGION VIII")</f>
        <v>REGION VIII</v>
      </c>
      <c r="B3136" s="164" t="str">
        <f ca="1">IFERROR(__xludf.DUMMYFUNCTION("""COMPUTED_VALUE"""),"Northern Samar")</f>
        <v>Northern Samar</v>
      </c>
      <c r="C3136" s="164" t="str">
        <f ca="1">IFERROR(__xludf.DUMMYFUNCTION("""COMPUTED_VALUE"""),"Motorcycle – (Honda XRL 150)")</f>
        <v>Motorcycle – (Honda XRL 150)</v>
      </c>
      <c r="D3136" s="164" t="str">
        <f ca="1">IFERROR(__xludf.DUMMYFUNCTION("""COMPUTED_VALUE"""),"₱ 124,900.00")</f>
        <v>₱ 124,900.00</v>
      </c>
      <c r="E3136" s="164"/>
      <c r="F3136" s="164" t="str">
        <f ca="1">IFERROR(__xludf.DUMMYFUNCTION("""COMPUTED_VALUE"""),"2023-08-01-10202SP-435-01")</f>
        <v>2023-08-01-10202SP-435-01</v>
      </c>
      <c r="G3136" s="164"/>
      <c r="H3136" s="164" t="str">
        <f ca="1">IFERROR(__xludf.DUMMYFUNCTION("""COMPUTED_VALUE"""),"ROGER BRENZUELA")</f>
        <v>ROGER BRENZUELA</v>
      </c>
      <c r="I3136" s="164" t="str">
        <f ca="1">IFERROR(__xludf.DUMMYFUNCTION("""COMPUTED_VALUE"""),"ARPT")</f>
        <v>ARPT</v>
      </c>
      <c r="J3136" s="164" t="str">
        <f ca="1">IFERROR(__xludf.DUMMYFUNCTION("""COMPUTED_VALUE"""),"2023-03-013")</f>
        <v>2023-03-013</v>
      </c>
      <c r="K3136" s="164" t="str">
        <f ca="1">IFERROR(__xludf.DUMMYFUNCTION("""COMPUTED_VALUE"""),"ROGER BRENZUELA
 JASTIN S. ROMERO")</f>
        <v>ROGER BRENZUELA
 JASTIN S. ROMERO</v>
      </c>
      <c r="L3136" s="164" t="str">
        <f ca="1">IFERROR(__xludf.DUMMYFUNCTION("""COMPUTED_VALUE"""),"LTSP")</f>
        <v>LTSP</v>
      </c>
      <c r="M3136" s="164" t="str">
        <f ca="1">IFERROR(__xludf.DUMMYFUNCTION("""COMPUTED_VALUE"""),"SERVICEABLE")</f>
        <v>SERVICEABLE</v>
      </c>
      <c r="N3136" s="164"/>
    </row>
    <row r="3137" spans="1:14" ht="13.2" hidden="1">
      <c r="A3137" s="164" t="str">
        <f ca="1">IFERROR(__xludf.DUMMYFUNCTION("""COMPUTED_VALUE"""),"REGION VIII")</f>
        <v>REGION VIII</v>
      </c>
      <c r="B3137" s="164" t="str">
        <f ca="1">IFERROR(__xludf.DUMMYFUNCTION("""COMPUTED_VALUE"""),"Northern Samar")</f>
        <v>Northern Samar</v>
      </c>
      <c r="C3137" s="164" t="str">
        <f ca="1">IFERROR(__xludf.DUMMYFUNCTION("""COMPUTED_VALUE"""),"Motorcycle – (Honda XRL 150)")</f>
        <v>Motorcycle – (Honda XRL 150)</v>
      </c>
      <c r="D3137" s="164" t="str">
        <f ca="1">IFERROR(__xludf.DUMMYFUNCTION("""COMPUTED_VALUE"""),"₱ 124,900.00")</f>
        <v>₱ 124,900.00</v>
      </c>
      <c r="E3137" s="164"/>
      <c r="F3137" s="164" t="str">
        <f ca="1">IFERROR(__xludf.DUMMYFUNCTION("""COMPUTED_VALUE"""),"2023-08-01-10202SP-439-01")</f>
        <v>2023-08-01-10202SP-439-01</v>
      </c>
      <c r="G3137" s="164"/>
      <c r="H3137" s="164" t="str">
        <f ca="1">IFERROR(__xludf.DUMMYFUNCTION("""COMPUTED_VALUE"""),"NEIL CONRAD M. LI")</f>
        <v>NEIL CONRAD M. LI</v>
      </c>
      <c r="I3137" s="164" t="str">
        <f ca="1">IFERROR(__xludf.DUMMYFUNCTION("""COMPUTED_VALUE"""),"ARPT/SUPPLY")</f>
        <v>ARPT/SUPPLY</v>
      </c>
      <c r="J3137" s="164" t="str">
        <f ca="1">IFERROR(__xludf.DUMMYFUNCTION("""COMPUTED_VALUE"""),"N/A")</f>
        <v>N/A</v>
      </c>
      <c r="K3137" s="164" t="str">
        <f ca="1">IFERROR(__xludf.DUMMYFUNCTION("""COMPUTED_VALUE"""),"NEIL CONRAD M. LI.
 LEO NEIL M. DORADO")</f>
        <v>NEIL CONRAD M. LI.
 LEO NEIL M. DORADO</v>
      </c>
      <c r="L3137" s="164" t="str">
        <f ca="1">IFERROR(__xludf.DUMMYFUNCTION("""COMPUTED_VALUE"""),"STOD")</f>
        <v>STOD</v>
      </c>
      <c r="M3137" s="164" t="str">
        <f ca="1">IFERROR(__xludf.DUMMYFUNCTION("""COMPUTED_VALUE"""),"SERVICEABLE")</f>
        <v>SERVICEABLE</v>
      </c>
      <c r="N3137" s="164"/>
    </row>
    <row r="3138" spans="1:14" ht="13.2" hidden="1">
      <c r="A3138" s="164" t="str">
        <f ca="1">IFERROR(__xludf.DUMMYFUNCTION("""COMPUTED_VALUE"""),"REGION VIII")</f>
        <v>REGION VIII</v>
      </c>
      <c r="B3138" s="164" t="str">
        <f ca="1">IFERROR(__xludf.DUMMYFUNCTION("""COMPUTED_VALUE"""),"Northern Samar")</f>
        <v>Northern Samar</v>
      </c>
      <c r="C3138" s="164" t="str">
        <f ca="1">IFERROR(__xludf.DUMMYFUNCTION("""COMPUTED_VALUE"""),"Motorcycle – (Honda XRL 150)")</f>
        <v>Motorcycle – (Honda XRL 150)</v>
      </c>
      <c r="D3138" s="164" t="str">
        <f ca="1">IFERROR(__xludf.DUMMYFUNCTION("""COMPUTED_VALUE"""),"₱ 124,900.00")</f>
        <v>₱ 124,900.00</v>
      </c>
      <c r="E3138" s="164"/>
      <c r="F3138" s="164" t="str">
        <f ca="1">IFERROR(__xludf.DUMMYFUNCTION("""COMPUTED_VALUE"""),"2023-08-01-10202SP-442-01")</f>
        <v>2023-08-01-10202SP-442-01</v>
      </c>
      <c r="G3138" s="164"/>
      <c r="H3138" s="164" t="str">
        <f ca="1">IFERROR(__xludf.DUMMYFUNCTION("""COMPUTED_VALUE"""),"RAFFY BALICAT")</f>
        <v>RAFFY BALICAT</v>
      </c>
      <c r="I3138" s="164" t="str">
        <f ca="1">IFERROR(__xludf.DUMMYFUNCTION("""COMPUTED_VALUE"""),"ARPO 1")</f>
        <v>ARPO 1</v>
      </c>
      <c r="J3138" s="164" t="str">
        <f ca="1">IFERROR(__xludf.DUMMYFUNCTION("""COMPUTED_VALUE"""),"2023-03-014")</f>
        <v>2023-03-014</v>
      </c>
      <c r="K3138" s="164" t="str">
        <f ca="1">IFERROR(__xludf.DUMMYFUNCTION("""COMPUTED_VALUE"""),"RAFFY BALICAT
 GEESSA GLACE M. CARIQUITAN")</f>
        <v>RAFFY BALICAT
 GEESSA GLACE M. CARIQUITAN</v>
      </c>
      <c r="L3138" s="164" t="str">
        <f ca="1">IFERROR(__xludf.DUMMYFUNCTION("""COMPUTED_VALUE"""),"LTSP")</f>
        <v>LTSP</v>
      </c>
      <c r="M3138" s="164" t="str">
        <f ca="1">IFERROR(__xludf.DUMMYFUNCTION("""COMPUTED_VALUE"""),"SERVICEABLE")</f>
        <v>SERVICEABLE</v>
      </c>
      <c r="N3138" s="164"/>
    </row>
    <row r="3139" spans="1:14" ht="13.2" hidden="1">
      <c r="A3139" s="164" t="str">
        <f ca="1">IFERROR(__xludf.DUMMYFUNCTION("""COMPUTED_VALUE"""),"REGION VIII")</f>
        <v>REGION VIII</v>
      </c>
      <c r="B3139" s="164" t="str">
        <f ca="1">IFERROR(__xludf.DUMMYFUNCTION("""COMPUTED_VALUE"""),"Northern Samar")</f>
        <v>Northern Samar</v>
      </c>
      <c r="C3139" s="164" t="str">
        <f ca="1">IFERROR(__xludf.DUMMYFUNCTION("""COMPUTED_VALUE"""),"Double Cabin Pick-up Vehicles – Mitsubishi Strada")</f>
        <v>Double Cabin Pick-up Vehicles – Mitsubishi Strada</v>
      </c>
      <c r="D3139" s="164" t="str">
        <f ca="1">IFERROR(__xludf.DUMMYFUNCTION("""COMPUTED_VALUE"""),"₱ 1,752,400.00")</f>
        <v>₱ 1,752,400.00</v>
      </c>
      <c r="E3139" s="164"/>
      <c r="F3139" s="164" t="str">
        <f ca="1">IFERROR(__xludf.DUMMYFUNCTION("""COMPUTED_VALUE"""),"2023-06-01-1020ISP-105-01")</f>
        <v>2023-06-01-1020ISP-105-01</v>
      </c>
      <c r="G3139" s="164" t="str">
        <f ca="1">IFERROR(__xludf.DUMMYFUNCTION("""COMPUTED_VALUE"""),"SNC 1214")</f>
        <v>SNC 1214</v>
      </c>
      <c r="H3139" s="164" t="str">
        <f ca="1">IFERROR(__xludf.DUMMYFUNCTION("""COMPUTED_VALUE"""),"NEIL CONRAD M. LI")</f>
        <v>NEIL CONRAD M. LI</v>
      </c>
      <c r="I3139" s="164" t="str">
        <f ca="1">IFERROR(__xludf.DUMMYFUNCTION("""COMPUTED_VALUE"""),"SUPPLY OFFICER/ARPT")</f>
        <v>SUPPLY OFFICER/ARPT</v>
      </c>
      <c r="J3139" s="164" t="str">
        <f ca="1">IFERROR(__xludf.DUMMYFUNCTION("""COMPUTED_VALUE"""),"N/A")</f>
        <v>N/A</v>
      </c>
      <c r="K3139" s="164" t="str">
        <f ca="1">IFERROR(__xludf.DUMMYFUNCTION("""COMPUTED_VALUE"""),"NEIL CONRAD M. LI
 CHRISTOPHER S. GETALADO")</f>
        <v>NEIL CONRAD M. LI
 CHRISTOPHER S. GETALADO</v>
      </c>
      <c r="L3139" s="164" t="str">
        <f ca="1">IFERROR(__xludf.DUMMYFUNCTION("""COMPUTED_VALUE"""),"STOD")</f>
        <v>STOD</v>
      </c>
      <c r="M3139" s="164" t="str">
        <f ca="1">IFERROR(__xludf.DUMMYFUNCTION("""COMPUTED_VALUE"""),"SERVICEABLE")</f>
        <v>SERVICEABLE</v>
      </c>
      <c r="N3139" s="164"/>
    </row>
    <row r="3140" spans="1:14" ht="13.2" hidden="1">
      <c r="A3140" s="164" t="str">
        <f ca="1">IFERROR(__xludf.DUMMYFUNCTION("""COMPUTED_VALUE"""),"REGION VIII")</f>
        <v>REGION VIII</v>
      </c>
      <c r="B3140" s="164" t="str">
        <f ca="1">IFERROR(__xludf.DUMMYFUNCTION("""COMPUTED_VALUE"""),"Western Samar")</f>
        <v>Western Samar</v>
      </c>
      <c r="C3140" s="164" t="str">
        <f ca="1">IFERROR(__xludf.DUMMYFUNCTION("""COMPUTED_VALUE"""),"Motorcycle – (Honda XRL 150)")</f>
        <v>Motorcycle – (Honda XRL 150)</v>
      </c>
      <c r="D3140" s="164" t="str">
        <f ca="1">IFERROR(__xludf.DUMMYFUNCTION("""COMPUTED_VALUE"""),"₱ 124,900.00")</f>
        <v>₱ 124,900.00</v>
      </c>
      <c r="E3140" s="164"/>
      <c r="F3140" s="164" t="str">
        <f ca="1">IFERROR(__xludf.DUMMYFUNCTION("""COMPUTED_VALUE"""),"2023-06-01-10202SP377-01")</f>
        <v>2023-06-01-10202SP377-01</v>
      </c>
      <c r="G3140" s="164"/>
      <c r="H3140" s="164" t="str">
        <f ca="1">IFERROR(__xludf.DUMMYFUNCTION("""COMPUTED_VALUE"""),"MARK LOUIE BACIERRA")</f>
        <v>MARK LOUIE BACIERRA</v>
      </c>
      <c r="I3140" s="164" t="str">
        <f ca="1">IFERROR(__xludf.DUMMYFUNCTION("""COMPUTED_VALUE"""),"ARPT / Acting Supply Officer")</f>
        <v>ARPT / Acting Supply Officer</v>
      </c>
      <c r="J3140" s="164" t="str">
        <f ca="1">IFERROR(__xludf.DUMMYFUNCTION("""COMPUTED_VALUE"""),"PTR# '001-2023")</f>
        <v>PTR# '001-2023</v>
      </c>
      <c r="K3140" s="164" t="str">
        <f ca="1">IFERROR(__xludf.DUMMYFUNCTION("""COMPUTED_VALUE"""),"MARK LOUIE BACIERRA")</f>
        <v>MARK LOUIE BACIERRA</v>
      </c>
      <c r="L3140" s="164" t="str">
        <f ca="1">IFERROR(__xludf.DUMMYFUNCTION("""COMPUTED_VALUE"""),"STOD")</f>
        <v>STOD</v>
      </c>
      <c r="M3140" s="164" t="str">
        <f ca="1">IFERROR(__xludf.DUMMYFUNCTION("""COMPUTED_VALUE"""),"SERVICEABLE")</f>
        <v>SERVICEABLE</v>
      </c>
      <c r="N3140" s="164"/>
    </row>
    <row r="3141" spans="1:14" ht="13.2" hidden="1">
      <c r="A3141" s="164" t="str">
        <f ca="1">IFERROR(__xludf.DUMMYFUNCTION("""COMPUTED_VALUE"""),"REGION VIII")</f>
        <v>REGION VIII</v>
      </c>
      <c r="B3141" s="164" t="str">
        <f ca="1">IFERROR(__xludf.DUMMYFUNCTION("""COMPUTED_VALUE"""),"Western Samar")</f>
        <v>Western Samar</v>
      </c>
      <c r="C3141" s="164" t="str">
        <f ca="1">IFERROR(__xludf.DUMMYFUNCTION("""COMPUTED_VALUE"""),"Motorcycle – (Honda XRL 150)")</f>
        <v>Motorcycle – (Honda XRL 150)</v>
      </c>
      <c r="D3141" s="164" t="str">
        <f ca="1">IFERROR(__xludf.DUMMYFUNCTION("""COMPUTED_VALUE"""),"₱ 124,900.00")</f>
        <v>₱ 124,900.00</v>
      </c>
      <c r="E3141" s="164"/>
      <c r="F3141" s="164" t="str">
        <f ca="1">IFERROR(__xludf.DUMMYFUNCTION("""COMPUTED_VALUE"""),"2023-06-01-10202SP433-01")</f>
        <v>2023-06-01-10202SP433-01</v>
      </c>
      <c r="G3141" s="164"/>
      <c r="H3141" s="164" t="str">
        <f ca="1">IFERROR(__xludf.DUMMYFUNCTION("""COMPUTED_VALUE"""),"MARK LOUIE BACIERRA")</f>
        <v>MARK LOUIE BACIERRA</v>
      </c>
      <c r="I3141" s="164" t="str">
        <f ca="1">IFERROR(__xludf.DUMMYFUNCTION("""COMPUTED_VALUE"""),"ARPT / Acting Supply Officer")</f>
        <v>ARPT / Acting Supply Officer</v>
      </c>
      <c r="J3141" s="164" t="str">
        <f ca="1">IFERROR(__xludf.DUMMYFUNCTION("""COMPUTED_VALUE"""),"PTR# '001-2023")</f>
        <v>PTR# '001-2023</v>
      </c>
      <c r="K3141" s="164" t="str">
        <f ca="1">IFERROR(__xludf.DUMMYFUNCTION("""COMPUTED_VALUE"""),"MARK LOUIE BACIERRA")</f>
        <v>MARK LOUIE BACIERRA</v>
      </c>
      <c r="L3141" s="164" t="str">
        <f ca="1">IFERROR(__xludf.DUMMYFUNCTION("""COMPUTED_VALUE"""),"STOD")</f>
        <v>STOD</v>
      </c>
      <c r="M3141" s="164" t="str">
        <f ca="1">IFERROR(__xludf.DUMMYFUNCTION("""COMPUTED_VALUE"""),"SERVICEABLE")</f>
        <v>SERVICEABLE</v>
      </c>
      <c r="N3141" s="164"/>
    </row>
    <row r="3142" spans="1:14" ht="13.2" hidden="1">
      <c r="A3142" s="164" t="str">
        <f ca="1">IFERROR(__xludf.DUMMYFUNCTION("""COMPUTED_VALUE"""),"REGION VIII")</f>
        <v>REGION VIII</v>
      </c>
      <c r="B3142" s="164" t="str">
        <f ca="1">IFERROR(__xludf.DUMMYFUNCTION("""COMPUTED_VALUE"""),"Western Samar")</f>
        <v>Western Samar</v>
      </c>
      <c r="C3142" s="164" t="str">
        <f ca="1">IFERROR(__xludf.DUMMYFUNCTION("""COMPUTED_VALUE"""),"Motorcycle – (Honda XRL 150)")</f>
        <v>Motorcycle – (Honda XRL 150)</v>
      </c>
      <c r="D3142" s="164" t="str">
        <f ca="1">IFERROR(__xludf.DUMMYFUNCTION("""COMPUTED_VALUE"""),"₱ 124,900.00")</f>
        <v>₱ 124,900.00</v>
      </c>
      <c r="E3142" s="164"/>
      <c r="F3142" s="164" t="str">
        <f ca="1">IFERROR(__xludf.DUMMYFUNCTION("""COMPUTED_VALUE"""),"2023-06-01-10202SP437-01")</f>
        <v>2023-06-01-10202SP437-01</v>
      </c>
      <c r="G3142" s="164"/>
      <c r="H3142" s="164" t="str">
        <f ca="1">IFERROR(__xludf.DUMMYFUNCTION("""COMPUTED_VALUE"""),"MARK LOUIE BACIERRA")</f>
        <v>MARK LOUIE BACIERRA</v>
      </c>
      <c r="I3142" s="164" t="str">
        <f ca="1">IFERROR(__xludf.DUMMYFUNCTION("""COMPUTED_VALUE"""),"ARPT / Acting Supply Officer")</f>
        <v>ARPT / Acting Supply Officer</v>
      </c>
      <c r="J3142" s="164" t="str">
        <f ca="1">IFERROR(__xludf.DUMMYFUNCTION("""COMPUTED_VALUE"""),"PTR# '001-2023")</f>
        <v>PTR# '001-2023</v>
      </c>
      <c r="K3142" s="164" t="str">
        <f ca="1">IFERROR(__xludf.DUMMYFUNCTION("""COMPUTED_VALUE"""),"MARK LOUIE BACIERRA")</f>
        <v>MARK LOUIE BACIERRA</v>
      </c>
      <c r="L3142" s="164" t="str">
        <f ca="1">IFERROR(__xludf.DUMMYFUNCTION("""COMPUTED_VALUE"""),"STOD")</f>
        <v>STOD</v>
      </c>
      <c r="M3142" s="164" t="str">
        <f ca="1">IFERROR(__xludf.DUMMYFUNCTION("""COMPUTED_VALUE"""),"SERVICEABLE")</f>
        <v>SERVICEABLE</v>
      </c>
      <c r="N3142" s="164"/>
    </row>
    <row r="3143" spans="1:14" ht="13.2" hidden="1">
      <c r="A3143" s="164" t="str">
        <f ca="1">IFERROR(__xludf.DUMMYFUNCTION("""COMPUTED_VALUE"""),"REGION VIII")</f>
        <v>REGION VIII</v>
      </c>
      <c r="B3143" s="164" t="str">
        <f ca="1">IFERROR(__xludf.DUMMYFUNCTION("""COMPUTED_VALUE"""),"Western Samar")</f>
        <v>Western Samar</v>
      </c>
      <c r="C3143" s="164" t="str">
        <f ca="1">IFERROR(__xludf.DUMMYFUNCTION("""COMPUTED_VALUE"""),"Motorcycle – (Honda XRL 150)")</f>
        <v>Motorcycle – (Honda XRL 150)</v>
      </c>
      <c r="D3143" s="164" t="str">
        <f ca="1">IFERROR(__xludf.DUMMYFUNCTION("""COMPUTED_VALUE"""),"₱ 124,900.00")</f>
        <v>₱ 124,900.00</v>
      </c>
      <c r="E3143" s="164"/>
      <c r="F3143" s="164" t="str">
        <f ca="1">IFERROR(__xludf.DUMMYFUNCTION("""COMPUTED_VALUE"""),"2023-06-01-10202SP448-01")</f>
        <v>2023-06-01-10202SP448-01</v>
      </c>
      <c r="G3143" s="164"/>
      <c r="H3143" s="164" t="str">
        <f ca="1">IFERROR(__xludf.DUMMYFUNCTION("""COMPUTED_VALUE"""),"MARK LOUIE BACIERRA")</f>
        <v>MARK LOUIE BACIERRA</v>
      </c>
      <c r="I3143" s="164" t="str">
        <f ca="1">IFERROR(__xludf.DUMMYFUNCTION("""COMPUTED_VALUE"""),"ARPT / Acting Supply Officer")</f>
        <v>ARPT / Acting Supply Officer</v>
      </c>
      <c r="J3143" s="164" t="str">
        <f ca="1">IFERROR(__xludf.DUMMYFUNCTION("""COMPUTED_VALUE"""),"PTR# '001-2023")</f>
        <v>PTR# '001-2023</v>
      </c>
      <c r="K3143" s="164" t="str">
        <f ca="1">IFERROR(__xludf.DUMMYFUNCTION("""COMPUTED_VALUE"""),"MARK LOUIE BACIERRA")</f>
        <v>MARK LOUIE BACIERRA</v>
      </c>
      <c r="L3143" s="164" t="str">
        <f ca="1">IFERROR(__xludf.DUMMYFUNCTION("""COMPUTED_VALUE"""),"STOD")</f>
        <v>STOD</v>
      </c>
      <c r="M3143" s="164" t="str">
        <f ca="1">IFERROR(__xludf.DUMMYFUNCTION("""COMPUTED_VALUE"""),"SERVICEABLE")</f>
        <v>SERVICEABLE</v>
      </c>
      <c r="N3143" s="164"/>
    </row>
    <row r="3144" spans="1:14" ht="13.2" hidden="1">
      <c r="A3144" s="164" t="str">
        <f ca="1">IFERROR(__xludf.DUMMYFUNCTION("""COMPUTED_VALUE"""),"REGION VIII")</f>
        <v>REGION VIII</v>
      </c>
      <c r="B3144" s="164" t="str">
        <f ca="1">IFERROR(__xludf.DUMMYFUNCTION("""COMPUTED_VALUE"""),"Western Samar")</f>
        <v>Western Samar</v>
      </c>
      <c r="C3144" s="164" t="str">
        <f ca="1">IFERROR(__xludf.DUMMYFUNCTION("""COMPUTED_VALUE"""),"Motorcycle – (Honda XRL 150)")</f>
        <v>Motorcycle – (Honda XRL 150)</v>
      </c>
      <c r="D3144" s="164" t="str">
        <f ca="1">IFERROR(__xludf.DUMMYFUNCTION("""COMPUTED_VALUE"""),"₱ 124,900.00")</f>
        <v>₱ 124,900.00</v>
      </c>
      <c r="E3144" s="164"/>
      <c r="F3144" s="164" t="str">
        <f ca="1">IFERROR(__xludf.DUMMYFUNCTION("""COMPUTED_VALUE"""),"2023-06-01-10202SP452-01")</f>
        <v>2023-06-01-10202SP452-01</v>
      </c>
      <c r="G3144" s="164"/>
      <c r="H3144" s="164" t="str">
        <f ca="1">IFERROR(__xludf.DUMMYFUNCTION("""COMPUTED_VALUE"""),"MARK LOUIE BACIERRA")</f>
        <v>MARK LOUIE BACIERRA</v>
      </c>
      <c r="I3144" s="164" t="str">
        <f ca="1">IFERROR(__xludf.DUMMYFUNCTION("""COMPUTED_VALUE"""),"ARPT / Acting Supply Officer")</f>
        <v>ARPT / Acting Supply Officer</v>
      </c>
      <c r="J3144" s="164" t="str">
        <f ca="1">IFERROR(__xludf.DUMMYFUNCTION("""COMPUTED_VALUE"""),"PTR# '001-2023")</f>
        <v>PTR# '001-2023</v>
      </c>
      <c r="K3144" s="164" t="str">
        <f ca="1">IFERROR(__xludf.DUMMYFUNCTION("""COMPUTED_VALUE"""),"MARK LOUIE BACIERRA")</f>
        <v>MARK LOUIE BACIERRA</v>
      </c>
      <c r="L3144" s="164" t="str">
        <f ca="1">IFERROR(__xludf.DUMMYFUNCTION("""COMPUTED_VALUE"""),"STOD")</f>
        <v>STOD</v>
      </c>
      <c r="M3144" s="164" t="str">
        <f ca="1">IFERROR(__xludf.DUMMYFUNCTION("""COMPUTED_VALUE"""),"SERVICEABLE")</f>
        <v>SERVICEABLE</v>
      </c>
      <c r="N3144" s="164"/>
    </row>
    <row r="3145" spans="1:14" ht="13.2" hidden="1">
      <c r="A3145" s="164" t="str">
        <f ca="1">IFERROR(__xludf.DUMMYFUNCTION("""COMPUTED_VALUE"""),"REGION VIII")</f>
        <v>REGION VIII</v>
      </c>
      <c r="B3145" s="164" t="str">
        <f ca="1">IFERROR(__xludf.DUMMYFUNCTION("""COMPUTED_VALUE"""),"Western Samar")</f>
        <v>Western Samar</v>
      </c>
      <c r="C3145" s="164" t="str">
        <f ca="1">IFERROR(__xludf.DUMMYFUNCTION("""COMPUTED_VALUE"""),"Motorcycle – (Honda XRL 150)")</f>
        <v>Motorcycle – (Honda XRL 150)</v>
      </c>
      <c r="D3145" s="164" t="str">
        <f ca="1">IFERROR(__xludf.DUMMYFUNCTION("""COMPUTED_VALUE"""),"₱ 124,900.00")</f>
        <v>₱ 124,900.00</v>
      </c>
      <c r="E3145" s="164"/>
      <c r="F3145" s="164" t="str">
        <f ca="1">IFERROR(__xludf.DUMMYFUNCTION("""COMPUTED_VALUE"""),"2023-06-01-10202SP455-01")</f>
        <v>2023-06-01-10202SP455-01</v>
      </c>
      <c r="G3145" s="164"/>
      <c r="H3145" s="164" t="str">
        <f ca="1">IFERROR(__xludf.DUMMYFUNCTION("""COMPUTED_VALUE"""),"MARK LOUIE BACIERRA")</f>
        <v>MARK LOUIE BACIERRA</v>
      </c>
      <c r="I3145" s="164" t="str">
        <f ca="1">IFERROR(__xludf.DUMMYFUNCTION("""COMPUTED_VALUE"""),"ARPT / Acting Supply Officer")</f>
        <v>ARPT / Acting Supply Officer</v>
      </c>
      <c r="J3145" s="164" t="str">
        <f ca="1">IFERROR(__xludf.DUMMYFUNCTION("""COMPUTED_VALUE"""),"PTR# '001-2023")</f>
        <v>PTR# '001-2023</v>
      </c>
      <c r="K3145" s="164" t="str">
        <f ca="1">IFERROR(__xludf.DUMMYFUNCTION("""COMPUTED_VALUE"""),"MARK LOUIE BACIERRA")</f>
        <v>MARK LOUIE BACIERRA</v>
      </c>
      <c r="L3145" s="164" t="str">
        <f ca="1">IFERROR(__xludf.DUMMYFUNCTION("""COMPUTED_VALUE"""),"STOD")</f>
        <v>STOD</v>
      </c>
      <c r="M3145" s="164" t="str">
        <f ca="1">IFERROR(__xludf.DUMMYFUNCTION("""COMPUTED_VALUE"""),"SERVICEABLE")</f>
        <v>SERVICEABLE</v>
      </c>
      <c r="N3145" s="164"/>
    </row>
    <row r="3146" spans="1:14" ht="13.2" hidden="1">
      <c r="A3146" s="164" t="str">
        <f ca="1">IFERROR(__xludf.DUMMYFUNCTION("""COMPUTED_VALUE"""),"REGION VIII")</f>
        <v>REGION VIII</v>
      </c>
      <c r="B3146" s="164" t="str">
        <f ca="1">IFERROR(__xludf.DUMMYFUNCTION("""COMPUTED_VALUE"""),"Western Samar")</f>
        <v>Western Samar</v>
      </c>
      <c r="C3146" s="164" t="str">
        <f ca="1">IFERROR(__xludf.DUMMYFUNCTION("""COMPUTED_VALUE"""),"Motorcycle – (Honda XRL 150)")</f>
        <v>Motorcycle – (Honda XRL 150)</v>
      </c>
      <c r="D3146" s="164" t="str">
        <f ca="1">IFERROR(__xludf.DUMMYFUNCTION("""COMPUTED_VALUE"""),"₱ 124,900.00")</f>
        <v>₱ 124,900.00</v>
      </c>
      <c r="E3146" s="164"/>
      <c r="F3146" s="164" t="str">
        <f ca="1">IFERROR(__xludf.DUMMYFUNCTION("""COMPUTED_VALUE"""),"2023-06-01-10202SP458-01")</f>
        <v>2023-06-01-10202SP458-01</v>
      </c>
      <c r="G3146" s="164"/>
      <c r="H3146" s="164" t="str">
        <f ca="1">IFERROR(__xludf.DUMMYFUNCTION("""COMPUTED_VALUE"""),"MARK LOUIE BACIERRA")</f>
        <v>MARK LOUIE BACIERRA</v>
      </c>
      <c r="I3146" s="164" t="str">
        <f ca="1">IFERROR(__xludf.DUMMYFUNCTION("""COMPUTED_VALUE"""),"ARPT / Acting Supply Officer")</f>
        <v>ARPT / Acting Supply Officer</v>
      </c>
      <c r="J3146" s="164" t="str">
        <f ca="1">IFERROR(__xludf.DUMMYFUNCTION("""COMPUTED_VALUE"""),"PTR# '001-2023")</f>
        <v>PTR# '001-2023</v>
      </c>
      <c r="K3146" s="164" t="str">
        <f ca="1">IFERROR(__xludf.DUMMYFUNCTION("""COMPUTED_VALUE"""),"MARK LOUIE BACIERRA")</f>
        <v>MARK LOUIE BACIERRA</v>
      </c>
      <c r="L3146" s="164" t="str">
        <f ca="1">IFERROR(__xludf.DUMMYFUNCTION("""COMPUTED_VALUE"""),"STOD")</f>
        <v>STOD</v>
      </c>
      <c r="M3146" s="164" t="str">
        <f ca="1">IFERROR(__xludf.DUMMYFUNCTION("""COMPUTED_VALUE"""),"SERVICEABLE")</f>
        <v>SERVICEABLE</v>
      </c>
      <c r="N3146" s="164"/>
    </row>
    <row r="3147" spans="1:14" ht="13.2" hidden="1">
      <c r="A3147" s="164" t="str">
        <f ca="1">IFERROR(__xludf.DUMMYFUNCTION("""COMPUTED_VALUE"""),"REGION VIII")</f>
        <v>REGION VIII</v>
      </c>
      <c r="B3147" s="164" t="str">
        <f ca="1">IFERROR(__xludf.DUMMYFUNCTION("""COMPUTED_VALUE"""),"Western Samar")</f>
        <v>Western Samar</v>
      </c>
      <c r="C3147" s="164" t="str">
        <f ca="1">IFERROR(__xludf.DUMMYFUNCTION("""COMPUTED_VALUE"""),"Motorcycle – (Honda XRL 150)")</f>
        <v>Motorcycle – (Honda XRL 150)</v>
      </c>
      <c r="D3147" s="164" t="str">
        <f ca="1">IFERROR(__xludf.DUMMYFUNCTION("""COMPUTED_VALUE"""),"₱ 124,900.00")</f>
        <v>₱ 124,900.00</v>
      </c>
      <c r="E3147" s="164"/>
      <c r="F3147" s="164" t="str">
        <f ca="1">IFERROR(__xludf.DUMMYFUNCTION("""COMPUTED_VALUE"""),"2023-06-01-10202SP463-01")</f>
        <v>2023-06-01-10202SP463-01</v>
      </c>
      <c r="G3147" s="164"/>
      <c r="H3147" s="164" t="str">
        <f ca="1">IFERROR(__xludf.DUMMYFUNCTION("""COMPUTED_VALUE"""),"MARK LOUIE BACIERRA")</f>
        <v>MARK LOUIE BACIERRA</v>
      </c>
      <c r="I3147" s="164" t="str">
        <f ca="1">IFERROR(__xludf.DUMMYFUNCTION("""COMPUTED_VALUE"""),"ARPT / Acting Supply Officer")</f>
        <v>ARPT / Acting Supply Officer</v>
      </c>
      <c r="J3147" s="164" t="str">
        <f ca="1">IFERROR(__xludf.DUMMYFUNCTION("""COMPUTED_VALUE"""),"PTR# '001-2023")</f>
        <v>PTR# '001-2023</v>
      </c>
      <c r="K3147" s="164" t="str">
        <f ca="1">IFERROR(__xludf.DUMMYFUNCTION("""COMPUTED_VALUE"""),"MARK LOUIE BACIERRA")</f>
        <v>MARK LOUIE BACIERRA</v>
      </c>
      <c r="L3147" s="164" t="str">
        <f ca="1">IFERROR(__xludf.DUMMYFUNCTION("""COMPUTED_VALUE"""),"STOD")</f>
        <v>STOD</v>
      </c>
      <c r="M3147" s="164" t="str">
        <f ca="1">IFERROR(__xludf.DUMMYFUNCTION("""COMPUTED_VALUE"""),"SERVICEABLE")</f>
        <v>SERVICEABLE</v>
      </c>
      <c r="N3147" s="164"/>
    </row>
    <row r="3148" spans="1:14" ht="13.2" hidden="1">
      <c r="A3148" s="164" t="str">
        <f ca="1">IFERROR(__xludf.DUMMYFUNCTION("""COMPUTED_VALUE"""),"REGION VIII")</f>
        <v>REGION VIII</v>
      </c>
      <c r="B3148" s="164" t="str">
        <f ca="1">IFERROR(__xludf.DUMMYFUNCTION("""COMPUTED_VALUE"""),"Western Samar")</f>
        <v>Western Samar</v>
      </c>
      <c r="C3148" s="164" t="str">
        <f ca="1">IFERROR(__xludf.DUMMYFUNCTION("""COMPUTED_VALUE"""),"Motorcycle – (Honda XRL 150)")</f>
        <v>Motorcycle – (Honda XRL 150)</v>
      </c>
      <c r="D3148" s="164" t="str">
        <f ca="1">IFERROR(__xludf.DUMMYFUNCTION("""COMPUTED_VALUE"""),"₱ 124,900.00")</f>
        <v>₱ 124,900.00</v>
      </c>
      <c r="E3148" s="164"/>
      <c r="F3148" s="164" t="str">
        <f ca="1">IFERROR(__xludf.DUMMYFUNCTION("""COMPUTED_VALUE"""),"2023-06-01-10202SP470-01")</f>
        <v>2023-06-01-10202SP470-01</v>
      </c>
      <c r="G3148" s="164"/>
      <c r="H3148" s="164" t="str">
        <f ca="1">IFERROR(__xludf.DUMMYFUNCTION("""COMPUTED_VALUE"""),"MARK LOUIE BACIERRA")</f>
        <v>MARK LOUIE BACIERRA</v>
      </c>
      <c r="I3148" s="164" t="str">
        <f ca="1">IFERROR(__xludf.DUMMYFUNCTION("""COMPUTED_VALUE"""),"ARPT / Acting Supply Officer")</f>
        <v>ARPT / Acting Supply Officer</v>
      </c>
      <c r="J3148" s="164" t="str">
        <f ca="1">IFERROR(__xludf.DUMMYFUNCTION("""COMPUTED_VALUE"""),"PTR# '001-2023")</f>
        <v>PTR# '001-2023</v>
      </c>
      <c r="K3148" s="164" t="str">
        <f ca="1">IFERROR(__xludf.DUMMYFUNCTION("""COMPUTED_VALUE"""),"MARK LOUIE BACIERRA")</f>
        <v>MARK LOUIE BACIERRA</v>
      </c>
      <c r="L3148" s="164" t="str">
        <f ca="1">IFERROR(__xludf.DUMMYFUNCTION("""COMPUTED_VALUE"""),"STOD")</f>
        <v>STOD</v>
      </c>
      <c r="M3148" s="164" t="str">
        <f ca="1">IFERROR(__xludf.DUMMYFUNCTION("""COMPUTED_VALUE"""),"SERVICEABLE")</f>
        <v>SERVICEABLE</v>
      </c>
      <c r="N3148" s="164"/>
    </row>
    <row r="3149" spans="1:14" ht="13.2" hidden="1">
      <c r="A3149" s="164" t="str">
        <f ca="1">IFERROR(__xludf.DUMMYFUNCTION("""COMPUTED_VALUE"""),"REGION VIII")</f>
        <v>REGION VIII</v>
      </c>
      <c r="B3149" s="164" t="str">
        <f ca="1">IFERROR(__xludf.DUMMYFUNCTION("""COMPUTED_VALUE"""),"Western Samar")</f>
        <v>Western Samar</v>
      </c>
      <c r="C3149" s="164" t="str">
        <f ca="1">IFERROR(__xludf.DUMMYFUNCTION("""COMPUTED_VALUE"""),"Motorcycle – (Honda XRL 150)")</f>
        <v>Motorcycle – (Honda XRL 150)</v>
      </c>
      <c r="D3149" s="164" t="str">
        <f ca="1">IFERROR(__xludf.DUMMYFUNCTION("""COMPUTED_VALUE"""),"₱ 124,900.00")</f>
        <v>₱ 124,900.00</v>
      </c>
      <c r="E3149" s="164"/>
      <c r="F3149" s="164" t="str">
        <f ca="1">IFERROR(__xludf.DUMMYFUNCTION("""COMPUTED_VALUE"""),"2023-06-01-10202SP471-01")</f>
        <v>2023-06-01-10202SP471-01</v>
      </c>
      <c r="G3149" s="164"/>
      <c r="H3149" s="164" t="str">
        <f ca="1">IFERROR(__xludf.DUMMYFUNCTION("""COMPUTED_VALUE"""),"MARK LOUIE BACIERRA")</f>
        <v>MARK LOUIE BACIERRA</v>
      </c>
      <c r="I3149" s="164" t="str">
        <f ca="1">IFERROR(__xludf.DUMMYFUNCTION("""COMPUTED_VALUE"""),"ARPT / Acting Supply Officer")</f>
        <v>ARPT / Acting Supply Officer</v>
      </c>
      <c r="J3149" s="164" t="str">
        <f ca="1">IFERROR(__xludf.DUMMYFUNCTION("""COMPUTED_VALUE"""),"PTR# '001-2023")</f>
        <v>PTR# '001-2023</v>
      </c>
      <c r="K3149" s="164" t="str">
        <f ca="1">IFERROR(__xludf.DUMMYFUNCTION("""COMPUTED_VALUE"""),"MARK LOUIE BACIERRA")</f>
        <v>MARK LOUIE BACIERRA</v>
      </c>
      <c r="L3149" s="164" t="str">
        <f ca="1">IFERROR(__xludf.DUMMYFUNCTION("""COMPUTED_VALUE"""),"STOD")</f>
        <v>STOD</v>
      </c>
      <c r="M3149" s="164" t="str">
        <f ca="1">IFERROR(__xludf.DUMMYFUNCTION("""COMPUTED_VALUE"""),"SERVICEABLE")</f>
        <v>SERVICEABLE</v>
      </c>
      <c r="N3149" s="164"/>
    </row>
    <row r="3150" spans="1:14" ht="13.2" hidden="1">
      <c r="A3150" s="164" t="str">
        <f ca="1">IFERROR(__xludf.DUMMYFUNCTION("""COMPUTED_VALUE"""),"REGION VIII")</f>
        <v>REGION VIII</v>
      </c>
      <c r="B3150" s="164" t="str">
        <f ca="1">IFERROR(__xludf.DUMMYFUNCTION("""COMPUTED_VALUE"""),"Western Samar")</f>
        <v>Western Samar</v>
      </c>
      <c r="C3150" s="164" t="str">
        <f ca="1">IFERROR(__xludf.DUMMYFUNCTION("""COMPUTED_VALUE"""),"Motorcycle – (Honda XRL 150)")</f>
        <v>Motorcycle – (Honda XRL 150)</v>
      </c>
      <c r="D3150" s="164" t="str">
        <f ca="1">IFERROR(__xludf.DUMMYFUNCTION("""COMPUTED_VALUE"""),"₱ 124,900.00")</f>
        <v>₱ 124,900.00</v>
      </c>
      <c r="E3150" s="164"/>
      <c r="F3150" s="164" t="str">
        <f ca="1">IFERROR(__xludf.DUMMYFUNCTION("""COMPUTED_VALUE"""),"2023-06-01-10202SP389-01")</f>
        <v>2023-06-01-10202SP389-01</v>
      </c>
      <c r="G3150" s="164"/>
      <c r="H3150" s="164" t="str">
        <f ca="1">IFERROR(__xludf.DUMMYFUNCTION("""COMPUTED_VALUE"""),"DICK TORRIJAS")</f>
        <v>DICK TORRIJAS</v>
      </c>
      <c r="I3150" s="164" t="str">
        <f ca="1">IFERROR(__xludf.DUMMYFUNCTION("""COMPUTED_VALUE"""),"ARPO I")</f>
        <v>ARPO I</v>
      </c>
      <c r="J3150" s="164" t="str">
        <f ca="1">IFERROR(__xludf.DUMMYFUNCTION("""COMPUTED_VALUE"""),"PTR# SP2023-02-9002")</f>
        <v>PTR# SP2023-02-9002</v>
      </c>
      <c r="K3150" s="164" t="str">
        <f ca="1">IFERROR(__xludf.DUMMYFUNCTION("""COMPUTED_VALUE"""),"DICK TORRIJAS")</f>
        <v>DICK TORRIJAS</v>
      </c>
      <c r="L3150" s="164" t="str">
        <f ca="1">IFERROR(__xludf.DUMMYFUNCTION("""COMPUTED_VALUE"""),"DARMO CALBAYOG")</f>
        <v>DARMO CALBAYOG</v>
      </c>
      <c r="M3150" s="164" t="str">
        <f ca="1">IFERROR(__xludf.DUMMYFUNCTION("""COMPUTED_VALUE"""),"SERVICEABLE")</f>
        <v>SERVICEABLE</v>
      </c>
      <c r="N3150" s="164"/>
    </row>
    <row r="3151" spans="1:14" ht="13.2" hidden="1">
      <c r="A3151" s="164" t="str">
        <f ca="1">IFERROR(__xludf.DUMMYFUNCTION("""COMPUTED_VALUE"""),"REGION VIII")</f>
        <v>REGION VIII</v>
      </c>
      <c r="B3151" s="164" t="str">
        <f ca="1">IFERROR(__xludf.DUMMYFUNCTION("""COMPUTED_VALUE"""),"Western Samar")</f>
        <v>Western Samar</v>
      </c>
      <c r="C3151" s="164" t="str">
        <f ca="1">IFERROR(__xludf.DUMMYFUNCTION("""COMPUTED_VALUE"""),"Motorcycle – (Honda XRL 150)")</f>
        <v>Motorcycle – (Honda XRL 150)</v>
      </c>
      <c r="D3151" s="164" t="str">
        <f ca="1">IFERROR(__xludf.DUMMYFUNCTION("""COMPUTED_VALUE"""),"₱ 124,900.00")</f>
        <v>₱ 124,900.00</v>
      </c>
      <c r="E3151" s="164"/>
      <c r="F3151" s="164" t="str">
        <f ca="1">IFERROR(__xludf.DUMMYFUNCTION("""COMPUTED_VALUE"""),"2023-06-01-10202SP405-01")</f>
        <v>2023-06-01-10202SP405-01</v>
      </c>
      <c r="G3151" s="164"/>
      <c r="H3151" s="164" t="str">
        <f ca="1">IFERROR(__xludf.DUMMYFUNCTION("""COMPUTED_VALUE"""),"ARIEL ALEXIS LEDDA")</f>
        <v>ARIEL ALEXIS LEDDA</v>
      </c>
      <c r="I3151" s="164" t="str">
        <f ca="1">IFERROR(__xludf.DUMMYFUNCTION("""COMPUTED_VALUE"""),"SARPT")</f>
        <v>SARPT</v>
      </c>
      <c r="J3151" s="164" t="str">
        <f ca="1">IFERROR(__xludf.DUMMYFUNCTION("""COMPUTED_VALUE"""),"PTR# SP2023-02-9003")</f>
        <v>PTR# SP2023-02-9003</v>
      </c>
      <c r="K3151" s="164" t="str">
        <f ca="1">IFERROR(__xludf.DUMMYFUNCTION("""COMPUTED_VALUE"""),"ARIEL ALEXIS LEDDA")</f>
        <v>ARIEL ALEXIS LEDDA</v>
      </c>
      <c r="L3151" s="164" t="str">
        <f ca="1">IFERROR(__xludf.DUMMYFUNCTION("""COMPUTED_VALUE"""),"DARMO MARBUT")</f>
        <v>DARMO MARBUT</v>
      </c>
      <c r="M3151" s="164" t="str">
        <f ca="1">IFERROR(__xludf.DUMMYFUNCTION("""COMPUTED_VALUE"""),"SERVICEABLE")</f>
        <v>SERVICEABLE</v>
      </c>
      <c r="N3151" s="164"/>
    </row>
    <row r="3152" spans="1:14" ht="13.2" hidden="1">
      <c r="A3152" s="164" t="str">
        <f ca="1">IFERROR(__xludf.DUMMYFUNCTION("""COMPUTED_VALUE"""),"REGION VIII")</f>
        <v>REGION VIII</v>
      </c>
      <c r="B3152" s="164" t="str">
        <f ca="1">IFERROR(__xludf.DUMMYFUNCTION("""COMPUTED_VALUE"""),"Western Samar")</f>
        <v>Western Samar</v>
      </c>
      <c r="C3152" s="164" t="str">
        <f ca="1">IFERROR(__xludf.DUMMYFUNCTION("""COMPUTED_VALUE"""),"Motorcycle – (Honda XRL 150)")</f>
        <v>Motorcycle – (Honda XRL 150)</v>
      </c>
      <c r="D3152" s="164" t="str">
        <f ca="1">IFERROR(__xludf.DUMMYFUNCTION("""COMPUTED_VALUE"""),"₱ 124,900.00")</f>
        <v>₱ 124,900.00</v>
      </c>
      <c r="E3152" s="164"/>
      <c r="F3152" s="164" t="str">
        <f ca="1">IFERROR(__xludf.DUMMYFUNCTION("""COMPUTED_VALUE"""),"2023-06-01-10202SP408-01")</f>
        <v>2023-06-01-10202SP408-01</v>
      </c>
      <c r="G3152" s="164"/>
      <c r="H3152" s="164" t="str">
        <f ca="1">IFERROR(__xludf.DUMMYFUNCTION("""COMPUTED_VALUE"""),"JODL CHRISTI PEPITO")</f>
        <v>JODL CHRISTI PEPITO</v>
      </c>
      <c r="I3152" s="164" t="str">
        <f ca="1">IFERROR(__xludf.DUMMYFUNCTION("""COMPUTED_VALUE"""),"ARPT")</f>
        <v>ARPT</v>
      </c>
      <c r="J3152" s="164" t="str">
        <f ca="1">IFERROR(__xludf.DUMMYFUNCTION("""COMPUTED_VALUE"""),"PTR# SP2023-02-9004")</f>
        <v>PTR# SP2023-02-9004</v>
      </c>
      <c r="K3152" s="164" t="str">
        <f ca="1">IFERROR(__xludf.DUMMYFUNCTION("""COMPUTED_VALUE"""),"JODL CHRISTI PEPITO")</f>
        <v>JODL CHRISTI PEPITO</v>
      </c>
      <c r="L3152" s="164" t="str">
        <f ca="1">IFERROR(__xludf.DUMMYFUNCTION("""COMPUTED_VALUE"""),"LTSP")</f>
        <v>LTSP</v>
      </c>
      <c r="M3152" s="164" t="str">
        <f ca="1">IFERROR(__xludf.DUMMYFUNCTION("""COMPUTED_VALUE"""),"SERVICEABLE")</f>
        <v>SERVICEABLE</v>
      </c>
      <c r="N3152" s="164"/>
    </row>
    <row r="3153" spans="1:14" ht="13.2" hidden="1">
      <c r="A3153" s="164" t="str">
        <f ca="1">IFERROR(__xludf.DUMMYFUNCTION("""COMPUTED_VALUE"""),"REGION VIII")</f>
        <v>REGION VIII</v>
      </c>
      <c r="B3153" s="164" t="str">
        <f ca="1">IFERROR(__xludf.DUMMYFUNCTION("""COMPUTED_VALUE"""),"Western Samar")</f>
        <v>Western Samar</v>
      </c>
      <c r="C3153" s="164" t="str">
        <f ca="1">IFERROR(__xludf.DUMMYFUNCTION("""COMPUTED_VALUE"""),"Motorcycle – (Honda XRL 150)")</f>
        <v>Motorcycle – (Honda XRL 150)</v>
      </c>
      <c r="D3153" s="164" t="str">
        <f ca="1">IFERROR(__xludf.DUMMYFUNCTION("""COMPUTED_VALUE"""),"₱ 124,900.00")</f>
        <v>₱ 124,900.00</v>
      </c>
      <c r="E3153" s="164"/>
      <c r="F3153" s="164" t="str">
        <f ca="1">IFERROR(__xludf.DUMMYFUNCTION("""COMPUTED_VALUE"""),"2023-06-01-10202SP413-01")</f>
        <v>2023-06-01-10202SP413-01</v>
      </c>
      <c r="G3153" s="164"/>
      <c r="H3153" s="164" t="str">
        <f ca="1">IFERROR(__xludf.DUMMYFUNCTION("""COMPUTED_VALUE"""),"SILVINO PEÑERO")</f>
        <v>SILVINO PEÑERO</v>
      </c>
      <c r="I3153" s="164" t="str">
        <f ca="1">IFERROR(__xludf.DUMMYFUNCTION("""COMPUTED_VALUE"""),"Survey Man")</f>
        <v>Survey Man</v>
      </c>
      <c r="J3153" s="164" t="str">
        <f ca="1">IFERROR(__xludf.DUMMYFUNCTION("""COMPUTED_VALUE"""),"PTR# SP2023-02-9005")</f>
        <v>PTR# SP2023-02-9005</v>
      </c>
      <c r="K3153" s="164" t="str">
        <f ca="1">IFERROR(__xludf.DUMMYFUNCTION("""COMPUTED_VALUE"""),"SILVINO PEÑERO")</f>
        <v>SILVINO PEÑERO</v>
      </c>
      <c r="L3153" s="164" t="str">
        <f ca="1">IFERROR(__xludf.DUMMYFUNCTION("""COMPUTED_VALUE"""),"DARMO STA. RITA")</f>
        <v>DARMO STA. RITA</v>
      </c>
      <c r="M3153" s="164" t="str">
        <f ca="1">IFERROR(__xludf.DUMMYFUNCTION("""COMPUTED_VALUE"""),"SERVICEABLE")</f>
        <v>SERVICEABLE</v>
      </c>
      <c r="N3153" s="164"/>
    </row>
    <row r="3154" spans="1:14" ht="13.2" hidden="1">
      <c r="A3154" s="164" t="str">
        <f ca="1">IFERROR(__xludf.DUMMYFUNCTION("""COMPUTED_VALUE"""),"REGION VIII")</f>
        <v>REGION VIII</v>
      </c>
      <c r="B3154" s="164" t="str">
        <f ca="1">IFERROR(__xludf.DUMMYFUNCTION("""COMPUTED_VALUE"""),"Western Samar")</f>
        <v>Western Samar</v>
      </c>
      <c r="C3154" s="164" t="str">
        <f ca="1">IFERROR(__xludf.DUMMYFUNCTION("""COMPUTED_VALUE"""),"Motorcycle – (Honda XRL 150)")</f>
        <v>Motorcycle – (Honda XRL 150)</v>
      </c>
      <c r="D3154" s="164" t="str">
        <f ca="1">IFERROR(__xludf.DUMMYFUNCTION("""COMPUTED_VALUE"""),"₱ 124,900.00")</f>
        <v>₱ 124,900.00</v>
      </c>
      <c r="E3154" s="164"/>
      <c r="F3154" s="164" t="str">
        <f ca="1">IFERROR(__xludf.DUMMYFUNCTION("""COMPUTED_VALUE"""),"2023-06-01-10202SP416-01")</f>
        <v>2023-06-01-10202SP416-01</v>
      </c>
      <c r="G3154" s="164"/>
      <c r="H3154" s="164" t="str">
        <f ca="1">IFERROR(__xludf.DUMMYFUNCTION("""COMPUTED_VALUE"""),"JOHN ROMULO")</f>
        <v>JOHN ROMULO</v>
      </c>
      <c r="I3154" s="164" t="str">
        <f ca="1">IFERROR(__xludf.DUMMYFUNCTION("""COMPUTED_VALUE"""),"ARPO I")</f>
        <v>ARPO I</v>
      </c>
      <c r="J3154" s="164" t="str">
        <f ca="1">IFERROR(__xludf.DUMMYFUNCTION("""COMPUTED_VALUE"""),"PTR# SP2023-02-9015")</f>
        <v>PTR# SP2023-02-9015</v>
      </c>
      <c r="K3154" s="164" t="str">
        <f ca="1">IFERROR(__xludf.DUMMYFUNCTION("""COMPUTED_VALUE"""),"JOHN ROMULO")</f>
        <v>JOHN ROMULO</v>
      </c>
      <c r="L3154" s="164" t="str">
        <f ca="1">IFERROR(__xludf.DUMMYFUNCTION("""COMPUTED_VALUE"""),"DARMO VILLAREAL")</f>
        <v>DARMO VILLAREAL</v>
      </c>
      <c r="M3154" s="164" t="str">
        <f ca="1">IFERROR(__xludf.DUMMYFUNCTION("""COMPUTED_VALUE"""),"SERVICEABLE")</f>
        <v>SERVICEABLE</v>
      </c>
      <c r="N3154" s="164"/>
    </row>
    <row r="3155" spans="1:14" ht="13.2" hidden="1">
      <c r="A3155" s="164" t="str">
        <f ca="1">IFERROR(__xludf.DUMMYFUNCTION("""COMPUTED_VALUE"""),"REGION VIII")</f>
        <v>REGION VIII</v>
      </c>
      <c r="B3155" s="164" t="str">
        <f ca="1">IFERROR(__xludf.DUMMYFUNCTION("""COMPUTED_VALUE"""),"Western Samar")</f>
        <v>Western Samar</v>
      </c>
      <c r="C3155" s="164" t="str">
        <f ca="1">IFERROR(__xludf.DUMMYFUNCTION("""COMPUTED_VALUE"""),"Motorcycle – (Honda XRL 150)")</f>
        <v>Motorcycle – (Honda XRL 150)</v>
      </c>
      <c r="D3155" s="164" t="str">
        <f ca="1">IFERROR(__xludf.DUMMYFUNCTION("""COMPUTED_VALUE"""),"₱ 124,900.00")</f>
        <v>₱ 124,900.00</v>
      </c>
      <c r="E3155" s="164"/>
      <c r="F3155" s="164" t="str">
        <f ca="1">IFERROR(__xludf.DUMMYFUNCTION("""COMPUTED_VALUE"""),"2023-06-01-10202SP429-01")</f>
        <v>2023-06-01-10202SP429-01</v>
      </c>
      <c r="G3155" s="164"/>
      <c r="H3155" s="164" t="str">
        <f ca="1">IFERROR(__xludf.DUMMYFUNCTION("""COMPUTED_VALUE"""),"KEITH GABRIEL AMANO")</f>
        <v>KEITH GABRIEL AMANO</v>
      </c>
      <c r="I3155" s="164" t="str">
        <f ca="1">IFERROR(__xludf.DUMMYFUNCTION("""COMPUTED_VALUE"""),"ARPO I")</f>
        <v>ARPO I</v>
      </c>
      <c r="J3155" s="164" t="str">
        <f ca="1">IFERROR(__xludf.DUMMYFUNCTION("""COMPUTED_VALUE"""),"PTR# SP2023-02-9007")</f>
        <v>PTR# SP2023-02-9007</v>
      </c>
      <c r="K3155" s="164" t="str">
        <f ca="1">IFERROR(__xludf.DUMMYFUNCTION("""COMPUTED_VALUE"""),"KEITH GABRIEL AMANO")</f>
        <v>KEITH GABRIEL AMANO</v>
      </c>
      <c r="L3155" s="164" t="str">
        <f ca="1">IFERROR(__xludf.DUMMYFUNCTION("""COMPUTED_VALUE"""),"DARMO BASEY")</f>
        <v>DARMO BASEY</v>
      </c>
      <c r="M3155" s="164" t="str">
        <f ca="1">IFERROR(__xludf.DUMMYFUNCTION("""COMPUTED_VALUE"""),"SERVICEABLE")</f>
        <v>SERVICEABLE</v>
      </c>
      <c r="N3155" s="164"/>
    </row>
    <row r="3156" spans="1:14" ht="13.2" hidden="1">
      <c r="A3156" s="164" t="str">
        <f ca="1">IFERROR(__xludf.DUMMYFUNCTION("""COMPUTED_VALUE"""),"REGION VIII")</f>
        <v>REGION VIII</v>
      </c>
      <c r="B3156" s="164" t="str">
        <f ca="1">IFERROR(__xludf.DUMMYFUNCTION("""COMPUTED_VALUE"""),"Western Samar")</f>
        <v>Western Samar</v>
      </c>
      <c r="C3156" s="164" t="str">
        <f ca="1">IFERROR(__xludf.DUMMYFUNCTION("""COMPUTED_VALUE"""),"Motorcycle – (Honda XRL 150)")</f>
        <v>Motorcycle – (Honda XRL 150)</v>
      </c>
      <c r="D3156" s="164" t="str">
        <f ca="1">IFERROR(__xludf.DUMMYFUNCTION("""COMPUTED_VALUE"""),"₱ 124,900.00")</f>
        <v>₱ 124,900.00</v>
      </c>
      <c r="E3156" s="164"/>
      <c r="F3156" s="164" t="str">
        <f ca="1">IFERROR(__xludf.DUMMYFUNCTION("""COMPUTED_VALUE"""),"2023-06-01-10202SP438-01")</f>
        <v>2023-06-01-10202SP438-01</v>
      </c>
      <c r="G3156" s="164"/>
      <c r="H3156" s="164" t="str">
        <f ca="1">IFERROR(__xludf.DUMMYFUNCTION("""COMPUTED_VALUE"""),"MELBA DISTRAJO")</f>
        <v>MELBA DISTRAJO</v>
      </c>
      <c r="I3156" s="164" t="str">
        <f ca="1">IFERROR(__xludf.DUMMYFUNCTION("""COMPUTED_VALUE"""),"SARPT")</f>
        <v>SARPT</v>
      </c>
      <c r="J3156" s="164" t="str">
        <f ca="1">IFERROR(__xludf.DUMMYFUNCTION("""COMPUTED_VALUE"""),"PTR# SP2023-02-9014")</f>
        <v>PTR# SP2023-02-9014</v>
      </c>
      <c r="K3156" s="164" t="str">
        <f ca="1">IFERROR(__xludf.DUMMYFUNCTION("""COMPUTED_VALUE"""),"MELBA DISTRAJO")</f>
        <v>MELBA DISTRAJO</v>
      </c>
      <c r="L3156" s="164" t="str">
        <f ca="1">IFERROR(__xludf.DUMMYFUNCTION("""COMPUTED_VALUE"""),"DARMO PINABACDAO")</f>
        <v>DARMO PINABACDAO</v>
      </c>
      <c r="M3156" s="164" t="str">
        <f ca="1">IFERROR(__xludf.DUMMYFUNCTION("""COMPUTED_VALUE"""),"SERVICEABLE")</f>
        <v>SERVICEABLE</v>
      </c>
      <c r="N3156" s="164"/>
    </row>
    <row r="3157" spans="1:14" ht="13.2" hidden="1">
      <c r="A3157" s="164" t="str">
        <f ca="1">IFERROR(__xludf.DUMMYFUNCTION("""COMPUTED_VALUE"""),"REGION VIII")</f>
        <v>REGION VIII</v>
      </c>
      <c r="B3157" s="164" t="str">
        <f ca="1">IFERROR(__xludf.DUMMYFUNCTION("""COMPUTED_VALUE"""),"Western Samar")</f>
        <v>Western Samar</v>
      </c>
      <c r="C3157" s="164" t="str">
        <f ca="1">IFERROR(__xludf.DUMMYFUNCTION("""COMPUTED_VALUE"""),"Motorcycle – (Honda XRL 150)")</f>
        <v>Motorcycle – (Honda XRL 150)</v>
      </c>
      <c r="D3157" s="164" t="str">
        <f ca="1">IFERROR(__xludf.DUMMYFUNCTION("""COMPUTED_VALUE"""),"₱ 124,900.00")</f>
        <v>₱ 124,900.00</v>
      </c>
      <c r="E3157" s="164"/>
      <c r="F3157" s="164" t="str">
        <f ca="1">IFERROR(__xludf.DUMMYFUNCTION("""COMPUTED_VALUE"""),"2023-06-01-10202SP443-01")</f>
        <v>2023-06-01-10202SP443-01</v>
      </c>
      <c r="G3157" s="164"/>
      <c r="H3157" s="164" t="str">
        <f ca="1">IFERROR(__xludf.DUMMYFUNCTION("""COMPUTED_VALUE"""),"MARK KEVIN CHUA")</f>
        <v>MARK KEVIN CHUA</v>
      </c>
      <c r="I3157" s="164" t="str">
        <f ca="1">IFERROR(__xludf.DUMMYFUNCTION("""COMPUTED_VALUE"""),"ARPO I")</f>
        <v>ARPO I</v>
      </c>
      <c r="J3157" s="164" t="str">
        <f ca="1">IFERROR(__xludf.DUMMYFUNCTION("""COMPUTED_VALUE"""),"PTR# SP2023-02-9016")</f>
        <v>PTR# SP2023-02-9016</v>
      </c>
      <c r="K3157" s="164" t="str">
        <f ca="1">IFERROR(__xludf.DUMMYFUNCTION("""COMPUTED_VALUE"""),"MARK KEVIN CHUA")</f>
        <v>MARK KEVIN CHUA</v>
      </c>
      <c r="L3157" s="164" t="str">
        <f ca="1">IFERROR(__xludf.DUMMYFUNCTION("""COMPUTED_VALUE"""),"DARMO GANDARA")</f>
        <v>DARMO GANDARA</v>
      </c>
      <c r="M3157" s="164" t="str">
        <f ca="1">IFERROR(__xludf.DUMMYFUNCTION("""COMPUTED_VALUE"""),"SERVICEABLE")</f>
        <v>SERVICEABLE</v>
      </c>
      <c r="N3157" s="164"/>
    </row>
    <row r="3158" spans="1:14" ht="13.2" hidden="1">
      <c r="A3158" s="164" t="str">
        <f ca="1">IFERROR(__xludf.DUMMYFUNCTION("""COMPUTED_VALUE"""),"REGION VIII")</f>
        <v>REGION VIII</v>
      </c>
      <c r="B3158" s="164" t="str">
        <f ca="1">IFERROR(__xludf.DUMMYFUNCTION("""COMPUTED_VALUE"""),"Western Samar")</f>
        <v>Western Samar</v>
      </c>
      <c r="C3158" s="164" t="str">
        <f ca="1">IFERROR(__xludf.DUMMYFUNCTION("""COMPUTED_VALUE"""),"Motorcycle – (Honda XRL 150)")</f>
        <v>Motorcycle – (Honda XRL 150)</v>
      </c>
      <c r="D3158" s="164" t="str">
        <f ca="1">IFERROR(__xludf.DUMMYFUNCTION("""COMPUTED_VALUE"""),"₱ 124,900.00")</f>
        <v>₱ 124,900.00</v>
      </c>
      <c r="E3158" s="164"/>
      <c r="F3158" s="164" t="str">
        <f ca="1">IFERROR(__xludf.DUMMYFUNCTION("""COMPUTED_VALUE"""),"2023-06-01-10202SP444-01")</f>
        <v>2023-06-01-10202SP444-01</v>
      </c>
      <c r="G3158" s="164"/>
      <c r="H3158" s="164" t="str">
        <f ca="1">IFERROR(__xludf.DUMMYFUNCTION("""COMPUTED_VALUE"""),"RAYNALDO LABINE")</f>
        <v>RAYNALDO LABINE</v>
      </c>
      <c r="I3158" s="164" t="str">
        <f ca="1">IFERROR(__xludf.DUMMYFUNCTION("""COMPUTED_VALUE"""),"ARPO I")</f>
        <v>ARPO I</v>
      </c>
      <c r="J3158" s="164" t="str">
        <f ca="1">IFERROR(__xludf.DUMMYFUNCTION("""COMPUTED_VALUE"""),"PTR# SP2023-02-9012")</f>
        <v>PTR# SP2023-02-9012</v>
      </c>
      <c r="K3158" s="164" t="str">
        <f ca="1">IFERROR(__xludf.DUMMYFUNCTION("""COMPUTED_VALUE"""),"RAYNALDO LABINE")</f>
        <v>RAYNALDO LABINE</v>
      </c>
      <c r="L3158" s="164" t="str">
        <f ca="1">IFERROR(__xludf.DUMMYFUNCTION("""COMPUTED_VALUE"""),"DARMO MOTIONG")</f>
        <v>DARMO MOTIONG</v>
      </c>
      <c r="M3158" s="164" t="str">
        <f ca="1">IFERROR(__xludf.DUMMYFUNCTION("""COMPUTED_VALUE"""),"SERVICEABLE")</f>
        <v>SERVICEABLE</v>
      </c>
      <c r="N3158" s="164"/>
    </row>
    <row r="3159" spans="1:14" ht="13.2" hidden="1">
      <c r="A3159" s="164" t="str">
        <f ca="1">IFERROR(__xludf.DUMMYFUNCTION("""COMPUTED_VALUE"""),"REGION VIII")</f>
        <v>REGION VIII</v>
      </c>
      <c r="B3159" s="164" t="str">
        <f ca="1">IFERROR(__xludf.DUMMYFUNCTION("""COMPUTED_VALUE"""),"Western Samar")</f>
        <v>Western Samar</v>
      </c>
      <c r="C3159" s="164" t="str">
        <f ca="1">IFERROR(__xludf.DUMMYFUNCTION("""COMPUTED_VALUE"""),"Motorcycle – (Honda XRL 150)")</f>
        <v>Motorcycle – (Honda XRL 150)</v>
      </c>
      <c r="D3159" s="164" t="str">
        <f ca="1">IFERROR(__xludf.DUMMYFUNCTION("""COMPUTED_VALUE"""),"₱ 124,900.00")</f>
        <v>₱ 124,900.00</v>
      </c>
      <c r="E3159" s="164"/>
      <c r="F3159" s="164" t="str">
        <f ca="1">IFERROR(__xludf.DUMMYFUNCTION("""COMPUTED_VALUE"""),"2023-06-01-10202SP453-01")</f>
        <v>2023-06-01-10202SP453-01</v>
      </c>
      <c r="G3159" s="164"/>
      <c r="H3159" s="164" t="str">
        <f ca="1">IFERROR(__xludf.DUMMYFUNCTION("""COMPUTED_VALUE"""),"VIRGIL GERDILA")</f>
        <v>VIRGIL GERDILA</v>
      </c>
      <c r="I3159" s="164" t="str">
        <f ca="1">IFERROR(__xludf.DUMMYFUNCTION("""COMPUTED_VALUE"""),"ARPT")</f>
        <v>ARPT</v>
      </c>
      <c r="J3159" s="164" t="str">
        <f ca="1">IFERROR(__xludf.DUMMYFUNCTION("""COMPUTED_VALUE"""),"PTR# SP2023-02-9006")</f>
        <v>PTR# SP2023-02-9006</v>
      </c>
      <c r="K3159" s="164" t="str">
        <f ca="1">IFERROR(__xludf.DUMMYFUNCTION("""COMPUTED_VALUE"""),"VIRGIL GERDILA")</f>
        <v>VIRGIL GERDILA</v>
      </c>
      <c r="L3159" s="164" t="str">
        <f ca="1">IFERROR(__xludf.DUMMYFUNCTION("""COMPUTED_VALUE"""),"DARMO PAGSANGHAN")</f>
        <v>DARMO PAGSANGHAN</v>
      </c>
      <c r="M3159" s="164" t="str">
        <f ca="1">IFERROR(__xludf.DUMMYFUNCTION("""COMPUTED_VALUE"""),"SERVICEABLE")</f>
        <v>SERVICEABLE</v>
      </c>
      <c r="N3159" s="164"/>
    </row>
    <row r="3160" spans="1:14" ht="13.2" hidden="1">
      <c r="A3160" s="164" t="str">
        <f ca="1">IFERROR(__xludf.DUMMYFUNCTION("""COMPUTED_VALUE"""),"REGION VIII")</f>
        <v>REGION VIII</v>
      </c>
      <c r="B3160" s="164" t="str">
        <f ca="1">IFERROR(__xludf.DUMMYFUNCTION("""COMPUTED_VALUE"""),"Western Samar")</f>
        <v>Western Samar</v>
      </c>
      <c r="C3160" s="164" t="str">
        <f ca="1">IFERROR(__xludf.DUMMYFUNCTION("""COMPUTED_VALUE"""),"Motorcycle – (Honda XRL 150)")</f>
        <v>Motorcycle – (Honda XRL 150)</v>
      </c>
      <c r="D3160" s="164" t="str">
        <f ca="1">IFERROR(__xludf.DUMMYFUNCTION("""COMPUTED_VALUE"""),"₱ 124,900.00")</f>
        <v>₱ 124,900.00</v>
      </c>
      <c r="E3160" s="164"/>
      <c r="F3160" s="164" t="str">
        <f ca="1">IFERROR(__xludf.DUMMYFUNCTION("""COMPUTED_VALUE"""),"2023-06-01-10202SP456-01")</f>
        <v>2023-06-01-10202SP456-01</v>
      </c>
      <c r="G3160" s="164"/>
      <c r="H3160" s="164" t="str">
        <f ca="1">IFERROR(__xludf.DUMMYFUNCTION("""COMPUTED_VALUE"""),"RESTITUTO LOZARES")</f>
        <v>RESTITUTO LOZARES</v>
      </c>
      <c r="I3160" s="164" t="str">
        <f ca="1">IFERROR(__xludf.DUMMYFUNCTION("""COMPUTED_VALUE"""),"ARPO II")</f>
        <v>ARPO II</v>
      </c>
      <c r="J3160" s="164" t="str">
        <f ca="1">IFERROR(__xludf.DUMMYFUNCTION("""COMPUTED_VALUE"""),"PTR# SP2023-02-9017")</f>
        <v>PTR# SP2023-02-9017</v>
      </c>
      <c r="K3160" s="164" t="str">
        <f ca="1">IFERROR(__xludf.DUMMYFUNCTION("""COMPUTED_VALUE"""),"RESTITUTO LOZARES")</f>
        <v>RESTITUTO LOZARES</v>
      </c>
      <c r="L3160" s="164" t="str">
        <f ca="1">IFERROR(__xludf.DUMMYFUNCTION("""COMPUTED_VALUE"""),"LEGAL")</f>
        <v>LEGAL</v>
      </c>
      <c r="M3160" s="164" t="str">
        <f ca="1">IFERROR(__xludf.DUMMYFUNCTION("""COMPUTED_VALUE"""),"SERVICEABLE")</f>
        <v>SERVICEABLE</v>
      </c>
      <c r="N3160" s="164"/>
    </row>
    <row r="3161" spans="1:14" ht="13.2" hidden="1">
      <c r="A3161" s="164" t="str">
        <f ca="1">IFERROR(__xludf.DUMMYFUNCTION("""COMPUTED_VALUE"""),"REGION VIII")</f>
        <v>REGION VIII</v>
      </c>
      <c r="B3161" s="164" t="str">
        <f ca="1">IFERROR(__xludf.DUMMYFUNCTION("""COMPUTED_VALUE"""),"Western Samar")</f>
        <v>Western Samar</v>
      </c>
      <c r="C3161" s="164" t="str">
        <f ca="1">IFERROR(__xludf.DUMMYFUNCTION("""COMPUTED_VALUE"""),"Motorcycle – (Honda XRL 150)")</f>
        <v>Motorcycle – (Honda XRL 150)</v>
      </c>
      <c r="D3161" s="164" t="str">
        <f ca="1">IFERROR(__xludf.DUMMYFUNCTION("""COMPUTED_VALUE"""),"₱ 124,900.00")</f>
        <v>₱ 124,900.00</v>
      </c>
      <c r="E3161" s="164"/>
      <c r="F3161" s="164" t="str">
        <f ca="1">IFERROR(__xludf.DUMMYFUNCTION("""COMPUTED_VALUE"""),"2023-06-01-10202SP457-01")</f>
        <v>2023-06-01-10202SP457-01</v>
      </c>
      <c r="G3161" s="164"/>
      <c r="H3161" s="164" t="str">
        <f ca="1">IFERROR(__xludf.DUMMYFUNCTION("""COMPUTED_VALUE"""),"CHARMAINE NACIONAL")</f>
        <v>CHARMAINE NACIONAL</v>
      </c>
      <c r="I3161" s="164" t="str">
        <f ca="1">IFERROR(__xludf.DUMMYFUNCTION("""COMPUTED_VALUE"""),"ARPO I")</f>
        <v>ARPO I</v>
      </c>
      <c r="J3161" s="164" t="str">
        <f ca="1">IFERROR(__xludf.DUMMYFUNCTION("""COMPUTED_VALUE"""),"PTR# SP2023-02-9013")</f>
        <v>PTR# SP2023-02-9013</v>
      </c>
      <c r="K3161" s="164" t="str">
        <f ca="1">IFERROR(__xludf.DUMMYFUNCTION("""COMPUTED_VALUE"""),"CHARMAINE NACIONAL")</f>
        <v>CHARMAINE NACIONAL</v>
      </c>
      <c r="L3161" s="164" t="str">
        <f ca="1">IFERROR(__xludf.DUMMYFUNCTION("""COMPUTED_VALUE"""),"DARMO SAN SEBASTIAN")</f>
        <v>DARMO SAN SEBASTIAN</v>
      </c>
      <c r="M3161" s="164" t="str">
        <f ca="1">IFERROR(__xludf.DUMMYFUNCTION("""COMPUTED_VALUE"""),"SERVICEABLE")</f>
        <v>SERVICEABLE</v>
      </c>
      <c r="N3161" s="164"/>
    </row>
    <row r="3162" spans="1:14" ht="13.2" hidden="1">
      <c r="A3162" s="164" t="str">
        <f ca="1">IFERROR(__xludf.DUMMYFUNCTION("""COMPUTED_VALUE"""),"REGION VIII")</f>
        <v>REGION VIII</v>
      </c>
      <c r="B3162" s="164" t="str">
        <f ca="1">IFERROR(__xludf.DUMMYFUNCTION("""COMPUTED_VALUE"""),"Western Samar")</f>
        <v>Western Samar</v>
      </c>
      <c r="C3162" s="164" t="str">
        <f ca="1">IFERROR(__xludf.DUMMYFUNCTION("""COMPUTED_VALUE"""),"Motorcycle – (Honda XRL 150)")</f>
        <v>Motorcycle – (Honda XRL 150)</v>
      </c>
      <c r="D3162" s="164" t="str">
        <f ca="1">IFERROR(__xludf.DUMMYFUNCTION("""COMPUTED_VALUE"""),"₱ 124,900.00")</f>
        <v>₱ 124,900.00</v>
      </c>
      <c r="E3162" s="164"/>
      <c r="F3162" s="164" t="str">
        <f ca="1">IFERROR(__xludf.DUMMYFUNCTION("""COMPUTED_VALUE"""),"2023-06-01-10202SP462-01")</f>
        <v>2023-06-01-10202SP462-01</v>
      </c>
      <c r="G3162" s="164"/>
      <c r="H3162" s="164" t="str">
        <f ca="1">IFERROR(__xludf.DUMMYFUNCTION("""COMPUTED_VALUE"""),"JAYBOY ROLLO")</f>
        <v>JAYBOY ROLLO</v>
      </c>
      <c r="I3162" s="164" t="str">
        <f ca="1">IFERROR(__xludf.DUMMYFUNCTION("""COMPUTED_VALUE"""),"SARPT")</f>
        <v>SARPT</v>
      </c>
      <c r="J3162" s="164" t="str">
        <f ca="1">IFERROR(__xludf.DUMMYFUNCTION("""COMPUTED_VALUE"""),"PTR# SP2023-02-9022")</f>
        <v>PTR# SP2023-02-9022</v>
      </c>
      <c r="K3162" s="164" t="str">
        <f ca="1">IFERROR(__xludf.DUMMYFUNCTION("""COMPUTED_VALUE"""),"JAYBOY ROLLO")</f>
        <v>JAYBOY ROLLO</v>
      </c>
      <c r="L3162" s="164" t="str">
        <f ca="1">IFERROR(__xludf.DUMMYFUNCTION("""COMPUTED_VALUE"""),"DARMO SAN JORGE")</f>
        <v>DARMO SAN JORGE</v>
      </c>
      <c r="M3162" s="164" t="str">
        <f ca="1">IFERROR(__xludf.DUMMYFUNCTION("""COMPUTED_VALUE"""),"SERVICEABLE")</f>
        <v>SERVICEABLE</v>
      </c>
      <c r="N3162" s="164"/>
    </row>
    <row r="3163" spans="1:14" ht="13.2" hidden="1">
      <c r="A3163" s="164" t="str">
        <f ca="1">IFERROR(__xludf.DUMMYFUNCTION("""COMPUTED_VALUE"""),"REGION VIII")</f>
        <v>REGION VIII</v>
      </c>
      <c r="B3163" s="164" t="str">
        <f ca="1">IFERROR(__xludf.DUMMYFUNCTION("""COMPUTED_VALUE"""),"Western Samar")</f>
        <v>Western Samar</v>
      </c>
      <c r="C3163" s="164" t="str">
        <f ca="1">IFERROR(__xludf.DUMMYFUNCTION("""COMPUTED_VALUE"""),"Motorcycle – (Honda XRL 150)")</f>
        <v>Motorcycle – (Honda XRL 150)</v>
      </c>
      <c r="D3163" s="164" t="str">
        <f ca="1">IFERROR(__xludf.DUMMYFUNCTION("""COMPUTED_VALUE"""),"₱ 124,900.00")</f>
        <v>₱ 124,900.00</v>
      </c>
      <c r="E3163" s="164"/>
      <c r="F3163" s="164" t="str">
        <f ca="1">IFERROR(__xludf.DUMMYFUNCTION("""COMPUTED_VALUE"""),"2023-06-01-10202SP465-01")</f>
        <v>2023-06-01-10202SP465-01</v>
      </c>
      <c r="G3163" s="164"/>
      <c r="H3163" s="164" t="str">
        <f ca="1">IFERROR(__xludf.DUMMYFUNCTION("""COMPUTED_VALUE"""),"GABRIEL MARK OCENAR")</f>
        <v>GABRIEL MARK OCENAR</v>
      </c>
      <c r="I3163" s="164" t="str">
        <f ca="1">IFERROR(__xludf.DUMMYFUNCTION("""COMPUTED_VALUE"""),"ARPT")</f>
        <v>ARPT</v>
      </c>
      <c r="J3163" s="164" t="str">
        <f ca="1">IFERROR(__xludf.DUMMYFUNCTION("""COMPUTED_VALUE"""),"PTR# SP2023-09-9029")</f>
        <v>PTR# SP2023-09-9029</v>
      </c>
      <c r="K3163" s="164" t="str">
        <f ca="1">IFERROR(__xludf.DUMMYFUNCTION("""COMPUTED_VALUE"""),"GABRIEL MARK OCENAR")</f>
        <v>GABRIEL MARK OCENAR</v>
      </c>
      <c r="L3163" s="164" t="str">
        <f ca="1">IFERROR(__xludf.DUMMYFUNCTION("""COMPUTED_VALUE"""),"DARMO CALPINSET")</f>
        <v>DARMO CALPINSET</v>
      </c>
      <c r="M3163" s="164" t="str">
        <f ca="1">IFERROR(__xludf.DUMMYFUNCTION("""COMPUTED_VALUE"""),"SERVICEABLE")</f>
        <v>SERVICEABLE</v>
      </c>
      <c r="N3163" s="164"/>
    </row>
    <row r="3164" spans="1:14" ht="13.2" hidden="1">
      <c r="A3164" s="164" t="str">
        <f ca="1">IFERROR(__xludf.DUMMYFUNCTION("""COMPUTED_VALUE"""),"REGION VIII")</f>
        <v>REGION VIII</v>
      </c>
      <c r="B3164" s="164" t="str">
        <f ca="1">IFERROR(__xludf.DUMMYFUNCTION("""COMPUTED_VALUE"""),"Western Samar")</f>
        <v>Western Samar</v>
      </c>
      <c r="C3164" s="164" t="str">
        <f ca="1">IFERROR(__xludf.DUMMYFUNCTION("""COMPUTED_VALUE"""),"Motorcycle – (Honda XRL 150)")</f>
        <v>Motorcycle – (Honda XRL 150)</v>
      </c>
      <c r="D3164" s="164" t="str">
        <f ca="1">IFERROR(__xludf.DUMMYFUNCTION("""COMPUTED_VALUE"""),"₱ 124,900.00")</f>
        <v>₱ 124,900.00</v>
      </c>
      <c r="E3164" s="164"/>
      <c r="F3164" s="164" t="str">
        <f ca="1">IFERROR(__xludf.DUMMYFUNCTION("""COMPUTED_VALUE"""),"2023-06-01-10202SP468-01")</f>
        <v>2023-06-01-10202SP468-01</v>
      </c>
      <c r="G3164" s="164"/>
      <c r="H3164" s="164" t="str">
        <f ca="1">IFERROR(__xludf.DUMMYFUNCTION("""COMPUTED_VALUE"""),"ALEXANDER ABIT")</f>
        <v>ALEXANDER ABIT</v>
      </c>
      <c r="I3164" s="164" t="str">
        <f ca="1">IFERROR(__xludf.DUMMYFUNCTION("""COMPUTED_VALUE"""),"ADMIN AIDE IV / DRIVER")</f>
        <v>ADMIN AIDE IV / DRIVER</v>
      </c>
      <c r="J3164" s="164" t="str">
        <f ca="1">IFERROR(__xludf.DUMMYFUNCTION("""COMPUTED_VALUE"""),"PTR# SP2023-02-9008")</f>
        <v>PTR# SP2023-02-9008</v>
      </c>
      <c r="K3164" s="164" t="str">
        <f ca="1">IFERROR(__xludf.DUMMYFUNCTION("""COMPUTED_VALUE"""),"ALEXANDER ABIT")</f>
        <v>ALEXANDER ABIT</v>
      </c>
      <c r="L3164" s="164" t="str">
        <f ca="1">IFERROR(__xludf.DUMMYFUNCTION("""COMPUTED_VALUE"""),"PARPO'S OFFICE")</f>
        <v>PARPO'S OFFICE</v>
      </c>
      <c r="M3164" s="164" t="str">
        <f ca="1">IFERROR(__xludf.DUMMYFUNCTION("""COMPUTED_VALUE"""),"SERVICEABLE")</f>
        <v>SERVICEABLE</v>
      </c>
      <c r="N3164" s="164"/>
    </row>
    <row r="3165" spans="1:14" ht="13.2" hidden="1">
      <c r="A3165" s="164" t="str">
        <f ca="1">IFERROR(__xludf.DUMMYFUNCTION("""COMPUTED_VALUE"""),"REGION VIII")</f>
        <v>REGION VIII</v>
      </c>
      <c r="B3165" s="164" t="str">
        <f ca="1">IFERROR(__xludf.DUMMYFUNCTION("""COMPUTED_VALUE"""),"Western Samar")</f>
        <v>Western Samar</v>
      </c>
      <c r="C3165" s="164" t="str">
        <f ca="1">IFERROR(__xludf.DUMMYFUNCTION("""COMPUTED_VALUE"""),"Motorcycle – (Honda XRL 150)")</f>
        <v>Motorcycle – (Honda XRL 150)</v>
      </c>
      <c r="D3165" s="164" t="str">
        <f ca="1">IFERROR(__xludf.DUMMYFUNCTION("""COMPUTED_VALUE"""),"₱ 124,900.00")</f>
        <v>₱ 124,900.00</v>
      </c>
      <c r="E3165" s="164"/>
      <c r="F3165" s="164" t="str">
        <f ca="1">IFERROR(__xludf.DUMMYFUNCTION("""COMPUTED_VALUE"""),"2023-06-01-10202SP469-01")</f>
        <v>2023-06-01-10202SP469-01</v>
      </c>
      <c r="G3165" s="164"/>
      <c r="H3165" s="164" t="str">
        <f ca="1">IFERROR(__xludf.DUMMYFUNCTION("""COMPUTED_VALUE"""),"JONAS BRACAMONTE")</f>
        <v>JONAS BRACAMONTE</v>
      </c>
      <c r="I3165" s="164" t="str">
        <f ca="1">IFERROR(__xludf.DUMMYFUNCTION("""COMPUTED_VALUE"""),"ARPT")</f>
        <v>ARPT</v>
      </c>
      <c r="J3165" s="164" t="str">
        <f ca="1">IFERROR(__xludf.DUMMYFUNCTION("""COMPUTED_VALUE"""),"PTR# SP2023-02-9026")</f>
        <v>PTR# SP2023-02-9026</v>
      </c>
      <c r="K3165" s="164" t="str">
        <f ca="1">IFERROR(__xludf.DUMMYFUNCTION("""COMPUTED_VALUE"""),"JONAS BRACAMONTE")</f>
        <v>JONAS BRACAMONTE</v>
      </c>
      <c r="L3165" s="164" t="str">
        <f ca="1">IFERROR(__xludf.DUMMYFUNCTION("""COMPUTED_VALUE"""),"DARMO STA. MARGARITA")</f>
        <v>DARMO STA. MARGARITA</v>
      </c>
      <c r="M3165" s="164" t="str">
        <f ca="1">IFERROR(__xludf.DUMMYFUNCTION("""COMPUTED_VALUE"""),"SERVICEABLE")</f>
        <v>SERVICEABLE</v>
      </c>
      <c r="N3165" s="164"/>
    </row>
    <row r="3166" spans="1:14" ht="13.2" hidden="1">
      <c r="A3166" s="164" t="str">
        <f ca="1">IFERROR(__xludf.DUMMYFUNCTION("""COMPUTED_VALUE"""),"REGION VIII")</f>
        <v>REGION VIII</v>
      </c>
      <c r="B3166" s="164" t="str">
        <f ca="1">IFERROR(__xludf.DUMMYFUNCTION("""COMPUTED_VALUE"""),"Western Samar")</f>
        <v>Western Samar</v>
      </c>
      <c r="C3166" s="164" t="str">
        <f ca="1">IFERROR(__xludf.DUMMYFUNCTION("""COMPUTED_VALUE"""),"Motorcycle – (Honda XRL 150)")</f>
        <v>Motorcycle – (Honda XRL 150)</v>
      </c>
      <c r="D3166" s="164" t="str">
        <f ca="1">IFERROR(__xludf.DUMMYFUNCTION("""COMPUTED_VALUE"""),"₱ 124,900.00")</f>
        <v>₱ 124,900.00</v>
      </c>
      <c r="E3166" s="164"/>
      <c r="F3166" s="164" t="str">
        <f ca="1">IFERROR(__xludf.DUMMYFUNCTION("""COMPUTED_VALUE"""),"2023-06-01-10202SP477-01")</f>
        <v>2023-06-01-10202SP477-01</v>
      </c>
      <c r="G3166" s="164"/>
      <c r="H3166" s="164" t="str">
        <f ca="1">IFERROR(__xludf.DUMMYFUNCTION("""COMPUTED_VALUE"""),"BALTAZAR DACLES")</f>
        <v>BALTAZAR DACLES</v>
      </c>
      <c r="I3166" s="164" t="str">
        <f ca="1">IFERROR(__xludf.DUMMYFUNCTION("""COMPUTED_VALUE"""),"SARPT")</f>
        <v>SARPT</v>
      </c>
      <c r="J3166" s="164" t="str">
        <f ca="1">IFERROR(__xludf.DUMMYFUNCTION("""COMPUTED_VALUE"""),"PTR# SP2023-02-9009")</f>
        <v>PTR# SP2023-02-9009</v>
      </c>
      <c r="K3166" s="164" t="str">
        <f ca="1">IFERROR(__xludf.DUMMYFUNCTION("""COMPUTED_VALUE"""),"BALTAZAR DACLES")</f>
        <v>BALTAZAR DACLES</v>
      </c>
      <c r="L3166" s="164" t="str">
        <f ca="1">IFERROR(__xludf.DUMMYFUNCTION("""COMPUTED_VALUE"""),"DARMO ZUMARRAGA")</f>
        <v>DARMO ZUMARRAGA</v>
      </c>
      <c r="M3166" s="164" t="str">
        <f ca="1">IFERROR(__xludf.DUMMYFUNCTION("""COMPUTED_VALUE"""),"SERVICEABLE")</f>
        <v>SERVICEABLE</v>
      </c>
      <c r="N3166" s="164"/>
    </row>
    <row r="3167" spans="1:14" ht="13.2" hidden="1">
      <c r="A3167" s="164" t="str">
        <f ca="1">IFERROR(__xludf.DUMMYFUNCTION("""COMPUTED_VALUE"""),"REGION VIII")</f>
        <v>REGION VIII</v>
      </c>
      <c r="B3167" s="164" t="str">
        <f ca="1">IFERROR(__xludf.DUMMYFUNCTION("""COMPUTED_VALUE"""),"Western Samar")</f>
        <v>Western Samar</v>
      </c>
      <c r="C3167" s="164" t="str">
        <f ca="1">IFERROR(__xludf.DUMMYFUNCTION("""COMPUTED_VALUE"""),"Motorcycle – (Honda XRL 150)")</f>
        <v>Motorcycle – (Honda XRL 150)</v>
      </c>
      <c r="D3167" s="164" t="str">
        <f ca="1">IFERROR(__xludf.DUMMYFUNCTION("""COMPUTED_VALUE"""),"₱ 124,900.00")</f>
        <v>₱ 124,900.00</v>
      </c>
      <c r="E3167" s="164"/>
      <c r="F3167" s="164" t="str">
        <f ca="1">IFERROR(__xludf.DUMMYFUNCTION("""COMPUTED_VALUE"""),"2023-06-01-10202SP-461-01")</f>
        <v>2023-06-01-10202SP-461-01</v>
      </c>
      <c r="G3167" s="164"/>
      <c r="H3167" s="164"/>
      <c r="I3167" s="164"/>
      <c r="J3167" s="164"/>
      <c r="K3167" s="164"/>
      <c r="L3167" s="164"/>
      <c r="M3167" s="164" t="str">
        <f ca="1">IFERROR(__xludf.DUMMYFUNCTION("""COMPUTED_VALUE"""),"SERVICEABLE")</f>
        <v>SERVICEABLE</v>
      </c>
      <c r="N3167" s="164"/>
    </row>
    <row r="3168" spans="1:14" ht="13.2" hidden="1">
      <c r="A3168" s="164" t="str">
        <f ca="1">IFERROR(__xludf.DUMMYFUNCTION("""COMPUTED_VALUE"""),"REGION VIII")</f>
        <v>REGION VIII</v>
      </c>
      <c r="B3168" s="164" t="str">
        <f ca="1">IFERROR(__xludf.DUMMYFUNCTION("""COMPUTED_VALUE"""),"Western Samar")</f>
        <v>Western Samar</v>
      </c>
      <c r="C3168" s="164" t="str">
        <f ca="1">IFERROR(__xludf.DUMMYFUNCTION("""COMPUTED_VALUE"""),"Motorcycle – (Honda XRL 150)")</f>
        <v>Motorcycle – (Honda XRL 150)</v>
      </c>
      <c r="D3168" s="164" t="str">
        <f ca="1">IFERROR(__xludf.DUMMYFUNCTION("""COMPUTED_VALUE"""),"₱ 124,900.00")</f>
        <v>₱ 124,900.00</v>
      </c>
      <c r="E3168" s="164"/>
      <c r="F3168" s="164" t="str">
        <f ca="1">IFERROR(__xludf.DUMMYFUNCTION("""COMPUTED_VALUE"""),"2023-06-01-10202SP460-01")</f>
        <v>2023-06-01-10202SP460-01</v>
      </c>
      <c r="G3168" s="164"/>
      <c r="H3168" s="164" t="str">
        <f ca="1">IFERROR(__xludf.DUMMYFUNCTION("""COMPUTED_VALUE"""),"KENWOOD MENDA")</f>
        <v>KENWOOD MENDA</v>
      </c>
      <c r="I3168" s="164" t="str">
        <f ca="1">IFERROR(__xludf.DUMMYFUNCTION("""COMPUTED_VALUE"""),"ARPT")</f>
        <v>ARPT</v>
      </c>
      <c r="J3168" s="164" t="str">
        <f ca="1">IFERROR(__xludf.DUMMYFUNCTION("""COMPUTED_VALUE"""),"PTR# SP2023-02-9011")</f>
        <v>PTR# SP2023-02-9011</v>
      </c>
      <c r="K3168" s="164" t="str">
        <f ca="1">IFERROR(__xludf.DUMMYFUNCTION("""COMPUTED_VALUE"""),"KENWOOD MENDA")</f>
        <v>KENWOOD MENDA</v>
      </c>
      <c r="L3168" s="164" t="str">
        <f ca="1">IFERROR(__xludf.DUMMYFUNCTION("""COMPUTED_VALUE"""),"DARMO PARANAS")</f>
        <v>DARMO PARANAS</v>
      </c>
      <c r="M3168" s="164" t="str">
        <f ca="1">IFERROR(__xludf.DUMMYFUNCTION("""COMPUTED_VALUE"""),"SERVICEABLE")</f>
        <v>SERVICEABLE</v>
      </c>
      <c r="N3168" s="164"/>
    </row>
    <row r="3169" spans="1:14" ht="13.2" hidden="1">
      <c r="A3169" s="164" t="str">
        <f ca="1">IFERROR(__xludf.DUMMYFUNCTION("""COMPUTED_VALUE"""),"REGION VIII")</f>
        <v>REGION VIII</v>
      </c>
      <c r="B3169" s="164" t="str">
        <f ca="1">IFERROR(__xludf.DUMMYFUNCTION("""COMPUTED_VALUE"""),"Western Samar")</f>
        <v>Western Samar</v>
      </c>
      <c r="C3169" s="164" t="str">
        <f ca="1">IFERROR(__xludf.DUMMYFUNCTION("""COMPUTED_VALUE"""),"Double Cabin Pick-up Vehicles – Mitsubishi Strada")</f>
        <v>Double Cabin Pick-up Vehicles – Mitsubishi Strada</v>
      </c>
      <c r="D3169" s="164" t="str">
        <f ca="1">IFERROR(__xludf.DUMMYFUNCTION("""COMPUTED_VALUE"""),"₱ 124,900.00")</f>
        <v>₱ 124,900.00</v>
      </c>
      <c r="E3169" s="164"/>
      <c r="F3169" s="164" t="str">
        <f ca="1">IFERROR(__xludf.DUMMYFUNCTION("""COMPUTED_VALUE"""),"2023-06-01-1020ISP-106-01")</f>
        <v>2023-06-01-1020ISP-106-01</v>
      </c>
      <c r="G3169" s="164" t="str">
        <f ca="1">IFERROR(__xludf.DUMMYFUNCTION("""COMPUTED_VALUE"""),"SNC 1225")</f>
        <v>SNC 1225</v>
      </c>
      <c r="H3169" s="164" t="str">
        <f ca="1">IFERROR(__xludf.DUMMYFUNCTION("""COMPUTED_VALUE"""),"ALEXANDER P ABIT")</f>
        <v>ALEXANDER P ABIT</v>
      </c>
      <c r="I3169" s="164" t="str">
        <f ca="1">IFERROR(__xludf.DUMMYFUNCTION("""COMPUTED_VALUE"""),"DRIVER")</f>
        <v>DRIVER</v>
      </c>
      <c r="J3169" s="164" t="str">
        <f ca="1">IFERROR(__xludf.DUMMYFUNCTION("""COMPUTED_VALUE"""),"005-2023")</f>
        <v>005-2023</v>
      </c>
      <c r="K3169" s="164" t="str">
        <f ca="1">IFERROR(__xludf.DUMMYFUNCTION("""COMPUTED_VALUE"""),"ALEXANDER P ABIT")</f>
        <v>ALEXANDER P ABIT</v>
      </c>
      <c r="L3169" s="164"/>
      <c r="M3169" s="164" t="str">
        <f ca="1">IFERROR(__xludf.DUMMYFUNCTION("""COMPUTED_VALUE"""),"SERVICEABLE")</f>
        <v>SERVICEABLE</v>
      </c>
      <c r="N3169" s="164"/>
    </row>
    <row r="3170" spans="1:14" ht="13.2" hidden="1">
      <c r="A3170" s="164" t="str">
        <f ca="1">IFERROR(__xludf.DUMMYFUNCTION("""COMPUTED_VALUE"""),"REGION VIII")</f>
        <v>REGION VIII</v>
      </c>
      <c r="B3170" s="164" t="str">
        <f ca="1">IFERROR(__xludf.DUMMYFUNCTION("""COMPUTED_VALUE"""),"Leyte")</f>
        <v>Leyte</v>
      </c>
      <c r="C3170" s="164" t="str">
        <f ca="1">IFERROR(__xludf.DUMMYFUNCTION("""COMPUTED_VALUE"""),"Motorcycle – (Honda XRL 150)")</f>
        <v>Motorcycle – (Honda XRL 150)</v>
      </c>
      <c r="D3170" s="164" t="str">
        <f ca="1">IFERROR(__xludf.DUMMYFUNCTION("""COMPUTED_VALUE"""),"₱ 124,900.00")</f>
        <v>₱ 124,900.00</v>
      </c>
      <c r="E3170" s="164"/>
      <c r="F3170" s="164" t="str">
        <f ca="1">IFERROR(__xludf.DUMMYFUNCTION("""COMPUTED_VALUE"""),"2023-06-01-10202SP364-01")</f>
        <v>2023-06-01-10202SP364-01</v>
      </c>
      <c r="G3170" s="164"/>
      <c r="H3170" s="164" t="str">
        <f ca="1">IFERROR(__xludf.DUMMYFUNCTION("""COMPUTED_VALUE"""),"ELIEZER A. CABELIN")</f>
        <v>ELIEZER A. CABELIN</v>
      </c>
      <c r="I3170" s="164" t="str">
        <f ca="1">IFERROR(__xludf.DUMMYFUNCTION("""COMPUTED_VALUE"""),"ARPT (BURAUEN)")</f>
        <v>ARPT (BURAUEN)</v>
      </c>
      <c r="J3170" s="164"/>
      <c r="K3170" s="164" t="str">
        <f ca="1">IFERROR(__xludf.DUMMYFUNCTION("""COMPUTED_VALUE"""),"ELIEZER A. CABELIN")</f>
        <v>ELIEZER A. CABELIN</v>
      </c>
      <c r="L3170" s="164" t="str">
        <f ca="1">IFERROR(__xludf.DUMMYFUNCTION("""COMPUTED_VALUE"""),"DARMO BURAUEN")</f>
        <v>DARMO BURAUEN</v>
      </c>
      <c r="M3170" s="164" t="str">
        <f ca="1">IFERROR(__xludf.DUMMYFUNCTION("""COMPUTED_VALUE"""),"SERVICEABLE")</f>
        <v>SERVICEABLE</v>
      </c>
      <c r="N3170" s="164"/>
    </row>
    <row r="3171" spans="1:14" ht="13.2" hidden="1">
      <c r="A3171" s="164" t="str">
        <f ca="1">IFERROR(__xludf.DUMMYFUNCTION("""COMPUTED_VALUE"""),"REGION VIII")</f>
        <v>REGION VIII</v>
      </c>
      <c r="B3171" s="164" t="str">
        <f ca="1">IFERROR(__xludf.DUMMYFUNCTION("""COMPUTED_VALUE"""),"Leyte")</f>
        <v>Leyte</v>
      </c>
      <c r="C3171" s="164" t="str">
        <f ca="1">IFERROR(__xludf.DUMMYFUNCTION("""COMPUTED_VALUE"""),"Motorcycle – (Honda XRL 150)")</f>
        <v>Motorcycle – (Honda XRL 150)</v>
      </c>
      <c r="D3171" s="164" t="str">
        <f ca="1">IFERROR(__xludf.DUMMYFUNCTION("""COMPUTED_VALUE"""),"₱ 124,900.00")</f>
        <v>₱ 124,900.00</v>
      </c>
      <c r="E3171" s="164"/>
      <c r="F3171" s="164" t="str">
        <f ca="1">IFERROR(__xludf.DUMMYFUNCTION("""COMPUTED_VALUE"""),"2023-06-01-10202SP365-01")</f>
        <v>2023-06-01-10202SP365-01</v>
      </c>
      <c r="G3171" s="164"/>
      <c r="H3171" s="164" t="str">
        <f ca="1">IFERROR(__xludf.DUMMYFUNCTION("""COMPUTED_VALUE"""),"MARVIN C. SALVATIERRA")</f>
        <v>MARVIN C. SALVATIERRA</v>
      </c>
      <c r="I3171" s="164" t="str">
        <f ca="1">IFERROR(__xludf.DUMMYFUNCTION("""COMPUTED_VALUE"""),"ARPT / DF (TOLOSA)")</f>
        <v>ARPT / DF (TOLOSA)</v>
      </c>
      <c r="J3171" s="164"/>
      <c r="K3171" s="164" t="str">
        <f ca="1">IFERROR(__xludf.DUMMYFUNCTION("""COMPUTED_VALUE"""),"MARVIN C. SALVATIERRA")</f>
        <v>MARVIN C. SALVATIERRA</v>
      </c>
      <c r="L3171" s="164" t="str">
        <f ca="1">IFERROR(__xludf.DUMMYFUNCTION("""COMPUTED_VALUE"""),"DARMO TOLOSA")</f>
        <v>DARMO TOLOSA</v>
      </c>
      <c r="M3171" s="164" t="str">
        <f ca="1">IFERROR(__xludf.DUMMYFUNCTION("""COMPUTED_VALUE"""),"SERVICEABLE")</f>
        <v>SERVICEABLE</v>
      </c>
      <c r="N3171" s="164"/>
    </row>
    <row r="3172" spans="1:14" ht="13.2" hidden="1">
      <c r="A3172" s="164" t="str">
        <f ca="1">IFERROR(__xludf.DUMMYFUNCTION("""COMPUTED_VALUE"""),"REGION VIII")</f>
        <v>REGION VIII</v>
      </c>
      <c r="B3172" s="164" t="str">
        <f ca="1">IFERROR(__xludf.DUMMYFUNCTION("""COMPUTED_VALUE"""),"Leyte")</f>
        <v>Leyte</v>
      </c>
      <c r="C3172" s="164" t="str">
        <f ca="1">IFERROR(__xludf.DUMMYFUNCTION("""COMPUTED_VALUE"""),"Motorcycle – (Honda XRL 150)")</f>
        <v>Motorcycle – (Honda XRL 150)</v>
      </c>
      <c r="D3172" s="164" t="str">
        <f ca="1">IFERROR(__xludf.DUMMYFUNCTION("""COMPUTED_VALUE"""),"₱ 124,900.00")</f>
        <v>₱ 124,900.00</v>
      </c>
      <c r="E3172" s="164"/>
      <c r="F3172" s="164" t="str">
        <f ca="1">IFERROR(__xludf.DUMMYFUNCTION("""COMPUTED_VALUE"""),"2023-06-01-10202SP366-01")</f>
        <v>2023-06-01-10202SP366-01</v>
      </c>
      <c r="G3172" s="164"/>
      <c r="H3172" s="164" t="str">
        <f ca="1">IFERROR(__xludf.DUMMYFUNCTION("""COMPUTED_VALUE"""),"JEFFREY R. MAJAIT")</f>
        <v>JEFFREY R. MAJAIT</v>
      </c>
      <c r="I3172" s="164" t="str">
        <f ca="1">IFERROR(__xludf.DUMMYFUNCTION("""COMPUTED_VALUE"""),"ARPT / DF (HILONGOS)")</f>
        <v>ARPT / DF (HILONGOS)</v>
      </c>
      <c r="J3172" s="164"/>
      <c r="K3172" s="164" t="str">
        <f ca="1">IFERROR(__xludf.DUMMYFUNCTION("""COMPUTED_VALUE"""),"JEFFREY R. MAJAIT")</f>
        <v>JEFFREY R. MAJAIT</v>
      </c>
      <c r="L3172" s="164" t="str">
        <f ca="1">IFERROR(__xludf.DUMMYFUNCTION("""COMPUTED_VALUE"""),"DARMO HILONGOS")</f>
        <v>DARMO HILONGOS</v>
      </c>
      <c r="M3172" s="164" t="str">
        <f ca="1">IFERROR(__xludf.DUMMYFUNCTION("""COMPUTED_VALUE"""),"SERVICEABLE")</f>
        <v>SERVICEABLE</v>
      </c>
      <c r="N3172" s="164"/>
    </row>
    <row r="3173" spans="1:14" ht="13.2" hidden="1">
      <c r="A3173" s="164" t="str">
        <f ca="1">IFERROR(__xludf.DUMMYFUNCTION("""COMPUTED_VALUE"""),"REGION VIII")</f>
        <v>REGION VIII</v>
      </c>
      <c r="B3173" s="164" t="str">
        <f ca="1">IFERROR(__xludf.DUMMYFUNCTION("""COMPUTED_VALUE"""),"Leyte")</f>
        <v>Leyte</v>
      </c>
      <c r="C3173" s="164" t="str">
        <f ca="1">IFERROR(__xludf.DUMMYFUNCTION("""COMPUTED_VALUE"""),"Motorcycle – (Honda XRL 150)")</f>
        <v>Motorcycle – (Honda XRL 150)</v>
      </c>
      <c r="D3173" s="164" t="str">
        <f ca="1">IFERROR(__xludf.DUMMYFUNCTION("""COMPUTED_VALUE"""),"₱ 124,900.00")</f>
        <v>₱ 124,900.00</v>
      </c>
      <c r="E3173" s="164"/>
      <c r="F3173" s="164" t="str">
        <f ca="1">IFERROR(__xludf.DUMMYFUNCTION("""COMPUTED_VALUE"""),"2023-06-01-10202SP367-01")</f>
        <v>2023-06-01-10202SP367-01</v>
      </c>
      <c r="G3173" s="164"/>
      <c r="H3173" s="164" t="str">
        <f ca="1">IFERROR(__xludf.DUMMYFUNCTION("""COMPUTED_VALUE"""),"DENNIS H.TORRES")</f>
        <v>DENNIS H.TORRES</v>
      </c>
      <c r="I3173" s="164" t="str">
        <f ca="1">IFERROR(__xludf.DUMMYFUNCTION("""COMPUTED_VALUE"""),"SARPT (PALO)")</f>
        <v>SARPT (PALO)</v>
      </c>
      <c r="J3173" s="164"/>
      <c r="K3173" s="164" t="str">
        <f ca="1">IFERROR(__xludf.DUMMYFUNCTION("""COMPUTED_VALUE"""),"DENNIS H.TORRES")</f>
        <v>DENNIS H.TORRES</v>
      </c>
      <c r="L3173" s="164" t="str">
        <f ca="1">IFERROR(__xludf.DUMMYFUNCTION("""COMPUTED_VALUE"""),"DARMO PALO")</f>
        <v>DARMO PALO</v>
      </c>
      <c r="M3173" s="164" t="str">
        <f ca="1">IFERROR(__xludf.DUMMYFUNCTION("""COMPUTED_VALUE"""),"SERVICEABLE")</f>
        <v>SERVICEABLE</v>
      </c>
      <c r="N3173" s="164"/>
    </row>
    <row r="3174" spans="1:14" ht="13.2" hidden="1">
      <c r="A3174" s="164" t="str">
        <f ca="1">IFERROR(__xludf.DUMMYFUNCTION("""COMPUTED_VALUE"""),"REGION VIII")</f>
        <v>REGION VIII</v>
      </c>
      <c r="B3174" s="164" t="str">
        <f ca="1">IFERROR(__xludf.DUMMYFUNCTION("""COMPUTED_VALUE"""),"Leyte")</f>
        <v>Leyte</v>
      </c>
      <c r="C3174" s="164" t="str">
        <f ca="1">IFERROR(__xludf.DUMMYFUNCTION("""COMPUTED_VALUE"""),"Motorcycle – (Honda XRL 150)")</f>
        <v>Motorcycle – (Honda XRL 150)</v>
      </c>
      <c r="D3174" s="164" t="str">
        <f ca="1">IFERROR(__xludf.DUMMYFUNCTION("""COMPUTED_VALUE"""),"₱ 124,900.00")</f>
        <v>₱ 124,900.00</v>
      </c>
      <c r="E3174" s="164"/>
      <c r="F3174" s="164" t="str">
        <f ca="1">IFERROR(__xludf.DUMMYFUNCTION("""COMPUTED_VALUE"""),"2023-06-01-10202SP368-01")</f>
        <v>2023-06-01-10202SP368-01</v>
      </c>
      <c r="G3174" s="164"/>
      <c r="H3174" s="164" t="str">
        <f ca="1">IFERROR(__xludf.DUMMYFUNCTION("""COMPUTED_VALUE"""),"AT DARPO")</f>
        <v>AT DARPO</v>
      </c>
      <c r="I3174" s="164" t="str">
        <f ca="1">IFERROR(__xludf.DUMMYFUNCTION("""COMPUTED_VALUE"""),"ARPT (JARO)")</f>
        <v>ARPT (JARO)</v>
      </c>
      <c r="J3174" s="164"/>
      <c r="K3174" s="164" t="str">
        <f ca="1">IFERROR(__xludf.DUMMYFUNCTION("""COMPUTED_VALUE"""),"AT DARPO")</f>
        <v>AT DARPO</v>
      </c>
      <c r="L3174" s="164" t="str">
        <f ca="1">IFERROR(__xludf.DUMMYFUNCTION("""COMPUTED_VALUE"""),"DARMO JARO")</f>
        <v>DARMO JARO</v>
      </c>
      <c r="M3174" s="164" t="str">
        <f ca="1">IFERROR(__xludf.DUMMYFUNCTION("""COMPUTED_VALUE"""),"SERVICEABLE")</f>
        <v>SERVICEABLE</v>
      </c>
      <c r="N3174" s="164"/>
    </row>
    <row r="3175" spans="1:14" ht="13.2" hidden="1">
      <c r="A3175" s="164" t="str">
        <f ca="1">IFERROR(__xludf.DUMMYFUNCTION("""COMPUTED_VALUE"""),"REGION VIII")</f>
        <v>REGION VIII</v>
      </c>
      <c r="B3175" s="164" t="str">
        <f ca="1">IFERROR(__xludf.DUMMYFUNCTION("""COMPUTED_VALUE"""),"Leyte")</f>
        <v>Leyte</v>
      </c>
      <c r="C3175" s="164" t="str">
        <f ca="1">IFERROR(__xludf.DUMMYFUNCTION("""COMPUTED_VALUE"""),"Motorcycle – (Honda XRL 150)")</f>
        <v>Motorcycle – (Honda XRL 150)</v>
      </c>
      <c r="D3175" s="164" t="str">
        <f ca="1">IFERROR(__xludf.DUMMYFUNCTION("""COMPUTED_VALUE"""),"₱ 124,900.00")</f>
        <v>₱ 124,900.00</v>
      </c>
      <c r="E3175" s="164"/>
      <c r="F3175" s="164" t="str">
        <f ca="1">IFERROR(__xludf.DUMMYFUNCTION("""COMPUTED_VALUE"""),"2023-06-01-10202SP369-01")</f>
        <v>2023-06-01-10202SP369-01</v>
      </c>
      <c r="G3175" s="164"/>
      <c r="H3175" s="164" t="str">
        <f ca="1">IFERROR(__xludf.DUMMYFUNCTION("""COMPUTED_VALUE"""),"GIRLIE C. SERRANO")</f>
        <v>GIRLIE C. SERRANO</v>
      </c>
      <c r="I3175" s="164" t="str">
        <f ca="1">IFERROR(__xludf.DUMMYFUNCTION("""COMPUTED_VALUE"""),"SARPT (BARUGO)")</f>
        <v>SARPT (BARUGO)</v>
      </c>
      <c r="J3175" s="164"/>
      <c r="K3175" s="164" t="str">
        <f ca="1">IFERROR(__xludf.DUMMYFUNCTION("""COMPUTED_VALUE"""),"GIRLIE C. SERRANO")</f>
        <v>GIRLIE C. SERRANO</v>
      </c>
      <c r="L3175" s="164" t="str">
        <f ca="1">IFERROR(__xludf.DUMMYFUNCTION("""COMPUTED_VALUE"""),"DARMO BARUGO")</f>
        <v>DARMO BARUGO</v>
      </c>
      <c r="M3175" s="164" t="str">
        <f ca="1">IFERROR(__xludf.DUMMYFUNCTION("""COMPUTED_VALUE"""),"SERVICEABLE")</f>
        <v>SERVICEABLE</v>
      </c>
      <c r="N3175" s="164"/>
    </row>
    <row r="3176" spans="1:14" ht="13.2" hidden="1">
      <c r="A3176" s="164" t="str">
        <f ca="1">IFERROR(__xludf.DUMMYFUNCTION("""COMPUTED_VALUE"""),"REGION VIII")</f>
        <v>REGION VIII</v>
      </c>
      <c r="B3176" s="164" t="str">
        <f ca="1">IFERROR(__xludf.DUMMYFUNCTION("""COMPUTED_VALUE"""),"Leyte")</f>
        <v>Leyte</v>
      </c>
      <c r="C3176" s="164" t="str">
        <f ca="1">IFERROR(__xludf.DUMMYFUNCTION("""COMPUTED_VALUE"""),"Motorcycle – (Honda XRL 150)")</f>
        <v>Motorcycle – (Honda XRL 150)</v>
      </c>
      <c r="D3176" s="164" t="str">
        <f ca="1">IFERROR(__xludf.DUMMYFUNCTION("""COMPUTED_VALUE"""),"₱ 124,900.00")</f>
        <v>₱ 124,900.00</v>
      </c>
      <c r="E3176" s="164"/>
      <c r="F3176" s="164" t="str">
        <f ca="1">IFERROR(__xludf.DUMMYFUNCTION("""COMPUTED_VALUE"""),"2023-06-01-10202SP370-01")</f>
        <v>2023-06-01-10202SP370-01</v>
      </c>
      <c r="G3176" s="164"/>
      <c r="H3176" s="164" t="str">
        <f ca="1">IFERROR(__xludf.DUMMYFUNCTION("""COMPUTED_VALUE"""),"EDMARK S. OBISPO")</f>
        <v>EDMARK S. OBISPO</v>
      </c>
      <c r="I3176" s="164" t="str">
        <f ca="1">IFERROR(__xludf.DUMMYFUNCTION("""COMPUTED_VALUE"""),"ARPO I / DF (STA FE)")</f>
        <v>ARPO I / DF (STA FE)</v>
      </c>
      <c r="J3176" s="164"/>
      <c r="K3176" s="164" t="str">
        <f ca="1">IFERROR(__xludf.DUMMYFUNCTION("""COMPUTED_VALUE"""),"EDMARK S. OBISPO")</f>
        <v>EDMARK S. OBISPO</v>
      </c>
      <c r="L3176" s="164" t="str">
        <f ca="1">IFERROR(__xludf.DUMMYFUNCTION("""COMPUTED_VALUE"""),"DARMO STA. FE")</f>
        <v>DARMO STA. FE</v>
      </c>
      <c r="M3176" s="164" t="str">
        <f ca="1">IFERROR(__xludf.DUMMYFUNCTION("""COMPUTED_VALUE"""),"SERVICEABLE")</f>
        <v>SERVICEABLE</v>
      </c>
      <c r="N3176" s="164"/>
    </row>
    <row r="3177" spans="1:14" ht="13.2" hidden="1">
      <c r="A3177" s="164" t="str">
        <f ca="1">IFERROR(__xludf.DUMMYFUNCTION("""COMPUTED_VALUE"""),"REGION VIII")</f>
        <v>REGION VIII</v>
      </c>
      <c r="B3177" s="164" t="str">
        <f ca="1">IFERROR(__xludf.DUMMYFUNCTION("""COMPUTED_VALUE"""),"Leyte")</f>
        <v>Leyte</v>
      </c>
      <c r="C3177" s="164" t="str">
        <f ca="1">IFERROR(__xludf.DUMMYFUNCTION("""COMPUTED_VALUE"""),"Motorcycle – (Honda XRL 150)")</f>
        <v>Motorcycle – (Honda XRL 150)</v>
      </c>
      <c r="D3177" s="164" t="str">
        <f ca="1">IFERROR(__xludf.DUMMYFUNCTION("""COMPUTED_VALUE"""),"₱ 124,900.00")</f>
        <v>₱ 124,900.00</v>
      </c>
      <c r="E3177" s="164"/>
      <c r="F3177" s="164" t="str">
        <f ca="1">IFERROR(__xludf.DUMMYFUNCTION("""COMPUTED_VALUE"""),"2023-06-01-10202SP371-01")</f>
        <v>2023-06-01-10202SP371-01</v>
      </c>
      <c r="G3177" s="164"/>
      <c r="H3177" s="164" t="str">
        <f ca="1">IFERROR(__xludf.DUMMYFUNCTION("""COMPUTED_VALUE"""),"AT DARPO")</f>
        <v>AT DARPO</v>
      </c>
      <c r="I3177" s="164" t="str">
        <f ca="1">IFERROR(__xludf.DUMMYFUNCTION("""COMPUTED_VALUE"""),"ARPT / DF (TANAUAN)")</f>
        <v>ARPT / DF (TANAUAN)</v>
      </c>
      <c r="J3177" s="164"/>
      <c r="K3177" s="164" t="str">
        <f ca="1">IFERROR(__xludf.DUMMYFUNCTION("""COMPUTED_VALUE"""),"AT DARPO")</f>
        <v>AT DARPO</v>
      </c>
      <c r="L3177" s="164" t="str">
        <f ca="1">IFERROR(__xludf.DUMMYFUNCTION("""COMPUTED_VALUE"""),"DARMO TANAUAN")</f>
        <v>DARMO TANAUAN</v>
      </c>
      <c r="M3177" s="164" t="str">
        <f ca="1">IFERROR(__xludf.DUMMYFUNCTION("""COMPUTED_VALUE"""),"SERVICEABLE")</f>
        <v>SERVICEABLE</v>
      </c>
      <c r="N3177" s="164"/>
    </row>
    <row r="3178" spans="1:14" ht="13.2" hidden="1">
      <c r="A3178" s="164" t="str">
        <f ca="1">IFERROR(__xludf.DUMMYFUNCTION("""COMPUTED_VALUE"""),"REGION VIII")</f>
        <v>REGION VIII</v>
      </c>
      <c r="B3178" s="164" t="str">
        <f ca="1">IFERROR(__xludf.DUMMYFUNCTION("""COMPUTED_VALUE"""),"Leyte")</f>
        <v>Leyte</v>
      </c>
      <c r="C3178" s="164" t="str">
        <f ca="1">IFERROR(__xludf.DUMMYFUNCTION("""COMPUTED_VALUE"""),"Motorcycle – (Honda XRL 150)")</f>
        <v>Motorcycle – (Honda XRL 150)</v>
      </c>
      <c r="D3178" s="164" t="str">
        <f ca="1">IFERROR(__xludf.DUMMYFUNCTION("""COMPUTED_VALUE"""),"₱ 124,900.00")</f>
        <v>₱ 124,900.00</v>
      </c>
      <c r="E3178" s="164"/>
      <c r="F3178" s="164" t="str">
        <f ca="1">IFERROR(__xludf.DUMMYFUNCTION("""COMPUTED_VALUE"""),"2023-06-01-10202SP372-01")</f>
        <v>2023-06-01-10202SP372-01</v>
      </c>
      <c r="G3178" s="164"/>
      <c r="H3178" s="164" t="str">
        <f ca="1">IFERROR(__xludf.DUMMYFUNCTION("""COMPUTED_VALUE"""),"MA. EDELYN G. GALLER")</f>
        <v>MA. EDELYN G. GALLER</v>
      </c>
      <c r="I3178" s="164" t="str">
        <f ca="1">IFERROR(__xludf.DUMMYFUNCTION("""COMPUTED_VALUE"""),"ARPT (CALUBIAN 2)")</f>
        <v>ARPT (CALUBIAN 2)</v>
      </c>
      <c r="J3178" s="164"/>
      <c r="K3178" s="164" t="str">
        <f ca="1">IFERROR(__xludf.DUMMYFUNCTION("""COMPUTED_VALUE"""),"MA. EDELYN G. GALLER")</f>
        <v>MA. EDELYN G. GALLER</v>
      </c>
      <c r="L3178" s="164" t="str">
        <f ca="1">IFERROR(__xludf.DUMMYFUNCTION("""COMPUTED_VALUE"""),"DARMO CALUBIAN 2")</f>
        <v>DARMO CALUBIAN 2</v>
      </c>
      <c r="M3178" s="164" t="str">
        <f ca="1">IFERROR(__xludf.DUMMYFUNCTION("""COMPUTED_VALUE"""),"SERVICEABLE")</f>
        <v>SERVICEABLE</v>
      </c>
      <c r="N3178" s="164"/>
    </row>
    <row r="3179" spans="1:14" ht="13.2" hidden="1">
      <c r="A3179" s="164" t="str">
        <f ca="1">IFERROR(__xludf.DUMMYFUNCTION("""COMPUTED_VALUE"""),"REGION VIII")</f>
        <v>REGION VIII</v>
      </c>
      <c r="B3179" s="164" t="str">
        <f ca="1">IFERROR(__xludf.DUMMYFUNCTION("""COMPUTED_VALUE"""),"Leyte")</f>
        <v>Leyte</v>
      </c>
      <c r="C3179" s="164" t="str">
        <f ca="1">IFERROR(__xludf.DUMMYFUNCTION("""COMPUTED_VALUE"""),"Motorcycle – (Honda XRL 150)")</f>
        <v>Motorcycle – (Honda XRL 150)</v>
      </c>
      <c r="D3179" s="164" t="str">
        <f ca="1">IFERROR(__xludf.DUMMYFUNCTION("""COMPUTED_VALUE"""),"₱ 124,900.00")</f>
        <v>₱ 124,900.00</v>
      </c>
      <c r="E3179" s="164"/>
      <c r="F3179" s="164" t="str">
        <f ca="1">IFERROR(__xludf.DUMMYFUNCTION("""COMPUTED_VALUE"""),"2023-06-01-10202SP373-01")</f>
        <v>2023-06-01-10202SP373-01</v>
      </c>
      <c r="G3179" s="164"/>
      <c r="H3179" s="164" t="str">
        <f ca="1">IFERROR(__xludf.DUMMYFUNCTION("""COMPUTED_VALUE"""),"APOLONIO B. MENDOZA, JR.")</f>
        <v>APOLONIO B. MENDOZA, JR.</v>
      </c>
      <c r="I3179" s="164" t="str">
        <f ca="1">IFERROR(__xludf.DUMMYFUNCTION("""COMPUTED_VALUE"""),"ARPT (TACLOBAN)")</f>
        <v>ARPT (TACLOBAN)</v>
      </c>
      <c r="J3179" s="164"/>
      <c r="K3179" s="164" t="str">
        <f ca="1">IFERROR(__xludf.DUMMYFUNCTION("""COMPUTED_VALUE"""),"APOLONIO B. MENDOZA, JR.")</f>
        <v>APOLONIO B. MENDOZA, JR.</v>
      </c>
      <c r="L3179" s="164" t="str">
        <f ca="1">IFERROR(__xludf.DUMMYFUNCTION("""COMPUTED_VALUE"""),"DARMO TACLOBAN")</f>
        <v>DARMO TACLOBAN</v>
      </c>
      <c r="M3179" s="164" t="str">
        <f ca="1">IFERROR(__xludf.DUMMYFUNCTION("""COMPUTED_VALUE"""),"SERVICEABLE")</f>
        <v>SERVICEABLE</v>
      </c>
      <c r="N3179" s="164"/>
    </row>
    <row r="3180" spans="1:14" ht="13.2" hidden="1">
      <c r="A3180" s="164" t="str">
        <f ca="1">IFERROR(__xludf.DUMMYFUNCTION("""COMPUTED_VALUE"""),"REGION VIII")</f>
        <v>REGION VIII</v>
      </c>
      <c r="B3180" s="164" t="str">
        <f ca="1">IFERROR(__xludf.DUMMYFUNCTION("""COMPUTED_VALUE"""),"Leyte")</f>
        <v>Leyte</v>
      </c>
      <c r="C3180" s="164" t="str">
        <f ca="1">IFERROR(__xludf.DUMMYFUNCTION("""COMPUTED_VALUE"""),"Motorcycle – (Honda XRL 150)")</f>
        <v>Motorcycle – (Honda XRL 150)</v>
      </c>
      <c r="D3180" s="164" t="str">
        <f ca="1">IFERROR(__xludf.DUMMYFUNCTION("""COMPUTED_VALUE"""),"₱ 124,900.00")</f>
        <v>₱ 124,900.00</v>
      </c>
      <c r="E3180" s="164"/>
      <c r="F3180" s="164" t="str">
        <f ca="1">IFERROR(__xludf.DUMMYFUNCTION("""COMPUTED_VALUE"""),"2023-06-01-10202SP374-01")</f>
        <v>2023-06-01-10202SP374-01</v>
      </c>
      <c r="G3180" s="164"/>
      <c r="H3180" s="164" t="str">
        <f ca="1">IFERROR(__xludf.DUMMYFUNCTION("""COMPUTED_VALUE"""),"AT DARPO")</f>
        <v>AT DARPO</v>
      </c>
      <c r="I3180" s="164" t="str">
        <f ca="1">IFERROR(__xludf.DUMMYFUNCTION("""COMPUTED_VALUE"""),"AA IV (DRIVER)")</f>
        <v>AA IV (DRIVER)</v>
      </c>
      <c r="J3180" s="164"/>
      <c r="K3180" s="164" t="str">
        <f ca="1">IFERROR(__xludf.DUMMYFUNCTION("""COMPUTED_VALUE"""),"AT DARPO")</f>
        <v>AT DARPO</v>
      </c>
      <c r="L3180" s="164" t="str">
        <f ca="1">IFERROR(__xludf.DUMMYFUNCTION("""COMPUTED_VALUE"""),"LTSP - SURVEY")</f>
        <v>LTSP - SURVEY</v>
      </c>
      <c r="M3180" s="164" t="str">
        <f ca="1">IFERROR(__xludf.DUMMYFUNCTION("""COMPUTED_VALUE"""),"SERVICEABLE")</f>
        <v>SERVICEABLE</v>
      </c>
      <c r="N3180" s="164"/>
    </row>
    <row r="3181" spans="1:14" ht="13.2" hidden="1">
      <c r="A3181" s="164" t="str">
        <f ca="1">IFERROR(__xludf.DUMMYFUNCTION("""COMPUTED_VALUE"""),"REGION VIII")</f>
        <v>REGION VIII</v>
      </c>
      <c r="B3181" s="164" t="str">
        <f ca="1">IFERROR(__xludf.DUMMYFUNCTION("""COMPUTED_VALUE"""),"Leyte")</f>
        <v>Leyte</v>
      </c>
      <c r="C3181" s="164" t="str">
        <f ca="1">IFERROR(__xludf.DUMMYFUNCTION("""COMPUTED_VALUE"""),"Motorcycle – (Honda XRL 150)")</f>
        <v>Motorcycle – (Honda XRL 150)</v>
      </c>
      <c r="D3181" s="164" t="str">
        <f ca="1">IFERROR(__xludf.DUMMYFUNCTION("""COMPUTED_VALUE"""),"₱ 124,900.00")</f>
        <v>₱ 124,900.00</v>
      </c>
      <c r="E3181" s="164"/>
      <c r="F3181" s="164" t="str">
        <f ca="1">IFERROR(__xludf.DUMMYFUNCTION("""COMPUTED_VALUE"""),"2023-06-01-10202SP375-01")</f>
        <v>2023-06-01-10202SP375-01</v>
      </c>
      <c r="G3181" s="164"/>
      <c r="H3181" s="164" t="str">
        <f ca="1">IFERROR(__xludf.DUMMYFUNCTION("""COMPUTED_VALUE"""),"MELCHOR ABBE O. NATULLA")</f>
        <v>MELCHOR ABBE O. NATULLA</v>
      </c>
      <c r="I3181" s="164" t="str">
        <f ca="1">IFERROR(__xludf.DUMMYFUNCTION("""COMPUTED_VALUE"""),"ARPT / DF (VILLABA)")</f>
        <v>ARPT / DF (VILLABA)</v>
      </c>
      <c r="J3181" s="164"/>
      <c r="K3181" s="164" t="str">
        <f ca="1">IFERROR(__xludf.DUMMYFUNCTION("""COMPUTED_VALUE"""),"MELCHOR ABBE O. NATULLA")</f>
        <v>MELCHOR ABBE O. NATULLA</v>
      </c>
      <c r="L3181" s="164" t="str">
        <f ca="1">IFERROR(__xludf.DUMMYFUNCTION("""COMPUTED_VALUE"""),"DARMO VILLABA")</f>
        <v>DARMO VILLABA</v>
      </c>
      <c r="M3181" s="164" t="str">
        <f ca="1">IFERROR(__xludf.DUMMYFUNCTION("""COMPUTED_VALUE"""),"SERVICEABLE")</f>
        <v>SERVICEABLE</v>
      </c>
      <c r="N3181" s="164"/>
    </row>
    <row r="3182" spans="1:14" ht="13.2" hidden="1">
      <c r="A3182" s="164" t="str">
        <f ca="1">IFERROR(__xludf.DUMMYFUNCTION("""COMPUTED_VALUE"""),"REGION VIII")</f>
        <v>REGION VIII</v>
      </c>
      <c r="B3182" s="164" t="str">
        <f ca="1">IFERROR(__xludf.DUMMYFUNCTION("""COMPUTED_VALUE"""),"Leyte")</f>
        <v>Leyte</v>
      </c>
      <c r="C3182" s="164" t="str">
        <f ca="1">IFERROR(__xludf.DUMMYFUNCTION("""COMPUTED_VALUE"""),"Motorcycle – (Honda XRL 150)")</f>
        <v>Motorcycle – (Honda XRL 150)</v>
      </c>
      <c r="D3182" s="164" t="str">
        <f ca="1">IFERROR(__xludf.DUMMYFUNCTION("""COMPUTED_VALUE"""),"₱ 124,900.00")</f>
        <v>₱ 124,900.00</v>
      </c>
      <c r="E3182" s="164"/>
      <c r="F3182" s="164" t="str">
        <f ca="1">IFERROR(__xludf.DUMMYFUNCTION("""COMPUTED_VALUE"""),"2023-06-01-10202SP376-01")</f>
        <v>2023-06-01-10202SP376-01</v>
      </c>
      <c r="G3182" s="164"/>
      <c r="H3182" s="164" t="str">
        <f ca="1">IFERROR(__xludf.DUMMYFUNCTION("""COMPUTED_VALUE"""),"NYKE PLIMACO")</f>
        <v>NYKE PLIMACO</v>
      </c>
      <c r="I3182" s="164" t="str">
        <f ca="1">IFERROR(__xludf.DUMMYFUNCTION("""COMPUTED_VALUE"""),"ARPT / DF (MATAG-OB)")</f>
        <v>ARPT / DF (MATAG-OB)</v>
      </c>
      <c r="J3182" s="164"/>
      <c r="K3182" s="164" t="str">
        <f ca="1">IFERROR(__xludf.DUMMYFUNCTION("""COMPUTED_VALUE"""),"NYKE PLIMACO")</f>
        <v>NYKE PLIMACO</v>
      </c>
      <c r="L3182" s="164" t="str">
        <f ca="1">IFERROR(__xludf.DUMMYFUNCTION("""COMPUTED_VALUE"""),"DARMO MATAG-OB")</f>
        <v>DARMO MATAG-OB</v>
      </c>
      <c r="M3182" s="164" t="str">
        <f ca="1">IFERROR(__xludf.DUMMYFUNCTION("""COMPUTED_VALUE"""),"SERVICEABLE")</f>
        <v>SERVICEABLE</v>
      </c>
      <c r="N3182" s="164"/>
    </row>
    <row r="3183" spans="1:14" ht="13.2" hidden="1">
      <c r="A3183" s="164" t="str">
        <f ca="1">IFERROR(__xludf.DUMMYFUNCTION("""COMPUTED_VALUE"""),"REGION VIII")</f>
        <v>REGION VIII</v>
      </c>
      <c r="B3183" s="164" t="str">
        <f ca="1">IFERROR(__xludf.DUMMYFUNCTION("""COMPUTED_VALUE"""),"Leyte")</f>
        <v>Leyte</v>
      </c>
      <c r="C3183" s="164" t="str">
        <f ca="1">IFERROR(__xludf.DUMMYFUNCTION("""COMPUTED_VALUE"""),"Motorcycle – (Honda XRL 150)")</f>
        <v>Motorcycle – (Honda XRL 150)</v>
      </c>
      <c r="D3183" s="164" t="str">
        <f ca="1">IFERROR(__xludf.DUMMYFUNCTION("""COMPUTED_VALUE"""),"₱ 124,900.00")</f>
        <v>₱ 124,900.00</v>
      </c>
      <c r="E3183" s="164"/>
      <c r="F3183" s="164" t="str">
        <f ca="1">IFERROR(__xludf.DUMMYFUNCTION("""COMPUTED_VALUE"""),"2023-06-01-10202SP378-01")</f>
        <v>2023-06-01-10202SP378-01</v>
      </c>
      <c r="G3183" s="164"/>
      <c r="H3183" s="164" t="str">
        <f ca="1">IFERROR(__xludf.DUMMYFUNCTION("""COMPUTED_VALUE"""),"HENRY C. TERAZA")</f>
        <v>HENRY C. TERAZA</v>
      </c>
      <c r="I3183" s="164"/>
      <c r="J3183" s="164"/>
      <c r="K3183" s="164" t="str">
        <f ca="1">IFERROR(__xludf.DUMMYFUNCTION("""COMPUTED_VALUE"""),"HENRY C. TERAZA")</f>
        <v>HENRY C. TERAZA</v>
      </c>
      <c r="L3183" s="164"/>
      <c r="M3183" s="164" t="str">
        <f ca="1">IFERROR(__xludf.DUMMYFUNCTION("""COMPUTED_VALUE"""),"SERVICEABLE")</f>
        <v>SERVICEABLE</v>
      </c>
      <c r="N3183" s="164"/>
    </row>
    <row r="3184" spans="1:14" ht="13.2" hidden="1">
      <c r="A3184" s="164" t="str">
        <f ca="1">IFERROR(__xludf.DUMMYFUNCTION("""COMPUTED_VALUE"""),"REGION VIII")</f>
        <v>REGION VIII</v>
      </c>
      <c r="B3184" s="164" t="str">
        <f ca="1">IFERROR(__xludf.DUMMYFUNCTION("""COMPUTED_VALUE"""),"Leyte")</f>
        <v>Leyte</v>
      </c>
      <c r="C3184" s="164" t="str">
        <f ca="1">IFERROR(__xludf.DUMMYFUNCTION("""COMPUTED_VALUE"""),"Motorcycle – (Honda XRL 150)")</f>
        <v>Motorcycle – (Honda XRL 150)</v>
      </c>
      <c r="D3184" s="164" t="str">
        <f ca="1">IFERROR(__xludf.DUMMYFUNCTION("""COMPUTED_VALUE"""),"₱ 124,900.00")</f>
        <v>₱ 124,900.00</v>
      </c>
      <c r="E3184" s="164"/>
      <c r="F3184" s="164" t="str">
        <f ca="1">IFERROR(__xludf.DUMMYFUNCTION("""COMPUTED_VALUE"""),"2023-06-01-10202SP379-01")</f>
        <v>2023-06-01-10202SP379-01</v>
      </c>
      <c r="G3184" s="164"/>
      <c r="H3184" s="164" t="str">
        <f ca="1">IFERROR(__xludf.DUMMYFUNCTION("""COMPUTED_VALUE"""),"AT DARPO")</f>
        <v>AT DARPO</v>
      </c>
      <c r="I3184" s="164" t="str">
        <f ca="1">IFERROR(__xludf.DUMMYFUNCTION("""COMPUTED_VALUE"""),"SARPT (KANANGA 2)")</f>
        <v>SARPT (KANANGA 2)</v>
      </c>
      <c r="J3184" s="164"/>
      <c r="K3184" s="164" t="str">
        <f ca="1">IFERROR(__xludf.DUMMYFUNCTION("""COMPUTED_VALUE"""),"AT DARPO")</f>
        <v>AT DARPO</v>
      </c>
      <c r="L3184" s="164" t="str">
        <f ca="1">IFERROR(__xludf.DUMMYFUNCTION("""COMPUTED_VALUE"""),"DARMO KANANGA 2")</f>
        <v>DARMO KANANGA 2</v>
      </c>
      <c r="M3184" s="164" t="str">
        <f ca="1">IFERROR(__xludf.DUMMYFUNCTION("""COMPUTED_VALUE"""),"SERVICEABLE")</f>
        <v>SERVICEABLE</v>
      </c>
      <c r="N3184" s="164" t="str">
        <f ca="1">IFERROR(__xludf.DUMMYFUNCTION("""COMPUTED_VALUE"""),"need repair and maintenance")</f>
        <v>need repair and maintenance</v>
      </c>
    </row>
    <row r="3185" spans="1:14" ht="13.2" hidden="1">
      <c r="A3185" s="164" t="str">
        <f ca="1">IFERROR(__xludf.DUMMYFUNCTION("""COMPUTED_VALUE"""),"REGION VIII")</f>
        <v>REGION VIII</v>
      </c>
      <c r="B3185" s="164" t="str">
        <f ca="1">IFERROR(__xludf.DUMMYFUNCTION("""COMPUTED_VALUE"""),"Leyte")</f>
        <v>Leyte</v>
      </c>
      <c r="C3185" s="164" t="str">
        <f ca="1">IFERROR(__xludf.DUMMYFUNCTION("""COMPUTED_VALUE"""),"Motorcycle – (Honda XRL 150)")</f>
        <v>Motorcycle – (Honda XRL 150)</v>
      </c>
      <c r="D3185" s="164" t="str">
        <f ca="1">IFERROR(__xludf.DUMMYFUNCTION("""COMPUTED_VALUE"""),"₱ 124,900.00")</f>
        <v>₱ 124,900.00</v>
      </c>
      <c r="E3185" s="164"/>
      <c r="F3185" s="164" t="str">
        <f ca="1">IFERROR(__xludf.DUMMYFUNCTION("""COMPUTED_VALUE"""),"2023-06-01-10202SP380-01")</f>
        <v>2023-06-01-10202SP380-01</v>
      </c>
      <c r="G3185" s="164"/>
      <c r="H3185" s="164" t="str">
        <f ca="1">IFERROR(__xludf.DUMMYFUNCTION("""COMPUTED_VALUE"""),"MARK KEVIN C. CAREL")</f>
        <v>MARK KEVIN C. CAREL</v>
      </c>
      <c r="I3185" s="164" t="str">
        <f ca="1">IFERROR(__xludf.DUMMYFUNCTION("""COMPUTED_VALUE"""),"ARPT (ISABEL)")</f>
        <v>ARPT (ISABEL)</v>
      </c>
      <c r="J3185" s="164"/>
      <c r="K3185" s="164" t="str">
        <f ca="1">IFERROR(__xludf.DUMMYFUNCTION("""COMPUTED_VALUE"""),"MARK KEVIN C. CAREL")</f>
        <v>MARK KEVIN C. CAREL</v>
      </c>
      <c r="L3185" s="164" t="str">
        <f ca="1">IFERROR(__xludf.DUMMYFUNCTION("""COMPUTED_VALUE"""),"DARMO ISABEL")</f>
        <v>DARMO ISABEL</v>
      </c>
      <c r="M3185" s="164" t="str">
        <f ca="1">IFERROR(__xludf.DUMMYFUNCTION("""COMPUTED_VALUE"""),"SERVICEABLE")</f>
        <v>SERVICEABLE</v>
      </c>
      <c r="N3185" s="164"/>
    </row>
    <row r="3186" spans="1:14" ht="13.2" hidden="1">
      <c r="A3186" s="164" t="str">
        <f ca="1">IFERROR(__xludf.DUMMYFUNCTION("""COMPUTED_VALUE"""),"REGION VIII")</f>
        <v>REGION VIII</v>
      </c>
      <c r="B3186" s="164" t="str">
        <f ca="1">IFERROR(__xludf.DUMMYFUNCTION("""COMPUTED_VALUE"""),"Leyte")</f>
        <v>Leyte</v>
      </c>
      <c r="C3186" s="164" t="str">
        <f ca="1">IFERROR(__xludf.DUMMYFUNCTION("""COMPUTED_VALUE"""),"Motorcycle – (Honda XRL 150)")</f>
        <v>Motorcycle – (Honda XRL 150)</v>
      </c>
      <c r="D3186" s="164" t="str">
        <f ca="1">IFERROR(__xludf.DUMMYFUNCTION("""COMPUTED_VALUE"""),"₱ 124,900.00")</f>
        <v>₱ 124,900.00</v>
      </c>
      <c r="E3186" s="164"/>
      <c r="F3186" s="164" t="str">
        <f ca="1">IFERROR(__xludf.DUMMYFUNCTION("""COMPUTED_VALUE"""),"2023-06-01-10202SP381-01")</f>
        <v>2023-06-01-10202SP381-01</v>
      </c>
      <c r="G3186" s="164"/>
      <c r="H3186" s="164" t="str">
        <f ca="1">IFERROR(__xludf.DUMMYFUNCTION("""COMPUTED_VALUE"""),"HAROLD R. ANOS")</f>
        <v>HAROLD R. ANOS</v>
      </c>
      <c r="I3186" s="164" t="str">
        <f ca="1">IFERROR(__xludf.DUMMYFUNCTION("""COMPUTED_VALUE"""),"SARPT (BAYBAY)")</f>
        <v>SARPT (BAYBAY)</v>
      </c>
      <c r="J3186" s="164"/>
      <c r="K3186" s="164" t="str">
        <f ca="1">IFERROR(__xludf.DUMMYFUNCTION("""COMPUTED_VALUE"""),"HAROLD R. ANOS")</f>
        <v>HAROLD R. ANOS</v>
      </c>
      <c r="L3186" s="164" t="str">
        <f ca="1">IFERROR(__xludf.DUMMYFUNCTION("""COMPUTED_VALUE"""),"DARMO BAYBAY")</f>
        <v>DARMO BAYBAY</v>
      </c>
      <c r="M3186" s="164" t="str">
        <f ca="1">IFERROR(__xludf.DUMMYFUNCTION("""COMPUTED_VALUE"""),"SERVICEABLE")</f>
        <v>SERVICEABLE</v>
      </c>
      <c r="N3186" s="164"/>
    </row>
    <row r="3187" spans="1:14" ht="13.2" hidden="1">
      <c r="A3187" s="164" t="str">
        <f ca="1">IFERROR(__xludf.DUMMYFUNCTION("""COMPUTED_VALUE"""),"REGION VIII")</f>
        <v>REGION VIII</v>
      </c>
      <c r="B3187" s="164" t="str">
        <f ca="1">IFERROR(__xludf.DUMMYFUNCTION("""COMPUTED_VALUE"""),"Leyte")</f>
        <v>Leyte</v>
      </c>
      <c r="C3187" s="164" t="str">
        <f ca="1">IFERROR(__xludf.DUMMYFUNCTION("""COMPUTED_VALUE"""),"Motorcycle – (Honda XRL 150)")</f>
        <v>Motorcycle – (Honda XRL 150)</v>
      </c>
      <c r="D3187" s="164" t="str">
        <f ca="1">IFERROR(__xludf.DUMMYFUNCTION("""COMPUTED_VALUE"""),"₱ 124,900.00")</f>
        <v>₱ 124,900.00</v>
      </c>
      <c r="E3187" s="164"/>
      <c r="F3187" s="164" t="str">
        <f ca="1">IFERROR(__xludf.DUMMYFUNCTION("""COMPUTED_VALUE"""),"2023-06-01-10202SP382-01")</f>
        <v>2023-06-01-10202SP382-01</v>
      </c>
      <c r="G3187" s="164"/>
      <c r="H3187" s="164" t="str">
        <f ca="1">IFERROR(__xludf.DUMMYFUNCTION("""COMPUTED_VALUE"""),"LK L. SOLON")</f>
        <v>LK L. SOLON</v>
      </c>
      <c r="I3187" s="164" t="str">
        <f ca="1">IFERROR(__xludf.DUMMYFUNCTION("""COMPUTED_VALUE"""),"SARPT (ALBUERA)")</f>
        <v>SARPT (ALBUERA)</v>
      </c>
      <c r="J3187" s="164"/>
      <c r="K3187" s="164" t="str">
        <f ca="1">IFERROR(__xludf.DUMMYFUNCTION("""COMPUTED_VALUE"""),"LK L. SOLON")</f>
        <v>LK L. SOLON</v>
      </c>
      <c r="L3187" s="164" t="str">
        <f ca="1">IFERROR(__xludf.DUMMYFUNCTION("""COMPUTED_VALUE"""),"DARMO ALBUERA")</f>
        <v>DARMO ALBUERA</v>
      </c>
      <c r="M3187" s="164" t="str">
        <f ca="1">IFERROR(__xludf.DUMMYFUNCTION("""COMPUTED_VALUE"""),"SERVICEABLE")</f>
        <v>SERVICEABLE</v>
      </c>
      <c r="N3187" s="164"/>
    </row>
    <row r="3188" spans="1:14" ht="13.2" hidden="1">
      <c r="A3188" s="164" t="str">
        <f ca="1">IFERROR(__xludf.DUMMYFUNCTION("""COMPUTED_VALUE"""),"REGION VIII")</f>
        <v>REGION VIII</v>
      </c>
      <c r="B3188" s="164" t="str">
        <f ca="1">IFERROR(__xludf.DUMMYFUNCTION("""COMPUTED_VALUE"""),"Leyte")</f>
        <v>Leyte</v>
      </c>
      <c r="C3188" s="164" t="str">
        <f ca="1">IFERROR(__xludf.DUMMYFUNCTION("""COMPUTED_VALUE"""),"Motorcycle – (Honda XRL 150)")</f>
        <v>Motorcycle – (Honda XRL 150)</v>
      </c>
      <c r="D3188" s="164" t="str">
        <f ca="1">IFERROR(__xludf.DUMMYFUNCTION("""COMPUTED_VALUE"""),"₱ 124,900.00")</f>
        <v>₱ 124,900.00</v>
      </c>
      <c r="E3188" s="164"/>
      <c r="F3188" s="164" t="str">
        <f ca="1">IFERROR(__xludf.DUMMYFUNCTION("""COMPUTED_VALUE"""),"2023-06-01-10202SP383-01")</f>
        <v>2023-06-01-10202SP383-01</v>
      </c>
      <c r="G3188" s="164"/>
      <c r="H3188" s="164" t="str">
        <f ca="1">IFERROR(__xludf.DUMMYFUNCTION("""COMPUTED_VALUE"""),"RITCHEL B. MORILLA")</f>
        <v>RITCHEL B. MORILLA</v>
      </c>
      <c r="I3188" s="164" t="str">
        <f ca="1">IFERROR(__xludf.DUMMYFUNCTION("""COMPUTED_VALUE"""),"SARPT (DULAG)")</f>
        <v>SARPT (DULAG)</v>
      </c>
      <c r="J3188" s="164"/>
      <c r="K3188" s="164" t="str">
        <f ca="1">IFERROR(__xludf.DUMMYFUNCTION("""COMPUTED_VALUE"""),"RITCHEL B. MORILLA")</f>
        <v>RITCHEL B. MORILLA</v>
      </c>
      <c r="L3188" s="164" t="str">
        <f ca="1">IFERROR(__xludf.DUMMYFUNCTION("""COMPUTED_VALUE"""),"DARMO DULAG")</f>
        <v>DARMO DULAG</v>
      </c>
      <c r="M3188" s="164" t="str">
        <f ca="1">IFERROR(__xludf.DUMMYFUNCTION("""COMPUTED_VALUE"""),"SERVICEABLE")</f>
        <v>SERVICEABLE</v>
      </c>
      <c r="N3188" s="164"/>
    </row>
    <row r="3189" spans="1:14" ht="13.2" hidden="1">
      <c r="A3189" s="164" t="str">
        <f ca="1">IFERROR(__xludf.DUMMYFUNCTION("""COMPUTED_VALUE"""),"REGION VIII")</f>
        <v>REGION VIII</v>
      </c>
      <c r="B3189" s="164" t="str">
        <f ca="1">IFERROR(__xludf.DUMMYFUNCTION("""COMPUTED_VALUE"""),"Leyte")</f>
        <v>Leyte</v>
      </c>
      <c r="C3189" s="164" t="str">
        <f ca="1">IFERROR(__xludf.DUMMYFUNCTION("""COMPUTED_VALUE"""),"Motorcycle – (Honda XRL 150)")</f>
        <v>Motorcycle – (Honda XRL 150)</v>
      </c>
      <c r="D3189" s="164" t="str">
        <f ca="1">IFERROR(__xludf.DUMMYFUNCTION("""COMPUTED_VALUE"""),"₱ 124,900.00")</f>
        <v>₱ 124,900.00</v>
      </c>
      <c r="E3189" s="164"/>
      <c r="F3189" s="164" t="str">
        <f ca="1">IFERROR(__xludf.DUMMYFUNCTION("""COMPUTED_VALUE"""),"2023-06-01-10202SP384-01")</f>
        <v>2023-06-01-10202SP384-01</v>
      </c>
      <c r="G3189" s="164"/>
      <c r="H3189" s="164" t="str">
        <f ca="1">IFERROR(__xludf.DUMMYFUNCTION("""COMPUTED_VALUE"""),"JAMES STEPHEN C. TABARANZA")</f>
        <v>JAMES STEPHEN C. TABARANZA</v>
      </c>
      <c r="I3189" s="164" t="str">
        <f ca="1">IFERROR(__xludf.DUMMYFUNCTION("""COMPUTED_VALUE"""),"ARPT (JAVIER)")</f>
        <v>ARPT (JAVIER)</v>
      </c>
      <c r="J3189" s="164"/>
      <c r="K3189" s="164" t="str">
        <f ca="1">IFERROR(__xludf.DUMMYFUNCTION("""COMPUTED_VALUE"""),"JAMES STEPHEN C. TABARANZA")</f>
        <v>JAMES STEPHEN C. TABARANZA</v>
      </c>
      <c r="L3189" s="164" t="str">
        <f ca="1">IFERROR(__xludf.DUMMYFUNCTION("""COMPUTED_VALUE"""),"DARMO JAVIER")</f>
        <v>DARMO JAVIER</v>
      </c>
      <c r="M3189" s="164" t="str">
        <f ca="1">IFERROR(__xludf.DUMMYFUNCTION("""COMPUTED_VALUE"""),"SERVICEABLE")</f>
        <v>SERVICEABLE</v>
      </c>
      <c r="N3189" s="164"/>
    </row>
    <row r="3190" spans="1:14" ht="13.2" hidden="1">
      <c r="A3190" s="164" t="str">
        <f ca="1">IFERROR(__xludf.DUMMYFUNCTION("""COMPUTED_VALUE"""),"REGION VIII")</f>
        <v>REGION VIII</v>
      </c>
      <c r="B3190" s="164" t="str">
        <f ca="1">IFERROR(__xludf.DUMMYFUNCTION("""COMPUTED_VALUE"""),"Leyte")</f>
        <v>Leyte</v>
      </c>
      <c r="C3190" s="164" t="str">
        <f ca="1">IFERROR(__xludf.DUMMYFUNCTION("""COMPUTED_VALUE"""),"Motorcycle – (Honda XRL 150)")</f>
        <v>Motorcycle – (Honda XRL 150)</v>
      </c>
      <c r="D3190" s="164" t="str">
        <f ca="1">IFERROR(__xludf.DUMMYFUNCTION("""COMPUTED_VALUE"""),"₱ 124,900.00")</f>
        <v>₱ 124,900.00</v>
      </c>
      <c r="E3190" s="164"/>
      <c r="F3190" s="164" t="str">
        <f ca="1">IFERROR(__xludf.DUMMYFUNCTION("""COMPUTED_VALUE"""),"2023-06-01-10202SP385-01")</f>
        <v>2023-06-01-10202SP385-01</v>
      </c>
      <c r="G3190" s="164"/>
      <c r="H3190" s="164" t="str">
        <f ca="1">IFERROR(__xludf.DUMMYFUNCTION("""COMPUTED_VALUE"""),"JESSIE S. BONITE")</f>
        <v>JESSIE S. BONITE</v>
      </c>
      <c r="I3190" s="164" t="str">
        <f ca="1">IFERROR(__xludf.DUMMYFUNCTION("""COMPUTED_VALUE"""),"ARPO I (MAHAPLAG)")</f>
        <v>ARPO I (MAHAPLAG)</v>
      </c>
      <c r="J3190" s="164"/>
      <c r="K3190" s="164" t="str">
        <f ca="1">IFERROR(__xludf.DUMMYFUNCTION("""COMPUTED_VALUE"""),"JESSIE S. BONITE")</f>
        <v>JESSIE S. BONITE</v>
      </c>
      <c r="L3190" s="164" t="str">
        <f ca="1">IFERROR(__xludf.DUMMYFUNCTION("""COMPUTED_VALUE"""),"DARMO MAHAPLAG")</f>
        <v>DARMO MAHAPLAG</v>
      </c>
      <c r="M3190" s="164" t="str">
        <f ca="1">IFERROR(__xludf.DUMMYFUNCTION("""COMPUTED_VALUE"""),"SERVICEABLE")</f>
        <v>SERVICEABLE</v>
      </c>
      <c r="N3190" s="164"/>
    </row>
    <row r="3191" spans="1:14" ht="13.2" hidden="1">
      <c r="A3191" s="164" t="str">
        <f ca="1">IFERROR(__xludf.DUMMYFUNCTION("""COMPUTED_VALUE"""),"REGION VIII")</f>
        <v>REGION VIII</v>
      </c>
      <c r="B3191" s="164" t="str">
        <f ca="1">IFERROR(__xludf.DUMMYFUNCTION("""COMPUTED_VALUE"""),"Leyte")</f>
        <v>Leyte</v>
      </c>
      <c r="C3191" s="164" t="str">
        <f ca="1">IFERROR(__xludf.DUMMYFUNCTION("""COMPUTED_VALUE"""),"Motorcycle – (Honda XRL 150)")</f>
        <v>Motorcycle – (Honda XRL 150)</v>
      </c>
      <c r="D3191" s="164" t="str">
        <f ca="1">IFERROR(__xludf.DUMMYFUNCTION("""COMPUTED_VALUE"""),"₱ 124,900.00")</f>
        <v>₱ 124,900.00</v>
      </c>
      <c r="E3191" s="164"/>
      <c r="F3191" s="164" t="str">
        <f ca="1">IFERROR(__xludf.DUMMYFUNCTION("""COMPUTED_VALUE"""),"2023-06-01-10202SP386-01")</f>
        <v>2023-06-01-10202SP386-01</v>
      </c>
      <c r="G3191" s="164"/>
      <c r="H3191" s="164" t="str">
        <f ca="1">IFERROR(__xludf.DUMMYFUNCTION("""COMPUTED_VALUE"""),"ADROWELL B. GABUCAN")</f>
        <v>ADROWELL B. GABUCAN</v>
      </c>
      <c r="I3191" s="164" t="str">
        <f ca="1">IFERROR(__xludf.DUMMYFUNCTION("""COMPUTED_VALUE"""),"SARPT (ALANGALANG)")</f>
        <v>SARPT (ALANGALANG)</v>
      </c>
      <c r="J3191" s="164"/>
      <c r="K3191" s="164" t="str">
        <f ca="1">IFERROR(__xludf.DUMMYFUNCTION("""COMPUTED_VALUE"""),"ADROWELL B. GABUCAN")</f>
        <v>ADROWELL B. GABUCAN</v>
      </c>
      <c r="L3191" s="164" t="str">
        <f ca="1">IFERROR(__xludf.DUMMYFUNCTION("""COMPUTED_VALUE"""),"DARMO ALANGALANG")</f>
        <v>DARMO ALANGALANG</v>
      </c>
      <c r="M3191" s="164" t="str">
        <f ca="1">IFERROR(__xludf.DUMMYFUNCTION("""COMPUTED_VALUE"""),"SERVICEABLE")</f>
        <v>SERVICEABLE</v>
      </c>
      <c r="N3191" s="164"/>
    </row>
    <row r="3192" spans="1:14" ht="13.2" hidden="1">
      <c r="A3192" s="164" t="str">
        <f ca="1">IFERROR(__xludf.DUMMYFUNCTION("""COMPUTED_VALUE"""),"REGION VIII")</f>
        <v>REGION VIII</v>
      </c>
      <c r="B3192" s="164" t="str">
        <f ca="1">IFERROR(__xludf.DUMMYFUNCTION("""COMPUTED_VALUE"""),"Leyte")</f>
        <v>Leyte</v>
      </c>
      <c r="C3192" s="164" t="str">
        <f ca="1">IFERROR(__xludf.DUMMYFUNCTION("""COMPUTED_VALUE"""),"Motorcycle – (Honda XRL 150)")</f>
        <v>Motorcycle – (Honda XRL 150)</v>
      </c>
      <c r="D3192" s="164" t="str">
        <f ca="1">IFERROR(__xludf.DUMMYFUNCTION("""COMPUTED_VALUE"""),"₱ 124,900.00")</f>
        <v>₱ 124,900.00</v>
      </c>
      <c r="E3192" s="164"/>
      <c r="F3192" s="164" t="str">
        <f ca="1">IFERROR(__xludf.DUMMYFUNCTION("""COMPUTED_VALUE"""),"2023-06-01-10202SP387-01")</f>
        <v>2023-06-01-10202SP387-01</v>
      </c>
      <c r="G3192" s="164"/>
      <c r="H3192" s="164" t="str">
        <f ca="1">IFERROR(__xludf.DUMMYFUNCTION("""COMPUTED_VALUE"""),"EDWIN F. PINGOL")</f>
        <v>EDWIN F. PINGOL</v>
      </c>
      <c r="I3192" s="164" t="str">
        <f ca="1">IFERROR(__xludf.DUMMYFUNCTION("""COMPUTED_VALUE"""),"ARPT (LEYTE 3)")</f>
        <v>ARPT (LEYTE 3)</v>
      </c>
      <c r="J3192" s="164"/>
      <c r="K3192" s="164" t="str">
        <f ca="1">IFERROR(__xludf.DUMMYFUNCTION("""COMPUTED_VALUE"""),"EDWIN F. PINGOL")</f>
        <v>EDWIN F. PINGOL</v>
      </c>
      <c r="L3192" s="164" t="str">
        <f ca="1">IFERROR(__xludf.DUMMYFUNCTION("""COMPUTED_VALUE"""),"DARMO LEYTE 3")</f>
        <v>DARMO LEYTE 3</v>
      </c>
      <c r="M3192" s="164" t="str">
        <f ca="1">IFERROR(__xludf.DUMMYFUNCTION("""COMPUTED_VALUE"""),"SERVICEABLE")</f>
        <v>SERVICEABLE</v>
      </c>
      <c r="N3192" s="164"/>
    </row>
    <row r="3193" spans="1:14" ht="13.2" hidden="1">
      <c r="A3193" s="164" t="str">
        <f ca="1">IFERROR(__xludf.DUMMYFUNCTION("""COMPUTED_VALUE"""),"REGION VIII")</f>
        <v>REGION VIII</v>
      </c>
      <c r="B3193" s="164" t="str">
        <f ca="1">IFERROR(__xludf.DUMMYFUNCTION("""COMPUTED_VALUE"""),"Leyte")</f>
        <v>Leyte</v>
      </c>
      <c r="C3193" s="164" t="str">
        <f ca="1">IFERROR(__xludf.DUMMYFUNCTION("""COMPUTED_VALUE"""),"Motorcycle – (Honda XRL 150)")</f>
        <v>Motorcycle – (Honda XRL 150)</v>
      </c>
      <c r="D3193" s="164" t="str">
        <f ca="1">IFERROR(__xludf.DUMMYFUNCTION("""COMPUTED_VALUE"""),"₱ 124,900.00")</f>
        <v>₱ 124,900.00</v>
      </c>
      <c r="E3193" s="164"/>
      <c r="F3193" s="164" t="str">
        <f ca="1">IFERROR(__xludf.DUMMYFUNCTION("""COMPUTED_VALUE"""),"2023-06-01-10202SP388-01")</f>
        <v>2023-06-01-10202SP388-01</v>
      </c>
      <c r="G3193" s="164"/>
      <c r="H3193" s="164" t="str">
        <f ca="1">IFERROR(__xludf.DUMMYFUNCTION("""COMPUTED_VALUE"""),"ARNEL B. JAVINES")</f>
        <v>ARNEL B. JAVINES</v>
      </c>
      <c r="I3193" s="164" t="str">
        <f ca="1">IFERROR(__xludf.DUMMYFUNCTION("""COMPUTED_VALUE"""),"ENGR II - GE (SURVEY SECTION)")</f>
        <v>ENGR II - GE (SURVEY SECTION)</v>
      </c>
      <c r="J3193" s="164"/>
      <c r="K3193" s="164" t="str">
        <f ca="1">IFERROR(__xludf.DUMMYFUNCTION("""COMPUTED_VALUE"""),"ARNEL B. JAVINES")</f>
        <v>ARNEL B. JAVINES</v>
      </c>
      <c r="L3193" s="164" t="str">
        <f ca="1">IFERROR(__xludf.DUMMYFUNCTION("""COMPUTED_VALUE"""),"LTSP - SURVEY")</f>
        <v>LTSP - SURVEY</v>
      </c>
      <c r="M3193" s="164" t="str">
        <f ca="1">IFERROR(__xludf.DUMMYFUNCTION("""COMPUTED_VALUE"""),"SERVICEABLE")</f>
        <v>SERVICEABLE</v>
      </c>
      <c r="N3193" s="164"/>
    </row>
    <row r="3194" spans="1:14" ht="13.2" hidden="1">
      <c r="A3194" s="164" t="str">
        <f ca="1">IFERROR(__xludf.DUMMYFUNCTION("""COMPUTED_VALUE"""),"REGION VIII")</f>
        <v>REGION VIII</v>
      </c>
      <c r="B3194" s="164" t="str">
        <f ca="1">IFERROR(__xludf.DUMMYFUNCTION("""COMPUTED_VALUE"""),"Leyte")</f>
        <v>Leyte</v>
      </c>
      <c r="C3194" s="164" t="str">
        <f ca="1">IFERROR(__xludf.DUMMYFUNCTION("""COMPUTED_VALUE"""),"Motorcycle – (Honda XRL 150)")</f>
        <v>Motorcycle – (Honda XRL 150)</v>
      </c>
      <c r="D3194" s="164" t="str">
        <f ca="1">IFERROR(__xludf.DUMMYFUNCTION("""COMPUTED_VALUE"""),"₱ 124,900.00")</f>
        <v>₱ 124,900.00</v>
      </c>
      <c r="E3194" s="164"/>
      <c r="F3194" s="164" t="str">
        <f ca="1">IFERROR(__xludf.DUMMYFUNCTION("""COMPUTED_VALUE"""),"2023-06-01-10202SP390-01")</f>
        <v>2023-06-01-10202SP390-01</v>
      </c>
      <c r="G3194" s="164"/>
      <c r="H3194" s="164" t="str">
        <f ca="1">IFERROR(__xludf.DUMMYFUNCTION("""COMPUTED_VALUE"""),"ALETH REY C. ORTEGA")</f>
        <v>ALETH REY C. ORTEGA</v>
      </c>
      <c r="I3194" s="164" t="str">
        <f ca="1">IFERROR(__xludf.DUMMYFUNCTION("""COMPUTED_VALUE"""),"ARPT / DF (TABON-TABON)")</f>
        <v>ARPT / DF (TABON-TABON)</v>
      </c>
      <c r="J3194" s="164"/>
      <c r="K3194" s="164" t="str">
        <f ca="1">IFERROR(__xludf.DUMMYFUNCTION("""COMPUTED_VALUE"""),"ALETH REY C. ORTEGA")</f>
        <v>ALETH REY C. ORTEGA</v>
      </c>
      <c r="L3194" s="164" t="str">
        <f ca="1">IFERROR(__xludf.DUMMYFUNCTION("""COMPUTED_VALUE"""),"DARMO TABON-TABON")</f>
        <v>DARMO TABON-TABON</v>
      </c>
      <c r="M3194" s="164" t="str">
        <f ca="1">IFERROR(__xludf.DUMMYFUNCTION("""COMPUTED_VALUE"""),"SERVICEABLE")</f>
        <v>SERVICEABLE</v>
      </c>
      <c r="N3194" s="164"/>
    </row>
    <row r="3195" spans="1:14" ht="13.2" hidden="1">
      <c r="A3195" s="164" t="str">
        <f ca="1">IFERROR(__xludf.DUMMYFUNCTION("""COMPUTED_VALUE"""),"REGION VIII")</f>
        <v>REGION VIII</v>
      </c>
      <c r="B3195" s="164" t="str">
        <f ca="1">IFERROR(__xludf.DUMMYFUNCTION("""COMPUTED_VALUE"""),"Leyte")</f>
        <v>Leyte</v>
      </c>
      <c r="C3195" s="164" t="str">
        <f ca="1">IFERROR(__xludf.DUMMYFUNCTION("""COMPUTED_VALUE"""),"Motorcycle – (Honda XRL 150)")</f>
        <v>Motorcycle – (Honda XRL 150)</v>
      </c>
      <c r="D3195" s="164" t="str">
        <f ca="1">IFERROR(__xludf.DUMMYFUNCTION("""COMPUTED_VALUE"""),"₱ 124,900.00")</f>
        <v>₱ 124,900.00</v>
      </c>
      <c r="E3195" s="164"/>
      <c r="F3195" s="164" t="str">
        <f ca="1">IFERROR(__xludf.DUMMYFUNCTION("""COMPUTED_VALUE"""),"2023-06-01-10202SP391-01")</f>
        <v>2023-06-01-10202SP391-01</v>
      </c>
      <c r="G3195" s="164"/>
      <c r="H3195" s="164" t="str">
        <f ca="1">IFERROR(__xludf.DUMMYFUNCTION("""COMPUTED_VALUE"""),"ADRIAN M. AÑANO")</f>
        <v>ADRIAN M. AÑANO</v>
      </c>
      <c r="I3195" s="164" t="str">
        <f ca="1">IFERROR(__xludf.DUMMYFUNCTION("""COMPUTED_VALUE"""),"SARPT (SAN MIGUEL)")</f>
        <v>SARPT (SAN MIGUEL)</v>
      </c>
      <c r="J3195" s="164"/>
      <c r="K3195" s="164" t="str">
        <f ca="1">IFERROR(__xludf.DUMMYFUNCTION("""COMPUTED_VALUE"""),"ADRIAN M. AÑANO")</f>
        <v>ADRIAN M. AÑANO</v>
      </c>
      <c r="L3195" s="164" t="str">
        <f ca="1">IFERROR(__xludf.DUMMYFUNCTION("""COMPUTED_VALUE"""),"DARMO SAN MIGUEL")</f>
        <v>DARMO SAN MIGUEL</v>
      </c>
      <c r="M3195" s="164" t="str">
        <f ca="1">IFERROR(__xludf.DUMMYFUNCTION("""COMPUTED_VALUE"""),"SERVICEABLE")</f>
        <v>SERVICEABLE</v>
      </c>
      <c r="N3195" s="164"/>
    </row>
    <row r="3196" spans="1:14" ht="13.2" hidden="1">
      <c r="A3196" s="164" t="str">
        <f ca="1">IFERROR(__xludf.DUMMYFUNCTION("""COMPUTED_VALUE"""),"REGION VIII")</f>
        <v>REGION VIII</v>
      </c>
      <c r="B3196" s="164" t="str">
        <f ca="1">IFERROR(__xludf.DUMMYFUNCTION("""COMPUTED_VALUE"""),"Leyte")</f>
        <v>Leyte</v>
      </c>
      <c r="C3196" s="164" t="str">
        <f ca="1">IFERROR(__xludf.DUMMYFUNCTION("""COMPUTED_VALUE"""),"Motorcycle – (Honda XRL 150)")</f>
        <v>Motorcycle – (Honda XRL 150)</v>
      </c>
      <c r="D3196" s="164" t="str">
        <f ca="1">IFERROR(__xludf.DUMMYFUNCTION("""COMPUTED_VALUE"""),"₱ 124,900.00")</f>
        <v>₱ 124,900.00</v>
      </c>
      <c r="E3196" s="164"/>
      <c r="F3196" s="164" t="str">
        <f ca="1">IFERROR(__xludf.DUMMYFUNCTION("""COMPUTED_VALUE"""),"2023-06-01-10202SP392-01")</f>
        <v>2023-06-01-10202SP392-01</v>
      </c>
      <c r="G3196" s="164"/>
      <c r="H3196" s="164" t="str">
        <f ca="1">IFERROR(__xludf.DUMMYFUNCTION("""COMPUTED_VALUE"""),"EDUARDO B. DIAZ, JR.")</f>
        <v>EDUARDO B. DIAZ, JR.</v>
      </c>
      <c r="I3196" s="164" t="str">
        <f ca="1">IFERROR(__xludf.DUMMYFUNCTION("""COMPUTED_VALUE"""),"SARPT (MACARTHUR)")</f>
        <v>SARPT (MACARTHUR)</v>
      </c>
      <c r="J3196" s="164"/>
      <c r="K3196" s="164" t="str">
        <f ca="1">IFERROR(__xludf.DUMMYFUNCTION("""COMPUTED_VALUE"""),"EDUARDO B. DIAZ, JR.")</f>
        <v>EDUARDO B. DIAZ, JR.</v>
      </c>
      <c r="L3196" s="164" t="str">
        <f ca="1">IFERROR(__xludf.DUMMYFUNCTION("""COMPUTED_VALUE"""),"DARMO MACARTHUR")</f>
        <v>DARMO MACARTHUR</v>
      </c>
      <c r="M3196" s="164" t="str">
        <f ca="1">IFERROR(__xludf.DUMMYFUNCTION("""COMPUTED_VALUE"""),"SERVICEABLE")</f>
        <v>SERVICEABLE</v>
      </c>
      <c r="N3196" s="164"/>
    </row>
    <row r="3197" spans="1:14" ht="13.2" hidden="1">
      <c r="A3197" s="164" t="str">
        <f ca="1">IFERROR(__xludf.DUMMYFUNCTION("""COMPUTED_VALUE"""),"REGION VIII")</f>
        <v>REGION VIII</v>
      </c>
      <c r="B3197" s="164" t="str">
        <f ca="1">IFERROR(__xludf.DUMMYFUNCTION("""COMPUTED_VALUE"""),"Leyte")</f>
        <v>Leyte</v>
      </c>
      <c r="C3197" s="164" t="str">
        <f ca="1">IFERROR(__xludf.DUMMYFUNCTION("""COMPUTED_VALUE"""),"Motorcycle – (Honda XRL 150)")</f>
        <v>Motorcycle – (Honda XRL 150)</v>
      </c>
      <c r="D3197" s="164" t="str">
        <f ca="1">IFERROR(__xludf.DUMMYFUNCTION("""COMPUTED_VALUE"""),"₱ 124,900.00")</f>
        <v>₱ 124,900.00</v>
      </c>
      <c r="E3197" s="164"/>
      <c r="F3197" s="164" t="str">
        <f ca="1">IFERROR(__xludf.DUMMYFUNCTION("""COMPUTED_VALUE"""),"2023-06-01-10202SP393-01")</f>
        <v>2023-06-01-10202SP393-01</v>
      </c>
      <c r="G3197" s="164"/>
      <c r="H3197" s="164" t="str">
        <f ca="1">IFERROR(__xludf.DUMMYFUNCTION("""COMPUTED_VALUE"""),"MARK LESTER VELOSO")</f>
        <v>MARK LESTER VELOSO</v>
      </c>
      <c r="I3197" s="164" t="str">
        <f ca="1">IFERROR(__xludf.DUMMYFUNCTION("""COMPUTED_VALUE"""),"ASST STAT (PROCUREMENT)")</f>
        <v>ASST STAT (PROCUREMENT)</v>
      </c>
      <c r="J3197" s="164"/>
      <c r="K3197" s="164" t="str">
        <f ca="1">IFERROR(__xludf.DUMMYFUNCTION("""COMPUTED_VALUE"""),"MARK LESTER VELOSO")</f>
        <v>MARK LESTER VELOSO</v>
      </c>
      <c r="L3197" s="164" t="str">
        <f ca="1">IFERROR(__xludf.DUMMYFUNCTION("""COMPUTED_VALUE"""),"STOD")</f>
        <v>STOD</v>
      </c>
      <c r="M3197" s="164" t="str">
        <f ca="1">IFERROR(__xludf.DUMMYFUNCTION("""COMPUTED_VALUE"""),"SERVICEABLE")</f>
        <v>SERVICEABLE</v>
      </c>
      <c r="N3197" s="164"/>
    </row>
    <row r="3198" spans="1:14" ht="13.2" hidden="1">
      <c r="A3198" s="164" t="str">
        <f ca="1">IFERROR(__xludf.DUMMYFUNCTION("""COMPUTED_VALUE"""),"REGION VIII")</f>
        <v>REGION VIII</v>
      </c>
      <c r="B3198" s="164" t="str">
        <f ca="1">IFERROR(__xludf.DUMMYFUNCTION("""COMPUTED_VALUE"""),"Leyte")</f>
        <v>Leyte</v>
      </c>
      <c r="C3198" s="164" t="str">
        <f ca="1">IFERROR(__xludf.DUMMYFUNCTION("""COMPUTED_VALUE"""),"Motorcycle – (Honda XRL 150)")</f>
        <v>Motorcycle – (Honda XRL 150)</v>
      </c>
      <c r="D3198" s="164" t="str">
        <f ca="1">IFERROR(__xludf.DUMMYFUNCTION("""COMPUTED_VALUE"""),"₱ 124,900.00")</f>
        <v>₱ 124,900.00</v>
      </c>
      <c r="E3198" s="164"/>
      <c r="F3198" s="164" t="str">
        <f ca="1">IFERROR(__xludf.DUMMYFUNCTION("""COMPUTED_VALUE"""),"2023-06-01-10202SP394-01")</f>
        <v>2023-06-01-10202SP394-01</v>
      </c>
      <c r="G3198" s="164"/>
      <c r="H3198" s="164" t="str">
        <f ca="1">IFERROR(__xludf.DUMMYFUNCTION("""COMPUTED_VALUE"""),"JESLIE ROSE A. TAN")</f>
        <v>JESLIE ROSE A. TAN</v>
      </c>
      <c r="I3198" s="164" t="str">
        <f ca="1">IFERROR(__xludf.DUMMYFUNCTION("""COMPUTED_VALUE"""),"SARPT (CARIGARA)")</f>
        <v>SARPT (CARIGARA)</v>
      </c>
      <c r="J3198" s="164"/>
      <c r="K3198" s="164" t="str">
        <f ca="1">IFERROR(__xludf.DUMMYFUNCTION("""COMPUTED_VALUE"""),"JESLIE ROSE A. TAN")</f>
        <v>JESLIE ROSE A. TAN</v>
      </c>
      <c r="L3198" s="164" t="str">
        <f ca="1">IFERROR(__xludf.DUMMYFUNCTION("""COMPUTED_VALUE"""),"DARMO CARIGARA")</f>
        <v>DARMO CARIGARA</v>
      </c>
      <c r="M3198" s="164" t="str">
        <f ca="1">IFERROR(__xludf.DUMMYFUNCTION("""COMPUTED_VALUE"""),"SERVICEABLE")</f>
        <v>SERVICEABLE</v>
      </c>
      <c r="N3198" s="164"/>
    </row>
    <row r="3199" spans="1:14" ht="13.2" hidden="1">
      <c r="A3199" s="164" t="str">
        <f ca="1">IFERROR(__xludf.DUMMYFUNCTION("""COMPUTED_VALUE"""),"REGION VIII")</f>
        <v>REGION VIII</v>
      </c>
      <c r="B3199" s="164" t="str">
        <f ca="1">IFERROR(__xludf.DUMMYFUNCTION("""COMPUTED_VALUE"""),"Leyte")</f>
        <v>Leyte</v>
      </c>
      <c r="C3199" s="164" t="str">
        <f ca="1">IFERROR(__xludf.DUMMYFUNCTION("""COMPUTED_VALUE"""),"Motorcycle – (Honda XRL 150)")</f>
        <v>Motorcycle – (Honda XRL 150)</v>
      </c>
      <c r="D3199" s="164" t="str">
        <f ca="1">IFERROR(__xludf.DUMMYFUNCTION("""COMPUTED_VALUE"""),"₱ 124,900.00")</f>
        <v>₱ 124,900.00</v>
      </c>
      <c r="E3199" s="164"/>
      <c r="F3199" s="164" t="str">
        <f ca="1">IFERROR(__xludf.DUMMYFUNCTION("""COMPUTED_VALUE"""),"2023-06-01-10202SP395-01")</f>
        <v>2023-06-01-10202SP395-01</v>
      </c>
      <c r="G3199" s="164"/>
      <c r="H3199" s="164" t="str">
        <f ca="1">IFERROR(__xludf.DUMMYFUNCTION("""COMPUTED_VALUE"""),"AT DARPO")</f>
        <v>AT DARPO</v>
      </c>
      <c r="I3199" s="164" t="str">
        <f ca="1">IFERROR(__xludf.DUMMYFUNCTION("""COMPUTED_VALUE"""),"ARPO II (REGION)")</f>
        <v>ARPO II (REGION)</v>
      </c>
      <c r="J3199" s="164"/>
      <c r="K3199" s="164" t="str">
        <f ca="1">IFERROR(__xludf.DUMMYFUNCTION("""COMPUTED_VALUE"""),"AT DARPO")</f>
        <v>AT DARPO</v>
      </c>
      <c r="L3199" s="164" t="str">
        <f ca="1">IFERROR(__xludf.DUMMYFUNCTION("""COMPUTED_VALUE"""),"OFFICE OF THE RD")</f>
        <v>OFFICE OF THE RD</v>
      </c>
      <c r="M3199" s="164" t="str">
        <f ca="1">IFERROR(__xludf.DUMMYFUNCTION("""COMPUTED_VALUE"""),"SERVICEABLE")</f>
        <v>SERVICEABLE</v>
      </c>
      <c r="N3199" s="164"/>
    </row>
    <row r="3200" spans="1:14" ht="13.2" hidden="1">
      <c r="A3200" s="164" t="str">
        <f ca="1">IFERROR(__xludf.DUMMYFUNCTION("""COMPUTED_VALUE"""),"REGION VIII")</f>
        <v>REGION VIII</v>
      </c>
      <c r="B3200" s="164" t="str">
        <f ca="1">IFERROR(__xludf.DUMMYFUNCTION("""COMPUTED_VALUE"""),"Leyte")</f>
        <v>Leyte</v>
      </c>
      <c r="C3200" s="164" t="str">
        <f ca="1">IFERROR(__xludf.DUMMYFUNCTION("""COMPUTED_VALUE"""),"Motorcycle – (Honda XRL 150)")</f>
        <v>Motorcycle – (Honda XRL 150)</v>
      </c>
      <c r="D3200" s="164" t="str">
        <f ca="1">IFERROR(__xludf.DUMMYFUNCTION("""COMPUTED_VALUE"""),"₱ 124,900.00")</f>
        <v>₱ 124,900.00</v>
      </c>
      <c r="E3200" s="164"/>
      <c r="F3200" s="164" t="str">
        <f ca="1">IFERROR(__xludf.DUMMYFUNCTION("""COMPUTED_VALUE"""),"2023-06-01-10202SP396-01")</f>
        <v>2023-06-01-10202SP396-01</v>
      </c>
      <c r="G3200" s="164"/>
      <c r="H3200" s="164" t="str">
        <f ca="1">IFERROR(__xludf.DUMMYFUNCTION("""COMPUTED_VALUE"""),"JEFFREY B. GARCIANO")</f>
        <v>JEFFREY B. GARCIANO</v>
      </c>
      <c r="I3200" s="164" t="str">
        <f ca="1">IFERROR(__xludf.DUMMYFUNCTION("""COMPUTED_VALUE"""),"ARPO I / DF (MATALOM)")</f>
        <v>ARPO I / DF (MATALOM)</v>
      </c>
      <c r="J3200" s="164"/>
      <c r="K3200" s="164" t="str">
        <f ca="1">IFERROR(__xludf.DUMMYFUNCTION("""COMPUTED_VALUE"""),"JEFFREY B. GARCIANO")</f>
        <v>JEFFREY B. GARCIANO</v>
      </c>
      <c r="L3200" s="164" t="str">
        <f ca="1">IFERROR(__xludf.DUMMYFUNCTION("""COMPUTED_VALUE"""),"DARMO MATALOM")</f>
        <v>DARMO MATALOM</v>
      </c>
      <c r="M3200" s="164" t="str">
        <f ca="1">IFERROR(__xludf.DUMMYFUNCTION("""COMPUTED_VALUE"""),"SERVICEABLE")</f>
        <v>SERVICEABLE</v>
      </c>
      <c r="N3200" s="164"/>
    </row>
    <row r="3201" spans="1:14" ht="13.2" hidden="1">
      <c r="A3201" s="164" t="str">
        <f ca="1">IFERROR(__xludf.DUMMYFUNCTION("""COMPUTED_VALUE"""),"REGION VIII")</f>
        <v>REGION VIII</v>
      </c>
      <c r="B3201" s="164" t="str">
        <f ca="1">IFERROR(__xludf.DUMMYFUNCTION("""COMPUTED_VALUE"""),"Leyte")</f>
        <v>Leyte</v>
      </c>
      <c r="C3201" s="164" t="str">
        <f ca="1">IFERROR(__xludf.DUMMYFUNCTION("""COMPUTED_VALUE"""),"Motorcycle – (Honda XRL 150)")</f>
        <v>Motorcycle – (Honda XRL 150)</v>
      </c>
      <c r="D3201" s="164" t="str">
        <f ca="1">IFERROR(__xludf.DUMMYFUNCTION("""COMPUTED_VALUE"""),"₱ 124,900.00")</f>
        <v>₱ 124,900.00</v>
      </c>
      <c r="E3201" s="164"/>
      <c r="F3201" s="164" t="str">
        <f ca="1">IFERROR(__xludf.DUMMYFUNCTION("""COMPUTED_VALUE"""),"2023-06-01-10202SP397-01")</f>
        <v>2023-06-01-10202SP397-01</v>
      </c>
      <c r="G3201" s="164"/>
      <c r="H3201" s="164" t="str">
        <f ca="1">IFERROR(__xludf.DUMMYFUNCTION("""COMPUTED_VALUE"""),"AT DARPO")</f>
        <v>AT DARPO</v>
      </c>
      <c r="I3201" s="164" t="str">
        <f ca="1">IFERROR(__xludf.DUMMYFUNCTION("""COMPUTED_VALUE"""),"ARPT (ORMOC 1)")</f>
        <v>ARPT (ORMOC 1)</v>
      </c>
      <c r="J3201" s="164"/>
      <c r="K3201" s="164" t="str">
        <f ca="1">IFERROR(__xludf.DUMMYFUNCTION("""COMPUTED_VALUE"""),"AT DARPO")</f>
        <v>AT DARPO</v>
      </c>
      <c r="L3201" s="164" t="str">
        <f ca="1">IFERROR(__xludf.DUMMYFUNCTION("""COMPUTED_VALUE"""),"DARMO ORMOC 1")</f>
        <v>DARMO ORMOC 1</v>
      </c>
      <c r="M3201" s="164" t="str">
        <f ca="1">IFERROR(__xludf.DUMMYFUNCTION("""COMPUTED_VALUE"""),"SERVICEABLE")</f>
        <v>SERVICEABLE</v>
      </c>
      <c r="N3201" s="164"/>
    </row>
    <row r="3202" spans="1:14" ht="13.2" hidden="1">
      <c r="A3202" s="164" t="str">
        <f ca="1">IFERROR(__xludf.DUMMYFUNCTION("""COMPUTED_VALUE"""),"REGION VIII")</f>
        <v>REGION VIII</v>
      </c>
      <c r="B3202" s="164" t="str">
        <f ca="1">IFERROR(__xludf.DUMMYFUNCTION("""COMPUTED_VALUE"""),"Leyte")</f>
        <v>Leyte</v>
      </c>
      <c r="C3202" s="164" t="str">
        <f ca="1">IFERROR(__xludf.DUMMYFUNCTION("""COMPUTED_VALUE"""),"Motorcycle – (Honda XRL 150)")</f>
        <v>Motorcycle – (Honda XRL 150)</v>
      </c>
      <c r="D3202" s="164" t="str">
        <f ca="1">IFERROR(__xludf.DUMMYFUNCTION("""COMPUTED_VALUE"""),"₱ 124,900.00")</f>
        <v>₱ 124,900.00</v>
      </c>
      <c r="E3202" s="164"/>
      <c r="F3202" s="164" t="str">
        <f ca="1">IFERROR(__xludf.DUMMYFUNCTION("""COMPUTED_VALUE"""),"2023-06-01-10202SP398-01")</f>
        <v>2023-06-01-10202SP398-01</v>
      </c>
      <c r="G3202" s="164"/>
      <c r="H3202" s="164" t="str">
        <f ca="1">IFERROR(__xludf.DUMMYFUNCTION("""COMPUTED_VALUE"""),"FRANK DARWIN DEMILLO")</f>
        <v>FRANK DARWIN DEMILLO</v>
      </c>
      <c r="I3202" s="164" t="str">
        <f ca="1">IFERROR(__xludf.DUMMYFUNCTION("""COMPUTED_VALUE"""),"ARPT (INOPACAN)")</f>
        <v>ARPT (INOPACAN)</v>
      </c>
      <c r="J3202" s="164"/>
      <c r="K3202" s="164" t="str">
        <f ca="1">IFERROR(__xludf.DUMMYFUNCTION("""COMPUTED_VALUE"""),"FRANK DARWIN DEMILLO")</f>
        <v>FRANK DARWIN DEMILLO</v>
      </c>
      <c r="L3202" s="164" t="str">
        <f ca="1">IFERROR(__xludf.DUMMYFUNCTION("""COMPUTED_VALUE"""),"DARMO INOPACAN")</f>
        <v>DARMO INOPACAN</v>
      </c>
      <c r="M3202" s="164" t="str">
        <f ca="1">IFERROR(__xludf.DUMMYFUNCTION("""COMPUTED_VALUE"""),"SERVICEABLE")</f>
        <v>SERVICEABLE</v>
      </c>
      <c r="N3202" s="164"/>
    </row>
    <row r="3203" spans="1:14" ht="13.2" hidden="1">
      <c r="A3203" s="164" t="str">
        <f ca="1">IFERROR(__xludf.DUMMYFUNCTION("""COMPUTED_VALUE"""),"REGION VIII")</f>
        <v>REGION VIII</v>
      </c>
      <c r="B3203" s="164" t="str">
        <f ca="1">IFERROR(__xludf.DUMMYFUNCTION("""COMPUTED_VALUE"""),"Leyte")</f>
        <v>Leyte</v>
      </c>
      <c r="C3203" s="164" t="str">
        <f ca="1">IFERROR(__xludf.DUMMYFUNCTION("""COMPUTED_VALUE"""),"Motorcycle – (Honda XRL 150)")</f>
        <v>Motorcycle – (Honda XRL 150)</v>
      </c>
      <c r="D3203" s="164" t="str">
        <f ca="1">IFERROR(__xludf.DUMMYFUNCTION("""COMPUTED_VALUE"""),"₱ 124,900.00")</f>
        <v>₱ 124,900.00</v>
      </c>
      <c r="E3203" s="164"/>
      <c r="F3203" s="164" t="str">
        <f ca="1">IFERROR(__xludf.DUMMYFUNCTION("""COMPUTED_VALUE"""),"2023-06-01-10202SP399-01")</f>
        <v>2023-06-01-10202SP399-01</v>
      </c>
      <c r="G3203" s="164"/>
      <c r="H3203" s="164" t="str">
        <f ca="1">IFERROR(__xludf.DUMMYFUNCTION("""COMPUTED_VALUE"""),"EMELY DOGADOGA")</f>
        <v>EMELY DOGADOGA</v>
      </c>
      <c r="I3203" s="164" t="str">
        <f ca="1">IFERROR(__xludf.DUMMYFUNCTION("""COMPUTED_VALUE"""),"ARPT (ABUYOG)")</f>
        <v>ARPT (ABUYOG)</v>
      </c>
      <c r="J3203" s="164"/>
      <c r="K3203" s="164" t="str">
        <f ca="1">IFERROR(__xludf.DUMMYFUNCTION("""COMPUTED_VALUE"""),"EMELY DOGADOGA")</f>
        <v>EMELY DOGADOGA</v>
      </c>
      <c r="L3203" s="164" t="str">
        <f ca="1">IFERROR(__xludf.DUMMYFUNCTION("""COMPUTED_VALUE"""),"DARMO ABUYOG")</f>
        <v>DARMO ABUYOG</v>
      </c>
      <c r="M3203" s="164" t="str">
        <f ca="1">IFERROR(__xludf.DUMMYFUNCTION("""COMPUTED_VALUE"""),"SERVICEABLE")</f>
        <v>SERVICEABLE</v>
      </c>
      <c r="N3203" s="164"/>
    </row>
    <row r="3204" spans="1:14" ht="13.2" hidden="1">
      <c r="A3204" s="164" t="str">
        <f ca="1">IFERROR(__xludf.DUMMYFUNCTION("""COMPUTED_VALUE"""),"REGION VIII")</f>
        <v>REGION VIII</v>
      </c>
      <c r="B3204" s="164" t="str">
        <f ca="1">IFERROR(__xludf.DUMMYFUNCTION("""COMPUTED_VALUE"""),"Leyte")</f>
        <v>Leyte</v>
      </c>
      <c r="C3204" s="164" t="str">
        <f ca="1">IFERROR(__xludf.DUMMYFUNCTION("""COMPUTED_VALUE"""),"Motorcycle – (Honda XRL 150)")</f>
        <v>Motorcycle – (Honda XRL 150)</v>
      </c>
      <c r="D3204" s="164" t="str">
        <f ca="1">IFERROR(__xludf.DUMMYFUNCTION("""COMPUTED_VALUE"""),"₱ 124,900.00")</f>
        <v>₱ 124,900.00</v>
      </c>
      <c r="E3204" s="164"/>
      <c r="F3204" s="164" t="str">
        <f ca="1">IFERROR(__xludf.DUMMYFUNCTION("""COMPUTED_VALUE"""),"2023-06-01-10202SP400-01")</f>
        <v>2023-06-01-10202SP400-01</v>
      </c>
      <c r="G3204" s="164"/>
      <c r="H3204" s="164" t="str">
        <f ca="1">IFERROR(__xludf.DUMMYFUNCTION("""COMPUTED_VALUE"""),"JUSTINE O. PASCO")</f>
        <v>JUSTINE O. PASCO</v>
      </c>
      <c r="I3204" s="164" t="str">
        <f ca="1">IFERROR(__xludf.DUMMYFUNCTION("""COMPUTED_VALUE"""),"ARPT (BATO)")</f>
        <v>ARPT (BATO)</v>
      </c>
      <c r="J3204" s="164"/>
      <c r="K3204" s="164" t="str">
        <f ca="1">IFERROR(__xludf.DUMMYFUNCTION("""COMPUTED_VALUE"""),"JUSTINE O. PASCO")</f>
        <v>JUSTINE O. PASCO</v>
      </c>
      <c r="L3204" s="164" t="str">
        <f ca="1">IFERROR(__xludf.DUMMYFUNCTION("""COMPUTED_VALUE"""),"DARMO BATO")</f>
        <v>DARMO BATO</v>
      </c>
      <c r="M3204" s="164" t="str">
        <f ca="1">IFERROR(__xludf.DUMMYFUNCTION("""COMPUTED_VALUE"""),"SERVICEABLE")</f>
        <v>SERVICEABLE</v>
      </c>
      <c r="N3204" s="164"/>
    </row>
    <row r="3205" spans="1:14" ht="13.2" hidden="1">
      <c r="A3205" s="164" t="str">
        <f ca="1">IFERROR(__xludf.DUMMYFUNCTION("""COMPUTED_VALUE"""),"REGION VIII")</f>
        <v>REGION VIII</v>
      </c>
      <c r="B3205" s="164" t="str">
        <f ca="1">IFERROR(__xludf.DUMMYFUNCTION("""COMPUTED_VALUE"""),"Leyte")</f>
        <v>Leyte</v>
      </c>
      <c r="C3205" s="164" t="str">
        <f ca="1">IFERROR(__xludf.DUMMYFUNCTION("""COMPUTED_VALUE"""),"Motorcycle – (Honda XRL 150)")</f>
        <v>Motorcycle – (Honda XRL 150)</v>
      </c>
      <c r="D3205" s="164" t="str">
        <f ca="1">IFERROR(__xludf.DUMMYFUNCTION("""COMPUTED_VALUE"""),"₱ 124,900.00")</f>
        <v>₱ 124,900.00</v>
      </c>
      <c r="E3205" s="164"/>
      <c r="F3205" s="164" t="str">
        <f ca="1">IFERROR(__xludf.DUMMYFUNCTION("""COMPUTED_VALUE"""),"2023-06-01-10202SP401-01")</f>
        <v>2023-06-01-10202SP401-01</v>
      </c>
      <c r="G3205" s="164"/>
      <c r="H3205" s="164" t="str">
        <f ca="1">IFERROR(__xludf.DUMMYFUNCTION("""COMPUTED_VALUE"""),"SAMUEL M. BALDOS")</f>
        <v>SAMUEL M. BALDOS</v>
      </c>
      <c r="I3205" s="164" t="str">
        <f ca="1">IFERROR(__xludf.DUMMYFUNCTION("""COMPUTED_VALUE"""),"ARPT (TABANGO)")</f>
        <v>ARPT (TABANGO)</v>
      </c>
      <c r="J3205" s="164"/>
      <c r="K3205" s="164" t="str">
        <f ca="1">IFERROR(__xludf.DUMMYFUNCTION("""COMPUTED_VALUE"""),"SAMUEL M. BALDOS")</f>
        <v>SAMUEL M. BALDOS</v>
      </c>
      <c r="L3205" s="164" t="str">
        <f ca="1">IFERROR(__xludf.DUMMYFUNCTION("""COMPUTED_VALUE"""),"DARMO TABANGO")</f>
        <v>DARMO TABANGO</v>
      </c>
      <c r="M3205" s="164" t="str">
        <f ca="1">IFERROR(__xludf.DUMMYFUNCTION("""COMPUTED_VALUE"""),"SERVICEABLE")</f>
        <v>SERVICEABLE</v>
      </c>
      <c r="N3205" s="164"/>
    </row>
    <row r="3206" spans="1:14" ht="13.2" hidden="1">
      <c r="A3206" s="164" t="str">
        <f ca="1">IFERROR(__xludf.DUMMYFUNCTION("""COMPUTED_VALUE"""),"REGION VIII")</f>
        <v>REGION VIII</v>
      </c>
      <c r="B3206" s="164" t="str">
        <f ca="1">IFERROR(__xludf.DUMMYFUNCTION("""COMPUTED_VALUE"""),"Leyte")</f>
        <v>Leyte</v>
      </c>
      <c r="C3206" s="164" t="str">
        <f ca="1">IFERROR(__xludf.DUMMYFUNCTION("""COMPUTED_VALUE"""),"Motorcycle – (Honda XRL 150)")</f>
        <v>Motorcycle – (Honda XRL 150)</v>
      </c>
      <c r="D3206" s="164" t="str">
        <f ca="1">IFERROR(__xludf.DUMMYFUNCTION("""COMPUTED_VALUE"""),"₱ 124,900.00")</f>
        <v>₱ 124,900.00</v>
      </c>
      <c r="E3206" s="164"/>
      <c r="F3206" s="164" t="str">
        <f ca="1">IFERROR(__xludf.DUMMYFUNCTION("""COMPUTED_VALUE"""),"2023-06-01-10202SP402-01")</f>
        <v>2023-06-01-10202SP402-01</v>
      </c>
      <c r="G3206" s="164"/>
      <c r="H3206" s="164" t="str">
        <f ca="1">IFERROR(__xludf.DUMMYFUNCTION("""COMPUTED_VALUE"""),"ARNEL F. BANTILES")</f>
        <v>ARNEL F. BANTILES</v>
      </c>
      <c r="I3206" s="164" t="str">
        <f ca="1">IFERROR(__xludf.DUMMYFUNCTION("""COMPUTED_VALUE"""),"ARPT / DF (CALUBIAN 1)")</f>
        <v>ARPT / DF (CALUBIAN 1)</v>
      </c>
      <c r="J3206" s="164"/>
      <c r="K3206" s="164" t="str">
        <f ca="1">IFERROR(__xludf.DUMMYFUNCTION("""COMPUTED_VALUE"""),"ARNEL F. BANTILES")</f>
        <v>ARNEL F. BANTILES</v>
      </c>
      <c r="L3206" s="164" t="str">
        <f ca="1">IFERROR(__xludf.DUMMYFUNCTION("""COMPUTED_VALUE"""),"DARMO CALUBIAN 1")</f>
        <v>DARMO CALUBIAN 1</v>
      </c>
      <c r="M3206" s="164" t="str">
        <f ca="1">IFERROR(__xludf.DUMMYFUNCTION("""COMPUTED_VALUE"""),"SERVICEABLE")</f>
        <v>SERVICEABLE</v>
      </c>
      <c r="N3206" s="164"/>
    </row>
    <row r="3207" spans="1:14" ht="13.2" hidden="1">
      <c r="A3207" s="164" t="str">
        <f ca="1">IFERROR(__xludf.DUMMYFUNCTION("""COMPUTED_VALUE"""),"REGION VIII")</f>
        <v>REGION VIII</v>
      </c>
      <c r="B3207" s="164" t="str">
        <f ca="1">IFERROR(__xludf.DUMMYFUNCTION("""COMPUTED_VALUE"""),"Leyte")</f>
        <v>Leyte</v>
      </c>
      <c r="C3207" s="164" t="str">
        <f ca="1">IFERROR(__xludf.DUMMYFUNCTION("""COMPUTED_VALUE"""),"Motorcycle – (Honda XRL 150)")</f>
        <v>Motorcycle – (Honda XRL 150)</v>
      </c>
      <c r="D3207" s="164" t="str">
        <f ca="1">IFERROR(__xludf.DUMMYFUNCTION("""COMPUTED_VALUE"""),"₱ 124,900.00")</f>
        <v>₱ 124,900.00</v>
      </c>
      <c r="E3207" s="164"/>
      <c r="F3207" s="164" t="str">
        <f ca="1">IFERROR(__xludf.DUMMYFUNCTION("""COMPUTED_VALUE"""),"2023-06-01-10202SP403-01")</f>
        <v>2023-06-01-10202SP403-01</v>
      </c>
      <c r="G3207" s="164"/>
      <c r="H3207" s="164" t="str">
        <f ca="1">IFERROR(__xludf.DUMMYFUNCTION("""COMPUTED_VALUE"""),"CAPOOCAN FOR MR")</f>
        <v>CAPOOCAN FOR MR</v>
      </c>
      <c r="I3207" s="164" t="str">
        <f ca="1">IFERROR(__xludf.DUMMYFUNCTION("""COMPUTED_VALUE"""),"ARPT (TUNGA)")</f>
        <v>ARPT (TUNGA)</v>
      </c>
      <c r="J3207" s="164"/>
      <c r="K3207" s="164" t="str">
        <f ca="1">IFERROR(__xludf.DUMMYFUNCTION("""COMPUTED_VALUE"""),"CAPOOCAN FOR MR")</f>
        <v>CAPOOCAN FOR MR</v>
      </c>
      <c r="L3207" s="164" t="str">
        <f ca="1">IFERROR(__xludf.DUMMYFUNCTION("""COMPUTED_VALUE"""),"DARMO TUNGA")</f>
        <v>DARMO TUNGA</v>
      </c>
      <c r="M3207" s="164" t="str">
        <f ca="1">IFERROR(__xludf.DUMMYFUNCTION("""COMPUTED_VALUE"""),"SERVICEABLE")</f>
        <v>SERVICEABLE</v>
      </c>
      <c r="N3207" s="164"/>
    </row>
    <row r="3208" spans="1:14" ht="13.2" hidden="1">
      <c r="A3208" s="164" t="str">
        <f ca="1">IFERROR(__xludf.DUMMYFUNCTION("""COMPUTED_VALUE"""),"REGION VIII")</f>
        <v>REGION VIII</v>
      </c>
      <c r="B3208" s="164" t="str">
        <f ca="1">IFERROR(__xludf.DUMMYFUNCTION("""COMPUTED_VALUE"""),"Leyte")</f>
        <v>Leyte</v>
      </c>
      <c r="C3208" s="164" t="str">
        <f ca="1">IFERROR(__xludf.DUMMYFUNCTION("""COMPUTED_VALUE"""),"Motorcycle – (Honda XRL 150)")</f>
        <v>Motorcycle – (Honda XRL 150)</v>
      </c>
      <c r="D3208" s="164" t="str">
        <f ca="1">IFERROR(__xludf.DUMMYFUNCTION("""COMPUTED_VALUE"""),"₱ 124,900.00")</f>
        <v>₱ 124,900.00</v>
      </c>
      <c r="E3208" s="164"/>
      <c r="F3208" s="164" t="str">
        <f ca="1">IFERROR(__xludf.DUMMYFUNCTION("""COMPUTED_VALUE"""),"2023-06-01-10202SP404-01")</f>
        <v>2023-06-01-10202SP404-01</v>
      </c>
      <c r="G3208" s="164"/>
      <c r="H3208" s="164" t="str">
        <f ca="1">IFERROR(__xludf.DUMMYFUNCTION("""COMPUTED_VALUE"""),"AT DARPO")</f>
        <v>AT DARPO</v>
      </c>
      <c r="I3208" s="164" t="str">
        <f ca="1">IFERROR(__xludf.DUMMYFUNCTION("""COMPUTED_VALUE"""),"ARPT / DF (PASTRANA)")</f>
        <v>ARPT / DF (PASTRANA)</v>
      </c>
      <c r="J3208" s="164"/>
      <c r="K3208" s="164" t="str">
        <f ca="1">IFERROR(__xludf.DUMMYFUNCTION("""COMPUTED_VALUE"""),"AT DARPO")</f>
        <v>AT DARPO</v>
      </c>
      <c r="L3208" s="164" t="str">
        <f ca="1">IFERROR(__xludf.DUMMYFUNCTION("""COMPUTED_VALUE"""),"DARMO PASTRANA")</f>
        <v>DARMO PASTRANA</v>
      </c>
      <c r="M3208" s="164" t="str">
        <f ca="1">IFERROR(__xludf.DUMMYFUNCTION("""COMPUTED_VALUE"""),"SERVICEABLE")</f>
        <v>SERVICEABLE</v>
      </c>
      <c r="N3208" s="164"/>
    </row>
    <row r="3209" spans="1:14" ht="13.2" hidden="1">
      <c r="A3209" s="164" t="str">
        <f ca="1">IFERROR(__xludf.DUMMYFUNCTION("""COMPUTED_VALUE"""),"REGION VIII")</f>
        <v>REGION VIII</v>
      </c>
      <c r="B3209" s="164" t="str">
        <f ca="1">IFERROR(__xludf.DUMMYFUNCTION("""COMPUTED_VALUE"""),"Leyte")</f>
        <v>Leyte</v>
      </c>
      <c r="C3209" s="164" t="str">
        <f ca="1">IFERROR(__xludf.DUMMYFUNCTION("""COMPUTED_VALUE"""),"Motorcycle – (Honda XRL 150)")</f>
        <v>Motorcycle – (Honda XRL 150)</v>
      </c>
      <c r="D3209" s="164" t="str">
        <f ca="1">IFERROR(__xludf.DUMMYFUNCTION("""COMPUTED_VALUE"""),"₱ 124,900.00")</f>
        <v>₱ 124,900.00</v>
      </c>
      <c r="E3209" s="164"/>
      <c r="F3209" s="164" t="str">
        <f ca="1">IFERROR(__xludf.DUMMYFUNCTION("""COMPUTED_VALUE"""),"2023-06-01-10202SP446-01")</f>
        <v>2023-06-01-10202SP446-01</v>
      </c>
      <c r="G3209" s="164"/>
      <c r="H3209" s="164" t="str">
        <f ca="1">IFERROR(__xludf.DUMMYFUNCTION("""COMPUTED_VALUE"""),"AT DARPO")</f>
        <v>AT DARPO</v>
      </c>
      <c r="I3209" s="164" t="str">
        <f ca="1">IFERROR(__xludf.DUMMYFUNCTION("""COMPUTED_VALUE"""),"ARPT / DF (MATALOM)")</f>
        <v>ARPT / DF (MATALOM)</v>
      </c>
      <c r="J3209" s="164"/>
      <c r="K3209" s="164" t="str">
        <f ca="1">IFERROR(__xludf.DUMMYFUNCTION("""COMPUTED_VALUE"""),"AT DARPO")</f>
        <v>AT DARPO</v>
      </c>
      <c r="L3209" s="164" t="str">
        <f ca="1">IFERROR(__xludf.DUMMYFUNCTION("""COMPUTED_VALUE"""),"DARMO MATALOM")</f>
        <v>DARMO MATALOM</v>
      </c>
      <c r="M3209" s="164" t="str">
        <f ca="1">IFERROR(__xludf.DUMMYFUNCTION("""COMPUTED_VALUE"""),"SERVICEABLE")</f>
        <v>SERVICEABLE</v>
      </c>
      <c r="N3209" s="164"/>
    </row>
    <row r="3210" spans="1:14" ht="13.2" hidden="1">
      <c r="A3210" s="164" t="str">
        <f ca="1">IFERROR(__xludf.DUMMYFUNCTION("""COMPUTED_VALUE"""),"REGION VIII")</f>
        <v>REGION VIII</v>
      </c>
      <c r="B3210" s="164" t="str">
        <f ca="1">IFERROR(__xludf.DUMMYFUNCTION("""COMPUTED_VALUE"""),"Leyte")</f>
        <v>Leyte</v>
      </c>
      <c r="C3210" s="164" t="str">
        <f ca="1">IFERROR(__xludf.DUMMYFUNCTION("""COMPUTED_VALUE"""),"Motorcycle – (Honda XRL 150)")</f>
        <v>Motorcycle – (Honda XRL 150)</v>
      </c>
      <c r="D3210" s="164" t="str">
        <f ca="1">IFERROR(__xludf.DUMMYFUNCTION("""COMPUTED_VALUE"""),"₱ 124,900.00")</f>
        <v>₱ 124,900.00</v>
      </c>
      <c r="E3210" s="164"/>
      <c r="F3210" s="164" t="str">
        <f ca="1">IFERROR(__xludf.DUMMYFUNCTION("""COMPUTED_VALUE"""),"2023-06-01-10202SP447-01")</f>
        <v>2023-06-01-10202SP447-01</v>
      </c>
      <c r="G3210" s="164"/>
      <c r="H3210" s="164" t="str">
        <f ca="1">IFERROR(__xludf.DUMMYFUNCTION("""COMPUTED_VALUE"""),"LORNA C. PEDROSA")</f>
        <v>LORNA C. PEDROSA</v>
      </c>
      <c r="I3210" s="164" t="str">
        <f ca="1">IFERROR(__xludf.DUMMYFUNCTION("""COMPUTED_VALUE"""),"ARPO I (BABATNGON)")</f>
        <v>ARPO I (BABATNGON)</v>
      </c>
      <c r="J3210" s="164"/>
      <c r="K3210" s="164" t="str">
        <f ca="1">IFERROR(__xludf.DUMMYFUNCTION("""COMPUTED_VALUE"""),"LORNA C. PEDROSA")</f>
        <v>LORNA C. PEDROSA</v>
      </c>
      <c r="L3210" s="164" t="str">
        <f ca="1">IFERROR(__xludf.DUMMYFUNCTION("""COMPUTED_VALUE"""),"DARMO BABATNGON")</f>
        <v>DARMO BABATNGON</v>
      </c>
      <c r="M3210" s="164" t="str">
        <f ca="1">IFERROR(__xludf.DUMMYFUNCTION("""COMPUTED_VALUE"""),"SERVICEABLE")</f>
        <v>SERVICEABLE</v>
      </c>
      <c r="N3210" s="164"/>
    </row>
    <row r="3211" spans="1:14" ht="13.2" hidden="1">
      <c r="A3211" s="164" t="str">
        <f ca="1">IFERROR(__xludf.DUMMYFUNCTION("""COMPUTED_VALUE"""),"REGION VIII")</f>
        <v>REGION VIII</v>
      </c>
      <c r="B3211" s="164" t="str">
        <f ca="1">IFERROR(__xludf.DUMMYFUNCTION("""COMPUTED_VALUE"""),"Leyte")</f>
        <v>Leyte</v>
      </c>
      <c r="C3211" s="164" t="str">
        <f ca="1">IFERROR(__xludf.DUMMYFUNCTION("""COMPUTED_VALUE"""),"Motorcycle – (Honda XRL 150)")</f>
        <v>Motorcycle – (Honda XRL 150)</v>
      </c>
      <c r="D3211" s="164" t="str">
        <f ca="1">IFERROR(__xludf.DUMMYFUNCTION("""COMPUTED_VALUE"""),"₱ 124,900.00")</f>
        <v>₱ 124,900.00</v>
      </c>
      <c r="E3211" s="164"/>
      <c r="F3211" s="164" t="str">
        <f ca="1">IFERROR(__xludf.DUMMYFUNCTION("""COMPUTED_VALUE"""),"2023-06-01-10202SP449-01")</f>
        <v>2023-06-01-10202SP449-01</v>
      </c>
      <c r="G3211" s="164"/>
      <c r="H3211" s="164" t="str">
        <f ca="1">IFERROR(__xludf.DUMMYFUNCTION("""COMPUTED_VALUE"""),"PAUL ANTHONY A. TORRES")</f>
        <v>PAUL ANTHONY A. TORRES</v>
      </c>
      <c r="I3211" s="164" t="str">
        <f ca="1">IFERROR(__xludf.DUMMYFUNCTION("""COMPUTED_VALUE"""),"(NO MR YET)")</f>
        <v>(NO MR YET)</v>
      </c>
      <c r="J3211" s="164"/>
      <c r="K3211" s="164" t="str">
        <f ca="1">IFERROR(__xludf.DUMMYFUNCTION("""COMPUTED_VALUE"""),"PAUL ANTHONY A. TORRES")</f>
        <v>PAUL ANTHONY A. TORRES</v>
      </c>
      <c r="L3211" s="164"/>
      <c r="M3211" s="164" t="str">
        <f ca="1">IFERROR(__xludf.DUMMYFUNCTION("""COMPUTED_VALUE"""),"SERVICEABLE")</f>
        <v>SERVICEABLE</v>
      </c>
      <c r="N3211" s="164"/>
    </row>
    <row r="3212" spans="1:14" ht="13.2" hidden="1">
      <c r="A3212" s="164" t="str">
        <f ca="1">IFERROR(__xludf.DUMMYFUNCTION("""COMPUTED_VALUE"""),"REGION VIII")</f>
        <v>REGION VIII</v>
      </c>
      <c r="B3212" s="164" t="str">
        <f ca="1">IFERROR(__xludf.DUMMYFUNCTION("""COMPUTED_VALUE"""),"Leyte")</f>
        <v>Leyte</v>
      </c>
      <c r="C3212" s="164" t="str">
        <f ca="1">IFERROR(__xludf.DUMMYFUNCTION("""COMPUTED_VALUE"""),"Motorcycle – (Honda XRL 150)")</f>
        <v>Motorcycle – (Honda XRL 150)</v>
      </c>
      <c r="D3212" s="164" t="str">
        <f ca="1">IFERROR(__xludf.DUMMYFUNCTION("""COMPUTED_VALUE"""),"₱ 124,900.00")</f>
        <v>₱ 124,900.00</v>
      </c>
      <c r="E3212" s="164"/>
      <c r="F3212" s="164" t="str">
        <f ca="1">IFERROR(__xludf.DUMMYFUNCTION("""COMPUTED_VALUE"""),"2023-06-01-10202SP454-01")</f>
        <v>2023-06-01-10202SP454-01</v>
      </c>
      <c r="G3212" s="164"/>
      <c r="H3212" s="164" t="str">
        <f ca="1">IFERROR(__xludf.DUMMYFUNCTION("""COMPUTED_VALUE"""),"JULIE ANN B. LOTERTE")</f>
        <v>JULIE ANN B. LOTERTE</v>
      </c>
      <c r="I3212" s="164" t="str">
        <f ca="1">IFERROR(__xludf.DUMMYFUNCTION("""COMPUTED_VALUE"""),"(NO MR YET)")</f>
        <v>(NO MR YET)</v>
      </c>
      <c r="J3212" s="164"/>
      <c r="K3212" s="164" t="str">
        <f ca="1">IFERROR(__xludf.DUMMYFUNCTION("""COMPUTED_VALUE"""),"JULIE ANN B. LOTERTE")</f>
        <v>JULIE ANN B. LOTERTE</v>
      </c>
      <c r="L3212" s="164"/>
      <c r="M3212" s="164" t="str">
        <f ca="1">IFERROR(__xludf.DUMMYFUNCTION("""COMPUTED_VALUE"""),"SERVICEABLE")</f>
        <v>SERVICEABLE</v>
      </c>
      <c r="N3212" s="164"/>
    </row>
    <row r="3213" spans="1:14" ht="13.2" hidden="1">
      <c r="A3213" s="164" t="str">
        <f ca="1">IFERROR(__xludf.DUMMYFUNCTION("""COMPUTED_VALUE"""),"REGION VIII")</f>
        <v>REGION VIII</v>
      </c>
      <c r="B3213" s="164" t="str">
        <f ca="1">IFERROR(__xludf.DUMMYFUNCTION("""COMPUTED_VALUE"""),"Leyte")</f>
        <v>Leyte</v>
      </c>
      <c r="C3213" s="164" t="str">
        <f ca="1">IFERROR(__xludf.DUMMYFUNCTION("""COMPUTED_VALUE"""),"Motorcycle – (Honda XRL 150)")</f>
        <v>Motorcycle – (Honda XRL 150)</v>
      </c>
      <c r="D3213" s="164" t="str">
        <f ca="1">IFERROR(__xludf.DUMMYFUNCTION("""COMPUTED_VALUE"""),"₱ 124,900.00")</f>
        <v>₱ 124,900.00</v>
      </c>
      <c r="E3213" s="164"/>
      <c r="F3213" s="164" t="str">
        <f ca="1">IFERROR(__xludf.DUMMYFUNCTION("""COMPUTED_VALUE"""),"2023-06-01-10202SP459-01")</f>
        <v>2023-06-01-10202SP459-01</v>
      </c>
      <c r="G3213" s="164"/>
      <c r="H3213" s="164" t="str">
        <f ca="1">IFERROR(__xludf.DUMMYFUNCTION("""COMPUTED_VALUE"""),"CHRISTINE MARCELLANA")</f>
        <v>CHRISTINE MARCELLANA</v>
      </c>
      <c r="I3213" s="164" t="str">
        <f ca="1">IFERROR(__xludf.DUMMYFUNCTION("""COMPUTED_VALUE"""),"(NO MR YET)")</f>
        <v>(NO MR YET)</v>
      </c>
      <c r="J3213" s="164"/>
      <c r="K3213" s="164" t="str">
        <f ca="1">IFERROR(__xludf.DUMMYFUNCTION("""COMPUTED_VALUE"""),"CHRISTINE MARCELLANA")</f>
        <v>CHRISTINE MARCELLANA</v>
      </c>
      <c r="L3213" s="164"/>
      <c r="M3213" s="164" t="str">
        <f ca="1">IFERROR(__xludf.DUMMYFUNCTION("""COMPUTED_VALUE"""),"SERVICEABLE")</f>
        <v>SERVICEABLE</v>
      </c>
      <c r="N3213" s="164"/>
    </row>
    <row r="3214" spans="1:14" ht="13.2" hidden="1">
      <c r="A3214" s="164" t="str">
        <f ca="1">IFERROR(__xludf.DUMMYFUNCTION("""COMPUTED_VALUE"""),"REGION VIII")</f>
        <v>REGION VIII</v>
      </c>
      <c r="B3214" s="164" t="str">
        <f ca="1">IFERROR(__xludf.DUMMYFUNCTION("""COMPUTED_VALUE"""),"Leyte")</f>
        <v>Leyte</v>
      </c>
      <c r="C3214" s="164" t="str">
        <f ca="1">IFERROR(__xludf.DUMMYFUNCTION("""COMPUTED_VALUE"""),"Motorcycle – (Honda XRL 150)")</f>
        <v>Motorcycle – (Honda XRL 150)</v>
      </c>
      <c r="D3214" s="164" t="str">
        <f ca="1">IFERROR(__xludf.DUMMYFUNCTION("""COMPUTED_VALUE"""),"₱ 124,900.00")</f>
        <v>₱ 124,900.00</v>
      </c>
      <c r="E3214" s="164"/>
      <c r="F3214" s="164" t="str">
        <f ca="1">IFERROR(__xludf.DUMMYFUNCTION("""COMPUTED_VALUE"""),"2023-06-01-10202SP466-01")</f>
        <v>2023-06-01-10202SP466-01</v>
      </c>
      <c r="G3214" s="164"/>
      <c r="H3214" s="164" t="str">
        <f ca="1">IFERROR(__xludf.DUMMYFUNCTION("""COMPUTED_VALUE"""),"LEIGHTON L. ALFARO")</f>
        <v>LEIGHTON L. ALFARO</v>
      </c>
      <c r="I3214" s="164" t="str">
        <f ca="1">IFERROR(__xludf.DUMMYFUNCTION("""COMPUTED_VALUE"""),"(NO MR YET)")</f>
        <v>(NO MR YET)</v>
      </c>
      <c r="J3214" s="164"/>
      <c r="K3214" s="164" t="str">
        <f ca="1">IFERROR(__xludf.DUMMYFUNCTION("""COMPUTED_VALUE"""),"LEIGHTON L. ALFARO")</f>
        <v>LEIGHTON L. ALFARO</v>
      </c>
      <c r="L3214" s="164"/>
      <c r="M3214" s="164" t="str">
        <f ca="1">IFERROR(__xludf.DUMMYFUNCTION("""COMPUTED_VALUE"""),"SERVICEABLE")</f>
        <v>SERVICEABLE</v>
      </c>
      <c r="N3214" s="164"/>
    </row>
    <row r="3215" spans="1:14" ht="13.2" hidden="1">
      <c r="A3215" s="164" t="str">
        <f ca="1">IFERROR(__xludf.DUMMYFUNCTION("""COMPUTED_VALUE"""),"REGION VIII")</f>
        <v>REGION VIII</v>
      </c>
      <c r="B3215" s="164" t="str">
        <f ca="1">IFERROR(__xludf.DUMMYFUNCTION("""COMPUTED_VALUE"""),"Leyte")</f>
        <v>Leyte</v>
      </c>
      <c r="C3215" s="164" t="str">
        <f ca="1">IFERROR(__xludf.DUMMYFUNCTION("""COMPUTED_VALUE"""),"Motorcycle – (Honda XRL 150)")</f>
        <v>Motorcycle – (Honda XRL 150)</v>
      </c>
      <c r="D3215" s="164" t="str">
        <f ca="1">IFERROR(__xludf.DUMMYFUNCTION("""COMPUTED_VALUE"""),"₱ 124,900.00")</f>
        <v>₱ 124,900.00</v>
      </c>
      <c r="E3215" s="164"/>
      <c r="F3215" s="164" t="str">
        <f ca="1">IFERROR(__xludf.DUMMYFUNCTION("""COMPUTED_VALUE"""),"2023-06-01-10202SP472-01")</f>
        <v>2023-06-01-10202SP472-01</v>
      </c>
      <c r="G3215" s="164"/>
      <c r="H3215" s="164" t="str">
        <f ca="1">IFERROR(__xludf.DUMMYFUNCTION("""COMPUTED_VALUE"""),"RAL-JIE S. MANAGBANAG")</f>
        <v>RAL-JIE S. MANAGBANAG</v>
      </c>
      <c r="I3215" s="164" t="str">
        <f ca="1">IFERROR(__xludf.DUMMYFUNCTION("""COMPUTED_VALUE"""),"(NO MR YET)")</f>
        <v>(NO MR YET)</v>
      </c>
      <c r="J3215" s="164"/>
      <c r="K3215" s="164" t="str">
        <f ca="1">IFERROR(__xludf.DUMMYFUNCTION("""COMPUTED_VALUE"""),"RAL-JIE S. MANAGBANAG")</f>
        <v>RAL-JIE S. MANAGBANAG</v>
      </c>
      <c r="L3215" s="164"/>
      <c r="M3215" s="164" t="str">
        <f ca="1">IFERROR(__xludf.DUMMYFUNCTION("""COMPUTED_VALUE"""),"SERVICEABLE")</f>
        <v>SERVICEABLE</v>
      </c>
      <c r="N3215" s="164"/>
    </row>
    <row r="3216" spans="1:14" ht="13.2" hidden="1">
      <c r="A3216" s="164" t="str">
        <f ca="1">IFERROR(__xludf.DUMMYFUNCTION("""COMPUTED_VALUE"""),"REGION VIII")</f>
        <v>REGION VIII</v>
      </c>
      <c r="B3216" s="164" t="str">
        <f ca="1">IFERROR(__xludf.DUMMYFUNCTION("""COMPUTED_VALUE"""),"Leyte")</f>
        <v>Leyte</v>
      </c>
      <c r="C3216" s="164" t="str">
        <f ca="1">IFERROR(__xludf.DUMMYFUNCTION("""COMPUTED_VALUE"""),"Motorcycle – (Honda XRL 150)")</f>
        <v>Motorcycle – (Honda XRL 150)</v>
      </c>
      <c r="D3216" s="164" t="str">
        <f ca="1">IFERROR(__xludf.DUMMYFUNCTION("""COMPUTED_VALUE"""),"₱ 124,900.00")</f>
        <v>₱ 124,900.00</v>
      </c>
      <c r="E3216" s="164"/>
      <c r="F3216" s="164" t="str">
        <f ca="1">IFERROR(__xludf.DUMMYFUNCTION("""COMPUTED_VALUE"""),"2023-06-01-10202SP473-01")</f>
        <v>2023-06-01-10202SP473-01</v>
      </c>
      <c r="G3216" s="164"/>
      <c r="H3216" s="164" t="str">
        <f ca="1">IFERROR(__xludf.DUMMYFUNCTION("""COMPUTED_VALUE"""),"AT DARPO")</f>
        <v>AT DARPO</v>
      </c>
      <c r="I3216" s="164" t="str">
        <f ca="1">IFERROR(__xludf.DUMMYFUNCTION("""COMPUTED_VALUE"""),"(NO MR YET)")</f>
        <v>(NO MR YET)</v>
      </c>
      <c r="J3216" s="164"/>
      <c r="K3216" s="164" t="str">
        <f ca="1">IFERROR(__xludf.DUMMYFUNCTION("""COMPUTED_VALUE"""),"AT DARPO")</f>
        <v>AT DARPO</v>
      </c>
      <c r="L3216" s="164"/>
      <c r="M3216" s="164" t="str">
        <f ca="1">IFERROR(__xludf.DUMMYFUNCTION("""COMPUTED_VALUE"""),"SERVICEABLE")</f>
        <v>SERVICEABLE</v>
      </c>
      <c r="N3216" s="164"/>
    </row>
    <row r="3217" spans="1:14" ht="13.2" hidden="1">
      <c r="A3217" s="164" t="str">
        <f ca="1">IFERROR(__xludf.DUMMYFUNCTION("""COMPUTED_VALUE"""),"REGION VIII")</f>
        <v>REGION VIII</v>
      </c>
      <c r="B3217" s="164" t="str">
        <f ca="1">IFERROR(__xludf.DUMMYFUNCTION("""COMPUTED_VALUE"""),"Leyte")</f>
        <v>Leyte</v>
      </c>
      <c r="C3217" s="164" t="str">
        <f ca="1">IFERROR(__xludf.DUMMYFUNCTION("""COMPUTED_VALUE"""),"Motorcycle – (Honda XRL 150)")</f>
        <v>Motorcycle – (Honda XRL 150)</v>
      </c>
      <c r="D3217" s="164" t="str">
        <f ca="1">IFERROR(__xludf.DUMMYFUNCTION("""COMPUTED_VALUE"""),"₱ 124,900.00")</f>
        <v>₱ 124,900.00</v>
      </c>
      <c r="E3217" s="164"/>
      <c r="F3217" s="164" t="str">
        <f ca="1">IFERROR(__xludf.DUMMYFUNCTION("""COMPUTED_VALUE"""),"2023-06-01-10202SP474-01")</f>
        <v>2023-06-01-10202SP474-01</v>
      </c>
      <c r="G3217" s="164"/>
      <c r="H3217" s="164" t="str">
        <f ca="1">IFERROR(__xludf.DUMMYFUNCTION("""COMPUTED_VALUE"""),"JESSA ROSE C. MACEDA")</f>
        <v>JESSA ROSE C. MACEDA</v>
      </c>
      <c r="I3217" s="164" t="str">
        <f ca="1">IFERROR(__xludf.DUMMYFUNCTION("""COMPUTED_VALUE"""),"(NO MR YET)")</f>
        <v>(NO MR YET)</v>
      </c>
      <c r="J3217" s="164"/>
      <c r="K3217" s="164" t="str">
        <f ca="1">IFERROR(__xludf.DUMMYFUNCTION("""COMPUTED_VALUE"""),"JESSA ROSE C. MACEDA")</f>
        <v>JESSA ROSE C. MACEDA</v>
      </c>
      <c r="L3217" s="164"/>
      <c r="M3217" s="164" t="str">
        <f ca="1">IFERROR(__xludf.DUMMYFUNCTION("""COMPUTED_VALUE"""),"SERVICEABLE")</f>
        <v>SERVICEABLE</v>
      </c>
      <c r="N3217" s="164"/>
    </row>
    <row r="3218" spans="1:14" ht="13.2" hidden="1">
      <c r="A3218" s="164" t="str">
        <f ca="1">IFERROR(__xludf.DUMMYFUNCTION("""COMPUTED_VALUE"""),"REGION VIII")</f>
        <v>REGION VIII</v>
      </c>
      <c r="B3218" s="164" t="str">
        <f ca="1">IFERROR(__xludf.DUMMYFUNCTION("""COMPUTED_VALUE"""),"Leyte")</f>
        <v>Leyte</v>
      </c>
      <c r="C3218" s="164" t="str">
        <f ca="1">IFERROR(__xludf.DUMMYFUNCTION("""COMPUTED_VALUE"""),"Motorcycle – (Honda XRL 150)")</f>
        <v>Motorcycle – (Honda XRL 150)</v>
      </c>
      <c r="D3218" s="164" t="str">
        <f ca="1">IFERROR(__xludf.DUMMYFUNCTION("""COMPUTED_VALUE"""),"₱ 124,900.00")</f>
        <v>₱ 124,900.00</v>
      </c>
      <c r="E3218" s="164"/>
      <c r="F3218" s="164" t="str">
        <f ca="1">IFERROR(__xludf.DUMMYFUNCTION("""COMPUTED_VALUE"""),"2023-06-01-10202SP475-01")</f>
        <v>2023-06-01-10202SP475-01</v>
      </c>
      <c r="G3218" s="164"/>
      <c r="H3218" s="164" t="str">
        <f ca="1">IFERROR(__xludf.DUMMYFUNCTION("""COMPUTED_VALUE"""),"ARLAN CASTILLO")</f>
        <v>ARLAN CASTILLO</v>
      </c>
      <c r="I3218" s="164" t="str">
        <f ca="1">IFERROR(__xludf.DUMMYFUNCTION("""COMPUTED_VALUE"""),"(NO MR YET)")</f>
        <v>(NO MR YET)</v>
      </c>
      <c r="J3218" s="164"/>
      <c r="K3218" s="164" t="str">
        <f ca="1">IFERROR(__xludf.DUMMYFUNCTION("""COMPUTED_VALUE"""),"ARLAN CASTILLO")</f>
        <v>ARLAN CASTILLO</v>
      </c>
      <c r="L3218" s="164"/>
      <c r="M3218" s="164" t="str">
        <f ca="1">IFERROR(__xludf.DUMMYFUNCTION("""COMPUTED_VALUE"""),"SERVICEABLE")</f>
        <v>SERVICEABLE</v>
      </c>
      <c r="N3218" s="164"/>
    </row>
    <row r="3219" spans="1:14" ht="13.2" hidden="1">
      <c r="A3219" s="164" t="str">
        <f ca="1">IFERROR(__xludf.DUMMYFUNCTION("""COMPUTED_VALUE"""),"REGION VIII")</f>
        <v>REGION VIII</v>
      </c>
      <c r="B3219" s="164" t="str">
        <f ca="1">IFERROR(__xludf.DUMMYFUNCTION("""COMPUTED_VALUE"""),"Leyte")</f>
        <v>Leyte</v>
      </c>
      <c r="C3219" s="164" t="str">
        <f ca="1">IFERROR(__xludf.DUMMYFUNCTION("""COMPUTED_VALUE"""),"Motorcycle – (Honda XRL 150)")</f>
        <v>Motorcycle – (Honda XRL 150)</v>
      </c>
      <c r="D3219" s="164" t="str">
        <f ca="1">IFERROR(__xludf.DUMMYFUNCTION("""COMPUTED_VALUE"""),"₱ 124,900.00")</f>
        <v>₱ 124,900.00</v>
      </c>
      <c r="E3219" s="164"/>
      <c r="F3219" s="164" t="str">
        <f ca="1">IFERROR(__xludf.DUMMYFUNCTION("""COMPUTED_VALUE"""),"2023-06-01-10202SP476-01")</f>
        <v>2023-06-01-10202SP476-01</v>
      </c>
      <c r="G3219" s="164"/>
      <c r="H3219" s="164" t="str">
        <f ca="1">IFERROR(__xludf.DUMMYFUNCTION("""COMPUTED_VALUE"""),"LIANNA MAE E. AGUJA")</f>
        <v>LIANNA MAE E. AGUJA</v>
      </c>
      <c r="I3219" s="164" t="str">
        <f ca="1">IFERROR(__xludf.DUMMYFUNCTION("""COMPUTED_VALUE"""),"(NO MR YET)")</f>
        <v>(NO MR YET)</v>
      </c>
      <c r="J3219" s="164"/>
      <c r="K3219" s="164" t="str">
        <f ca="1">IFERROR(__xludf.DUMMYFUNCTION("""COMPUTED_VALUE"""),"LIANNA MAE E. AGUJA")</f>
        <v>LIANNA MAE E. AGUJA</v>
      </c>
      <c r="L3219" s="164"/>
      <c r="M3219" s="164" t="str">
        <f ca="1">IFERROR(__xludf.DUMMYFUNCTION("""COMPUTED_VALUE"""),"SERVICEABLE")</f>
        <v>SERVICEABLE</v>
      </c>
      <c r="N3219" s="164"/>
    </row>
    <row r="3220" spans="1:14" ht="13.2" hidden="1">
      <c r="A3220" s="164" t="str">
        <f ca="1">IFERROR(__xludf.DUMMYFUNCTION("""COMPUTED_VALUE"""),"REGION VIII")</f>
        <v>REGION VIII</v>
      </c>
      <c r="B3220" s="164" t="str">
        <f ca="1">IFERROR(__xludf.DUMMYFUNCTION("""COMPUTED_VALUE"""),"Leyte")</f>
        <v>Leyte</v>
      </c>
      <c r="C3220" s="164" t="str">
        <f ca="1">IFERROR(__xludf.DUMMYFUNCTION("""COMPUTED_VALUE"""),"Motorcycle – (Honda XRL 150)")</f>
        <v>Motorcycle – (Honda XRL 150)</v>
      </c>
      <c r="D3220" s="164" t="str">
        <f ca="1">IFERROR(__xludf.DUMMYFUNCTION("""COMPUTED_VALUE"""),"₱ 124,900.00")</f>
        <v>₱ 124,900.00</v>
      </c>
      <c r="E3220" s="164"/>
      <c r="F3220" s="164" t="str">
        <f ca="1">IFERROR(__xludf.DUMMYFUNCTION("""COMPUTED_VALUE"""),"2023-06-01-10202SP478-01")</f>
        <v>2023-06-01-10202SP478-01</v>
      </c>
      <c r="G3220" s="164"/>
      <c r="H3220" s="164" t="str">
        <f ca="1">IFERROR(__xludf.DUMMYFUNCTION("""COMPUTED_VALUE"""),"ERWIN C. SERDONCILLO")</f>
        <v>ERWIN C. SERDONCILLO</v>
      </c>
      <c r="I3220" s="164" t="str">
        <f ca="1">IFERROR(__xludf.DUMMYFUNCTION("""COMPUTED_VALUE"""),"(NO MR YET)")</f>
        <v>(NO MR YET)</v>
      </c>
      <c r="J3220" s="164"/>
      <c r="K3220" s="164" t="str">
        <f ca="1">IFERROR(__xludf.DUMMYFUNCTION("""COMPUTED_VALUE"""),"ERWIN C. SERDONCILLO")</f>
        <v>ERWIN C. SERDONCILLO</v>
      </c>
      <c r="L3220" s="164"/>
      <c r="M3220" s="164" t="str">
        <f ca="1">IFERROR(__xludf.DUMMYFUNCTION("""COMPUTED_VALUE"""),"SERVICEABLE")</f>
        <v>SERVICEABLE</v>
      </c>
      <c r="N3220" s="164"/>
    </row>
    <row r="3221" spans="1:14" ht="13.2" hidden="1">
      <c r="A3221" s="164" t="str">
        <f ca="1">IFERROR(__xludf.DUMMYFUNCTION("""COMPUTED_VALUE"""),"REGION VIII")</f>
        <v>REGION VIII</v>
      </c>
      <c r="B3221" s="164" t="str">
        <f ca="1">IFERROR(__xludf.DUMMYFUNCTION("""COMPUTED_VALUE"""),"Leyte")</f>
        <v>Leyte</v>
      </c>
      <c r="C3221" s="164" t="str">
        <f ca="1">IFERROR(__xludf.DUMMYFUNCTION("""COMPUTED_VALUE"""),"Motorcycle – (Honda XRL 150)")</f>
        <v>Motorcycle – (Honda XRL 150)</v>
      </c>
      <c r="D3221" s="164" t="str">
        <f ca="1">IFERROR(__xludf.DUMMYFUNCTION("""COMPUTED_VALUE"""),"₱ 124,900.00")</f>
        <v>₱ 124,900.00</v>
      </c>
      <c r="E3221" s="164"/>
      <c r="F3221" s="164" t="str">
        <f ca="1">IFERROR(__xludf.DUMMYFUNCTION("""COMPUTED_VALUE"""),"2023-06-01-10202SP479-01")</f>
        <v>2023-06-01-10202SP479-01</v>
      </c>
      <c r="G3221" s="164"/>
      <c r="H3221" s="164" t="str">
        <f ca="1">IFERROR(__xludf.DUMMYFUNCTION("""COMPUTED_VALUE"""),"SHERYL A. NATULLA")</f>
        <v>SHERYL A. NATULLA</v>
      </c>
      <c r="I3221" s="164" t="str">
        <f ca="1">IFERROR(__xludf.DUMMYFUNCTION("""COMPUTED_VALUE"""),"(NO MR YET)")</f>
        <v>(NO MR YET)</v>
      </c>
      <c r="J3221" s="164"/>
      <c r="K3221" s="164" t="str">
        <f ca="1">IFERROR(__xludf.DUMMYFUNCTION("""COMPUTED_VALUE"""),"SHERYL A. NATULLA")</f>
        <v>SHERYL A. NATULLA</v>
      </c>
      <c r="L3221" s="164"/>
      <c r="M3221" s="164" t="str">
        <f ca="1">IFERROR(__xludf.DUMMYFUNCTION("""COMPUTED_VALUE"""),"SERVICEABLE")</f>
        <v>SERVICEABLE</v>
      </c>
      <c r="N3221" s="164"/>
    </row>
    <row r="3222" spans="1:14" ht="13.2" hidden="1">
      <c r="A3222" s="164" t="str">
        <f ca="1">IFERROR(__xludf.DUMMYFUNCTION("""COMPUTED_VALUE"""),"REGION VIII")</f>
        <v>REGION VIII</v>
      </c>
      <c r="B3222" s="164" t="str">
        <f ca="1">IFERROR(__xludf.DUMMYFUNCTION("""COMPUTED_VALUE"""),"Leyte")</f>
        <v>Leyte</v>
      </c>
      <c r="C3222" s="164" t="str">
        <f ca="1">IFERROR(__xludf.DUMMYFUNCTION("""COMPUTED_VALUE"""),"Motorcycle – (Honda XRL 150)")</f>
        <v>Motorcycle – (Honda XRL 150)</v>
      </c>
      <c r="D3222" s="164" t="str">
        <f ca="1">IFERROR(__xludf.DUMMYFUNCTION("""COMPUTED_VALUE"""),"₱ 124,900.00")</f>
        <v>₱ 124,900.00</v>
      </c>
      <c r="E3222" s="164"/>
      <c r="F3222" s="164" t="str">
        <f ca="1">IFERROR(__xludf.DUMMYFUNCTION("""COMPUTED_VALUE"""),"2023-06-01-10202SP480-01")</f>
        <v>2023-06-01-10202SP480-01</v>
      </c>
      <c r="G3222" s="164"/>
      <c r="H3222" s="164" t="str">
        <f ca="1">IFERROR(__xludf.DUMMYFUNCTION("""COMPUTED_VALUE"""),"KATRINA M. MORALES")</f>
        <v>KATRINA M. MORALES</v>
      </c>
      <c r="I3222" s="164" t="str">
        <f ca="1">IFERROR(__xludf.DUMMYFUNCTION("""COMPUTED_VALUE"""),"(NO MR YET)")</f>
        <v>(NO MR YET)</v>
      </c>
      <c r="J3222" s="164"/>
      <c r="K3222" s="164" t="str">
        <f ca="1">IFERROR(__xludf.DUMMYFUNCTION("""COMPUTED_VALUE"""),"KATRINA M. MORALES")</f>
        <v>KATRINA M. MORALES</v>
      </c>
      <c r="L3222" s="164"/>
      <c r="M3222" s="164" t="str">
        <f ca="1">IFERROR(__xludf.DUMMYFUNCTION("""COMPUTED_VALUE"""),"SERVICEABLE")</f>
        <v>SERVICEABLE</v>
      </c>
      <c r="N3222" s="164"/>
    </row>
    <row r="3223" spans="1:14" ht="13.2" hidden="1">
      <c r="A3223" s="164" t="str">
        <f ca="1">IFERROR(__xludf.DUMMYFUNCTION("""COMPUTED_VALUE"""),"REGION VIII")</f>
        <v>REGION VIII</v>
      </c>
      <c r="B3223" s="164" t="str">
        <f ca="1">IFERROR(__xludf.DUMMYFUNCTION("""COMPUTED_VALUE"""),"Leyte")</f>
        <v>Leyte</v>
      </c>
      <c r="C3223" s="164" t="str">
        <f ca="1">IFERROR(__xludf.DUMMYFUNCTION("""COMPUTED_VALUE"""),"Motorcycle – (Honda XRL 150)")</f>
        <v>Motorcycle – (Honda XRL 150)</v>
      </c>
      <c r="D3223" s="164" t="str">
        <f ca="1">IFERROR(__xludf.DUMMYFUNCTION("""COMPUTED_VALUE"""),"₱ 124,900.00")</f>
        <v>₱ 124,900.00</v>
      </c>
      <c r="E3223" s="164"/>
      <c r="F3223" s="164" t="str">
        <f ca="1">IFERROR(__xludf.DUMMYFUNCTION("""COMPUTED_VALUE"""),"2023-06-01-10202SP481-01")</f>
        <v>2023-06-01-10202SP481-01</v>
      </c>
      <c r="G3223" s="164"/>
      <c r="H3223" s="164" t="str">
        <f ca="1">IFERROR(__xludf.DUMMYFUNCTION("""COMPUTED_VALUE"""),"MELQUISEDEC V. ABARRE")</f>
        <v>MELQUISEDEC V. ABARRE</v>
      </c>
      <c r="I3223" s="164" t="str">
        <f ca="1">IFERROR(__xludf.DUMMYFUNCTION("""COMPUTED_VALUE"""),"(NO MR YET)")</f>
        <v>(NO MR YET)</v>
      </c>
      <c r="J3223" s="164"/>
      <c r="K3223" s="164" t="str">
        <f ca="1">IFERROR(__xludf.DUMMYFUNCTION("""COMPUTED_VALUE"""),"MELQUISEDEC V. ABARRE")</f>
        <v>MELQUISEDEC V. ABARRE</v>
      </c>
      <c r="L3223" s="164"/>
      <c r="M3223" s="164" t="str">
        <f ca="1">IFERROR(__xludf.DUMMYFUNCTION("""COMPUTED_VALUE"""),"SERVICEABLE")</f>
        <v>SERVICEABLE</v>
      </c>
      <c r="N3223" s="164"/>
    </row>
    <row r="3224" spans="1:14" ht="13.2" hidden="1">
      <c r="A3224" s="164" t="str">
        <f ca="1">IFERROR(__xludf.DUMMYFUNCTION("""COMPUTED_VALUE"""),"REGION VIII")</f>
        <v>REGION VIII</v>
      </c>
      <c r="B3224" s="164" t="str">
        <f ca="1">IFERROR(__xludf.DUMMYFUNCTION("""COMPUTED_VALUE"""),"Leyte")</f>
        <v>Leyte</v>
      </c>
      <c r="C3224" s="164" t="str">
        <f ca="1">IFERROR(__xludf.DUMMYFUNCTION("""COMPUTED_VALUE"""),"Motorcycle – (Honda XRL 150)")</f>
        <v>Motorcycle – (Honda XRL 150)</v>
      </c>
      <c r="D3224" s="164" t="str">
        <f ca="1">IFERROR(__xludf.DUMMYFUNCTION("""COMPUTED_VALUE"""),"₱ 124,900.00")</f>
        <v>₱ 124,900.00</v>
      </c>
      <c r="E3224" s="164"/>
      <c r="F3224" s="164" t="str">
        <f ca="1">IFERROR(__xludf.DUMMYFUNCTION("""COMPUTED_VALUE"""),"2023-06-01-10202SP483-01")</f>
        <v>2023-06-01-10202SP483-01</v>
      </c>
      <c r="G3224" s="164"/>
      <c r="H3224" s="164" t="str">
        <f ca="1">IFERROR(__xludf.DUMMYFUNCTION("""COMPUTED_VALUE"""),"ERWIN O. ODON")</f>
        <v>ERWIN O. ODON</v>
      </c>
      <c r="I3224" s="164" t="str">
        <f ca="1">IFERROR(__xludf.DUMMYFUNCTION("""COMPUTED_VALUE"""),"(NO MR YET)")</f>
        <v>(NO MR YET)</v>
      </c>
      <c r="J3224" s="164"/>
      <c r="K3224" s="164" t="str">
        <f ca="1">IFERROR(__xludf.DUMMYFUNCTION("""COMPUTED_VALUE"""),"ERWIN O. ODON")</f>
        <v>ERWIN O. ODON</v>
      </c>
      <c r="L3224" s="164"/>
      <c r="M3224" s="164" t="str">
        <f ca="1">IFERROR(__xludf.DUMMYFUNCTION("""COMPUTED_VALUE"""),"SERVICEABLE")</f>
        <v>SERVICEABLE</v>
      </c>
      <c r="N3224" s="164"/>
    </row>
    <row r="3225" spans="1:14" ht="13.2" hidden="1">
      <c r="A3225" s="164" t="str">
        <f ca="1">IFERROR(__xludf.DUMMYFUNCTION("""COMPUTED_VALUE"""),"REGION VIII")</f>
        <v>REGION VIII</v>
      </c>
      <c r="B3225" s="164" t="str">
        <f ca="1">IFERROR(__xludf.DUMMYFUNCTION("""COMPUTED_VALUE"""),"Leyte")</f>
        <v>Leyte</v>
      </c>
      <c r="C3225" s="164" t="str">
        <f ca="1">IFERROR(__xludf.DUMMYFUNCTION("""COMPUTED_VALUE"""),"Motorcycle – (Honda XRL 150)")</f>
        <v>Motorcycle – (Honda XRL 150)</v>
      </c>
      <c r="D3225" s="164" t="str">
        <f ca="1">IFERROR(__xludf.DUMMYFUNCTION("""COMPUTED_VALUE"""),"₱ 124,900.00")</f>
        <v>₱ 124,900.00</v>
      </c>
      <c r="E3225" s="164"/>
      <c r="F3225" s="164" t="str">
        <f ca="1">IFERROR(__xludf.DUMMYFUNCTION("""COMPUTED_VALUE"""),"2023-06-01-10202SP485-01")</f>
        <v>2023-06-01-10202SP485-01</v>
      </c>
      <c r="G3225" s="164"/>
      <c r="H3225" s="164" t="str">
        <f ca="1">IFERROR(__xludf.DUMMYFUNCTION("""COMPUTED_VALUE"""),"BOMEBENSON C. LAGARIZA")</f>
        <v>BOMEBENSON C. LAGARIZA</v>
      </c>
      <c r="I3225" s="164"/>
      <c r="J3225" s="164"/>
      <c r="K3225" s="164" t="str">
        <f ca="1">IFERROR(__xludf.DUMMYFUNCTION("""COMPUTED_VALUE"""),"BOMEBENSON C. LAGARIZA")</f>
        <v>BOMEBENSON C. LAGARIZA</v>
      </c>
      <c r="L3225" s="164"/>
      <c r="M3225" s="164" t="str">
        <f ca="1">IFERROR(__xludf.DUMMYFUNCTION("""COMPUTED_VALUE"""),"SERVICEABLE")</f>
        <v>SERVICEABLE</v>
      </c>
      <c r="N3225" s="164"/>
    </row>
    <row r="3226" spans="1:14" ht="13.2" hidden="1">
      <c r="A3226" s="164" t="str">
        <f ca="1">IFERROR(__xludf.DUMMYFUNCTION("""COMPUTED_VALUE"""),"REGION VIII")</f>
        <v>REGION VIII</v>
      </c>
      <c r="B3226" s="164" t="str">
        <f ca="1">IFERROR(__xludf.DUMMYFUNCTION("""COMPUTED_VALUE"""),"Leyte")</f>
        <v>Leyte</v>
      </c>
      <c r="C3226" s="164" t="str">
        <f ca="1">IFERROR(__xludf.DUMMYFUNCTION("""COMPUTED_VALUE"""),"Double Cabin Pick-up Vehicles – Mitsubishi Strada")</f>
        <v>Double Cabin Pick-up Vehicles – Mitsubishi Strada</v>
      </c>
      <c r="D3226" s="164" t="str">
        <f ca="1">IFERROR(__xludf.DUMMYFUNCTION("""COMPUTED_VALUE"""),"₱ 1,752,400.00")</f>
        <v>₱ 1,752,400.00</v>
      </c>
      <c r="E3226" s="164"/>
      <c r="F3226" s="164" t="str">
        <f ca="1">IFERROR(__xludf.DUMMYFUNCTION("""COMPUTED_VALUE"""),"2023-06-01-1020ISP-104-01")</f>
        <v>2023-06-01-1020ISP-104-01</v>
      </c>
      <c r="G3226" s="164" t="str">
        <f ca="1">IFERROR(__xludf.DUMMYFUNCTION("""COMPUTED_VALUE"""),"SNC 1220")</f>
        <v>SNC 1220</v>
      </c>
      <c r="H3226" s="164" t="str">
        <f ca="1">IFERROR(__xludf.DUMMYFUNCTION("""COMPUTED_VALUE"""),"AT DARPO")</f>
        <v>AT DARPO</v>
      </c>
      <c r="I3226" s="164" t="str">
        <f ca="1">IFERROR(__xludf.DUMMYFUNCTION("""COMPUTED_VALUE"""),"(NO MR YET)")</f>
        <v>(NO MR YET)</v>
      </c>
      <c r="J3226" s="164"/>
      <c r="K3226" s="164"/>
      <c r="L3226" s="164"/>
      <c r="M3226" s="164" t="str">
        <f ca="1">IFERROR(__xludf.DUMMYFUNCTION("""COMPUTED_VALUE"""),"SERVICEABLE")</f>
        <v>SERVICEABLE</v>
      </c>
      <c r="N3226" s="164"/>
    </row>
    <row r="3227" spans="1:14" ht="13.2" hidden="1">
      <c r="A3227" s="164" t="str">
        <f ca="1">IFERROR(__xludf.DUMMYFUNCTION("""COMPUTED_VALUE"""),"REGION VIII")</f>
        <v>REGION VIII</v>
      </c>
      <c r="B3227" s="164" t="str">
        <f ca="1">IFERROR(__xludf.DUMMYFUNCTION("""COMPUTED_VALUE"""),"Southern Leyte")</f>
        <v>Southern Leyte</v>
      </c>
      <c r="C3227" s="164" t="str">
        <f ca="1">IFERROR(__xludf.DUMMYFUNCTION("""COMPUTED_VALUE"""),"Motorcycle – (Honda XRL 150)")</f>
        <v>Motorcycle – (Honda XRL 150)</v>
      </c>
      <c r="D3227" s="164" t="str">
        <f ca="1">IFERROR(__xludf.DUMMYFUNCTION("""COMPUTED_VALUE"""),"₱ 124,900.00")</f>
        <v>₱ 124,900.00</v>
      </c>
      <c r="E3227" s="164"/>
      <c r="F3227" s="164" t="str">
        <f ca="1">IFERROR(__xludf.DUMMYFUNCTION("""COMPUTED_VALUE"""),"2023-06-01-10202SP-431-01")</f>
        <v>2023-06-01-10202SP-431-01</v>
      </c>
      <c r="G3227" s="164"/>
      <c r="H3227" s="164" t="str">
        <f ca="1">IFERROR(__xludf.DUMMYFUNCTION("""COMPUTED_VALUE"""),"CHOD EVERETT P. GONZALES")</f>
        <v>CHOD EVERETT P. GONZALES</v>
      </c>
      <c r="I3227" s="164" t="str">
        <f ca="1">IFERROR(__xludf.DUMMYFUNCTION("""COMPUTED_VALUE"""),"ARPO I/MIS Coordinator")</f>
        <v>ARPO I/MIS Coordinator</v>
      </c>
      <c r="J3227" s="164" t="str">
        <f ca="1">IFERROR(__xludf.DUMMYFUNCTION("""COMPUTED_VALUE"""),"2023-0002")</f>
        <v>2023-0002</v>
      </c>
      <c r="K3227" s="164" t="str">
        <f ca="1">IFERROR(__xludf.DUMMYFUNCTION("""COMPUTED_VALUE"""),"CHOD EVERETT P. GONZALES")</f>
        <v>CHOD EVERETT P. GONZALES</v>
      </c>
      <c r="L3227" s="164" t="str">
        <f ca="1">IFERROR(__xludf.DUMMYFUNCTION("""COMPUTED_VALUE"""),"DARPO-LTID")</f>
        <v>DARPO-LTID</v>
      </c>
      <c r="M3227" s="164" t="str">
        <f ca="1">IFERROR(__xludf.DUMMYFUNCTION("""COMPUTED_VALUE"""),"SERVICEABLE")</f>
        <v>SERVICEABLE</v>
      </c>
      <c r="N3227" s="164"/>
    </row>
    <row r="3228" spans="1:14" ht="13.2" hidden="1">
      <c r="A3228" s="164" t="str">
        <f ca="1">IFERROR(__xludf.DUMMYFUNCTION("""COMPUTED_VALUE"""),"REGION VIII")</f>
        <v>REGION VIII</v>
      </c>
      <c r="B3228" s="164" t="str">
        <f ca="1">IFERROR(__xludf.DUMMYFUNCTION("""COMPUTED_VALUE"""),"Southern Leyte")</f>
        <v>Southern Leyte</v>
      </c>
      <c r="C3228" s="164" t="str">
        <f ca="1">IFERROR(__xludf.DUMMYFUNCTION("""COMPUTED_VALUE"""),"Motorcycle – (Honda XRL 150)")</f>
        <v>Motorcycle – (Honda XRL 150)</v>
      </c>
      <c r="D3228" s="164" t="str">
        <f ca="1">IFERROR(__xludf.DUMMYFUNCTION("""COMPUTED_VALUE"""),"₱ 124,900.00")</f>
        <v>₱ 124,900.00</v>
      </c>
      <c r="E3228" s="164"/>
      <c r="F3228" s="164" t="str">
        <f ca="1">IFERROR(__xludf.DUMMYFUNCTION("""COMPUTED_VALUE"""),"2023-06-01-10202SP-432-01")</f>
        <v>2023-06-01-10202SP-432-01</v>
      </c>
      <c r="G3228" s="164"/>
      <c r="H3228" s="164" t="str">
        <f ca="1">IFERROR(__xludf.DUMMYFUNCTION("""COMPUTED_VALUE"""),"DEIN NILE T. SEGOVIA")</f>
        <v>DEIN NILE T. SEGOVIA</v>
      </c>
      <c r="I3228" s="164" t="str">
        <f ca="1">IFERROR(__xludf.DUMMYFUNCTION("""COMPUTED_VALUE"""),"SARPT")</f>
        <v>SARPT</v>
      </c>
      <c r="J3228" s="164" t="str">
        <f ca="1">IFERROR(__xludf.DUMMYFUNCTION("""COMPUTED_VALUE"""),"2023-0001")</f>
        <v>2023-0001</v>
      </c>
      <c r="K3228" s="164" t="str">
        <f ca="1">IFERROR(__xludf.DUMMYFUNCTION("""COMPUTED_VALUE"""),"DEIN NILE T. SEGOVIA")</f>
        <v>DEIN NILE T. SEGOVIA</v>
      </c>
      <c r="L3228" s="164" t="str">
        <f ca="1">IFERROR(__xludf.DUMMYFUNCTION("""COMPUTED_VALUE"""),"DARMO MAASIN")</f>
        <v>DARMO MAASIN</v>
      </c>
      <c r="M3228" s="164" t="str">
        <f ca="1">IFERROR(__xludf.DUMMYFUNCTION("""COMPUTED_VALUE"""),"SERVICEABLE")</f>
        <v>SERVICEABLE</v>
      </c>
      <c r="N3228" s="164"/>
    </row>
    <row r="3229" spans="1:14" ht="13.2" hidden="1">
      <c r="A3229" s="164" t="str">
        <f ca="1">IFERROR(__xludf.DUMMYFUNCTION("""COMPUTED_VALUE"""),"REGION VIII")</f>
        <v>REGION VIII</v>
      </c>
      <c r="B3229" s="164" t="str">
        <f ca="1">IFERROR(__xludf.DUMMYFUNCTION("""COMPUTED_VALUE"""),"Southern Leyte")</f>
        <v>Southern Leyte</v>
      </c>
      <c r="C3229" s="164" t="str">
        <f ca="1">IFERROR(__xludf.DUMMYFUNCTION("""COMPUTED_VALUE"""),"Motorcycle – (Honda XRL 150)")</f>
        <v>Motorcycle – (Honda XRL 150)</v>
      </c>
      <c r="D3229" s="164" t="str">
        <f ca="1">IFERROR(__xludf.DUMMYFUNCTION("""COMPUTED_VALUE"""),"₱ 124,900.00")</f>
        <v>₱ 124,900.00</v>
      </c>
      <c r="E3229" s="164"/>
      <c r="F3229" s="164" t="str">
        <f ca="1">IFERROR(__xludf.DUMMYFUNCTION("""COMPUTED_VALUE"""),"2023-06-01-10202SP-433-01")</f>
        <v>2023-06-01-10202SP-433-01</v>
      </c>
      <c r="G3229" s="164"/>
      <c r="H3229" s="164" t="str">
        <f ca="1">IFERROR(__xludf.DUMMYFUNCTION("""COMPUTED_VALUE"""),"TEDDY C. LUCERO")</f>
        <v>TEDDY C. LUCERO</v>
      </c>
      <c r="I3229" s="164" t="str">
        <f ca="1">IFERROR(__xludf.DUMMYFUNCTION("""COMPUTED_VALUE"""),"ARPO I")</f>
        <v>ARPO I</v>
      </c>
      <c r="J3229" s="164" t="str">
        <f ca="1">IFERROR(__xludf.DUMMYFUNCTION("""COMPUTED_VALUE"""),"2023-0003")</f>
        <v>2023-0003</v>
      </c>
      <c r="K3229" s="164" t="str">
        <f ca="1">IFERROR(__xludf.DUMMYFUNCTION("""COMPUTED_VALUE"""),"TEDDY C. LUCERO")</f>
        <v>TEDDY C. LUCERO</v>
      </c>
      <c r="L3229" s="164" t="str">
        <f ca="1">IFERROR(__xludf.DUMMYFUNCTION("""COMPUTED_VALUE"""),"DARPO-PBDD")</f>
        <v>DARPO-PBDD</v>
      </c>
      <c r="M3229" s="164" t="str">
        <f ca="1">IFERROR(__xludf.DUMMYFUNCTION("""COMPUTED_VALUE"""),"SERVICEABLE")</f>
        <v>SERVICEABLE</v>
      </c>
      <c r="N3229" s="164"/>
    </row>
    <row r="3230" spans="1:14" ht="13.2" hidden="1">
      <c r="A3230" s="164" t="str">
        <f ca="1">IFERROR(__xludf.DUMMYFUNCTION("""COMPUTED_VALUE"""),"REGION VIII")</f>
        <v>REGION VIII</v>
      </c>
      <c r="B3230" s="164" t="str">
        <f ca="1">IFERROR(__xludf.DUMMYFUNCTION("""COMPUTED_VALUE"""),"Southern Leyte")</f>
        <v>Southern Leyte</v>
      </c>
      <c r="C3230" s="164" t="str">
        <f ca="1">IFERROR(__xludf.DUMMYFUNCTION("""COMPUTED_VALUE"""),"Double Cabin Pick-up Vehicles – Mitsubishi Strada")</f>
        <v>Double Cabin Pick-up Vehicles – Mitsubishi Strada</v>
      </c>
      <c r="D3230" s="164" t="str">
        <f ca="1">IFERROR(__xludf.DUMMYFUNCTION("""COMPUTED_VALUE"""),"₱ 1,752,400.00")</f>
        <v>₱ 1,752,400.00</v>
      </c>
      <c r="E3230" s="164"/>
      <c r="F3230" s="164" t="str">
        <f ca="1">IFERROR(__xludf.DUMMYFUNCTION("""COMPUTED_VALUE"""),"2023-06-01-10201SP-107-01")</f>
        <v>2023-06-01-10201SP-107-01</v>
      </c>
      <c r="G3230" s="164" t="str">
        <f ca="1">IFERROR(__xludf.DUMMYFUNCTION("""COMPUTED_VALUE"""),"SNC 1106")</f>
        <v>SNC 1106</v>
      </c>
      <c r="H3230" s="164" t="str">
        <f ca="1">IFERROR(__xludf.DUMMYFUNCTION("""COMPUTED_VALUE"""),"JONATHAN C. ESPEDILLA")</f>
        <v>JONATHAN C. ESPEDILLA</v>
      </c>
      <c r="I3230" s="164" t="str">
        <f ca="1">IFERROR(__xludf.DUMMYFUNCTION("""COMPUTED_VALUE"""),"SARPO/Survey Coordinator")</f>
        <v>SARPO/Survey Coordinator</v>
      </c>
      <c r="J3230" s="164" t="str">
        <f ca="1">IFERROR(__xludf.DUMMYFUNCTION("""COMPUTED_VALUE"""),"2023-0034")</f>
        <v>2023-0034</v>
      </c>
      <c r="K3230" s="164" t="str">
        <f ca="1">IFERROR(__xludf.DUMMYFUNCTION("""COMPUTED_VALUE"""),"RODERICK B. RANCES")</f>
        <v>RODERICK B. RANCES</v>
      </c>
      <c r="L3230" s="164" t="str">
        <f ca="1">IFERROR(__xludf.DUMMYFUNCTION("""COMPUTED_VALUE"""),"DARPO-LTID")</f>
        <v>DARPO-LTID</v>
      </c>
      <c r="M3230" s="164" t="str">
        <f ca="1">IFERROR(__xludf.DUMMYFUNCTION("""COMPUTED_VALUE"""),"SERVICEABLE")</f>
        <v>SERVICEABLE</v>
      </c>
      <c r="N3230" s="164"/>
    </row>
    <row r="3231" spans="1:14" ht="13.2" hidden="1">
      <c r="A3231" s="164" t="str">
        <f ca="1">IFERROR(__xludf.DUMMYFUNCTION("""COMPUTED_VALUE"""),"REGION VIII")</f>
        <v>REGION VIII</v>
      </c>
      <c r="B3231" s="164" t="str">
        <f ca="1">IFERROR(__xludf.DUMMYFUNCTION("""COMPUTED_VALUE"""),"Regional Office")</f>
        <v>Regional Office</v>
      </c>
      <c r="C3231" s="164" t="str">
        <f ca="1">IFERROR(__xludf.DUMMYFUNCTION("""COMPUTED_VALUE"""),"Double Cabin Pick-up Vehicles – Mitsubishi Strada")</f>
        <v>Double Cabin Pick-up Vehicles – Mitsubishi Strada</v>
      </c>
      <c r="D3231" s="164" t="str">
        <f ca="1">IFERROR(__xludf.DUMMYFUNCTION("""COMPUTED_VALUE"""),"₱ 1,752,400.00")</f>
        <v>₱ 1,752,400.00</v>
      </c>
      <c r="E3231" s="164"/>
      <c r="F3231" s="164" t="str">
        <f ca="1">IFERROR(__xludf.DUMMYFUNCTION("""COMPUTED_VALUE"""),"2023-06-01-10201SP149-01")</f>
        <v>2023-06-01-10201SP149-01</v>
      </c>
      <c r="G3231" s="164" t="str">
        <f ca="1">IFERROR(__xludf.DUMMYFUNCTION("""COMPUTED_VALUE"""),"Y3-C782/SNC 1203/NFX 1657")</f>
        <v>Y3-C782/SNC 1203/NFX 1657</v>
      </c>
      <c r="H3231" s="164" t="str">
        <f ca="1">IFERROR(__xludf.DUMMYFUNCTION("""COMPUTED_VALUE"""),"ATTY. BRIAN LASSITER")</f>
        <v>ATTY. BRIAN LASSITER</v>
      </c>
      <c r="I3231" s="164"/>
      <c r="J3231" s="164" t="str">
        <f ca="1">IFERROR(__xludf.DUMMYFUNCTION("""COMPUTED_VALUE"""),"2023-10-021MV")</f>
        <v>2023-10-021MV</v>
      </c>
      <c r="K3231" s="164"/>
      <c r="L3231" s="164"/>
      <c r="M3231" s="164" t="str">
        <f ca="1">IFERROR(__xludf.DUMMYFUNCTION("""COMPUTED_VALUE"""),"SERVICEABLE")</f>
        <v>SERVICEABLE</v>
      </c>
      <c r="N3231" s="164"/>
    </row>
    <row r="3232" spans="1:14" ht="13.2" hidden="1">
      <c r="A3232" s="164" t="str">
        <f ca="1">IFERROR(__xludf.DUMMYFUNCTION("""COMPUTED_VALUE"""),"REGION VIII")</f>
        <v>REGION VIII</v>
      </c>
      <c r="B3232" s="164" t="str">
        <f ca="1">IFERROR(__xludf.DUMMYFUNCTION("""COMPUTED_VALUE"""),"Regional Office")</f>
        <v>Regional Office</v>
      </c>
      <c r="C3232" s="164" t="str">
        <f ca="1">IFERROR(__xludf.DUMMYFUNCTION("""COMPUTED_VALUE"""),"Double Cabin Pick-up Vehicles – Mitsubishi Strada")</f>
        <v>Double Cabin Pick-up Vehicles – Mitsubishi Strada</v>
      </c>
      <c r="D3232" s="164" t="str">
        <f ca="1">IFERROR(__xludf.DUMMYFUNCTION("""COMPUTED_VALUE"""),"₱ 1,752,400.00")</f>
        <v>₱ 1,752,400.00</v>
      </c>
      <c r="E3232" s="164"/>
      <c r="F3232" s="164" t="str">
        <f ca="1">IFERROR(__xludf.DUMMYFUNCTION("""COMPUTED_VALUE"""),"2023-06-01-10201SP29-01")</f>
        <v>2023-06-01-10201SP29-01</v>
      </c>
      <c r="G3232" s="164" t="str">
        <f ca="1">IFERROR(__xludf.DUMMYFUNCTION("""COMPUTED_VALUE"""),"Y2-Z516/SNC 1131/NFX 1812")</f>
        <v>Y2-Z516/SNC 1131/NFX 1812</v>
      </c>
      <c r="H3232" s="164" t="str">
        <f ca="1">IFERROR(__xludf.DUMMYFUNCTION("""COMPUTED_VALUE"""),"ATTY. BRIAN LASSITER")</f>
        <v>ATTY. BRIAN LASSITER</v>
      </c>
      <c r="I3232" s="164"/>
      <c r="J3232" s="164"/>
      <c r="K3232" s="164"/>
      <c r="L3232" s="164"/>
      <c r="M3232" s="164" t="str">
        <f ca="1">IFERROR(__xludf.DUMMYFUNCTION("""COMPUTED_VALUE"""),"SERVICEABLE")</f>
        <v>SERVICEABLE</v>
      </c>
      <c r="N3232" s="164"/>
    </row>
    <row r="3233" spans="1:14" ht="13.2" hidden="1">
      <c r="A3233" s="164" t="str">
        <f ca="1">IFERROR(__xludf.DUMMYFUNCTION("""COMPUTED_VALUE"""),"REGION IX")</f>
        <v>REGION IX</v>
      </c>
      <c r="B3233" s="164" t="str">
        <f ca="1">IFERROR(__xludf.DUMMYFUNCTION("""COMPUTED_VALUE"""),"Regional Office")</f>
        <v>Regional Office</v>
      </c>
      <c r="C3233" s="164" t="str">
        <f ca="1">IFERROR(__xludf.DUMMYFUNCTION("""COMPUTED_VALUE"""),"Desktop Computer – (Lenovo M70T)")</f>
        <v>Desktop Computer – (Lenovo M70T)</v>
      </c>
      <c r="D3233" s="164" t="str">
        <f ca="1">IFERROR(__xludf.DUMMYFUNCTION("""COMPUTED_VALUE"""),"₱ 75,468.00")</f>
        <v>₱ 75,468.00</v>
      </c>
      <c r="E3233" s="164"/>
      <c r="F3233" s="164" t="str">
        <f ca="1">IFERROR(__xludf.DUMMYFUNCTION("""COMPUTED_VALUE"""),"2023-05-03-10201SP1422-01")</f>
        <v>2023-05-03-10201SP1422-01</v>
      </c>
      <c r="G3233" s="164" t="str">
        <f ca="1">IFERROR(__xludf.DUMMYFUNCTION("""COMPUTED_VALUE"""),"VNA99P34,GM03PGXB,KNUJ20069")</f>
        <v>VNA99P34,GM03PGXB,KNUJ20069</v>
      </c>
      <c r="H3233" s="164" t="str">
        <f ca="1">IFERROR(__xludf.DUMMYFUNCTION("""COMPUTED_VALUE"""),"ATTY. RAMON E. MADROÑAL, JR.")</f>
        <v>ATTY. RAMON E. MADROÑAL, JR.</v>
      </c>
      <c r="I3233" s="164" t="str">
        <f ca="1">IFERROR(__xludf.DUMMYFUNCTION("""COMPUTED_VALUE"""),"REGIONAL DIRECTOR")</f>
        <v>REGIONAL DIRECTOR</v>
      </c>
      <c r="J3233" s="164" t="str">
        <f ca="1">IFERROR(__xludf.DUMMYFUNCTION("""COMPUTED_VALUE"""),"2023-007")</f>
        <v>2023-007</v>
      </c>
      <c r="K3233" s="164" t="str">
        <f ca="1">IFERROR(__xludf.DUMMYFUNCTION("""COMPUTED_VALUE"""),"COLEEN JIL B. LARUPAY (ADMIN VI)")</f>
        <v>COLEEN JIL B. LARUPAY (ADMIN VI)</v>
      </c>
      <c r="L3233" s="164" t="str">
        <f ca="1">IFERROR(__xludf.DUMMYFUNCTION("""COMPUTED_VALUE"""),"RD's OFFICE")</f>
        <v>RD's OFFICE</v>
      </c>
      <c r="M3233" s="164" t="str">
        <f ca="1">IFERROR(__xludf.DUMMYFUNCTION("""COMPUTED_VALUE"""),"SERVICEABLE")</f>
        <v>SERVICEABLE</v>
      </c>
      <c r="N3233" s="164" t="str">
        <f ca="1">IFERROR(__xludf.DUMMYFUNCTION("""COMPUTED_VALUE"""),"ok")</f>
        <v>ok</v>
      </c>
    </row>
    <row r="3234" spans="1:14" ht="13.2" hidden="1">
      <c r="A3234" s="164" t="str">
        <f ca="1">IFERROR(__xludf.DUMMYFUNCTION("""COMPUTED_VALUE"""),"REGION IX")</f>
        <v>REGION IX</v>
      </c>
      <c r="B3234" s="164" t="str">
        <f ca="1">IFERROR(__xludf.DUMMYFUNCTION("""COMPUTED_VALUE"""),"Regional Office")</f>
        <v>Regional Office</v>
      </c>
      <c r="C3234" s="164" t="str">
        <f ca="1">IFERROR(__xludf.DUMMYFUNCTION("""COMPUTED_VALUE"""),"Desktop Computer – (Lenovo M70T)")</f>
        <v>Desktop Computer – (Lenovo M70T)</v>
      </c>
      <c r="D3234" s="164" t="str">
        <f ca="1">IFERROR(__xludf.DUMMYFUNCTION("""COMPUTED_VALUE"""),"₱ 75,468.00")</f>
        <v>₱ 75,468.00</v>
      </c>
      <c r="E3234" s="164"/>
      <c r="F3234" s="164" t="str">
        <f ca="1">IFERROR(__xludf.DUMMYFUNCTION("""COMPUTED_VALUE"""),"2023-05-03-10201SP1423-01")</f>
        <v>2023-05-03-10201SP1423-01</v>
      </c>
      <c r="G3234" s="164" t="str">
        <f ca="1">IFERROR(__xludf.DUMMYFUNCTION("""COMPUTED_VALUE"""),"VNA99P37,GM03RZXV,KNUJ19860")</f>
        <v>VNA99P37,GM03RZXV,KNUJ19860</v>
      </c>
      <c r="H3234" s="164" t="str">
        <f ca="1">IFERROR(__xludf.DUMMYFUNCTION("""COMPUTED_VALUE"""),"ENGR. AGNES Y. MAATA, CESO IV")</f>
        <v>ENGR. AGNES Y. MAATA, CESO IV</v>
      </c>
      <c r="I3234" s="164" t="str">
        <f ca="1">IFERROR(__xludf.DUMMYFUNCTION("""COMPUTED_VALUE"""),"ASSISTANT REGIONAL DIRECTOR FOR OPERATIONS")</f>
        <v>ASSISTANT REGIONAL DIRECTOR FOR OPERATIONS</v>
      </c>
      <c r="J3234" s="164" t="str">
        <f ca="1">IFERROR(__xludf.DUMMYFUNCTION("""COMPUTED_VALUE"""),"2023-008")</f>
        <v>2023-008</v>
      </c>
      <c r="K3234" s="164" t="str">
        <f ca="1">IFERROR(__xludf.DUMMYFUNCTION("""COMPUTED_VALUE"""),"ENGR. AGNES Y. MAATA, CESO IV")</f>
        <v>ENGR. AGNES Y. MAATA, CESO IV</v>
      </c>
      <c r="L3234" s="164" t="str">
        <f ca="1">IFERROR(__xludf.DUMMYFUNCTION("""COMPUTED_VALUE"""),"ARDO's OFFICE")</f>
        <v>ARDO's OFFICE</v>
      </c>
      <c r="M3234" s="164" t="str">
        <f ca="1">IFERROR(__xludf.DUMMYFUNCTION("""COMPUTED_VALUE"""),"SERVICEABLE")</f>
        <v>SERVICEABLE</v>
      </c>
      <c r="N3234" s="164" t="str">
        <f ca="1">IFERROR(__xludf.DUMMYFUNCTION("""COMPUTED_VALUE"""),"ok")</f>
        <v>ok</v>
      </c>
    </row>
    <row r="3235" spans="1:14" ht="13.2" hidden="1">
      <c r="A3235" s="164" t="str">
        <f ca="1">IFERROR(__xludf.DUMMYFUNCTION("""COMPUTED_VALUE"""),"REGION IX")</f>
        <v>REGION IX</v>
      </c>
      <c r="B3235" s="164" t="str">
        <f ca="1">IFERROR(__xludf.DUMMYFUNCTION("""COMPUTED_VALUE"""),"Regional Office")</f>
        <v>Regional Office</v>
      </c>
      <c r="C3235" s="164" t="str">
        <f ca="1">IFERROR(__xludf.DUMMYFUNCTION("""COMPUTED_VALUE"""),"Desktop Computer – (Lenovo M70T)")</f>
        <v>Desktop Computer – (Lenovo M70T)</v>
      </c>
      <c r="D3235" s="164" t="str">
        <f ca="1">IFERROR(__xludf.DUMMYFUNCTION("""COMPUTED_VALUE"""),"₱ 75,468.00")</f>
        <v>₱ 75,468.00</v>
      </c>
      <c r="E3235" s="164"/>
      <c r="F3235" s="164" t="str">
        <f ca="1">IFERROR(__xludf.DUMMYFUNCTION("""COMPUTED_VALUE"""),"2023-05-03-10201SP1424-01")</f>
        <v>2023-05-03-10201SP1424-01</v>
      </c>
      <c r="G3235" s="164" t="str">
        <f ca="1">IFERROR(__xludf.DUMMYFUNCTION("""COMPUTED_VALUE"""),"VNA99P3C,GM03S3PN,KNUJ19915")</f>
        <v>VNA99P3C,GM03S3PN,KNUJ19915</v>
      </c>
      <c r="H3235" s="164" t="str">
        <f ca="1">IFERROR(__xludf.DUMMYFUNCTION("""COMPUTED_VALUE"""),"MA. SOCORRO C. REAMBONANZA")</f>
        <v>MA. SOCORRO C. REAMBONANZA</v>
      </c>
      <c r="I3235" s="164" t="str">
        <f ca="1">IFERROR(__xludf.DUMMYFUNCTION("""COMPUTED_VALUE"""),"RCAO")</f>
        <v>RCAO</v>
      </c>
      <c r="J3235" s="164" t="str">
        <f ca="1">IFERROR(__xludf.DUMMYFUNCTION("""COMPUTED_VALUE"""),"2023-009")</f>
        <v>2023-009</v>
      </c>
      <c r="K3235" s="164" t="str">
        <f ca="1">IFERROR(__xludf.DUMMYFUNCTION("""COMPUTED_VALUE"""),"ANGELICA ISABELLE M. AGUSTIN (ADMIN SUPPORT STAFF)")</f>
        <v>ANGELICA ISABELLE M. AGUSTIN (ADMIN SUPPORT STAFF)</v>
      </c>
      <c r="L3235" s="164" t="str">
        <f ca="1">IFERROR(__xludf.DUMMYFUNCTION("""COMPUTED_VALUE"""),"RCAO's OFFICE")</f>
        <v>RCAO's OFFICE</v>
      </c>
      <c r="M3235" s="164" t="str">
        <f ca="1">IFERROR(__xludf.DUMMYFUNCTION("""COMPUTED_VALUE"""),"SERVICEABLE")</f>
        <v>SERVICEABLE</v>
      </c>
      <c r="N3235" s="164" t="str">
        <f ca="1">IFERROR(__xludf.DUMMYFUNCTION("""COMPUTED_VALUE"""),"ups defective")</f>
        <v>ups defective</v>
      </c>
    </row>
    <row r="3236" spans="1:14" ht="13.2" hidden="1">
      <c r="A3236" s="164" t="str">
        <f ca="1">IFERROR(__xludf.DUMMYFUNCTION("""COMPUTED_VALUE"""),"REGION IX")</f>
        <v>REGION IX</v>
      </c>
      <c r="B3236" s="164" t="str">
        <f ca="1">IFERROR(__xludf.DUMMYFUNCTION("""COMPUTED_VALUE"""),"Regional Office")</f>
        <v>Regional Office</v>
      </c>
      <c r="C3236" s="164" t="str">
        <f ca="1">IFERROR(__xludf.DUMMYFUNCTION("""COMPUTED_VALUE"""),"Desktop Computer – (Lenovo M70T)")</f>
        <v>Desktop Computer – (Lenovo M70T)</v>
      </c>
      <c r="D3236" s="164" t="str">
        <f ca="1">IFERROR(__xludf.DUMMYFUNCTION("""COMPUTED_VALUE"""),"₱ 75,468.00")</f>
        <v>₱ 75,468.00</v>
      </c>
      <c r="E3236" s="164"/>
      <c r="F3236" s="164" t="str">
        <f ca="1">IFERROR(__xludf.DUMMYFUNCTION("""COMPUTED_VALUE"""),"2023-05-03-10201SP1425-01")</f>
        <v>2023-05-03-10201SP1425-01</v>
      </c>
      <c r="G3236" s="164" t="str">
        <f ca="1">IFERROR(__xludf.DUMMYFUNCTION("""COMPUTED_VALUE"""),"VNA99P39,GM03S3PR,KNUJ19908")</f>
        <v>VNA99P39,GM03S3PR,KNUJ19908</v>
      </c>
      <c r="H3236" s="164" t="str">
        <f ca="1">IFERROR(__xludf.DUMMYFUNCTION("""COMPUTED_VALUE"""),"AMINA M. BIDIN")</f>
        <v>AMINA M. BIDIN</v>
      </c>
      <c r="I3236" s="164" t="str">
        <f ca="1">IFERROR(__xludf.DUMMYFUNCTION("""COMPUTED_VALUE"""),"PLANNING OFFICER III")</f>
        <v>PLANNING OFFICER III</v>
      </c>
      <c r="J3236" s="164" t="str">
        <f ca="1">IFERROR(__xludf.DUMMYFUNCTION("""COMPUTED_VALUE"""),"2023-010")</f>
        <v>2023-010</v>
      </c>
      <c r="K3236" s="164" t="str">
        <f ca="1">IFERROR(__xludf.DUMMYFUNCTION("""COMPUTED_VALUE"""),"LEONARD PARCON (M&amp;E SUPPORT STAFF)")</f>
        <v>LEONARD PARCON (M&amp;E SUPPORT STAFF)</v>
      </c>
      <c r="L3236" s="164" t="str">
        <f ca="1">IFERROR(__xludf.DUMMYFUNCTION("""COMPUTED_VALUE"""),"PLANNING OFFICE")</f>
        <v>PLANNING OFFICE</v>
      </c>
      <c r="M3236" s="164" t="str">
        <f ca="1">IFERROR(__xludf.DUMMYFUNCTION("""COMPUTED_VALUE"""),"SERVICEABLE")</f>
        <v>SERVICEABLE</v>
      </c>
      <c r="N3236" s="164" t="str">
        <f ca="1">IFERROR(__xludf.DUMMYFUNCTION("""COMPUTED_VALUE"""),"ups defective")</f>
        <v>ups defective</v>
      </c>
    </row>
    <row r="3237" spans="1:14" ht="13.2" hidden="1">
      <c r="A3237" s="164" t="str">
        <f ca="1">IFERROR(__xludf.DUMMYFUNCTION("""COMPUTED_VALUE"""),"REGION IX")</f>
        <v>REGION IX</v>
      </c>
      <c r="B3237" s="164" t="str">
        <f ca="1">IFERROR(__xludf.DUMMYFUNCTION("""COMPUTED_VALUE"""),"Regional Office")</f>
        <v>Regional Office</v>
      </c>
      <c r="C3237" s="164" t="str">
        <f ca="1">IFERROR(__xludf.DUMMYFUNCTION("""COMPUTED_VALUE"""),"Desktop Computer – (Lenovo M70T)")</f>
        <v>Desktop Computer – (Lenovo M70T)</v>
      </c>
      <c r="D3237" s="164" t="str">
        <f ca="1">IFERROR(__xludf.DUMMYFUNCTION("""COMPUTED_VALUE"""),"₱ 75,468.00")</f>
        <v>₱ 75,468.00</v>
      </c>
      <c r="E3237" s="164"/>
      <c r="F3237" s="164" t="str">
        <f ca="1">IFERROR(__xludf.DUMMYFUNCTION("""COMPUTED_VALUE"""),"2023-05-03-10201SP1426-01")</f>
        <v>2023-05-03-10201SP1426-01</v>
      </c>
      <c r="G3237" s="164" t="str">
        <f ca="1">IFERROR(__xludf.DUMMYFUNCTION("""COMPUTED_VALUE"""),"VNA99P3B,GM03S3PS,KNUJ19911")</f>
        <v>VNA99P3B,GM03S3PS,KNUJ19911</v>
      </c>
      <c r="H3237" s="164" t="str">
        <f ca="1">IFERROR(__xludf.DUMMYFUNCTION("""COMPUTED_VALUE"""),"MELVIN A. FABIAN, JR.")</f>
        <v>MELVIN A. FABIAN, JR.</v>
      </c>
      <c r="I3237" s="164" t="str">
        <f ca="1">IFERROR(__xludf.DUMMYFUNCTION("""COMPUTED_VALUE"""),"REGIONAL ACCOUNTANT")</f>
        <v>REGIONAL ACCOUNTANT</v>
      </c>
      <c r="J3237" s="164" t="str">
        <f ca="1">IFERROR(__xludf.DUMMYFUNCTION("""COMPUTED_VALUE"""),"2023-011")</f>
        <v>2023-011</v>
      </c>
      <c r="K3237" s="164" t="str">
        <f ca="1">IFERROR(__xludf.DUMMYFUNCTION("""COMPUTED_VALUE"""),"MELVIN A. FABIAN, JR.")</f>
        <v>MELVIN A. FABIAN, JR.</v>
      </c>
      <c r="L3237" s="164" t="str">
        <f ca="1">IFERROR(__xludf.DUMMYFUNCTION("""COMPUTED_VALUE"""),"ACCOUNTING OFFICE")</f>
        <v>ACCOUNTING OFFICE</v>
      </c>
      <c r="M3237" s="164" t="str">
        <f ca="1">IFERROR(__xludf.DUMMYFUNCTION("""COMPUTED_VALUE"""),"SERVICEABLE")</f>
        <v>SERVICEABLE</v>
      </c>
      <c r="N3237" s="164" t="str">
        <f ca="1">IFERROR(__xludf.DUMMYFUNCTION("""COMPUTED_VALUE"""),"ok")</f>
        <v>ok</v>
      </c>
    </row>
    <row r="3238" spans="1:14" ht="13.2" hidden="1">
      <c r="A3238" s="164" t="str">
        <f ca="1">IFERROR(__xludf.DUMMYFUNCTION("""COMPUTED_VALUE"""),"REGION IX")</f>
        <v>REGION IX</v>
      </c>
      <c r="B3238" s="164" t="str">
        <f ca="1">IFERROR(__xludf.DUMMYFUNCTION("""COMPUTED_VALUE"""),"Regional Office")</f>
        <v>Regional Office</v>
      </c>
      <c r="C3238" s="164" t="str">
        <f ca="1">IFERROR(__xludf.DUMMYFUNCTION("""COMPUTED_VALUE"""),"Desktop Computer – (Lenovo M70T)")</f>
        <v>Desktop Computer – (Lenovo M70T)</v>
      </c>
      <c r="D3238" s="164" t="str">
        <f ca="1">IFERROR(__xludf.DUMMYFUNCTION("""COMPUTED_VALUE"""),"₱ 75,468.00")</f>
        <v>₱ 75,468.00</v>
      </c>
      <c r="E3238" s="164"/>
      <c r="F3238" s="164" t="str">
        <f ca="1">IFERROR(__xludf.DUMMYFUNCTION("""COMPUTED_VALUE"""),"2023-05-03-10201SP1427-01")</f>
        <v>2023-05-03-10201SP1427-01</v>
      </c>
      <c r="G3238" s="164" t="str">
        <f ca="1">IFERROR(__xludf.DUMMYFUNCTION("""COMPUTED_VALUE"""),"VNA99P38,GM03S3PZ,KNUJ19923")</f>
        <v>VNA99P38,GM03S3PZ,KNUJ19923</v>
      </c>
      <c r="H3238" s="164" t="str">
        <f ca="1">IFERROR(__xludf.DUMMYFUNCTION("""COMPUTED_VALUE"""),"ENGR. CARLOS L. ALCAZAR")</f>
        <v>ENGR. CARLOS L. ALCAZAR</v>
      </c>
      <c r="I3238" s="164" t="str">
        <f ca="1">IFERROR(__xludf.DUMMYFUNCTION("""COMPUTED_VALUE"""),"ENGINEER III")</f>
        <v>ENGINEER III</v>
      </c>
      <c r="J3238" s="164" t="str">
        <f ca="1">IFERROR(__xludf.DUMMYFUNCTION("""COMPUTED_VALUE"""),"2023-012")</f>
        <v>2023-012</v>
      </c>
      <c r="K3238" s="164" t="str">
        <f ca="1">IFERROR(__xludf.DUMMYFUNCTION("""COMPUTED_VALUE"""),"CARLOS CAMINS (CARTHOGRAPHER II)")</f>
        <v>CARLOS CAMINS (CARTHOGRAPHER II)</v>
      </c>
      <c r="L3238" s="164" t="str">
        <f ca="1">IFERROR(__xludf.DUMMYFUNCTION("""COMPUTED_VALUE"""),"LTID")</f>
        <v>LTID</v>
      </c>
      <c r="M3238" s="164" t="str">
        <f ca="1">IFERROR(__xludf.DUMMYFUNCTION("""COMPUTED_VALUE"""),"SERVICEABLE")</f>
        <v>SERVICEABLE</v>
      </c>
      <c r="N3238" s="164" t="str">
        <f ca="1">IFERROR(__xludf.DUMMYFUNCTION("""COMPUTED_VALUE"""),"ok")</f>
        <v>ok</v>
      </c>
    </row>
    <row r="3239" spans="1:14" ht="13.2" hidden="1">
      <c r="A3239" s="164" t="str">
        <f ca="1">IFERROR(__xludf.DUMMYFUNCTION("""COMPUTED_VALUE"""),"REGION IX")</f>
        <v>REGION IX</v>
      </c>
      <c r="B3239" s="164" t="str">
        <f ca="1">IFERROR(__xludf.DUMMYFUNCTION("""COMPUTED_VALUE"""),"Regional Office")</f>
        <v>Regional Office</v>
      </c>
      <c r="C3239" s="164" t="str">
        <f ca="1">IFERROR(__xludf.DUMMYFUNCTION("""COMPUTED_VALUE"""),"Desktop Computer – (Lenovo M70T)")</f>
        <v>Desktop Computer – (Lenovo M70T)</v>
      </c>
      <c r="D3239" s="164" t="str">
        <f ca="1">IFERROR(__xludf.DUMMYFUNCTION("""COMPUTED_VALUE"""),"₱ 75,468.00")</f>
        <v>₱ 75,468.00</v>
      </c>
      <c r="E3239" s="164"/>
      <c r="F3239" s="164" t="str">
        <f ca="1">IFERROR(__xludf.DUMMYFUNCTION("""COMPUTED_VALUE"""),"2023-05-03-10201SP1428-01")</f>
        <v>2023-05-03-10201SP1428-01</v>
      </c>
      <c r="G3239" s="164" t="str">
        <f ca="1">IFERROR(__xludf.DUMMYFUNCTION("""COMPUTED_VALUE"""),"VNA99P3F,GM03S3QS,KNUJ19828")</f>
        <v>VNA99P3F,GM03S3QS,KNUJ19828</v>
      </c>
      <c r="H3239" s="164" t="str">
        <f ca="1">IFERROR(__xludf.DUMMYFUNCTION("""COMPUTED_VALUE"""),"DAPHANE JULALEE G. CRUZ")</f>
        <v>DAPHANE JULALEE G. CRUZ</v>
      </c>
      <c r="I3239" s="164" t="str">
        <f ca="1">IFERROR(__xludf.DUMMYFUNCTION("""COMPUTED_VALUE"""),"COA - AUDITOR")</f>
        <v>COA - AUDITOR</v>
      </c>
      <c r="J3239" s="164" t="str">
        <f ca="1">IFERROR(__xludf.DUMMYFUNCTION("""COMPUTED_VALUE"""),"2023-013")</f>
        <v>2023-013</v>
      </c>
      <c r="K3239" s="164" t="str">
        <f ca="1">IFERROR(__xludf.DUMMYFUNCTION("""COMPUTED_VALUE"""),"DAPHANE JULALEE G. CRUZ")</f>
        <v>DAPHANE JULALEE G. CRUZ</v>
      </c>
      <c r="L3239" s="164" t="str">
        <f ca="1">IFERROR(__xludf.DUMMYFUNCTION("""COMPUTED_VALUE"""),"COA")</f>
        <v>COA</v>
      </c>
      <c r="M3239" s="164" t="str">
        <f ca="1">IFERROR(__xludf.DUMMYFUNCTION("""COMPUTED_VALUE"""),"SERVICEABLE")</f>
        <v>SERVICEABLE</v>
      </c>
      <c r="N3239" s="164" t="str">
        <f ca="1">IFERROR(__xludf.DUMMYFUNCTION("""COMPUTED_VALUE"""),"ok")</f>
        <v>ok</v>
      </c>
    </row>
    <row r="3240" spans="1:14" ht="13.2" hidden="1">
      <c r="A3240" s="164" t="str">
        <f ca="1">IFERROR(__xludf.DUMMYFUNCTION("""COMPUTED_VALUE"""),"REGION IX")</f>
        <v>REGION IX</v>
      </c>
      <c r="B3240" s="164" t="str">
        <f ca="1">IFERROR(__xludf.DUMMYFUNCTION("""COMPUTED_VALUE"""),"Regional Office")</f>
        <v>Regional Office</v>
      </c>
      <c r="C3240" s="164" t="str">
        <f ca="1">IFERROR(__xludf.DUMMYFUNCTION("""COMPUTED_VALUE"""),"Desktop Computer – (Lenovo M70T)")</f>
        <v>Desktop Computer – (Lenovo M70T)</v>
      </c>
      <c r="D3240" s="164" t="str">
        <f ca="1">IFERROR(__xludf.DUMMYFUNCTION("""COMPUTED_VALUE"""),"₱ 75,468.00")</f>
        <v>₱ 75,468.00</v>
      </c>
      <c r="E3240" s="164"/>
      <c r="F3240" s="164" t="str">
        <f ca="1">IFERROR(__xludf.DUMMYFUNCTION("""COMPUTED_VALUE"""),"2023-05-03-10201SP1429-01")</f>
        <v>2023-05-03-10201SP1429-01</v>
      </c>
      <c r="G3240" s="164" t="str">
        <f ca="1">IFERROR(__xludf.DUMMYFUNCTION("""COMPUTED_VALUE"""),"VNA9856P,GM0415RB,KNUJ19909")</f>
        <v>VNA9856P,GM0415RB,KNUJ19909</v>
      </c>
      <c r="H3240" s="164" t="str">
        <f ca="1">IFERROR(__xludf.DUMMYFUNCTION("""COMPUTED_VALUE"""),"MELANIE C. BOKINGKITO")</f>
        <v>MELANIE C. BOKINGKITO</v>
      </c>
      <c r="I3240" s="164" t="str">
        <f ca="1">IFERROR(__xludf.DUMMYFUNCTION("""COMPUTED_VALUE"""),"ADMIN OFFICE V")</f>
        <v>ADMIN OFFICE V</v>
      </c>
      <c r="J3240" s="164" t="str">
        <f ca="1">IFERROR(__xludf.DUMMYFUNCTION("""COMPUTED_VALUE"""),"2023-014")</f>
        <v>2023-014</v>
      </c>
      <c r="K3240" s="164" t="str">
        <f ca="1">IFERROR(__xludf.DUMMYFUNCTION("""COMPUTED_VALUE"""),"JAEMIECO R. ROSCO (PROCUREMENT SUPPPORT STAFF)")</f>
        <v>JAEMIECO R. ROSCO (PROCUREMENT SUPPPORT STAFF)</v>
      </c>
      <c r="L3240" s="164" t="str">
        <f ca="1">IFERROR(__xludf.DUMMYFUNCTION("""COMPUTED_VALUE"""),"PERSONNEL OFFICE")</f>
        <v>PERSONNEL OFFICE</v>
      </c>
      <c r="M3240" s="164" t="str">
        <f ca="1">IFERROR(__xludf.DUMMYFUNCTION("""COMPUTED_VALUE"""),"SERVICEABLE")</f>
        <v>SERVICEABLE</v>
      </c>
      <c r="N3240" s="164" t="str">
        <f ca="1">IFERROR(__xludf.DUMMYFUNCTION("""COMPUTED_VALUE"""),"ok")</f>
        <v>ok</v>
      </c>
    </row>
    <row r="3241" spans="1:14" ht="13.2" hidden="1">
      <c r="A3241" s="164" t="str">
        <f ca="1">IFERROR(__xludf.DUMMYFUNCTION("""COMPUTED_VALUE"""),"REGION IX")</f>
        <v>REGION IX</v>
      </c>
      <c r="B3241" s="164" t="str">
        <f ca="1">IFERROR(__xludf.DUMMYFUNCTION("""COMPUTED_VALUE"""),"Regional Office")</f>
        <v>Regional Office</v>
      </c>
      <c r="C3241" s="164" t="str">
        <f ca="1">IFERROR(__xludf.DUMMYFUNCTION("""COMPUTED_VALUE"""),"Desktop Computer – (Lenovo M70T)")</f>
        <v>Desktop Computer – (Lenovo M70T)</v>
      </c>
      <c r="D3241" s="164" t="str">
        <f ca="1">IFERROR(__xludf.DUMMYFUNCTION("""COMPUTED_VALUE"""),"₱ 75,468.00")</f>
        <v>₱ 75,468.00</v>
      </c>
      <c r="E3241" s="164"/>
      <c r="F3241" s="164" t="str">
        <f ca="1">IFERROR(__xludf.DUMMYFUNCTION("""COMPUTED_VALUE"""),"2023-05-03-10201SP1430-01")</f>
        <v>2023-05-03-10201SP1430-01</v>
      </c>
      <c r="G3241" s="164" t="str">
        <f ca="1">IFERROR(__xludf.DUMMYFUNCTION("""COMPUTED_VALUE"""),"VNA99P3H,GM0415RF,KNUJ19668")</f>
        <v>VNA99P3H,GM0415RF,KNUJ19668</v>
      </c>
      <c r="H3241" s="164" t="str">
        <f ca="1">IFERROR(__xludf.DUMMYFUNCTION("""COMPUTED_VALUE"""),"MA. SOCORRO C. REAMBONANZA")</f>
        <v>MA. SOCORRO C. REAMBONANZA</v>
      </c>
      <c r="I3241" s="164" t="str">
        <f ca="1">IFERROR(__xludf.DUMMYFUNCTION("""COMPUTED_VALUE"""),"REGIONAL CHIEF ADMIN OFFICER")</f>
        <v>REGIONAL CHIEF ADMIN OFFICER</v>
      </c>
      <c r="J3241" s="164" t="str">
        <f ca="1">IFERROR(__xludf.DUMMYFUNCTION("""COMPUTED_VALUE"""),"2023-015")</f>
        <v>2023-015</v>
      </c>
      <c r="K3241" s="164" t="str">
        <f ca="1">IFERROR(__xludf.DUMMYFUNCTION("""COMPUTED_VALUE"""),"MA. SOCORRO C. REAMBONANZA")</f>
        <v>MA. SOCORRO C. REAMBONANZA</v>
      </c>
      <c r="L3241" s="164" t="str">
        <f ca="1">IFERROR(__xludf.DUMMYFUNCTION("""COMPUTED_VALUE"""),"RCAO's OFFICE")</f>
        <v>RCAO's OFFICE</v>
      </c>
      <c r="M3241" s="164" t="str">
        <f ca="1">IFERROR(__xludf.DUMMYFUNCTION("""COMPUTED_VALUE"""),"SERVICEABLE")</f>
        <v>SERVICEABLE</v>
      </c>
      <c r="N3241" s="164" t="str">
        <f ca="1">IFERROR(__xludf.DUMMYFUNCTION("""COMPUTED_VALUE"""),"ok")</f>
        <v>ok</v>
      </c>
    </row>
    <row r="3242" spans="1:14" ht="13.2" hidden="1">
      <c r="A3242" s="164" t="str">
        <f ca="1">IFERROR(__xludf.DUMMYFUNCTION("""COMPUTED_VALUE"""),"REGION IX")</f>
        <v>REGION IX</v>
      </c>
      <c r="B3242" s="164" t="str">
        <f ca="1">IFERROR(__xludf.DUMMYFUNCTION("""COMPUTED_VALUE"""),"Regional Office")</f>
        <v>Regional Office</v>
      </c>
      <c r="C3242" s="164" t="str">
        <f ca="1">IFERROR(__xludf.DUMMYFUNCTION("""COMPUTED_VALUE"""),"Desktop Computer – (Lenovo M70T)")</f>
        <v>Desktop Computer – (Lenovo M70T)</v>
      </c>
      <c r="D3242" s="164" t="str">
        <f ca="1">IFERROR(__xludf.DUMMYFUNCTION("""COMPUTED_VALUE"""),"₱ 75,468.00")</f>
        <v>₱ 75,468.00</v>
      </c>
      <c r="E3242" s="164"/>
      <c r="F3242" s="164" t="str">
        <f ca="1">IFERROR(__xludf.DUMMYFUNCTION("""COMPUTED_VALUE"""),"2023-05-03-10201SP1431-01")</f>
        <v>2023-05-03-10201SP1431-01</v>
      </c>
      <c r="G3242" s="164" t="str">
        <f ca="1">IFERROR(__xludf.DUMMYFUNCTION("""COMPUTED_VALUE"""),"VNA99P3AK,GM0415RH,KNUJ20624")</f>
        <v>VNA99P3AK,GM0415RH,KNUJ20624</v>
      </c>
      <c r="H3242" s="164" t="str">
        <f ca="1">IFERROR(__xludf.DUMMYFUNCTION("""COMPUTED_VALUE"""),"MELVIN A. FABIAN, JR.")</f>
        <v>MELVIN A. FABIAN, JR.</v>
      </c>
      <c r="I3242" s="164" t="str">
        <f ca="1">IFERROR(__xludf.DUMMYFUNCTION("""COMPUTED_VALUE"""),"REGIONAL ACCOUNTANT")</f>
        <v>REGIONAL ACCOUNTANT</v>
      </c>
      <c r="J3242" s="164" t="str">
        <f ca="1">IFERROR(__xludf.DUMMYFUNCTION("""COMPUTED_VALUE"""),"2023-016")</f>
        <v>2023-016</v>
      </c>
      <c r="K3242" s="164" t="str">
        <f ca="1">IFERROR(__xludf.DUMMYFUNCTION("""COMPUTED_VALUE"""),"RYAN A. TAMBIS (FINANCE SUPPORT STAFF)")</f>
        <v>RYAN A. TAMBIS (FINANCE SUPPORT STAFF)</v>
      </c>
      <c r="L3242" s="164" t="str">
        <f ca="1">IFERROR(__xludf.DUMMYFUNCTION("""COMPUTED_VALUE"""),"ACCOUNTING OFFICE")</f>
        <v>ACCOUNTING OFFICE</v>
      </c>
      <c r="M3242" s="164" t="str">
        <f ca="1">IFERROR(__xludf.DUMMYFUNCTION("""COMPUTED_VALUE"""),"SERVICEABLE")</f>
        <v>SERVICEABLE</v>
      </c>
      <c r="N3242" s="164" t="str">
        <f ca="1">IFERROR(__xludf.DUMMYFUNCTION("""COMPUTED_VALUE"""),"ok")</f>
        <v>ok</v>
      </c>
    </row>
    <row r="3243" spans="1:14" ht="13.2" hidden="1">
      <c r="A3243" s="164" t="str">
        <f ca="1">IFERROR(__xludf.DUMMYFUNCTION("""COMPUTED_VALUE"""),"REGION IX")</f>
        <v>REGION IX</v>
      </c>
      <c r="B3243" s="164" t="str">
        <f ca="1">IFERROR(__xludf.DUMMYFUNCTION("""COMPUTED_VALUE"""),"Regional Office")</f>
        <v>Regional Office</v>
      </c>
      <c r="C3243" s="164" t="str">
        <f ca="1">IFERROR(__xludf.DUMMYFUNCTION("""COMPUTED_VALUE"""),"Desktop Computer – (Lenovo M70T)")</f>
        <v>Desktop Computer – (Lenovo M70T)</v>
      </c>
      <c r="D3243" s="164" t="str">
        <f ca="1">IFERROR(__xludf.DUMMYFUNCTION("""COMPUTED_VALUE"""),"₱ 75,468.00")</f>
        <v>₱ 75,468.00</v>
      </c>
      <c r="E3243" s="164"/>
      <c r="F3243" s="164" t="str">
        <f ca="1">IFERROR(__xludf.DUMMYFUNCTION("""COMPUTED_VALUE"""),"2023-05-03-10201SP1432-01")</f>
        <v>2023-05-03-10201SP1432-01</v>
      </c>
      <c r="G3243" s="164" t="str">
        <f ca="1">IFERROR(__xludf.DUMMYFUNCTION("""COMPUTED_VALUE"""),"VNA99P3AK,GM0415RH,KNUJ20025")</f>
        <v>VNA99P3AK,GM0415RH,KNUJ20025</v>
      </c>
      <c r="H3243" s="164" t="str">
        <f ca="1">IFERROR(__xludf.DUMMYFUNCTION("""COMPUTED_VALUE"""),"ENGR. FLORINDA S. DEPAMAYLO")</f>
        <v>ENGR. FLORINDA S. DEPAMAYLO</v>
      </c>
      <c r="I3243" s="164" t="str">
        <f ca="1">IFERROR(__xludf.DUMMYFUNCTION("""COMPUTED_VALUE"""),"CARPO - RPBD")</f>
        <v>CARPO - RPBD</v>
      </c>
      <c r="J3243" s="164" t="str">
        <f ca="1">IFERROR(__xludf.DUMMYFUNCTION("""COMPUTED_VALUE"""),"2023-017")</f>
        <v>2023-017</v>
      </c>
      <c r="K3243" s="164" t="str">
        <f ca="1">IFERROR(__xludf.DUMMYFUNCTION("""COMPUTED_VALUE"""),"ENGR. FLORINDA S. DEPAMAYLO")</f>
        <v>ENGR. FLORINDA S. DEPAMAYLO</v>
      </c>
      <c r="L3243" s="164" t="str">
        <f ca="1">IFERROR(__xludf.DUMMYFUNCTION("""COMPUTED_VALUE"""),"RPBDD")</f>
        <v>RPBDD</v>
      </c>
      <c r="M3243" s="164" t="str">
        <f ca="1">IFERROR(__xludf.DUMMYFUNCTION("""COMPUTED_VALUE"""),"SERVICEABLE")</f>
        <v>SERVICEABLE</v>
      </c>
      <c r="N3243" s="164" t="str">
        <f ca="1">IFERROR(__xludf.DUMMYFUNCTION("""COMPUTED_VALUE"""),"ok")</f>
        <v>ok</v>
      </c>
    </row>
    <row r="3244" spans="1:14" ht="13.2" hidden="1">
      <c r="A3244" s="164" t="str">
        <f ca="1">IFERROR(__xludf.DUMMYFUNCTION("""COMPUTED_VALUE"""),"REGION IX")</f>
        <v>REGION IX</v>
      </c>
      <c r="B3244" s="164" t="str">
        <f ca="1">IFERROR(__xludf.DUMMYFUNCTION("""COMPUTED_VALUE"""),"Regional Office")</f>
        <v>Regional Office</v>
      </c>
      <c r="C3244" s="164" t="str">
        <f ca="1">IFERROR(__xludf.DUMMYFUNCTION("""COMPUTED_VALUE"""),"Desktop Computer – (Lenovo M70T)")</f>
        <v>Desktop Computer – (Lenovo M70T)</v>
      </c>
      <c r="D3244" s="164" t="str">
        <f ca="1">IFERROR(__xludf.DUMMYFUNCTION("""COMPUTED_VALUE"""),"₱ 75,468.00")</f>
        <v>₱ 75,468.00</v>
      </c>
      <c r="E3244" s="164"/>
      <c r="F3244" s="164" t="str">
        <f ca="1">IFERROR(__xludf.DUMMYFUNCTION("""COMPUTED_VALUE"""),"2023-05-03-10201SP1433-01")</f>
        <v>2023-05-03-10201SP1433-01</v>
      </c>
      <c r="G3244" s="164" t="str">
        <f ca="1">IFERROR(__xludf.DUMMYFUNCTION("""COMPUTED_VALUE"""),"VNA99PAZ,GM03S3PZ,KNUJ19923")</f>
        <v>VNA99PAZ,GM03S3PZ,KNUJ19923</v>
      </c>
      <c r="H3244" s="164" t="str">
        <f ca="1">IFERROR(__xludf.DUMMYFUNCTION("""COMPUTED_VALUE"""),"FELICIDAD F. CADUNGOG")</f>
        <v>FELICIDAD F. CADUNGOG</v>
      </c>
      <c r="I3244" s="164" t="str">
        <f ca="1">IFERROR(__xludf.DUMMYFUNCTION("""COMPUTED_VALUE"""),"CARPO - LTI")</f>
        <v>CARPO - LTI</v>
      </c>
      <c r="J3244" s="164" t="str">
        <f ca="1">IFERROR(__xludf.DUMMYFUNCTION("""COMPUTED_VALUE"""),"2023-018")</f>
        <v>2023-018</v>
      </c>
      <c r="K3244" s="164" t="str">
        <f ca="1">IFERROR(__xludf.DUMMYFUNCTION("""COMPUTED_VALUE"""),"RUSHDIE M. SALIAN (ADMIN AIDE IV)")</f>
        <v>RUSHDIE M. SALIAN (ADMIN AIDE IV)</v>
      </c>
      <c r="L3244" s="164" t="str">
        <f ca="1">IFERROR(__xludf.DUMMYFUNCTION("""COMPUTED_VALUE"""),"LTID")</f>
        <v>LTID</v>
      </c>
      <c r="M3244" s="164" t="str">
        <f ca="1">IFERROR(__xludf.DUMMYFUNCTION("""COMPUTED_VALUE"""),"SERVICEABLE")</f>
        <v>SERVICEABLE</v>
      </c>
      <c r="N3244" s="164" t="str">
        <f ca="1">IFERROR(__xludf.DUMMYFUNCTION("""COMPUTED_VALUE"""),"cpu for repair
 printer defective")</f>
        <v>cpu for repair
 printer defective</v>
      </c>
    </row>
    <row r="3245" spans="1:14" ht="13.2" hidden="1">
      <c r="A3245" s="164" t="str">
        <f ca="1">IFERROR(__xludf.DUMMYFUNCTION("""COMPUTED_VALUE"""),"REGION IX")</f>
        <v>REGION IX</v>
      </c>
      <c r="B3245" s="164" t="str">
        <f ca="1">IFERROR(__xludf.DUMMYFUNCTION("""COMPUTED_VALUE"""),"Regional Office")</f>
        <v>Regional Office</v>
      </c>
      <c r="C3245" s="164" t="str">
        <f ca="1">IFERROR(__xludf.DUMMYFUNCTION("""COMPUTED_VALUE"""),"Desktop Computer – (Lenovo M70T)")</f>
        <v>Desktop Computer – (Lenovo M70T)</v>
      </c>
      <c r="D3245" s="164" t="str">
        <f ca="1">IFERROR(__xludf.DUMMYFUNCTION("""COMPUTED_VALUE"""),"₱ 75,468.00")</f>
        <v>₱ 75,468.00</v>
      </c>
      <c r="E3245" s="164"/>
      <c r="F3245" s="164" t="str">
        <f ca="1">IFERROR(__xludf.DUMMYFUNCTION("""COMPUTED_VALUE"""),"2023-05-03-10201SP1434-01")</f>
        <v>2023-05-03-10201SP1434-01</v>
      </c>
      <c r="G3245" s="164" t="str">
        <f ca="1">IFERROR(__xludf.DUMMYFUNCTION("""COMPUTED_VALUE"""),"VNA99PB6,GM0415TA,KNUJ19962")</f>
        <v>VNA99PB6,GM0415TA,KNUJ19962</v>
      </c>
      <c r="H3245" s="164" t="str">
        <f ca="1">IFERROR(__xludf.DUMMYFUNCTION("""COMPUTED_VALUE"""),"ENGR. CARLOS L. ALCAZAR")</f>
        <v>ENGR. CARLOS L. ALCAZAR</v>
      </c>
      <c r="I3245" s="164" t="str">
        <f ca="1">IFERROR(__xludf.DUMMYFUNCTION("""COMPUTED_VALUE"""),"ENGINEER III")</f>
        <v>ENGINEER III</v>
      </c>
      <c r="J3245" s="164" t="str">
        <f ca="1">IFERROR(__xludf.DUMMYFUNCTION("""COMPUTED_VALUE"""),"2023-019")</f>
        <v>2023-019</v>
      </c>
      <c r="K3245" s="164" t="str">
        <f ca="1">IFERROR(__xludf.DUMMYFUNCTION("""COMPUTED_VALUE"""),"ENGR. KRISTEL JOY GRACIANO (VERIFIER)")</f>
        <v>ENGR. KRISTEL JOY GRACIANO (VERIFIER)</v>
      </c>
      <c r="L3245" s="164" t="str">
        <f ca="1">IFERROR(__xludf.DUMMYFUNCTION("""COMPUTED_VALUE"""),"LTID")</f>
        <v>LTID</v>
      </c>
      <c r="M3245" s="164" t="str">
        <f ca="1">IFERROR(__xludf.DUMMYFUNCTION("""COMPUTED_VALUE"""),"SERVICEABLE")</f>
        <v>SERVICEABLE</v>
      </c>
      <c r="N3245" s="164" t="str">
        <f ca="1">IFERROR(__xludf.DUMMYFUNCTION("""COMPUTED_VALUE"""),"ok")</f>
        <v>ok</v>
      </c>
    </row>
    <row r="3246" spans="1:14" ht="13.2" hidden="1">
      <c r="A3246" s="164" t="str">
        <f ca="1">IFERROR(__xludf.DUMMYFUNCTION("""COMPUTED_VALUE"""),"REGION IX")</f>
        <v>REGION IX</v>
      </c>
      <c r="B3246" s="164" t="str">
        <f ca="1">IFERROR(__xludf.DUMMYFUNCTION("""COMPUTED_VALUE"""),"Regional Office")</f>
        <v>Regional Office</v>
      </c>
      <c r="C3246" s="164" t="str">
        <f ca="1">IFERROR(__xludf.DUMMYFUNCTION("""COMPUTED_VALUE"""),"Desktop Computer – (Lenovo M70T)")</f>
        <v>Desktop Computer – (Lenovo M70T)</v>
      </c>
      <c r="D3246" s="164" t="str">
        <f ca="1">IFERROR(__xludf.DUMMYFUNCTION("""COMPUTED_VALUE"""),"₱ 75,468.00")</f>
        <v>₱ 75,468.00</v>
      </c>
      <c r="E3246" s="164"/>
      <c r="F3246" s="164" t="str">
        <f ca="1">IFERROR(__xludf.DUMMYFUNCTION("""COMPUTED_VALUE"""),"2023-05-03-10201SP1435-01")</f>
        <v>2023-05-03-10201SP1435-01</v>
      </c>
      <c r="G3246" s="164" t="str">
        <f ca="1">IFERROR(__xludf.DUMMYFUNCTION("""COMPUTED_VALUE"""),"VNA99PBF,GM0415TF,KNUJ19967")</f>
        <v>VNA99PBF,GM0415TF,KNUJ19967</v>
      </c>
      <c r="H3246" s="164" t="str">
        <f ca="1">IFERROR(__xludf.DUMMYFUNCTION("""COMPUTED_VALUE"""),"ATTY. TETTYWANGSA T. HUSIN")</f>
        <v>ATTY. TETTYWANGSA T. HUSIN</v>
      </c>
      <c r="I3246" s="164" t="str">
        <f ca="1">IFERROR(__xludf.DUMMYFUNCTION("""COMPUTED_VALUE"""),"ATTORNEY V")</f>
        <v>ATTORNEY V</v>
      </c>
      <c r="J3246" s="164" t="str">
        <f ca="1">IFERROR(__xludf.DUMMYFUNCTION("""COMPUTED_VALUE"""),"2023-020")</f>
        <v>2023-020</v>
      </c>
      <c r="K3246" s="164" t="str">
        <f ca="1">IFERROR(__xludf.DUMMYFUNCTION("""COMPUTED_VALUE"""),"MA. IMELDA S. DRUJA (STENOGRAPHIC REPORTER II)")</f>
        <v>MA. IMELDA S. DRUJA (STENOGRAPHIC REPORTER II)</v>
      </c>
      <c r="L3246" s="164" t="str">
        <f ca="1">IFERROR(__xludf.DUMMYFUNCTION("""COMPUTED_VALUE"""),"LEGAL")</f>
        <v>LEGAL</v>
      </c>
      <c r="M3246" s="164" t="str">
        <f ca="1">IFERROR(__xludf.DUMMYFUNCTION("""COMPUTED_VALUE"""),"SERVICEABLE")</f>
        <v>SERVICEABLE</v>
      </c>
      <c r="N3246" s="164" t="str">
        <f ca="1">IFERROR(__xludf.DUMMYFUNCTION("""COMPUTED_VALUE"""),"ok")</f>
        <v>ok</v>
      </c>
    </row>
    <row r="3247" spans="1:14" ht="13.2" hidden="1">
      <c r="A3247" s="164" t="str">
        <f ca="1">IFERROR(__xludf.DUMMYFUNCTION("""COMPUTED_VALUE"""),"REGION IX")</f>
        <v>REGION IX</v>
      </c>
      <c r="B3247" s="164" t="str">
        <f ca="1">IFERROR(__xludf.DUMMYFUNCTION("""COMPUTED_VALUE"""),"Regional Office")</f>
        <v>Regional Office</v>
      </c>
      <c r="C3247" s="164" t="str">
        <f ca="1">IFERROR(__xludf.DUMMYFUNCTION("""COMPUTED_VALUE"""),"Desktop Computer – (Lenovo M70T)")</f>
        <v>Desktop Computer – (Lenovo M70T)</v>
      </c>
      <c r="D3247" s="164" t="str">
        <f ca="1">IFERROR(__xludf.DUMMYFUNCTION("""COMPUTED_VALUE"""),"₱ 75,468.00")</f>
        <v>₱ 75,468.00</v>
      </c>
      <c r="E3247" s="164"/>
      <c r="F3247" s="164" t="str">
        <f ca="1">IFERROR(__xludf.DUMMYFUNCTION("""COMPUTED_VALUE"""),"2023-05-03-10201SP1436-01")</f>
        <v>2023-05-03-10201SP1436-01</v>
      </c>
      <c r="G3247" s="164" t="str">
        <f ca="1">IFERROR(__xludf.DUMMYFUNCTION("""COMPUTED_VALUE"""),"VNA99PBM,GM0415TL,KNUJ20642")</f>
        <v>VNA99PBM,GM0415TL,KNUJ20642</v>
      </c>
      <c r="H3247" s="164" t="str">
        <f ca="1">IFERROR(__xludf.DUMMYFUNCTION("""COMPUTED_VALUE"""),"JOB AVECILLA")</f>
        <v>JOB AVECILLA</v>
      </c>
      <c r="I3247" s="164" t="str">
        <f ca="1">IFERROR(__xludf.DUMMYFUNCTION("""COMPUTED_VALUE"""),"COMPUTER PROGRAMMER II")</f>
        <v>COMPUTER PROGRAMMER II</v>
      </c>
      <c r="J3247" s="164" t="str">
        <f ca="1">IFERROR(__xludf.DUMMYFUNCTION("""COMPUTED_VALUE"""),"2023-021")</f>
        <v>2023-021</v>
      </c>
      <c r="K3247" s="164" t="str">
        <f ca="1">IFERROR(__xludf.DUMMYFUNCTION("""COMPUTED_VALUE"""),"RAPHAEL ELLIS Z. FORTICH (MIS SUPPORT STAFF)")</f>
        <v>RAPHAEL ELLIS Z. FORTICH (MIS SUPPORT STAFF)</v>
      </c>
      <c r="L3247" s="164" t="str">
        <f ca="1">IFERROR(__xludf.DUMMYFUNCTION("""COMPUTED_VALUE"""),"PLANNING OFFICE")</f>
        <v>PLANNING OFFICE</v>
      </c>
      <c r="M3247" s="164" t="str">
        <f ca="1">IFERROR(__xludf.DUMMYFUNCTION("""COMPUTED_VALUE"""),"SERVICEABLE")</f>
        <v>SERVICEABLE</v>
      </c>
      <c r="N3247" s="164" t="str">
        <f ca="1">IFERROR(__xludf.DUMMYFUNCTION("""COMPUTED_VALUE"""),"printer C/O RARAD Pagadian")</f>
        <v>printer C/O RARAD Pagadian</v>
      </c>
    </row>
    <row r="3248" spans="1:14" ht="13.2" hidden="1">
      <c r="A3248" s="164" t="str">
        <f ca="1">IFERROR(__xludf.DUMMYFUNCTION("""COMPUTED_VALUE"""),"REGION IX")</f>
        <v>REGION IX</v>
      </c>
      <c r="B3248" s="164" t="str">
        <f ca="1">IFERROR(__xludf.DUMMYFUNCTION("""COMPUTED_VALUE"""),"Regional Office")</f>
        <v>Regional Office</v>
      </c>
      <c r="C3248" s="164" t="str">
        <f ca="1">IFERROR(__xludf.DUMMYFUNCTION("""COMPUTED_VALUE"""),"Desktop Computer – (HP Pro SFF 280G9)")</f>
        <v>Desktop Computer – (HP Pro SFF 280G9)</v>
      </c>
      <c r="D3248" s="164" t="str">
        <f ca="1">IFERROR(__xludf.DUMMYFUNCTION("""COMPUTED_VALUE"""),"₱ 78,898.00")</f>
        <v>₱ 78,898.00</v>
      </c>
      <c r="E3248" s="164"/>
      <c r="F3248" s="164" t="str">
        <f ca="1">IFERROR(__xludf.DUMMYFUNCTION("""COMPUTED_VALUE"""),"2023-05-03-10201SP389-01")</f>
        <v>2023-05-03-10201SP389-01</v>
      </c>
      <c r="G3248" s="164" t="str">
        <f ca="1">IFERROR(__xludf.DUMMYFUNCTION("""COMPUTED_VALUE"""),"CNC24811J0,4CE301DH3X,ZN2BT2M07Q")</f>
        <v>CNC24811J0,4CE301DH3X,ZN2BT2M07Q</v>
      </c>
      <c r="H3248" s="164" t="str">
        <f ca="1">IFERROR(__xludf.DUMMYFUNCTION("""COMPUTED_VALUE"""),"FELICIDAD F. CADUNGOG")</f>
        <v>FELICIDAD F. CADUNGOG</v>
      </c>
      <c r="I3248" s="164" t="str">
        <f ca="1">IFERROR(__xludf.DUMMYFUNCTION("""COMPUTED_VALUE"""),"CARPO - LTI")</f>
        <v>CARPO - LTI</v>
      </c>
      <c r="J3248" s="164" t="str">
        <f ca="1">IFERROR(__xludf.DUMMYFUNCTION("""COMPUTED_VALUE"""),"2023-036")</f>
        <v>2023-036</v>
      </c>
      <c r="K3248" s="164" t="str">
        <f ca="1">IFERROR(__xludf.DUMMYFUNCTION("""COMPUTED_VALUE"""),"IDRIS KIMHAR S. MANDO (REGIONAL DOCUMENTATOR II)")</f>
        <v>IDRIS KIMHAR S. MANDO (REGIONAL DOCUMENTATOR II)</v>
      </c>
      <c r="L3248" s="164" t="str">
        <f ca="1">IFERROR(__xludf.DUMMYFUNCTION("""COMPUTED_VALUE"""),"LTID")</f>
        <v>LTID</v>
      </c>
      <c r="M3248" s="164" t="str">
        <f ca="1">IFERROR(__xludf.DUMMYFUNCTION("""COMPUTED_VALUE"""),"SERVICEABLE")</f>
        <v>SERVICEABLE</v>
      </c>
      <c r="N3248" s="164" t="str">
        <f ca="1">IFERROR(__xludf.DUMMYFUNCTION("""COMPUTED_VALUE"""),"ok")</f>
        <v>ok</v>
      </c>
    </row>
    <row r="3249" spans="1:14" ht="13.2" hidden="1">
      <c r="A3249" s="164" t="str">
        <f ca="1">IFERROR(__xludf.DUMMYFUNCTION("""COMPUTED_VALUE"""),"REGION IX")</f>
        <v>REGION IX</v>
      </c>
      <c r="B3249" s="164" t="str">
        <f ca="1">IFERROR(__xludf.DUMMYFUNCTION("""COMPUTED_VALUE"""),"Regional Office")</f>
        <v>Regional Office</v>
      </c>
      <c r="C3249" s="164" t="str">
        <f ca="1">IFERROR(__xludf.DUMMYFUNCTION("""COMPUTED_VALUE"""),"Desktop Computer – (HP Pro SFF 280G9)")</f>
        <v>Desktop Computer – (HP Pro SFF 280G9)</v>
      </c>
      <c r="D3249" s="164" t="str">
        <f ca="1">IFERROR(__xludf.DUMMYFUNCTION("""COMPUTED_VALUE"""),"₱ 78,898.00")</f>
        <v>₱ 78,898.00</v>
      </c>
      <c r="E3249" s="164"/>
      <c r="F3249" s="164" t="str">
        <f ca="1">IFERROR(__xludf.DUMMYFUNCTION("""COMPUTED_VALUE"""),"2023-05-03-10201SP390-01")</f>
        <v>2023-05-03-10201SP390-01</v>
      </c>
      <c r="G3249" s="164" t="str">
        <f ca="1">IFERROR(__xludf.DUMMYFUNCTION("""COMPUTED_VALUE"""),"CNC24916B4,4CE301DSS5,2CB19-80075")</f>
        <v>CNC24916B4,4CE301DSS5,2CB19-80075</v>
      </c>
      <c r="H3249" s="164" t="str">
        <f ca="1">IFERROR(__xludf.DUMMYFUNCTION("""COMPUTED_VALUE"""),"FELICIDAD F. CADUNGOG")</f>
        <v>FELICIDAD F. CADUNGOG</v>
      </c>
      <c r="I3249" s="164" t="str">
        <f ca="1">IFERROR(__xludf.DUMMYFUNCTION("""COMPUTED_VALUE"""),"CARPO - LTI")</f>
        <v>CARPO - LTI</v>
      </c>
      <c r="J3249" s="164" t="str">
        <f ca="1">IFERROR(__xludf.DUMMYFUNCTION("""COMPUTED_VALUE"""),"2023-037")</f>
        <v>2023-037</v>
      </c>
      <c r="K3249" s="164" t="str">
        <f ca="1">IFERROR(__xludf.DUMMYFUNCTION("""COMPUTED_VALUE"""),"ALRADZ ABDURAHMAN (REGIONAL DOCUMENTATOR II)")</f>
        <v>ALRADZ ABDURAHMAN (REGIONAL DOCUMENTATOR II)</v>
      </c>
      <c r="L3249" s="164" t="str">
        <f ca="1">IFERROR(__xludf.DUMMYFUNCTION("""COMPUTED_VALUE"""),"LTID")</f>
        <v>LTID</v>
      </c>
      <c r="M3249" s="164" t="str">
        <f ca="1">IFERROR(__xludf.DUMMYFUNCTION("""COMPUTED_VALUE"""),"SERVICEABLE")</f>
        <v>SERVICEABLE</v>
      </c>
      <c r="N3249" s="164" t="str">
        <f ca="1">IFERROR(__xludf.DUMMYFUNCTION("""COMPUTED_VALUE"""),"OK")</f>
        <v>OK</v>
      </c>
    </row>
    <row r="3250" spans="1:14" ht="13.2" hidden="1">
      <c r="A3250" s="164" t="str">
        <f ca="1">IFERROR(__xludf.DUMMYFUNCTION("""COMPUTED_VALUE"""),"REGION IX")</f>
        <v>REGION IX</v>
      </c>
      <c r="B3250" s="164" t="str">
        <f ca="1">IFERROR(__xludf.DUMMYFUNCTION("""COMPUTED_VALUE"""),"Regional Office")</f>
        <v>Regional Office</v>
      </c>
      <c r="C3250" s="164" t="str">
        <f ca="1">IFERROR(__xludf.DUMMYFUNCTION("""COMPUTED_VALUE"""),"Desktop Computer – (HP Pro SFF 280G9)")</f>
        <v>Desktop Computer – (HP Pro SFF 280G9)</v>
      </c>
      <c r="D3250" s="164" t="str">
        <f ca="1">IFERROR(__xludf.DUMMYFUNCTION("""COMPUTED_VALUE"""),"₱ 78,898.00")</f>
        <v>₱ 78,898.00</v>
      </c>
      <c r="E3250" s="164"/>
      <c r="F3250" s="164" t="str">
        <f ca="1">IFERROR(__xludf.DUMMYFUNCTION("""COMPUTED_VALUE"""),"2023-05-03-10201SP391-01")</f>
        <v>2023-05-03-10201SP391-01</v>
      </c>
      <c r="G3250" s="164" t="str">
        <f ca="1">IFERROR(__xludf.DUMMYFUNCTION("""COMPUTED_VALUE"""),"CNC24811GX,4CE301DSHH,2LB19-64001")</f>
        <v>CNC24811GX,4CE301DSHH,2LB19-64001</v>
      </c>
      <c r="H3250" s="164" t="str">
        <f ca="1">IFERROR(__xludf.DUMMYFUNCTION("""COMPUTED_VALUE"""),"ENGR. FLORINDA S. DEPAMAYLO")</f>
        <v>ENGR. FLORINDA S. DEPAMAYLO</v>
      </c>
      <c r="I3250" s="164" t="str">
        <f ca="1">IFERROR(__xludf.DUMMYFUNCTION("""COMPUTED_VALUE"""),"CARPO - RPBD")</f>
        <v>CARPO - RPBD</v>
      </c>
      <c r="J3250" s="164" t="str">
        <f ca="1">IFERROR(__xludf.DUMMYFUNCTION("""COMPUTED_VALUE"""),"2023-038")</f>
        <v>2023-038</v>
      </c>
      <c r="K3250" s="164" t="str">
        <f ca="1">IFERROR(__xludf.DUMMYFUNCTION("""COMPUTED_VALUE"""),"MARLON S. FABIAN (ESS SUPPORT STAFF)")</f>
        <v>MARLON S. FABIAN (ESS SUPPORT STAFF)</v>
      </c>
      <c r="L3250" s="164" t="str">
        <f ca="1">IFERROR(__xludf.DUMMYFUNCTION("""COMPUTED_VALUE"""),"RPBDD")</f>
        <v>RPBDD</v>
      </c>
      <c r="M3250" s="164" t="str">
        <f ca="1">IFERROR(__xludf.DUMMYFUNCTION("""COMPUTED_VALUE"""),"SERVICEABLE")</f>
        <v>SERVICEABLE</v>
      </c>
      <c r="N3250" s="164" t="str">
        <f ca="1">IFERROR(__xludf.DUMMYFUNCTION("""COMPUTED_VALUE"""),"OK")</f>
        <v>OK</v>
      </c>
    </row>
    <row r="3251" spans="1:14" ht="13.2" hidden="1">
      <c r="A3251" s="164" t="str">
        <f ca="1">IFERROR(__xludf.DUMMYFUNCTION("""COMPUTED_VALUE"""),"REGION IX")</f>
        <v>REGION IX</v>
      </c>
      <c r="B3251" s="164" t="str">
        <f ca="1">IFERROR(__xludf.DUMMYFUNCTION("""COMPUTED_VALUE"""),"Regional Office")</f>
        <v>Regional Office</v>
      </c>
      <c r="C3251" s="164" t="str">
        <f ca="1">IFERROR(__xludf.DUMMYFUNCTION("""COMPUTED_VALUE"""),"Desktop Computer – (HP Pro SFF 280G9)")</f>
        <v>Desktop Computer – (HP Pro SFF 280G9)</v>
      </c>
      <c r="D3251" s="164" t="str">
        <f ca="1">IFERROR(__xludf.DUMMYFUNCTION("""COMPUTED_VALUE"""),"₱ 78,898.00")</f>
        <v>₱ 78,898.00</v>
      </c>
      <c r="E3251" s="164"/>
      <c r="F3251" s="164" t="str">
        <f ca="1">IFERROR(__xludf.DUMMYFUNCTION("""COMPUTED_VALUE"""),"2023-05-03-10201SP392-01")</f>
        <v>2023-05-03-10201SP392-01</v>
      </c>
      <c r="G3251" s="164" t="str">
        <f ca="1">IFERROR(__xludf.DUMMYFUNCTION("""COMPUTED_VALUE"""),"CNC24811MM,4CE301DSMS")</f>
        <v>CNC24811MM,4CE301DSMS</v>
      </c>
      <c r="H3251" s="164" t="str">
        <f ca="1">IFERROR(__xludf.DUMMYFUNCTION("""COMPUTED_VALUE"""),"FELICIDAD F. CADUNGOG")</f>
        <v>FELICIDAD F. CADUNGOG</v>
      </c>
      <c r="I3251" s="164" t="str">
        <f ca="1">IFERROR(__xludf.DUMMYFUNCTION("""COMPUTED_VALUE"""),"CARPO - LTI")</f>
        <v>CARPO - LTI</v>
      </c>
      <c r="J3251" s="164" t="str">
        <f ca="1">IFERROR(__xludf.DUMMYFUNCTION("""COMPUTED_VALUE"""),"2023-039")</f>
        <v>2023-039</v>
      </c>
      <c r="K3251" s="164" t="str">
        <f ca="1">IFERROR(__xludf.DUMMYFUNCTION("""COMPUTED_VALUE"""),"GILBERT CADOBLA (REGIONAL DOCUMENTATOR II)")</f>
        <v>GILBERT CADOBLA (REGIONAL DOCUMENTATOR II)</v>
      </c>
      <c r="L3251" s="164" t="str">
        <f ca="1">IFERROR(__xludf.DUMMYFUNCTION("""COMPUTED_VALUE"""),"LTID")</f>
        <v>LTID</v>
      </c>
      <c r="M3251" s="164" t="str">
        <f ca="1">IFERROR(__xludf.DUMMYFUNCTION("""COMPUTED_VALUE"""),"SERVICEABLE")</f>
        <v>SERVICEABLE</v>
      </c>
      <c r="N3251" s="164" t="str">
        <f ca="1">IFERROR(__xludf.DUMMYFUNCTION("""COMPUTED_VALUE"""),"OK")</f>
        <v>OK</v>
      </c>
    </row>
    <row r="3252" spans="1:14" ht="13.2" hidden="1">
      <c r="A3252" s="164" t="str">
        <f ca="1">IFERROR(__xludf.DUMMYFUNCTION("""COMPUTED_VALUE"""),"REGION IX")</f>
        <v>REGION IX</v>
      </c>
      <c r="B3252" s="164" t="str">
        <f ca="1">IFERROR(__xludf.DUMMYFUNCTION("""COMPUTED_VALUE"""),"Regional Office")</f>
        <v>Regional Office</v>
      </c>
      <c r="C3252" s="164" t="str">
        <f ca="1">IFERROR(__xludf.DUMMYFUNCTION("""COMPUTED_VALUE"""),"Desktop Computer – (HP Pro SFF 280G9)")</f>
        <v>Desktop Computer – (HP Pro SFF 280G9)</v>
      </c>
      <c r="D3252" s="164" t="str">
        <f ca="1">IFERROR(__xludf.DUMMYFUNCTION("""COMPUTED_VALUE"""),"₱ 78,898.00")</f>
        <v>₱ 78,898.00</v>
      </c>
      <c r="E3252" s="164"/>
      <c r="F3252" s="164" t="str">
        <f ca="1">IFERROR(__xludf.DUMMYFUNCTION("""COMPUTED_VALUE"""),"2023-05-03-10201SP393-01")</f>
        <v>2023-05-03-10201SP393-01</v>
      </c>
      <c r="G3252" s="164" t="str">
        <f ca="1">IFERROR(__xludf.DUMMYFUNCTION("""COMPUTED_VALUE"""),"CNC249165H,4CE301DSM8,2CB19-80075")</f>
        <v>CNC249165H,4CE301DSM8,2CB19-80075</v>
      </c>
      <c r="H3252" s="164" t="str">
        <f ca="1">IFERROR(__xludf.DUMMYFUNCTION("""COMPUTED_VALUE"""),"JOB AVECILLA")</f>
        <v>JOB AVECILLA</v>
      </c>
      <c r="I3252" s="164" t="str">
        <f ca="1">IFERROR(__xludf.DUMMYFUNCTION("""COMPUTED_VALUE"""),"COMPUTER PROGRAMMER II")</f>
        <v>COMPUTER PROGRAMMER II</v>
      </c>
      <c r="J3252" s="164" t="str">
        <f ca="1">IFERROR(__xludf.DUMMYFUNCTION("""COMPUTED_VALUE"""),"2023-040")</f>
        <v>2023-040</v>
      </c>
      <c r="K3252" s="164" t="str">
        <f ca="1">IFERROR(__xludf.DUMMYFUNCTION("""COMPUTED_VALUE"""),"JOB AVECILLA")</f>
        <v>JOB AVECILLA</v>
      </c>
      <c r="L3252" s="164" t="str">
        <f ca="1">IFERROR(__xludf.DUMMYFUNCTION("""COMPUTED_VALUE"""),"PLANNING OFFICE")</f>
        <v>PLANNING OFFICE</v>
      </c>
      <c r="M3252" s="164" t="str">
        <f ca="1">IFERROR(__xludf.DUMMYFUNCTION("""COMPUTED_VALUE"""),"SERVICEABLE")</f>
        <v>SERVICEABLE</v>
      </c>
      <c r="N3252" s="164" t="str">
        <f ca="1">IFERROR(__xludf.DUMMYFUNCTION("""COMPUTED_VALUE"""),"OK")</f>
        <v>OK</v>
      </c>
    </row>
    <row r="3253" spans="1:14" ht="13.2" hidden="1">
      <c r="A3253" s="164" t="str">
        <f ca="1">IFERROR(__xludf.DUMMYFUNCTION("""COMPUTED_VALUE"""),"REGION IX")</f>
        <v>REGION IX</v>
      </c>
      <c r="B3253" s="164" t="str">
        <f ca="1">IFERROR(__xludf.DUMMYFUNCTION("""COMPUTED_VALUE"""),"Regional Office")</f>
        <v>Regional Office</v>
      </c>
      <c r="C3253" s="164" t="str">
        <f ca="1">IFERROR(__xludf.DUMMYFUNCTION("""COMPUTED_VALUE"""),"Desktop Computer – (HP Pro SFF 280G9)")</f>
        <v>Desktop Computer – (HP Pro SFF 280G9)</v>
      </c>
      <c r="D3253" s="164" t="str">
        <f ca="1">IFERROR(__xludf.DUMMYFUNCTION("""COMPUTED_VALUE"""),"₱ 78,898.00")</f>
        <v>₱ 78,898.00</v>
      </c>
      <c r="E3253" s="164"/>
      <c r="F3253" s="164" t="str">
        <f ca="1">IFERROR(__xludf.DUMMYFUNCTION("""COMPUTED_VALUE"""),"2023-05-03-10201SP394-01")</f>
        <v>2023-05-03-10201SP394-01</v>
      </c>
      <c r="G3253" s="164" t="str">
        <f ca="1">IFERROR(__xludf.DUMMYFUNCTION("""COMPUTED_VALUE"""),"CNC249165P")</f>
        <v>CNC249165P</v>
      </c>
      <c r="H3253" s="164" t="str">
        <f ca="1">IFERROR(__xludf.DUMMYFUNCTION("""COMPUTED_VALUE"""),"ENGR. KARLO D. YLARDE")</f>
        <v>ENGR. KARLO D. YLARDE</v>
      </c>
      <c r="I3253" s="164" t="str">
        <f ca="1">IFERROR(__xludf.DUMMYFUNCTION("""COMPUTED_VALUE"""),"ENGINEER II/CARP FOCAL")</f>
        <v>ENGINEER II/CARP FOCAL</v>
      </c>
      <c r="J3253" s="164" t="str">
        <f ca="1">IFERROR(__xludf.DUMMYFUNCTION("""COMPUTED_VALUE"""),"2023-043A")</f>
        <v>2023-043A</v>
      </c>
      <c r="K3253" s="164" t="str">
        <f ca="1">IFERROR(__xludf.DUMMYFUNCTION("""COMPUTED_VALUE"""),"ENGR. KARLO D. YLARDE")</f>
        <v>ENGR. KARLO D. YLARDE</v>
      </c>
      <c r="L3253" s="164" t="str">
        <f ca="1">IFERROR(__xludf.DUMMYFUNCTION("""COMPUTED_VALUE"""),"DAR - DENR")</f>
        <v>DAR - DENR</v>
      </c>
      <c r="M3253" s="164" t="str">
        <f ca="1">IFERROR(__xludf.DUMMYFUNCTION("""COMPUTED_VALUE"""),"SERVICEABLE")</f>
        <v>SERVICEABLE</v>
      </c>
      <c r="N3253" s="164" t="str">
        <f ca="1">IFERROR(__xludf.DUMMYFUNCTION("""COMPUTED_VALUE"""),"OK / PICTURE SENT BY DENR PROPERTY NO.")</f>
        <v>OK / PICTURE SENT BY DENR PROPERTY NO.</v>
      </c>
    </row>
    <row r="3254" spans="1:14" ht="13.2" hidden="1">
      <c r="A3254" s="164" t="str">
        <f ca="1">IFERROR(__xludf.DUMMYFUNCTION("""COMPUTED_VALUE"""),"REGION IX")</f>
        <v>REGION IX</v>
      </c>
      <c r="B3254" s="164" t="str">
        <f ca="1">IFERROR(__xludf.DUMMYFUNCTION("""COMPUTED_VALUE"""),"Regional Office")</f>
        <v>Regional Office</v>
      </c>
      <c r="C3254" s="164" t="str">
        <f ca="1">IFERROR(__xludf.DUMMYFUNCTION("""COMPUTED_VALUE"""),"Desktop Computer – (HP Pro SFF 280G9)")</f>
        <v>Desktop Computer – (HP Pro SFF 280G9)</v>
      </c>
      <c r="D3254" s="164" t="str">
        <f ca="1">IFERROR(__xludf.DUMMYFUNCTION("""COMPUTED_VALUE"""),"₱ 78,898.00")</f>
        <v>₱ 78,898.00</v>
      </c>
      <c r="E3254" s="164"/>
      <c r="F3254" s="164" t="str">
        <f ca="1">IFERROR(__xludf.DUMMYFUNCTION("""COMPUTED_VALUE"""),"2023-05-03-10201SP395-01")</f>
        <v>2023-05-03-10201SP395-01</v>
      </c>
      <c r="G3254" s="164" t="str">
        <f ca="1">IFERROR(__xludf.DUMMYFUNCTION("""COMPUTED_VALUE"""),"CNC24811JK")</f>
        <v>CNC24811JK</v>
      </c>
      <c r="H3254" s="164" t="str">
        <f ca="1">IFERROR(__xludf.DUMMYFUNCTION("""COMPUTED_VALUE"""),"ENGR. KARLO D. YLARDE")</f>
        <v>ENGR. KARLO D. YLARDE</v>
      </c>
      <c r="I3254" s="164" t="str">
        <f ca="1">IFERROR(__xludf.DUMMYFUNCTION("""COMPUTED_VALUE"""),"ENGINEER III/CHIEF OF CARP")</f>
        <v>ENGINEER III/CHIEF OF CARP</v>
      </c>
      <c r="J3254" s="164" t="str">
        <f ca="1">IFERROR(__xludf.DUMMYFUNCTION("""COMPUTED_VALUE"""),"2023-043B")</f>
        <v>2023-043B</v>
      </c>
      <c r="K3254" s="164" t="str">
        <f ca="1">IFERROR(__xludf.DUMMYFUNCTION("""COMPUTED_VALUE"""),"ENGR. KARLO D. YLARDE")</f>
        <v>ENGR. KARLO D. YLARDE</v>
      </c>
      <c r="L3254" s="164" t="str">
        <f ca="1">IFERROR(__xludf.DUMMYFUNCTION("""COMPUTED_VALUE"""),"DAR - DENR")</f>
        <v>DAR - DENR</v>
      </c>
      <c r="M3254" s="164" t="str">
        <f ca="1">IFERROR(__xludf.DUMMYFUNCTION("""COMPUTED_VALUE"""),"SERVICEABLE")</f>
        <v>SERVICEABLE</v>
      </c>
      <c r="N3254" s="164" t="str">
        <f ca="1">IFERROR(__xludf.DUMMYFUNCTION("""COMPUTED_VALUE"""),"OK / PICTURE SENT BY DENR PROPERTY NO.")</f>
        <v>OK / PICTURE SENT BY DENR PROPERTY NO.</v>
      </c>
    </row>
    <row r="3255" spans="1:14" ht="13.2" hidden="1">
      <c r="A3255" s="164" t="str">
        <f ca="1">IFERROR(__xludf.DUMMYFUNCTION("""COMPUTED_VALUE"""),"REGION IX")</f>
        <v>REGION IX</v>
      </c>
      <c r="B3255" s="164" t="str">
        <f ca="1">IFERROR(__xludf.DUMMYFUNCTION("""COMPUTED_VALUE"""),"Regional Office")</f>
        <v>Regional Office</v>
      </c>
      <c r="C3255" s="164" t="str">
        <f ca="1">IFERROR(__xludf.DUMMYFUNCTION("""COMPUTED_VALUE"""),"Laptop – (ACER EXTENSA EX215-55G i7)")</f>
        <v>Laptop – (ACER EXTENSA EX215-55G i7)</v>
      </c>
      <c r="D3255" s="164" t="str">
        <f ca="1">IFERROR(__xludf.DUMMYFUNCTION("""COMPUTED_VALUE"""),"₱ 59,500.00")</f>
        <v>₱ 59,500.00</v>
      </c>
      <c r="E3255" s="164"/>
      <c r="F3255" s="164" t="str">
        <f ca="1">IFERROR(__xludf.DUMMYFUNCTION("""COMPUTED_VALUE"""),"2023-05-03-10202SP330-01")</f>
        <v>2023-05-03-10202SP330-01</v>
      </c>
      <c r="G3255" s="164" t="str">
        <f ca="1">IFERROR(__xludf.DUMMYFUNCTION("""COMPUTED_VALUE"""),"30800746834")</f>
        <v>30800746834</v>
      </c>
      <c r="H3255" s="164" t="str">
        <f ca="1">IFERROR(__xludf.DUMMYFUNCTION("""COMPUTED_VALUE"""),"ENGR. FLORINDA S. DEPAMAYLO")</f>
        <v>ENGR. FLORINDA S. DEPAMAYLO</v>
      </c>
      <c r="I3255" s="164" t="str">
        <f ca="1">IFERROR(__xludf.DUMMYFUNCTION("""COMPUTED_VALUE"""),"CARPO - RPBD")</f>
        <v>CARPO - RPBD</v>
      </c>
      <c r="J3255" s="164" t="str">
        <f ca="1">IFERROR(__xludf.DUMMYFUNCTION("""COMPUTED_VALUE"""),"2023-041")</f>
        <v>2023-041</v>
      </c>
      <c r="K3255" s="164" t="str">
        <f ca="1">IFERROR(__xludf.DUMMYFUNCTION("""COMPUTED_VALUE"""),"JOEMAR B. LACAYA (REGIONAL ESS SPECIALIST)")</f>
        <v>JOEMAR B. LACAYA (REGIONAL ESS SPECIALIST)</v>
      </c>
      <c r="L3255" s="164" t="str">
        <f ca="1">IFERROR(__xludf.DUMMYFUNCTION("""COMPUTED_VALUE"""),"RPBDD")</f>
        <v>RPBDD</v>
      </c>
      <c r="M3255" s="164" t="str">
        <f ca="1">IFERROR(__xludf.DUMMYFUNCTION("""COMPUTED_VALUE"""),"SERVICEABLE")</f>
        <v>SERVICEABLE</v>
      </c>
      <c r="N3255" s="164"/>
    </row>
    <row r="3256" spans="1:14" ht="13.2" hidden="1">
      <c r="A3256" s="164" t="str">
        <f ca="1">IFERROR(__xludf.DUMMYFUNCTION("""COMPUTED_VALUE"""),"REGION IX")</f>
        <v>REGION IX</v>
      </c>
      <c r="B3256" s="164" t="str">
        <f ca="1">IFERROR(__xludf.DUMMYFUNCTION("""COMPUTED_VALUE"""),"Regional Office")</f>
        <v>Regional Office</v>
      </c>
      <c r="C3256" s="164" t="str">
        <f ca="1">IFERROR(__xludf.DUMMYFUNCTION("""COMPUTED_VALUE"""),"Laptop – (ACER EXTENSA EX215-55G i7)")</f>
        <v>Laptop – (ACER EXTENSA EX215-55G i7)</v>
      </c>
      <c r="D3256" s="164" t="str">
        <f ca="1">IFERROR(__xludf.DUMMYFUNCTION("""COMPUTED_VALUE"""),"₱ 59,500.00")</f>
        <v>₱ 59,500.00</v>
      </c>
      <c r="E3256" s="164"/>
      <c r="F3256" s="164" t="str">
        <f ca="1">IFERROR(__xludf.DUMMYFUNCTION("""COMPUTED_VALUE"""),"2023-05-03-10202SP331-01")</f>
        <v>2023-05-03-10202SP331-01</v>
      </c>
      <c r="G3256" s="164" t="str">
        <f ca="1">IFERROR(__xludf.DUMMYFUNCTION("""COMPUTED_VALUE"""),"30800761134")</f>
        <v>30800761134</v>
      </c>
      <c r="H3256" s="164" t="str">
        <f ca="1">IFERROR(__xludf.DUMMYFUNCTION("""COMPUTED_VALUE"""),"FELICIDAD F. CADUNGOG")</f>
        <v>FELICIDAD F. CADUNGOG</v>
      </c>
      <c r="I3256" s="164" t="str">
        <f ca="1">IFERROR(__xludf.DUMMYFUNCTION("""COMPUTED_VALUE"""),"CARPO - LTI")</f>
        <v>CARPO - LTI</v>
      </c>
      <c r="J3256" s="164" t="str">
        <f ca="1">IFERROR(__xludf.DUMMYFUNCTION("""COMPUTED_VALUE"""),"2023-042")</f>
        <v>2023-042</v>
      </c>
      <c r="K3256" s="164" t="str">
        <f ca="1">IFERROR(__xludf.DUMMYFUNCTION("""COMPUTED_VALUE"""),"ENGR. RONALD Y. GADAINGAN (PROJECT ENGINEER)")</f>
        <v>ENGR. RONALD Y. GADAINGAN (PROJECT ENGINEER)</v>
      </c>
      <c r="L3256" s="164" t="str">
        <f ca="1">IFERROR(__xludf.DUMMYFUNCTION("""COMPUTED_VALUE"""),"LTID")</f>
        <v>LTID</v>
      </c>
      <c r="M3256" s="164" t="str">
        <f ca="1">IFERROR(__xludf.DUMMYFUNCTION("""COMPUTED_VALUE"""),"SERVICEABLE")</f>
        <v>SERVICEABLE</v>
      </c>
      <c r="N3256" s="164"/>
    </row>
    <row r="3257" spans="1:14" ht="13.2" hidden="1">
      <c r="A3257" s="164" t="str">
        <f ca="1">IFERROR(__xludf.DUMMYFUNCTION("""COMPUTED_VALUE"""),"REGION IX")</f>
        <v>REGION IX</v>
      </c>
      <c r="B3257" s="164" t="str">
        <f ca="1">IFERROR(__xludf.DUMMYFUNCTION("""COMPUTED_VALUE"""),"Regional Office")</f>
        <v>Regional Office</v>
      </c>
      <c r="C3257" s="164" t="str">
        <f ca="1">IFERROR(__xludf.DUMMYFUNCTION("""COMPUTED_VALUE"""),"Laptop – (ACER EXTENSA EX215-55G i7)")</f>
        <v>Laptop – (ACER EXTENSA EX215-55G i7)</v>
      </c>
      <c r="D3257" s="164" t="str">
        <f ca="1">IFERROR(__xludf.DUMMYFUNCTION("""COMPUTED_VALUE"""),"₱ 59,500.00")</f>
        <v>₱ 59,500.00</v>
      </c>
      <c r="E3257" s="164"/>
      <c r="F3257" s="164" t="str">
        <f ca="1">IFERROR(__xludf.DUMMYFUNCTION("""COMPUTED_VALUE"""),"2023-05-03-10202SP332-01")</f>
        <v>2023-05-03-10202SP332-01</v>
      </c>
      <c r="G3257" s="164" t="str">
        <f ca="1">IFERROR(__xludf.DUMMYFUNCTION("""COMPUTED_VALUE"""),"3080068134")</f>
        <v>3080068134</v>
      </c>
      <c r="H3257" s="164" t="str">
        <f ca="1">IFERROR(__xludf.DUMMYFUNCTION("""COMPUTED_VALUE"""),"ATTY. TETTYWANGSA T. HUSIN")</f>
        <v>ATTY. TETTYWANGSA T. HUSIN</v>
      </c>
      <c r="I3257" s="164" t="str">
        <f ca="1">IFERROR(__xludf.DUMMYFUNCTION("""COMPUTED_VALUE"""),"ATTORNEY V")</f>
        <v>ATTORNEY V</v>
      </c>
      <c r="J3257" s="164" t="str">
        <f ca="1">IFERROR(__xludf.DUMMYFUNCTION("""COMPUTED_VALUE"""),"2023-043")</f>
        <v>2023-043</v>
      </c>
      <c r="K3257" s="164" t="str">
        <f ca="1">IFERROR(__xludf.DUMMYFUNCTION("""COMPUTED_VALUE"""),"ATTY. ROFEL ANNE B. GADAINGAN-ISONG (LEGAL OFFICER)")</f>
        <v>ATTY. ROFEL ANNE B. GADAINGAN-ISONG (LEGAL OFFICER)</v>
      </c>
      <c r="L3257" s="164" t="str">
        <f ca="1">IFERROR(__xludf.DUMMYFUNCTION("""COMPUTED_VALUE"""),"LEGAL")</f>
        <v>LEGAL</v>
      </c>
      <c r="M3257" s="164" t="str">
        <f ca="1">IFERROR(__xludf.DUMMYFUNCTION("""COMPUTED_VALUE"""),"SERVICEABLE")</f>
        <v>SERVICEABLE</v>
      </c>
      <c r="N3257" s="164"/>
    </row>
    <row r="3258" spans="1:14" ht="13.2" hidden="1">
      <c r="A3258" s="164" t="str">
        <f ca="1">IFERROR(__xludf.DUMMYFUNCTION("""COMPUTED_VALUE"""),"REGION IX")</f>
        <v>REGION IX</v>
      </c>
      <c r="B3258" s="164" t="str">
        <f ca="1">IFERROR(__xludf.DUMMYFUNCTION("""COMPUTED_VALUE"""),"Regional Office")</f>
        <v>Regional Office</v>
      </c>
      <c r="C3258" s="164" t="str">
        <f ca="1">IFERROR(__xludf.DUMMYFUNCTION("""COMPUTED_VALUE"""),"Laptop – (ACER EXTENSA EX215-55G i7)")</f>
        <v>Laptop – (ACER EXTENSA EX215-55G i7)</v>
      </c>
      <c r="D3258" s="164" t="str">
        <f ca="1">IFERROR(__xludf.DUMMYFUNCTION("""COMPUTED_VALUE"""),"₱ 59,500.00")</f>
        <v>₱ 59,500.00</v>
      </c>
      <c r="E3258" s="164"/>
      <c r="F3258" s="164" t="str">
        <f ca="1">IFERROR(__xludf.DUMMYFUNCTION("""COMPUTED_VALUE"""),"2023-05-03-10202SP68-01")</f>
        <v>2023-05-03-10202SP68-01</v>
      </c>
      <c r="G3258" s="164" t="str">
        <f ca="1">IFERROR(__xludf.DUMMYFUNCTION("""COMPUTED_VALUE"""),"NXE625P003308010853400")</f>
        <v>NXE625P003308010853400</v>
      </c>
      <c r="H3258" s="164" t="str">
        <f ca="1">IFERROR(__xludf.DUMMYFUNCTION("""COMPUTED_VALUE"""),"SUZETTE T. LOTA")</f>
        <v>SUZETTE T. LOTA</v>
      </c>
      <c r="I3258" s="164" t="str">
        <f ca="1">IFERROR(__xludf.DUMMYFUNCTION("""COMPUTED_VALUE"""),"ARPO II")</f>
        <v>ARPO II</v>
      </c>
      <c r="J3258" s="164" t="str">
        <f ca="1">IFERROR(__xludf.DUMMYFUNCTION("""COMPUTED_VALUE"""),"2023-05-013L")</f>
        <v>2023-05-013L</v>
      </c>
      <c r="K3258" s="164" t="str">
        <f ca="1">IFERROR(__xludf.DUMMYFUNCTION("""COMPUTED_VALUE"""),"SUZETTE T. LOTA")</f>
        <v>SUZETTE T. LOTA</v>
      </c>
      <c r="L3258" s="164" t="str">
        <f ca="1">IFERROR(__xludf.DUMMYFUNCTION("""COMPUTED_VALUE"""),"STOD")</f>
        <v>STOD</v>
      </c>
      <c r="M3258" s="164" t="str">
        <f ca="1">IFERROR(__xludf.DUMMYFUNCTION("""COMPUTED_VALUE"""),"SERVICEABLE")</f>
        <v>SERVICEABLE</v>
      </c>
      <c r="N3258" s="164"/>
    </row>
    <row r="3259" spans="1:14" ht="13.2" hidden="1">
      <c r="A3259" s="164" t="str">
        <f ca="1">IFERROR(__xludf.DUMMYFUNCTION("""COMPUTED_VALUE"""),"REGION IX")</f>
        <v>REGION IX</v>
      </c>
      <c r="B3259" s="164" t="str">
        <f ca="1">IFERROR(__xludf.DUMMYFUNCTION("""COMPUTED_VALUE"""),"Regional Office")</f>
        <v>Regional Office</v>
      </c>
      <c r="C3259" s="164" t="str">
        <f ca="1">IFERROR(__xludf.DUMMYFUNCTION("""COMPUTED_VALUE"""),"REAL-TIME KINEMATIC – GEOMAX ZENITH60")</f>
        <v>REAL-TIME KINEMATIC – GEOMAX ZENITH60</v>
      </c>
      <c r="D3259" s="164" t="str">
        <f ca="1">IFERROR(__xludf.DUMMYFUNCTION("""COMPUTED_VALUE"""),"₱ 1,849,000.00")</f>
        <v>₱ 1,849,000.00</v>
      </c>
      <c r="E3259" s="164"/>
      <c r="F3259" s="164" t="str">
        <f ca="1">IFERROR(__xludf.DUMMYFUNCTION("""COMPUTED_VALUE"""),"2023-05-14-10201SP39-01")</f>
        <v>2023-05-14-10201SP39-01</v>
      </c>
      <c r="G3259" s="164" t="str">
        <f ca="1">IFERROR(__xludf.DUMMYFUNCTION("""COMPUTED_VALUE"""),"Z60SN272200102")</f>
        <v>Z60SN272200102</v>
      </c>
      <c r="H3259" s="164" t="str">
        <f ca="1">IFERROR(__xludf.DUMMYFUNCTION("""COMPUTED_VALUE"""),"ENGR. CARLOS L. ALCAZAR")</f>
        <v>ENGR. CARLOS L. ALCAZAR</v>
      </c>
      <c r="I3259" s="164" t="str">
        <f ca="1">IFERROR(__xludf.DUMMYFUNCTION("""COMPUTED_VALUE"""),"ENGINEER III")</f>
        <v>ENGINEER III</v>
      </c>
      <c r="J3259" s="164" t="str">
        <f ca="1">IFERROR(__xludf.DUMMYFUNCTION("""COMPUTED_VALUE"""),"2023-003")</f>
        <v>2023-003</v>
      </c>
      <c r="K3259" s="164" t="str">
        <f ca="1">IFERROR(__xludf.DUMMYFUNCTION("""COMPUTED_VALUE"""),"ENGR. CARLOS L. ALCAZAR")</f>
        <v>ENGR. CARLOS L. ALCAZAR</v>
      </c>
      <c r="L3259" s="164" t="str">
        <f ca="1">IFERROR(__xludf.DUMMYFUNCTION("""COMPUTED_VALUE"""),"LTID")</f>
        <v>LTID</v>
      </c>
      <c r="M3259" s="164" t="str">
        <f ca="1">IFERROR(__xludf.DUMMYFUNCTION("""COMPUTED_VALUE"""),"SERVICEABLE")</f>
        <v>SERVICEABLE</v>
      </c>
      <c r="N3259" s="164" t="str">
        <f ca="1">IFERROR(__xludf.DUMMYFUNCTION("""COMPUTED_VALUE"""),"BORROWED BY SIBUGAY")</f>
        <v>BORROWED BY SIBUGAY</v>
      </c>
    </row>
    <row r="3260" spans="1:14" ht="13.2" hidden="1">
      <c r="A3260" s="164" t="str">
        <f ca="1">IFERROR(__xludf.DUMMYFUNCTION("""COMPUTED_VALUE"""),"REGION IX")</f>
        <v>REGION IX</v>
      </c>
      <c r="B3260" s="164" t="str">
        <f ca="1">IFERROR(__xludf.DUMMYFUNCTION("""COMPUTED_VALUE"""),"Regional Office")</f>
        <v>Regional Office</v>
      </c>
      <c r="C3260" s="164" t="str">
        <f ca="1">IFERROR(__xludf.DUMMYFUNCTION("""COMPUTED_VALUE"""),"TOTAL STATION – GEOMAX TOTAL STATION ZOOM 50")</f>
        <v>TOTAL STATION – GEOMAX TOTAL STATION ZOOM 50</v>
      </c>
      <c r="D3260" s="164" t="str">
        <f ca="1">IFERROR(__xludf.DUMMYFUNCTION("""COMPUTED_VALUE"""),"₱ 648,000.00")</f>
        <v>₱ 648,000.00</v>
      </c>
      <c r="E3260" s="164"/>
      <c r="F3260" s="164" t="str">
        <f ca="1">IFERROR(__xludf.DUMMYFUNCTION("""COMPUTED_VALUE"""),"2023-05-14-10201SP40-01")</f>
        <v>2023-05-14-10201SP40-01</v>
      </c>
      <c r="G3260" s="164" t="str">
        <f ca="1">IFERROR(__xludf.DUMMYFUNCTION("""COMPUTED_VALUE"""),"2839953")</f>
        <v>2839953</v>
      </c>
      <c r="H3260" s="164" t="str">
        <f ca="1">IFERROR(__xludf.DUMMYFUNCTION("""COMPUTED_VALUE"""),"ENGR. CARLOS L. ALCAZAR")</f>
        <v>ENGR. CARLOS L. ALCAZAR</v>
      </c>
      <c r="I3260" s="164" t="str">
        <f ca="1">IFERROR(__xludf.DUMMYFUNCTION("""COMPUTED_VALUE"""),"ENGINEER III")</f>
        <v>ENGINEER III</v>
      </c>
      <c r="J3260" s="164" t="str">
        <f ca="1">IFERROR(__xludf.DUMMYFUNCTION("""COMPUTED_VALUE"""),"2023-004")</f>
        <v>2023-004</v>
      </c>
      <c r="K3260" s="164" t="str">
        <f ca="1">IFERROR(__xludf.DUMMYFUNCTION("""COMPUTED_VALUE"""),"ENGR. CARLOS L. ALCAZAR")</f>
        <v>ENGR. CARLOS L. ALCAZAR</v>
      </c>
      <c r="L3260" s="164" t="str">
        <f ca="1">IFERROR(__xludf.DUMMYFUNCTION("""COMPUTED_VALUE"""),"LTID")</f>
        <v>LTID</v>
      </c>
      <c r="M3260" s="164" t="str">
        <f ca="1">IFERROR(__xludf.DUMMYFUNCTION("""COMPUTED_VALUE"""),"SERVICEABLE")</f>
        <v>SERVICEABLE</v>
      </c>
      <c r="N3260" s="164"/>
    </row>
    <row r="3261" spans="1:14" ht="13.2" hidden="1">
      <c r="A3261" s="164" t="str">
        <f ca="1">IFERROR(__xludf.DUMMYFUNCTION("""COMPUTED_VALUE"""),"REGION IX")</f>
        <v>REGION IX</v>
      </c>
      <c r="B3261" s="164" t="str">
        <f ca="1">IFERROR(__xludf.DUMMYFUNCTION("""COMPUTED_VALUE"""),"Regional Office")</f>
        <v>Regional Office</v>
      </c>
      <c r="C3261" s="164" t="str">
        <f ca="1">IFERROR(__xludf.DUMMYFUNCTION("""COMPUTED_VALUE"""),"HANDHELD GPS – MODEL P6")</f>
        <v>HANDHELD GPS – MODEL P6</v>
      </c>
      <c r="D3261" s="164" t="str">
        <f ca="1">IFERROR(__xludf.DUMMYFUNCTION("""COMPUTED_VALUE"""),"₱ 79,000.00")</f>
        <v>₱ 79,000.00</v>
      </c>
      <c r="E3261" s="164"/>
      <c r="F3261" s="164" t="str">
        <f ca="1">IFERROR(__xludf.DUMMYFUNCTION("""COMPUTED_VALUE"""),"2023-05-14-10201SP21-01")</f>
        <v>2023-05-14-10201SP21-01</v>
      </c>
      <c r="G3261" s="164" t="str">
        <f ca="1">IFERROR(__xludf.DUMMYFUNCTION("""COMPUTED_VALUE"""),"10730029")</f>
        <v>10730029</v>
      </c>
      <c r="H3261" s="164" t="str">
        <f ca="1">IFERROR(__xludf.DUMMYFUNCTION("""COMPUTED_VALUE"""),"ENGR. CARLOS L. ALCAZAR")</f>
        <v>ENGR. CARLOS L. ALCAZAR</v>
      </c>
      <c r="I3261" s="164" t="str">
        <f ca="1">IFERROR(__xludf.DUMMYFUNCTION("""COMPUTED_VALUE"""),"ENGINEER III")</f>
        <v>ENGINEER III</v>
      </c>
      <c r="J3261" s="164" t="str">
        <f ca="1">IFERROR(__xludf.DUMMYFUNCTION("""COMPUTED_VALUE"""),"2023-005")</f>
        <v>2023-005</v>
      </c>
      <c r="K3261" s="164" t="str">
        <f ca="1">IFERROR(__xludf.DUMMYFUNCTION("""COMPUTED_VALUE"""),"ENGR. CARLOS L. ALCAZAR")</f>
        <v>ENGR. CARLOS L. ALCAZAR</v>
      </c>
      <c r="L3261" s="164" t="str">
        <f ca="1">IFERROR(__xludf.DUMMYFUNCTION("""COMPUTED_VALUE"""),"LTID")</f>
        <v>LTID</v>
      </c>
      <c r="M3261" s="164" t="str">
        <f ca="1">IFERROR(__xludf.DUMMYFUNCTION("""COMPUTED_VALUE"""),"SERVICEABLE")</f>
        <v>SERVICEABLE</v>
      </c>
      <c r="N3261" s="164"/>
    </row>
    <row r="3262" spans="1:14" ht="13.2" hidden="1">
      <c r="A3262" s="164" t="str">
        <f ca="1">IFERROR(__xludf.DUMMYFUNCTION("""COMPUTED_VALUE"""),"REGION IX")</f>
        <v>REGION IX</v>
      </c>
      <c r="B3262" s="164" t="str">
        <f ca="1">IFERROR(__xludf.DUMMYFUNCTION("""COMPUTED_VALUE"""),"Regional Office")</f>
        <v>Regional Office</v>
      </c>
      <c r="C3262" s="164" t="str">
        <f ca="1">IFERROR(__xludf.DUMMYFUNCTION("""COMPUTED_VALUE"""),"PLOTTER (3IN1)")</f>
        <v>PLOTTER (3IN1)</v>
      </c>
      <c r="D3262" s="164" t="str">
        <f ca="1">IFERROR(__xludf.DUMMYFUNCTION("""COMPUTED_VALUE"""),"₱ 648,000.00")</f>
        <v>₱ 648,000.00</v>
      </c>
      <c r="E3262" s="164"/>
      <c r="F3262" s="164" t="str">
        <f ca="1">IFERROR(__xludf.DUMMYFUNCTION("""COMPUTED_VALUE"""),"2024-05-13-10204SP08-O1")</f>
        <v>2024-05-13-10204SP08-O1</v>
      </c>
      <c r="G3262" s="164" t="str">
        <f ca="1">IFERROR(__xludf.DUMMYFUNCTION("""COMPUTED_VALUE"""),"OC81268")</f>
        <v>OC81268</v>
      </c>
      <c r="H3262" s="164" t="str">
        <f ca="1">IFERROR(__xludf.DUMMYFUNCTION("""COMPUTED_VALUE"""),"ENGR. CARLOS L. ALCAZAR
 FELICIDAD F. CADUNGOG")</f>
        <v>ENGR. CARLOS L. ALCAZAR
 FELICIDAD F. CADUNGOG</v>
      </c>
      <c r="I3262" s="164" t="str">
        <f ca="1">IFERROR(__xludf.DUMMYFUNCTION("""COMPUTED_VALUE"""),"ENGINEER III
 CARPO")</f>
        <v>ENGINEER III
 CARPO</v>
      </c>
      <c r="J3262" s="164" t="str">
        <f ca="1">IFERROR(__xludf.DUMMYFUNCTION("""COMPUTED_VALUE"""),"2024-05-007PL")</f>
        <v>2024-05-007PL</v>
      </c>
      <c r="K3262" s="164" t="str">
        <f ca="1">IFERROR(__xludf.DUMMYFUNCTION("""COMPUTED_VALUE"""),"ENGR. CARLOS L. ALCAZAR
 FELICIDAD F. CADUNGOG")</f>
        <v>ENGR. CARLOS L. ALCAZAR
 FELICIDAD F. CADUNGOG</v>
      </c>
      <c r="L3262" s="164" t="str">
        <f ca="1">IFERROR(__xludf.DUMMYFUNCTION("""COMPUTED_VALUE"""),"LTID")</f>
        <v>LTID</v>
      </c>
      <c r="M3262" s="164" t="str">
        <f ca="1">IFERROR(__xludf.DUMMYFUNCTION("""COMPUTED_VALUE"""),"SERVICEABLE")</f>
        <v>SERVICEABLE</v>
      </c>
      <c r="N3262" s="164" t="str">
        <f ca="1">IFERROR(__xludf.DUMMYFUNCTION("""COMPUTED_VALUE"""),"ok")</f>
        <v>ok</v>
      </c>
    </row>
    <row r="3263" spans="1:14" ht="13.2" hidden="1">
      <c r="A3263" s="164" t="str">
        <f ca="1">IFERROR(__xludf.DUMMYFUNCTION("""COMPUTED_VALUE"""),"REGION IX")</f>
        <v>REGION IX</v>
      </c>
      <c r="B3263" s="164" t="str">
        <f ca="1">IFERROR(__xludf.DUMMYFUNCTION("""COMPUTED_VALUE"""),"Regional Office")</f>
        <v>Regional Office</v>
      </c>
      <c r="C3263" s="164" t="str">
        <f ca="1">IFERROR(__xludf.DUMMYFUNCTION("""COMPUTED_VALUE"""),"A3 PRINTER (BROTHER)")</f>
        <v>A3 PRINTER (BROTHER)</v>
      </c>
      <c r="D3263" s="164" t="str">
        <f ca="1">IFERROR(__xludf.DUMMYFUNCTION("""COMPUTED_VALUE"""),"₱ 33,508.00")</f>
        <v>₱ 33,508.00</v>
      </c>
      <c r="E3263" s="164"/>
      <c r="F3263" s="164" t="str">
        <f ca="1">IFERROR(__xludf.DUMMYFUNCTION("""COMPUTED_VALUE"""),"HVSPLIT-102-24-05-085")</f>
        <v>HVSPLIT-102-24-05-085</v>
      </c>
      <c r="G3263" s="164" t="str">
        <f ca="1">IFERROR(__xludf.DUMMYFUNCTION("""COMPUTED_VALUE"""),"E78947H3H28432")</f>
        <v>E78947H3H28432</v>
      </c>
      <c r="H3263" s="164" t="str">
        <f ca="1">IFERROR(__xludf.DUMMYFUNCTION("""COMPUTED_VALUE"""),"FELICIDAD F. CADUNGOG")</f>
        <v>FELICIDAD F. CADUNGOG</v>
      </c>
      <c r="I3263" s="164" t="str">
        <f ca="1">IFERROR(__xludf.DUMMYFUNCTION("""COMPUTED_VALUE"""),"CARPO")</f>
        <v>CARPO</v>
      </c>
      <c r="J3263" s="164" t="str">
        <f ca="1">IFERROR(__xludf.DUMMYFUNCTION("""COMPUTED_VALUE"""),"2024-05-011")</f>
        <v>2024-05-011</v>
      </c>
      <c r="K3263" s="164" t="str">
        <f ca="1">IFERROR(__xludf.DUMMYFUNCTION("""COMPUTED_VALUE"""),"ENGR. CARLOS L. ALCAZAR
 FELICIDAD F. CADUNGOG")</f>
        <v>ENGR. CARLOS L. ALCAZAR
 FELICIDAD F. CADUNGOG</v>
      </c>
      <c r="L3263" s="164" t="str">
        <f ca="1">IFERROR(__xludf.DUMMYFUNCTION("""COMPUTED_VALUE"""),"LTID")</f>
        <v>LTID</v>
      </c>
      <c r="M3263" s="164" t="str">
        <f ca="1">IFERROR(__xludf.DUMMYFUNCTION("""COMPUTED_VALUE"""),"SERVICEABLE")</f>
        <v>SERVICEABLE</v>
      </c>
      <c r="N3263" s="164" t="str">
        <f ca="1">IFERROR(__xludf.DUMMYFUNCTION("""COMPUTED_VALUE"""),"ok")</f>
        <v>ok</v>
      </c>
    </row>
    <row r="3264" spans="1:14" ht="13.2" hidden="1">
      <c r="A3264" s="164" t="str">
        <f ca="1">IFERROR(__xludf.DUMMYFUNCTION("""COMPUTED_VALUE"""),"REGION IX")</f>
        <v>REGION IX</v>
      </c>
      <c r="B3264" s="164" t="str">
        <f ca="1">IFERROR(__xludf.DUMMYFUNCTION("""COMPUTED_VALUE"""),"Regional Office")</f>
        <v>Regional Office</v>
      </c>
      <c r="C3264" s="164" t="str">
        <f ca="1">IFERROR(__xludf.DUMMYFUNCTION("""COMPUTED_VALUE"""),"ACER TRAVELMATE")</f>
        <v>ACER TRAVELMATE</v>
      </c>
      <c r="D3264" s="164" t="str">
        <f ca="1">IFERROR(__xludf.DUMMYFUNCTION("""COMPUTED_VALUE"""),"₱ 46,580.00")</f>
        <v>₱ 46,580.00</v>
      </c>
      <c r="E3264" s="164"/>
      <c r="F3264" s="164" t="str">
        <f ca="1">IFERROR(__xludf.DUMMYFUNCTION("""COMPUTED_VALUE"""),"2024-05-03-10202SP-202-01")</f>
        <v>2024-05-03-10202SP-202-01</v>
      </c>
      <c r="G3264" s="164" t="str">
        <f ca="1">IFERROR(__xludf.DUMMYFUNCTION("""COMPUTED_VALUE"""),"NXVXKSP00341913C237600")</f>
        <v>NXVXKSP00341913C237600</v>
      </c>
      <c r="H3264" s="164" t="str">
        <f ca="1">IFERROR(__xludf.DUMMYFUNCTION("""COMPUTED_VALUE"""),"SUZETTE T LOTA")</f>
        <v>SUZETTE T LOTA</v>
      </c>
      <c r="I3264" s="164" t="str">
        <f ca="1">IFERROR(__xludf.DUMMYFUNCTION("""COMPUTED_VALUE"""),"SARPO/ REGIONAL IO")</f>
        <v>SARPO/ REGIONAL IO</v>
      </c>
      <c r="J3264" s="164"/>
      <c r="K3264" s="164" t="str">
        <f ca="1">IFERROR(__xludf.DUMMYFUNCTION("""COMPUTED_VALUE"""),"FELICIDAD F. CADUNGOG")</f>
        <v>FELICIDAD F. CADUNGOG</v>
      </c>
      <c r="L3264" s="164" t="str">
        <f ca="1">IFERROR(__xludf.DUMMYFUNCTION("""COMPUTED_VALUE"""),"DARRO IX")</f>
        <v>DARRO IX</v>
      </c>
      <c r="M3264" s="164" t="str">
        <f ca="1">IFERROR(__xludf.DUMMYFUNCTION("""COMPUTED_VALUE"""),"SERVICEABLE")</f>
        <v>SERVICEABLE</v>
      </c>
      <c r="N3264" s="164"/>
    </row>
    <row r="3265" spans="1:14" ht="13.2" hidden="1">
      <c r="A3265" s="164" t="str">
        <f ca="1">IFERROR(__xludf.DUMMYFUNCTION("""COMPUTED_VALUE"""),"REGION IX")</f>
        <v>REGION IX</v>
      </c>
      <c r="B3265" s="164" t="str">
        <f ca="1">IFERROR(__xludf.DUMMYFUNCTION("""COMPUTED_VALUE"""),"Regional Office")</f>
        <v>Regional Office</v>
      </c>
      <c r="C3265" s="164" t="str">
        <f ca="1">IFERROR(__xludf.DUMMYFUNCTION("""COMPUTED_VALUE"""),"Desktop Computer – (MSI PRO DP180)")</f>
        <v>Desktop Computer – (MSI PRO DP180)</v>
      </c>
      <c r="D3265" s="164" t="str">
        <f ca="1">IFERROR(__xludf.DUMMYFUNCTION("""COMPUTED_VALUE"""),"₱ 49,300.00")</f>
        <v>₱ 49,300.00</v>
      </c>
      <c r="E3265" s="164"/>
      <c r="F3265" s="164" t="str">
        <f ca="1">IFERROR(__xludf.DUMMYFUNCTION("""COMPUTED_VALUE"""),"HVSPLIT-102-24-05-01-239")</f>
        <v>HVSPLIT-102-24-05-01-239</v>
      </c>
      <c r="G3265" s="164" t="str">
        <f ca="1">IFERROR(__xludf.DUMMYFUNCTION("""COMPUTED_VALUE"""),"PC6M064401658,MSB0A704S0103939")</f>
        <v>PC6M064401658,MSB0A704S0103939</v>
      </c>
      <c r="H3265" s="164" t="str">
        <f ca="1">IFERROR(__xludf.DUMMYFUNCTION("""COMPUTED_VALUE"""),"MARCELA M. CATIS")</f>
        <v>MARCELA M. CATIS</v>
      </c>
      <c r="I3265" s="164" t="str">
        <f ca="1">IFERROR(__xludf.DUMMYFUNCTION("""COMPUTED_VALUE"""),"BUDGET OFFICER")</f>
        <v>BUDGET OFFICER</v>
      </c>
      <c r="J3265" s="164" t="str">
        <f ca="1">IFERROR(__xludf.DUMMYFUNCTION("""COMPUTED_VALUE"""),"24-087")</f>
        <v>24-087</v>
      </c>
      <c r="K3265" s="164" t="str">
        <f ca="1">IFERROR(__xludf.DUMMYFUNCTION("""COMPUTED_VALUE"""),"MARCELA M. CATIS")</f>
        <v>MARCELA M. CATIS</v>
      </c>
      <c r="L3265" s="164" t="str">
        <f ca="1">IFERROR(__xludf.DUMMYFUNCTION("""COMPUTED_VALUE"""),"STOD")</f>
        <v>STOD</v>
      </c>
      <c r="M3265" s="164" t="str">
        <f ca="1">IFERROR(__xludf.DUMMYFUNCTION("""COMPUTED_VALUE"""),"SERVICEABLE")</f>
        <v>SERVICEABLE</v>
      </c>
      <c r="N3265" s="164" t="str">
        <f ca="1">IFERROR(__xludf.DUMMYFUNCTION("""COMPUTED_VALUE"""),"MONITOR DEFECTIVE / POWER SUPPLY ISSUE")</f>
        <v>MONITOR DEFECTIVE / POWER SUPPLY ISSUE</v>
      </c>
    </row>
    <row r="3266" spans="1:14" ht="13.2" hidden="1">
      <c r="A3266" s="164" t="str">
        <f ca="1">IFERROR(__xludf.DUMMYFUNCTION("""COMPUTED_VALUE"""),"REGION IX")</f>
        <v>REGION IX</v>
      </c>
      <c r="B3266" s="164" t="str">
        <f ca="1">IFERROR(__xludf.DUMMYFUNCTION("""COMPUTED_VALUE"""),"Regional Office")</f>
        <v>Regional Office</v>
      </c>
      <c r="C3266" s="164" t="str">
        <f ca="1">IFERROR(__xludf.DUMMYFUNCTION("""COMPUTED_VALUE"""),"Desktop Computer – (MSI PRO DP180)")</f>
        <v>Desktop Computer – (MSI PRO DP180)</v>
      </c>
      <c r="D3266" s="164" t="str">
        <f ca="1">IFERROR(__xludf.DUMMYFUNCTION("""COMPUTED_VALUE"""),"₱ 49,300.00")</f>
        <v>₱ 49,300.00</v>
      </c>
      <c r="E3266" s="164"/>
      <c r="F3266" s="164" t="str">
        <f ca="1">IFERROR(__xludf.DUMMYFUNCTION("""COMPUTED_VALUE"""),"HVSPLIT-102-24-05-01-240")</f>
        <v>HVSPLIT-102-24-05-01-240</v>
      </c>
      <c r="G3266" s="164" t="str">
        <f ca="1">IFERROR(__xludf.DUMMYFUNCTION("""COMPUTED_VALUE"""),"PC6M064401396,MSB0A704S0103845")</f>
        <v>PC6M064401396,MSB0A704S0103845</v>
      </c>
      <c r="H3266" s="164" t="str">
        <f ca="1">IFERROR(__xludf.DUMMYFUNCTION("""COMPUTED_VALUE"""),"ATTY. TETTYWANGSA T. HUSIN")</f>
        <v>ATTY. TETTYWANGSA T. HUSIN</v>
      </c>
      <c r="I3266" s="164" t="str">
        <f ca="1">IFERROR(__xludf.DUMMYFUNCTION("""COMPUTED_VALUE"""),"ATTORNEY")</f>
        <v>ATTORNEY</v>
      </c>
      <c r="J3266" s="164" t="str">
        <f ca="1">IFERROR(__xludf.DUMMYFUNCTION("""COMPUTED_VALUE"""),"24-.89")</f>
        <v>24-.89</v>
      </c>
      <c r="K3266" s="164" t="str">
        <f ca="1">IFERROR(__xludf.DUMMYFUNCTION("""COMPUTED_VALUE"""),"ALFAIZA A. AJUJIN")</f>
        <v>ALFAIZA A. AJUJIN</v>
      </c>
      <c r="L3266" s="164" t="str">
        <f ca="1">IFERROR(__xludf.DUMMYFUNCTION("""COMPUTED_VALUE"""),"PROJECT SPLIT")</f>
        <v>PROJECT SPLIT</v>
      </c>
      <c r="M3266" s="164" t="str">
        <f ca="1">IFERROR(__xludf.DUMMYFUNCTION("""COMPUTED_VALUE"""),"SERVICEABLE")</f>
        <v>SERVICEABLE</v>
      </c>
      <c r="N3266" s="164" t="str">
        <f ca="1">IFERROR(__xludf.DUMMYFUNCTION("""COMPUTED_VALUE"""),"OK")</f>
        <v>OK</v>
      </c>
    </row>
    <row r="3267" spans="1:14" ht="13.2" hidden="1">
      <c r="A3267" s="164" t="str">
        <f ca="1">IFERROR(__xludf.DUMMYFUNCTION("""COMPUTED_VALUE"""),"REGION IX")</f>
        <v>REGION IX</v>
      </c>
      <c r="B3267" s="164" t="str">
        <f ca="1">IFERROR(__xludf.DUMMYFUNCTION("""COMPUTED_VALUE"""),"Regional Office")</f>
        <v>Regional Office</v>
      </c>
      <c r="C3267" s="164" t="str">
        <f ca="1">IFERROR(__xludf.DUMMYFUNCTION("""COMPUTED_VALUE"""),"Desktop Computer – (MSI PRO DP180)")</f>
        <v>Desktop Computer – (MSI PRO DP180)</v>
      </c>
      <c r="D3267" s="164" t="str">
        <f ca="1">IFERROR(__xludf.DUMMYFUNCTION("""COMPUTED_VALUE"""),"₱ 49,300.00")</f>
        <v>₱ 49,300.00</v>
      </c>
      <c r="E3267" s="164"/>
      <c r="F3267" s="164" t="str">
        <f ca="1">IFERROR(__xludf.DUMMYFUNCTION("""COMPUTED_VALUE"""),"HVSPLIT-102-24-05-01-241")</f>
        <v>HVSPLIT-102-24-05-01-241</v>
      </c>
      <c r="G3267" s="164" t="str">
        <f ca="1">IFERROR(__xludf.DUMMYFUNCTION("""COMPUTED_VALUE"""),"PC6M064401578,MSB0A704S0103908")</f>
        <v>PC6M064401578,MSB0A704S0103908</v>
      </c>
      <c r="H3267" s="164" t="str">
        <f ca="1">IFERROR(__xludf.DUMMYFUNCTION("""COMPUTED_VALUE"""),"MELANIE C. BOKINGKITO")</f>
        <v>MELANIE C. BOKINGKITO</v>
      </c>
      <c r="I3267" s="164" t="str">
        <f ca="1">IFERROR(__xludf.DUMMYFUNCTION("""COMPUTED_VALUE"""),"ADMIN OFFICER V")</f>
        <v>ADMIN OFFICER V</v>
      </c>
      <c r="J3267" s="164" t="str">
        <f ca="1">IFERROR(__xludf.DUMMYFUNCTION("""COMPUTED_VALUE"""),"24-088")</f>
        <v>24-088</v>
      </c>
      <c r="K3267" s="164" t="str">
        <f ca="1">IFERROR(__xludf.DUMMYFUNCTION("""COMPUTED_VALUE"""),"MELANIE C. BOKINGKITO")</f>
        <v>MELANIE C. BOKINGKITO</v>
      </c>
      <c r="L3267" s="164" t="str">
        <f ca="1">IFERROR(__xludf.DUMMYFUNCTION("""COMPUTED_VALUE"""),"STOD")</f>
        <v>STOD</v>
      </c>
      <c r="M3267" s="164" t="str">
        <f ca="1">IFERROR(__xludf.DUMMYFUNCTION("""COMPUTED_VALUE"""),"SERVICEABLE")</f>
        <v>SERVICEABLE</v>
      </c>
      <c r="N3267" s="164" t="str">
        <f ca="1">IFERROR(__xludf.DUMMYFUNCTION("""COMPUTED_VALUE"""),"OK")</f>
        <v>OK</v>
      </c>
    </row>
    <row r="3268" spans="1:14" ht="13.2" hidden="1">
      <c r="A3268" s="164" t="str">
        <f ca="1">IFERROR(__xludf.DUMMYFUNCTION("""COMPUTED_VALUE"""),"REGION IX")</f>
        <v>REGION IX</v>
      </c>
      <c r="B3268" s="164" t="str">
        <f ca="1">IFERROR(__xludf.DUMMYFUNCTION("""COMPUTED_VALUE"""),"Regional Office")</f>
        <v>Regional Office</v>
      </c>
      <c r="C3268" s="164" t="str">
        <f ca="1">IFERROR(__xludf.DUMMYFUNCTION("""COMPUTED_VALUE"""),"Desktop Computer – (MSI PRO DP180)")</f>
        <v>Desktop Computer – (MSI PRO DP180)</v>
      </c>
      <c r="D3268" s="164" t="str">
        <f ca="1">IFERROR(__xludf.DUMMYFUNCTION("""COMPUTED_VALUE"""),"₱ 49,300.00")</f>
        <v>₱ 49,300.00</v>
      </c>
      <c r="E3268" s="164"/>
      <c r="F3268" s="164" t="str">
        <f ca="1">IFERROR(__xludf.DUMMYFUNCTION("""COMPUTED_VALUE"""),"HVSPLIT-102-24-05-01-177")</f>
        <v>HVSPLIT-102-24-05-01-177</v>
      </c>
      <c r="G3268" s="164" t="str">
        <f ca="1">IFERROR(__xludf.DUMMYFUNCTION("""COMPUTED_VALUE"""),"PC6M064401850,MSB0A704S0103614")</f>
        <v>PC6M064401850,MSB0A704S0103614</v>
      </c>
      <c r="H3268" s="164" t="str">
        <f ca="1">IFERROR(__xludf.DUMMYFUNCTION("""COMPUTED_VALUE"""),"SUZETTE T. LOTA")</f>
        <v>SUZETTE T. LOTA</v>
      </c>
      <c r="I3268" s="164" t="str">
        <f ca="1">IFERROR(__xludf.DUMMYFUNCTION("""COMPUTED_VALUE"""),"SARPO")</f>
        <v>SARPO</v>
      </c>
      <c r="J3268" s="164" t="str">
        <f ca="1">IFERROR(__xludf.DUMMYFUNCTION("""COMPUTED_VALUE"""),"24-066")</f>
        <v>24-066</v>
      </c>
      <c r="K3268" s="164" t="str">
        <f ca="1">IFERROR(__xludf.DUMMYFUNCTION("""COMPUTED_VALUE"""),"PRISTINE JANIELLE PADUA
 ALEXANDRIA MERCHADEZ")</f>
        <v>PRISTINE JANIELLE PADUA
 ALEXANDRIA MERCHADEZ</v>
      </c>
      <c r="L3268" s="164" t="str">
        <f ca="1">IFERROR(__xludf.DUMMYFUNCTION("""COMPUTED_VALUE"""),"PROJECT SPLIT")</f>
        <v>PROJECT SPLIT</v>
      </c>
      <c r="M3268" s="164" t="str">
        <f ca="1">IFERROR(__xludf.DUMMYFUNCTION("""COMPUTED_VALUE"""),"SERVICEABLE")</f>
        <v>SERVICEABLE</v>
      </c>
      <c r="N3268" s="164" t="str">
        <f ca="1">IFERROR(__xludf.DUMMYFUNCTION("""COMPUTED_VALUE"""),"MONITOR DEFECTIVE")</f>
        <v>MONITOR DEFECTIVE</v>
      </c>
    </row>
    <row r="3269" spans="1:14" ht="13.2" hidden="1">
      <c r="A3269" s="164" t="str">
        <f ca="1">IFERROR(__xludf.DUMMYFUNCTION("""COMPUTED_VALUE"""),"REGION IX")</f>
        <v>REGION IX</v>
      </c>
      <c r="B3269" s="164" t="str">
        <f ca="1">IFERROR(__xludf.DUMMYFUNCTION("""COMPUTED_VALUE"""),"Zamboanga Sibugay")</f>
        <v>Zamboanga Sibugay</v>
      </c>
      <c r="C3269" s="164" t="str">
        <f ca="1">IFERROR(__xludf.DUMMYFUNCTION("""COMPUTED_VALUE"""),"Desktop Computer – (Lenovo M70T)")</f>
        <v>Desktop Computer – (Lenovo M70T)</v>
      </c>
      <c r="D3269" s="164" t="str">
        <f ca="1">IFERROR(__xludf.DUMMYFUNCTION("""COMPUTED_VALUE"""),"₱ 75,468.00")</f>
        <v>₱ 75,468.00</v>
      </c>
      <c r="E3269" s="164"/>
      <c r="F3269" s="164" t="str">
        <f ca="1">IFERROR(__xludf.DUMMYFUNCTION("""COMPUTED_VALUE"""),"2023-05-03-1020ISP1480-01")</f>
        <v>2023-05-03-1020ISP1480-01</v>
      </c>
      <c r="G3269" s="164" t="str">
        <f ca="1">IFERROR(__xludf.DUMMYFUNCTION("""COMPUTED_VALUE"""),"VNA99R8F, KNUJ20555, EL4322C01307, GM041AV3")</f>
        <v>VNA99R8F, KNUJ20555, EL4322C01307, GM041AV3</v>
      </c>
      <c r="H3269" s="164" t="str">
        <f ca="1">IFERROR(__xludf.DUMMYFUNCTION("""COMPUTED_VALUE"""),"CECILE G. MIRAL")</f>
        <v>CECILE G. MIRAL</v>
      </c>
      <c r="I3269" s="164" t="str">
        <f ca="1">IFERROR(__xludf.DUMMYFUNCTION("""COMPUTED_VALUE"""),"AO IV -SUPPLY OFFICER")</f>
        <v>AO IV -SUPPLY OFFICER</v>
      </c>
      <c r="J3269" s="164" t="str">
        <f ca="1">IFERROR(__xludf.DUMMYFUNCTION("""COMPUTED_VALUE"""),"ZSSPLIT2023-05-021-001")</f>
        <v>ZSSPLIT2023-05-021-001</v>
      </c>
      <c r="K3269" s="164" t="str">
        <f ca="1">IFERROR(__xludf.DUMMYFUNCTION("""COMPUTED_VALUE"""),"RUSSEL P. LIMBAGO")</f>
        <v>RUSSEL P. LIMBAGO</v>
      </c>
      <c r="L3269" s="164" t="str">
        <f ca="1">IFERROR(__xludf.DUMMYFUNCTION("""COMPUTED_VALUE"""),"STOD/SUPPLY SECTION")</f>
        <v>STOD/SUPPLY SECTION</v>
      </c>
      <c r="M3269" s="164" t="str">
        <f ca="1">IFERROR(__xludf.DUMMYFUNCTION("""COMPUTED_VALUE"""),"SERVICEABLE")</f>
        <v>SERVICEABLE</v>
      </c>
      <c r="N3269" s="164"/>
    </row>
    <row r="3270" spans="1:14" ht="13.2" hidden="1">
      <c r="A3270" s="164" t="str">
        <f ca="1">IFERROR(__xludf.DUMMYFUNCTION("""COMPUTED_VALUE"""),"REGION IX")</f>
        <v>REGION IX</v>
      </c>
      <c r="B3270" s="164" t="str">
        <f ca="1">IFERROR(__xludf.DUMMYFUNCTION("""COMPUTED_VALUE"""),"Zamboanga Sibugay")</f>
        <v>Zamboanga Sibugay</v>
      </c>
      <c r="C3270" s="164" t="str">
        <f ca="1">IFERROR(__xludf.DUMMYFUNCTION("""COMPUTED_VALUE"""),"Desktop Computer – (Lenovo M70T)")</f>
        <v>Desktop Computer – (Lenovo M70T)</v>
      </c>
      <c r="D3270" s="164" t="str">
        <f ca="1">IFERROR(__xludf.DUMMYFUNCTION("""COMPUTED_VALUE"""),"₱ 75,468.00")</f>
        <v>₱ 75,468.00</v>
      </c>
      <c r="E3270" s="164"/>
      <c r="F3270" s="164" t="str">
        <f ca="1">IFERROR(__xludf.DUMMYFUNCTION("""COMPUTED_VALUE"""),"2023-05-03-1020ISP1472-01")</f>
        <v>2023-05-03-1020ISP1472-01</v>
      </c>
      <c r="G3270" s="164" t="str">
        <f ca="1">IFERROR(__xludf.DUMMYFUNCTION("""COMPUTED_VALUE"""),"VNA99R5D; GM0418JM")</f>
        <v>VNA99R5D; GM0418JM</v>
      </c>
      <c r="H3270" s="164" t="str">
        <f ca="1">IFERROR(__xludf.DUMMYFUNCTION("""COMPUTED_VALUE"""),"JULIE MAE FERRER
 FLORA MAE MIRABUENO")</f>
        <v>JULIE MAE FERRER
 FLORA MAE MIRABUENO</v>
      </c>
      <c r="I3270" s="164" t="str">
        <f ca="1">IFERROR(__xludf.DUMMYFUNCTION("""COMPUTED_VALUE"""),"ARPT
 ASSISTANT STAT")</f>
        <v>ARPT
 ASSISTANT STAT</v>
      </c>
      <c r="J3270" s="164" t="str">
        <f ca="1">IFERROR(__xludf.DUMMYFUNCTION("""COMPUTED_VALUE"""),"ZSSPLIT2023-05-021-002")</f>
        <v>ZSSPLIT2023-05-021-002</v>
      </c>
      <c r="K3270" s="164" t="str">
        <f ca="1">IFERROR(__xludf.DUMMYFUNCTION("""COMPUTED_VALUE"""),"MELANIE P. LUZA")</f>
        <v>MELANIE P. LUZA</v>
      </c>
      <c r="L3270" s="164" t="str">
        <f ca="1">IFERROR(__xludf.DUMMYFUNCTION("""COMPUTED_VALUE"""),"LTID")</f>
        <v>LTID</v>
      </c>
      <c r="M3270" s="164" t="str">
        <f ca="1">IFERROR(__xludf.DUMMYFUNCTION("""COMPUTED_VALUE"""),"SERVICEABLE")</f>
        <v>SERVICEABLE</v>
      </c>
      <c r="N3270" s="164" t="str">
        <f ca="1">IFERROR(__xludf.DUMMYFUNCTION("""COMPUTED_VALUE"""),"UNSERVICEABLE PRINTER")</f>
        <v>UNSERVICEABLE PRINTER</v>
      </c>
    </row>
    <row r="3271" spans="1:14" ht="13.2" hidden="1">
      <c r="A3271" s="164" t="str">
        <f ca="1">IFERROR(__xludf.DUMMYFUNCTION("""COMPUTED_VALUE"""),"REGION IX")</f>
        <v>REGION IX</v>
      </c>
      <c r="B3271" s="164" t="str">
        <f ca="1">IFERROR(__xludf.DUMMYFUNCTION("""COMPUTED_VALUE"""),"Zamboanga Sibugay")</f>
        <v>Zamboanga Sibugay</v>
      </c>
      <c r="C3271" s="164" t="str">
        <f ca="1">IFERROR(__xludf.DUMMYFUNCTION("""COMPUTED_VALUE"""),"Desktop Computer – (Lenovo M70T)")</f>
        <v>Desktop Computer – (Lenovo M70T)</v>
      </c>
      <c r="D3271" s="164" t="str">
        <f ca="1">IFERROR(__xludf.DUMMYFUNCTION("""COMPUTED_VALUE"""),"₱ 75,468.00")</f>
        <v>₱ 75,468.00</v>
      </c>
      <c r="E3271" s="164"/>
      <c r="F3271" s="164" t="str">
        <f ca="1">IFERROR(__xludf.DUMMYFUNCTION("""COMPUTED_VALUE"""),"2023-05-03-1020ISP1476-01")</f>
        <v>2023-05-03-1020ISP1476-01</v>
      </c>
      <c r="G3271" s="164" t="str">
        <f ca="1">IFERROR(__xludf.DUMMYFUNCTION("""COMPUTED_VALUE"""),"VNA99R5P,KNUJ20088,L4322C01263,GM041AR5")</f>
        <v>VNA99R5P,KNUJ20088,L4322C01263,GM041AR5</v>
      </c>
      <c r="H3271" s="164" t="str">
        <f ca="1">IFERROR(__xludf.DUMMYFUNCTION("""COMPUTED_VALUE"""),"RAGDEE N. GARCIA")</f>
        <v>RAGDEE N. GARCIA</v>
      </c>
      <c r="I3271" s="164" t="str">
        <f ca="1">IFERROR(__xludf.DUMMYFUNCTION("""COMPUTED_VALUE"""),"M &amp; E SUPPORT STAFF")</f>
        <v>M &amp; E SUPPORT STAFF</v>
      </c>
      <c r="J3271" s="164" t="str">
        <f ca="1">IFERROR(__xludf.DUMMYFUNCTION("""COMPUTED_VALUE"""),"ZSSPLIT2023-05-021-003")</f>
        <v>ZSSPLIT2023-05-021-003</v>
      </c>
      <c r="K3271" s="164" t="str">
        <f ca="1">IFERROR(__xludf.DUMMYFUNCTION("""COMPUTED_VALUE"""),"LORYDELL MAQUILING")</f>
        <v>LORYDELL MAQUILING</v>
      </c>
      <c r="L3271" s="164" t="str">
        <f ca="1">IFERROR(__xludf.DUMMYFUNCTION("""COMPUTED_VALUE"""),"LTID")</f>
        <v>LTID</v>
      </c>
      <c r="M3271" s="164" t="str">
        <f ca="1">IFERROR(__xludf.DUMMYFUNCTION("""COMPUTED_VALUE"""),"SERVICEABLE")</f>
        <v>SERVICEABLE</v>
      </c>
      <c r="N3271" s="164" t="str">
        <f ca="1">IFERROR(__xludf.DUMMYFUNCTION("""COMPUTED_VALUE"""),"UNSERVICEABLE PRINTER")</f>
        <v>UNSERVICEABLE PRINTER</v>
      </c>
    </row>
    <row r="3272" spans="1:14" ht="13.2" hidden="1">
      <c r="A3272" s="164" t="str">
        <f ca="1">IFERROR(__xludf.DUMMYFUNCTION("""COMPUTED_VALUE"""),"REGION IX")</f>
        <v>REGION IX</v>
      </c>
      <c r="B3272" s="164" t="str">
        <f ca="1">IFERROR(__xludf.DUMMYFUNCTION("""COMPUTED_VALUE"""),"Zamboanga Sibugay")</f>
        <v>Zamboanga Sibugay</v>
      </c>
      <c r="C3272" s="164" t="str">
        <f ca="1">IFERROR(__xludf.DUMMYFUNCTION("""COMPUTED_VALUE"""),"Desktop Computer – (Lenovo M70T)")</f>
        <v>Desktop Computer – (Lenovo M70T)</v>
      </c>
      <c r="D3272" s="164" t="str">
        <f ca="1">IFERROR(__xludf.DUMMYFUNCTION("""COMPUTED_VALUE"""),"₱ 75,468.00")</f>
        <v>₱ 75,468.00</v>
      </c>
      <c r="E3272" s="164"/>
      <c r="F3272" s="164" t="str">
        <f ca="1">IFERROR(__xludf.DUMMYFUNCTION("""COMPUTED_VALUE"""),"2023-05-03-1020ISP1475-01")</f>
        <v>2023-05-03-1020ISP1475-01</v>
      </c>
      <c r="G3272" s="164" t="str">
        <f ca="1">IFERROR(__xludf.DUMMYFUNCTION("""COMPUTED_VALUE"""),"VNA99R5N; KNUJ20559; EL4322C01262; GM041AR3")</f>
        <v>VNA99R5N; KNUJ20559; EL4322C01262; GM041AR3</v>
      </c>
      <c r="H3272" s="164" t="str">
        <f ca="1">IFERROR(__xludf.DUMMYFUNCTION("""COMPUTED_VALUE"""),"KYLE PHILIP DE VILLA")</f>
        <v>KYLE PHILIP DE VILLA</v>
      </c>
      <c r="I3272" s="164" t="str">
        <f ca="1">IFERROR(__xludf.DUMMYFUNCTION("""COMPUTED_VALUE"""),"ARPT")</f>
        <v>ARPT</v>
      </c>
      <c r="J3272" s="164" t="str">
        <f ca="1">IFERROR(__xludf.DUMMYFUNCTION("""COMPUTED_VALUE"""),"ZSSPLIT2023-05-021-004")</f>
        <v>ZSSPLIT2023-05-021-004</v>
      </c>
      <c r="K3272" s="164"/>
      <c r="L3272" s="164" t="str">
        <f ca="1">IFERROR(__xludf.DUMMYFUNCTION("""COMPUTED_VALUE"""),"LTID")</f>
        <v>LTID</v>
      </c>
      <c r="M3272" s="164" t="str">
        <f ca="1">IFERROR(__xludf.DUMMYFUNCTION("""COMPUTED_VALUE"""),"SERVICEABLE")</f>
        <v>SERVICEABLE</v>
      </c>
      <c r="N3272" s="164"/>
    </row>
    <row r="3273" spans="1:14" ht="13.2" hidden="1">
      <c r="A3273" s="164" t="str">
        <f ca="1">IFERROR(__xludf.DUMMYFUNCTION("""COMPUTED_VALUE"""),"REGION IX")</f>
        <v>REGION IX</v>
      </c>
      <c r="B3273" s="164" t="str">
        <f ca="1">IFERROR(__xludf.DUMMYFUNCTION("""COMPUTED_VALUE"""),"Zamboanga Sibugay")</f>
        <v>Zamboanga Sibugay</v>
      </c>
      <c r="C3273" s="164" t="str">
        <f ca="1">IFERROR(__xludf.DUMMYFUNCTION("""COMPUTED_VALUE"""),"Desktop Computer – (Lenovo M70T)")</f>
        <v>Desktop Computer – (Lenovo M70T)</v>
      </c>
      <c r="D3273" s="164" t="str">
        <f ca="1">IFERROR(__xludf.DUMMYFUNCTION("""COMPUTED_VALUE"""),"₱ 75,468.00")</f>
        <v>₱ 75,468.00</v>
      </c>
      <c r="E3273" s="164"/>
      <c r="F3273" s="164" t="str">
        <f ca="1">IFERROR(__xludf.DUMMYFUNCTION("""COMPUTED_VALUE"""),"2023-05-03-1020ISP1473-01")</f>
        <v>2023-05-03-1020ISP1473-01</v>
      </c>
      <c r="G3273" s="164" t="str">
        <f ca="1">IFERROR(__xludf.DUMMYFUNCTION("""COMPUTED_VALUE"""),"VNA99R5G; KNUJ20375; EL4322C01587; GM041AQY")</f>
        <v>VNA99R5G; KNUJ20375; EL4322C01587; GM041AQY</v>
      </c>
      <c r="H3273" s="164" t="str">
        <f ca="1">IFERROR(__xludf.DUMMYFUNCTION("""COMPUTED_VALUE"""),"HELENE GARCIA
 JOYCE REALUBIT")</f>
        <v>HELENE GARCIA
 JOYCE REALUBIT</v>
      </c>
      <c r="I3273" s="164" t="str">
        <f ca="1">IFERROR(__xludf.DUMMYFUNCTION("""COMPUTED_VALUE"""),"ARPT")</f>
        <v>ARPT</v>
      </c>
      <c r="J3273" s="164" t="str">
        <f ca="1">IFERROR(__xludf.DUMMYFUNCTION("""COMPUTED_VALUE"""),"ZSSPLIT2023-05-021-005")</f>
        <v>ZSSPLIT2023-05-021-005</v>
      </c>
      <c r="K3273" s="164" t="str">
        <f ca="1">IFERROR(__xludf.DUMMYFUNCTION("""COMPUTED_VALUE"""),"JAZEL MAQUILING")</f>
        <v>JAZEL MAQUILING</v>
      </c>
      <c r="L3273" s="164" t="str">
        <f ca="1">IFERROR(__xludf.DUMMYFUNCTION("""COMPUTED_VALUE"""),"LTID")</f>
        <v>LTID</v>
      </c>
      <c r="M3273" s="164" t="str">
        <f ca="1">IFERROR(__xludf.DUMMYFUNCTION("""COMPUTED_VALUE"""),"SERVICEABLE")</f>
        <v>SERVICEABLE</v>
      </c>
      <c r="N3273" s="164" t="str">
        <f ca="1">IFERROR(__xludf.DUMMYFUNCTION("""COMPUTED_VALUE"""),"UPS UNSERVICEABLE UPS, MONITOR C/o Daniel Tauy (STOD)")</f>
        <v>UPS UNSERVICEABLE UPS, MONITOR C/o Daniel Tauy (STOD)</v>
      </c>
    </row>
    <row r="3274" spans="1:14" ht="13.2" hidden="1">
      <c r="A3274" s="164" t="str">
        <f ca="1">IFERROR(__xludf.DUMMYFUNCTION("""COMPUTED_VALUE"""),"REGION IX")</f>
        <v>REGION IX</v>
      </c>
      <c r="B3274" s="164" t="str">
        <f ca="1">IFERROR(__xludf.DUMMYFUNCTION("""COMPUTED_VALUE"""),"Zamboanga Sibugay")</f>
        <v>Zamboanga Sibugay</v>
      </c>
      <c r="C3274" s="164" t="str">
        <f ca="1">IFERROR(__xludf.DUMMYFUNCTION("""COMPUTED_VALUE"""),"Desktop Computer – (Lenovo M70T)")</f>
        <v>Desktop Computer – (Lenovo M70T)</v>
      </c>
      <c r="D3274" s="164" t="str">
        <f ca="1">IFERROR(__xludf.DUMMYFUNCTION("""COMPUTED_VALUE"""),"₱ 75,468.00")</f>
        <v>₱ 75,468.00</v>
      </c>
      <c r="E3274" s="164"/>
      <c r="F3274" s="164" t="str">
        <f ca="1">IFERROR(__xludf.DUMMYFUNCTION("""COMPUTED_VALUE"""),"2023-05-03-1020ISP1479-01")</f>
        <v>2023-05-03-1020ISP1479-01</v>
      </c>
      <c r="G3274" s="164" t="str">
        <f ca="1">IFERROR(__xludf.DUMMYFUNCTION("""COMPUTED_VALUE"""),"VNA99R7H; KNUJ20020; EL4322C01306; GM041ASZ")</f>
        <v>VNA99R7H; KNUJ20020; EL4322C01306; GM041ASZ</v>
      </c>
      <c r="H3274" s="164" t="str">
        <f ca="1">IFERROR(__xludf.DUMMYFUNCTION("""COMPUTED_VALUE"""),"REY LACHAMA")</f>
        <v>REY LACHAMA</v>
      </c>
      <c r="I3274" s="164" t="str">
        <f ca="1">IFERROR(__xludf.DUMMYFUNCTION("""COMPUTED_VALUE"""),"VALIDATOR")</f>
        <v>VALIDATOR</v>
      </c>
      <c r="J3274" s="164" t="str">
        <f ca="1">IFERROR(__xludf.DUMMYFUNCTION("""COMPUTED_VALUE"""),"ZSSPLIT2023-05-021-006")</f>
        <v>ZSSPLIT2023-05-021-006</v>
      </c>
      <c r="K3274" s="164" t="str">
        <f ca="1">IFERROR(__xludf.DUMMYFUNCTION("""COMPUTED_VALUE"""),"REY LACHAMA")</f>
        <v>REY LACHAMA</v>
      </c>
      <c r="L3274" s="164" t="str">
        <f ca="1">IFERROR(__xludf.DUMMYFUNCTION("""COMPUTED_VALUE"""),"LEGAL DIVISION")</f>
        <v>LEGAL DIVISION</v>
      </c>
      <c r="M3274" s="164" t="str">
        <f ca="1">IFERROR(__xludf.DUMMYFUNCTION("""COMPUTED_VALUE"""),"SERVICEABLE")</f>
        <v>SERVICEABLE</v>
      </c>
      <c r="N3274" s="164"/>
    </row>
    <row r="3275" spans="1:14" ht="13.2" hidden="1">
      <c r="A3275" s="164" t="str">
        <f ca="1">IFERROR(__xludf.DUMMYFUNCTION("""COMPUTED_VALUE"""),"REGION IX")</f>
        <v>REGION IX</v>
      </c>
      <c r="B3275" s="164" t="str">
        <f ca="1">IFERROR(__xludf.DUMMYFUNCTION("""COMPUTED_VALUE"""),"Zamboanga Sibugay")</f>
        <v>Zamboanga Sibugay</v>
      </c>
      <c r="C3275" s="164" t="str">
        <f ca="1">IFERROR(__xludf.DUMMYFUNCTION("""COMPUTED_VALUE"""),"Desktop Computer – (Lenovo M70T)")</f>
        <v>Desktop Computer – (Lenovo M70T)</v>
      </c>
      <c r="D3275" s="164" t="str">
        <f ca="1">IFERROR(__xludf.DUMMYFUNCTION("""COMPUTED_VALUE"""),"₱ 75,468.00")</f>
        <v>₱ 75,468.00</v>
      </c>
      <c r="E3275" s="164"/>
      <c r="F3275" s="164" t="str">
        <f ca="1">IFERROR(__xludf.DUMMYFUNCTION("""COMPUTED_VALUE"""),"2023-05-03-1020ISP1470-01")</f>
        <v>2023-05-03-1020ISP1470-01</v>
      </c>
      <c r="G3275" s="164" t="str">
        <f ca="1">IFERROR(__xludf.DUMMYFUNCTION("""COMPUTED_VALUE"""),"VNA99R45; KNUJ19833; EL4322C01584; GM041H2")</f>
        <v>VNA99R45; KNUJ19833; EL4322C01584; GM041H2</v>
      </c>
      <c r="H3275" s="164" t="str">
        <f ca="1">IFERROR(__xludf.DUMMYFUNCTION("""COMPUTED_VALUE"""),"EDGAR BALBUENA
 EDGARDO LAMATAN")</f>
        <v>EDGAR BALBUENA
 EDGARDO LAMATAN</v>
      </c>
      <c r="I3275" s="164" t="str">
        <f ca="1">IFERROR(__xludf.DUMMYFUNCTION("""COMPUTED_VALUE"""),"SARPT
 OIC - MARPO")</f>
        <v>SARPT
 OIC - MARPO</v>
      </c>
      <c r="J3275" s="164" t="str">
        <f ca="1">IFERROR(__xludf.DUMMYFUNCTION("""COMPUTED_VALUE"""),"ZSSPLIT2023-05-021-007")</f>
        <v>ZSSPLIT2023-05-021-007</v>
      </c>
      <c r="K3275" s="164" t="str">
        <f ca="1">IFERROR(__xludf.DUMMYFUNCTION("""COMPUTED_VALUE"""),"EDGAR BALBUENA")</f>
        <v>EDGAR BALBUENA</v>
      </c>
      <c r="L3275" s="164" t="str">
        <f ca="1">IFERROR(__xludf.DUMMYFUNCTION("""COMPUTED_VALUE"""),"DARMO TUNGAWAN")</f>
        <v>DARMO TUNGAWAN</v>
      </c>
      <c r="M3275" s="164" t="str">
        <f ca="1">IFERROR(__xludf.DUMMYFUNCTION("""COMPUTED_VALUE"""),"SERVICEABLE")</f>
        <v>SERVICEABLE</v>
      </c>
      <c r="N3275" s="164" t="str">
        <f ca="1">IFERROR(__xludf.DUMMYFUNCTION("""COMPUTED_VALUE"""),"DARMO R.T. LIM")</f>
        <v>DARMO R.T. LIM</v>
      </c>
    </row>
    <row r="3276" spans="1:14" ht="13.2" hidden="1">
      <c r="A3276" s="164" t="str">
        <f ca="1">IFERROR(__xludf.DUMMYFUNCTION("""COMPUTED_VALUE"""),"REGION IX")</f>
        <v>REGION IX</v>
      </c>
      <c r="B3276" s="164" t="str">
        <f ca="1">IFERROR(__xludf.DUMMYFUNCTION("""COMPUTED_VALUE"""),"Zamboanga Sibugay")</f>
        <v>Zamboanga Sibugay</v>
      </c>
      <c r="C3276" s="164" t="str">
        <f ca="1">IFERROR(__xludf.DUMMYFUNCTION("""COMPUTED_VALUE"""),"Desktop Computer – (Lenovo M70T)")</f>
        <v>Desktop Computer – (Lenovo M70T)</v>
      </c>
      <c r="D3276" s="164" t="str">
        <f ca="1">IFERROR(__xludf.DUMMYFUNCTION("""COMPUTED_VALUE"""),"₱ 75,468.00")</f>
        <v>₱ 75,468.00</v>
      </c>
      <c r="E3276" s="164"/>
      <c r="F3276" s="164" t="str">
        <f ca="1">IFERROR(__xludf.DUMMYFUNCTION("""COMPUTED_VALUE"""),"2023-05-03-1020ISP1471-01")</f>
        <v>2023-05-03-1020ISP1471-01</v>
      </c>
      <c r="G3276" s="164" t="str">
        <f ca="1">IFERROR(__xludf.DUMMYFUNCTION("""COMPUTED_VALUE"""),"VNA99R58; KNUJ19963; EL4322C01583; GM0418JL")</f>
        <v>VNA99R58; KNUJ19963; EL4322C01583; GM0418JL</v>
      </c>
      <c r="H3276" s="164" t="str">
        <f ca="1">IFERROR(__xludf.DUMMYFUNCTION("""COMPUTED_VALUE"""),"SUSANA AMODIA")</f>
        <v>SUSANA AMODIA</v>
      </c>
      <c r="I3276" s="164" t="str">
        <f ca="1">IFERROR(__xludf.DUMMYFUNCTION("""COMPUTED_VALUE"""),"OIC - MARPO")</f>
        <v>OIC - MARPO</v>
      </c>
      <c r="J3276" s="164" t="str">
        <f ca="1">IFERROR(__xludf.DUMMYFUNCTION("""COMPUTED_VALUE"""),"ZSSPLIT2023-05-021-008")</f>
        <v>ZSSPLIT2023-05-021-008</v>
      </c>
      <c r="K3276" s="164" t="str">
        <f ca="1">IFERROR(__xludf.DUMMYFUNCTION("""COMPUTED_VALUE"""),"SUSANA AMODIA")</f>
        <v>SUSANA AMODIA</v>
      </c>
      <c r="L3276" s="164" t="str">
        <f ca="1">IFERROR(__xludf.DUMMYFUNCTION("""COMPUTED_VALUE"""),"DARMO SIAY")</f>
        <v>DARMO SIAY</v>
      </c>
      <c r="M3276" s="164" t="str">
        <f ca="1">IFERROR(__xludf.DUMMYFUNCTION("""COMPUTED_VALUE"""),"SERVICEABLE")</f>
        <v>SERVICEABLE</v>
      </c>
      <c r="N3276" s="164"/>
    </row>
    <row r="3277" spans="1:14" ht="13.2" hidden="1">
      <c r="A3277" s="164" t="str">
        <f ca="1">IFERROR(__xludf.DUMMYFUNCTION("""COMPUTED_VALUE"""),"REGION IX")</f>
        <v>REGION IX</v>
      </c>
      <c r="B3277" s="164" t="str">
        <f ca="1">IFERROR(__xludf.DUMMYFUNCTION("""COMPUTED_VALUE"""),"Zamboanga Sibugay")</f>
        <v>Zamboanga Sibugay</v>
      </c>
      <c r="C3277" s="164" t="str">
        <f ca="1">IFERROR(__xludf.DUMMYFUNCTION("""COMPUTED_VALUE"""),"Desktop Computer – (Lenovo M70T)")</f>
        <v>Desktop Computer – (Lenovo M70T)</v>
      </c>
      <c r="D3277" s="164" t="str">
        <f ca="1">IFERROR(__xludf.DUMMYFUNCTION("""COMPUTED_VALUE"""),"₱ 75,468.00")</f>
        <v>₱ 75,468.00</v>
      </c>
      <c r="E3277" s="164"/>
      <c r="F3277" s="164" t="str">
        <f ca="1">IFERROR(__xludf.DUMMYFUNCTION("""COMPUTED_VALUE"""),"2023-05-03-1020ISP1479-01")</f>
        <v>2023-05-03-1020ISP1479-01</v>
      </c>
      <c r="G3277" s="164" t="str">
        <f ca="1">IFERROR(__xludf.DUMMYFUNCTION("""COMPUTED_VALUE"""),"VNA99R7H; KNUJ20020; EL4322C01306; GM041ASZ")</f>
        <v>VNA99R7H; KNUJ20020; EL4322C01306; GM041ASZ</v>
      </c>
      <c r="H3277" s="164" t="str">
        <f ca="1">IFERROR(__xludf.DUMMYFUNCTION("""COMPUTED_VALUE"""),"VERLITO CARAGAN")</f>
        <v>VERLITO CARAGAN</v>
      </c>
      <c r="I3277" s="164" t="str">
        <f ca="1">IFERROR(__xludf.DUMMYFUNCTION("""COMPUTED_VALUE"""),"MARPO")</f>
        <v>MARPO</v>
      </c>
      <c r="J3277" s="164" t="str">
        <f ca="1">IFERROR(__xludf.DUMMYFUNCTION("""COMPUTED_VALUE"""),"ZSSPLIT2023-05-021-009")</f>
        <v>ZSSPLIT2023-05-021-009</v>
      </c>
      <c r="K3277" s="164" t="str">
        <f ca="1">IFERROR(__xludf.DUMMYFUNCTION("""COMPUTED_VALUE"""),"VERLITO CARAGAN")</f>
        <v>VERLITO CARAGAN</v>
      </c>
      <c r="L3277" s="164" t="str">
        <f ca="1">IFERROR(__xludf.DUMMYFUNCTION("""COMPUTED_VALUE"""),"DARMO DIPLAHAN")</f>
        <v>DARMO DIPLAHAN</v>
      </c>
      <c r="M3277" s="164" t="str">
        <f ca="1">IFERROR(__xludf.DUMMYFUNCTION("""COMPUTED_VALUE"""),"SERVICEABLE")</f>
        <v>SERVICEABLE</v>
      </c>
      <c r="N3277" s="164"/>
    </row>
    <row r="3278" spans="1:14" ht="13.2" hidden="1">
      <c r="A3278" s="164" t="str">
        <f ca="1">IFERROR(__xludf.DUMMYFUNCTION("""COMPUTED_VALUE"""),"REGION IX")</f>
        <v>REGION IX</v>
      </c>
      <c r="B3278" s="164" t="str">
        <f ca="1">IFERROR(__xludf.DUMMYFUNCTION("""COMPUTED_VALUE"""),"Zamboanga Sibugay")</f>
        <v>Zamboanga Sibugay</v>
      </c>
      <c r="C3278" s="164" t="str">
        <f ca="1">IFERROR(__xludf.DUMMYFUNCTION("""COMPUTED_VALUE"""),"Desktop Computer – (Lenovo M70T)")</f>
        <v>Desktop Computer – (Lenovo M70T)</v>
      </c>
      <c r="D3278" s="164" t="str">
        <f ca="1">IFERROR(__xludf.DUMMYFUNCTION("""COMPUTED_VALUE"""),"₱ 75,468.00")</f>
        <v>₱ 75,468.00</v>
      </c>
      <c r="E3278" s="164"/>
      <c r="F3278" s="164" t="str">
        <f ca="1">IFERROR(__xludf.DUMMYFUNCTION("""COMPUTED_VALUE"""),"2023-05-03-1020ISP1481-01")</f>
        <v>2023-05-03-1020ISP1481-01</v>
      </c>
      <c r="G3278" s="164" t="str">
        <f ca="1">IFERROR(__xludf.DUMMYFUNCTION("""COMPUTED_VALUE"""),"VNA99R89; KNUJ19953; GM041AWT")</f>
        <v>VNA99R89; KNUJ19953; GM041AWT</v>
      </c>
      <c r="H3278" s="164" t="str">
        <f ca="1">IFERROR(__xludf.DUMMYFUNCTION("""COMPUTED_VALUE"""),"FLORDIE BAGUNDOL")</f>
        <v>FLORDIE BAGUNDOL</v>
      </c>
      <c r="I3278" s="164" t="str">
        <f ca="1">IFERROR(__xludf.DUMMYFUNCTION("""COMPUTED_VALUE"""),"MARPO")</f>
        <v>MARPO</v>
      </c>
      <c r="J3278" s="164" t="str">
        <f ca="1">IFERROR(__xludf.DUMMYFUNCTION("""COMPUTED_VALUE"""),"ZSSPLIT2023-05-021-010")</f>
        <v>ZSSPLIT2023-05-021-010</v>
      </c>
      <c r="K3278" s="164" t="str">
        <f ca="1">IFERROR(__xludf.DUMMYFUNCTION("""COMPUTED_VALUE"""),"FLORDIE BAGUNDOL")</f>
        <v>FLORDIE BAGUNDOL</v>
      </c>
      <c r="L3278" s="164" t="str">
        <f ca="1">IFERROR(__xludf.DUMMYFUNCTION("""COMPUTED_VALUE"""),"DARMO KABASALAN")</f>
        <v>DARMO KABASALAN</v>
      </c>
      <c r="M3278" s="164" t="str">
        <f ca="1">IFERROR(__xludf.DUMMYFUNCTION("""COMPUTED_VALUE"""),"SERVICEABLE")</f>
        <v>SERVICEABLE</v>
      </c>
      <c r="N3278" s="164"/>
    </row>
    <row r="3279" spans="1:14" ht="13.2" hidden="1">
      <c r="A3279" s="164" t="str">
        <f ca="1">IFERROR(__xludf.DUMMYFUNCTION("""COMPUTED_VALUE"""),"REGION IX")</f>
        <v>REGION IX</v>
      </c>
      <c r="B3279" s="164" t="str">
        <f ca="1">IFERROR(__xludf.DUMMYFUNCTION("""COMPUTED_VALUE"""),"Zamboanga Sibugay")</f>
        <v>Zamboanga Sibugay</v>
      </c>
      <c r="C3279" s="164" t="str">
        <f ca="1">IFERROR(__xludf.DUMMYFUNCTION("""COMPUTED_VALUE"""),"Desktop Computer – (Lenovo M70T)")</f>
        <v>Desktop Computer – (Lenovo M70T)</v>
      </c>
      <c r="D3279" s="164" t="str">
        <f ca="1">IFERROR(__xludf.DUMMYFUNCTION("""COMPUTED_VALUE"""),"₱ 75,468.00")</f>
        <v>₱ 75,468.00</v>
      </c>
      <c r="E3279" s="164"/>
      <c r="F3279" s="164" t="str">
        <f ca="1">IFERROR(__xludf.DUMMYFUNCTION("""COMPUTED_VALUE"""),"2023-05-03-1020ISP1477-01")</f>
        <v>2023-05-03-1020ISP1477-01</v>
      </c>
      <c r="G3279" s="164" t="str">
        <f ca="1">IFERROR(__xludf.DUMMYFUNCTION("""COMPUTED_VALUE"""),"VNA99R5R; 31Y0BXM; GM041ARE")</f>
        <v>VNA99R5R; 31Y0BXM; GM041ARE</v>
      </c>
      <c r="H3279" s="164" t="str">
        <f ca="1">IFERROR(__xludf.DUMMYFUNCTION("""COMPUTED_VALUE"""),"EDGARDO O. LAMATAN
 EDGAR BALBUENA")</f>
        <v>EDGARDO O. LAMATAN
 EDGAR BALBUENA</v>
      </c>
      <c r="I3279" s="164" t="str">
        <f ca="1">IFERROR(__xludf.DUMMYFUNCTION("""COMPUTED_VALUE"""),"OIC-MARPO
 SARPT")</f>
        <v>OIC-MARPO
 SARPT</v>
      </c>
      <c r="J3279" s="164" t="str">
        <f ca="1">IFERROR(__xludf.DUMMYFUNCTION("""COMPUTED_VALUE"""),"ZSSPLIT2023-05-021-011")</f>
        <v>ZSSPLIT2023-05-021-011</v>
      </c>
      <c r="K3279" s="164" t="str">
        <f ca="1">IFERROR(__xludf.DUMMYFUNCTION("""COMPUTED_VALUE"""),"EDGARDO O. LAMATAN")</f>
        <v>EDGARDO O. LAMATAN</v>
      </c>
      <c r="L3279" s="164" t="str">
        <f ca="1">IFERROR(__xludf.DUMMYFUNCTION("""COMPUTED_VALUE"""),"DARMO R.T .LIM")</f>
        <v>DARMO R.T .LIM</v>
      </c>
      <c r="M3279" s="164" t="str">
        <f ca="1">IFERROR(__xludf.DUMMYFUNCTION("""COMPUTED_VALUE"""),"SERVICEABLE")</f>
        <v>SERVICEABLE</v>
      </c>
      <c r="N3279" s="164" t="str">
        <f ca="1">IFERROR(__xludf.DUMMYFUNCTION("""COMPUTED_VALUE"""),"DARMO TUNGAWAN")</f>
        <v>DARMO TUNGAWAN</v>
      </c>
    </row>
    <row r="3280" spans="1:14" ht="13.2" hidden="1">
      <c r="A3280" s="164" t="str">
        <f ca="1">IFERROR(__xludf.DUMMYFUNCTION("""COMPUTED_VALUE"""),"REGION IX")</f>
        <v>REGION IX</v>
      </c>
      <c r="B3280" s="164" t="str">
        <f ca="1">IFERROR(__xludf.DUMMYFUNCTION("""COMPUTED_VALUE"""),"Zamboanga Sibugay")</f>
        <v>Zamboanga Sibugay</v>
      </c>
      <c r="C3280" s="164" t="str">
        <f ca="1">IFERROR(__xludf.DUMMYFUNCTION("""COMPUTED_VALUE"""),"Desktop Computer – (Lenovo M70T)")</f>
        <v>Desktop Computer – (Lenovo M70T)</v>
      </c>
      <c r="D3280" s="164" t="str">
        <f ca="1">IFERROR(__xludf.DUMMYFUNCTION("""COMPUTED_VALUE"""),"₱ 75,468.00")</f>
        <v>₱ 75,468.00</v>
      </c>
      <c r="E3280" s="164"/>
      <c r="F3280" s="164" t="str">
        <f ca="1">IFERROR(__xludf.DUMMYFUNCTION("""COMPUTED_VALUE"""),"2023-05-03-1020ISP1467-01")</f>
        <v>2023-05-03-1020ISP1467-01</v>
      </c>
      <c r="G3280" s="164" t="str">
        <f ca="1">IFERROR(__xludf.DUMMYFUNCTION("""COMPUTED_VALUE"""),"VNA99R3Z; KNUJ20627; 8SSS51E09095J1DG32POONG")</f>
        <v>VNA99R3Z; KNUJ20627; 8SSS51E09095J1DG32POONG</v>
      </c>
      <c r="H3280" s="164" t="str">
        <f ca="1">IFERROR(__xludf.DUMMYFUNCTION("""COMPUTED_VALUE"""),"JOEVELIA NAYRE")</f>
        <v>JOEVELIA NAYRE</v>
      </c>
      <c r="I3280" s="164" t="str">
        <f ca="1">IFERROR(__xludf.DUMMYFUNCTION("""COMPUTED_VALUE"""),"MARPO")</f>
        <v>MARPO</v>
      </c>
      <c r="J3280" s="164" t="str">
        <f ca="1">IFERROR(__xludf.DUMMYFUNCTION("""COMPUTED_VALUE"""),"ZSSPLIT2023-05-021-012")</f>
        <v>ZSSPLIT2023-05-021-012</v>
      </c>
      <c r="K3280" s="164" t="str">
        <f ca="1">IFERROR(__xludf.DUMMYFUNCTION("""COMPUTED_VALUE"""),"JOEVELIA B. NAYRE")</f>
        <v>JOEVELIA B. NAYRE</v>
      </c>
      <c r="L3280" s="164" t="str">
        <f ca="1">IFERROR(__xludf.DUMMYFUNCTION("""COMPUTED_VALUE"""),"DARMO BUUG")</f>
        <v>DARMO BUUG</v>
      </c>
      <c r="M3280" s="164" t="str">
        <f ca="1">IFERROR(__xludf.DUMMYFUNCTION("""COMPUTED_VALUE"""),"SERVICEABLE")</f>
        <v>SERVICEABLE</v>
      </c>
      <c r="N3280" s="164"/>
    </row>
    <row r="3281" spans="1:14" ht="13.2" hidden="1">
      <c r="A3281" s="164" t="str">
        <f ca="1">IFERROR(__xludf.DUMMYFUNCTION("""COMPUTED_VALUE"""),"REGION IX")</f>
        <v>REGION IX</v>
      </c>
      <c r="B3281" s="164" t="str">
        <f ca="1">IFERROR(__xludf.DUMMYFUNCTION("""COMPUTED_VALUE"""),"Zamboanga Sibugay")</f>
        <v>Zamboanga Sibugay</v>
      </c>
      <c r="C3281" s="164" t="str">
        <f ca="1">IFERROR(__xludf.DUMMYFUNCTION("""COMPUTED_VALUE"""),"Desktop Computer – (Lenovo M70T)")</f>
        <v>Desktop Computer – (Lenovo M70T)</v>
      </c>
      <c r="D3281" s="164" t="str">
        <f ca="1">IFERROR(__xludf.DUMMYFUNCTION("""COMPUTED_VALUE"""),"₱ 75,468.00")</f>
        <v>₱ 75,468.00</v>
      </c>
      <c r="E3281" s="164"/>
      <c r="F3281" s="164" t="str">
        <f ca="1">IFERROR(__xludf.DUMMYFUNCTION("""COMPUTED_VALUE"""),"2023-05-03-1020ISP1474-01")</f>
        <v>2023-05-03-1020ISP1474-01</v>
      </c>
      <c r="G3281" s="164" t="str">
        <f ca="1">IFERROR(__xludf.DUMMYFUNCTION("""COMPUTED_VALUE"""),"VNA99R5H; KNUJ20012; GM0418GM")</f>
        <v>VNA99R5H; KNUJ20012; GM0418GM</v>
      </c>
      <c r="H3281" s="164" t="str">
        <f ca="1">IFERROR(__xludf.DUMMYFUNCTION("""COMPUTED_VALUE"""),"SUSAN BENASING")</f>
        <v>SUSAN BENASING</v>
      </c>
      <c r="I3281" s="164" t="str">
        <f ca="1">IFERROR(__xludf.DUMMYFUNCTION("""COMPUTED_VALUE"""),"MARPO")</f>
        <v>MARPO</v>
      </c>
      <c r="J3281" s="164" t="str">
        <f ca="1">IFERROR(__xludf.DUMMYFUNCTION("""COMPUTED_VALUE"""),"ZSSPLIT2023-05-021-013")</f>
        <v>ZSSPLIT2023-05-021-013</v>
      </c>
      <c r="K3281" s="164" t="str">
        <f ca="1">IFERROR(__xludf.DUMMYFUNCTION("""COMPUTED_VALUE"""),"SUSAN BENASING")</f>
        <v>SUSAN BENASING</v>
      </c>
      <c r="L3281" s="164" t="str">
        <f ca="1">IFERROR(__xludf.DUMMYFUNCTION("""COMPUTED_VALUE"""),"DARMO CURUAN")</f>
        <v>DARMO CURUAN</v>
      </c>
      <c r="M3281" s="164" t="str">
        <f ca="1">IFERROR(__xludf.DUMMYFUNCTION("""COMPUTED_VALUE"""),"SERVICEABLE")</f>
        <v>SERVICEABLE</v>
      </c>
      <c r="N3281" s="164"/>
    </row>
    <row r="3282" spans="1:14" ht="13.2" hidden="1">
      <c r="A3282" s="164" t="str">
        <f ca="1">IFERROR(__xludf.DUMMYFUNCTION("""COMPUTED_VALUE"""),"REGION IX")</f>
        <v>REGION IX</v>
      </c>
      <c r="B3282" s="164" t="str">
        <f ca="1">IFERROR(__xludf.DUMMYFUNCTION("""COMPUTED_VALUE"""),"Zamboanga Sibugay")</f>
        <v>Zamboanga Sibugay</v>
      </c>
      <c r="C3282" s="164" t="str">
        <f ca="1">IFERROR(__xludf.DUMMYFUNCTION("""COMPUTED_VALUE"""),"Desktop Computer – (Lenovo M70T)")</f>
        <v>Desktop Computer – (Lenovo M70T)</v>
      </c>
      <c r="D3282" s="164" t="str">
        <f ca="1">IFERROR(__xludf.DUMMYFUNCTION("""COMPUTED_VALUE"""),"₱ 75,468.00")</f>
        <v>₱ 75,468.00</v>
      </c>
      <c r="E3282" s="164"/>
      <c r="F3282" s="164" t="str">
        <f ca="1">IFERROR(__xludf.DUMMYFUNCTION("""COMPUTED_VALUE"""),"2023-05-03-1020ISP1469-01")</f>
        <v>2023-05-03-1020ISP1469-01</v>
      </c>
      <c r="G3282" s="164" t="str">
        <f ca="1">IFERROR(__xludf.DUMMYFUNCTION("""COMPUTED_VALUE"""),"VNA99R43; KNUU21182; GM041AQZ")</f>
        <v>VNA99R43; KNUU21182; GM041AQZ</v>
      </c>
      <c r="H3282" s="164" t="str">
        <f ca="1">IFERROR(__xludf.DUMMYFUNCTION("""COMPUTED_VALUE"""),"MICHELE CREDO")</f>
        <v>MICHELE CREDO</v>
      </c>
      <c r="I3282" s="164" t="str">
        <f ca="1">IFERROR(__xludf.DUMMYFUNCTION("""COMPUTED_VALUE"""),"MARPO")</f>
        <v>MARPO</v>
      </c>
      <c r="J3282" s="164" t="str">
        <f ca="1">IFERROR(__xludf.DUMMYFUNCTION("""COMPUTED_VALUE"""),"ZSSPLIT2023-05-021-014")</f>
        <v>ZSSPLIT2023-05-021-014</v>
      </c>
      <c r="K3282" s="164" t="str">
        <f ca="1">IFERROR(__xludf.DUMMYFUNCTION("""COMPUTED_VALUE"""),"MICHELLE O. CREDO")</f>
        <v>MICHELLE O. CREDO</v>
      </c>
      <c r="L3282" s="164" t="str">
        <f ca="1">IFERROR(__xludf.DUMMYFUNCTION("""COMPUTED_VALUE"""),"DARMO MANICAHAN")</f>
        <v>DARMO MANICAHAN</v>
      </c>
      <c r="M3282" s="164" t="str">
        <f ca="1">IFERROR(__xludf.DUMMYFUNCTION("""COMPUTED_VALUE"""),"SERVICEABLE")</f>
        <v>SERVICEABLE</v>
      </c>
      <c r="N3282" s="164"/>
    </row>
    <row r="3283" spans="1:14" ht="13.2" hidden="1">
      <c r="A3283" s="164" t="str">
        <f ca="1">IFERROR(__xludf.DUMMYFUNCTION("""COMPUTED_VALUE"""),"REGION IX")</f>
        <v>REGION IX</v>
      </c>
      <c r="B3283" s="164" t="str">
        <f ca="1">IFERROR(__xludf.DUMMYFUNCTION("""COMPUTED_VALUE"""),"Zamboanga Sibugay")</f>
        <v>Zamboanga Sibugay</v>
      </c>
      <c r="C3283" s="164" t="str">
        <f ca="1">IFERROR(__xludf.DUMMYFUNCTION("""COMPUTED_VALUE"""),"Desktop Computer – (Lenovo M70T)")</f>
        <v>Desktop Computer – (Lenovo M70T)</v>
      </c>
      <c r="D3283" s="164" t="str">
        <f ca="1">IFERROR(__xludf.DUMMYFUNCTION("""COMPUTED_VALUE"""),"₱ 75,468.00")</f>
        <v>₱ 75,468.00</v>
      </c>
      <c r="E3283" s="164"/>
      <c r="F3283" s="164" t="str">
        <f ca="1">IFERROR(__xludf.DUMMYFUNCTION("""COMPUTED_VALUE"""),"2023-05-03-1020ISP1468-01")</f>
        <v>2023-05-03-1020ISP1468-01</v>
      </c>
      <c r="G3283" s="164" t="str">
        <f ca="1">IFERROR(__xludf.DUMMYFUNCTION("""COMPUTED_VALUE"""),"VNA99R41;
  KNUJ19921;
  GM0418GL")</f>
        <v>VNA99R41;
  KNUJ19921;
  GM0418GL</v>
      </c>
      <c r="H3283" s="164" t="str">
        <f ca="1">IFERROR(__xludf.DUMMYFUNCTION("""COMPUTED_VALUE"""),"EUFRECINA M. DE GUZMAN")</f>
        <v>EUFRECINA M. DE GUZMAN</v>
      </c>
      <c r="I3283" s="164" t="str">
        <f ca="1">IFERROR(__xludf.DUMMYFUNCTION("""COMPUTED_VALUE"""),"OIC - MARPO")</f>
        <v>OIC - MARPO</v>
      </c>
      <c r="J3283" s="164" t="str">
        <f ca="1">IFERROR(__xludf.DUMMYFUNCTION("""COMPUTED_VALUE"""),"ZSSPLIT2023-05-021-015")</f>
        <v>ZSSPLIT2023-05-021-015</v>
      </c>
      <c r="K3283" s="164" t="str">
        <f ca="1">IFERROR(__xludf.DUMMYFUNCTION("""COMPUTED_VALUE"""),"EUFRECINA M. DE GUZMAN")</f>
        <v>EUFRECINA M. DE GUZMAN</v>
      </c>
      <c r="L3283" s="164" t="str">
        <f ca="1">IFERROR(__xludf.DUMMYFUNCTION("""COMPUTED_VALUE"""),"DARMO OLUTANGA")</f>
        <v>DARMO OLUTANGA</v>
      </c>
      <c r="M3283" s="164" t="str">
        <f ca="1">IFERROR(__xludf.DUMMYFUNCTION("""COMPUTED_VALUE"""),"SERVICEABLE")</f>
        <v>SERVICEABLE</v>
      </c>
      <c r="N3283" s="164"/>
    </row>
    <row r="3284" spans="1:14" ht="13.2" hidden="1">
      <c r="A3284" s="164" t="str">
        <f ca="1">IFERROR(__xludf.DUMMYFUNCTION("""COMPUTED_VALUE"""),"REGION IX")</f>
        <v>REGION IX</v>
      </c>
      <c r="B3284" s="164" t="str">
        <f ca="1">IFERROR(__xludf.DUMMYFUNCTION("""COMPUTED_VALUE"""),"Zamboanga Sibugay")</f>
        <v>Zamboanga Sibugay</v>
      </c>
      <c r="C3284" s="164" t="str">
        <f ca="1">IFERROR(__xludf.DUMMYFUNCTION("""COMPUTED_VALUE"""),"Desktop Computer – (HP Pro SFF 280G9)")</f>
        <v>Desktop Computer – (HP Pro SFF 280G9)</v>
      </c>
      <c r="D3284" s="164" t="str">
        <f ca="1">IFERROR(__xludf.DUMMYFUNCTION("""COMPUTED_VALUE"""),"₱ 78,898.00")</f>
        <v>₱ 78,898.00</v>
      </c>
      <c r="E3284" s="164"/>
      <c r="F3284" s="164" t="str">
        <f ca="1">IFERROR(__xludf.DUMMYFUNCTION("""COMPUTED_VALUE"""),"2023-05-03-1020ISP381-01")</f>
        <v>2023-05-03-1020ISP381-01</v>
      </c>
      <c r="G3284" s="164" t="str">
        <f ca="1">IFERROR(__xludf.DUMMYFUNCTION("""COMPUTED_VALUE"""),"CNC249165F; CN2BT2M1PX; 4CE301DSHB")</f>
        <v>CNC249165F; CN2BT2M1PX; 4CE301DSHB</v>
      </c>
      <c r="H3284" s="164" t="str">
        <f ca="1">IFERROR(__xludf.DUMMYFUNCTION("""COMPUTED_VALUE"""),"CHARITO RAMOS")</f>
        <v>CHARITO RAMOS</v>
      </c>
      <c r="I3284" s="164" t="str">
        <f ca="1">IFERROR(__xludf.DUMMYFUNCTION("""COMPUTED_VALUE"""),"MARPO")</f>
        <v>MARPO</v>
      </c>
      <c r="J3284" s="164" t="str">
        <f ca="1">IFERROR(__xludf.DUMMYFUNCTION("""COMPUTED_VALUE"""),"ZSSPLIT2023-05-021-016")</f>
        <v>ZSSPLIT2023-05-021-016</v>
      </c>
      <c r="K3284" s="164" t="str">
        <f ca="1">IFERROR(__xludf.DUMMYFUNCTION("""COMPUTED_VALUE"""),"CHARITO B. RAMOS")</f>
        <v>CHARITO B. RAMOS</v>
      </c>
      <c r="L3284" s="164" t="str">
        <f ca="1">IFERROR(__xludf.DUMMYFUNCTION("""COMPUTED_VALUE"""),"DARMO TITAY")</f>
        <v>DARMO TITAY</v>
      </c>
      <c r="M3284" s="164" t="str">
        <f ca="1">IFERROR(__xludf.DUMMYFUNCTION("""COMPUTED_VALUE"""),"SERVICEABLE")</f>
        <v>SERVICEABLE</v>
      </c>
      <c r="N3284" s="164"/>
    </row>
    <row r="3285" spans="1:14" ht="13.2" hidden="1">
      <c r="A3285" s="164" t="str">
        <f ca="1">IFERROR(__xludf.DUMMYFUNCTION("""COMPUTED_VALUE"""),"REGION IX")</f>
        <v>REGION IX</v>
      </c>
      <c r="B3285" s="164" t="str">
        <f ca="1">IFERROR(__xludf.DUMMYFUNCTION("""COMPUTED_VALUE"""),"Zamboanga Sibugay")</f>
        <v>Zamboanga Sibugay</v>
      </c>
      <c r="C3285" s="164" t="str">
        <f ca="1">IFERROR(__xludf.DUMMYFUNCTION("""COMPUTED_VALUE"""),"Desktop Computer – (HP Pro SFF 280G9)")</f>
        <v>Desktop Computer – (HP Pro SFF 280G9)</v>
      </c>
      <c r="D3285" s="164" t="str">
        <f ca="1">IFERROR(__xludf.DUMMYFUNCTION("""COMPUTED_VALUE"""),"₱ 78,898.00")</f>
        <v>₱ 78,898.00</v>
      </c>
      <c r="E3285" s="164"/>
      <c r="F3285" s="164" t="str">
        <f ca="1">IFERROR(__xludf.DUMMYFUNCTION("""COMPUTED_VALUE"""),"2023-05-03-1020ISP379-01")</f>
        <v>2023-05-03-1020ISP379-01</v>
      </c>
      <c r="G3285" s="164" t="str">
        <f ca="1">IFERROR(__xludf.DUMMYFUNCTION("""COMPUTED_VALUE"""),"CNC24811J5; CN2BT2M0DW; CYBERPOWER UPS 4CE301DSMB")</f>
        <v>CNC24811J5; CN2BT2M0DW; CYBERPOWER UPS 4CE301DSMB</v>
      </c>
      <c r="H3285" s="164" t="str">
        <f ca="1">IFERROR(__xludf.DUMMYFUNCTION("""COMPUTED_VALUE"""),"MARY GAY C. ABUTON")</f>
        <v>MARY GAY C. ABUTON</v>
      </c>
      <c r="I3285" s="164" t="str">
        <f ca="1">IFERROR(__xludf.DUMMYFUNCTION("""COMPUTED_VALUE"""),"OIC - MARPO")</f>
        <v>OIC - MARPO</v>
      </c>
      <c r="J3285" s="164" t="str">
        <f ca="1">IFERROR(__xludf.DUMMYFUNCTION("""COMPUTED_VALUE"""),"ZSSPLIT2023-05-021-017")</f>
        <v>ZSSPLIT2023-05-021-017</v>
      </c>
      <c r="K3285" s="164" t="str">
        <f ca="1">IFERROR(__xludf.DUMMYFUNCTION("""COMPUTED_VALUE"""),"MARY GAY C. ABUTON")</f>
        <v>MARY GAY C. ABUTON</v>
      </c>
      <c r="L3285" s="164" t="str">
        <f ca="1">IFERROR(__xludf.DUMMYFUNCTION("""COMPUTED_VALUE"""),"DARMO IPIL")</f>
        <v>DARMO IPIL</v>
      </c>
      <c r="M3285" s="164" t="str">
        <f ca="1">IFERROR(__xludf.DUMMYFUNCTION("""COMPUTED_VALUE"""),"SERVICEABLE")</f>
        <v>SERVICEABLE</v>
      </c>
      <c r="N3285" s="164"/>
    </row>
    <row r="3286" spans="1:14" ht="13.2" hidden="1">
      <c r="A3286" s="164" t="str">
        <f ca="1">IFERROR(__xludf.DUMMYFUNCTION("""COMPUTED_VALUE"""),"REGION IX")</f>
        <v>REGION IX</v>
      </c>
      <c r="B3286" s="164" t="str">
        <f ca="1">IFERROR(__xludf.DUMMYFUNCTION("""COMPUTED_VALUE"""),"Zamboanga Sibugay")</f>
        <v>Zamboanga Sibugay</v>
      </c>
      <c r="C3286" s="164" t="str">
        <f ca="1">IFERROR(__xludf.DUMMYFUNCTION("""COMPUTED_VALUE"""),"Desktop Computer – (HP Pro SFF 280G9)")</f>
        <v>Desktop Computer – (HP Pro SFF 280G9)</v>
      </c>
      <c r="D3286" s="164" t="str">
        <f ca="1">IFERROR(__xludf.DUMMYFUNCTION("""COMPUTED_VALUE"""),"₱ 78,898.00")</f>
        <v>₱ 78,898.00</v>
      </c>
      <c r="E3286" s="164"/>
      <c r="F3286" s="164" t="str">
        <f ca="1">IFERROR(__xludf.DUMMYFUNCTION("""COMPUTED_VALUE"""),"2023-05-03-1020ISP380-01")</f>
        <v>2023-05-03-1020ISP380-01</v>
      </c>
      <c r="G3286" s="164" t="str">
        <f ca="1">IFERROR(__xludf.DUMMYFUNCTION("""COMPUTED_VALUE"""),"CNC249165S; 320225BU30000248; 4CE301DSQC")</f>
        <v>CNC249165S; 320225BU30000248; 4CE301DSQC</v>
      </c>
      <c r="H3286" s="164" t="str">
        <f ca="1">IFERROR(__xludf.DUMMYFUNCTION("""COMPUTED_VALUE"""),"RAGDEE N. GARCIA")</f>
        <v>RAGDEE N. GARCIA</v>
      </c>
      <c r="I3286" s="164" t="str">
        <f ca="1">IFERROR(__xludf.DUMMYFUNCTION("""COMPUTED_VALUE"""),"ACTING PLANNING OFFICER")</f>
        <v>ACTING PLANNING OFFICER</v>
      </c>
      <c r="J3286" s="164" t="str">
        <f ca="1">IFERROR(__xludf.DUMMYFUNCTION("""COMPUTED_VALUE"""),"ZSSPLIT2023-05-021-018")</f>
        <v>ZSSPLIT2023-05-021-018</v>
      </c>
      <c r="K3286" s="164" t="str">
        <f ca="1">IFERROR(__xludf.DUMMYFUNCTION("""COMPUTED_VALUE"""),"JENNYMAR LACAYA
 JOEL CASTILLO")</f>
        <v>JENNYMAR LACAYA
 JOEL CASTILLO</v>
      </c>
      <c r="L3286" s="164" t="str">
        <f ca="1">IFERROR(__xludf.DUMMYFUNCTION("""COMPUTED_VALUE"""),"LTID")</f>
        <v>LTID</v>
      </c>
      <c r="M3286" s="164" t="str">
        <f ca="1">IFERROR(__xludf.DUMMYFUNCTION("""COMPUTED_VALUE"""),"SERVICEABLE")</f>
        <v>SERVICEABLE</v>
      </c>
      <c r="N3286" s="164"/>
    </row>
    <row r="3287" spans="1:14" ht="13.2" hidden="1">
      <c r="A3287" s="164" t="str">
        <f ca="1">IFERROR(__xludf.DUMMYFUNCTION("""COMPUTED_VALUE"""),"REGION IX")</f>
        <v>REGION IX</v>
      </c>
      <c r="B3287" s="164" t="str">
        <f ca="1">IFERROR(__xludf.DUMMYFUNCTION("""COMPUTED_VALUE"""),"Zamboanga Sibugay")</f>
        <v>Zamboanga Sibugay</v>
      </c>
      <c r="C3287" s="164" t="str">
        <f ca="1">IFERROR(__xludf.DUMMYFUNCTION("""COMPUTED_VALUE"""),"Desktop Computer – (HP Pro SFF 280G9)")</f>
        <v>Desktop Computer – (HP Pro SFF 280G9)</v>
      </c>
      <c r="D3287" s="164" t="str">
        <f ca="1">IFERROR(__xludf.DUMMYFUNCTION("""COMPUTED_VALUE"""),"₱ 78,898.00")</f>
        <v>₱ 78,898.00</v>
      </c>
      <c r="E3287" s="164"/>
      <c r="F3287" s="164" t="str">
        <f ca="1">IFERROR(__xludf.DUMMYFUNCTION("""COMPUTED_VALUE"""),"2023-05-03-1020ISP383-01")</f>
        <v>2023-05-03-1020ISP383-01</v>
      </c>
      <c r="G3287" s="164" t="str">
        <f ca="1">IFERROR(__xludf.DUMMYFUNCTION("""COMPUTED_VALUE"""),"CNC249165V; 320225BQ30000400; 4CE301DH9V")</f>
        <v>CNC249165V; 320225BQ30000400; 4CE301DH9V</v>
      </c>
      <c r="H3287" s="164" t="str">
        <f ca="1">IFERROR(__xludf.DUMMYFUNCTION("""COMPUTED_VALUE"""),"RAGDEE N. GARCIA")</f>
        <v>RAGDEE N. GARCIA</v>
      </c>
      <c r="I3287" s="164" t="str">
        <f ca="1">IFERROR(__xludf.DUMMYFUNCTION("""COMPUTED_VALUE"""),"ACTING PLANNING OFFICER")</f>
        <v>ACTING PLANNING OFFICER</v>
      </c>
      <c r="J3287" s="164" t="str">
        <f ca="1">IFERROR(__xludf.DUMMYFUNCTION("""COMPUTED_VALUE"""),"ZSSPLIT2023-05-021-019")</f>
        <v>ZSSPLIT2023-05-021-019</v>
      </c>
      <c r="K3287" s="164" t="str">
        <f ca="1">IFERROR(__xludf.DUMMYFUNCTION("""COMPUTED_VALUE"""),"KYLA CHEZZA ACOSTA")</f>
        <v>KYLA CHEZZA ACOSTA</v>
      </c>
      <c r="L3287" s="164" t="str">
        <f ca="1">IFERROR(__xludf.DUMMYFUNCTION("""COMPUTED_VALUE"""),"LTID")</f>
        <v>LTID</v>
      </c>
      <c r="M3287" s="164" t="str">
        <f ca="1">IFERROR(__xludf.DUMMYFUNCTION("""COMPUTED_VALUE"""),"SERVICEABLE")</f>
        <v>SERVICEABLE</v>
      </c>
      <c r="N3287" s="164"/>
    </row>
    <row r="3288" spans="1:14" ht="13.2" hidden="1">
      <c r="A3288" s="164" t="str">
        <f ca="1">IFERROR(__xludf.DUMMYFUNCTION("""COMPUTED_VALUE"""),"REGION IX")</f>
        <v>REGION IX</v>
      </c>
      <c r="B3288" s="164" t="str">
        <f ca="1">IFERROR(__xludf.DUMMYFUNCTION("""COMPUTED_VALUE"""),"Zamboanga Sibugay")</f>
        <v>Zamboanga Sibugay</v>
      </c>
      <c r="C3288" s="164" t="str">
        <f ca="1">IFERROR(__xludf.DUMMYFUNCTION("""COMPUTED_VALUE"""),"Desktop Computer – (HP Pro SFF 280G9)")</f>
        <v>Desktop Computer – (HP Pro SFF 280G9)</v>
      </c>
      <c r="D3288" s="164" t="str">
        <f ca="1">IFERROR(__xludf.DUMMYFUNCTION("""COMPUTED_VALUE"""),"₱ 78,898.00")</f>
        <v>₱ 78,898.00</v>
      </c>
      <c r="E3288" s="164"/>
      <c r="F3288" s="164" t="str">
        <f ca="1">IFERROR(__xludf.DUMMYFUNCTION("""COMPUTED_VALUE"""),"2023-05-03-1020ISP382-01")</f>
        <v>2023-05-03-1020ISP382-01</v>
      </c>
      <c r="G3288" s="164" t="str">
        <f ca="1">IFERROR(__xludf.DUMMYFUNCTION("""COMPUTED_VALUE"""),"CNC24719GL; 320225BQ30000398; 4CE301DH5J")</f>
        <v>CNC24719GL; 320225BQ30000398; 4CE301DH5J</v>
      </c>
      <c r="H3288" s="164" t="str">
        <f ca="1">IFERROR(__xludf.DUMMYFUNCTION("""COMPUTED_VALUE"""),"RAGDEE N. GARCIA")</f>
        <v>RAGDEE N. GARCIA</v>
      </c>
      <c r="I3288" s="164" t="str">
        <f ca="1">IFERROR(__xludf.DUMMYFUNCTION("""COMPUTED_VALUE"""),"ACTING PLANNING OFFICER")</f>
        <v>ACTING PLANNING OFFICER</v>
      </c>
      <c r="J3288" s="164" t="str">
        <f ca="1">IFERROR(__xludf.DUMMYFUNCTION("""COMPUTED_VALUE"""),"ZSSPLIT2023-05-021-020")</f>
        <v>ZSSPLIT2023-05-021-020</v>
      </c>
      <c r="K3288" s="164" t="str">
        <f ca="1">IFERROR(__xludf.DUMMYFUNCTION("""COMPUTED_VALUE"""),"EDGAR VINCENT LAMATAN
 IRISH SANTOLAN")</f>
        <v>EDGAR VINCENT LAMATAN
 IRISH SANTOLAN</v>
      </c>
      <c r="L3288" s="164" t="str">
        <f ca="1">IFERROR(__xludf.DUMMYFUNCTION("""COMPUTED_VALUE"""),"LTID")</f>
        <v>LTID</v>
      </c>
      <c r="M3288" s="164" t="str">
        <f ca="1">IFERROR(__xludf.DUMMYFUNCTION("""COMPUTED_VALUE"""),"SERVICEABLE")</f>
        <v>SERVICEABLE</v>
      </c>
      <c r="N3288" s="164"/>
    </row>
    <row r="3289" spans="1:14" ht="13.2" hidden="1">
      <c r="A3289" s="164" t="str">
        <f ca="1">IFERROR(__xludf.DUMMYFUNCTION("""COMPUTED_VALUE"""),"REGION IX")</f>
        <v>REGION IX</v>
      </c>
      <c r="B3289" s="164" t="str">
        <f ca="1">IFERROR(__xludf.DUMMYFUNCTION("""COMPUTED_VALUE"""),"Zamboanga Sibugay")</f>
        <v>Zamboanga Sibugay</v>
      </c>
      <c r="C3289" s="164" t="str">
        <f ca="1">IFERROR(__xludf.DUMMYFUNCTION("""COMPUTED_VALUE"""),"Laptop – (ACER EXTENSA EX215-55G i7)")</f>
        <v>Laptop – (ACER EXTENSA EX215-55G i7)</v>
      </c>
      <c r="D3289" s="164" t="str">
        <f ca="1">IFERROR(__xludf.DUMMYFUNCTION("""COMPUTED_VALUE"""),"₱ 59,500.00")</f>
        <v>₱ 59,500.00</v>
      </c>
      <c r="E3289" s="164"/>
      <c r="F3289" s="164" t="str">
        <f ca="1">IFERROR(__xludf.DUMMYFUNCTION("""COMPUTED_VALUE"""),"2023-05-03-10202SP337-01")</f>
        <v>2023-05-03-10202SP337-01</v>
      </c>
      <c r="G3289" s="164" t="str">
        <f ca="1">IFERROR(__xludf.DUMMYFUNCTION("""COMPUTED_VALUE"""),"SN: NXEGZSP00330801D3D3400")</f>
        <v>SN: NXEGZSP00330801D3D3400</v>
      </c>
      <c r="H3289" s="164" t="str">
        <f ca="1">IFERROR(__xludf.DUMMYFUNCTION("""COMPUTED_VALUE"""),"ROLANDO M. LIBETARIO JR, CPA
 CECILE MIRA")</f>
        <v>ROLANDO M. LIBETARIO JR, CPA
 CECILE MIRA</v>
      </c>
      <c r="I3289" s="164" t="str">
        <f ca="1">IFERROR(__xludf.DUMMYFUNCTION("""COMPUTED_VALUE"""),"PARPO II
 AO-IV")</f>
        <v>PARPO II
 AO-IV</v>
      </c>
      <c r="J3289" s="164" t="str">
        <f ca="1">IFERROR(__xludf.DUMMYFUNCTION("""COMPUTED_VALUE"""),"ZSSPLIT2023-05-010-021")</f>
        <v>ZSSPLIT2023-05-010-021</v>
      </c>
      <c r="K3289" s="164" t="str">
        <f ca="1">IFERROR(__xludf.DUMMYFUNCTION("""COMPUTED_VALUE"""),"ROLANDO M. LIBETARIO JR, CPA
 CECILE MIRA")</f>
        <v>ROLANDO M. LIBETARIO JR, CPA
 CECILE MIRA</v>
      </c>
      <c r="L3289" s="164" t="str">
        <f ca="1">IFERROR(__xludf.DUMMYFUNCTION("""COMPUTED_VALUE"""),"PARPO II OFFICE")</f>
        <v>PARPO II OFFICE</v>
      </c>
      <c r="M3289" s="164" t="str">
        <f ca="1">IFERROR(__xludf.DUMMYFUNCTION("""COMPUTED_VALUE"""),"SERVICEABLE")</f>
        <v>SERVICEABLE</v>
      </c>
      <c r="N3289" s="164" t="str">
        <f ca="1">IFERROR(__xludf.DUMMYFUNCTION("""COMPUTED_VALUE"""),"ok")</f>
        <v>ok</v>
      </c>
    </row>
    <row r="3290" spans="1:14" ht="13.2" hidden="1">
      <c r="A3290" s="164" t="str">
        <f ca="1">IFERROR(__xludf.DUMMYFUNCTION("""COMPUTED_VALUE"""),"REGION IX")</f>
        <v>REGION IX</v>
      </c>
      <c r="B3290" s="164" t="str">
        <f ca="1">IFERROR(__xludf.DUMMYFUNCTION("""COMPUTED_VALUE"""),"Zamboanga Sibugay")</f>
        <v>Zamboanga Sibugay</v>
      </c>
      <c r="C3290" s="164" t="str">
        <f ca="1">IFERROR(__xludf.DUMMYFUNCTION("""COMPUTED_VALUE"""),"Laptop – (ACER EXTENSA EX215-55G i7)")</f>
        <v>Laptop – (ACER EXTENSA EX215-55G i7)</v>
      </c>
      <c r="D3290" s="164" t="str">
        <f ca="1">IFERROR(__xludf.DUMMYFUNCTION("""COMPUTED_VALUE"""),"₱ 59,500.00")</f>
        <v>₱ 59,500.00</v>
      </c>
      <c r="E3290" s="164"/>
      <c r="F3290" s="164" t="str">
        <f ca="1">IFERROR(__xludf.DUMMYFUNCTION("""COMPUTED_VALUE"""),"2023-05-03-10202SP338-01")</f>
        <v>2023-05-03-10202SP338-01</v>
      </c>
      <c r="G3290" s="164" t="str">
        <f ca="1">IFERROR(__xludf.DUMMYFUNCTION("""COMPUTED_VALUE"""),"SN: NXEGZSP00330801EOP3400")</f>
        <v>SN: NXEGZSP00330801EOP3400</v>
      </c>
      <c r="H3290" s="164" t="str">
        <f ca="1">IFERROR(__xludf.DUMMYFUNCTION("""COMPUTED_VALUE"""),"PERLIDITA G. ENGALLA")</f>
        <v>PERLIDITA G. ENGALLA</v>
      </c>
      <c r="I3290" s="164" t="str">
        <f ca="1">IFERROR(__xludf.DUMMYFUNCTION("""COMPUTED_VALUE"""),"SPLIT - COORDINATOR")</f>
        <v>SPLIT - COORDINATOR</v>
      </c>
      <c r="J3290" s="164" t="str">
        <f ca="1">IFERROR(__xludf.DUMMYFUNCTION("""COMPUTED_VALUE"""),"ZSSPLIT2023-05-010-022")</f>
        <v>ZSSPLIT2023-05-010-022</v>
      </c>
      <c r="K3290" s="164" t="str">
        <f ca="1">IFERROR(__xludf.DUMMYFUNCTION("""COMPUTED_VALUE"""),"PERLIDITA G. ENGALLA
 HELENE GARCIA
 JPY GRACE EWAY")</f>
        <v>PERLIDITA G. ENGALLA
 HELENE GARCIA
 JPY GRACE EWAY</v>
      </c>
      <c r="L3290" s="164" t="str">
        <f ca="1">IFERROR(__xludf.DUMMYFUNCTION("""COMPUTED_VALUE"""),"LTID")</f>
        <v>LTID</v>
      </c>
      <c r="M3290" s="164" t="str">
        <f ca="1">IFERROR(__xludf.DUMMYFUNCTION("""COMPUTED_VALUE"""),"SERVICEABLE")</f>
        <v>SERVICEABLE</v>
      </c>
      <c r="N3290" s="164" t="str">
        <f ca="1">IFERROR(__xludf.DUMMYFUNCTION("""COMPUTED_VALUE"""),"ok")</f>
        <v>ok</v>
      </c>
    </row>
    <row r="3291" spans="1:14" ht="13.2" hidden="1">
      <c r="A3291" s="164" t="str">
        <f ca="1">IFERROR(__xludf.DUMMYFUNCTION("""COMPUTED_VALUE"""),"REGION IX")</f>
        <v>REGION IX</v>
      </c>
      <c r="B3291" s="164" t="str">
        <f ca="1">IFERROR(__xludf.DUMMYFUNCTION("""COMPUTED_VALUE"""),"Zamboanga Sibugay")</f>
        <v>Zamboanga Sibugay</v>
      </c>
      <c r="C3291" s="164" t="str">
        <f ca="1">IFERROR(__xludf.DUMMYFUNCTION("""COMPUTED_VALUE"""),"Laptop – (ACER EXTENSA EX215-55G i7)")</f>
        <v>Laptop – (ACER EXTENSA EX215-55G i7)</v>
      </c>
      <c r="D3291" s="164" t="str">
        <f ca="1">IFERROR(__xludf.DUMMYFUNCTION("""COMPUTED_VALUE"""),"₱ 59,500.00")</f>
        <v>₱ 59,500.00</v>
      </c>
      <c r="E3291" s="164"/>
      <c r="F3291" s="164" t="str">
        <f ca="1">IFERROR(__xludf.DUMMYFUNCTION("""COMPUTED_VALUE"""),"2023-05-03-10202SP339-01")</f>
        <v>2023-05-03-10202SP339-01</v>
      </c>
      <c r="G3291" s="164" t="str">
        <f ca="1">IFERROR(__xludf.DUMMYFUNCTION("""COMPUTED_VALUE"""),"SN: NXEGZSP00330801B2A3400")</f>
        <v>SN: NXEGZSP00330801B2A3400</v>
      </c>
      <c r="H3291" s="164" t="str">
        <f ca="1">IFERROR(__xludf.DUMMYFUNCTION("""COMPUTED_VALUE"""),"RAGDEE N. GARCIA")</f>
        <v>RAGDEE N. GARCIA</v>
      </c>
      <c r="I3291" s="164" t="str">
        <f ca="1">IFERROR(__xludf.DUMMYFUNCTION("""COMPUTED_VALUE"""),"PLANNING OFFICER")</f>
        <v>PLANNING OFFICER</v>
      </c>
      <c r="J3291" s="164" t="str">
        <f ca="1">IFERROR(__xludf.DUMMYFUNCTION("""COMPUTED_VALUE"""),"ZSSPLIT2023-05-010-023")</f>
        <v>ZSSPLIT2023-05-010-023</v>
      </c>
      <c r="K3291" s="164" t="str">
        <f ca="1">IFERROR(__xludf.DUMMYFUNCTION("""COMPUTED_VALUE"""),"RAGDEE N. GARCIA")</f>
        <v>RAGDEE N. GARCIA</v>
      </c>
      <c r="L3291" s="164" t="str">
        <f ca="1">IFERROR(__xludf.DUMMYFUNCTION("""COMPUTED_VALUE"""),"LTID")</f>
        <v>LTID</v>
      </c>
      <c r="M3291" s="164" t="str">
        <f ca="1">IFERROR(__xludf.DUMMYFUNCTION("""COMPUTED_VALUE"""),"SERVICEABLE")</f>
        <v>SERVICEABLE</v>
      </c>
      <c r="N3291" s="164" t="str">
        <f ca="1">IFERROR(__xludf.DUMMYFUNCTION("""COMPUTED_VALUE"""),"ok")</f>
        <v>ok</v>
      </c>
    </row>
    <row r="3292" spans="1:14" ht="13.2" hidden="1">
      <c r="A3292" s="164" t="str">
        <f ca="1">IFERROR(__xludf.DUMMYFUNCTION("""COMPUTED_VALUE"""),"REGION IX")</f>
        <v>REGION IX</v>
      </c>
      <c r="B3292" s="164" t="str">
        <f ca="1">IFERROR(__xludf.DUMMYFUNCTION("""COMPUTED_VALUE"""),"Zamboanga Sibugay")</f>
        <v>Zamboanga Sibugay</v>
      </c>
      <c r="C3292" s="164" t="str">
        <f ca="1">IFERROR(__xludf.DUMMYFUNCTION("""COMPUTED_VALUE"""),"Laptop – (ACER EXTENSA EX215-55G i7)")</f>
        <v>Laptop – (ACER EXTENSA EX215-55G i7)</v>
      </c>
      <c r="D3292" s="164" t="str">
        <f ca="1">IFERROR(__xludf.DUMMYFUNCTION("""COMPUTED_VALUE"""),"₱ 59,500.00")</f>
        <v>₱ 59,500.00</v>
      </c>
      <c r="E3292" s="164"/>
      <c r="F3292" s="164" t="str">
        <f ca="1">IFERROR(__xludf.DUMMYFUNCTION("""COMPUTED_VALUE"""),"2023-05-03-10202SP340-01")</f>
        <v>2023-05-03-10202SP340-01</v>
      </c>
      <c r="G3292" s="164" t="str">
        <f ca="1">IFERROR(__xludf.DUMMYFUNCTION("""COMPUTED_VALUE"""),"SN: NXEGZSP00330801D603400")</f>
        <v>SN: NXEGZSP00330801D603400</v>
      </c>
      <c r="H3292" s="164" t="str">
        <f ca="1">IFERROR(__xludf.DUMMYFUNCTION("""COMPUTED_VALUE"""),"CECILE G. MIRAL")</f>
        <v>CECILE G. MIRAL</v>
      </c>
      <c r="I3292" s="164" t="str">
        <f ca="1">IFERROR(__xludf.DUMMYFUNCTION("""COMPUTED_VALUE"""),"AO IV -SUPPLY OFFICER")</f>
        <v>AO IV -SUPPLY OFFICER</v>
      </c>
      <c r="J3292" s="164" t="str">
        <f ca="1">IFERROR(__xludf.DUMMYFUNCTION("""COMPUTED_VALUE"""),"ZSSPLIT2023-05-010-024")</f>
        <v>ZSSPLIT2023-05-010-024</v>
      </c>
      <c r="K3292" s="164" t="str">
        <f ca="1">IFERROR(__xludf.DUMMYFUNCTION("""COMPUTED_VALUE"""),"CECILE G. MIRAL")</f>
        <v>CECILE G. MIRAL</v>
      </c>
      <c r="L3292" s="164" t="str">
        <f ca="1">IFERROR(__xludf.DUMMYFUNCTION("""COMPUTED_VALUE"""),"STOD/ SUPPLY SECTION")</f>
        <v>STOD/ SUPPLY SECTION</v>
      </c>
      <c r="M3292" s="164" t="str">
        <f ca="1">IFERROR(__xludf.DUMMYFUNCTION("""COMPUTED_VALUE"""),"SERVICEABLE")</f>
        <v>SERVICEABLE</v>
      </c>
      <c r="N3292" s="164" t="str">
        <f ca="1">IFERROR(__xludf.DUMMYFUNCTION("""COMPUTED_VALUE"""),"ok")</f>
        <v>ok</v>
      </c>
    </row>
    <row r="3293" spans="1:14" ht="13.2" hidden="1">
      <c r="A3293" s="164" t="str">
        <f ca="1">IFERROR(__xludf.DUMMYFUNCTION("""COMPUTED_VALUE"""),"REGION IX")</f>
        <v>REGION IX</v>
      </c>
      <c r="B3293" s="164" t="str">
        <f ca="1">IFERROR(__xludf.DUMMYFUNCTION("""COMPUTED_VALUE"""),"Zamboanga Sibugay")</f>
        <v>Zamboanga Sibugay</v>
      </c>
      <c r="C3293" s="164" t="str">
        <f ca="1">IFERROR(__xludf.DUMMYFUNCTION("""COMPUTED_VALUE"""),"Laptop – (ACER EXTENSA EX215-55G i7)")</f>
        <v>Laptop – (ACER EXTENSA EX215-55G i7)</v>
      </c>
      <c r="D3293" s="164" t="str">
        <f ca="1">IFERROR(__xludf.DUMMYFUNCTION("""COMPUTED_VALUE"""),"₱ 59,500.00")</f>
        <v>₱ 59,500.00</v>
      </c>
      <c r="E3293" s="164"/>
      <c r="F3293" s="164" t="str">
        <f ca="1">IFERROR(__xludf.DUMMYFUNCTION("""COMPUTED_VALUE"""),"2023-05-03-10202SP68-01")</f>
        <v>2023-05-03-10202SP68-01</v>
      </c>
      <c r="G3293" s="164" t="str">
        <f ca="1">IFERROR(__xludf.DUMMYFUNCTION("""COMPUTED_VALUE"""),"SN: NXEGZSP00330801F063400")</f>
        <v>SN: NXEGZSP00330801F063400</v>
      </c>
      <c r="H3293" s="164" t="str">
        <f ca="1">IFERROR(__xludf.DUMMYFUNCTION("""COMPUTED_VALUE"""),"CLARICE CELICIOUS")</f>
        <v>CLARICE CELICIOUS</v>
      </c>
      <c r="I3293" s="164" t="str">
        <f ca="1">IFERROR(__xludf.DUMMYFUNCTION("""COMPUTED_VALUE"""),"ARPT")</f>
        <v>ARPT</v>
      </c>
      <c r="J3293" s="164" t="str">
        <f ca="1">IFERROR(__xludf.DUMMYFUNCTION("""COMPUTED_VALUE"""),"2023-05-013L")</f>
        <v>2023-05-013L</v>
      </c>
      <c r="K3293" s="164" t="str">
        <f ca="1">IFERROR(__xludf.DUMMYFUNCTION("""COMPUTED_VALUE"""),"CLARICE CELICIOUS")</f>
        <v>CLARICE CELICIOUS</v>
      </c>
      <c r="L3293" s="164" t="str">
        <f ca="1">IFERROR(__xludf.DUMMYFUNCTION("""COMPUTED_VALUE"""),"LTID")</f>
        <v>LTID</v>
      </c>
      <c r="M3293" s="164" t="str">
        <f ca="1">IFERROR(__xludf.DUMMYFUNCTION("""COMPUTED_VALUE"""),"SERVICEABLE")</f>
        <v>SERVICEABLE</v>
      </c>
      <c r="N3293" s="164" t="str">
        <f ca="1">IFERROR(__xludf.DUMMYFUNCTION("""COMPUTED_VALUE"""),"ok")</f>
        <v>ok</v>
      </c>
    </row>
    <row r="3294" spans="1:14" ht="13.2" hidden="1">
      <c r="A3294" s="164" t="str">
        <f ca="1">IFERROR(__xludf.DUMMYFUNCTION("""COMPUTED_VALUE"""),"REGION IX")</f>
        <v>REGION IX</v>
      </c>
      <c r="B3294" s="164" t="str">
        <f ca="1">IFERROR(__xludf.DUMMYFUNCTION("""COMPUTED_VALUE"""),"Zamboanga Sibugay")</f>
        <v>Zamboanga Sibugay</v>
      </c>
      <c r="C3294" s="164" t="str">
        <f ca="1">IFERROR(__xludf.DUMMYFUNCTION("""COMPUTED_VALUE"""),"Photocopier Machine – Kyocera")</f>
        <v>Photocopier Machine – Kyocera</v>
      </c>
      <c r="D3294" s="164" t="str">
        <f ca="1">IFERROR(__xludf.DUMMYFUNCTION("""COMPUTED_VALUE"""),"₱ 84,500.00")</f>
        <v>₱ 84,500.00</v>
      </c>
      <c r="E3294" s="164"/>
      <c r="F3294" s="164" t="str">
        <f ca="1">IFERROR(__xludf.DUMMYFUNCTION("""COMPUTED_VALUE""")," 2022-05-02-10202SP64-01")</f>
        <v xml:space="preserve"> 2022-05-02-10202SP64-01</v>
      </c>
      <c r="G3294" s="164" t="str">
        <f ca="1">IFERROR(__xludf.DUMMYFUNCTION("""COMPUTED_VALUE"""),"RNK1200167")</f>
        <v>RNK1200167</v>
      </c>
      <c r="H3294" s="164" t="str">
        <f ca="1">IFERROR(__xludf.DUMMYFUNCTION("""COMPUTED_VALUE"""),"DEL R. BIOCO")</f>
        <v>DEL R. BIOCO</v>
      </c>
      <c r="I3294" s="164" t="str">
        <f ca="1">IFERROR(__xludf.DUMMYFUNCTION("""COMPUTED_VALUE"""),"SURVEYMAN")</f>
        <v>SURVEYMAN</v>
      </c>
      <c r="J3294" s="164" t="str">
        <f ca="1">IFERROR(__xludf.DUMMYFUNCTION("""COMPUTED_VALUE"""),"ZSSPLIT2023-04-04-025
 ZSSPLIT2023-04-04-026")</f>
        <v>ZSSPLIT2023-04-04-025
 ZSSPLIT2023-04-04-026</v>
      </c>
      <c r="K3294" s="164" t="str">
        <f ca="1">IFERROR(__xludf.DUMMYFUNCTION("""COMPUTED_VALUE"""),"DEL R. BIOCO")</f>
        <v>DEL R. BIOCO</v>
      </c>
      <c r="L3294" s="164" t="str">
        <f ca="1">IFERROR(__xludf.DUMMYFUNCTION("""COMPUTED_VALUE"""),"LTID - SURVEY SECTION")</f>
        <v>LTID - SURVEY SECTION</v>
      </c>
      <c r="M3294" s="164" t="str">
        <f ca="1">IFERROR(__xludf.DUMMYFUNCTION("""COMPUTED_VALUE"""),"SERVICEABLE")</f>
        <v>SERVICEABLE</v>
      </c>
      <c r="N3294" s="164"/>
    </row>
    <row r="3295" spans="1:14" ht="13.2" hidden="1">
      <c r="A3295" s="164" t="str">
        <f ca="1">IFERROR(__xludf.DUMMYFUNCTION("""COMPUTED_VALUE"""),"REGION IX")</f>
        <v>REGION IX</v>
      </c>
      <c r="B3295" s="164" t="str">
        <f ca="1">IFERROR(__xludf.DUMMYFUNCTION("""COMPUTED_VALUE"""),"Zamboanga Sibugay")</f>
        <v>Zamboanga Sibugay</v>
      </c>
      <c r="C3295" s="164" t="str">
        <f ca="1">IFERROR(__xludf.DUMMYFUNCTION("""COMPUTED_VALUE"""),"REAL-TIME KINEMATIC – GEOMAX ZENITH60")</f>
        <v>REAL-TIME KINEMATIC – GEOMAX ZENITH60</v>
      </c>
      <c r="D3295" s="164" t="str">
        <f ca="1">IFERROR(__xludf.DUMMYFUNCTION("""COMPUTED_VALUE"""),"₱ 1,849,000.00")</f>
        <v>₱ 1,849,000.00</v>
      </c>
      <c r="E3295" s="164"/>
      <c r="F3295" s="164" t="str">
        <f ca="1">IFERROR(__xludf.DUMMYFUNCTION("""COMPUTED_VALUE"""),"2023-05-14-10201SP40-01")</f>
        <v>2023-05-14-10201SP40-01</v>
      </c>
      <c r="G3295" s="164" t="str">
        <f ca="1">IFERROR(__xludf.DUMMYFUNCTION("""COMPUTED_VALUE"""),"BASE SN: Z60SN272200117;
  ROVER SN: Z60ST272200354")</f>
        <v>BASE SN: Z60SN272200117;
  ROVER SN: Z60ST272200354</v>
      </c>
      <c r="H3295" s="164" t="str">
        <f ca="1">IFERROR(__xludf.DUMMYFUNCTION("""COMPUTED_VALUE"""),"SHEIN ANTONETTE B. CASALEM")</f>
        <v>SHEIN ANTONETTE B. CASALEM</v>
      </c>
      <c r="I3295" s="164" t="str">
        <f ca="1">IFERROR(__xludf.DUMMYFUNCTION("""COMPUTED_VALUE"""),"ENGINEER II")</f>
        <v>ENGINEER II</v>
      </c>
      <c r="J3295" s="164" t="str">
        <f ca="1">IFERROR(__xludf.DUMMYFUNCTION("""COMPUTED_VALUE"""),"ZSSPLIT2023-16-03-056")</f>
        <v>ZSSPLIT2023-16-03-056</v>
      </c>
      <c r="K3295" s="164" t="str">
        <f ca="1">IFERROR(__xludf.DUMMYFUNCTION("""COMPUTED_VALUE"""),"SHEIN ANTONETTE B. CASALEM")</f>
        <v>SHEIN ANTONETTE B. CASALEM</v>
      </c>
      <c r="L3295" s="164" t="str">
        <f ca="1">IFERROR(__xludf.DUMMYFUNCTION("""COMPUTED_VALUE"""),"LTID/SURVEY SECTION")</f>
        <v>LTID/SURVEY SECTION</v>
      </c>
      <c r="M3295" s="164" t="str">
        <f ca="1">IFERROR(__xludf.DUMMYFUNCTION("""COMPUTED_VALUE"""),"SERVICEABLE")</f>
        <v>SERVICEABLE</v>
      </c>
      <c r="N3295" s="164"/>
    </row>
    <row r="3296" spans="1:14" ht="13.2" hidden="1">
      <c r="A3296" s="164" t="str">
        <f ca="1">IFERROR(__xludf.DUMMYFUNCTION("""COMPUTED_VALUE"""),"REGION IX")</f>
        <v>REGION IX</v>
      </c>
      <c r="B3296" s="164" t="str">
        <f ca="1">IFERROR(__xludf.DUMMYFUNCTION("""COMPUTED_VALUE"""),"Zamboanga Sibugay")</f>
        <v>Zamboanga Sibugay</v>
      </c>
      <c r="C3296" s="164" t="str">
        <f ca="1">IFERROR(__xludf.DUMMYFUNCTION("""COMPUTED_VALUE"""),"TOTAL STATION – GEOMAX TOTAL STATION ZOOM 50")</f>
        <v>TOTAL STATION – GEOMAX TOTAL STATION ZOOM 50</v>
      </c>
      <c r="D3296" s="164" t="str">
        <f ca="1">IFERROR(__xludf.DUMMYFUNCTION("""COMPUTED_VALUE"""),"₱ 648,000.00")</f>
        <v>₱ 648,000.00</v>
      </c>
      <c r="E3296" s="164"/>
      <c r="F3296" s="164" t="str">
        <f ca="1">IFERROR(__xludf.DUMMYFUNCTION("""COMPUTED_VALUE"""),"2023-05-14-10201SP38-01")</f>
        <v>2023-05-14-10201SP38-01</v>
      </c>
      <c r="G3296" s="164" t="str">
        <f ca="1">IFERROR(__xludf.DUMMYFUNCTION("""COMPUTED_VALUE"""),"SN: 2839864")</f>
        <v>SN: 2839864</v>
      </c>
      <c r="H3296" s="164" t="str">
        <f ca="1">IFERROR(__xludf.DUMMYFUNCTION("""COMPUTED_VALUE"""),"SHEIN ANTONETTE B. CASALEM")</f>
        <v>SHEIN ANTONETTE B. CASALEM</v>
      </c>
      <c r="I3296" s="164" t="str">
        <f ca="1">IFERROR(__xludf.DUMMYFUNCTION("""COMPUTED_VALUE"""),"ENGINEER II")</f>
        <v>ENGINEER II</v>
      </c>
      <c r="J3296" s="164" t="str">
        <f ca="1">IFERROR(__xludf.DUMMYFUNCTION("""COMPUTED_VALUE"""),"ZSSPLIT2023-16-02-057")</f>
        <v>ZSSPLIT2023-16-02-057</v>
      </c>
      <c r="K3296" s="164" t="str">
        <f ca="1">IFERROR(__xludf.DUMMYFUNCTION("""COMPUTED_VALUE"""),"SHEIN ANTONETTE B. CASALEM")</f>
        <v>SHEIN ANTONETTE B. CASALEM</v>
      </c>
      <c r="L3296" s="164" t="str">
        <f ca="1">IFERROR(__xludf.DUMMYFUNCTION("""COMPUTED_VALUE"""),"LTID/SURVEY SECTION")</f>
        <v>LTID/SURVEY SECTION</v>
      </c>
      <c r="M3296" s="164" t="str">
        <f ca="1">IFERROR(__xludf.DUMMYFUNCTION("""COMPUTED_VALUE"""),"SERVICEABLE")</f>
        <v>SERVICEABLE</v>
      </c>
      <c r="N3296" s="164"/>
    </row>
    <row r="3297" spans="1:14" ht="13.2" hidden="1">
      <c r="A3297" s="164" t="str">
        <f ca="1">IFERROR(__xludf.DUMMYFUNCTION("""COMPUTED_VALUE"""),"REGION IX")</f>
        <v>REGION IX</v>
      </c>
      <c r="B3297" s="164" t="str">
        <f ca="1">IFERROR(__xludf.DUMMYFUNCTION("""COMPUTED_VALUE"""),"Zamboanga Sibugay")</f>
        <v>Zamboanga Sibugay</v>
      </c>
      <c r="C3297" s="164" t="str">
        <f ca="1">IFERROR(__xludf.DUMMYFUNCTION("""COMPUTED_VALUE"""),"HANDHELD GPS – MODEL P6")</f>
        <v>HANDHELD GPS – MODEL P6</v>
      </c>
      <c r="D3297" s="164" t="str">
        <f ca="1">IFERROR(__xludf.DUMMYFUNCTION("""COMPUTED_VALUE"""),"₱ 79,000.00")</f>
        <v>₱ 79,000.00</v>
      </c>
      <c r="E3297" s="164"/>
      <c r="F3297" s="164" t="str">
        <f ca="1">IFERROR(__xludf.DUMMYFUNCTION("""COMPUTED_VALUE"""),"2023-05-14-10202SP20-01")</f>
        <v>2023-05-14-10202SP20-01</v>
      </c>
      <c r="G3297" s="164" t="str">
        <f ca="1">IFERROR(__xludf.DUMMYFUNCTION("""COMPUTED_VALUE"""),"SN: SP10730001")</f>
        <v>SN: SP10730001</v>
      </c>
      <c r="H3297" s="164" t="str">
        <f ca="1">IFERROR(__xludf.DUMMYFUNCTION("""COMPUTED_VALUE"""),"SHEIN ANTONETTE B. CASALEM")</f>
        <v>SHEIN ANTONETTE B. CASALEM</v>
      </c>
      <c r="I3297" s="164" t="str">
        <f ca="1">IFERROR(__xludf.DUMMYFUNCTION("""COMPUTED_VALUE"""),"ENGINEER II")</f>
        <v>ENGINEER II</v>
      </c>
      <c r="J3297" s="164" t="str">
        <f ca="1">IFERROR(__xludf.DUMMYFUNCTION("""COMPUTED_VALUE"""),"ZSSPLIT2023-16-04-058")</f>
        <v>ZSSPLIT2023-16-04-058</v>
      </c>
      <c r="K3297" s="164" t="str">
        <f ca="1">IFERROR(__xludf.DUMMYFUNCTION("""COMPUTED_VALUE"""),"SHEIN ANTONETTE B. CASALEM")</f>
        <v>SHEIN ANTONETTE B. CASALEM</v>
      </c>
      <c r="L3297" s="164" t="str">
        <f ca="1">IFERROR(__xludf.DUMMYFUNCTION("""COMPUTED_VALUE"""),"LTID/SURVEY SECTION")</f>
        <v>LTID/SURVEY SECTION</v>
      </c>
      <c r="M3297" s="164" t="str">
        <f ca="1">IFERROR(__xludf.DUMMYFUNCTION("""COMPUTED_VALUE"""),"SERVICEABLE")</f>
        <v>SERVICEABLE</v>
      </c>
      <c r="N3297" s="164"/>
    </row>
    <row r="3298" spans="1:14" ht="13.2" hidden="1">
      <c r="A3298" s="164" t="str">
        <f ca="1">IFERROR(__xludf.DUMMYFUNCTION("""COMPUTED_VALUE"""),"REGION IX")</f>
        <v>REGION IX</v>
      </c>
      <c r="B3298" s="164" t="str">
        <f ca="1">IFERROR(__xludf.DUMMYFUNCTION("""COMPUTED_VALUE"""),"Zamboanga Sibugay")</f>
        <v>Zamboanga Sibugay</v>
      </c>
      <c r="C3298" s="164" t="str">
        <f ca="1">IFERROR(__xludf.DUMMYFUNCTION("""COMPUTED_VALUE"""),"A3 PRINTER (BROTHER)")</f>
        <v>A3 PRINTER (BROTHER)</v>
      </c>
      <c r="D3298" s="164" t="str">
        <f ca="1">IFERROR(__xludf.DUMMYFUNCTION("""COMPUTED_VALUE"""),"₱ 33,508.00")</f>
        <v>₱ 33,508.00</v>
      </c>
      <c r="E3298" s="164"/>
      <c r="F3298" s="164" t="str">
        <f ca="1">IFERROR(__xludf.DUMMYFUNCTION("""COMPUTED_VALUE"""),"HVSPLIT-102-24-05-086")</f>
        <v>HVSPLIT-102-24-05-086</v>
      </c>
      <c r="G3298" s="164"/>
      <c r="H3298" s="164" t="str">
        <f ca="1">IFERROR(__xludf.DUMMYFUNCTION("""COMPUTED_VALUE"""),"CARLOS ALCAZAR")</f>
        <v>CARLOS ALCAZAR</v>
      </c>
      <c r="I3298" s="164" t="str">
        <f ca="1">IFERROR(__xludf.DUMMYFUNCTION("""COMPUTED_VALUE"""),"ENGR III")</f>
        <v>ENGR III</v>
      </c>
      <c r="J3298" s="164" t="str">
        <f ca="1">IFERROR(__xludf.DUMMYFUNCTION("""COMPUTED_VALUE"""),"2024-05-011")</f>
        <v>2024-05-011</v>
      </c>
      <c r="K3298" s="164"/>
      <c r="L3298" s="164" t="str">
        <f ca="1">IFERROR(__xludf.DUMMYFUNCTION("""COMPUTED_VALUE"""),"DARPO ZAMBO SIBUGAY")</f>
        <v>DARPO ZAMBO SIBUGAY</v>
      </c>
      <c r="M3298" s="164" t="str">
        <f ca="1">IFERROR(__xludf.DUMMYFUNCTION("""COMPUTED_VALUE"""),"SERVICEABLE")</f>
        <v>SERVICEABLE</v>
      </c>
      <c r="N3298" s="164"/>
    </row>
    <row r="3299" spans="1:14" ht="13.2" hidden="1">
      <c r="A3299" s="164" t="str">
        <f ca="1">IFERROR(__xludf.DUMMYFUNCTION("""COMPUTED_VALUE"""),"REGION IX")</f>
        <v>REGION IX</v>
      </c>
      <c r="B3299" s="164" t="str">
        <f ca="1">IFERROR(__xludf.DUMMYFUNCTION("""COMPUTED_VALUE"""),"Zamboanga del Norte")</f>
        <v>Zamboanga del Norte</v>
      </c>
      <c r="C3299" s="164" t="str">
        <f ca="1">IFERROR(__xludf.DUMMYFUNCTION("""COMPUTED_VALUE"""),"Desktop Computer – (Lenovo M70T)")</f>
        <v>Desktop Computer – (Lenovo M70T)</v>
      </c>
      <c r="D3299" s="164" t="str">
        <f ca="1">IFERROR(__xludf.DUMMYFUNCTION("""COMPUTED_VALUE"""),"₱ 75,468.00")</f>
        <v>₱ 75,468.00</v>
      </c>
      <c r="E3299" s="164"/>
      <c r="F3299" s="164" t="str">
        <f ca="1">IFERROR(__xludf.DUMMYFUNCTION("""COMPUTED_VALUE"""),"2023-05-03-10201SP1452-01")</f>
        <v>2023-05-03-10201SP1452-01</v>
      </c>
      <c r="G3299" s="164" t="str">
        <f ca="1">IFERROR(__xludf.DUMMYFUNCTION("""COMPUTED_VALUE"""),"VNA99PXP, KNUJ20639, EL4322C01246")</f>
        <v>VNA99PXP, KNUJ20639, EL4322C01246</v>
      </c>
      <c r="H3299" s="164" t="str">
        <f ca="1">IFERROR(__xludf.DUMMYFUNCTION("""COMPUTED_VALUE"""),"JENNY M. LARIOSA")</f>
        <v>JENNY M. LARIOSA</v>
      </c>
      <c r="I3299" s="164" t="str">
        <f ca="1">IFERROR(__xludf.DUMMYFUNCTION("""COMPUTED_VALUE"""),"ARPO I")</f>
        <v>ARPO I</v>
      </c>
      <c r="J3299" s="164" t="str">
        <f ca="1">IFERROR(__xludf.DUMMYFUNCTION("""COMPUTED_VALUE"""),"P-23-02-ZDN-SPLIT-007")</f>
        <v>P-23-02-ZDN-SPLIT-007</v>
      </c>
      <c r="K3299" s="164" t="str">
        <f ca="1">IFERROR(__xludf.DUMMYFUNCTION("""COMPUTED_VALUE"""),"JENNY M. LARIOSA")</f>
        <v>JENNY M. LARIOSA</v>
      </c>
      <c r="L3299" s="164" t="str">
        <f ca="1">IFERROR(__xludf.DUMMYFUNCTION("""COMPUTED_VALUE"""),"DARPO-STOD")</f>
        <v>DARPO-STOD</v>
      </c>
      <c r="M3299" s="164" t="str">
        <f ca="1">IFERROR(__xludf.DUMMYFUNCTION("""COMPUTED_VALUE"""),"SERVICEABLE")</f>
        <v>SERVICEABLE</v>
      </c>
      <c r="N3299" s="164" t="str">
        <f ca="1">IFERROR(__xludf.DUMMYFUNCTION("""COMPUTED_VALUE"""),"UNSERVICEABLE UPS")</f>
        <v>UNSERVICEABLE UPS</v>
      </c>
    </row>
    <row r="3300" spans="1:14" ht="13.2" hidden="1">
      <c r="A3300" s="164" t="str">
        <f ca="1">IFERROR(__xludf.DUMMYFUNCTION("""COMPUTED_VALUE"""),"REGION IX")</f>
        <v>REGION IX</v>
      </c>
      <c r="B3300" s="164" t="str">
        <f ca="1">IFERROR(__xludf.DUMMYFUNCTION("""COMPUTED_VALUE"""),"Zamboanga del Norte")</f>
        <v>Zamboanga del Norte</v>
      </c>
      <c r="C3300" s="164" t="str">
        <f ca="1">IFERROR(__xludf.DUMMYFUNCTION("""COMPUTED_VALUE"""),"Desktop Computer – (Lenovo M70T)")</f>
        <v>Desktop Computer – (Lenovo M70T)</v>
      </c>
      <c r="D3300" s="164" t="str">
        <f ca="1">IFERROR(__xludf.DUMMYFUNCTION("""COMPUTED_VALUE"""),"₱ 75,468.00")</f>
        <v>₱ 75,468.00</v>
      </c>
      <c r="E3300" s="164"/>
      <c r="F3300" s="164" t="str">
        <f ca="1">IFERROR(__xludf.DUMMYFUNCTION("""COMPUTED_VALUE"""),"2023-05-03-10201SP1453-01")</f>
        <v>2023-05-03-10201SP1453-01</v>
      </c>
      <c r="G3300" s="164" t="str">
        <f ca="1">IFERROR(__xludf.DUMMYFUNCTION("""COMPUTED_VALUE"""),"VNA99PXT, KNUJ20630, EL4322C01248")</f>
        <v>VNA99PXT, KNUJ20630, EL4322C01248</v>
      </c>
      <c r="H3300" s="164" t="str">
        <f ca="1">IFERROR(__xludf.DUMMYFUNCTION("""COMPUTED_VALUE"""),"ROCEL C. ACEVEDO")</f>
        <v>ROCEL C. ACEVEDO</v>
      </c>
      <c r="I3300" s="164" t="str">
        <f ca="1">IFERROR(__xludf.DUMMYFUNCTION("""COMPUTED_VALUE"""),"ENGINEER II")</f>
        <v>ENGINEER II</v>
      </c>
      <c r="J3300" s="164" t="str">
        <f ca="1">IFERROR(__xludf.DUMMYFUNCTION("""COMPUTED_VALUE"""),"P-23-02-ZDN-SPLIT-008")</f>
        <v>P-23-02-ZDN-SPLIT-008</v>
      </c>
      <c r="K3300" s="164" t="str">
        <f ca="1">IFERROR(__xludf.DUMMYFUNCTION("""COMPUTED_VALUE"""),"ROCEL C. ACEVEDO")</f>
        <v>ROCEL C. ACEVEDO</v>
      </c>
      <c r="L3300" s="164" t="str">
        <f ca="1">IFERROR(__xludf.DUMMYFUNCTION("""COMPUTED_VALUE"""),"DARPO-LTID")</f>
        <v>DARPO-LTID</v>
      </c>
      <c r="M3300" s="164" t="str">
        <f ca="1">IFERROR(__xludf.DUMMYFUNCTION("""COMPUTED_VALUE"""),"SERVICEABLE")</f>
        <v>SERVICEABLE</v>
      </c>
      <c r="N3300" s="164" t="str">
        <f ca="1">IFERROR(__xludf.DUMMYFUNCTION("""COMPUTED_VALUE"""),"UNSERVICEABLE UPS")</f>
        <v>UNSERVICEABLE UPS</v>
      </c>
    </row>
    <row r="3301" spans="1:14" ht="13.2" hidden="1">
      <c r="A3301" s="164" t="str">
        <f ca="1">IFERROR(__xludf.DUMMYFUNCTION("""COMPUTED_VALUE"""),"REGION IX")</f>
        <v>REGION IX</v>
      </c>
      <c r="B3301" s="164" t="str">
        <f ca="1">IFERROR(__xludf.DUMMYFUNCTION("""COMPUTED_VALUE"""),"Zamboanga del Norte")</f>
        <v>Zamboanga del Norte</v>
      </c>
      <c r="C3301" s="164" t="str">
        <f ca="1">IFERROR(__xludf.DUMMYFUNCTION("""COMPUTED_VALUE"""),"Desktop Computer – (Lenovo M70T)")</f>
        <v>Desktop Computer – (Lenovo M70T)</v>
      </c>
      <c r="D3301" s="164" t="str">
        <f ca="1">IFERROR(__xludf.DUMMYFUNCTION("""COMPUTED_VALUE"""),"₱ 75,468.00")</f>
        <v>₱ 75,468.00</v>
      </c>
      <c r="E3301" s="164"/>
      <c r="F3301" s="164" t="str">
        <f ca="1">IFERROR(__xludf.DUMMYFUNCTION("""COMPUTED_VALUE"""),"2023-05-03-10201SP1454-01")</f>
        <v>2023-05-03-10201SP1454-01</v>
      </c>
      <c r="G3301" s="164" t="str">
        <f ca="1">IFERROR(__xludf.DUMMYFUNCTION("""COMPUTED_VALUE"""),"VNA99PXW, KNUJ19905, EL4322CO1282")</f>
        <v>VNA99PXW, KNUJ19905, EL4322CO1282</v>
      </c>
      <c r="H3301" s="164" t="str">
        <f ca="1">IFERROR(__xludf.DUMMYFUNCTION("""COMPUTED_VALUE"""),"ROCEL C. ACEVEDO")</f>
        <v>ROCEL C. ACEVEDO</v>
      </c>
      <c r="I3301" s="164" t="str">
        <f ca="1">IFERROR(__xludf.DUMMYFUNCTION("""COMPUTED_VALUE"""),"ENGINEER II")</f>
        <v>ENGINEER II</v>
      </c>
      <c r="J3301" s="164" t="str">
        <f ca="1">IFERROR(__xludf.DUMMYFUNCTION("""COMPUTED_VALUE"""),"P-23-02-ZDN-SPLIT-009")</f>
        <v>P-23-02-ZDN-SPLIT-009</v>
      </c>
      <c r="K3301" s="164" t="str">
        <f ca="1">IFERROR(__xludf.DUMMYFUNCTION("""COMPUTED_VALUE"""),"ROCEL C. ACEVEDO")</f>
        <v>ROCEL C. ACEVEDO</v>
      </c>
      <c r="L3301" s="164" t="str">
        <f ca="1">IFERROR(__xludf.DUMMYFUNCTION("""COMPUTED_VALUE"""),"DARPO-LTID")</f>
        <v>DARPO-LTID</v>
      </c>
      <c r="M3301" s="164" t="str">
        <f ca="1">IFERROR(__xludf.DUMMYFUNCTION("""COMPUTED_VALUE"""),"SERVICEABLE")</f>
        <v>SERVICEABLE</v>
      </c>
      <c r="N3301" s="164"/>
    </row>
    <row r="3302" spans="1:14" ht="13.2" hidden="1">
      <c r="A3302" s="164" t="str">
        <f ca="1">IFERROR(__xludf.DUMMYFUNCTION("""COMPUTED_VALUE"""),"REGION IX")</f>
        <v>REGION IX</v>
      </c>
      <c r="B3302" s="164" t="str">
        <f ca="1">IFERROR(__xludf.DUMMYFUNCTION("""COMPUTED_VALUE"""),"Zamboanga del Norte")</f>
        <v>Zamboanga del Norte</v>
      </c>
      <c r="C3302" s="164" t="str">
        <f ca="1">IFERROR(__xludf.DUMMYFUNCTION("""COMPUTED_VALUE"""),"Desktop Computer – (Lenovo M70T)")</f>
        <v>Desktop Computer – (Lenovo M70T)</v>
      </c>
      <c r="D3302" s="164" t="str">
        <f ca="1">IFERROR(__xludf.DUMMYFUNCTION("""COMPUTED_VALUE"""),"₱ 75,468.00")</f>
        <v>₱ 75,468.00</v>
      </c>
      <c r="E3302" s="164"/>
      <c r="F3302" s="164" t="str">
        <f ca="1">IFERROR(__xludf.DUMMYFUNCTION("""COMPUTED_VALUE"""),"2023-05-03-10201SP1455-01")</f>
        <v>2023-05-03-10201SP1455-01</v>
      </c>
      <c r="G3302" s="164" t="str">
        <f ca="1">IFERROR(__xludf.DUMMYFUNCTION("""COMPUTED_VALUE"""),"VNA99PXY, KNUJ19966, EL4322C01284")</f>
        <v>VNA99PXY, KNUJ19966, EL4322C01284</v>
      </c>
      <c r="H3302" s="164" t="str">
        <f ca="1">IFERROR(__xludf.DUMMYFUNCTION("""COMPUTED_VALUE"""),"SAMUEL ANDREW A. BALITON")</f>
        <v>SAMUEL ANDREW A. BALITON</v>
      </c>
      <c r="I3302" s="164" t="str">
        <f ca="1">IFERROR(__xludf.DUMMYFUNCTION("""COMPUTED_VALUE"""),"PCAO")</f>
        <v>PCAO</v>
      </c>
      <c r="J3302" s="164" t="str">
        <f ca="1">IFERROR(__xludf.DUMMYFUNCTION("""COMPUTED_VALUE"""),"P-23-02-ZDN-SPLIT-010")</f>
        <v>P-23-02-ZDN-SPLIT-010</v>
      </c>
      <c r="K3302" s="164" t="str">
        <f ca="1">IFERROR(__xludf.DUMMYFUNCTION("""COMPUTED_VALUE"""),"SAMUEL ANDREW A. BALITON")</f>
        <v>SAMUEL ANDREW A. BALITON</v>
      </c>
      <c r="L3302" s="164" t="str">
        <f ca="1">IFERROR(__xludf.DUMMYFUNCTION("""COMPUTED_VALUE"""),"DARPO-STOD")</f>
        <v>DARPO-STOD</v>
      </c>
      <c r="M3302" s="164" t="str">
        <f ca="1">IFERROR(__xludf.DUMMYFUNCTION("""COMPUTED_VALUE"""),"SERVICEABLE")</f>
        <v>SERVICEABLE</v>
      </c>
      <c r="N3302" s="164" t="str">
        <f ca="1">IFERROR(__xludf.DUMMYFUNCTION("""COMPUTED_VALUE"""),"PRINTER UNSERVICEABLE")</f>
        <v>PRINTER UNSERVICEABLE</v>
      </c>
    </row>
    <row r="3303" spans="1:14" ht="13.2" hidden="1">
      <c r="A3303" s="164" t="str">
        <f ca="1">IFERROR(__xludf.DUMMYFUNCTION("""COMPUTED_VALUE"""),"REGION IX")</f>
        <v>REGION IX</v>
      </c>
      <c r="B3303" s="164" t="str">
        <f ca="1">IFERROR(__xludf.DUMMYFUNCTION("""COMPUTED_VALUE"""),"Zamboanga del Norte")</f>
        <v>Zamboanga del Norte</v>
      </c>
      <c r="C3303" s="164" t="str">
        <f ca="1">IFERROR(__xludf.DUMMYFUNCTION("""COMPUTED_VALUE"""),"Desktop Computer – (Lenovo M70T)")</f>
        <v>Desktop Computer – (Lenovo M70T)</v>
      </c>
      <c r="D3303" s="164" t="str">
        <f ca="1">IFERROR(__xludf.DUMMYFUNCTION("""COMPUTED_VALUE"""),"₱ 75,468.00")</f>
        <v>₱ 75,468.00</v>
      </c>
      <c r="E3303" s="164"/>
      <c r="F3303" s="164" t="str">
        <f ca="1">IFERROR(__xludf.DUMMYFUNCTION("""COMPUTED_VALUE"""),"2023-05-03-10201SP1456-01")</f>
        <v>2023-05-03-10201SP1456-01</v>
      </c>
      <c r="G3303" s="164" t="str">
        <f ca="1">IFERROR(__xludf.DUMMYFUNCTION("""COMPUTED_VALUE"""),"VNA99PYO, KNUJ20186, EL4322C01283")</f>
        <v>VNA99PYO, KNUJ20186, EL4322C01283</v>
      </c>
      <c r="H3303" s="164" t="str">
        <f ca="1">IFERROR(__xludf.DUMMYFUNCTION("""COMPUTED_VALUE"""),"MARY CHEREL FL. BUBURAN")</f>
        <v>MARY CHEREL FL. BUBURAN</v>
      </c>
      <c r="I3303" s="164" t="str">
        <f ca="1">IFERROR(__xludf.DUMMYFUNCTION("""COMPUTED_VALUE"""),"ACCOUNTANT")</f>
        <v>ACCOUNTANT</v>
      </c>
      <c r="J3303" s="164" t="str">
        <f ca="1">IFERROR(__xludf.DUMMYFUNCTION("""COMPUTED_VALUE"""),"P-23-02-ZDN-SPLIT-011")</f>
        <v>P-23-02-ZDN-SPLIT-011</v>
      </c>
      <c r="K3303" s="164" t="str">
        <f ca="1">IFERROR(__xludf.DUMMYFUNCTION("""COMPUTED_VALUE"""),"MARY CHEREL FL. BUBURAN")</f>
        <v>MARY CHEREL FL. BUBURAN</v>
      </c>
      <c r="L3303" s="164" t="str">
        <f ca="1">IFERROR(__xludf.DUMMYFUNCTION("""COMPUTED_VALUE"""),"DARPO-STOD")</f>
        <v>DARPO-STOD</v>
      </c>
      <c r="M3303" s="164" t="str">
        <f ca="1">IFERROR(__xludf.DUMMYFUNCTION("""COMPUTED_VALUE"""),"SERVICEABLE")</f>
        <v>SERVICEABLE</v>
      </c>
      <c r="N3303" s="164"/>
    </row>
    <row r="3304" spans="1:14" ht="13.2" hidden="1">
      <c r="A3304" s="164" t="str">
        <f ca="1">IFERROR(__xludf.DUMMYFUNCTION("""COMPUTED_VALUE"""),"REGION IX")</f>
        <v>REGION IX</v>
      </c>
      <c r="B3304" s="164" t="str">
        <f ca="1">IFERROR(__xludf.DUMMYFUNCTION("""COMPUTED_VALUE"""),"Zamboanga del Norte")</f>
        <v>Zamboanga del Norte</v>
      </c>
      <c r="C3304" s="164" t="str">
        <f ca="1">IFERROR(__xludf.DUMMYFUNCTION("""COMPUTED_VALUE"""),"Desktop Computer – (Lenovo M70T)")</f>
        <v>Desktop Computer – (Lenovo M70T)</v>
      </c>
      <c r="D3304" s="164" t="str">
        <f ca="1">IFERROR(__xludf.DUMMYFUNCTION("""COMPUTED_VALUE"""),"₱ 75,468.00")</f>
        <v>₱ 75,468.00</v>
      </c>
      <c r="E3304" s="164"/>
      <c r="F3304" s="164" t="str">
        <f ca="1">IFERROR(__xludf.DUMMYFUNCTION("""COMPUTED_VALUE"""),"2023-05-03-10201SP1457-01")</f>
        <v>2023-05-03-10201SP1457-01</v>
      </c>
      <c r="G3304" s="164" t="str">
        <f ca="1">IFERROR(__xludf.DUMMYFUNCTION("""COMPUTED_VALUE"""),"VNA99PY8, KNUJ20178, EL4322C01261")</f>
        <v>VNA99PY8, KNUJ20178, EL4322C01261</v>
      </c>
      <c r="H3304" s="164" t="str">
        <f ca="1">IFERROR(__xludf.DUMMYFUNCTION("""COMPUTED_VALUE"""),"LIMUEL G. REGALADO")</f>
        <v>LIMUEL G. REGALADO</v>
      </c>
      <c r="I3304" s="164" t="str">
        <f ca="1">IFERROR(__xludf.DUMMYFUNCTION("""COMPUTED_VALUE"""),"ARPO II")</f>
        <v>ARPO II</v>
      </c>
      <c r="J3304" s="164" t="str">
        <f ca="1">IFERROR(__xludf.DUMMYFUNCTION("""COMPUTED_VALUE"""),"P-23-02-ZDN-SPLIT-012")</f>
        <v>P-23-02-ZDN-SPLIT-012</v>
      </c>
      <c r="K3304" s="164" t="str">
        <f ca="1">IFERROR(__xludf.DUMMYFUNCTION("""COMPUTED_VALUE"""),"LIMUEL G. REGALADO")</f>
        <v>LIMUEL G. REGALADO</v>
      </c>
      <c r="L3304" s="164" t="str">
        <f ca="1">IFERROR(__xludf.DUMMYFUNCTION("""COMPUTED_VALUE"""),"DARPO-LTID")</f>
        <v>DARPO-LTID</v>
      </c>
      <c r="M3304" s="164" t="str">
        <f ca="1">IFERROR(__xludf.DUMMYFUNCTION("""COMPUTED_VALUE"""),"SERVICEABLE")</f>
        <v>SERVICEABLE</v>
      </c>
      <c r="N3304" s="164" t="str">
        <f ca="1">IFERROR(__xludf.DUMMYFUNCTION("""COMPUTED_VALUE"""),"UPS UNSERVICEABLE")</f>
        <v>UPS UNSERVICEABLE</v>
      </c>
    </row>
    <row r="3305" spans="1:14" ht="13.2" hidden="1">
      <c r="A3305" s="164" t="str">
        <f ca="1">IFERROR(__xludf.DUMMYFUNCTION("""COMPUTED_VALUE"""),"REGION IX")</f>
        <v>REGION IX</v>
      </c>
      <c r="B3305" s="164" t="str">
        <f ca="1">IFERROR(__xludf.DUMMYFUNCTION("""COMPUTED_VALUE"""),"Zamboanga del Norte")</f>
        <v>Zamboanga del Norte</v>
      </c>
      <c r="C3305" s="164" t="str">
        <f ca="1">IFERROR(__xludf.DUMMYFUNCTION("""COMPUTED_VALUE"""),"Desktop Computer – (Lenovo M70T)")</f>
        <v>Desktop Computer – (Lenovo M70T)</v>
      </c>
      <c r="D3305" s="164" t="str">
        <f ca="1">IFERROR(__xludf.DUMMYFUNCTION("""COMPUTED_VALUE"""),"₱ 75,468.00")</f>
        <v>₱ 75,468.00</v>
      </c>
      <c r="E3305" s="164"/>
      <c r="F3305" s="164" t="str">
        <f ca="1">IFERROR(__xludf.DUMMYFUNCTION("""COMPUTED_VALUE"""),"2023-05-03-10201SP1458-01")</f>
        <v>2023-05-03-10201SP1458-01</v>
      </c>
      <c r="G3305" s="164" t="str">
        <f ca="1">IFERROR(__xludf.DUMMYFUNCTION("""COMPUTED_VALUE"""),"VNA99PYC, KNUJ20185, EL4322C01328")</f>
        <v>VNA99PYC, KNUJ20185, EL4322C01328</v>
      </c>
      <c r="H3305" s="164" t="str">
        <f ca="1">IFERROR(__xludf.DUMMYFUNCTION("""COMPUTED_VALUE"""),"AL CASSIM A. CAMSIA JR.")</f>
        <v>AL CASSIM A. CAMSIA JR.</v>
      </c>
      <c r="I3305" s="164" t="str">
        <f ca="1">IFERROR(__xludf.DUMMYFUNCTION("""COMPUTED_VALUE"""),"ARPT")</f>
        <v>ARPT</v>
      </c>
      <c r="J3305" s="164" t="str">
        <f ca="1">IFERROR(__xludf.DUMMYFUNCTION("""COMPUTED_VALUE"""),"P-23-02-ZDN-SPLIT-013")</f>
        <v>P-23-02-ZDN-SPLIT-013</v>
      </c>
      <c r="K3305" s="164" t="str">
        <f ca="1">IFERROR(__xludf.DUMMYFUNCTION("""COMPUTED_VALUE"""),"AL CASSIM A. CAMSIA JR.")</f>
        <v>AL CASSIM A. CAMSIA JR.</v>
      </c>
      <c r="L3305" s="164" t="str">
        <f ca="1">IFERROR(__xludf.DUMMYFUNCTION("""COMPUTED_VALUE"""),"DARPO-STOD")</f>
        <v>DARPO-STOD</v>
      </c>
      <c r="M3305" s="164" t="str">
        <f ca="1">IFERROR(__xludf.DUMMYFUNCTION("""COMPUTED_VALUE"""),"SERVICEABLE")</f>
        <v>SERVICEABLE</v>
      </c>
      <c r="N3305" s="164" t="str">
        <f ca="1">IFERROR(__xludf.DUMMYFUNCTION("""COMPUTED_VALUE"""),"UPS UNSERVICEABLE")</f>
        <v>UPS UNSERVICEABLE</v>
      </c>
    </row>
    <row r="3306" spans="1:14" ht="13.2" hidden="1">
      <c r="A3306" s="164" t="str">
        <f ca="1">IFERROR(__xludf.DUMMYFUNCTION("""COMPUTED_VALUE"""),"REGION IX")</f>
        <v>REGION IX</v>
      </c>
      <c r="B3306" s="164" t="str">
        <f ca="1">IFERROR(__xludf.DUMMYFUNCTION("""COMPUTED_VALUE"""),"Zamboanga del Norte")</f>
        <v>Zamboanga del Norte</v>
      </c>
      <c r="C3306" s="164" t="str">
        <f ca="1">IFERROR(__xludf.DUMMYFUNCTION("""COMPUTED_VALUE"""),"Desktop Computer – (Lenovo M70T)")</f>
        <v>Desktop Computer – (Lenovo M70T)</v>
      </c>
      <c r="D3306" s="164" t="str">
        <f ca="1">IFERROR(__xludf.DUMMYFUNCTION("""COMPUTED_VALUE"""),"₱ 75,468.00")</f>
        <v>₱ 75,468.00</v>
      </c>
      <c r="E3306" s="164"/>
      <c r="F3306" s="164" t="str">
        <f ca="1">IFERROR(__xludf.DUMMYFUNCTION("""COMPUTED_VALUE"""),"2023-05-03-10201SP1459-01")</f>
        <v>2023-05-03-10201SP1459-01</v>
      </c>
      <c r="G3306" s="164" t="str">
        <f ca="1">IFERROR(__xludf.DUMMYFUNCTION("""COMPUTED_VALUE"""),"VNA99PYR, KNUJ20077, EL4322C01605")</f>
        <v>VNA99PYR, KNUJ20077, EL4322C01605</v>
      </c>
      <c r="H3306" s="164" t="str">
        <f ca="1">IFERROR(__xludf.DUMMYFUNCTION("""COMPUTED_VALUE"""),"ROCEL C. ACEVEDO")</f>
        <v>ROCEL C. ACEVEDO</v>
      </c>
      <c r="I3306" s="164" t="str">
        <f ca="1">IFERROR(__xludf.DUMMYFUNCTION("""COMPUTED_VALUE"""),"ENGINEER II")</f>
        <v>ENGINEER II</v>
      </c>
      <c r="J3306" s="164" t="str">
        <f ca="1">IFERROR(__xludf.DUMMYFUNCTION("""COMPUTED_VALUE"""),"P-23-02-ZDN-SPLIT-014")</f>
        <v>P-23-02-ZDN-SPLIT-014</v>
      </c>
      <c r="K3306" s="164" t="str">
        <f ca="1">IFERROR(__xludf.DUMMYFUNCTION("""COMPUTED_VALUE"""),"ROCEL C. ACEVEDO")</f>
        <v>ROCEL C. ACEVEDO</v>
      </c>
      <c r="L3306" s="164" t="str">
        <f ca="1">IFERROR(__xludf.DUMMYFUNCTION("""COMPUTED_VALUE"""),"DARPO-LTID")</f>
        <v>DARPO-LTID</v>
      </c>
      <c r="M3306" s="164" t="str">
        <f ca="1">IFERROR(__xludf.DUMMYFUNCTION("""COMPUTED_VALUE"""),"SERVICEABLE")</f>
        <v>SERVICEABLE</v>
      </c>
      <c r="N3306" s="164"/>
    </row>
    <row r="3307" spans="1:14" ht="13.2" hidden="1">
      <c r="A3307" s="164" t="str">
        <f ca="1">IFERROR(__xludf.DUMMYFUNCTION("""COMPUTED_VALUE"""),"REGION IX")</f>
        <v>REGION IX</v>
      </c>
      <c r="B3307" s="164" t="str">
        <f ca="1">IFERROR(__xludf.DUMMYFUNCTION("""COMPUTED_VALUE"""),"Zamboanga del Norte")</f>
        <v>Zamboanga del Norte</v>
      </c>
      <c r="C3307" s="164" t="str">
        <f ca="1">IFERROR(__xludf.DUMMYFUNCTION("""COMPUTED_VALUE"""),"Desktop Computer – (Lenovo M70T)")</f>
        <v>Desktop Computer – (Lenovo M70T)</v>
      </c>
      <c r="D3307" s="164" t="str">
        <f ca="1">IFERROR(__xludf.DUMMYFUNCTION("""COMPUTED_VALUE"""),"₱ 75,468.00")</f>
        <v>₱ 75,468.00</v>
      </c>
      <c r="E3307" s="164"/>
      <c r="F3307" s="164" t="str">
        <f ca="1">IFERROR(__xludf.DUMMYFUNCTION("""COMPUTED_VALUE"""),"2023-05-03-10201SP1460-01")</f>
        <v>2023-05-03-10201SP1460-01</v>
      </c>
      <c r="G3307" s="164" t="str">
        <f ca="1">IFERROR(__xludf.DUMMYFUNCTION("""COMPUTED_VALUE"""),"VNA99R0K, KNUJ19961, EL4322C01606")</f>
        <v>VNA99R0K, KNUJ19961, EL4322C01606</v>
      </c>
      <c r="H3307" s="164" t="str">
        <f ca="1">IFERROR(__xludf.DUMMYFUNCTION("""COMPUTED_VALUE"""),"JOVILYN B. TAGHOY")</f>
        <v>JOVILYN B. TAGHOY</v>
      </c>
      <c r="I3307" s="164" t="str">
        <f ca="1">IFERROR(__xludf.DUMMYFUNCTION("""COMPUTED_VALUE"""),"ARPT")</f>
        <v>ARPT</v>
      </c>
      <c r="J3307" s="164" t="str">
        <f ca="1">IFERROR(__xludf.DUMMYFUNCTION("""COMPUTED_VALUE"""),"P-23-02-ZDN-SPLIT-015")</f>
        <v>P-23-02-ZDN-SPLIT-015</v>
      </c>
      <c r="K3307" s="164" t="str">
        <f ca="1">IFERROR(__xludf.DUMMYFUNCTION("""COMPUTED_VALUE"""),"JOVILYN B. TAGHOY")</f>
        <v>JOVILYN B. TAGHOY</v>
      </c>
      <c r="L3307" s="164" t="str">
        <f ca="1">IFERROR(__xludf.DUMMYFUNCTION("""COMPUTED_VALUE"""),"DARPO-STOD")</f>
        <v>DARPO-STOD</v>
      </c>
      <c r="M3307" s="164" t="str">
        <f ca="1">IFERROR(__xludf.DUMMYFUNCTION("""COMPUTED_VALUE"""),"SERVICEABLE")</f>
        <v>SERVICEABLE</v>
      </c>
      <c r="N3307" s="164"/>
    </row>
    <row r="3308" spans="1:14" ht="13.2" hidden="1">
      <c r="A3308" s="164" t="str">
        <f ca="1">IFERROR(__xludf.DUMMYFUNCTION("""COMPUTED_VALUE"""),"REGION IX")</f>
        <v>REGION IX</v>
      </c>
      <c r="B3308" s="164" t="str">
        <f ca="1">IFERROR(__xludf.DUMMYFUNCTION("""COMPUTED_VALUE"""),"Zamboanga del Norte")</f>
        <v>Zamboanga del Norte</v>
      </c>
      <c r="C3308" s="164" t="str">
        <f ca="1">IFERROR(__xludf.DUMMYFUNCTION("""COMPUTED_VALUE"""),"Desktop Computer – (Lenovo M70T)")</f>
        <v>Desktop Computer – (Lenovo M70T)</v>
      </c>
      <c r="D3308" s="164" t="str">
        <f ca="1">IFERROR(__xludf.DUMMYFUNCTION("""COMPUTED_VALUE"""),"₱ 75,468.00")</f>
        <v>₱ 75,468.00</v>
      </c>
      <c r="E3308" s="164"/>
      <c r="F3308" s="164" t="str">
        <f ca="1">IFERROR(__xludf.DUMMYFUNCTION("""COMPUTED_VALUE"""),"2023-05-03-10201SP1461-01")</f>
        <v>2023-05-03-10201SP1461-01</v>
      </c>
      <c r="G3308" s="164" t="str">
        <f ca="1">IFERROR(__xludf.DUMMYFUNCTION("""COMPUTED_VALUE"""),"VNA99ROT, KNUJ19946")</f>
        <v>VNA99ROT, KNUJ19946</v>
      </c>
      <c r="H3308" s="164" t="str">
        <f ca="1">IFERROR(__xludf.DUMMYFUNCTION("""COMPUTED_VALUE"""),"CHERRY L. ATAY")</f>
        <v>CHERRY L. ATAY</v>
      </c>
      <c r="I3308" s="164" t="str">
        <f ca="1">IFERROR(__xludf.DUMMYFUNCTION("""COMPUTED_VALUE"""),"ARPT")</f>
        <v>ARPT</v>
      </c>
      <c r="J3308" s="164" t="str">
        <f ca="1">IFERROR(__xludf.DUMMYFUNCTION("""COMPUTED_VALUE"""),"P-23-02-ZDN-SPLIT-016")</f>
        <v>P-23-02-ZDN-SPLIT-016</v>
      </c>
      <c r="K3308" s="164" t="str">
        <f ca="1">IFERROR(__xludf.DUMMYFUNCTION("""COMPUTED_VALUE"""),"CHERRY L. ATAY")</f>
        <v>CHERRY L. ATAY</v>
      </c>
      <c r="L3308" s="164" t="str">
        <f ca="1">IFERROR(__xludf.DUMMYFUNCTION("""COMPUTED_VALUE"""),"DARPO-STOD")</f>
        <v>DARPO-STOD</v>
      </c>
      <c r="M3308" s="164" t="str">
        <f ca="1">IFERROR(__xludf.DUMMYFUNCTION("""COMPUTED_VALUE"""),"SERVICEABLE")</f>
        <v>SERVICEABLE</v>
      </c>
      <c r="N3308" s="164" t="str">
        <f ca="1">IFERROR(__xludf.DUMMYFUNCTION("""COMPUTED_VALUE"""),"UPS UNSERVICEABLE")</f>
        <v>UPS UNSERVICEABLE</v>
      </c>
    </row>
    <row r="3309" spans="1:14" ht="13.2" hidden="1">
      <c r="A3309" s="164" t="str">
        <f ca="1">IFERROR(__xludf.DUMMYFUNCTION("""COMPUTED_VALUE"""),"REGION IX")</f>
        <v>REGION IX</v>
      </c>
      <c r="B3309" s="164" t="str">
        <f ca="1">IFERROR(__xludf.DUMMYFUNCTION("""COMPUTED_VALUE"""),"Zamboanga del Norte")</f>
        <v>Zamboanga del Norte</v>
      </c>
      <c r="C3309" s="164" t="str">
        <f ca="1">IFERROR(__xludf.DUMMYFUNCTION("""COMPUTED_VALUE"""),"Desktop Computer – (Lenovo M70T)")</f>
        <v>Desktop Computer – (Lenovo M70T)</v>
      </c>
      <c r="D3309" s="164" t="str">
        <f ca="1">IFERROR(__xludf.DUMMYFUNCTION("""COMPUTED_VALUE"""),"₱ 75,468.00")</f>
        <v>₱ 75,468.00</v>
      </c>
      <c r="E3309" s="164"/>
      <c r="F3309" s="164" t="str">
        <f ca="1">IFERROR(__xludf.DUMMYFUNCTION("""COMPUTED_VALUE"""),"2023-05-03-10201SP1462-01")</f>
        <v>2023-05-03-10201SP1462-01</v>
      </c>
      <c r="G3309" s="164" t="str">
        <f ca="1">IFERROR(__xludf.DUMMYFUNCTION("""COMPUTED_VALUE"""),"VNA99ROT, KNUJ19947")</f>
        <v>VNA99ROT, KNUJ19947</v>
      </c>
      <c r="H3309" s="164" t="str">
        <f ca="1">IFERROR(__xludf.DUMMYFUNCTION("""COMPUTED_VALUE"""),"ELIZA L. PORFERIO")</f>
        <v>ELIZA L. PORFERIO</v>
      </c>
      <c r="I3309" s="164" t="str">
        <f ca="1">IFERROR(__xludf.DUMMYFUNCTION("""COMPUTED_VALUE"""),"SARPT")</f>
        <v>SARPT</v>
      </c>
      <c r="J3309" s="164" t="str">
        <f ca="1">IFERROR(__xludf.DUMMYFUNCTION("""COMPUTED_VALUE"""),"P-23-02-ZDN-SPLIT-017")</f>
        <v>P-23-02-ZDN-SPLIT-017</v>
      </c>
      <c r="K3309" s="164" t="str">
        <f ca="1">IFERROR(__xludf.DUMMYFUNCTION("""COMPUTED_VALUE"""),"ELIZA L. PORFERIO")</f>
        <v>ELIZA L. PORFERIO</v>
      </c>
      <c r="L3309" s="164" t="str">
        <f ca="1">IFERROR(__xludf.DUMMYFUNCTION("""COMPUTED_VALUE"""),"DARPO-STOD")</f>
        <v>DARPO-STOD</v>
      </c>
      <c r="M3309" s="164" t="str">
        <f ca="1">IFERROR(__xludf.DUMMYFUNCTION("""COMPUTED_VALUE"""),"SERVICEABLE")</f>
        <v>SERVICEABLE</v>
      </c>
      <c r="N3309" s="164"/>
    </row>
    <row r="3310" spans="1:14" ht="13.2" hidden="1">
      <c r="A3310" s="164" t="str">
        <f ca="1">IFERROR(__xludf.DUMMYFUNCTION("""COMPUTED_VALUE"""),"REGION IX")</f>
        <v>REGION IX</v>
      </c>
      <c r="B3310" s="164" t="str">
        <f ca="1">IFERROR(__xludf.DUMMYFUNCTION("""COMPUTED_VALUE"""),"Zamboanga del Norte")</f>
        <v>Zamboanga del Norte</v>
      </c>
      <c r="C3310" s="164" t="str">
        <f ca="1">IFERROR(__xludf.DUMMYFUNCTION("""COMPUTED_VALUE"""),"Desktop Computer – (Lenovo M70T)")</f>
        <v>Desktop Computer – (Lenovo M70T)</v>
      </c>
      <c r="D3310" s="164" t="str">
        <f ca="1">IFERROR(__xludf.DUMMYFUNCTION("""COMPUTED_VALUE"""),"₱ 75,468.00")</f>
        <v>₱ 75,468.00</v>
      </c>
      <c r="E3310" s="164"/>
      <c r="F3310" s="164" t="str">
        <f ca="1">IFERROR(__xludf.DUMMYFUNCTION("""COMPUTED_VALUE"""),"2023-05-03-10201SP1463-01")</f>
        <v>2023-05-03-10201SP1463-01</v>
      </c>
      <c r="G3310" s="164" t="str">
        <f ca="1">IFERROR(__xludf.DUMMYFUNCTION("""COMPUTED_VALUE"""),"VNA99R3N, KNVJ19907, EL4322C01327")</f>
        <v>VNA99R3N, KNVJ19907, EL4322C01327</v>
      </c>
      <c r="H3310" s="164" t="str">
        <f ca="1">IFERROR(__xludf.DUMMYFUNCTION("""COMPUTED_VALUE"""),"ELIZA L. PORFERIO")</f>
        <v>ELIZA L. PORFERIO</v>
      </c>
      <c r="I3310" s="164" t="str">
        <f ca="1">IFERROR(__xludf.DUMMYFUNCTION("""COMPUTED_VALUE"""),"SARPT")</f>
        <v>SARPT</v>
      </c>
      <c r="J3310" s="164" t="str">
        <f ca="1">IFERROR(__xludf.DUMMYFUNCTION("""COMPUTED_VALUE"""),"P-23-02-ZDN-SPLIT-018")</f>
        <v>P-23-02-ZDN-SPLIT-018</v>
      </c>
      <c r="K3310" s="164" t="str">
        <f ca="1">IFERROR(__xludf.DUMMYFUNCTION("""COMPUTED_VALUE"""),"ELIZA L. PORFERIO")</f>
        <v>ELIZA L. PORFERIO</v>
      </c>
      <c r="L3310" s="164" t="str">
        <f ca="1">IFERROR(__xludf.DUMMYFUNCTION("""COMPUTED_VALUE"""),"DARPO-STOD")</f>
        <v>DARPO-STOD</v>
      </c>
      <c r="M3310" s="164" t="str">
        <f ca="1">IFERROR(__xludf.DUMMYFUNCTION("""COMPUTED_VALUE"""),"SERVICEABLE")</f>
        <v>SERVICEABLE</v>
      </c>
      <c r="N3310" s="164"/>
    </row>
    <row r="3311" spans="1:14" ht="13.2" hidden="1">
      <c r="A3311" s="164" t="str">
        <f ca="1">IFERROR(__xludf.DUMMYFUNCTION("""COMPUTED_VALUE"""),"REGION IX")</f>
        <v>REGION IX</v>
      </c>
      <c r="B3311" s="164" t="str">
        <f ca="1">IFERROR(__xludf.DUMMYFUNCTION("""COMPUTED_VALUE"""),"Zamboanga del Norte")</f>
        <v>Zamboanga del Norte</v>
      </c>
      <c r="C3311" s="164" t="str">
        <f ca="1">IFERROR(__xludf.DUMMYFUNCTION("""COMPUTED_VALUE"""),"Desktop Computer – (Lenovo M70T)")</f>
        <v>Desktop Computer – (Lenovo M70T)</v>
      </c>
      <c r="D3311" s="164" t="str">
        <f ca="1">IFERROR(__xludf.DUMMYFUNCTION("""COMPUTED_VALUE"""),"₱ 75,468.00")</f>
        <v>₱ 75,468.00</v>
      </c>
      <c r="E3311" s="164"/>
      <c r="F3311" s="164" t="str">
        <f ca="1">IFERROR(__xludf.DUMMYFUNCTION("""COMPUTED_VALUE"""),"2023-05-03-10201SP1464-01")</f>
        <v>2023-05-03-10201SP1464-01</v>
      </c>
      <c r="G3311" s="164" t="str">
        <f ca="1">IFERROR(__xludf.DUMMYFUNCTION("""COMPUTED_VALUE"""),"VNA99R3R, KNUJ20079, EL4322C01326")</f>
        <v>VNA99R3R, KNUJ20079, EL4322C01326</v>
      </c>
      <c r="H3311" s="164" t="str">
        <f ca="1">IFERROR(__xludf.DUMMYFUNCTION("""COMPUTED_VALUE"""),"LIMUEL G. REGALADO")</f>
        <v>LIMUEL G. REGALADO</v>
      </c>
      <c r="I3311" s="164" t="str">
        <f ca="1">IFERROR(__xludf.DUMMYFUNCTION("""COMPUTED_VALUE"""),"ARPO II")</f>
        <v>ARPO II</v>
      </c>
      <c r="J3311" s="164" t="str">
        <f ca="1">IFERROR(__xludf.DUMMYFUNCTION("""COMPUTED_VALUE"""),"P-23-02-ZDN-SPLIT-019")</f>
        <v>P-23-02-ZDN-SPLIT-019</v>
      </c>
      <c r="K3311" s="164" t="str">
        <f ca="1">IFERROR(__xludf.DUMMYFUNCTION("""COMPUTED_VALUE"""),"LIMUEL G. REGALADO")</f>
        <v>LIMUEL G. REGALADO</v>
      </c>
      <c r="L3311" s="164" t="str">
        <f ca="1">IFERROR(__xludf.DUMMYFUNCTION("""COMPUTED_VALUE"""),"DARPO-LTID")</f>
        <v>DARPO-LTID</v>
      </c>
      <c r="M3311" s="164" t="str">
        <f ca="1">IFERROR(__xludf.DUMMYFUNCTION("""COMPUTED_VALUE"""),"SERVICEABLE")</f>
        <v>SERVICEABLE</v>
      </c>
      <c r="N3311" s="164" t="str">
        <f ca="1">IFERROR(__xludf.DUMMYFUNCTION("""COMPUTED_VALUE"""),"FOR REPAIR PRINTER")</f>
        <v>FOR REPAIR PRINTER</v>
      </c>
    </row>
    <row r="3312" spans="1:14" ht="13.2" hidden="1">
      <c r="A3312" s="164" t="str">
        <f ca="1">IFERROR(__xludf.DUMMYFUNCTION("""COMPUTED_VALUE"""),"REGION IX")</f>
        <v>REGION IX</v>
      </c>
      <c r="B3312" s="164" t="str">
        <f ca="1">IFERROR(__xludf.DUMMYFUNCTION("""COMPUTED_VALUE"""),"Zamboanga del Norte")</f>
        <v>Zamboanga del Norte</v>
      </c>
      <c r="C3312" s="164" t="str">
        <f ca="1">IFERROR(__xludf.DUMMYFUNCTION("""COMPUTED_VALUE"""),"Desktop Computer – (Lenovo M70T)")</f>
        <v>Desktop Computer – (Lenovo M70T)</v>
      </c>
      <c r="D3312" s="164" t="str">
        <f ca="1">IFERROR(__xludf.DUMMYFUNCTION("""COMPUTED_VALUE"""),"₱ 75,468.00")</f>
        <v>₱ 75,468.00</v>
      </c>
      <c r="E3312" s="164"/>
      <c r="F3312" s="164" t="str">
        <f ca="1">IFERROR(__xludf.DUMMYFUNCTION("""COMPUTED_VALUE"""),"2023-05-03-10201SP1465-01")</f>
        <v>2023-05-03-10201SP1465-01</v>
      </c>
      <c r="G3312" s="164" t="str">
        <f ca="1">IFERROR(__xludf.DUMMYFUNCTION("""COMPUTED_VALUE"""),"VNA9953V, EL4322C01325")</f>
        <v>VNA9953V, EL4322C01325</v>
      </c>
      <c r="H3312" s="164" t="str">
        <f ca="1">IFERROR(__xludf.DUMMYFUNCTION("""COMPUTED_VALUE"""),"ICY C. OMBALINO")</f>
        <v>ICY C. OMBALINO</v>
      </c>
      <c r="I3312" s="164" t="str">
        <f ca="1">IFERROR(__xludf.DUMMYFUNCTION("""COMPUTED_VALUE"""),"ARPT")</f>
        <v>ARPT</v>
      </c>
      <c r="J3312" s="164" t="str">
        <f ca="1">IFERROR(__xludf.DUMMYFUNCTION("""COMPUTED_VALUE"""),"P-23-05-ZDN-SPLIT-020")</f>
        <v>P-23-05-ZDN-SPLIT-020</v>
      </c>
      <c r="K3312" s="164" t="str">
        <f ca="1">IFERROR(__xludf.DUMMYFUNCTION("""COMPUTED_VALUE"""),"ICY C. OMBALINO")</f>
        <v>ICY C. OMBALINO</v>
      </c>
      <c r="L3312" s="164" t="str">
        <f ca="1">IFERROR(__xludf.DUMMYFUNCTION("""COMPUTED_VALUE"""),"DARPO-LTID")</f>
        <v>DARPO-LTID</v>
      </c>
      <c r="M3312" s="164" t="str">
        <f ca="1">IFERROR(__xludf.DUMMYFUNCTION("""COMPUTED_VALUE"""),"SERVICEABLE")</f>
        <v>SERVICEABLE</v>
      </c>
      <c r="N3312" s="164"/>
    </row>
    <row r="3313" spans="1:14" ht="13.2" hidden="1">
      <c r="A3313" s="164" t="str">
        <f ca="1">IFERROR(__xludf.DUMMYFUNCTION("""COMPUTED_VALUE"""),"REGION IX")</f>
        <v>REGION IX</v>
      </c>
      <c r="B3313" s="164" t="str">
        <f ca="1">IFERROR(__xludf.DUMMYFUNCTION("""COMPUTED_VALUE"""),"Zamboanga del Norte")</f>
        <v>Zamboanga del Norte</v>
      </c>
      <c r="C3313" s="164" t="str">
        <f ca="1">IFERROR(__xludf.DUMMYFUNCTION("""COMPUTED_VALUE"""),"Desktop Computer – (Lenovo M70T)")</f>
        <v>Desktop Computer – (Lenovo M70T)</v>
      </c>
      <c r="D3313" s="164" t="str">
        <f ca="1">IFERROR(__xludf.DUMMYFUNCTION("""COMPUTED_VALUE"""),"₱ 75,468.00")</f>
        <v>₱ 75,468.00</v>
      </c>
      <c r="E3313" s="164"/>
      <c r="F3313" s="164" t="str">
        <f ca="1">IFERROR(__xludf.DUMMYFUNCTION("""COMPUTED_VALUE"""),"2023-05-03-10201SP1466-01")</f>
        <v>2023-05-03-10201SP1466-01</v>
      </c>
      <c r="G3313" s="164" t="str">
        <f ca="1">IFERROR(__xludf.DUMMYFUNCTION("""COMPUTED_VALUE"""),"VNA99RIX KNUJ21188 EL4322C01256")</f>
        <v>VNA99RIX KNUJ21188 EL4322C01256</v>
      </c>
      <c r="H3313" s="164" t="str">
        <f ca="1">IFERROR(__xludf.DUMMYFUNCTION("""COMPUTED_VALUE"""),"PETER PAUL R. CAJOCON")</f>
        <v>PETER PAUL R. CAJOCON</v>
      </c>
      <c r="I3313" s="164" t="str">
        <f ca="1">IFERROR(__xludf.DUMMYFUNCTION("""COMPUTED_VALUE"""),"SARPT")</f>
        <v>SARPT</v>
      </c>
      <c r="J3313" s="164" t="str">
        <f ca="1">IFERROR(__xludf.DUMMYFUNCTION("""COMPUTED_VALUE"""),"P-23-05-ZDN-SPLIT-021")</f>
        <v>P-23-05-ZDN-SPLIT-021</v>
      </c>
      <c r="K3313" s="164" t="str">
        <f ca="1">IFERROR(__xludf.DUMMYFUNCTION("""COMPUTED_VALUE"""),"PETER PAUL R. CAJOCON")</f>
        <v>PETER PAUL R. CAJOCON</v>
      </c>
      <c r="L3313" s="164" t="str">
        <f ca="1">IFERROR(__xludf.DUMMYFUNCTION("""COMPUTED_VALUE"""),"DARMO-KALAWIT")</f>
        <v>DARMO-KALAWIT</v>
      </c>
      <c r="M3313" s="164" t="str">
        <f ca="1">IFERROR(__xludf.DUMMYFUNCTION("""COMPUTED_VALUE"""),"SERVICEABLE")</f>
        <v>SERVICEABLE</v>
      </c>
      <c r="N3313" s="164"/>
    </row>
    <row r="3314" spans="1:14" ht="13.2" hidden="1">
      <c r="A3314" s="164" t="str">
        <f ca="1">IFERROR(__xludf.DUMMYFUNCTION("""COMPUTED_VALUE"""),"REGION IX")</f>
        <v>REGION IX</v>
      </c>
      <c r="B3314" s="164" t="str">
        <f ca="1">IFERROR(__xludf.DUMMYFUNCTION("""COMPUTED_VALUE"""),"Zamboanga del Norte")</f>
        <v>Zamboanga del Norte</v>
      </c>
      <c r="C3314" s="164" t="str">
        <f ca="1">IFERROR(__xludf.DUMMYFUNCTION("""COMPUTED_VALUE"""),"Desktop Computer – (HP Pro SFF 280G9)")</f>
        <v>Desktop Computer – (HP Pro SFF 280G9)</v>
      </c>
      <c r="D3314" s="164" t="str">
        <f ca="1">IFERROR(__xludf.DUMMYFUNCTION("""COMPUTED_VALUE"""),"₱ 78,898.00")</f>
        <v>₱ 78,898.00</v>
      </c>
      <c r="E3314" s="164"/>
      <c r="F3314" s="164" t="str">
        <f ca="1">IFERROR(__xludf.DUMMYFUNCTION("""COMPUTED_VALUE"""),"2023-05-03-10201SP369-01")</f>
        <v>2023-05-03-10201SP369-01</v>
      </c>
      <c r="G3314" s="164" t="str">
        <f ca="1">IFERROR(__xludf.DUMMYFUNCTION("""COMPUTED_VALUE"""),"CNC24719D2 CN2BTM1PB 320225BQ30000165")</f>
        <v>CNC24719D2 CN2BTM1PB 320225BQ30000165</v>
      </c>
      <c r="H3314" s="164" t="str">
        <f ca="1">IFERROR(__xludf.DUMMYFUNCTION("""COMPUTED_VALUE"""),"SAMUEL ANDREW A. BALITON")</f>
        <v>SAMUEL ANDREW A. BALITON</v>
      </c>
      <c r="I3314" s="164" t="str">
        <f ca="1">IFERROR(__xludf.DUMMYFUNCTION("""COMPUTED_VALUE"""),"PCAO")</f>
        <v>PCAO</v>
      </c>
      <c r="J3314" s="164" t="str">
        <f ca="1">IFERROR(__xludf.DUMMYFUNCTION("""COMPUTED_VALUE"""),"P-23-02-ZDN-SPLIT-041")</f>
        <v>P-23-02-ZDN-SPLIT-041</v>
      </c>
      <c r="K3314" s="164" t="str">
        <f ca="1">IFERROR(__xludf.DUMMYFUNCTION("""COMPUTED_VALUE"""),"SAMUEL ANDREW A. BALITON")</f>
        <v>SAMUEL ANDREW A. BALITON</v>
      </c>
      <c r="L3314" s="164" t="str">
        <f ca="1">IFERROR(__xludf.DUMMYFUNCTION("""COMPUTED_VALUE"""),"DARPO-STOD")</f>
        <v>DARPO-STOD</v>
      </c>
      <c r="M3314" s="164" t="str">
        <f ca="1">IFERROR(__xludf.DUMMYFUNCTION("""COMPUTED_VALUE"""),"SERVICEABLE")</f>
        <v>SERVICEABLE</v>
      </c>
      <c r="N3314" s="164" t="str">
        <f ca="1">IFERROR(__xludf.DUMMYFUNCTION("""COMPUTED_VALUE"""),"PRINTER UNSERVICEABLE")</f>
        <v>PRINTER UNSERVICEABLE</v>
      </c>
    </row>
    <row r="3315" spans="1:14" ht="13.2" hidden="1">
      <c r="A3315" s="164" t="str">
        <f ca="1">IFERROR(__xludf.DUMMYFUNCTION("""COMPUTED_VALUE"""),"REGION IX")</f>
        <v>REGION IX</v>
      </c>
      <c r="B3315" s="164" t="str">
        <f ca="1">IFERROR(__xludf.DUMMYFUNCTION("""COMPUTED_VALUE"""),"Zamboanga del Norte")</f>
        <v>Zamboanga del Norte</v>
      </c>
      <c r="C3315" s="164" t="str">
        <f ca="1">IFERROR(__xludf.DUMMYFUNCTION("""COMPUTED_VALUE"""),"Desktop Computer – (HP Pro SFF 280G9)")</f>
        <v>Desktop Computer – (HP Pro SFF 280G9)</v>
      </c>
      <c r="D3315" s="164" t="str">
        <f ca="1">IFERROR(__xludf.DUMMYFUNCTION("""COMPUTED_VALUE"""),"₱ 78,898.00")</f>
        <v>₱ 78,898.00</v>
      </c>
      <c r="E3315" s="164"/>
      <c r="F3315" s="164" t="str">
        <f ca="1">IFERROR(__xludf.DUMMYFUNCTION("""COMPUTED_VALUE"""),"2023-05-03-10201SP370-01")</f>
        <v>2023-05-03-10201SP370-01</v>
      </c>
      <c r="G3315" s="164" t="str">
        <f ca="1">IFERROR(__xludf.DUMMYFUNCTION("""COMPUTED_VALUE"""),"CNC24719C7, CN2BT2M0FI, 320225BQ30000166")</f>
        <v>CNC24719C7, CN2BT2M0FI, 320225BQ30000166</v>
      </c>
      <c r="H3315" s="164" t="str">
        <f ca="1">IFERROR(__xludf.DUMMYFUNCTION("""COMPUTED_VALUE"""),"ICY C. OMBALINO")</f>
        <v>ICY C. OMBALINO</v>
      </c>
      <c r="I3315" s="164" t="str">
        <f ca="1">IFERROR(__xludf.DUMMYFUNCTION("""COMPUTED_VALUE"""),"ARPT")</f>
        <v>ARPT</v>
      </c>
      <c r="J3315" s="164" t="str">
        <f ca="1">IFERROR(__xludf.DUMMYFUNCTION("""COMPUTED_VALUE"""),"P-23-02-ZDN-SPLIT-042")</f>
        <v>P-23-02-ZDN-SPLIT-042</v>
      </c>
      <c r="K3315" s="164" t="str">
        <f ca="1">IFERROR(__xludf.DUMMYFUNCTION("""COMPUTED_VALUE"""),"ICY C. OMBALINO")</f>
        <v>ICY C. OMBALINO</v>
      </c>
      <c r="L3315" s="164" t="str">
        <f ca="1">IFERROR(__xludf.DUMMYFUNCTION("""COMPUTED_VALUE"""),"DARPO-LTID")</f>
        <v>DARPO-LTID</v>
      </c>
      <c r="M3315" s="164" t="str">
        <f ca="1">IFERROR(__xludf.DUMMYFUNCTION("""COMPUTED_VALUE"""),"SERVICEABLE")</f>
        <v>SERVICEABLE</v>
      </c>
      <c r="N3315" s="164"/>
    </row>
    <row r="3316" spans="1:14" ht="13.2" hidden="1">
      <c r="A3316" s="164" t="str">
        <f ca="1">IFERROR(__xludf.DUMMYFUNCTION("""COMPUTED_VALUE"""),"REGION IX")</f>
        <v>REGION IX</v>
      </c>
      <c r="B3316" s="164" t="str">
        <f ca="1">IFERROR(__xludf.DUMMYFUNCTION("""COMPUTED_VALUE"""),"Zamboanga del Norte")</f>
        <v>Zamboanga del Norte</v>
      </c>
      <c r="C3316" s="164" t="str">
        <f ca="1">IFERROR(__xludf.DUMMYFUNCTION("""COMPUTED_VALUE"""),"Desktop Computer – (HP Pro SFF 280G9)")</f>
        <v>Desktop Computer – (HP Pro SFF 280G9)</v>
      </c>
      <c r="D3316" s="164" t="str">
        <f ca="1">IFERROR(__xludf.DUMMYFUNCTION("""COMPUTED_VALUE"""),"₱ 78,898.00")</f>
        <v>₱ 78,898.00</v>
      </c>
      <c r="E3316" s="164"/>
      <c r="F3316" s="164" t="str">
        <f ca="1">IFERROR(__xludf.DUMMYFUNCTION("""COMPUTED_VALUE"""),"2023-05-03-10201SP371-01")</f>
        <v>2023-05-03-10201SP371-01</v>
      </c>
      <c r="G3316" s="164" t="str">
        <f ca="1">IFERROR(__xludf.DUMMYFUNCTION("""COMPUTED_VALUE"""),"CNC2471MO, CNLBT2M005, 320225BQ30000167")</f>
        <v>CNC2471MO, CNLBT2M005, 320225BQ30000167</v>
      </c>
      <c r="H3316" s="164" t="str">
        <f ca="1">IFERROR(__xludf.DUMMYFUNCTION("""COMPUTED_VALUE"""),"ROCEL C. ACEVEDO")</f>
        <v>ROCEL C. ACEVEDO</v>
      </c>
      <c r="I3316" s="164" t="str">
        <f ca="1">IFERROR(__xludf.DUMMYFUNCTION("""COMPUTED_VALUE"""),"ENGINEER II")</f>
        <v>ENGINEER II</v>
      </c>
      <c r="J3316" s="164" t="str">
        <f ca="1">IFERROR(__xludf.DUMMYFUNCTION("""COMPUTED_VALUE"""),"P-23-02-ZDN-SPLIT-043")</f>
        <v>P-23-02-ZDN-SPLIT-043</v>
      </c>
      <c r="K3316" s="164" t="str">
        <f ca="1">IFERROR(__xludf.DUMMYFUNCTION("""COMPUTED_VALUE"""),"ROCEL C. ACEVEDO")</f>
        <v>ROCEL C. ACEVEDO</v>
      </c>
      <c r="L3316" s="164" t="str">
        <f ca="1">IFERROR(__xludf.DUMMYFUNCTION("""COMPUTED_VALUE"""),"DARPO-LTID")</f>
        <v>DARPO-LTID</v>
      </c>
      <c r="M3316" s="164" t="str">
        <f ca="1">IFERROR(__xludf.DUMMYFUNCTION("""COMPUTED_VALUE"""),"SERVICEABLE")</f>
        <v>SERVICEABLE</v>
      </c>
      <c r="N3316" s="164" t="str">
        <f ca="1">IFERROR(__xludf.DUMMYFUNCTION("""COMPUTED_VALUE"""),"UNSERVICEABLE PRINTER")</f>
        <v>UNSERVICEABLE PRINTER</v>
      </c>
    </row>
    <row r="3317" spans="1:14" ht="13.2" hidden="1">
      <c r="A3317" s="164" t="str">
        <f ca="1">IFERROR(__xludf.DUMMYFUNCTION("""COMPUTED_VALUE"""),"REGION IX")</f>
        <v>REGION IX</v>
      </c>
      <c r="B3317" s="164" t="str">
        <f ca="1">IFERROR(__xludf.DUMMYFUNCTION("""COMPUTED_VALUE"""),"Zamboanga del Norte")</f>
        <v>Zamboanga del Norte</v>
      </c>
      <c r="C3317" s="164" t="str">
        <f ca="1">IFERROR(__xludf.DUMMYFUNCTION("""COMPUTED_VALUE"""),"Desktop Computer – (HP Pro SFF 280G9)")</f>
        <v>Desktop Computer – (HP Pro SFF 280G9)</v>
      </c>
      <c r="D3317" s="164" t="str">
        <f ca="1">IFERROR(__xludf.DUMMYFUNCTION("""COMPUTED_VALUE"""),"₱ 78,898.00")</f>
        <v>₱ 78,898.00</v>
      </c>
      <c r="E3317" s="164"/>
      <c r="F3317" s="164" t="str">
        <f ca="1">IFERROR(__xludf.DUMMYFUNCTION("""COMPUTED_VALUE"""),"2023-05-03-10201SP372-01")</f>
        <v>2023-05-03-10201SP372-01</v>
      </c>
      <c r="G3317" s="164" t="str">
        <f ca="1">IFERROR(__xludf.DUMMYFUNCTION("""COMPUTED_VALUE"""),"2471PLP / CN2BT2M005")</f>
        <v>2471PLP / CN2BT2M005</v>
      </c>
      <c r="H3317" s="164" t="str">
        <f ca="1">IFERROR(__xludf.DUMMYFUNCTION("""COMPUTED_VALUE"""),"LERMA B. ONGUE")</f>
        <v>LERMA B. ONGUE</v>
      </c>
      <c r="I3317" s="164" t="str">
        <f ca="1">IFERROR(__xludf.DUMMYFUNCTION("""COMPUTED_VALUE"""),"SARPO")</f>
        <v>SARPO</v>
      </c>
      <c r="J3317" s="164" t="str">
        <f ca="1">IFERROR(__xludf.DUMMYFUNCTION("""COMPUTED_VALUE"""),"P-23-02-ZDN-SPLIT-044")</f>
        <v>P-23-02-ZDN-SPLIT-044</v>
      </c>
      <c r="K3317" s="164" t="str">
        <f ca="1">IFERROR(__xludf.DUMMYFUNCTION("""COMPUTED_VALUE"""),"LERMA B. ONGUE")</f>
        <v>LERMA B. ONGUE</v>
      </c>
      <c r="L3317" s="164" t="str">
        <f ca="1">IFERROR(__xludf.DUMMYFUNCTION("""COMPUTED_VALUE"""),"DARPO-LEGAL")</f>
        <v>DARPO-LEGAL</v>
      </c>
      <c r="M3317" s="164" t="str">
        <f ca="1">IFERROR(__xludf.DUMMYFUNCTION("""COMPUTED_VALUE"""),"SERVICEABLE")</f>
        <v>SERVICEABLE</v>
      </c>
      <c r="N3317" s="164" t="str">
        <f ca="1">IFERROR(__xludf.DUMMYFUNCTION("""COMPUTED_VALUE"""),"UNSERVICEABLE PRINTER")</f>
        <v>UNSERVICEABLE PRINTER</v>
      </c>
    </row>
    <row r="3318" spans="1:14" ht="13.2" hidden="1">
      <c r="A3318" s="164" t="str">
        <f ca="1">IFERROR(__xludf.DUMMYFUNCTION("""COMPUTED_VALUE"""),"REGION IX")</f>
        <v>REGION IX</v>
      </c>
      <c r="B3318" s="164" t="str">
        <f ca="1">IFERROR(__xludf.DUMMYFUNCTION("""COMPUTED_VALUE"""),"Zamboanga del Norte")</f>
        <v>Zamboanga del Norte</v>
      </c>
      <c r="C3318" s="164" t="str">
        <f ca="1">IFERROR(__xludf.DUMMYFUNCTION("""COMPUTED_VALUE"""),"Desktop Computer – (HP Pro SFF 280G9)")</f>
        <v>Desktop Computer – (HP Pro SFF 280G9)</v>
      </c>
      <c r="D3318" s="164" t="str">
        <f ca="1">IFERROR(__xludf.DUMMYFUNCTION("""COMPUTED_VALUE"""),"₱ 78,898.00")</f>
        <v>₱ 78,898.00</v>
      </c>
      <c r="E3318" s="164"/>
      <c r="F3318" s="164" t="str">
        <f ca="1">IFERROR(__xludf.DUMMYFUNCTION("""COMPUTED_VALUE"""),"2023-05-03-10201SP373-01")</f>
        <v>2023-05-03-10201SP373-01</v>
      </c>
      <c r="G3318" s="164" t="str">
        <f ca="1">IFERROR(__xludf.DUMMYFUNCTION("""COMPUTED_VALUE"""),"CNC2471PL / CN2B12M0HS")</f>
        <v>CNC2471PL / CN2B12M0HS</v>
      </c>
      <c r="H3318" s="164" t="str">
        <f ca="1">IFERROR(__xludf.DUMMYFUNCTION("""COMPUTED_VALUE"""),"JESSICA A. BRIONES")</f>
        <v>JESSICA A. BRIONES</v>
      </c>
      <c r="I3318" s="164" t="str">
        <f ca="1">IFERROR(__xludf.DUMMYFUNCTION("""COMPUTED_VALUE"""),"ARPT")</f>
        <v>ARPT</v>
      </c>
      <c r="J3318" s="164" t="str">
        <f ca="1">IFERROR(__xludf.DUMMYFUNCTION("""COMPUTED_VALUE"""),"P-23-02-ZDN-SPLIT-045")</f>
        <v>P-23-02-ZDN-SPLIT-045</v>
      </c>
      <c r="K3318" s="164" t="str">
        <f ca="1">IFERROR(__xludf.DUMMYFUNCTION("""COMPUTED_VALUE"""),"JESSICA A. BRIONES")</f>
        <v>JESSICA A. BRIONES</v>
      </c>
      <c r="L3318" s="164" t="str">
        <f ca="1">IFERROR(__xludf.DUMMYFUNCTION("""COMPUTED_VALUE"""),"DARPO-LEGAL")</f>
        <v>DARPO-LEGAL</v>
      </c>
      <c r="M3318" s="164" t="str">
        <f ca="1">IFERROR(__xludf.DUMMYFUNCTION("""COMPUTED_VALUE"""),"SERVICEABLE")</f>
        <v>SERVICEABLE</v>
      </c>
      <c r="N3318" s="164" t="str">
        <f ca="1">IFERROR(__xludf.DUMMYFUNCTION("""COMPUTED_VALUE"""),"UNSERVICEABLE PRINTER")</f>
        <v>UNSERVICEABLE PRINTER</v>
      </c>
    </row>
    <row r="3319" spans="1:14" ht="13.2" hidden="1">
      <c r="A3319" s="164" t="str">
        <f ca="1">IFERROR(__xludf.DUMMYFUNCTION("""COMPUTED_VALUE"""),"REGION IX")</f>
        <v>REGION IX</v>
      </c>
      <c r="B3319" s="164" t="str">
        <f ca="1">IFERROR(__xludf.DUMMYFUNCTION("""COMPUTED_VALUE"""),"Zamboanga del Norte")</f>
        <v>Zamboanga del Norte</v>
      </c>
      <c r="C3319" s="164" t="str">
        <f ca="1">IFERROR(__xludf.DUMMYFUNCTION("""COMPUTED_VALUE"""),"Laptop – (ACER EXTENSA EX215-55G i7)")</f>
        <v>Laptop – (ACER EXTENSA EX215-55G i7)</v>
      </c>
      <c r="D3319" s="164" t="str">
        <f ca="1">IFERROR(__xludf.DUMMYFUNCTION("""COMPUTED_VALUE"""),"₱ 59,500.00")</f>
        <v>₱ 59,500.00</v>
      </c>
      <c r="E3319" s="164"/>
      <c r="F3319" s="164" t="str">
        <f ca="1">IFERROR(__xludf.DUMMYFUNCTION("""COMPUTED_VALUE"""),"2023-05-03-10202SP333-01")</f>
        <v>2023-05-03-10202SP333-01</v>
      </c>
      <c r="G3319" s="164" t="str">
        <f ca="1">IFERROR(__xludf.DUMMYFUNCTION("""COMPUTED_VALUE"""),"NXEGZSP00330801F493400")</f>
        <v>NXEGZSP00330801F493400</v>
      </c>
      <c r="H3319" s="164" t="str">
        <f ca="1">IFERROR(__xludf.DUMMYFUNCTION("""COMPUTED_VALUE"""),"LIMUEL G. REGALADO
 ICY OMBALINNO")</f>
        <v>LIMUEL G. REGALADO
 ICY OMBALINNO</v>
      </c>
      <c r="I3319" s="164" t="str">
        <f ca="1">IFERROR(__xludf.DUMMYFUNCTION("""COMPUTED_VALUE"""),"ARPO II")</f>
        <v>ARPO II</v>
      </c>
      <c r="J3319" s="164" t="str">
        <f ca="1">IFERROR(__xludf.DUMMYFUNCTION("""COMPUTED_VALUE"""),"P-23-02-ZDN-SPLIT-046")</f>
        <v>P-23-02-ZDN-SPLIT-046</v>
      </c>
      <c r="K3319" s="164" t="str">
        <f ca="1">IFERROR(__xludf.DUMMYFUNCTION("""COMPUTED_VALUE"""),"LIMUEL G. REGALADO")</f>
        <v>LIMUEL G. REGALADO</v>
      </c>
      <c r="L3319" s="164" t="str">
        <f ca="1">IFERROR(__xludf.DUMMYFUNCTION("""COMPUTED_VALUE"""),"DARPO-LTID")</f>
        <v>DARPO-LTID</v>
      </c>
      <c r="M3319" s="164" t="str">
        <f ca="1">IFERROR(__xludf.DUMMYFUNCTION("""COMPUTED_VALUE"""),"SERVICEABLE")</f>
        <v>SERVICEABLE</v>
      </c>
      <c r="N3319" s="164"/>
    </row>
    <row r="3320" spans="1:14" ht="13.2" hidden="1">
      <c r="A3320" s="164" t="str">
        <f ca="1">IFERROR(__xludf.DUMMYFUNCTION("""COMPUTED_VALUE"""),"REGION IX")</f>
        <v>REGION IX</v>
      </c>
      <c r="B3320" s="164" t="str">
        <f ca="1">IFERROR(__xludf.DUMMYFUNCTION("""COMPUTED_VALUE"""),"Zamboanga del Norte")</f>
        <v>Zamboanga del Norte</v>
      </c>
      <c r="C3320" s="164" t="str">
        <f ca="1">IFERROR(__xludf.DUMMYFUNCTION("""COMPUTED_VALUE"""),"Laptop – (ACER EXTENSA EX215-55G i7)")</f>
        <v>Laptop – (ACER EXTENSA EX215-55G i7)</v>
      </c>
      <c r="D3320" s="164" t="str">
        <f ca="1">IFERROR(__xludf.DUMMYFUNCTION("""COMPUTED_VALUE"""),"₱ 59,500.00")</f>
        <v>₱ 59,500.00</v>
      </c>
      <c r="E3320" s="164"/>
      <c r="F3320" s="164" t="str">
        <f ca="1">IFERROR(__xludf.DUMMYFUNCTION("""COMPUTED_VALUE"""),"2023-05-03-10202SP334-01")</f>
        <v>2023-05-03-10202SP334-01</v>
      </c>
      <c r="G3320" s="164" t="str">
        <f ca="1">IFERROR(__xludf.DUMMYFUNCTION("""COMPUTED_VALUE"""),"NXEGZSP0033801CFE3400")</f>
        <v>NXEGZSP0033801CFE3400</v>
      </c>
      <c r="H3320" s="164" t="str">
        <f ca="1">IFERROR(__xludf.DUMMYFUNCTION("""COMPUTED_VALUE"""),"AL CASSIM A. CAMSIA JR.")</f>
        <v>AL CASSIM A. CAMSIA JR.</v>
      </c>
      <c r="I3320" s="164" t="str">
        <f ca="1">IFERROR(__xludf.DUMMYFUNCTION("""COMPUTED_VALUE"""),"ARPT")</f>
        <v>ARPT</v>
      </c>
      <c r="J3320" s="164" t="str">
        <f ca="1">IFERROR(__xludf.DUMMYFUNCTION("""COMPUTED_VALUE"""),"P-23-02-ZDN-SPLIT-047")</f>
        <v>P-23-02-ZDN-SPLIT-047</v>
      </c>
      <c r="K3320" s="164" t="str">
        <f ca="1">IFERROR(__xludf.DUMMYFUNCTION("""COMPUTED_VALUE"""),"AL CASSIM A. CAMSIA JR.")</f>
        <v>AL CASSIM A. CAMSIA JR.</v>
      </c>
      <c r="L3320" s="164" t="str">
        <f ca="1">IFERROR(__xludf.DUMMYFUNCTION("""COMPUTED_VALUE"""),"DARPO-STOD")</f>
        <v>DARPO-STOD</v>
      </c>
      <c r="M3320" s="164" t="str">
        <f ca="1">IFERROR(__xludf.DUMMYFUNCTION("""COMPUTED_VALUE"""),"SERVICEABLE")</f>
        <v>SERVICEABLE</v>
      </c>
      <c r="N3320" s="164"/>
    </row>
    <row r="3321" spans="1:14" ht="13.2" hidden="1">
      <c r="A3321" s="164" t="str">
        <f ca="1">IFERROR(__xludf.DUMMYFUNCTION("""COMPUTED_VALUE"""),"REGION IX")</f>
        <v>REGION IX</v>
      </c>
      <c r="B3321" s="164" t="str">
        <f ca="1">IFERROR(__xludf.DUMMYFUNCTION("""COMPUTED_VALUE"""),"Zamboanga del Norte")</f>
        <v>Zamboanga del Norte</v>
      </c>
      <c r="C3321" s="164" t="str">
        <f ca="1">IFERROR(__xludf.DUMMYFUNCTION("""COMPUTED_VALUE"""),"Laptop – (ACER EXTENSA EX215-55G i7)")</f>
        <v>Laptop – (ACER EXTENSA EX215-55G i7)</v>
      </c>
      <c r="D3321" s="164" t="str">
        <f ca="1">IFERROR(__xludf.DUMMYFUNCTION("""COMPUTED_VALUE"""),"₱ 59,500.00")</f>
        <v>₱ 59,500.00</v>
      </c>
      <c r="E3321" s="164"/>
      <c r="F3321" s="164" t="str">
        <f ca="1">IFERROR(__xludf.DUMMYFUNCTION("""COMPUTED_VALUE"""),"2023-05-03-10202SP335-01")</f>
        <v>2023-05-03-10202SP335-01</v>
      </c>
      <c r="G3321" s="164" t="str">
        <f ca="1">IFERROR(__xludf.DUMMYFUNCTION("""COMPUTED_VALUE"""),"NXEGZSP0033801DF23400")</f>
        <v>NXEGZSP0033801DF23400</v>
      </c>
      <c r="H3321" s="164" t="str">
        <f ca="1">IFERROR(__xludf.DUMMYFUNCTION("""COMPUTED_VALUE"""),"JENNY M. LARIOSA")</f>
        <v>JENNY M. LARIOSA</v>
      </c>
      <c r="I3321" s="164" t="str">
        <f ca="1">IFERROR(__xludf.DUMMYFUNCTION("""COMPUTED_VALUE"""),"ARPO I")</f>
        <v>ARPO I</v>
      </c>
      <c r="J3321" s="164" t="str">
        <f ca="1">IFERROR(__xludf.DUMMYFUNCTION("""COMPUTED_VALUE"""),"P-23-02-ZDN-SPLIT-048")</f>
        <v>P-23-02-ZDN-SPLIT-048</v>
      </c>
      <c r="K3321" s="164" t="str">
        <f ca="1">IFERROR(__xludf.DUMMYFUNCTION("""COMPUTED_VALUE"""),"JENNY M. LARIOSA")</f>
        <v>JENNY M. LARIOSA</v>
      </c>
      <c r="L3321" s="164" t="str">
        <f ca="1">IFERROR(__xludf.DUMMYFUNCTION("""COMPUTED_VALUE"""),"DARPO-STOD")</f>
        <v>DARPO-STOD</v>
      </c>
      <c r="M3321" s="164" t="str">
        <f ca="1">IFERROR(__xludf.DUMMYFUNCTION("""COMPUTED_VALUE"""),"SERVICEABLE")</f>
        <v>SERVICEABLE</v>
      </c>
      <c r="N3321" s="164"/>
    </row>
    <row r="3322" spans="1:14" ht="13.2" hidden="1">
      <c r="A3322" s="164" t="str">
        <f ca="1">IFERROR(__xludf.DUMMYFUNCTION("""COMPUTED_VALUE"""),"REGION IX")</f>
        <v>REGION IX</v>
      </c>
      <c r="B3322" s="164" t="str">
        <f ca="1">IFERROR(__xludf.DUMMYFUNCTION("""COMPUTED_VALUE"""),"Zamboanga del Norte")</f>
        <v>Zamboanga del Norte</v>
      </c>
      <c r="C3322" s="164" t="str">
        <f ca="1">IFERROR(__xludf.DUMMYFUNCTION("""COMPUTED_VALUE"""),"Laptop – (ACER EXTENSA EX215-55G i7)")</f>
        <v>Laptop – (ACER EXTENSA EX215-55G i7)</v>
      </c>
      <c r="D3322" s="164" t="str">
        <f ca="1">IFERROR(__xludf.DUMMYFUNCTION("""COMPUTED_VALUE"""),"₱ 59,500.00")</f>
        <v>₱ 59,500.00</v>
      </c>
      <c r="E3322" s="164"/>
      <c r="F3322" s="164" t="str">
        <f ca="1">IFERROR(__xludf.DUMMYFUNCTION("""COMPUTED_VALUE"""),"2023-05-03-10202SP336-01")</f>
        <v>2023-05-03-10202SP336-01</v>
      </c>
      <c r="G3322" s="164" t="str">
        <f ca="1">IFERROR(__xludf.DUMMYFUNCTION("""COMPUTED_VALUE"""),"30800723534")</f>
        <v>30800723534</v>
      </c>
      <c r="H3322" s="164" t="str">
        <f ca="1">IFERROR(__xludf.DUMMYFUNCTION("""COMPUTED_VALUE"""),"ROCEL C. ACEVEDO")</f>
        <v>ROCEL C. ACEVEDO</v>
      </c>
      <c r="I3322" s="164" t="str">
        <f ca="1">IFERROR(__xludf.DUMMYFUNCTION("""COMPUTED_VALUE"""),"ENGINEER II")</f>
        <v>ENGINEER II</v>
      </c>
      <c r="J3322" s="164" t="str">
        <f ca="1">IFERROR(__xludf.DUMMYFUNCTION("""COMPUTED_VALUE"""),"P-23-02-ZDN-SPLIT-049")</f>
        <v>P-23-02-ZDN-SPLIT-049</v>
      </c>
      <c r="K3322" s="164" t="str">
        <f ca="1">IFERROR(__xludf.DUMMYFUNCTION("""COMPUTED_VALUE"""),"ROCEL C. ACEVEDO")</f>
        <v>ROCEL C. ACEVEDO</v>
      </c>
      <c r="L3322" s="164" t="str">
        <f ca="1">IFERROR(__xludf.DUMMYFUNCTION("""COMPUTED_VALUE"""),"DARPO-LTID")</f>
        <v>DARPO-LTID</v>
      </c>
      <c r="M3322" s="164" t="str">
        <f ca="1">IFERROR(__xludf.DUMMYFUNCTION("""COMPUTED_VALUE"""),"SERVICEABLE")</f>
        <v>SERVICEABLE</v>
      </c>
      <c r="N3322" s="164"/>
    </row>
    <row r="3323" spans="1:14" ht="13.2" hidden="1">
      <c r="A3323" s="164" t="str">
        <f ca="1">IFERROR(__xludf.DUMMYFUNCTION("""COMPUTED_VALUE"""),"REGION IX")</f>
        <v>REGION IX</v>
      </c>
      <c r="B3323" s="164" t="str">
        <f ca="1">IFERROR(__xludf.DUMMYFUNCTION("""COMPUTED_VALUE"""),"Zamboanga del Norte")</f>
        <v>Zamboanga del Norte</v>
      </c>
      <c r="C3323" s="164" t="str">
        <f ca="1">IFERROR(__xludf.DUMMYFUNCTION("""COMPUTED_VALUE"""),"Laptop – (ACER EXTENSA EX215-55G i7)")</f>
        <v>Laptop – (ACER EXTENSA EX215-55G i7)</v>
      </c>
      <c r="D3323" s="164" t="str">
        <f ca="1">IFERROR(__xludf.DUMMYFUNCTION("""COMPUTED_VALUE"""),"₱ 59,500.00")</f>
        <v>₱ 59,500.00</v>
      </c>
      <c r="E3323" s="164"/>
      <c r="F3323" s="164" t="str">
        <f ca="1">IFERROR(__xludf.DUMMYFUNCTION("""COMPUTED_VALUE"""),"2023-05-03-10202SP70-01")</f>
        <v>2023-05-03-10202SP70-01</v>
      </c>
      <c r="G3323" s="164" t="str">
        <f ca="1">IFERROR(__xludf.DUMMYFUNCTION("""COMPUTED_VALUE"""),"SN: NXEGZSP00330801C2B3400")</f>
        <v>SN: NXEGZSP00330801C2B3400</v>
      </c>
      <c r="H3323" s="164" t="str">
        <f ca="1">IFERROR(__xludf.DUMMYFUNCTION("""COMPUTED_VALUE"""),"ROSEMAY PEREZ")</f>
        <v>ROSEMAY PEREZ</v>
      </c>
      <c r="I3323" s="164" t="str">
        <f ca="1">IFERROR(__xludf.DUMMYFUNCTION("""COMPUTED_VALUE"""),"ARPT")</f>
        <v>ARPT</v>
      </c>
      <c r="J3323" s="164" t="str">
        <f ca="1">IFERROR(__xludf.DUMMYFUNCTION("""COMPUTED_VALUE"""),"2023-05-013L")</f>
        <v>2023-05-013L</v>
      </c>
      <c r="K3323" s="164" t="str">
        <f ca="1">IFERROR(__xludf.DUMMYFUNCTION("""COMPUTED_VALUE"""),"JOVILYN B. TAGHOY")</f>
        <v>JOVILYN B. TAGHOY</v>
      </c>
      <c r="L3323" s="164" t="str">
        <f ca="1">IFERROR(__xludf.DUMMYFUNCTION("""COMPUTED_VALUE"""),"DARPO-LTID")</f>
        <v>DARPO-LTID</v>
      </c>
      <c r="M3323" s="164" t="str">
        <f ca="1">IFERROR(__xludf.DUMMYFUNCTION("""COMPUTED_VALUE"""),"SERVICEABLE")</f>
        <v>SERVICEABLE</v>
      </c>
      <c r="N3323" s="164"/>
    </row>
    <row r="3324" spans="1:14" ht="13.2" hidden="1">
      <c r="A3324" s="164" t="str">
        <f ca="1">IFERROR(__xludf.DUMMYFUNCTION("""COMPUTED_VALUE"""),"REGION IX")</f>
        <v>REGION IX</v>
      </c>
      <c r="B3324" s="164" t="str">
        <f ca="1">IFERROR(__xludf.DUMMYFUNCTION("""COMPUTED_VALUE"""),"Zamboanga del Norte")</f>
        <v>Zamboanga del Norte</v>
      </c>
      <c r="C3324" s="164" t="str">
        <f ca="1">IFERROR(__xludf.DUMMYFUNCTION("""COMPUTED_VALUE"""),"Photocopier Machine – Kyocera")</f>
        <v>Photocopier Machine – Kyocera</v>
      </c>
      <c r="D3324" s="164" t="str">
        <f ca="1">IFERROR(__xludf.DUMMYFUNCTION("""COMPUTED_VALUE"""),"₱ 84,500.00")</f>
        <v>₱ 84,500.00</v>
      </c>
      <c r="E3324" s="164"/>
      <c r="F3324" s="164" t="str">
        <f ca="1">IFERROR(__xludf.DUMMYFUNCTION("""COMPUTED_VALUE"""),"2023-05-03-10202SP70-01")</f>
        <v>2023-05-03-10202SP70-01</v>
      </c>
      <c r="G3324" s="164" t="str">
        <f ca="1">IFERROR(__xludf.DUMMYFUNCTION("""COMPUTED_VALUE"""),"RNK1200141")</f>
        <v>RNK1200141</v>
      </c>
      <c r="H3324" s="164" t="str">
        <f ca="1">IFERROR(__xludf.DUMMYFUNCTION("""COMPUTED_VALUE"""),"ISOLDE L. LOPEZ
 TEODULO YANOYAN")</f>
        <v>ISOLDE L. LOPEZ
 TEODULO YANOYAN</v>
      </c>
      <c r="I3324" s="164" t="str">
        <f ca="1">IFERROR(__xludf.DUMMYFUNCTION("""COMPUTED_VALUE"""),"CARPO")</f>
        <v>CARPO</v>
      </c>
      <c r="J3324" s="164" t="str">
        <f ca="1">IFERROR(__xludf.DUMMYFUNCTION("""COMPUTED_VALUE"""),"P-23-02-ZDN-SPLIT-050")</f>
        <v>P-23-02-ZDN-SPLIT-050</v>
      </c>
      <c r="K3324" s="164" t="str">
        <f ca="1">IFERROR(__xludf.DUMMYFUNCTION("""COMPUTED_VALUE"""),"ISOLDE L. LOPEZ
 TEODULO YANOYAN")</f>
        <v>ISOLDE L. LOPEZ
 TEODULO YANOYAN</v>
      </c>
      <c r="L3324" s="164" t="str">
        <f ca="1">IFERROR(__xludf.DUMMYFUNCTION("""COMPUTED_VALUE"""),"DARPO-STOD")</f>
        <v>DARPO-STOD</v>
      </c>
      <c r="M3324" s="164" t="str">
        <f ca="1">IFERROR(__xludf.DUMMYFUNCTION("""COMPUTED_VALUE"""),"SERVICEABLE")</f>
        <v>SERVICEABLE</v>
      </c>
      <c r="N3324" s="164"/>
    </row>
    <row r="3325" spans="1:14" ht="13.2" hidden="1">
      <c r="A3325" s="164" t="str">
        <f ca="1">IFERROR(__xludf.DUMMYFUNCTION("""COMPUTED_VALUE"""),"REGION IX")</f>
        <v>REGION IX</v>
      </c>
      <c r="B3325" s="164" t="str">
        <f ca="1">IFERROR(__xludf.DUMMYFUNCTION("""COMPUTED_VALUE"""),"Zamboanga del Norte")</f>
        <v>Zamboanga del Norte</v>
      </c>
      <c r="C3325" s="164" t="str">
        <f ca="1">IFERROR(__xludf.DUMMYFUNCTION("""COMPUTED_VALUE"""),"REAL-TIME KINEMATIC – GEOMAX ZENITH60")</f>
        <v>REAL-TIME KINEMATIC – GEOMAX ZENITH60</v>
      </c>
      <c r="D3325" s="164" t="str">
        <f ca="1">IFERROR(__xludf.DUMMYFUNCTION("""COMPUTED_VALUE"""),"₱ 1,849,000.00")</f>
        <v>₱ 1,849,000.00</v>
      </c>
      <c r="E3325" s="164"/>
      <c r="F3325" s="164" t="str">
        <f ca="1">IFERROR(__xludf.DUMMYFUNCTION("""COMPUTED_VALUE"""),"2023-05-14-10201SP41-01")</f>
        <v>2023-05-14-10201SP41-01</v>
      </c>
      <c r="G3325" s="164"/>
      <c r="H3325" s="164" t="str">
        <f ca="1">IFERROR(__xludf.DUMMYFUNCTION("""COMPUTED_VALUE"""),"ROCEL C. ACEVEDO")</f>
        <v>ROCEL C. ACEVEDO</v>
      </c>
      <c r="I3325" s="164" t="str">
        <f ca="1">IFERROR(__xludf.DUMMYFUNCTION("""COMPUTED_VALUE"""),"ENGINEER II")</f>
        <v>ENGINEER II</v>
      </c>
      <c r="J3325" s="164" t="str">
        <f ca="1">IFERROR(__xludf.DUMMYFUNCTION("""COMPUTED_VALUE"""),"P-23-04-ZDN-SPLIT-004")</f>
        <v>P-23-04-ZDN-SPLIT-004</v>
      </c>
      <c r="K3325" s="164" t="str">
        <f ca="1">IFERROR(__xludf.DUMMYFUNCTION("""COMPUTED_VALUE"""),"ROCEL C. ACEVEDO")</f>
        <v>ROCEL C. ACEVEDO</v>
      </c>
      <c r="L3325" s="164" t="str">
        <f ca="1">IFERROR(__xludf.DUMMYFUNCTION("""COMPUTED_VALUE"""),"DARPO-LTID")</f>
        <v>DARPO-LTID</v>
      </c>
      <c r="M3325" s="164" t="str">
        <f ca="1">IFERROR(__xludf.DUMMYFUNCTION("""COMPUTED_VALUE"""),"SERVICEABLE")</f>
        <v>SERVICEABLE</v>
      </c>
      <c r="N3325" s="164"/>
    </row>
    <row r="3326" spans="1:14" ht="13.2" hidden="1">
      <c r="A3326" s="164" t="str">
        <f ca="1">IFERROR(__xludf.DUMMYFUNCTION("""COMPUTED_VALUE"""),"REGION IX")</f>
        <v>REGION IX</v>
      </c>
      <c r="B3326" s="164" t="str">
        <f ca="1">IFERROR(__xludf.DUMMYFUNCTION("""COMPUTED_VALUE"""),"Zamboanga del Norte")</f>
        <v>Zamboanga del Norte</v>
      </c>
      <c r="C3326" s="164" t="str">
        <f ca="1">IFERROR(__xludf.DUMMYFUNCTION("""COMPUTED_VALUE"""),"TOTAL STATION – GEOMAX TOTAL STATION ZOOM 50")</f>
        <v>TOTAL STATION – GEOMAX TOTAL STATION ZOOM 50</v>
      </c>
      <c r="D3326" s="164" t="str">
        <f ca="1">IFERROR(__xludf.DUMMYFUNCTION("""COMPUTED_VALUE"""),"₱ 648,000.00")</f>
        <v>₱ 648,000.00</v>
      </c>
      <c r="E3326" s="164"/>
      <c r="F3326" s="164" t="str">
        <f ca="1">IFERROR(__xludf.DUMMYFUNCTION("""COMPUTED_VALUE"""),"2023-05-14-10201SP41-01")</f>
        <v>2023-05-14-10201SP41-01</v>
      </c>
      <c r="G3326" s="164"/>
      <c r="H3326" s="164" t="str">
        <f ca="1">IFERROR(__xludf.DUMMYFUNCTION("""COMPUTED_VALUE"""),"ROCEL C. ACEVEDO")</f>
        <v>ROCEL C. ACEVEDO</v>
      </c>
      <c r="I3326" s="164" t="str">
        <f ca="1">IFERROR(__xludf.DUMMYFUNCTION("""COMPUTED_VALUE"""),"ENGINEER II")</f>
        <v>ENGINEER II</v>
      </c>
      <c r="J3326" s="164" t="str">
        <f ca="1">IFERROR(__xludf.DUMMYFUNCTION("""COMPUTED_VALUE"""),"P-23-02-ZDN-SPLIT-005")</f>
        <v>P-23-02-ZDN-SPLIT-005</v>
      </c>
      <c r="K3326" s="164" t="str">
        <f ca="1">IFERROR(__xludf.DUMMYFUNCTION("""COMPUTED_VALUE"""),"ROCEL C. ACEVEDO")</f>
        <v>ROCEL C. ACEVEDO</v>
      </c>
      <c r="L3326" s="164" t="str">
        <f ca="1">IFERROR(__xludf.DUMMYFUNCTION("""COMPUTED_VALUE"""),"DARPO-LTID")</f>
        <v>DARPO-LTID</v>
      </c>
      <c r="M3326" s="164" t="str">
        <f ca="1">IFERROR(__xludf.DUMMYFUNCTION("""COMPUTED_VALUE"""),"SERVICEABLE")</f>
        <v>SERVICEABLE</v>
      </c>
      <c r="N3326" s="164"/>
    </row>
    <row r="3327" spans="1:14" ht="13.2" hidden="1">
      <c r="A3327" s="164" t="str">
        <f ca="1">IFERROR(__xludf.DUMMYFUNCTION("""COMPUTED_VALUE"""),"REGION IX")</f>
        <v>REGION IX</v>
      </c>
      <c r="B3327" s="164" t="str">
        <f ca="1">IFERROR(__xludf.DUMMYFUNCTION("""COMPUTED_VALUE"""),"Zamboanga del Norte")</f>
        <v>Zamboanga del Norte</v>
      </c>
      <c r="C3327" s="164" t="str">
        <f ca="1">IFERROR(__xludf.DUMMYFUNCTION("""COMPUTED_VALUE"""),"HANDHELD GPS – MODEL P6")</f>
        <v>HANDHELD GPS – MODEL P6</v>
      </c>
      <c r="D3327" s="164" t="str">
        <f ca="1">IFERROR(__xludf.DUMMYFUNCTION("""COMPUTED_VALUE"""),"₱ 79,000.00")</f>
        <v>₱ 79,000.00</v>
      </c>
      <c r="E3327" s="164"/>
      <c r="F3327" s="164" t="str">
        <f ca="1">IFERROR(__xludf.DUMMYFUNCTION("""COMPUTED_VALUE"""),"2023-05-14-10201SP23-01")</f>
        <v>2023-05-14-10201SP23-01</v>
      </c>
      <c r="G3327" s="164"/>
      <c r="H3327" s="164" t="str">
        <f ca="1">IFERROR(__xludf.DUMMYFUNCTION("""COMPUTED_VALUE"""),"ROCEL C. ACEVEDO")</f>
        <v>ROCEL C. ACEVEDO</v>
      </c>
      <c r="I3327" s="164" t="str">
        <f ca="1">IFERROR(__xludf.DUMMYFUNCTION("""COMPUTED_VALUE"""),"ENGINEER II")</f>
        <v>ENGINEER II</v>
      </c>
      <c r="J3327" s="164" t="str">
        <f ca="1">IFERROR(__xludf.DUMMYFUNCTION("""COMPUTED_VALUE"""),"P-23-02-ZDN-SPLIT-006")</f>
        <v>P-23-02-ZDN-SPLIT-006</v>
      </c>
      <c r="K3327" s="164" t="str">
        <f ca="1">IFERROR(__xludf.DUMMYFUNCTION("""COMPUTED_VALUE"""),"ROCEL C. ACEVEDO")</f>
        <v>ROCEL C. ACEVEDO</v>
      </c>
      <c r="L3327" s="164" t="str">
        <f ca="1">IFERROR(__xludf.DUMMYFUNCTION("""COMPUTED_VALUE"""),"DARPO-LTID")</f>
        <v>DARPO-LTID</v>
      </c>
      <c r="M3327" s="164" t="str">
        <f ca="1">IFERROR(__xludf.DUMMYFUNCTION("""COMPUTED_VALUE"""),"SERVICEABLE")</f>
        <v>SERVICEABLE</v>
      </c>
      <c r="N3327" s="164"/>
    </row>
    <row r="3328" spans="1:14" ht="13.2" hidden="1">
      <c r="A3328" s="164" t="str">
        <f ca="1">IFERROR(__xludf.DUMMYFUNCTION("""COMPUTED_VALUE"""),"REGION IX")</f>
        <v>REGION IX</v>
      </c>
      <c r="B3328" s="164" t="str">
        <f ca="1">IFERROR(__xludf.DUMMYFUNCTION("""COMPUTED_VALUE"""),"Zamboanga del Norte")</f>
        <v>Zamboanga del Norte</v>
      </c>
      <c r="C3328" s="164" t="str">
        <f ca="1">IFERROR(__xludf.DUMMYFUNCTION("""COMPUTED_VALUE"""),"A3 PRINTER (BROTHER)")</f>
        <v>A3 PRINTER (BROTHER)</v>
      </c>
      <c r="D3328" s="164" t="str">
        <f ca="1">IFERROR(__xludf.DUMMYFUNCTION("""COMPUTED_VALUE"""),"₱ 33,508.00")</f>
        <v>₱ 33,508.00</v>
      </c>
      <c r="E3328" s="164"/>
      <c r="F3328" s="164" t="str">
        <f ca="1">IFERROR(__xludf.DUMMYFUNCTION("""COMPUTED_VALUE"""),"HVSPLIT-102-24-05-089")</f>
        <v>HVSPLIT-102-24-05-089</v>
      </c>
      <c r="G3328" s="164"/>
      <c r="H3328" s="164" t="str">
        <f ca="1">IFERROR(__xludf.DUMMYFUNCTION("""COMPUTED_VALUE"""),"CARLOS ALCAZAR")</f>
        <v>CARLOS ALCAZAR</v>
      </c>
      <c r="I3328" s="164" t="str">
        <f ca="1">IFERROR(__xludf.DUMMYFUNCTION("""COMPUTED_VALUE"""),"ENGR III")</f>
        <v>ENGR III</v>
      </c>
      <c r="J3328" s="164" t="str">
        <f ca="1">IFERROR(__xludf.DUMMYFUNCTION("""COMPUTED_VALUE"""),"2024-05-011")</f>
        <v>2024-05-011</v>
      </c>
      <c r="K3328" s="164"/>
      <c r="L3328" s="164" t="str">
        <f ca="1">IFERROR(__xludf.DUMMYFUNCTION("""COMPUTED_VALUE"""),"DARPO ZAMBO NORTE")</f>
        <v>DARPO ZAMBO NORTE</v>
      </c>
      <c r="M3328" s="164" t="str">
        <f ca="1">IFERROR(__xludf.DUMMYFUNCTION("""COMPUTED_VALUE"""),"SERVICEABLE")</f>
        <v>SERVICEABLE</v>
      </c>
      <c r="N3328" s="164"/>
    </row>
    <row r="3329" spans="1:14" ht="13.2" hidden="1">
      <c r="A3329" s="164" t="str">
        <f ca="1">IFERROR(__xludf.DUMMYFUNCTION("""COMPUTED_VALUE"""),"REGION IX")</f>
        <v>REGION IX</v>
      </c>
      <c r="B3329" s="164" t="str">
        <f ca="1">IFERROR(__xludf.DUMMYFUNCTION("""COMPUTED_VALUE"""),"Zamboanga del Sur")</f>
        <v>Zamboanga del Sur</v>
      </c>
      <c r="C3329" s="164" t="str">
        <f ca="1">IFERROR(__xludf.DUMMYFUNCTION("""COMPUTED_VALUE"""),"Desktop Computer – (Lenovo M70T)")</f>
        <v>Desktop Computer – (Lenovo M70T)</v>
      </c>
      <c r="D3329" s="164" t="str">
        <f ca="1">IFERROR(__xludf.DUMMYFUNCTION("""COMPUTED_VALUE"""),"₱ 75,468.00")</f>
        <v>₱ 75,468.00</v>
      </c>
      <c r="E3329" s="164"/>
      <c r="F3329" s="164" t="str">
        <f ca="1">IFERROR(__xludf.DUMMYFUNCTION("""COMPUTED_VALUE"""),"2023-05-03-10201SP1437-01")</f>
        <v>2023-05-03-10201SP1437-01</v>
      </c>
      <c r="G3329" s="164"/>
      <c r="H3329" s="164" t="str">
        <f ca="1">IFERROR(__xludf.DUMMYFUNCTION("""COMPUTED_VALUE"""),"Maria Cecilia Q. Agnis")</f>
        <v>Maria Cecilia Q. Agnis</v>
      </c>
      <c r="I3329" s="164" t="str">
        <f ca="1">IFERROR(__xludf.DUMMYFUNCTION("""COMPUTED_VALUE"""),"AO-IV")</f>
        <v>AO-IV</v>
      </c>
      <c r="J3329" s="164" t="str">
        <f ca="1">IFERROR(__xludf.DUMMYFUNCTION("""COMPUTED_VALUE"""),"2023-05-03-10201SP1437-01-ZDS")</f>
        <v>2023-05-03-10201SP1437-01-ZDS</v>
      </c>
      <c r="K3329" s="164" t="str">
        <f ca="1">IFERROR(__xludf.DUMMYFUNCTION("""COMPUTED_VALUE"""),"Maria Cecilia Q. Agnis")</f>
        <v>Maria Cecilia Q. Agnis</v>
      </c>
      <c r="L3329" s="164" t="str">
        <f ca="1">IFERROR(__xludf.DUMMYFUNCTION("""COMPUTED_VALUE"""),"DARPO-STOD")</f>
        <v>DARPO-STOD</v>
      </c>
      <c r="M3329" s="164" t="str">
        <f ca="1">IFERROR(__xludf.DUMMYFUNCTION("""COMPUTED_VALUE"""),"SERVICEABLE")</f>
        <v>SERVICEABLE</v>
      </c>
      <c r="N3329" s="164"/>
    </row>
    <row r="3330" spans="1:14" ht="13.2" hidden="1">
      <c r="A3330" s="164" t="str">
        <f ca="1">IFERROR(__xludf.DUMMYFUNCTION("""COMPUTED_VALUE"""),"REGION IX")</f>
        <v>REGION IX</v>
      </c>
      <c r="B3330" s="164" t="str">
        <f ca="1">IFERROR(__xludf.DUMMYFUNCTION("""COMPUTED_VALUE"""),"Zamboanga del Sur")</f>
        <v>Zamboanga del Sur</v>
      </c>
      <c r="C3330" s="164" t="str">
        <f ca="1">IFERROR(__xludf.DUMMYFUNCTION("""COMPUTED_VALUE"""),"Desktop Computer – (Lenovo M70T)")</f>
        <v>Desktop Computer – (Lenovo M70T)</v>
      </c>
      <c r="D3330" s="164" t="str">
        <f ca="1">IFERROR(__xludf.DUMMYFUNCTION("""COMPUTED_VALUE"""),"₱ 75,468.00")</f>
        <v>₱ 75,468.00</v>
      </c>
      <c r="E3330" s="164"/>
      <c r="F3330" s="164" t="str">
        <f ca="1">IFERROR(__xludf.DUMMYFUNCTION("""COMPUTED_VALUE"""),"2023-05-03-10201SP1438-01")</f>
        <v>2023-05-03-10201SP1438-01</v>
      </c>
      <c r="G3330" s="164"/>
      <c r="H3330" s="164" t="str">
        <f ca="1">IFERROR(__xludf.DUMMYFUNCTION("""COMPUTED_VALUE"""),"Allan G. Apao")</f>
        <v>Allan G. Apao</v>
      </c>
      <c r="I3330" s="164" t="str">
        <f ca="1">IFERROR(__xludf.DUMMYFUNCTION("""COMPUTED_VALUE"""),"MARPO")</f>
        <v>MARPO</v>
      </c>
      <c r="J3330" s="164" t="str">
        <f ca="1">IFERROR(__xludf.DUMMYFUNCTION("""COMPUTED_VALUE"""),"2023-05-03-10201SP1438-01-ZDS")</f>
        <v>2023-05-03-10201SP1438-01-ZDS</v>
      </c>
      <c r="K3330" s="164" t="str">
        <f ca="1">IFERROR(__xludf.DUMMYFUNCTION("""COMPUTED_VALUE"""),"Allan G. Apao")</f>
        <v>Allan G. Apao</v>
      </c>
      <c r="L3330" s="164" t="str">
        <f ca="1">IFERROR(__xludf.DUMMYFUNCTION("""COMPUTED_VALUE"""),"DARMO-Molave")</f>
        <v>DARMO-Molave</v>
      </c>
      <c r="M3330" s="164" t="str">
        <f ca="1">IFERROR(__xludf.DUMMYFUNCTION("""COMPUTED_VALUE"""),"SERVICEABLE")</f>
        <v>SERVICEABLE</v>
      </c>
      <c r="N3330" s="164" t="str">
        <f ca="1">IFERROR(__xludf.DUMMYFUNCTION("""COMPUTED_VALUE"""),"Printer DARMO")</f>
        <v>Printer DARMO</v>
      </c>
    </row>
    <row r="3331" spans="1:14" ht="13.2" hidden="1">
      <c r="A3331" s="164" t="str">
        <f ca="1">IFERROR(__xludf.DUMMYFUNCTION("""COMPUTED_VALUE"""),"REGION IX")</f>
        <v>REGION IX</v>
      </c>
      <c r="B3331" s="164" t="str">
        <f ca="1">IFERROR(__xludf.DUMMYFUNCTION("""COMPUTED_VALUE"""),"Zamboanga del Sur")</f>
        <v>Zamboanga del Sur</v>
      </c>
      <c r="C3331" s="164" t="str">
        <f ca="1">IFERROR(__xludf.DUMMYFUNCTION("""COMPUTED_VALUE"""),"Desktop Computer – (Lenovo M70T)")</f>
        <v>Desktop Computer – (Lenovo M70T)</v>
      </c>
      <c r="D3331" s="164" t="str">
        <f ca="1">IFERROR(__xludf.DUMMYFUNCTION("""COMPUTED_VALUE"""),"₱ 75,468.00")</f>
        <v>₱ 75,468.00</v>
      </c>
      <c r="E3331" s="164"/>
      <c r="F3331" s="164" t="str">
        <f ca="1">IFERROR(__xludf.DUMMYFUNCTION("""COMPUTED_VALUE"""),"2023-05-03-10201SP1439-01")</f>
        <v>2023-05-03-10201SP1439-01</v>
      </c>
      <c r="G3331" s="164"/>
      <c r="H3331" s="164" t="str">
        <f ca="1">IFERROR(__xludf.DUMMYFUNCTION("""COMPUTED_VALUE"""),"Allan G. Apao")</f>
        <v>Allan G. Apao</v>
      </c>
      <c r="I3331" s="164" t="str">
        <f ca="1">IFERROR(__xludf.DUMMYFUNCTION("""COMPUTED_VALUE"""),"MARPO")</f>
        <v>MARPO</v>
      </c>
      <c r="J3331" s="164" t="str">
        <f ca="1">IFERROR(__xludf.DUMMYFUNCTION("""COMPUTED_VALUE"""),"2023-05-03-10201SP1439-01-ZDS")</f>
        <v>2023-05-03-10201SP1439-01-ZDS</v>
      </c>
      <c r="K3331" s="164" t="str">
        <f ca="1">IFERROR(__xludf.DUMMYFUNCTION("""COMPUTED_VALUE"""),"Allan G. Apao")</f>
        <v>Allan G. Apao</v>
      </c>
      <c r="L3331" s="164" t="str">
        <f ca="1">IFERROR(__xludf.DUMMYFUNCTION("""COMPUTED_VALUE"""),"DARMO-Molave")</f>
        <v>DARMO-Molave</v>
      </c>
      <c r="M3331" s="164" t="str">
        <f ca="1">IFERROR(__xludf.DUMMYFUNCTION("""COMPUTED_VALUE"""),"SERVICEABLE")</f>
        <v>SERVICEABLE</v>
      </c>
      <c r="N3331" s="164" t="str">
        <f ca="1">IFERROR(__xludf.DUMMYFUNCTION("""COMPUTED_VALUE"""),"(Monitor 1451( (Ups1450)")</f>
        <v>(Monitor 1451( (Ups1450)</v>
      </c>
    </row>
    <row r="3332" spans="1:14" ht="13.2" hidden="1">
      <c r="A3332" s="164" t="str">
        <f ca="1">IFERROR(__xludf.DUMMYFUNCTION("""COMPUTED_VALUE"""),"REGION IX")</f>
        <v>REGION IX</v>
      </c>
      <c r="B3332" s="164" t="str">
        <f ca="1">IFERROR(__xludf.DUMMYFUNCTION("""COMPUTED_VALUE"""),"Zamboanga del Sur")</f>
        <v>Zamboanga del Sur</v>
      </c>
      <c r="C3332" s="164" t="str">
        <f ca="1">IFERROR(__xludf.DUMMYFUNCTION("""COMPUTED_VALUE"""),"Desktop Computer – (Lenovo M70T)")</f>
        <v>Desktop Computer – (Lenovo M70T)</v>
      </c>
      <c r="D3332" s="164" t="str">
        <f ca="1">IFERROR(__xludf.DUMMYFUNCTION("""COMPUTED_VALUE"""),"₱ 75,468.00")</f>
        <v>₱ 75,468.00</v>
      </c>
      <c r="E3332" s="164"/>
      <c r="F3332" s="164" t="str">
        <f ca="1">IFERROR(__xludf.DUMMYFUNCTION("""COMPUTED_VALUE"""),"2023-05-03-10201SP1440-01")</f>
        <v>2023-05-03-10201SP1440-01</v>
      </c>
      <c r="G3332" s="164"/>
      <c r="H3332" s="164" t="str">
        <f ca="1">IFERROR(__xludf.DUMMYFUNCTION("""COMPUTED_VALUE"""),"Lorna L. Dumandan")</f>
        <v>Lorna L. Dumandan</v>
      </c>
      <c r="I3332" s="164" t="str">
        <f ca="1">IFERROR(__xludf.DUMMYFUNCTION("""COMPUTED_VALUE"""),"ARPO II")</f>
        <v>ARPO II</v>
      </c>
      <c r="J3332" s="164" t="str">
        <f ca="1">IFERROR(__xludf.DUMMYFUNCTION("""COMPUTED_VALUE"""),"2023-05-03-10201SP1440-01-ZDS")</f>
        <v>2023-05-03-10201SP1440-01-ZDS</v>
      </c>
      <c r="K3332" s="164" t="str">
        <f ca="1">IFERROR(__xludf.DUMMYFUNCTION("""COMPUTED_VALUE"""),"Lorna L. Dumandan")</f>
        <v>Lorna L. Dumandan</v>
      </c>
      <c r="L3332" s="164" t="str">
        <f ca="1">IFERROR(__xludf.DUMMYFUNCTION("""COMPUTED_VALUE"""),"DARPO-LTID")</f>
        <v>DARPO-LTID</v>
      </c>
      <c r="M3332" s="164" t="str">
        <f ca="1">IFERROR(__xludf.DUMMYFUNCTION("""COMPUTED_VALUE"""),"SERVICEABLE")</f>
        <v>SERVICEABLE</v>
      </c>
      <c r="N3332" s="164" t="str">
        <f ca="1">IFERROR(__xludf.DUMMYFUNCTION("""COMPUTED_VALUE"""),"CPU 1443, Printer 1451, UPS 1441")</f>
        <v>CPU 1443, Printer 1451, UPS 1441</v>
      </c>
    </row>
    <row r="3333" spans="1:14" ht="13.2" hidden="1">
      <c r="A3333" s="164" t="str">
        <f ca="1">IFERROR(__xludf.DUMMYFUNCTION("""COMPUTED_VALUE"""),"REGION IX")</f>
        <v>REGION IX</v>
      </c>
      <c r="B3333" s="164" t="str">
        <f ca="1">IFERROR(__xludf.DUMMYFUNCTION("""COMPUTED_VALUE"""),"Zamboanga del Sur")</f>
        <v>Zamboanga del Sur</v>
      </c>
      <c r="C3333" s="164" t="str">
        <f ca="1">IFERROR(__xludf.DUMMYFUNCTION("""COMPUTED_VALUE"""),"Desktop Computer – (Lenovo M70T)")</f>
        <v>Desktop Computer – (Lenovo M70T)</v>
      </c>
      <c r="D3333" s="164" t="str">
        <f ca="1">IFERROR(__xludf.DUMMYFUNCTION("""COMPUTED_VALUE"""),"₱ 75,468.00")</f>
        <v>₱ 75,468.00</v>
      </c>
      <c r="E3333" s="164"/>
      <c r="F3333" s="164" t="str">
        <f ca="1">IFERROR(__xludf.DUMMYFUNCTION("""COMPUTED_VALUE"""),"2023-05-03-10201SP1441-01")</f>
        <v>2023-05-03-10201SP1441-01</v>
      </c>
      <c r="G3333" s="164"/>
      <c r="H3333" s="164" t="str">
        <f ca="1">IFERROR(__xludf.DUMMYFUNCTION("""COMPUTED_VALUE"""),"Maguid M. Israel")</f>
        <v>Maguid M. Israel</v>
      </c>
      <c r="I3333" s="164" t="str">
        <f ca="1">IFERROR(__xludf.DUMMYFUNCTION("""COMPUTED_VALUE"""),"MARPO")</f>
        <v>MARPO</v>
      </c>
      <c r="J3333" s="164" t="str">
        <f ca="1">IFERROR(__xludf.DUMMYFUNCTION("""COMPUTED_VALUE"""),"2023-05-03-10201SP1441-01-ZDS")</f>
        <v>2023-05-03-10201SP1441-01-ZDS</v>
      </c>
      <c r="K3333" s="164" t="str">
        <f ca="1">IFERROR(__xludf.DUMMYFUNCTION("""COMPUTED_VALUE"""),"Maguid M. Israel")</f>
        <v>Maguid M. Israel</v>
      </c>
      <c r="L3333" s="164" t="str">
        <f ca="1">IFERROR(__xludf.DUMMYFUNCTION("""COMPUTED_VALUE"""),"DARMO-Dinas")</f>
        <v>DARMO-Dinas</v>
      </c>
      <c r="M3333" s="164" t="str">
        <f ca="1">IFERROR(__xludf.DUMMYFUNCTION("""COMPUTED_VALUE"""),"SERVICEABLE")</f>
        <v>SERVICEABLE</v>
      </c>
      <c r="N3333" s="164" t="str">
        <f ca="1">IFERROR(__xludf.DUMMYFUNCTION("""COMPUTED_VALUE"""),"CPU 1445")</f>
        <v>CPU 1445</v>
      </c>
    </row>
    <row r="3334" spans="1:14" ht="13.2" hidden="1">
      <c r="A3334" s="164" t="str">
        <f ca="1">IFERROR(__xludf.DUMMYFUNCTION("""COMPUTED_VALUE"""),"REGION IX")</f>
        <v>REGION IX</v>
      </c>
      <c r="B3334" s="164" t="str">
        <f ca="1">IFERROR(__xludf.DUMMYFUNCTION("""COMPUTED_VALUE"""),"Zamboanga del Sur")</f>
        <v>Zamboanga del Sur</v>
      </c>
      <c r="C3334" s="164" t="str">
        <f ca="1">IFERROR(__xludf.DUMMYFUNCTION("""COMPUTED_VALUE"""),"Desktop Computer – (Lenovo M70T)")</f>
        <v>Desktop Computer – (Lenovo M70T)</v>
      </c>
      <c r="D3334" s="164" t="str">
        <f ca="1">IFERROR(__xludf.DUMMYFUNCTION("""COMPUTED_VALUE"""),"₱ 75,468.00")</f>
        <v>₱ 75,468.00</v>
      </c>
      <c r="E3334" s="164"/>
      <c r="F3334" s="164" t="str">
        <f ca="1">IFERROR(__xludf.DUMMYFUNCTION("""COMPUTED_VALUE"""),"2023-05-03-10201SP1442-01")</f>
        <v>2023-05-03-10201SP1442-01</v>
      </c>
      <c r="G3334" s="164"/>
      <c r="H3334" s="164" t="str">
        <f ca="1">IFERROR(__xludf.DUMMYFUNCTION("""COMPUTED_VALUE"""),"Wilma V. Janipin")</f>
        <v>Wilma V. Janipin</v>
      </c>
      <c r="I3334" s="164" t="str">
        <f ca="1">IFERROR(__xludf.DUMMYFUNCTION("""COMPUTED_VALUE"""),"ARPO 1")</f>
        <v>ARPO 1</v>
      </c>
      <c r="J3334" s="164" t="str">
        <f ca="1">IFERROR(__xludf.DUMMYFUNCTION("""COMPUTED_VALUE"""),"2023-05-03-10201SP1442-01-ZDS")</f>
        <v>2023-05-03-10201SP1442-01-ZDS</v>
      </c>
      <c r="K3334" s="164" t="str">
        <f ca="1">IFERROR(__xludf.DUMMYFUNCTION("""COMPUTED_VALUE"""),"Wilma V. Janipin")</f>
        <v>Wilma V. Janipin</v>
      </c>
      <c r="L3334" s="164" t="str">
        <f ca="1">IFERROR(__xludf.DUMMYFUNCTION("""COMPUTED_VALUE"""),"DARPO-LTID")</f>
        <v>DARPO-LTID</v>
      </c>
      <c r="M3334" s="164" t="str">
        <f ca="1">IFERROR(__xludf.DUMMYFUNCTION("""COMPUTED_VALUE"""),"SERVICEABLE")</f>
        <v>SERVICEABLE</v>
      </c>
      <c r="N3334" s="164"/>
    </row>
    <row r="3335" spans="1:14" ht="13.2" hidden="1">
      <c r="A3335" s="164" t="str">
        <f ca="1">IFERROR(__xludf.DUMMYFUNCTION("""COMPUTED_VALUE"""),"REGION IX")</f>
        <v>REGION IX</v>
      </c>
      <c r="B3335" s="164" t="str">
        <f ca="1">IFERROR(__xludf.DUMMYFUNCTION("""COMPUTED_VALUE"""),"Zamboanga del Sur")</f>
        <v>Zamboanga del Sur</v>
      </c>
      <c r="C3335" s="164" t="str">
        <f ca="1">IFERROR(__xludf.DUMMYFUNCTION("""COMPUTED_VALUE"""),"Desktop Computer – (Lenovo M70T)")</f>
        <v>Desktop Computer – (Lenovo M70T)</v>
      </c>
      <c r="D3335" s="164" t="str">
        <f ca="1">IFERROR(__xludf.DUMMYFUNCTION("""COMPUTED_VALUE"""),"₱ 75,468.00")</f>
        <v>₱ 75,468.00</v>
      </c>
      <c r="E3335" s="164"/>
      <c r="F3335" s="164" t="str">
        <f ca="1">IFERROR(__xludf.DUMMYFUNCTION("""COMPUTED_VALUE"""),"2023-05-03-10201SP1443-01")</f>
        <v>2023-05-03-10201SP1443-01</v>
      </c>
      <c r="G3335" s="164"/>
      <c r="H3335" s="164" t="str">
        <f ca="1">IFERROR(__xludf.DUMMYFUNCTION("""COMPUTED_VALUE"""),"Delia L. Memorando")</f>
        <v>Delia L. Memorando</v>
      </c>
      <c r="I3335" s="164" t="str">
        <f ca="1">IFERROR(__xludf.DUMMYFUNCTION("""COMPUTED_VALUE"""),"SARPO")</f>
        <v>SARPO</v>
      </c>
      <c r="J3335" s="164" t="str">
        <f ca="1">IFERROR(__xludf.DUMMYFUNCTION("""COMPUTED_VALUE"""),"2023-05-03-10201SP1443-01-ZDS")</f>
        <v>2023-05-03-10201SP1443-01-ZDS</v>
      </c>
      <c r="K3335" s="164" t="str">
        <f ca="1">IFERROR(__xludf.DUMMYFUNCTION("""COMPUTED_VALUE"""),"Delia L. Memorando")</f>
        <v>Delia L. Memorando</v>
      </c>
      <c r="L3335" s="164" t="str">
        <f ca="1">IFERROR(__xludf.DUMMYFUNCTION("""COMPUTED_VALUE"""),"DARPO-LTID")</f>
        <v>DARPO-LTID</v>
      </c>
      <c r="M3335" s="164" t="str">
        <f ca="1">IFERROR(__xludf.DUMMYFUNCTION("""COMPUTED_VALUE"""),"SERVICEABLE")</f>
        <v>SERVICEABLE</v>
      </c>
      <c r="N3335" s="164" t="str">
        <f ca="1">IFERROR(__xludf.DUMMYFUNCTION("""COMPUTED_VALUE"""),"Monitor unserviceable")</f>
        <v>Monitor unserviceable</v>
      </c>
    </row>
    <row r="3336" spans="1:14" ht="13.2" hidden="1">
      <c r="A3336" s="164" t="str">
        <f ca="1">IFERROR(__xludf.DUMMYFUNCTION("""COMPUTED_VALUE"""),"REGION IX")</f>
        <v>REGION IX</v>
      </c>
      <c r="B3336" s="164" t="str">
        <f ca="1">IFERROR(__xludf.DUMMYFUNCTION("""COMPUTED_VALUE"""),"Zamboanga del Sur")</f>
        <v>Zamboanga del Sur</v>
      </c>
      <c r="C3336" s="164" t="str">
        <f ca="1">IFERROR(__xludf.DUMMYFUNCTION("""COMPUTED_VALUE"""),"Desktop Computer – (Lenovo M70T)")</f>
        <v>Desktop Computer – (Lenovo M70T)</v>
      </c>
      <c r="D3336" s="164" t="str">
        <f ca="1">IFERROR(__xludf.DUMMYFUNCTION("""COMPUTED_VALUE"""),"₱ 75,468.00")</f>
        <v>₱ 75,468.00</v>
      </c>
      <c r="E3336" s="164"/>
      <c r="F3336" s="164" t="str">
        <f ca="1">IFERROR(__xludf.DUMMYFUNCTION("""COMPUTED_VALUE"""),"2023-05-03-10201SP1444-01")</f>
        <v>2023-05-03-10201SP1444-01</v>
      </c>
      <c r="G3336" s="164"/>
      <c r="H3336" s="164" t="str">
        <f ca="1">IFERROR(__xludf.DUMMYFUNCTION("""COMPUTED_VALUE"""),"Delia L. Memorando")</f>
        <v>Delia L. Memorando</v>
      </c>
      <c r="I3336" s="164" t="str">
        <f ca="1">IFERROR(__xludf.DUMMYFUNCTION("""COMPUTED_VALUE"""),"SARPO")</f>
        <v>SARPO</v>
      </c>
      <c r="J3336" s="164" t="str">
        <f ca="1">IFERROR(__xludf.DUMMYFUNCTION("""COMPUTED_VALUE"""),"2023-05-03-10201SP1444-01-ZDS")</f>
        <v>2023-05-03-10201SP1444-01-ZDS</v>
      </c>
      <c r="K3336" s="164" t="str">
        <f ca="1">IFERROR(__xludf.DUMMYFUNCTION("""COMPUTED_VALUE"""),"Delia L. Memorando")</f>
        <v>Delia L. Memorando</v>
      </c>
      <c r="L3336" s="164" t="str">
        <f ca="1">IFERROR(__xludf.DUMMYFUNCTION("""COMPUTED_VALUE"""),"DARPO-LTID")</f>
        <v>DARPO-LTID</v>
      </c>
      <c r="M3336" s="164" t="str">
        <f ca="1">IFERROR(__xludf.DUMMYFUNCTION("""COMPUTED_VALUE"""),"SERVICEABLE")</f>
        <v>SERVICEABLE</v>
      </c>
      <c r="N3336" s="164" t="str">
        <f ca="1">IFERROR(__xludf.DUMMYFUNCTION("""COMPUTED_VALUE"""),"UPS 1443")</f>
        <v>UPS 1443</v>
      </c>
    </row>
    <row r="3337" spans="1:14" ht="13.2" hidden="1">
      <c r="A3337" s="164" t="str">
        <f ca="1">IFERROR(__xludf.DUMMYFUNCTION("""COMPUTED_VALUE"""),"REGION IX")</f>
        <v>REGION IX</v>
      </c>
      <c r="B3337" s="164" t="str">
        <f ca="1">IFERROR(__xludf.DUMMYFUNCTION("""COMPUTED_VALUE"""),"Zamboanga del Sur")</f>
        <v>Zamboanga del Sur</v>
      </c>
      <c r="C3337" s="164" t="str">
        <f ca="1">IFERROR(__xludf.DUMMYFUNCTION("""COMPUTED_VALUE"""),"Desktop Computer – (Lenovo M70T)")</f>
        <v>Desktop Computer – (Lenovo M70T)</v>
      </c>
      <c r="D3337" s="164" t="str">
        <f ca="1">IFERROR(__xludf.DUMMYFUNCTION("""COMPUTED_VALUE"""),"₱ 75,468.00")</f>
        <v>₱ 75,468.00</v>
      </c>
      <c r="E3337" s="164"/>
      <c r="F3337" s="164" t="str">
        <f ca="1">IFERROR(__xludf.DUMMYFUNCTION("""COMPUTED_VALUE"""),"2023-05-03-10201SP1445-01")</f>
        <v>2023-05-03-10201SP1445-01</v>
      </c>
      <c r="G3337" s="164"/>
      <c r="H3337" s="164" t="str">
        <f ca="1">IFERROR(__xludf.DUMMYFUNCTION("""COMPUTED_VALUE"""),"Delia L. Memorando")</f>
        <v>Delia L. Memorando</v>
      </c>
      <c r="I3337" s="164" t="str">
        <f ca="1">IFERROR(__xludf.DUMMYFUNCTION("""COMPUTED_VALUE"""),"SARPO")</f>
        <v>SARPO</v>
      </c>
      <c r="J3337" s="164" t="str">
        <f ca="1">IFERROR(__xludf.DUMMYFUNCTION("""COMPUTED_VALUE"""),"2023-05-03-10201SP1445-01-ZDS")</f>
        <v>2023-05-03-10201SP1445-01-ZDS</v>
      </c>
      <c r="K3337" s="164" t="str">
        <f ca="1">IFERROR(__xludf.DUMMYFUNCTION("""COMPUTED_VALUE"""),"Delia L. Memorando")</f>
        <v>Delia L. Memorando</v>
      </c>
      <c r="L3337" s="164" t="str">
        <f ca="1">IFERROR(__xludf.DUMMYFUNCTION("""COMPUTED_VALUE"""),"DARPO-LTID")</f>
        <v>DARPO-LTID</v>
      </c>
      <c r="M3337" s="164" t="str">
        <f ca="1">IFERROR(__xludf.DUMMYFUNCTION("""COMPUTED_VALUE"""),"SERVICEABLE")</f>
        <v>SERVICEABLE</v>
      </c>
      <c r="N3337" s="164" t="str">
        <f ca="1">IFERROR(__xludf.DUMMYFUNCTION("""COMPUTED_VALUE"""),"CPU 1440, UPS 1440, PRINTER DARMO")</f>
        <v>CPU 1440, UPS 1440, PRINTER DARMO</v>
      </c>
    </row>
    <row r="3338" spans="1:14" ht="13.2" hidden="1">
      <c r="A3338" s="164" t="str">
        <f ca="1">IFERROR(__xludf.DUMMYFUNCTION("""COMPUTED_VALUE"""),"REGION IX")</f>
        <v>REGION IX</v>
      </c>
      <c r="B3338" s="164" t="str">
        <f ca="1">IFERROR(__xludf.DUMMYFUNCTION("""COMPUTED_VALUE"""),"Zamboanga del Sur")</f>
        <v>Zamboanga del Sur</v>
      </c>
      <c r="C3338" s="164" t="str">
        <f ca="1">IFERROR(__xludf.DUMMYFUNCTION("""COMPUTED_VALUE"""),"Desktop Computer – (Lenovo M70T)")</f>
        <v>Desktop Computer – (Lenovo M70T)</v>
      </c>
      <c r="D3338" s="164" t="str">
        <f ca="1">IFERROR(__xludf.DUMMYFUNCTION("""COMPUTED_VALUE"""),"₱ 75,468.00")</f>
        <v>₱ 75,468.00</v>
      </c>
      <c r="E3338" s="164"/>
      <c r="F3338" s="164" t="str">
        <f ca="1">IFERROR(__xludf.DUMMYFUNCTION("""COMPUTED_VALUE"""),"2023-05-03-10201SP1446-01")</f>
        <v>2023-05-03-10201SP1446-01</v>
      </c>
      <c r="G3338" s="164"/>
      <c r="H3338" s="164" t="str">
        <f ca="1">IFERROR(__xludf.DUMMYFUNCTION("""COMPUTED_VALUE"""),"Delia L. Memorando")</f>
        <v>Delia L. Memorando</v>
      </c>
      <c r="I3338" s="164" t="str">
        <f ca="1">IFERROR(__xludf.DUMMYFUNCTION("""COMPUTED_VALUE"""),"SARPO")</f>
        <v>SARPO</v>
      </c>
      <c r="J3338" s="164" t="str">
        <f ca="1">IFERROR(__xludf.DUMMYFUNCTION("""COMPUTED_VALUE"""),"2023-05-03-10201SP1446-01-ZDS")</f>
        <v>2023-05-03-10201SP1446-01-ZDS</v>
      </c>
      <c r="K3338" s="164" t="str">
        <f ca="1">IFERROR(__xludf.DUMMYFUNCTION("""COMPUTED_VALUE"""),"Delia L. Memorando")</f>
        <v>Delia L. Memorando</v>
      </c>
      <c r="L3338" s="164" t="str">
        <f ca="1">IFERROR(__xludf.DUMMYFUNCTION("""COMPUTED_VALUE"""),"DARPO-LTID")</f>
        <v>DARPO-LTID</v>
      </c>
      <c r="M3338" s="164" t="str">
        <f ca="1">IFERROR(__xludf.DUMMYFUNCTION("""COMPUTED_VALUE"""),"SERVICEABLE")</f>
        <v>SERVICEABLE</v>
      </c>
      <c r="N3338" s="164"/>
    </row>
    <row r="3339" spans="1:14" ht="13.2" hidden="1">
      <c r="A3339" s="164" t="str">
        <f ca="1">IFERROR(__xludf.DUMMYFUNCTION("""COMPUTED_VALUE"""),"REGION IX")</f>
        <v>REGION IX</v>
      </c>
      <c r="B3339" s="164" t="str">
        <f ca="1">IFERROR(__xludf.DUMMYFUNCTION("""COMPUTED_VALUE"""),"Zamboanga del Sur")</f>
        <v>Zamboanga del Sur</v>
      </c>
      <c r="C3339" s="164" t="str">
        <f ca="1">IFERROR(__xludf.DUMMYFUNCTION("""COMPUTED_VALUE"""),"Desktop Computer – (Lenovo M70T)")</f>
        <v>Desktop Computer – (Lenovo M70T)</v>
      </c>
      <c r="D3339" s="164" t="str">
        <f ca="1">IFERROR(__xludf.DUMMYFUNCTION("""COMPUTED_VALUE"""),"₱ 75,468.00")</f>
        <v>₱ 75,468.00</v>
      </c>
      <c r="E3339" s="164"/>
      <c r="F3339" s="164" t="str">
        <f ca="1">IFERROR(__xludf.DUMMYFUNCTION("""COMPUTED_VALUE"""),"2023-05-03-10201SP1447-01")</f>
        <v>2023-05-03-10201SP1447-01</v>
      </c>
      <c r="G3339" s="164"/>
      <c r="H3339" s="164" t="str">
        <f ca="1">IFERROR(__xludf.DUMMYFUNCTION("""COMPUTED_VALUE"""),"Dina J. Mayormita")</f>
        <v>Dina J. Mayormita</v>
      </c>
      <c r="I3339" s="164" t="str">
        <f ca="1">IFERROR(__xludf.DUMMYFUNCTION("""COMPUTED_VALUE"""),"ARPO 1")</f>
        <v>ARPO 1</v>
      </c>
      <c r="J3339" s="164" t="str">
        <f ca="1">IFERROR(__xludf.DUMMYFUNCTION("""COMPUTED_VALUE"""),"2023-05-03-10201SP1447-01-ZDS")</f>
        <v>2023-05-03-10201SP1447-01-ZDS</v>
      </c>
      <c r="K3339" s="164" t="str">
        <f ca="1">IFERROR(__xludf.DUMMYFUNCTION("""COMPUTED_VALUE"""),"Dina J. Mayormita")</f>
        <v>Dina J. Mayormita</v>
      </c>
      <c r="L3339" s="164" t="str">
        <f ca="1">IFERROR(__xludf.DUMMYFUNCTION("""COMPUTED_VALUE"""),"DARPO-LTID")</f>
        <v>DARPO-LTID</v>
      </c>
      <c r="M3339" s="164" t="str">
        <f ca="1">IFERROR(__xludf.DUMMYFUNCTION("""COMPUTED_VALUE"""),"SERVICEABLE")</f>
        <v>SERVICEABLE</v>
      </c>
      <c r="N3339" s="164"/>
    </row>
    <row r="3340" spans="1:14" ht="13.2" hidden="1">
      <c r="A3340" s="164" t="str">
        <f ca="1">IFERROR(__xludf.DUMMYFUNCTION("""COMPUTED_VALUE"""),"REGION IX")</f>
        <v>REGION IX</v>
      </c>
      <c r="B3340" s="164" t="str">
        <f ca="1">IFERROR(__xludf.DUMMYFUNCTION("""COMPUTED_VALUE"""),"Zamboanga del Sur")</f>
        <v>Zamboanga del Sur</v>
      </c>
      <c r="C3340" s="164" t="str">
        <f ca="1">IFERROR(__xludf.DUMMYFUNCTION("""COMPUTED_VALUE"""),"Desktop Computer – (Lenovo M70T)")</f>
        <v>Desktop Computer – (Lenovo M70T)</v>
      </c>
      <c r="D3340" s="164" t="str">
        <f ca="1">IFERROR(__xludf.DUMMYFUNCTION("""COMPUTED_VALUE"""),"₱ 75,468.00")</f>
        <v>₱ 75,468.00</v>
      </c>
      <c r="E3340" s="164"/>
      <c r="F3340" s="164" t="str">
        <f ca="1">IFERROR(__xludf.DUMMYFUNCTION("""COMPUTED_VALUE"""),"2023-05-03-10201SP1448-01")</f>
        <v>2023-05-03-10201SP1448-01</v>
      </c>
      <c r="G3340" s="164"/>
      <c r="H3340" s="164" t="str">
        <f ca="1">IFERROR(__xludf.DUMMYFUNCTION("""COMPUTED_VALUE"""),"Ana Georgina C. Saysip, CPA")</f>
        <v>Ana Georgina C. Saysip, CPA</v>
      </c>
      <c r="I3340" s="164" t="str">
        <f ca="1">IFERROR(__xludf.DUMMYFUNCTION("""COMPUTED_VALUE"""),"PCAO")</f>
        <v>PCAO</v>
      </c>
      <c r="J3340" s="164" t="str">
        <f ca="1">IFERROR(__xludf.DUMMYFUNCTION("""COMPUTED_VALUE"""),"2023-05-03-10201SP1448-01-ZDS")</f>
        <v>2023-05-03-10201SP1448-01-ZDS</v>
      </c>
      <c r="K3340" s="164" t="str">
        <f ca="1">IFERROR(__xludf.DUMMYFUNCTION("""COMPUTED_VALUE"""),"Ana Georgina C. Saysip, CPA")</f>
        <v>Ana Georgina C. Saysip, CPA</v>
      </c>
      <c r="L3340" s="164" t="str">
        <f ca="1">IFERROR(__xludf.DUMMYFUNCTION("""COMPUTED_VALUE"""),"DARPO-STOD")</f>
        <v>DARPO-STOD</v>
      </c>
      <c r="M3340" s="164" t="str">
        <f ca="1">IFERROR(__xludf.DUMMYFUNCTION("""COMPUTED_VALUE"""),"SERVICEABLE")</f>
        <v>SERVICEABLE</v>
      </c>
      <c r="N3340" s="164" t="str">
        <f ca="1">IFERROR(__xludf.DUMMYFUNCTION("""COMPUTED_VALUE"""),"Printer 1449, CPU 1438, UPS 1439")</f>
        <v>Printer 1449, CPU 1438, UPS 1439</v>
      </c>
    </row>
    <row r="3341" spans="1:14" ht="13.2" hidden="1">
      <c r="A3341" s="164" t="str">
        <f ca="1">IFERROR(__xludf.DUMMYFUNCTION("""COMPUTED_VALUE"""),"REGION IX")</f>
        <v>REGION IX</v>
      </c>
      <c r="B3341" s="164" t="str">
        <f ca="1">IFERROR(__xludf.DUMMYFUNCTION("""COMPUTED_VALUE"""),"Zamboanga del Sur")</f>
        <v>Zamboanga del Sur</v>
      </c>
      <c r="C3341" s="164" t="str">
        <f ca="1">IFERROR(__xludf.DUMMYFUNCTION("""COMPUTED_VALUE"""),"Desktop Computer – (Lenovo M70T)")</f>
        <v>Desktop Computer – (Lenovo M70T)</v>
      </c>
      <c r="D3341" s="164" t="str">
        <f ca="1">IFERROR(__xludf.DUMMYFUNCTION("""COMPUTED_VALUE"""),"₱ 75,468.00")</f>
        <v>₱ 75,468.00</v>
      </c>
      <c r="E3341" s="164"/>
      <c r="F3341" s="164" t="str">
        <f ca="1">IFERROR(__xludf.DUMMYFUNCTION("""COMPUTED_VALUE"""),"2023-05-03-10201SP1449-01")</f>
        <v>2023-05-03-10201SP1449-01</v>
      </c>
      <c r="G3341" s="164"/>
      <c r="H3341" s="164" t="str">
        <f ca="1">IFERROR(__xludf.DUMMYFUNCTION("""COMPUTED_VALUE"""),"Liezel R. Taborno")</f>
        <v>Liezel R. Taborno</v>
      </c>
      <c r="I3341" s="164" t="str">
        <f ca="1">IFERROR(__xludf.DUMMYFUNCTION("""COMPUTED_VALUE"""),"Cartographer II")</f>
        <v>Cartographer II</v>
      </c>
      <c r="J3341" s="164" t="str">
        <f ca="1">IFERROR(__xludf.DUMMYFUNCTION("""COMPUTED_VALUE"""),"2023-05-03-10201SP1449-01-ZDS")</f>
        <v>2023-05-03-10201SP1449-01-ZDS</v>
      </c>
      <c r="K3341" s="164" t="str">
        <f ca="1">IFERROR(__xludf.DUMMYFUNCTION("""COMPUTED_VALUE"""),"Liezel R. Taborno")</f>
        <v>Liezel R. Taborno</v>
      </c>
      <c r="L3341" s="164" t="str">
        <f ca="1">IFERROR(__xludf.DUMMYFUNCTION("""COMPUTED_VALUE"""),"DARPO-LTID")</f>
        <v>DARPO-LTID</v>
      </c>
      <c r="M3341" s="164" t="str">
        <f ca="1">IFERROR(__xludf.DUMMYFUNCTION("""COMPUTED_VALUE"""),"SERVICEABLE")</f>
        <v>SERVICEABLE</v>
      </c>
      <c r="N3341" s="164" t="str">
        <f ca="1">IFERROR(__xludf.DUMMYFUNCTION("""COMPUTED_VALUE"""),"UPS Unserviceable")</f>
        <v>UPS Unserviceable</v>
      </c>
    </row>
    <row r="3342" spans="1:14" ht="13.2" hidden="1">
      <c r="A3342" s="164" t="str">
        <f ca="1">IFERROR(__xludf.DUMMYFUNCTION("""COMPUTED_VALUE"""),"REGION IX")</f>
        <v>REGION IX</v>
      </c>
      <c r="B3342" s="164" t="str">
        <f ca="1">IFERROR(__xludf.DUMMYFUNCTION("""COMPUTED_VALUE"""),"Zamboanga del Sur")</f>
        <v>Zamboanga del Sur</v>
      </c>
      <c r="C3342" s="164" t="str">
        <f ca="1">IFERROR(__xludf.DUMMYFUNCTION("""COMPUTED_VALUE"""),"Desktop Computer – (Lenovo M70T)")</f>
        <v>Desktop Computer – (Lenovo M70T)</v>
      </c>
      <c r="D3342" s="164" t="str">
        <f ca="1">IFERROR(__xludf.DUMMYFUNCTION("""COMPUTED_VALUE"""),"₱ 75,468.00")</f>
        <v>₱ 75,468.00</v>
      </c>
      <c r="E3342" s="164"/>
      <c r="F3342" s="164" t="str">
        <f ca="1">IFERROR(__xludf.DUMMYFUNCTION("""COMPUTED_VALUE"""),"2023-05-03-10201SP1450-01")</f>
        <v>2023-05-03-10201SP1450-01</v>
      </c>
      <c r="G3342" s="164"/>
      <c r="H3342" s="164" t="str">
        <f ca="1">IFERROR(__xludf.DUMMYFUNCTION("""COMPUTED_VALUE"""),"Engr. Segundo T. Torres")</f>
        <v>Engr. Segundo T. Torres</v>
      </c>
      <c r="I3342" s="164" t="str">
        <f ca="1">IFERROR(__xludf.DUMMYFUNCTION("""COMPUTED_VALUE"""),"MARPO")</f>
        <v>MARPO</v>
      </c>
      <c r="J3342" s="164" t="str">
        <f ca="1">IFERROR(__xludf.DUMMYFUNCTION("""COMPUTED_VALUE"""),"2023-05-03-10201SP1450-01-ZDS")</f>
        <v>2023-05-03-10201SP1450-01-ZDS</v>
      </c>
      <c r="K3342" s="164" t="str">
        <f ca="1">IFERROR(__xludf.DUMMYFUNCTION("""COMPUTED_VALUE"""),"Engr. Segundo T. Torres")</f>
        <v>Engr. Segundo T. Torres</v>
      </c>
      <c r="L3342" s="164" t="str">
        <f ca="1">IFERROR(__xludf.DUMMYFUNCTION("""COMPUTED_VALUE"""),"DARMO-San Miguel")</f>
        <v>DARMO-San Miguel</v>
      </c>
      <c r="M3342" s="164" t="str">
        <f ca="1">IFERROR(__xludf.DUMMYFUNCTION("""COMPUTED_VALUE"""),"SERVICEABLE")</f>
        <v>SERVICEABLE</v>
      </c>
      <c r="N3342" s="164" t="str">
        <f ca="1">IFERROR(__xludf.DUMMYFUNCTION("""COMPUTED_VALUE"""),"Monitor 1438, UPS 1449")</f>
        <v>Monitor 1438, UPS 1449</v>
      </c>
    </row>
    <row r="3343" spans="1:14" ht="13.2" hidden="1">
      <c r="A3343" s="164" t="str">
        <f ca="1">IFERROR(__xludf.DUMMYFUNCTION("""COMPUTED_VALUE"""),"REGION IX")</f>
        <v>REGION IX</v>
      </c>
      <c r="B3343" s="164" t="str">
        <f ca="1">IFERROR(__xludf.DUMMYFUNCTION("""COMPUTED_VALUE"""),"Zamboanga del Sur")</f>
        <v>Zamboanga del Sur</v>
      </c>
      <c r="C3343" s="164" t="str">
        <f ca="1">IFERROR(__xludf.DUMMYFUNCTION("""COMPUTED_VALUE"""),"Desktop Computer – (Lenovo M70T)")</f>
        <v>Desktop Computer – (Lenovo M70T)</v>
      </c>
      <c r="D3343" s="164" t="str">
        <f ca="1">IFERROR(__xludf.DUMMYFUNCTION("""COMPUTED_VALUE"""),"₱ 75,468.00")</f>
        <v>₱ 75,468.00</v>
      </c>
      <c r="E3343" s="164"/>
      <c r="F3343" s="164" t="str">
        <f ca="1">IFERROR(__xludf.DUMMYFUNCTION("""COMPUTED_VALUE"""),"2023-05-03-10201SP1451-01")</f>
        <v>2023-05-03-10201SP1451-01</v>
      </c>
      <c r="G3343" s="164"/>
      <c r="H3343" s="164" t="str">
        <f ca="1">IFERROR(__xludf.DUMMYFUNCTION("""COMPUTED_VALUE"""),"Jollybie R. Lanzado")</f>
        <v>Jollybie R. Lanzado</v>
      </c>
      <c r="I3343" s="164" t="str">
        <f ca="1">IFERROR(__xludf.DUMMYFUNCTION("""COMPUTED_VALUE"""),"ARPT")</f>
        <v>ARPT</v>
      </c>
      <c r="J3343" s="164" t="str">
        <f ca="1">IFERROR(__xludf.DUMMYFUNCTION("""COMPUTED_VALUE"""),"2023-05-03-10201SP1451-01-ZDS")</f>
        <v>2023-05-03-10201SP1451-01-ZDS</v>
      </c>
      <c r="K3343" s="164" t="str">
        <f ca="1">IFERROR(__xludf.DUMMYFUNCTION("""COMPUTED_VALUE"""),"Jollybie R. Lanzado")</f>
        <v>Jollybie R. Lanzado</v>
      </c>
      <c r="L3343" s="164" t="str">
        <f ca="1">IFERROR(__xludf.DUMMYFUNCTION("""COMPUTED_VALUE"""),"DARPO-LTID")</f>
        <v>DARPO-LTID</v>
      </c>
      <c r="M3343" s="164" t="str">
        <f ca="1">IFERROR(__xludf.DUMMYFUNCTION("""COMPUTED_VALUE"""),"SERVICEABLE")</f>
        <v>SERVICEABLE</v>
      </c>
      <c r="N3343" s="164" t="str">
        <f ca="1">IFERROR(__xludf.DUMMYFUNCTION("""COMPUTED_VALUE"""),"CPU Unserviceable")</f>
        <v>CPU Unserviceable</v>
      </c>
    </row>
    <row r="3344" spans="1:14" ht="13.2" hidden="1">
      <c r="A3344" s="164" t="str">
        <f ca="1">IFERROR(__xludf.DUMMYFUNCTION("""COMPUTED_VALUE"""),"REGION IX")</f>
        <v>REGION IX</v>
      </c>
      <c r="B3344" s="164" t="str">
        <f ca="1">IFERROR(__xludf.DUMMYFUNCTION("""COMPUTED_VALUE"""),"Zamboanga del Sur")</f>
        <v>Zamboanga del Sur</v>
      </c>
      <c r="C3344" s="164" t="str">
        <f ca="1">IFERROR(__xludf.DUMMYFUNCTION("""COMPUTED_VALUE"""),"Desktop Computer – (HP Pro SFF 280G9)")</f>
        <v>Desktop Computer – (HP Pro SFF 280G9)</v>
      </c>
      <c r="D3344" s="164" t="str">
        <f ca="1">IFERROR(__xludf.DUMMYFUNCTION("""COMPUTED_VALUE"""),"₱ 78,898.00")</f>
        <v>₱ 78,898.00</v>
      </c>
      <c r="E3344" s="164"/>
      <c r="F3344" s="164" t="str">
        <f ca="1">IFERROR(__xludf.DUMMYFUNCTION("""COMPUTED_VALUE"""),"2023-05-03-10201SP384-01")</f>
        <v>2023-05-03-10201SP384-01</v>
      </c>
      <c r="G3344" s="164"/>
      <c r="H3344" s="164" t="str">
        <f ca="1">IFERROR(__xludf.DUMMYFUNCTION("""COMPUTED_VALUE"""),"Engr. Jena C. Salaug")</f>
        <v>Engr. Jena C. Salaug</v>
      </c>
      <c r="I3344" s="164" t="str">
        <f ca="1">IFERROR(__xludf.DUMMYFUNCTION("""COMPUTED_VALUE"""),"CARPO")</f>
        <v>CARPO</v>
      </c>
      <c r="J3344" s="164" t="str">
        <f ca="1">IFERROR(__xludf.DUMMYFUNCTION("""COMPUTED_VALUE"""),"2023-05-03-10201SP384-01-ZDS")</f>
        <v>2023-05-03-10201SP384-01-ZDS</v>
      </c>
      <c r="K3344" s="164" t="str">
        <f ca="1">IFERROR(__xludf.DUMMYFUNCTION("""COMPUTED_VALUE"""),"Engr. Jena C. Salaug")</f>
        <v>Engr. Jena C. Salaug</v>
      </c>
      <c r="L3344" s="164" t="str">
        <f ca="1">IFERROR(__xludf.DUMMYFUNCTION("""COMPUTED_VALUE"""),"DARPO")</f>
        <v>DARPO</v>
      </c>
      <c r="M3344" s="164" t="str">
        <f ca="1">IFERROR(__xludf.DUMMYFUNCTION("""COMPUTED_VALUE"""),"SERVICEABLE")</f>
        <v>SERVICEABLE</v>
      </c>
      <c r="N3344" s="164" t="str">
        <f ca="1">IFERROR(__xludf.DUMMYFUNCTION("""COMPUTED_VALUE"""),"Printer 1441")</f>
        <v>Printer 1441</v>
      </c>
    </row>
    <row r="3345" spans="1:14" ht="13.2" hidden="1">
      <c r="A3345" s="164" t="str">
        <f ca="1">IFERROR(__xludf.DUMMYFUNCTION("""COMPUTED_VALUE"""),"REGION IX")</f>
        <v>REGION IX</v>
      </c>
      <c r="B3345" s="164" t="str">
        <f ca="1">IFERROR(__xludf.DUMMYFUNCTION("""COMPUTED_VALUE"""),"Zamboanga del Sur")</f>
        <v>Zamboanga del Sur</v>
      </c>
      <c r="C3345" s="164" t="str">
        <f ca="1">IFERROR(__xludf.DUMMYFUNCTION("""COMPUTED_VALUE"""),"Desktop Computer – (HP Pro SFF 280G9)")</f>
        <v>Desktop Computer – (HP Pro SFF 280G9)</v>
      </c>
      <c r="D3345" s="164" t="str">
        <f ca="1">IFERROR(__xludf.DUMMYFUNCTION("""COMPUTED_VALUE"""),"₱ 78,898.00")</f>
        <v>₱ 78,898.00</v>
      </c>
      <c r="E3345" s="164"/>
      <c r="F3345" s="164" t="str">
        <f ca="1">IFERROR(__xludf.DUMMYFUNCTION("""COMPUTED_VALUE"""),"2023-05-03-10201SP385-01")</f>
        <v>2023-05-03-10201SP385-01</v>
      </c>
      <c r="G3345" s="164"/>
      <c r="H3345" s="164" t="str">
        <f ca="1">IFERROR(__xludf.DUMMYFUNCTION("""COMPUTED_VALUE"""),"Delly A. Mangapis")</f>
        <v>Delly A. Mangapis</v>
      </c>
      <c r="I3345" s="164" t="str">
        <f ca="1">IFERROR(__xludf.DUMMYFUNCTION("""COMPUTED_VALUE"""),"ARPO II")</f>
        <v>ARPO II</v>
      </c>
      <c r="J3345" s="164" t="str">
        <f ca="1">IFERROR(__xludf.DUMMYFUNCTION("""COMPUTED_VALUE"""),"2023-05-03-10201SP385-01-ZDS")</f>
        <v>2023-05-03-10201SP385-01-ZDS</v>
      </c>
      <c r="K3345" s="164" t="str">
        <f ca="1">IFERROR(__xludf.DUMMYFUNCTION("""COMPUTED_VALUE"""),"Delly A. Mangapis")</f>
        <v>Delly A. Mangapis</v>
      </c>
      <c r="L3345" s="164" t="str">
        <f ca="1">IFERROR(__xludf.DUMMYFUNCTION("""COMPUTED_VALUE"""),"DARPO-LTID")</f>
        <v>DARPO-LTID</v>
      </c>
      <c r="M3345" s="164" t="str">
        <f ca="1">IFERROR(__xludf.DUMMYFUNCTION("""COMPUTED_VALUE"""),"SERVICEABLE")</f>
        <v>SERVICEABLE</v>
      </c>
      <c r="N3345" s="164" t="str">
        <f ca="1">IFERROR(__xludf.DUMMYFUNCTION("""COMPUTED_VALUE"""),"Printer 1439")</f>
        <v>Printer 1439</v>
      </c>
    </row>
    <row r="3346" spans="1:14" ht="13.2" hidden="1">
      <c r="A3346" s="164" t="str">
        <f ca="1">IFERROR(__xludf.DUMMYFUNCTION("""COMPUTED_VALUE"""),"REGION IX")</f>
        <v>REGION IX</v>
      </c>
      <c r="B3346" s="164" t="str">
        <f ca="1">IFERROR(__xludf.DUMMYFUNCTION("""COMPUTED_VALUE"""),"Zamboanga del Sur")</f>
        <v>Zamboanga del Sur</v>
      </c>
      <c r="C3346" s="164" t="str">
        <f ca="1">IFERROR(__xludf.DUMMYFUNCTION("""COMPUTED_VALUE"""),"Desktop Computer – (HP Pro SFF 280G9)")</f>
        <v>Desktop Computer – (HP Pro SFF 280G9)</v>
      </c>
      <c r="D3346" s="164" t="str">
        <f ca="1">IFERROR(__xludf.DUMMYFUNCTION("""COMPUTED_VALUE"""),"₱ 78,898.00")</f>
        <v>₱ 78,898.00</v>
      </c>
      <c r="E3346" s="164"/>
      <c r="F3346" s="164" t="str">
        <f ca="1">IFERROR(__xludf.DUMMYFUNCTION("""COMPUTED_VALUE"""),"2023-05-03-10201SP386-01")</f>
        <v>2023-05-03-10201SP386-01</v>
      </c>
      <c r="G3346" s="164"/>
      <c r="H3346" s="164" t="str">
        <f ca="1">IFERROR(__xludf.DUMMYFUNCTION("""COMPUTED_VALUE"""),"Dina J. Mayormita")</f>
        <v>Dina J. Mayormita</v>
      </c>
      <c r="I3346" s="164" t="str">
        <f ca="1">IFERROR(__xludf.DUMMYFUNCTION("""COMPUTED_VALUE"""),"ARPO 1")</f>
        <v>ARPO 1</v>
      </c>
      <c r="J3346" s="164" t="str">
        <f ca="1">IFERROR(__xludf.DUMMYFUNCTION("""COMPUTED_VALUE"""),"2023-05-03-10201SP386-01-ZDS")</f>
        <v>2023-05-03-10201SP386-01-ZDS</v>
      </c>
      <c r="K3346" s="164" t="str">
        <f ca="1">IFERROR(__xludf.DUMMYFUNCTION("""COMPUTED_VALUE"""),"Dina J. Mayormita")</f>
        <v>Dina J. Mayormita</v>
      </c>
      <c r="L3346" s="164" t="str">
        <f ca="1">IFERROR(__xludf.DUMMYFUNCTION("""COMPUTED_VALUE"""),"DARPO-LTID")</f>
        <v>DARPO-LTID</v>
      </c>
      <c r="M3346" s="164" t="str">
        <f ca="1">IFERROR(__xludf.DUMMYFUNCTION("""COMPUTED_VALUE"""),"SERVICEABLE")</f>
        <v>SERVICEABLE</v>
      </c>
      <c r="N3346" s="164"/>
    </row>
    <row r="3347" spans="1:14" ht="13.2" hidden="1">
      <c r="A3347" s="164" t="str">
        <f ca="1">IFERROR(__xludf.DUMMYFUNCTION("""COMPUTED_VALUE"""),"REGION IX")</f>
        <v>REGION IX</v>
      </c>
      <c r="B3347" s="164" t="str">
        <f ca="1">IFERROR(__xludf.DUMMYFUNCTION("""COMPUTED_VALUE"""),"Zamboanga del Sur")</f>
        <v>Zamboanga del Sur</v>
      </c>
      <c r="C3347" s="164" t="str">
        <f ca="1">IFERROR(__xludf.DUMMYFUNCTION("""COMPUTED_VALUE"""),"Desktop Computer – (HP Pro SFF 280G9)")</f>
        <v>Desktop Computer – (HP Pro SFF 280G9)</v>
      </c>
      <c r="D3347" s="164" t="str">
        <f ca="1">IFERROR(__xludf.DUMMYFUNCTION("""COMPUTED_VALUE"""),"₱ 78,898.00")</f>
        <v>₱ 78,898.00</v>
      </c>
      <c r="E3347" s="164"/>
      <c r="F3347" s="164" t="str">
        <f ca="1">IFERROR(__xludf.DUMMYFUNCTION("""COMPUTED_VALUE"""),"2023-05-03-10201SP387-01")</f>
        <v>2023-05-03-10201SP387-01</v>
      </c>
      <c r="G3347" s="164"/>
      <c r="H3347" s="164" t="str">
        <f ca="1">IFERROR(__xludf.DUMMYFUNCTION("""COMPUTED_VALUE"""),"Jollybie R. Lanzado")</f>
        <v>Jollybie R. Lanzado</v>
      </c>
      <c r="I3347" s="164" t="str">
        <f ca="1">IFERROR(__xludf.DUMMYFUNCTION("""COMPUTED_VALUE"""),"ARPT")</f>
        <v>ARPT</v>
      </c>
      <c r="J3347" s="164" t="str">
        <f ca="1">IFERROR(__xludf.DUMMYFUNCTION("""COMPUTED_VALUE"""),"2023-05-03-10201SP387-01-ZDS")</f>
        <v>2023-05-03-10201SP387-01-ZDS</v>
      </c>
      <c r="K3347" s="164" t="str">
        <f ca="1">IFERROR(__xludf.DUMMYFUNCTION("""COMPUTED_VALUE"""),"Jollybie R. Lanzado")</f>
        <v>Jollybie R. Lanzado</v>
      </c>
      <c r="L3347" s="164" t="str">
        <f ca="1">IFERROR(__xludf.DUMMYFUNCTION("""COMPUTED_VALUE"""),"DARPO-LTID")</f>
        <v>DARPO-LTID</v>
      </c>
      <c r="M3347" s="164" t="str">
        <f ca="1">IFERROR(__xludf.DUMMYFUNCTION("""COMPUTED_VALUE"""),"SERVICEABLE")</f>
        <v>SERVICEABLE</v>
      </c>
      <c r="N3347" s="164" t="str">
        <f ca="1">IFERROR(__xludf.DUMMYFUNCTION("""COMPUTED_VALUE"""),"Unserviceable Printer")</f>
        <v>Unserviceable Printer</v>
      </c>
    </row>
    <row r="3348" spans="1:14" ht="13.2" hidden="1">
      <c r="A3348" s="164" t="str">
        <f ca="1">IFERROR(__xludf.DUMMYFUNCTION("""COMPUTED_VALUE"""),"REGION IX")</f>
        <v>REGION IX</v>
      </c>
      <c r="B3348" s="164" t="str">
        <f ca="1">IFERROR(__xludf.DUMMYFUNCTION("""COMPUTED_VALUE"""),"Zamboanga del Sur")</f>
        <v>Zamboanga del Sur</v>
      </c>
      <c r="C3348" s="164" t="str">
        <f ca="1">IFERROR(__xludf.DUMMYFUNCTION("""COMPUTED_VALUE"""),"Desktop Computer – (HP Pro SFF 280G9)")</f>
        <v>Desktop Computer – (HP Pro SFF 280G9)</v>
      </c>
      <c r="D3348" s="164" t="str">
        <f ca="1">IFERROR(__xludf.DUMMYFUNCTION("""COMPUTED_VALUE"""),"₱ 78,898.00")</f>
        <v>₱ 78,898.00</v>
      </c>
      <c r="E3348" s="164"/>
      <c r="F3348" s="164" t="str">
        <f ca="1">IFERROR(__xludf.DUMMYFUNCTION("""COMPUTED_VALUE"""),"2023-05-03-10201SP388-01")</f>
        <v>2023-05-03-10201SP388-01</v>
      </c>
      <c r="G3348" s="164"/>
      <c r="H3348" s="164" t="str">
        <f ca="1">IFERROR(__xludf.DUMMYFUNCTION("""COMPUTED_VALUE"""),"Liezel R. Taborno")</f>
        <v>Liezel R. Taborno</v>
      </c>
      <c r="I3348" s="164" t="str">
        <f ca="1">IFERROR(__xludf.DUMMYFUNCTION("""COMPUTED_VALUE"""),"Cartographer II")</f>
        <v>Cartographer II</v>
      </c>
      <c r="J3348" s="164" t="str">
        <f ca="1">IFERROR(__xludf.DUMMYFUNCTION("""COMPUTED_VALUE"""),"2023-05-03-10201SP388-01-ZDS")</f>
        <v>2023-05-03-10201SP388-01-ZDS</v>
      </c>
      <c r="K3348" s="164" t="str">
        <f ca="1">IFERROR(__xludf.DUMMYFUNCTION("""COMPUTED_VALUE"""),"Liezel R. Taborno")</f>
        <v>Liezel R. Taborno</v>
      </c>
      <c r="L3348" s="164" t="str">
        <f ca="1">IFERROR(__xludf.DUMMYFUNCTION("""COMPUTED_VALUE"""),"DARPO-LTID")</f>
        <v>DARPO-LTID</v>
      </c>
      <c r="M3348" s="164" t="str">
        <f ca="1">IFERROR(__xludf.DUMMYFUNCTION("""COMPUTED_VALUE"""),"SERVICEABLE")</f>
        <v>SERVICEABLE</v>
      </c>
      <c r="N3348" s="164"/>
    </row>
    <row r="3349" spans="1:14" ht="13.2" hidden="1">
      <c r="A3349" s="164" t="str">
        <f ca="1">IFERROR(__xludf.DUMMYFUNCTION("""COMPUTED_VALUE"""),"REGION IX")</f>
        <v>REGION IX</v>
      </c>
      <c r="B3349" s="164" t="str">
        <f ca="1">IFERROR(__xludf.DUMMYFUNCTION("""COMPUTED_VALUE"""),"Zamboanga del Sur")</f>
        <v>Zamboanga del Sur</v>
      </c>
      <c r="C3349" s="164" t="str">
        <f ca="1">IFERROR(__xludf.DUMMYFUNCTION("""COMPUTED_VALUE"""),"Laptop – (ACER EXTENSA EX215-55G i7)")</f>
        <v>Laptop – (ACER EXTENSA EX215-55G i7)</v>
      </c>
      <c r="D3349" s="164" t="str">
        <f ca="1">IFERROR(__xludf.DUMMYFUNCTION("""COMPUTED_VALUE"""),"₱ 59,500.00")</f>
        <v>₱ 59,500.00</v>
      </c>
      <c r="E3349" s="164"/>
      <c r="F3349" s="164" t="str">
        <f ca="1">IFERROR(__xludf.DUMMYFUNCTION("""COMPUTED_VALUE"""),"2023-05-03-10202SP341-01")</f>
        <v>2023-05-03-10202SP341-01</v>
      </c>
      <c r="G3349" s="164"/>
      <c r="H3349" s="164" t="str">
        <f ca="1">IFERROR(__xludf.DUMMYFUNCTION("""COMPUTED_VALUE"""),"Engr. Jena C. Salaug")</f>
        <v>Engr. Jena C. Salaug</v>
      </c>
      <c r="I3349" s="164" t="str">
        <f ca="1">IFERROR(__xludf.DUMMYFUNCTION("""COMPUTED_VALUE"""),"CARPO")</f>
        <v>CARPO</v>
      </c>
      <c r="J3349" s="164" t="str">
        <f ca="1">IFERROR(__xludf.DUMMYFUNCTION("""COMPUTED_VALUE"""),"2023-05-03-10202SP341-01-ZDS")</f>
        <v>2023-05-03-10202SP341-01-ZDS</v>
      </c>
      <c r="K3349" s="164" t="str">
        <f ca="1">IFERROR(__xludf.DUMMYFUNCTION("""COMPUTED_VALUE"""),"Engr. Jena C. Salaug")</f>
        <v>Engr. Jena C. Salaug</v>
      </c>
      <c r="L3349" s="164" t="str">
        <f ca="1">IFERROR(__xludf.DUMMYFUNCTION("""COMPUTED_VALUE"""),"DARPO")</f>
        <v>DARPO</v>
      </c>
      <c r="M3349" s="164" t="str">
        <f ca="1">IFERROR(__xludf.DUMMYFUNCTION("""COMPUTED_VALUE"""),"SERVICEABLE")</f>
        <v>SERVICEABLE</v>
      </c>
      <c r="N3349" s="164"/>
    </row>
    <row r="3350" spans="1:14" ht="13.2" hidden="1">
      <c r="A3350" s="164" t="str">
        <f ca="1">IFERROR(__xludf.DUMMYFUNCTION("""COMPUTED_VALUE"""),"REGION IX")</f>
        <v>REGION IX</v>
      </c>
      <c r="B3350" s="164" t="str">
        <f ca="1">IFERROR(__xludf.DUMMYFUNCTION("""COMPUTED_VALUE"""),"Zamboanga del Sur")</f>
        <v>Zamboanga del Sur</v>
      </c>
      <c r="C3350" s="164" t="str">
        <f ca="1">IFERROR(__xludf.DUMMYFUNCTION("""COMPUTED_VALUE"""),"Laptop – (ACER EXTENSA EX215-55G i7)")</f>
        <v>Laptop – (ACER EXTENSA EX215-55G i7)</v>
      </c>
      <c r="D3350" s="164" t="str">
        <f ca="1">IFERROR(__xludf.DUMMYFUNCTION("""COMPUTED_VALUE"""),"₱ 59,500.00")</f>
        <v>₱ 59,500.00</v>
      </c>
      <c r="E3350" s="164"/>
      <c r="F3350" s="164" t="str">
        <f ca="1">IFERROR(__xludf.DUMMYFUNCTION("""COMPUTED_VALUE"""),"2023-05-03-10202SP342-01")</f>
        <v>2023-05-03-10202SP342-01</v>
      </c>
      <c r="G3350" s="164"/>
      <c r="H3350" s="164" t="str">
        <f ca="1">IFERROR(__xludf.DUMMYFUNCTION("""COMPUTED_VALUE"""),"Delia L. Memorando")</f>
        <v>Delia L. Memorando</v>
      </c>
      <c r="I3350" s="164" t="str">
        <f ca="1">IFERROR(__xludf.DUMMYFUNCTION("""COMPUTED_VALUE"""),"SARPO")</f>
        <v>SARPO</v>
      </c>
      <c r="J3350" s="164" t="str">
        <f ca="1">IFERROR(__xludf.DUMMYFUNCTION("""COMPUTED_VALUE"""),"2023-05-03-10202SP342-01-ZDS")</f>
        <v>2023-05-03-10202SP342-01-ZDS</v>
      </c>
      <c r="K3350" s="164" t="str">
        <f ca="1">IFERROR(__xludf.DUMMYFUNCTION("""COMPUTED_VALUE"""),"Delia L. Memorando")</f>
        <v>Delia L. Memorando</v>
      </c>
      <c r="L3350" s="164" t="str">
        <f ca="1">IFERROR(__xludf.DUMMYFUNCTION("""COMPUTED_VALUE"""),"DARPO-LTID")</f>
        <v>DARPO-LTID</v>
      </c>
      <c r="M3350" s="164" t="str">
        <f ca="1">IFERROR(__xludf.DUMMYFUNCTION("""COMPUTED_VALUE"""),"SERVICEABLE")</f>
        <v>SERVICEABLE</v>
      </c>
      <c r="N3350" s="164"/>
    </row>
    <row r="3351" spans="1:14" ht="13.2" hidden="1">
      <c r="A3351" s="164" t="str">
        <f ca="1">IFERROR(__xludf.DUMMYFUNCTION("""COMPUTED_VALUE"""),"REGION IX")</f>
        <v>REGION IX</v>
      </c>
      <c r="B3351" s="164" t="str">
        <f ca="1">IFERROR(__xludf.DUMMYFUNCTION("""COMPUTED_VALUE"""),"Zamboanga del Sur")</f>
        <v>Zamboanga del Sur</v>
      </c>
      <c r="C3351" s="164" t="str">
        <f ca="1">IFERROR(__xludf.DUMMYFUNCTION("""COMPUTED_VALUE"""),"Laptop – (ACER EXTENSA EX215-55G i7)")</f>
        <v>Laptop – (ACER EXTENSA EX215-55G i7)</v>
      </c>
      <c r="D3351" s="164" t="str">
        <f ca="1">IFERROR(__xludf.DUMMYFUNCTION("""COMPUTED_VALUE"""),"₱ 59,500.00")</f>
        <v>₱ 59,500.00</v>
      </c>
      <c r="E3351" s="164"/>
      <c r="F3351" s="164" t="str">
        <f ca="1">IFERROR(__xludf.DUMMYFUNCTION("""COMPUTED_VALUE"""),"2023-05-03-10202SP343-01")</f>
        <v>2023-05-03-10202SP343-01</v>
      </c>
      <c r="G3351" s="164"/>
      <c r="H3351" s="164" t="str">
        <f ca="1">IFERROR(__xludf.DUMMYFUNCTION("""COMPUTED_VALUE"""),"Dina J. Mayormita")</f>
        <v>Dina J. Mayormita</v>
      </c>
      <c r="I3351" s="164" t="str">
        <f ca="1">IFERROR(__xludf.DUMMYFUNCTION("""COMPUTED_VALUE"""),"ARPO 1")</f>
        <v>ARPO 1</v>
      </c>
      <c r="J3351" s="164" t="str">
        <f ca="1">IFERROR(__xludf.DUMMYFUNCTION("""COMPUTED_VALUE"""),"2023-05-03-10202SP343-01-ZDS")</f>
        <v>2023-05-03-10202SP343-01-ZDS</v>
      </c>
      <c r="K3351" s="164" t="str">
        <f ca="1">IFERROR(__xludf.DUMMYFUNCTION("""COMPUTED_VALUE"""),"Dina J. Mayormita")</f>
        <v>Dina J. Mayormita</v>
      </c>
      <c r="L3351" s="164" t="str">
        <f ca="1">IFERROR(__xludf.DUMMYFUNCTION("""COMPUTED_VALUE"""),"DARPO-LTID")</f>
        <v>DARPO-LTID</v>
      </c>
      <c r="M3351" s="164" t="str">
        <f ca="1">IFERROR(__xludf.DUMMYFUNCTION("""COMPUTED_VALUE"""),"SERVICEABLE")</f>
        <v>SERVICEABLE</v>
      </c>
      <c r="N3351" s="164"/>
    </row>
    <row r="3352" spans="1:14" ht="13.2" hidden="1">
      <c r="A3352" s="164" t="str">
        <f ca="1">IFERROR(__xludf.DUMMYFUNCTION("""COMPUTED_VALUE"""),"REGION IX")</f>
        <v>REGION IX</v>
      </c>
      <c r="B3352" s="164" t="str">
        <f ca="1">IFERROR(__xludf.DUMMYFUNCTION("""COMPUTED_VALUE"""),"Zamboanga del Sur")</f>
        <v>Zamboanga del Sur</v>
      </c>
      <c r="C3352" s="164" t="str">
        <f ca="1">IFERROR(__xludf.DUMMYFUNCTION("""COMPUTED_VALUE"""),"Laptop – (ACER EXTENSA EX215-55G i7)")</f>
        <v>Laptop – (ACER EXTENSA EX215-55G i7)</v>
      </c>
      <c r="D3352" s="164" t="str">
        <f ca="1">IFERROR(__xludf.DUMMYFUNCTION("""COMPUTED_VALUE"""),"₱ 59,500.00")</f>
        <v>₱ 59,500.00</v>
      </c>
      <c r="E3352" s="164"/>
      <c r="F3352" s="164" t="str">
        <f ca="1">IFERROR(__xludf.DUMMYFUNCTION("""COMPUTED_VALUE"""),"2023-05-03-10202SP344-01")</f>
        <v>2023-05-03-10202SP344-01</v>
      </c>
      <c r="G3352" s="164"/>
      <c r="H3352" s="164" t="str">
        <f ca="1">IFERROR(__xludf.DUMMYFUNCTION("""COMPUTED_VALUE"""),"Liezel R. Taborno")</f>
        <v>Liezel R. Taborno</v>
      </c>
      <c r="I3352" s="164" t="str">
        <f ca="1">IFERROR(__xludf.DUMMYFUNCTION("""COMPUTED_VALUE"""),"Cartographer II")</f>
        <v>Cartographer II</v>
      </c>
      <c r="J3352" s="164" t="str">
        <f ca="1">IFERROR(__xludf.DUMMYFUNCTION("""COMPUTED_VALUE"""),"2023-05-03-10202SP344-01-ZDS")</f>
        <v>2023-05-03-10202SP344-01-ZDS</v>
      </c>
      <c r="K3352" s="164" t="str">
        <f ca="1">IFERROR(__xludf.DUMMYFUNCTION("""COMPUTED_VALUE"""),"Liezel R. Taborno")</f>
        <v>Liezel R. Taborno</v>
      </c>
      <c r="L3352" s="164" t="str">
        <f ca="1">IFERROR(__xludf.DUMMYFUNCTION("""COMPUTED_VALUE"""),"DARPO-LTID")</f>
        <v>DARPO-LTID</v>
      </c>
      <c r="M3352" s="164" t="str">
        <f ca="1">IFERROR(__xludf.DUMMYFUNCTION("""COMPUTED_VALUE"""),"SERVICEABLE")</f>
        <v>SERVICEABLE</v>
      </c>
      <c r="N3352" s="164"/>
    </row>
    <row r="3353" spans="1:14" ht="13.2" hidden="1">
      <c r="A3353" s="164" t="str">
        <f ca="1">IFERROR(__xludf.DUMMYFUNCTION("""COMPUTED_VALUE"""),"REGION IX")</f>
        <v>REGION IX</v>
      </c>
      <c r="B3353" s="164" t="str">
        <f ca="1">IFERROR(__xludf.DUMMYFUNCTION("""COMPUTED_VALUE"""),"Zamboanga del Norte")</f>
        <v>Zamboanga del Norte</v>
      </c>
      <c r="C3353" s="164" t="str">
        <f ca="1">IFERROR(__xludf.DUMMYFUNCTION("""COMPUTED_VALUE"""),"Laptop – (ACER EXTENSA EX215-55G i7)")</f>
        <v>Laptop – (ACER EXTENSA EX215-55G i7)</v>
      </c>
      <c r="D3353" s="164" t="str">
        <f ca="1">IFERROR(__xludf.DUMMYFUNCTION("""COMPUTED_VALUE"""),"₱ 59,500.00")</f>
        <v>₱ 59,500.00</v>
      </c>
      <c r="E3353" s="164"/>
      <c r="F3353" s="164" t="str">
        <f ca="1">IFERROR(__xludf.DUMMYFUNCTION("""COMPUTED_VALUE"""),"2023-05-03-10202SP69-01")</f>
        <v>2023-05-03-10202SP69-01</v>
      </c>
      <c r="G3353" s="164"/>
      <c r="H3353" s="164" t="str">
        <f ca="1">IFERROR(__xludf.DUMMYFUNCTION("""COMPUTED_VALUE"""),"ROSEMAY PEREZ")</f>
        <v>ROSEMAY PEREZ</v>
      </c>
      <c r="I3353" s="164" t="str">
        <f ca="1">IFERROR(__xludf.DUMMYFUNCTION("""COMPUTED_VALUE"""),"ARPO I")</f>
        <v>ARPO I</v>
      </c>
      <c r="J3353" s="164" t="str">
        <f ca="1">IFERROR(__xludf.DUMMYFUNCTION("""COMPUTED_VALUE"""),"2023-05-013L")</f>
        <v>2023-05-013L</v>
      </c>
      <c r="K3353" s="164" t="str">
        <f ca="1">IFERROR(__xludf.DUMMYFUNCTION("""COMPUTED_VALUE"""),"ROSEMAY PEREZ")</f>
        <v>ROSEMAY PEREZ</v>
      </c>
      <c r="L3353" s="164" t="str">
        <f ca="1">IFERROR(__xludf.DUMMYFUNCTION("""COMPUTED_VALUE"""),"DARPO-LTID")</f>
        <v>DARPO-LTID</v>
      </c>
      <c r="M3353" s="164" t="str">
        <f ca="1">IFERROR(__xludf.DUMMYFUNCTION("""COMPUTED_VALUE"""),"SERVICEABLE")</f>
        <v>SERVICEABLE</v>
      </c>
      <c r="N3353" s="164"/>
    </row>
    <row r="3354" spans="1:14" ht="13.2" hidden="1">
      <c r="A3354" s="164" t="str">
        <f ca="1">IFERROR(__xludf.DUMMYFUNCTION("""COMPUTED_VALUE"""),"REGION IX")</f>
        <v>REGION IX</v>
      </c>
      <c r="B3354" s="164" t="str">
        <f ca="1">IFERROR(__xludf.DUMMYFUNCTION("""COMPUTED_VALUE"""),"Zamboanga del Sur")</f>
        <v>Zamboanga del Sur</v>
      </c>
      <c r="C3354" s="164" t="str">
        <f ca="1">IFERROR(__xludf.DUMMYFUNCTION("""COMPUTED_VALUE"""),"Photocopier Machine – Kyocera")</f>
        <v>Photocopier Machine – Kyocera</v>
      </c>
      <c r="D3354" s="164" t="str">
        <f ca="1">IFERROR(__xludf.DUMMYFUNCTION("""COMPUTED_VALUE"""),"₱ 84,500.00")</f>
        <v>₱ 84,500.00</v>
      </c>
      <c r="E3354" s="164"/>
      <c r="F3354" s="164" t="str">
        <f ca="1">IFERROR(__xludf.DUMMYFUNCTION("""COMPUTED_VALUE""")," 2022-05-02-10202SP63-01")</f>
        <v xml:space="preserve"> 2022-05-02-10202SP63-01</v>
      </c>
      <c r="G3354" s="164"/>
      <c r="H3354" s="164" t="str">
        <f ca="1">IFERROR(__xludf.DUMMYFUNCTION("""COMPUTED_VALUE"""),"Delia L. Memorando")</f>
        <v>Delia L. Memorando</v>
      </c>
      <c r="I3354" s="164" t="str">
        <f ca="1">IFERROR(__xludf.DUMMYFUNCTION("""COMPUTED_VALUE"""),"SARPO")</f>
        <v>SARPO</v>
      </c>
      <c r="J3354" s="164" t="str">
        <f ca="1">IFERROR(__xludf.DUMMYFUNCTION("""COMPUTED_VALUE"""),"2022-04-04-003-ZDS")</f>
        <v>2022-04-04-003-ZDS</v>
      </c>
      <c r="K3354" s="164" t="str">
        <f ca="1">IFERROR(__xludf.DUMMYFUNCTION("""COMPUTED_VALUE"""),"Delia L. Memorando")</f>
        <v>Delia L. Memorando</v>
      </c>
      <c r="L3354" s="164" t="str">
        <f ca="1">IFERROR(__xludf.DUMMYFUNCTION("""COMPUTED_VALUE"""),"DARPO-LTID")</f>
        <v>DARPO-LTID</v>
      </c>
      <c r="M3354" s="164" t="str">
        <f ca="1">IFERROR(__xludf.DUMMYFUNCTION("""COMPUTED_VALUE"""),"SERVICEABLE")</f>
        <v>SERVICEABLE</v>
      </c>
      <c r="N3354" s="164"/>
    </row>
    <row r="3355" spans="1:14" ht="13.2" hidden="1">
      <c r="A3355" s="164" t="str">
        <f ca="1">IFERROR(__xludf.DUMMYFUNCTION("""COMPUTED_VALUE"""),"REGION IX")</f>
        <v>REGION IX</v>
      </c>
      <c r="B3355" s="164" t="str">
        <f ca="1">IFERROR(__xludf.DUMMYFUNCTION("""COMPUTED_VALUE"""),"Zamboanga del Sur")</f>
        <v>Zamboanga del Sur</v>
      </c>
      <c r="C3355" s="164" t="str">
        <f ca="1">IFERROR(__xludf.DUMMYFUNCTION("""COMPUTED_VALUE"""),"REAL-TIME KINEMATIC – GEOMAX ZENITH60")</f>
        <v>REAL-TIME KINEMATIC – GEOMAX ZENITH60</v>
      </c>
      <c r="D3355" s="164" t="str">
        <f ca="1">IFERROR(__xludf.DUMMYFUNCTION("""COMPUTED_VALUE"""),"₱ 1,849,000.00")</f>
        <v>₱ 1,849,000.00</v>
      </c>
      <c r="E3355" s="164"/>
      <c r="F3355" s="164" t="str">
        <f ca="1">IFERROR(__xludf.DUMMYFUNCTION("""COMPUTED_VALUE"""),"2023-05-14-10201SP38-01")</f>
        <v>2023-05-14-10201SP38-01</v>
      </c>
      <c r="G3355" s="164"/>
      <c r="H3355" s="164" t="str">
        <f ca="1">IFERROR(__xludf.DUMMYFUNCTION("""COMPUTED_VALUE"""),"Engr. Raimund A. Tamin")</f>
        <v>Engr. Raimund A. Tamin</v>
      </c>
      <c r="I3355" s="164" t="str">
        <f ca="1">IFERROR(__xludf.DUMMYFUNCTION("""COMPUTED_VALUE"""),"Engineer II")</f>
        <v>Engineer II</v>
      </c>
      <c r="J3355" s="164" t="str">
        <f ca="1">IFERROR(__xludf.DUMMYFUNCTION("""COMPUTED_VALUE"""),"2023-05-14-10201SP38-01-ZDS")</f>
        <v>2023-05-14-10201SP38-01-ZDS</v>
      </c>
      <c r="K3355" s="164" t="str">
        <f ca="1">IFERROR(__xludf.DUMMYFUNCTION("""COMPUTED_VALUE"""),"Engr. Raimund A. Tamin")</f>
        <v>Engr. Raimund A. Tamin</v>
      </c>
      <c r="L3355" s="164" t="str">
        <f ca="1">IFERROR(__xludf.DUMMYFUNCTION("""COMPUTED_VALUE"""),"DARPO-LTID")</f>
        <v>DARPO-LTID</v>
      </c>
      <c r="M3355" s="164" t="str">
        <f ca="1">IFERROR(__xludf.DUMMYFUNCTION("""COMPUTED_VALUE"""),"SERVICEABLE")</f>
        <v>SERVICEABLE</v>
      </c>
      <c r="N3355" s="164"/>
    </row>
    <row r="3356" spans="1:14" ht="13.2" hidden="1">
      <c r="A3356" s="164" t="str">
        <f ca="1">IFERROR(__xludf.DUMMYFUNCTION("""COMPUTED_VALUE"""),"REGION IX")</f>
        <v>REGION IX</v>
      </c>
      <c r="B3356" s="164" t="str">
        <f ca="1">IFERROR(__xludf.DUMMYFUNCTION("""COMPUTED_VALUE"""),"Zamboanga del Sur")</f>
        <v>Zamboanga del Sur</v>
      </c>
      <c r="C3356" s="164" t="str">
        <f ca="1">IFERROR(__xludf.DUMMYFUNCTION("""COMPUTED_VALUE"""),"TOTAL STATION – GEOMAX TOTAL STATION ZOOM 50")</f>
        <v>TOTAL STATION – GEOMAX TOTAL STATION ZOOM 50</v>
      </c>
      <c r="D3356" s="164" t="str">
        <f ca="1">IFERROR(__xludf.DUMMYFUNCTION("""COMPUTED_VALUE"""),"₱ 648,000.00")</f>
        <v>₱ 648,000.00</v>
      </c>
      <c r="E3356" s="164"/>
      <c r="F3356" s="164" t="str">
        <f ca="1">IFERROR(__xludf.DUMMYFUNCTION("""COMPUTED_VALUE"""),"2023-05-14-10201SP39-01")</f>
        <v>2023-05-14-10201SP39-01</v>
      </c>
      <c r="G3356" s="164"/>
      <c r="H3356" s="164" t="str">
        <f ca="1">IFERROR(__xludf.DUMMYFUNCTION("""COMPUTED_VALUE"""),"Engr. Raimund A. Tamin")</f>
        <v>Engr. Raimund A. Tamin</v>
      </c>
      <c r="I3356" s="164" t="str">
        <f ca="1">IFERROR(__xludf.DUMMYFUNCTION("""COMPUTED_VALUE"""),"Engineer II")</f>
        <v>Engineer II</v>
      </c>
      <c r="J3356" s="164" t="str">
        <f ca="1">IFERROR(__xludf.DUMMYFUNCTION("""COMPUTED_VALUE"""),"2023-05-14-10201SP39-01-ZDS")</f>
        <v>2023-05-14-10201SP39-01-ZDS</v>
      </c>
      <c r="K3356" s="164" t="str">
        <f ca="1">IFERROR(__xludf.DUMMYFUNCTION("""COMPUTED_VALUE"""),"Engr. Raimund A. Tamin")</f>
        <v>Engr. Raimund A. Tamin</v>
      </c>
      <c r="L3356" s="164" t="str">
        <f ca="1">IFERROR(__xludf.DUMMYFUNCTION("""COMPUTED_VALUE"""),"DARPO-LTID")</f>
        <v>DARPO-LTID</v>
      </c>
      <c r="M3356" s="164" t="str">
        <f ca="1">IFERROR(__xludf.DUMMYFUNCTION("""COMPUTED_VALUE"""),"SERVICEABLE")</f>
        <v>SERVICEABLE</v>
      </c>
      <c r="N3356" s="164"/>
    </row>
    <row r="3357" spans="1:14" ht="13.2" hidden="1">
      <c r="A3357" s="164" t="str">
        <f ca="1">IFERROR(__xludf.DUMMYFUNCTION("""COMPUTED_VALUE"""),"REGION IX")</f>
        <v>REGION IX</v>
      </c>
      <c r="B3357" s="164" t="str">
        <f ca="1">IFERROR(__xludf.DUMMYFUNCTION("""COMPUTED_VALUE"""),"Zamboanga del Sur")</f>
        <v>Zamboanga del Sur</v>
      </c>
      <c r="C3357" s="164" t="str">
        <f ca="1">IFERROR(__xludf.DUMMYFUNCTION("""COMPUTED_VALUE"""),"HANDHELD GPS – MODEL P6")</f>
        <v>HANDHELD GPS – MODEL P6</v>
      </c>
      <c r="D3357" s="164" t="str">
        <f ca="1">IFERROR(__xludf.DUMMYFUNCTION("""COMPUTED_VALUE"""),"₱ 79,000.00")</f>
        <v>₱ 79,000.00</v>
      </c>
      <c r="E3357" s="164"/>
      <c r="F3357" s="164" t="str">
        <f ca="1">IFERROR(__xludf.DUMMYFUNCTION("""COMPUTED_VALUE"""),"2023-05-14-10201SP22-01")</f>
        <v>2023-05-14-10201SP22-01</v>
      </c>
      <c r="G3357" s="164"/>
      <c r="H3357" s="164" t="str">
        <f ca="1">IFERROR(__xludf.DUMMYFUNCTION("""COMPUTED_VALUE"""),"Engr. Raimund A. Tamin")</f>
        <v>Engr. Raimund A. Tamin</v>
      </c>
      <c r="I3357" s="164" t="str">
        <f ca="1">IFERROR(__xludf.DUMMYFUNCTION("""COMPUTED_VALUE"""),"Engineer II")</f>
        <v>Engineer II</v>
      </c>
      <c r="J3357" s="164" t="str">
        <f ca="1">IFERROR(__xludf.DUMMYFUNCTION("""COMPUTED_VALUE"""),"2023-05-14-10201SP20-01-ZDS")</f>
        <v>2023-05-14-10201SP20-01-ZDS</v>
      </c>
      <c r="K3357" s="164" t="str">
        <f ca="1">IFERROR(__xludf.DUMMYFUNCTION("""COMPUTED_VALUE"""),"Engr. Raimund A. Tamin")</f>
        <v>Engr. Raimund A. Tamin</v>
      </c>
      <c r="L3357" s="164" t="str">
        <f ca="1">IFERROR(__xludf.DUMMYFUNCTION("""COMPUTED_VALUE"""),"DARPO-LTID")</f>
        <v>DARPO-LTID</v>
      </c>
      <c r="M3357" s="164" t="str">
        <f ca="1">IFERROR(__xludf.DUMMYFUNCTION("""COMPUTED_VALUE"""),"SERVICEABLE")</f>
        <v>SERVICEABLE</v>
      </c>
      <c r="N3357" s="164"/>
    </row>
    <row r="3358" spans="1:14" ht="13.2" hidden="1">
      <c r="A3358" s="164" t="str">
        <f ca="1">IFERROR(__xludf.DUMMYFUNCTION("""COMPUTED_VALUE"""),"REGION IX")</f>
        <v>REGION IX</v>
      </c>
      <c r="B3358" s="164" t="str">
        <f ca="1">IFERROR(__xludf.DUMMYFUNCTION("""COMPUTED_VALUE"""),"Zamboanga del Sur")</f>
        <v>Zamboanga del Sur</v>
      </c>
      <c r="C3358" s="164" t="str">
        <f ca="1">IFERROR(__xludf.DUMMYFUNCTION("""COMPUTED_VALUE"""),"A3 PRINTER (BROTHER)")</f>
        <v>A3 PRINTER (BROTHER)</v>
      </c>
      <c r="D3358" s="164" t="str">
        <f ca="1">IFERROR(__xludf.DUMMYFUNCTION("""COMPUTED_VALUE"""),"₱ 33,508.00")</f>
        <v>₱ 33,508.00</v>
      </c>
      <c r="E3358" s="164"/>
      <c r="F3358" s="164" t="str">
        <f ca="1">IFERROR(__xludf.DUMMYFUNCTION("""COMPUTED_VALUE"""),"HVSPLIT-102-24-05-090")</f>
        <v>HVSPLIT-102-24-05-090</v>
      </c>
      <c r="G3358" s="164"/>
      <c r="H3358" s="164" t="str">
        <f ca="1">IFERROR(__xludf.DUMMYFUNCTION("""COMPUTED_VALUE"""),"CARLOS ALCAZAR")</f>
        <v>CARLOS ALCAZAR</v>
      </c>
      <c r="I3358" s="164" t="str">
        <f ca="1">IFERROR(__xludf.DUMMYFUNCTION("""COMPUTED_VALUE"""),"ENGR III")</f>
        <v>ENGR III</v>
      </c>
      <c r="J3358" s="164" t="str">
        <f ca="1">IFERROR(__xludf.DUMMYFUNCTION("""COMPUTED_VALUE"""),"2024-05-011")</f>
        <v>2024-05-011</v>
      </c>
      <c r="K3358" s="164"/>
      <c r="L3358" s="164" t="str">
        <f ca="1">IFERROR(__xludf.DUMMYFUNCTION("""COMPUTED_VALUE"""),"DARPO ZAMBO SUR")</f>
        <v>DARPO ZAMBO SUR</v>
      </c>
      <c r="M3358" s="164" t="str">
        <f ca="1">IFERROR(__xludf.DUMMYFUNCTION("""COMPUTED_VALUE"""),"SERVICEABLE")</f>
        <v>SERVICEABLE</v>
      </c>
      <c r="N3358" s="164"/>
    </row>
    <row r="3359" spans="1:14" ht="13.2" hidden="1">
      <c r="A3359" s="164" t="str">
        <f ca="1">IFERROR(__xludf.DUMMYFUNCTION("""COMPUTED_VALUE"""),"REGION IX")</f>
        <v>REGION IX</v>
      </c>
      <c r="B3359" s="164" t="str">
        <f ca="1">IFERROR(__xludf.DUMMYFUNCTION("""COMPUTED_VALUE"""),"Regional Office")</f>
        <v>Regional Office</v>
      </c>
      <c r="C3359" s="164" t="str">
        <f ca="1">IFERROR(__xludf.DUMMYFUNCTION("""COMPUTED_VALUE"""),"ACER TRAVELMATE")</f>
        <v>ACER TRAVELMATE</v>
      </c>
      <c r="D3359" s="164" t="str">
        <f ca="1">IFERROR(__xludf.DUMMYFUNCTION("""COMPUTED_VALUE"""),"₱ 46,580.00")</f>
        <v>₱ 46,580.00</v>
      </c>
      <c r="E3359" s="164"/>
      <c r="F3359" s="164" t="str">
        <f ca="1">IFERROR(__xludf.DUMMYFUNCTION("""COMPUTED_VALUE"""),"2024-05-03-10202SP-335-01")</f>
        <v>2024-05-03-10202SP-335-01</v>
      </c>
      <c r="G3359" s="164" t="str">
        <f ca="1">IFERROR(__xludf.DUMMYFUNCTION("""COMPUTED_VALUE"""),"NXVXKSP00341913C7D7600")</f>
        <v>NXVXKSP00341913C7D7600</v>
      </c>
      <c r="H3359" s="164" t="str">
        <f ca="1">IFERROR(__xludf.DUMMYFUNCTION("""COMPUTED_VALUE"""),"JAMES CARL MONTIMOR")</f>
        <v>JAMES CARL MONTIMOR</v>
      </c>
      <c r="I3359" s="164" t="str">
        <f ca="1">IFERROR(__xludf.DUMMYFUNCTION("""COMPUTED_VALUE"""),"DARAB LEGAL ASSISTANT I")</f>
        <v>DARAB LEGAL ASSISTANT I</v>
      </c>
      <c r="J3359" s="164" t="str">
        <f ca="1">IFERROR(__xludf.DUMMYFUNCTION("""COMPUTED_VALUE"""),"24-016")</f>
        <v>24-016</v>
      </c>
      <c r="K3359" s="164"/>
      <c r="L3359" s="164" t="str">
        <f ca="1">IFERROR(__xludf.DUMMYFUNCTION("""COMPUTED_VALUE"""),"DARRO IX")</f>
        <v>DARRO IX</v>
      </c>
      <c r="M3359" s="164" t="str">
        <f ca="1">IFERROR(__xludf.DUMMYFUNCTION("""COMPUTED_VALUE"""),"SERVICEABLE")</f>
        <v>SERVICEABLE</v>
      </c>
      <c r="N3359" s="164" t="str">
        <f ca="1">IFERROR(__xludf.DUMMYFUNCTION("""COMPUTED_VALUE"""),"ok")</f>
        <v>ok</v>
      </c>
    </row>
    <row r="3360" spans="1:14" ht="13.2" hidden="1">
      <c r="A3360" s="164" t="str">
        <f ca="1">IFERROR(__xludf.DUMMYFUNCTION("""COMPUTED_VALUE"""),"REGION IX")</f>
        <v>REGION IX</v>
      </c>
      <c r="B3360" s="164" t="str">
        <f ca="1">IFERROR(__xludf.DUMMYFUNCTION("""COMPUTED_VALUE"""),"Zamboanga Sibugay")</f>
        <v>Zamboanga Sibugay</v>
      </c>
      <c r="C3360" s="164" t="str">
        <f ca="1">IFERROR(__xludf.DUMMYFUNCTION("""COMPUTED_VALUE"""),"Desktop Computer – (MSI PRO DP180)")</f>
        <v>Desktop Computer – (MSI PRO DP180)</v>
      </c>
      <c r="D3360" s="164" t="str">
        <f ca="1">IFERROR(__xludf.DUMMYFUNCTION("""COMPUTED_VALUE"""),"₱ 49,300.00")</f>
        <v>₱ 49,300.00</v>
      </c>
      <c r="E3360" s="164"/>
      <c r="F3360" s="164" t="str">
        <f ca="1">IFERROR(__xludf.DUMMYFUNCTION("""COMPUTED_VALUE"""),"HVSPLIT-102-24-05-01-237")</f>
        <v>HVSPLIT-102-24-05-01-237</v>
      </c>
      <c r="G3360" s="164" t="str">
        <f ca="1">IFERROR(__xludf.DUMMYFUNCTION("""COMPUTED_VALUE"""),"MSB0A7O4S0103547; PC6M064401286")</f>
        <v>MSB0A7O4S0103547; PC6M064401286</v>
      </c>
      <c r="H3360" s="164" t="str">
        <f ca="1">IFERROR(__xludf.DUMMYFUNCTION("""COMPUTED_VALUE"""),"RAGDEE GARCIA")</f>
        <v>RAGDEE GARCIA</v>
      </c>
      <c r="I3360" s="164" t="str">
        <f ca="1">IFERROR(__xludf.DUMMYFUNCTION("""COMPUTED_VALUE"""),"SARPO/Acting Planning Officer")</f>
        <v>SARPO/Acting Planning Officer</v>
      </c>
      <c r="J3360" s="164" t="str">
        <f ca="1">IFERROR(__xludf.DUMMYFUNCTION("""COMPUTED_VALUE"""),"(For Issuance of ICS No.)")</f>
        <v>(For Issuance of ICS No.)</v>
      </c>
      <c r="K3360" s="164" t="str">
        <f ca="1">IFERROR(__xludf.DUMMYFUNCTION("""COMPUTED_VALUE"""),"MARIAN BOYLES")</f>
        <v>MARIAN BOYLES</v>
      </c>
      <c r="L3360" s="164" t="str">
        <f ca="1">IFERROR(__xludf.DUMMYFUNCTION("""COMPUTED_VALUE"""),"DARPO - LTID")</f>
        <v>DARPO - LTID</v>
      </c>
      <c r="M3360" s="164" t="str">
        <f ca="1">IFERROR(__xludf.DUMMYFUNCTION("""COMPUTED_VALUE"""),"SERVICEABLE")</f>
        <v>SERVICEABLE</v>
      </c>
      <c r="N3360" s="164"/>
    </row>
    <row r="3361" spans="1:14" ht="13.2" hidden="1">
      <c r="A3361" s="164" t="str">
        <f ca="1">IFERROR(__xludf.DUMMYFUNCTION("""COMPUTED_VALUE"""),"REGION IX")</f>
        <v>REGION IX</v>
      </c>
      <c r="B3361" s="164" t="str">
        <f ca="1">IFERROR(__xludf.DUMMYFUNCTION("""COMPUTED_VALUE"""),"Zamboanga Sibugay")</f>
        <v>Zamboanga Sibugay</v>
      </c>
      <c r="C3361" s="164" t="str">
        <f ca="1">IFERROR(__xludf.DUMMYFUNCTION("""COMPUTED_VALUE"""),"Desktop Computer – (MSI PRO DP180)")</f>
        <v>Desktop Computer – (MSI PRO DP180)</v>
      </c>
      <c r="D3361" s="164" t="str">
        <f ca="1">IFERROR(__xludf.DUMMYFUNCTION("""COMPUTED_VALUE"""),"₱ 49,300.00")</f>
        <v>₱ 49,300.00</v>
      </c>
      <c r="E3361" s="164"/>
      <c r="F3361" s="164" t="str">
        <f ca="1">IFERROR(__xludf.DUMMYFUNCTION("""COMPUTED_VALUE"""),"HVSPLIT-102-24-05-01-242")</f>
        <v>HVSPLIT-102-24-05-01-242</v>
      </c>
      <c r="G3361" s="164" t="str">
        <f ca="1">IFERROR(__xludf.DUMMYFUNCTION("""COMPUTED_VALUE"""),"MSB0A7O4S0103962; PC6M064401626")</f>
        <v>MSB0A7O4S0103962; PC6M064401626</v>
      </c>
      <c r="H3361" s="164" t="str">
        <f ca="1">IFERROR(__xludf.DUMMYFUNCTION("""COMPUTED_VALUE"""),"RAGDEE GARCIA")</f>
        <v>RAGDEE GARCIA</v>
      </c>
      <c r="I3361" s="164" t="str">
        <f ca="1">IFERROR(__xludf.DUMMYFUNCTION("""COMPUTED_VALUE"""),"SARPO/Acting Planning Officer")</f>
        <v>SARPO/Acting Planning Officer</v>
      </c>
      <c r="J3361" s="164" t="str">
        <f ca="1">IFERROR(__xludf.DUMMYFUNCTION("""COMPUTED_VALUE"""),"(For Issuance of ICS No.)")</f>
        <v>(For Issuance of ICS No.)</v>
      </c>
      <c r="K3361" s="164" t="str">
        <f ca="1">IFERROR(__xludf.DUMMYFUNCTION("""COMPUTED_VALUE"""),"(NO END USER DUE TO RENEWAL OF RCT)")</f>
        <v>(NO END USER DUE TO RENEWAL OF RCT)</v>
      </c>
      <c r="L3361" s="164" t="str">
        <f ca="1">IFERROR(__xludf.DUMMYFUNCTION("""COMPUTED_VALUE"""),"DARPO - LTID")</f>
        <v>DARPO - LTID</v>
      </c>
      <c r="M3361" s="164" t="str">
        <f ca="1">IFERROR(__xludf.DUMMYFUNCTION("""COMPUTED_VALUE"""),"SERVICEABLE")</f>
        <v>SERVICEABLE</v>
      </c>
      <c r="N3361" s="164"/>
    </row>
    <row r="3362" spans="1:14" ht="13.2" hidden="1">
      <c r="A3362" s="164" t="str">
        <f ca="1">IFERROR(__xludf.DUMMYFUNCTION("""COMPUTED_VALUE"""),"REGION IX")</f>
        <v>REGION IX</v>
      </c>
      <c r="B3362" s="164" t="str">
        <f ca="1">IFERROR(__xludf.DUMMYFUNCTION("""COMPUTED_VALUE"""),"Zamboanga Sibugay")</f>
        <v>Zamboanga Sibugay</v>
      </c>
      <c r="C3362" s="164" t="str">
        <f ca="1">IFERROR(__xludf.DUMMYFUNCTION("""COMPUTED_VALUE"""),"Desktop Computer – (MSI PRO DP180)")</f>
        <v>Desktop Computer – (MSI PRO DP180)</v>
      </c>
      <c r="D3362" s="164" t="str">
        <f ca="1">IFERROR(__xludf.DUMMYFUNCTION("""COMPUTED_VALUE"""),"₱ 49,300.00")</f>
        <v>₱ 49,300.00</v>
      </c>
      <c r="E3362" s="164"/>
      <c r="F3362" s="164" t="str">
        <f ca="1">IFERROR(__xludf.DUMMYFUNCTION("""COMPUTED_VALUE"""),"HVSPLIT-102-24-05-01-243")</f>
        <v>HVSPLIT-102-24-05-01-243</v>
      </c>
      <c r="G3362" s="164" t="str">
        <f ca="1">IFERROR(__xludf.DUMMYFUNCTION("""COMPUTED_VALUE"""),"MSB0A7O4S0103711; PC6M064401840")</f>
        <v>MSB0A7O4S0103711; PC6M064401840</v>
      </c>
      <c r="H3362" s="164" t="str">
        <f ca="1">IFERROR(__xludf.DUMMYFUNCTION("""COMPUTED_VALUE"""),"FLORDIE BAGUNDOL")</f>
        <v>FLORDIE BAGUNDOL</v>
      </c>
      <c r="I3362" s="164" t="str">
        <f ca="1">IFERROR(__xludf.DUMMYFUNCTION("""COMPUTED_VALUE"""),"MARPO")</f>
        <v>MARPO</v>
      </c>
      <c r="J3362" s="164" t="str">
        <f ca="1">IFERROR(__xludf.DUMMYFUNCTION("""COMPUTED_VALUE"""),"(For Issuance of ICS No.)")</f>
        <v>(For Issuance of ICS No.)</v>
      </c>
      <c r="K3362" s="164" t="str">
        <f ca="1">IFERROR(__xludf.DUMMYFUNCTION("""COMPUTED_VALUE"""),"BONA JANE AMODIA")</f>
        <v>BONA JANE AMODIA</v>
      </c>
      <c r="L3362" s="164" t="str">
        <f ca="1">IFERROR(__xludf.DUMMYFUNCTION("""COMPUTED_VALUE"""),"DARMO - KABASALAN/NAGA")</f>
        <v>DARMO - KABASALAN/NAGA</v>
      </c>
      <c r="M3362" s="164" t="str">
        <f ca="1">IFERROR(__xludf.DUMMYFUNCTION("""COMPUTED_VALUE"""),"SERVICEABLE")</f>
        <v>SERVICEABLE</v>
      </c>
      <c r="N3362" s="164"/>
    </row>
    <row r="3363" spans="1:14" ht="13.2" hidden="1">
      <c r="A3363" s="164" t="str">
        <f ca="1">IFERROR(__xludf.DUMMYFUNCTION("""COMPUTED_VALUE"""),"REGION IX")</f>
        <v>REGION IX</v>
      </c>
      <c r="B3363" s="164" t="str">
        <f ca="1">IFERROR(__xludf.DUMMYFUNCTION("""COMPUTED_VALUE"""),"Zamboanga del Norte")</f>
        <v>Zamboanga del Norte</v>
      </c>
      <c r="C3363" s="164" t="str">
        <f ca="1">IFERROR(__xludf.DUMMYFUNCTION("""COMPUTED_VALUE"""),"Desktop Computer – (MSI PRO DP180)")</f>
        <v>Desktop Computer – (MSI PRO DP180)</v>
      </c>
      <c r="D3363" s="164" t="str">
        <f ca="1">IFERROR(__xludf.DUMMYFUNCTION("""COMPUTED_VALUE"""),"₱ 49,300.00")</f>
        <v>₱ 49,300.00</v>
      </c>
      <c r="E3363" s="164"/>
      <c r="F3363" s="164" t="str">
        <f ca="1">IFERROR(__xludf.DUMMYFUNCTION("""COMPUTED_VALUE"""),"HVSPLIT-102-24-05-01-482")</f>
        <v>HVSPLIT-102-24-05-01-482</v>
      </c>
      <c r="G3363" s="164" t="str">
        <f ca="1">IFERROR(__xludf.DUMMYFUNCTION("""COMPUTED_VALUE"""),"PC6M064402062/MSB0A704S0103931")</f>
        <v>PC6M064402062/MSB0A704S0103931</v>
      </c>
      <c r="H3363" s="164" t="str">
        <f ca="1">IFERROR(__xludf.DUMMYFUNCTION("""COMPUTED_VALUE"""),"MARY CHEREL L. BUBURAN")</f>
        <v>MARY CHEREL L. BUBURAN</v>
      </c>
      <c r="I3363" s="164" t="str">
        <f ca="1">IFERROR(__xludf.DUMMYFUNCTION("""COMPUTED_VALUE"""),"ACCOUNTANT II")</f>
        <v>ACCOUNTANT II</v>
      </c>
      <c r="J3363" s="164" t="str">
        <f ca="1">IFERROR(__xludf.DUMMYFUNCTION("""COMPUTED_VALUE"""),"I-24-02-ZDN-SPLIT-230")</f>
        <v>I-24-02-ZDN-SPLIT-230</v>
      </c>
      <c r="K3363" s="164" t="str">
        <f ca="1">IFERROR(__xludf.DUMMYFUNCTION("""COMPUTED_VALUE"""),"MARY CHEREL L. BUBURAN
 DIVINE MERCY DOLORICAN")</f>
        <v>MARY CHEREL L. BUBURAN
 DIVINE MERCY DOLORICAN</v>
      </c>
      <c r="L3363" s="164" t="str">
        <f ca="1">IFERROR(__xludf.DUMMYFUNCTION("""COMPUTED_VALUE"""),"STOD-ACCOUNTING")</f>
        <v>STOD-ACCOUNTING</v>
      </c>
      <c r="M3363" s="164" t="str">
        <f ca="1">IFERROR(__xludf.DUMMYFUNCTION("""COMPUTED_VALUE"""),"SERVICEABLE")</f>
        <v>SERVICEABLE</v>
      </c>
      <c r="N3363" s="164"/>
    </row>
    <row r="3364" spans="1:14" ht="13.2" hidden="1">
      <c r="A3364" s="164" t="str">
        <f ca="1">IFERROR(__xludf.DUMMYFUNCTION("""COMPUTED_VALUE"""),"REGION IX")</f>
        <v>REGION IX</v>
      </c>
      <c r="B3364" s="164" t="str">
        <f ca="1">IFERROR(__xludf.DUMMYFUNCTION("""COMPUTED_VALUE"""),"Zamboanga del Norte")</f>
        <v>Zamboanga del Norte</v>
      </c>
      <c r="C3364" s="164" t="str">
        <f ca="1">IFERROR(__xludf.DUMMYFUNCTION("""COMPUTED_VALUE"""),"Desktop Computer – (MSI PRO DP180)")</f>
        <v>Desktop Computer – (MSI PRO DP180)</v>
      </c>
      <c r="D3364" s="164" t="str">
        <f ca="1">IFERROR(__xludf.DUMMYFUNCTION("""COMPUTED_VALUE"""),"₱ 49,300.00")</f>
        <v>₱ 49,300.00</v>
      </c>
      <c r="E3364" s="164"/>
      <c r="F3364" s="164" t="str">
        <f ca="1">IFERROR(__xludf.DUMMYFUNCTION("""COMPUTED_VALUE"""),"HVSPLIT-102-24-05-01-483")</f>
        <v>HVSPLIT-102-24-05-01-483</v>
      </c>
      <c r="G3364" s="164" t="str">
        <f ca="1">IFERROR(__xludf.DUMMYFUNCTION("""COMPUTED_VALUE"""),"PC6M064401562/MSB0A704S0103914")</f>
        <v>PC6M064401562/MSB0A704S0103914</v>
      </c>
      <c r="H3364" s="164" t="str">
        <f ca="1">IFERROR(__xludf.DUMMYFUNCTION("""COMPUTED_VALUE"""),"MILA D. BANQUIRIGO")</f>
        <v>MILA D. BANQUIRIGO</v>
      </c>
      <c r="I3364" s="164" t="str">
        <f ca="1">IFERROR(__xludf.DUMMYFUNCTION("""COMPUTED_VALUE"""),"MARPO")</f>
        <v>MARPO</v>
      </c>
      <c r="J3364" s="164" t="str">
        <f ca="1">IFERROR(__xludf.DUMMYFUNCTION("""COMPUTED_VALUE"""),"I-24-02-ZDN-SPLIT-231")</f>
        <v>I-24-02-ZDN-SPLIT-231</v>
      </c>
      <c r="K3364" s="164" t="str">
        <f ca="1">IFERROR(__xludf.DUMMYFUNCTION("""COMPUTED_VALUE"""),"MILA D. BANQUIRIGO")</f>
        <v>MILA D. BANQUIRIGO</v>
      </c>
      <c r="L3364" s="164" t="str">
        <f ca="1">IFERROR(__xludf.DUMMYFUNCTION("""COMPUTED_VALUE"""),"DARMO SINDANGAN")</f>
        <v>DARMO SINDANGAN</v>
      </c>
      <c r="M3364" s="164" t="str">
        <f ca="1">IFERROR(__xludf.DUMMYFUNCTION("""COMPUTED_VALUE"""),"SERVICEABLE")</f>
        <v>SERVICEABLE</v>
      </c>
      <c r="N3364" s="164"/>
    </row>
    <row r="3365" spans="1:14" ht="13.2" hidden="1">
      <c r="A3365" s="164" t="str">
        <f ca="1">IFERROR(__xludf.DUMMYFUNCTION("""COMPUTED_VALUE"""),"REGION IX")</f>
        <v>REGION IX</v>
      </c>
      <c r="B3365" s="164" t="str">
        <f ca="1">IFERROR(__xludf.DUMMYFUNCTION("""COMPUTED_VALUE"""),"Zamboanga del Norte")</f>
        <v>Zamboanga del Norte</v>
      </c>
      <c r="C3365" s="164" t="str">
        <f ca="1">IFERROR(__xludf.DUMMYFUNCTION("""COMPUTED_VALUE"""),"Desktop Computer – (MSI PRO DP180)")</f>
        <v>Desktop Computer – (MSI PRO DP180)</v>
      </c>
      <c r="D3365" s="164" t="str">
        <f ca="1">IFERROR(__xludf.DUMMYFUNCTION("""COMPUTED_VALUE"""),"₱ 49,300.00")</f>
        <v>₱ 49,300.00</v>
      </c>
      <c r="E3365" s="164"/>
      <c r="F3365" s="164" t="str">
        <f ca="1">IFERROR(__xludf.DUMMYFUNCTION("""COMPUTED_VALUE"""),"HVSPLIT-102-24-05-01-484")</f>
        <v>HVSPLIT-102-24-05-01-484</v>
      </c>
      <c r="G3365" s="164" t="str">
        <f ca="1">IFERROR(__xludf.DUMMYFUNCTION("""COMPUTED_VALUE"""),"PC6M064401318/MSB0A704S0103852")</f>
        <v>PC6M064401318/MSB0A704S0103852</v>
      </c>
      <c r="H3365" s="164" t="str">
        <f ca="1">IFERROR(__xludf.DUMMYFUNCTION("""COMPUTED_VALUE"""),"ANGELA PATAC")</f>
        <v>ANGELA PATAC</v>
      </c>
      <c r="I3365" s="164" t="str">
        <f ca="1">IFERROR(__xludf.DUMMYFUNCTION("""COMPUTED_VALUE"""),"MARPO")</f>
        <v>MARPO</v>
      </c>
      <c r="J3365" s="164" t="str">
        <f ca="1">IFERROR(__xludf.DUMMYFUNCTION("""COMPUTED_VALUE"""),"I-24-02-ZDN-SPLIT-232")</f>
        <v>I-24-02-ZDN-SPLIT-232</v>
      </c>
      <c r="K3365" s="164" t="str">
        <f ca="1">IFERROR(__xludf.DUMMYFUNCTION("""COMPUTED_VALUE"""),"ANGELA PATAC")</f>
        <v>ANGELA PATAC</v>
      </c>
      <c r="L3365" s="164" t="str">
        <f ca="1">IFERROR(__xludf.DUMMYFUNCTION("""COMPUTED_VALUE"""),"DARMO RIZAL")</f>
        <v>DARMO RIZAL</v>
      </c>
      <c r="M3365" s="164" t="str">
        <f ca="1">IFERROR(__xludf.DUMMYFUNCTION("""COMPUTED_VALUE"""),"SERVICEABLE")</f>
        <v>SERVICEABLE</v>
      </c>
      <c r="N3365" s="164"/>
    </row>
    <row r="3366" spans="1:14" ht="13.2" hidden="1">
      <c r="A3366" s="164" t="str">
        <f ca="1">IFERROR(__xludf.DUMMYFUNCTION("""COMPUTED_VALUE"""),"REGION IX")</f>
        <v>REGION IX</v>
      </c>
      <c r="B3366" s="164" t="str">
        <f ca="1">IFERROR(__xludf.DUMMYFUNCTION("""COMPUTED_VALUE"""),"Zamboanga del Norte")</f>
        <v>Zamboanga del Norte</v>
      </c>
      <c r="C3366" s="164" t="str">
        <f ca="1">IFERROR(__xludf.DUMMYFUNCTION("""COMPUTED_VALUE"""),"Desktop Computer – (MSI PRO DP180)")</f>
        <v>Desktop Computer – (MSI PRO DP180)</v>
      </c>
      <c r="D3366" s="164" t="str">
        <f ca="1">IFERROR(__xludf.DUMMYFUNCTION("""COMPUTED_VALUE"""),"₱ 49,301.00")</f>
        <v>₱ 49,301.00</v>
      </c>
      <c r="E3366" s="164"/>
      <c r="F3366" s="164" t="str">
        <f ca="1">IFERROR(__xludf.DUMMYFUNCTION("""COMPUTED_VALUE"""),"HVSPLIT-102-24-05-01-485")</f>
        <v>HVSPLIT-102-24-05-01-485</v>
      </c>
      <c r="G3366" s="164" t="str">
        <f ca="1">IFERROR(__xludf.DUMMYFUNCTION("""COMPUTED_VALUE"""),"PC6M064401318/MSB0A704S0103853")</f>
        <v>PC6M064401318/MSB0A704S0103853</v>
      </c>
      <c r="H3366" s="164" t="str">
        <f ca="1">IFERROR(__xludf.DUMMYFUNCTION("""COMPUTED_VALUE"""),"ANGELA PATAC")</f>
        <v>ANGELA PATAC</v>
      </c>
      <c r="I3366" s="164" t="str">
        <f ca="1">IFERROR(__xludf.DUMMYFUNCTION("""COMPUTED_VALUE"""),"MARPO")</f>
        <v>MARPO</v>
      </c>
      <c r="J3366" s="164" t="str">
        <f ca="1">IFERROR(__xludf.DUMMYFUNCTION("""COMPUTED_VALUE"""),"I-24-02-ZDN-SPLIT-233")</f>
        <v>I-24-02-ZDN-SPLIT-233</v>
      </c>
      <c r="K3366" s="164" t="str">
        <f ca="1">IFERROR(__xludf.DUMMYFUNCTION("""COMPUTED_VALUE"""),"ANGELA PATAC")</f>
        <v>ANGELA PATAC</v>
      </c>
      <c r="L3366" s="164" t="str">
        <f ca="1">IFERROR(__xludf.DUMMYFUNCTION("""COMPUTED_VALUE"""),"DARMO RIZAL")</f>
        <v>DARMO RIZAL</v>
      </c>
      <c r="M3366" s="164" t="str">
        <f ca="1">IFERROR(__xludf.DUMMYFUNCTION("""COMPUTED_VALUE"""),"SERVICEABLE")</f>
        <v>SERVICEABLE</v>
      </c>
      <c r="N3366" s="164"/>
    </row>
    <row r="3367" spans="1:14" ht="13.2" hidden="1">
      <c r="A3367" s="164" t="str">
        <f ca="1">IFERROR(__xludf.DUMMYFUNCTION("""COMPUTED_VALUE"""),"REGION IX")</f>
        <v>REGION IX</v>
      </c>
      <c r="B3367" s="164" t="str">
        <f ca="1">IFERROR(__xludf.DUMMYFUNCTION("""COMPUTED_VALUE"""),"Zamboanga del Norte")</f>
        <v>Zamboanga del Norte</v>
      </c>
      <c r="C3367" s="164" t="str">
        <f ca="1">IFERROR(__xludf.DUMMYFUNCTION("""COMPUTED_VALUE"""),"Desktop Computer – (MSI PRO DP180)")</f>
        <v>Desktop Computer – (MSI PRO DP180)</v>
      </c>
      <c r="D3367" s="164" t="str">
        <f ca="1">IFERROR(__xludf.DUMMYFUNCTION("""COMPUTED_VALUE"""),"₱ 49,302.00")</f>
        <v>₱ 49,302.00</v>
      </c>
      <c r="E3367" s="164"/>
      <c r="F3367" s="164" t="str">
        <f ca="1">IFERROR(__xludf.DUMMYFUNCTION("""COMPUTED_VALUE"""),"HVSPLIT-102-24-05-01-486")</f>
        <v>HVSPLIT-102-24-05-01-486</v>
      </c>
      <c r="G3367" s="164" t="str">
        <f ca="1">IFERROR(__xludf.DUMMYFUNCTION("""COMPUTED_VALUE"""),"PC6M064401318/MSB0A704S0103854")</f>
        <v>PC6M064401318/MSB0A704S0103854</v>
      </c>
      <c r="H3367" s="164" t="str">
        <f ca="1">IFERROR(__xludf.DUMMYFUNCTION("""COMPUTED_VALUE"""),"ANGELA PATAC")</f>
        <v>ANGELA PATAC</v>
      </c>
      <c r="I3367" s="164" t="str">
        <f ca="1">IFERROR(__xludf.DUMMYFUNCTION("""COMPUTED_VALUE"""),"MARPO")</f>
        <v>MARPO</v>
      </c>
      <c r="J3367" s="164" t="str">
        <f ca="1">IFERROR(__xludf.DUMMYFUNCTION("""COMPUTED_VALUE"""),"I-24-02-ZDN-SPLIT-234")</f>
        <v>I-24-02-ZDN-SPLIT-234</v>
      </c>
      <c r="K3367" s="164" t="str">
        <f ca="1">IFERROR(__xludf.DUMMYFUNCTION("""COMPUTED_VALUE"""),"ANGELA PATAC")</f>
        <v>ANGELA PATAC</v>
      </c>
      <c r="L3367" s="164" t="str">
        <f ca="1">IFERROR(__xludf.DUMMYFUNCTION("""COMPUTED_VALUE"""),"DARMO RIZAL")</f>
        <v>DARMO RIZAL</v>
      </c>
      <c r="M3367" s="164" t="str">
        <f ca="1">IFERROR(__xludf.DUMMYFUNCTION("""COMPUTED_VALUE"""),"SERVICEABLE")</f>
        <v>SERVICEABLE</v>
      </c>
      <c r="N3367" s="164"/>
    </row>
    <row r="3368" spans="1:14" ht="13.2" hidden="1">
      <c r="A3368" s="164" t="str">
        <f ca="1">IFERROR(__xludf.DUMMYFUNCTION("""COMPUTED_VALUE"""),"REGION IX")</f>
        <v>REGION IX</v>
      </c>
      <c r="B3368" s="164" t="str">
        <f ca="1">IFERROR(__xludf.DUMMYFUNCTION("""COMPUTED_VALUE"""),"Zamboanga del Norte")</f>
        <v>Zamboanga del Norte</v>
      </c>
      <c r="C3368" s="164" t="str">
        <f ca="1">IFERROR(__xludf.DUMMYFUNCTION("""COMPUTED_VALUE"""),"Desktop Computer – (MSI PRO DP180)")</f>
        <v>Desktop Computer – (MSI PRO DP180)</v>
      </c>
      <c r="D3368" s="164" t="str">
        <f ca="1">IFERROR(__xludf.DUMMYFUNCTION("""COMPUTED_VALUE"""),"₱ 49,303.00")</f>
        <v>₱ 49,303.00</v>
      </c>
      <c r="E3368" s="164"/>
      <c r="F3368" s="164" t="str">
        <f ca="1">IFERROR(__xludf.DUMMYFUNCTION("""COMPUTED_VALUE"""),"HVSPLIT-102-24-05-01-487")</f>
        <v>HVSPLIT-102-24-05-01-487</v>
      </c>
      <c r="G3368" s="164" t="str">
        <f ca="1">IFERROR(__xludf.DUMMYFUNCTION("""COMPUTED_VALUE"""),"PC6M064401318/MSB0A704S0103855")</f>
        <v>PC6M064401318/MSB0A704S0103855</v>
      </c>
      <c r="H3368" s="164" t="str">
        <f ca="1">IFERROR(__xludf.DUMMYFUNCTION("""COMPUTED_VALUE"""),"ANGELA PATAC")</f>
        <v>ANGELA PATAC</v>
      </c>
      <c r="I3368" s="164" t="str">
        <f ca="1">IFERROR(__xludf.DUMMYFUNCTION("""COMPUTED_VALUE"""),"MARPO")</f>
        <v>MARPO</v>
      </c>
      <c r="J3368" s="164" t="str">
        <f ca="1">IFERROR(__xludf.DUMMYFUNCTION("""COMPUTED_VALUE"""),"I-24-02-ZDN-SPLIT-235")</f>
        <v>I-24-02-ZDN-SPLIT-235</v>
      </c>
      <c r="K3368" s="164" t="str">
        <f ca="1">IFERROR(__xludf.DUMMYFUNCTION("""COMPUTED_VALUE"""),"ANGELA PATAC")</f>
        <v>ANGELA PATAC</v>
      </c>
      <c r="L3368" s="164" t="str">
        <f ca="1">IFERROR(__xludf.DUMMYFUNCTION("""COMPUTED_VALUE"""),"DARMO RIZAL")</f>
        <v>DARMO RIZAL</v>
      </c>
      <c r="M3368" s="164" t="str">
        <f ca="1">IFERROR(__xludf.DUMMYFUNCTION("""COMPUTED_VALUE"""),"SERVICEABLE")</f>
        <v>SERVICEABLE</v>
      </c>
      <c r="N3368" s="164"/>
    </row>
    <row r="3369" spans="1:14" ht="13.2" hidden="1">
      <c r="A3369" s="164" t="str">
        <f ca="1">IFERROR(__xludf.DUMMYFUNCTION("""COMPUTED_VALUE"""),"REGION IX")</f>
        <v>REGION IX</v>
      </c>
      <c r="B3369" s="164" t="str">
        <f ca="1">IFERROR(__xludf.DUMMYFUNCTION("""COMPUTED_VALUE"""),"Regional Office")</f>
        <v>Regional Office</v>
      </c>
      <c r="C3369" s="164" t="str">
        <f ca="1">IFERROR(__xludf.DUMMYFUNCTION("""COMPUTED_VALUE"""),"Double Cabin Pick-up Vehicles – Mitsubishi Strada")</f>
        <v>Double Cabin Pick-up Vehicles – Mitsubishi Strada</v>
      </c>
      <c r="D3369" s="164" t="str">
        <f ca="1">IFERROR(__xludf.DUMMYFUNCTION("""COMPUTED_VALUE"""),"₱ 1,752,400.00")</f>
        <v>₱ 1,752,400.00</v>
      </c>
      <c r="E3369" s="164" t="str">
        <f ca="1">IFERROR(__xludf.DUMMYFUNCTION("""COMPUTED_VALUE"""),"₱ -")</f>
        <v>₱ -</v>
      </c>
      <c r="F3369" s="164" t="str">
        <f ca="1">IFERROR(__xludf.DUMMYFUNCTION("""COMPUTED_VALUE"""),"2023-06-01-10201SP128-01")</f>
        <v>2023-06-01-10201SP128-01</v>
      </c>
      <c r="G3369" s="164" t="str">
        <f ca="1">IFERROR(__xludf.DUMMYFUNCTION("""COMPUTED_VALUE"""),"SNC 1205")</f>
        <v>SNC 1205</v>
      </c>
      <c r="H3369" s="164" t="str">
        <f ca="1">IFERROR(__xludf.DUMMYFUNCTION("""COMPUTED_VALUE"""),"GERMAN G. PEDROS")</f>
        <v>GERMAN G. PEDROS</v>
      </c>
      <c r="I3369" s="164" t="str">
        <f ca="1">IFERROR(__xludf.DUMMYFUNCTION("""COMPUTED_VALUE"""),"ADMIN AIDE IV")</f>
        <v>ADMIN AIDE IV</v>
      </c>
      <c r="J3369" s="164" t="str">
        <f ca="1">IFERROR(__xludf.DUMMYFUNCTION("""COMPUTED_VALUE"""),"2023-047")</f>
        <v>2023-047</v>
      </c>
      <c r="K3369" s="164" t="str">
        <f ca="1">IFERROR(__xludf.DUMMYFUNCTION("""COMPUTED_VALUE"""),"GERMAN G. PEDROS")</f>
        <v>GERMAN G. PEDROS</v>
      </c>
      <c r="L3369" s="164" t="str">
        <f ca="1">IFERROR(__xludf.DUMMYFUNCTION("""COMPUTED_VALUE"""),"GSS")</f>
        <v>GSS</v>
      </c>
      <c r="M3369" s="164" t="str">
        <f ca="1">IFERROR(__xludf.DUMMYFUNCTION("""COMPUTED_VALUE"""),"SERVICEABLE")</f>
        <v>SERVICEABLE</v>
      </c>
      <c r="N3369" s="164"/>
    </row>
    <row r="3370" spans="1:14" ht="13.2" hidden="1">
      <c r="A3370" s="164" t="str">
        <f ca="1">IFERROR(__xludf.DUMMYFUNCTION("""COMPUTED_VALUE"""),"REGION IX")</f>
        <v>REGION IX</v>
      </c>
      <c r="B3370" s="164" t="str">
        <f ca="1">IFERROR(__xludf.DUMMYFUNCTION("""COMPUTED_VALUE"""),"Regional Office")</f>
        <v>Regional Office</v>
      </c>
      <c r="C3370" s="164" t="str">
        <f ca="1">IFERROR(__xludf.DUMMYFUNCTION("""COMPUTED_VALUE"""),"Double Cabin Pick-up Vehicles – Mitsubishi Strada")</f>
        <v>Double Cabin Pick-up Vehicles – Mitsubishi Strada</v>
      </c>
      <c r="D3370" s="164" t="str">
        <f ca="1">IFERROR(__xludf.DUMMYFUNCTION("""COMPUTED_VALUE"""),"₱ 1,752,400.00")</f>
        <v>₱ 1,752,400.00</v>
      </c>
      <c r="E3370" s="164" t="str">
        <f ca="1">IFERROR(__xludf.DUMMYFUNCTION("""COMPUTED_VALUE"""),"₱ -")</f>
        <v>₱ -</v>
      </c>
      <c r="F3370" s="164" t="str">
        <f ca="1">IFERROR(__xludf.DUMMYFUNCTION("""COMPUTED_VALUE"""),"2023-06-01-10201SP112-01")</f>
        <v>2023-06-01-10201SP112-01</v>
      </c>
      <c r="G3370" s="164" t="str">
        <f ca="1">IFERROR(__xludf.DUMMYFUNCTION("""COMPUTED_VALUE"""),"SNC 1202")</f>
        <v>SNC 1202</v>
      </c>
      <c r="H3370" s="164" t="str">
        <f ca="1">IFERROR(__xludf.DUMMYFUNCTION("""COMPUTED_VALUE"""),"ROEL T. GOMEZ")</f>
        <v>ROEL T. GOMEZ</v>
      </c>
      <c r="I3370" s="164" t="str">
        <f ca="1">IFERROR(__xludf.DUMMYFUNCTION("""COMPUTED_VALUE"""),"ADMIN OFFICER III")</f>
        <v>ADMIN OFFICER III</v>
      </c>
      <c r="J3370" s="164" t="str">
        <f ca="1">IFERROR(__xludf.DUMMYFUNCTION("""COMPUTED_VALUE"""),"2023-048")</f>
        <v>2023-048</v>
      </c>
      <c r="K3370" s="164" t="str">
        <f ca="1">IFERROR(__xludf.DUMMYFUNCTION("""COMPUTED_VALUE"""),"RICTHIE MAQUILING (DRIVER)")</f>
        <v>RICTHIE MAQUILING (DRIVER)</v>
      </c>
      <c r="L3370" s="164" t="str">
        <f ca="1">IFERROR(__xludf.DUMMYFUNCTION("""COMPUTED_VALUE"""),"SUPPLY SECTION")</f>
        <v>SUPPLY SECTION</v>
      </c>
      <c r="M3370" s="164" t="str">
        <f ca="1">IFERROR(__xludf.DUMMYFUNCTION("""COMPUTED_VALUE"""),"SERVICEABLE")</f>
        <v>SERVICEABLE</v>
      </c>
      <c r="N3370" s="164"/>
    </row>
    <row r="3371" spans="1:14" ht="13.2" hidden="1">
      <c r="A3371" s="164" t="str">
        <f ca="1">IFERROR(__xludf.DUMMYFUNCTION("""COMPUTED_VALUE"""),"REGION IX")</f>
        <v>REGION IX</v>
      </c>
      <c r="B3371" s="164" t="str">
        <f ca="1">IFERROR(__xludf.DUMMYFUNCTION("""COMPUTED_VALUE"""),"Regional Office")</f>
        <v>Regional Office</v>
      </c>
      <c r="C3371" s="164" t="str">
        <f ca="1">IFERROR(__xludf.DUMMYFUNCTION("""COMPUTED_VALUE"""),"Motorcycle – (Honda XRL 150)")</f>
        <v>Motorcycle – (Honda XRL 150)</v>
      </c>
      <c r="D3371" s="164" t="str">
        <f ca="1">IFERROR(__xludf.DUMMYFUNCTION("""COMPUTED_VALUE"""),"₱ 124,900.00")</f>
        <v>₱ 124,900.00</v>
      </c>
      <c r="E3371" s="164" t="str">
        <f ca="1">IFERROR(__xludf.DUMMYFUNCTION("""COMPUTED_VALUE"""),"₱ -")</f>
        <v>₱ -</v>
      </c>
      <c r="F3371" s="164" t="str">
        <f ca="1">IFERROR(__xludf.DUMMYFUNCTION("""COMPUTED_VALUE"""),"2023-06-01-10202SP549-01")</f>
        <v>2023-06-01-10202SP549-01</v>
      </c>
      <c r="G3371" s="164"/>
      <c r="H3371" s="164" t="str">
        <f ca="1">IFERROR(__xludf.DUMMYFUNCTION("""COMPUTED_VALUE"""),"ROEL T. GOMEZ")</f>
        <v>ROEL T. GOMEZ</v>
      </c>
      <c r="I3371" s="164" t="str">
        <f ca="1">IFERROR(__xludf.DUMMYFUNCTION("""COMPUTED_VALUE"""),"ADMIN OFFICER III")</f>
        <v>ADMIN OFFICER III</v>
      </c>
      <c r="J3371" s="164" t="str">
        <f ca="1">IFERROR(__xludf.DUMMYFUNCTION("""COMPUTED_VALUE"""),"2023-006")</f>
        <v>2023-006</v>
      </c>
      <c r="K3371" s="164" t="str">
        <f ca="1">IFERROR(__xludf.DUMMYFUNCTION("""COMPUTED_VALUE"""),"ROEL T. GOMEZ")</f>
        <v>ROEL T. GOMEZ</v>
      </c>
      <c r="L3371" s="164" t="str">
        <f ca="1">IFERROR(__xludf.DUMMYFUNCTION("""COMPUTED_VALUE"""),"SUPPLY SECTION")</f>
        <v>SUPPLY SECTION</v>
      </c>
      <c r="M3371" s="164" t="str">
        <f ca="1">IFERROR(__xludf.DUMMYFUNCTION("""COMPUTED_VALUE"""),"SERVICEABLE")</f>
        <v>SERVICEABLE</v>
      </c>
      <c r="N3371" s="164"/>
    </row>
    <row r="3372" spans="1:14" ht="13.2" hidden="1">
      <c r="A3372" s="164" t="str">
        <f ca="1">IFERROR(__xludf.DUMMYFUNCTION("""COMPUTED_VALUE"""),"REGION IX")</f>
        <v>REGION IX</v>
      </c>
      <c r="B3372" s="164" t="str">
        <f ca="1">IFERROR(__xludf.DUMMYFUNCTION("""COMPUTED_VALUE"""),"Regional Office")</f>
        <v>Regional Office</v>
      </c>
      <c r="C3372" s="164" t="str">
        <f ca="1">IFERROR(__xludf.DUMMYFUNCTION("""COMPUTED_VALUE"""),"Motorcycle – (Honda XRL 150)")</f>
        <v>Motorcycle – (Honda XRL 150)</v>
      </c>
      <c r="D3372" s="164" t="str">
        <f ca="1">IFERROR(__xludf.DUMMYFUNCTION("""COMPUTED_VALUE"""),"₱ 124,900.00")</f>
        <v>₱ 124,900.00</v>
      </c>
      <c r="E3372" s="164" t="str">
        <f ca="1">IFERROR(__xludf.DUMMYFUNCTION("""COMPUTED_VALUE"""),"₱ -")</f>
        <v>₱ -</v>
      </c>
      <c r="F3372" s="164" t="str">
        <f ca="1">IFERROR(__xludf.DUMMYFUNCTION("""COMPUTED_VALUE"""),"2023-06-01-10202SP548-01")</f>
        <v>2023-06-01-10202SP548-01</v>
      </c>
      <c r="G3372" s="164"/>
      <c r="H3372" s="164" t="str">
        <f ca="1">IFERROR(__xludf.DUMMYFUNCTION("""COMPUTED_VALUE"""),"ROEL T. GOMEZ")</f>
        <v>ROEL T. GOMEZ</v>
      </c>
      <c r="I3372" s="164" t="str">
        <f ca="1">IFERROR(__xludf.DUMMYFUNCTION("""COMPUTED_VALUE"""),"ADMIN OFFICER III")</f>
        <v>ADMIN OFFICER III</v>
      </c>
      <c r="J3372" s="164" t="str">
        <f ca="1">IFERROR(__xludf.DUMMYFUNCTION("""COMPUTED_VALUE"""),"2023-006B")</f>
        <v>2023-006B</v>
      </c>
      <c r="K3372" s="164" t="str">
        <f ca="1">IFERROR(__xludf.DUMMYFUNCTION("""COMPUTED_VALUE"""),"ROQUE B. ONGAY (HEO II)")</f>
        <v>ROQUE B. ONGAY (HEO II)</v>
      </c>
      <c r="L3372" s="164" t="str">
        <f ca="1">IFERROR(__xludf.DUMMYFUNCTION("""COMPUTED_VALUE"""),"SUPPLY SECTION")</f>
        <v>SUPPLY SECTION</v>
      </c>
      <c r="M3372" s="164" t="str">
        <f ca="1">IFERROR(__xludf.DUMMYFUNCTION("""COMPUTED_VALUE"""),"SERVICEABLE")</f>
        <v>SERVICEABLE</v>
      </c>
      <c r="N3372" s="164"/>
    </row>
    <row r="3373" spans="1:14" ht="13.2" hidden="1">
      <c r="A3373" s="164" t="str">
        <f ca="1">IFERROR(__xludf.DUMMYFUNCTION("""COMPUTED_VALUE"""),"REGION IX")</f>
        <v>REGION IX</v>
      </c>
      <c r="B3373" s="164" t="str">
        <f ca="1">IFERROR(__xludf.DUMMYFUNCTION("""COMPUTED_VALUE"""),"Regional Office")</f>
        <v>Regional Office</v>
      </c>
      <c r="C3373" s="164" t="str">
        <f ca="1">IFERROR(__xludf.DUMMYFUNCTION("""COMPUTED_VALUE"""),"Motorcycle – (Honda XRL 150)")</f>
        <v>Motorcycle – (Honda XRL 150)</v>
      </c>
      <c r="D3373" s="164" t="str">
        <f ca="1">IFERROR(__xludf.DUMMYFUNCTION("""COMPUTED_VALUE"""),"₱ 124,900.00")</f>
        <v>₱ 124,900.00</v>
      </c>
      <c r="E3373" s="164" t="str">
        <f ca="1">IFERROR(__xludf.DUMMYFUNCTION("""COMPUTED_VALUE"""),"₱ -")</f>
        <v>₱ -</v>
      </c>
      <c r="F3373" s="164" t="str">
        <f ca="1">IFERROR(__xludf.DUMMYFUNCTION("""COMPUTED_VALUE"""),"2023-06-01-10202SP551-01")</f>
        <v>2023-06-01-10202SP551-01</v>
      </c>
      <c r="G3373" s="164"/>
      <c r="H3373" s="164" t="str">
        <f ca="1">IFERROR(__xludf.DUMMYFUNCTION("""COMPUTED_VALUE"""),"ENGR. CARLOS L. ALCAZAR")</f>
        <v>ENGR. CARLOS L. ALCAZAR</v>
      </c>
      <c r="I3373" s="164" t="str">
        <f ca="1">IFERROR(__xludf.DUMMYFUNCTION("""COMPUTED_VALUE"""),"ENGINEER III")</f>
        <v>ENGINEER III</v>
      </c>
      <c r="J3373" s="164" t="str">
        <f ca="1">IFERROR(__xludf.DUMMYFUNCTION("""COMPUTED_VALUE"""),"2023-006A")</f>
        <v>2023-006A</v>
      </c>
      <c r="K3373" s="164" t="str">
        <f ca="1">IFERROR(__xludf.DUMMYFUNCTION("""COMPUTED_VALUE"""),"ENGR. CARLOS L. ALCAZAR")</f>
        <v>ENGR. CARLOS L. ALCAZAR</v>
      </c>
      <c r="L3373" s="164" t="str">
        <f ca="1">IFERROR(__xludf.DUMMYFUNCTION("""COMPUTED_VALUE"""),"LTID")</f>
        <v>LTID</v>
      </c>
      <c r="M3373" s="164" t="str">
        <f ca="1">IFERROR(__xludf.DUMMYFUNCTION("""COMPUTED_VALUE"""),"SERVICEABLE")</f>
        <v>SERVICEABLE</v>
      </c>
      <c r="N3373" s="164"/>
    </row>
    <row r="3374" spans="1:14" ht="13.2" hidden="1">
      <c r="A3374" s="164" t="str">
        <f ca="1">IFERROR(__xludf.DUMMYFUNCTION("""COMPUTED_VALUE"""),"REGION IX")</f>
        <v>REGION IX</v>
      </c>
      <c r="B3374" s="164" t="str">
        <f ca="1">IFERROR(__xludf.DUMMYFUNCTION("""COMPUTED_VALUE"""),"Zamboanga Sibugay")</f>
        <v>Zamboanga Sibugay</v>
      </c>
      <c r="C3374" s="164" t="str">
        <f ca="1">IFERROR(__xludf.DUMMYFUNCTION("""COMPUTED_VALUE"""),"Double Cabin Pick-up Vehicles – Mitsubishi Strada")</f>
        <v>Double Cabin Pick-up Vehicles – Mitsubishi Strada</v>
      </c>
      <c r="D3374" s="164" t="str">
        <f ca="1">IFERROR(__xludf.DUMMYFUNCTION("""COMPUTED_VALUE"""),"₱ 1,752,400.00")</f>
        <v>₱ 1,752,400.00</v>
      </c>
      <c r="E3374" s="164" t="str">
        <f ca="1">IFERROR(__xludf.DUMMYFUNCTION("""COMPUTED_VALUE"""),"₱ -")</f>
        <v>₱ -</v>
      </c>
      <c r="F3374" s="164" t="str">
        <f ca="1">IFERROR(__xludf.DUMMYFUNCTION("""COMPUTED_VALUE"""),"2023-06-01-10201SP108-01")</f>
        <v>2023-06-01-10201SP108-01</v>
      </c>
      <c r="G3374" s="164" t="str">
        <f ca="1">IFERROR(__xludf.DUMMYFUNCTION("""COMPUTED_VALUE"""),"SNC 1207")</f>
        <v>SNC 1207</v>
      </c>
      <c r="H3374" s="164" t="str">
        <f ca="1">IFERROR(__xludf.DUMMYFUNCTION("""COMPUTED_VALUE"""),"CECILE G. MIRAL")</f>
        <v>CECILE G. MIRAL</v>
      </c>
      <c r="I3374" s="164" t="str">
        <f ca="1">IFERROR(__xludf.DUMMYFUNCTION("""COMPUTED_VALUE"""),"AO IV - SUPPLY OFFICER")</f>
        <v>AO IV - SUPPLY OFFICER</v>
      </c>
      <c r="J3374" s="164" t="str">
        <f ca="1">IFERROR(__xludf.DUMMYFUNCTION("""COMPUTED_VALUE"""),"ZSSPLIT2023-13-01-027")</f>
        <v>ZSSPLIT2023-13-01-027</v>
      </c>
      <c r="K3374" s="164" t="str">
        <f ca="1">IFERROR(__xludf.DUMMYFUNCTION("""COMPUTED_VALUE"""),"ROLANDO M. LIBETARIO JR, CPA")</f>
        <v>ROLANDO M. LIBETARIO JR, CPA</v>
      </c>
      <c r="L3374" s="164" t="str">
        <f ca="1">IFERROR(__xludf.DUMMYFUNCTION("""COMPUTED_VALUE"""),"STOD/ SUPPLY SECTION")</f>
        <v>STOD/ SUPPLY SECTION</v>
      </c>
      <c r="M3374" s="164" t="str">
        <f ca="1">IFERROR(__xludf.DUMMYFUNCTION("""COMPUTED_VALUE"""),"SERVICEABLE")</f>
        <v>SERVICEABLE</v>
      </c>
      <c r="N3374" s="164"/>
    </row>
    <row r="3375" spans="1:14" ht="13.2" hidden="1">
      <c r="A3375" s="164" t="str">
        <f ca="1">IFERROR(__xludf.DUMMYFUNCTION("""COMPUTED_VALUE"""),"REGION IX")</f>
        <v>REGION IX</v>
      </c>
      <c r="B3375" s="164" t="str">
        <f ca="1">IFERROR(__xludf.DUMMYFUNCTION("""COMPUTED_VALUE"""),"Zamboanga Sibugay")</f>
        <v>Zamboanga Sibugay</v>
      </c>
      <c r="C3375" s="164" t="str">
        <f ca="1">IFERROR(__xludf.DUMMYFUNCTION("""COMPUTED_VALUE"""),"Motorcycle – (Honda XRL 150)")</f>
        <v>Motorcycle – (Honda XRL 150)</v>
      </c>
      <c r="D3375" s="164" t="str">
        <f ca="1">IFERROR(__xludf.DUMMYFUNCTION("""COMPUTED_VALUE"""),"₱ 124,900.00")</f>
        <v>₱ 124,900.00</v>
      </c>
      <c r="E3375" s="164" t="str">
        <f ca="1">IFERROR(__xludf.DUMMYFUNCTION("""COMPUTED_VALUE"""),"₱ -")</f>
        <v>₱ -</v>
      </c>
      <c r="F3375" s="164" t="str">
        <f ca="1">IFERROR(__xludf.DUMMYFUNCTION("""COMPUTED_VALUE"""),"2023-06-01-10202SP506-01")</f>
        <v>2023-06-01-10202SP506-01</v>
      </c>
      <c r="G3375" s="164" t="str">
        <f ca="1">IFERROR(__xludf.DUMMYFUNCTION("""COMPUTED_VALUE"""),"no plate available")</f>
        <v>no plate available</v>
      </c>
      <c r="H3375" s="164" t="str">
        <f ca="1">IFERROR(__xludf.DUMMYFUNCTION("""COMPUTED_VALUE"""),"CECILE G. MIRAL
 BRYAN MONTIGO")</f>
        <v>CECILE G. MIRAL
 BRYAN MONTIGO</v>
      </c>
      <c r="I3375" s="164" t="str">
        <f ca="1">IFERROR(__xludf.DUMMYFUNCTION("""COMPUTED_VALUE"""),"AO IV - SUPPLY OFFICER
 ACTING PLANNING")</f>
        <v>AO IV - SUPPLY OFFICER
 ACTING PLANNING</v>
      </c>
      <c r="J3375" s="164" t="str">
        <f ca="1">IFERROR(__xludf.DUMMYFUNCTION("""COMPUTED_VALUE"""),"ZSSPLIT2023-13-06-028")</f>
        <v>ZSSPLIT2023-13-06-028</v>
      </c>
      <c r="K3375" s="164" t="str">
        <f ca="1">IFERROR(__xludf.DUMMYFUNCTION("""COMPUTED_VALUE"""),"ROLANDO M. LIBETARIO JR, CPA")</f>
        <v>ROLANDO M. LIBETARIO JR, CPA</v>
      </c>
      <c r="L3375" s="164" t="str">
        <f ca="1">IFERROR(__xludf.DUMMYFUNCTION("""COMPUTED_VALUE"""),"STOD/ SUPPLY SECTION")</f>
        <v>STOD/ SUPPLY SECTION</v>
      </c>
      <c r="M3375" s="164" t="str">
        <f ca="1">IFERROR(__xludf.DUMMYFUNCTION("""COMPUTED_VALUE"""),"SERVICEABLE")</f>
        <v>SERVICEABLE</v>
      </c>
      <c r="N3375" s="164" t="str">
        <f ca="1">IFERROR(__xludf.DUMMYFUNCTION("""COMPUTED_VALUE"""),"2023-06-01-10202SP509-01 ACTUAL BUT PER ACCOUNTING 2023-06-01-10202SP506-01")</f>
        <v>2023-06-01-10202SP509-01 ACTUAL BUT PER ACCOUNTING 2023-06-01-10202SP506-01</v>
      </c>
    </row>
    <row r="3376" spans="1:14" ht="13.2" hidden="1">
      <c r="A3376" s="164" t="str">
        <f ca="1">IFERROR(__xludf.DUMMYFUNCTION("""COMPUTED_VALUE"""),"REGION IX")</f>
        <v>REGION IX</v>
      </c>
      <c r="B3376" s="164" t="str">
        <f ca="1">IFERROR(__xludf.DUMMYFUNCTION("""COMPUTED_VALUE"""),"Zamboanga Sibugay")</f>
        <v>Zamboanga Sibugay</v>
      </c>
      <c r="C3376" s="164" t="str">
        <f ca="1">IFERROR(__xludf.DUMMYFUNCTION("""COMPUTED_VALUE"""),"Motorcycle – (Honda XRL 150)")</f>
        <v>Motorcycle – (Honda XRL 150)</v>
      </c>
      <c r="D3376" s="164" t="str">
        <f ca="1">IFERROR(__xludf.DUMMYFUNCTION("""COMPUTED_VALUE"""),"₱ 124,900.00")</f>
        <v>₱ 124,900.00</v>
      </c>
      <c r="E3376" s="164" t="str">
        <f ca="1">IFERROR(__xludf.DUMMYFUNCTION("""COMPUTED_VALUE"""),"₱ -")</f>
        <v>₱ -</v>
      </c>
      <c r="F3376" s="164" t="str">
        <f ca="1">IFERROR(__xludf.DUMMYFUNCTION("""COMPUTED_VALUE"""),"2023-06-01-10202SP505-01")</f>
        <v>2023-06-01-10202SP505-01</v>
      </c>
      <c r="G3376" s="164" t="str">
        <f ca="1">IFERROR(__xludf.DUMMYFUNCTION("""COMPUTED_VALUE"""),"no plate available")</f>
        <v>no plate available</v>
      </c>
      <c r="H3376" s="164" t="str">
        <f ca="1">IFERROR(__xludf.DUMMYFUNCTION("""COMPUTED_VALUE"""),"RAGDEE N. GARCIA")</f>
        <v>RAGDEE N. GARCIA</v>
      </c>
      <c r="I3376" s="164" t="str">
        <f ca="1">IFERROR(__xludf.DUMMYFUNCTION("""COMPUTED_VALUE"""),"ARPT")</f>
        <v>ARPT</v>
      </c>
      <c r="J3376" s="164" t="str">
        <f ca="1">IFERROR(__xludf.DUMMYFUNCTION("""COMPUTED_VALUE"""),"ZSSPLIT2023-13-06-029")</f>
        <v>ZSSPLIT2023-13-06-029</v>
      </c>
      <c r="K3376" s="164" t="str">
        <f ca="1">IFERROR(__xludf.DUMMYFUNCTION("""COMPUTED_VALUE"""),"RUSSEL P. LIMBAGO
 JUSTINE MARK DE ASIS")</f>
        <v>RUSSEL P. LIMBAGO
 JUSTINE MARK DE ASIS</v>
      </c>
      <c r="L3376" s="164" t="str">
        <f ca="1">IFERROR(__xludf.DUMMYFUNCTION("""COMPUTED_VALUE"""),"LTID")</f>
        <v>LTID</v>
      </c>
      <c r="M3376" s="164" t="str">
        <f ca="1">IFERROR(__xludf.DUMMYFUNCTION("""COMPUTED_VALUE"""),"SERVICEABLE")</f>
        <v>SERVICEABLE</v>
      </c>
      <c r="N3376" s="164"/>
    </row>
    <row r="3377" spans="1:14" ht="13.2" hidden="1">
      <c r="A3377" s="164" t="str">
        <f ca="1">IFERROR(__xludf.DUMMYFUNCTION("""COMPUTED_VALUE"""),"REGION IX")</f>
        <v>REGION IX</v>
      </c>
      <c r="B3377" s="164" t="str">
        <f ca="1">IFERROR(__xludf.DUMMYFUNCTION("""COMPUTED_VALUE"""),"Zamboanga Sibugay")</f>
        <v>Zamboanga Sibugay</v>
      </c>
      <c r="C3377" s="164" t="str">
        <f ca="1">IFERROR(__xludf.DUMMYFUNCTION("""COMPUTED_VALUE"""),"Motorcycle – (Honda XRL 150)")</f>
        <v>Motorcycle – (Honda XRL 150)</v>
      </c>
      <c r="D3377" s="164" t="str">
        <f ca="1">IFERROR(__xludf.DUMMYFUNCTION("""COMPUTED_VALUE"""),"₱ 124,900.00")</f>
        <v>₱ 124,900.00</v>
      </c>
      <c r="E3377" s="164" t="str">
        <f ca="1">IFERROR(__xludf.DUMMYFUNCTION("""COMPUTED_VALUE"""),"₱ -")</f>
        <v>₱ -</v>
      </c>
      <c r="F3377" s="164" t="str">
        <f ca="1">IFERROR(__xludf.DUMMYFUNCTION("""COMPUTED_VALUE"""),"2023-06-01-10202SP496-01")</f>
        <v>2023-06-01-10202SP496-01</v>
      </c>
      <c r="G3377" s="164" t="str">
        <f ca="1">IFERROR(__xludf.DUMMYFUNCTION("""COMPUTED_VALUE"""),"no plate available")</f>
        <v>no plate available</v>
      </c>
      <c r="H3377" s="164" t="str">
        <f ca="1">IFERROR(__xludf.DUMMYFUNCTION("""COMPUTED_VALUE"""),"CECILE G. MIRAL
 BRYAN MONTIGO")</f>
        <v>CECILE G. MIRAL
 BRYAN MONTIGO</v>
      </c>
      <c r="I3377" s="164" t="str">
        <f ca="1">IFERROR(__xludf.DUMMYFUNCTION("""COMPUTED_VALUE"""),"AO IV - SUPPLY OFFICER
 ACTING PLANNING")</f>
        <v>AO IV - SUPPLY OFFICER
 ACTING PLANNING</v>
      </c>
      <c r="J3377" s="164" t="str">
        <f ca="1">IFERROR(__xludf.DUMMYFUNCTION("""COMPUTED_VALUE"""),"ZSSPLIT2023-13-06-030")</f>
        <v>ZSSPLIT2023-13-06-030</v>
      </c>
      <c r="K3377" s="164" t="str">
        <f ca="1">IFERROR(__xludf.DUMMYFUNCTION("""COMPUTED_VALUE"""),"JOEL CASTILLO
 JEREMY ALEJANDRO")</f>
        <v>JOEL CASTILLO
 JEREMY ALEJANDRO</v>
      </c>
      <c r="L3377" s="164" t="str">
        <f ca="1">IFERROR(__xludf.DUMMYFUNCTION("""COMPUTED_VALUE"""),"STOD/SUPPLY SECTION")</f>
        <v>STOD/SUPPLY SECTION</v>
      </c>
      <c r="M3377" s="164" t="str">
        <f ca="1">IFERROR(__xludf.DUMMYFUNCTION("""COMPUTED_VALUE"""),"SERVICEABLE")</f>
        <v>SERVICEABLE</v>
      </c>
      <c r="N3377" s="164"/>
    </row>
    <row r="3378" spans="1:14" ht="13.2" hidden="1">
      <c r="A3378" s="164" t="str">
        <f ca="1">IFERROR(__xludf.DUMMYFUNCTION("""COMPUTED_VALUE"""),"REGION IX")</f>
        <v>REGION IX</v>
      </c>
      <c r="B3378" s="164" t="str">
        <f ca="1">IFERROR(__xludf.DUMMYFUNCTION("""COMPUTED_VALUE"""),"Zamboanga Sibugay")</f>
        <v>Zamboanga Sibugay</v>
      </c>
      <c r="C3378" s="164" t="str">
        <f ca="1">IFERROR(__xludf.DUMMYFUNCTION("""COMPUTED_VALUE"""),"Motorcycle – (Honda XRL 150)")</f>
        <v>Motorcycle – (Honda XRL 150)</v>
      </c>
      <c r="D3378" s="164" t="str">
        <f ca="1">IFERROR(__xludf.DUMMYFUNCTION("""COMPUTED_VALUE"""),"₱ 124,900.00")</f>
        <v>₱ 124,900.00</v>
      </c>
      <c r="E3378" s="164" t="str">
        <f ca="1">IFERROR(__xludf.DUMMYFUNCTION("""COMPUTED_VALUE"""),"₱ -")</f>
        <v>₱ -</v>
      </c>
      <c r="F3378" s="164" t="str">
        <f ca="1">IFERROR(__xludf.DUMMYFUNCTION("""COMPUTED_VALUE"""),"2023-06-01-10202SP510-01")</f>
        <v>2023-06-01-10202SP510-01</v>
      </c>
      <c r="G3378" s="164" t="str">
        <f ca="1">IFERROR(__xludf.DUMMYFUNCTION("""COMPUTED_VALUE"""),"no plate available")</f>
        <v>no plate available</v>
      </c>
      <c r="H3378" s="164" t="str">
        <f ca="1">IFERROR(__xludf.DUMMYFUNCTION("""COMPUTED_VALUE"""),"JERIC ARANDIA")</f>
        <v>JERIC ARANDIA</v>
      </c>
      <c r="I3378" s="164" t="str">
        <f ca="1">IFERROR(__xludf.DUMMYFUNCTION("""COMPUTED_VALUE"""),"ARPT")</f>
        <v>ARPT</v>
      </c>
      <c r="J3378" s="164" t="str">
        <f ca="1">IFERROR(__xludf.DUMMYFUNCTION("""COMPUTED_VALUE"""),"ZSSPLIT2023-13-06-031")</f>
        <v>ZSSPLIT2023-13-06-031</v>
      </c>
      <c r="K3378" s="164" t="str">
        <f ca="1">IFERROR(__xludf.DUMMYFUNCTION("""COMPUTED_VALUE"""),"ROLANDO M. LIBETARIO JR, CPA")</f>
        <v>ROLANDO M. LIBETARIO JR, CPA</v>
      </c>
      <c r="L3378" s="164" t="str">
        <f ca="1">IFERROR(__xludf.DUMMYFUNCTION("""COMPUTED_VALUE"""),"DARMO IPIL")</f>
        <v>DARMO IPIL</v>
      </c>
      <c r="M3378" s="164" t="str">
        <f ca="1">IFERROR(__xludf.DUMMYFUNCTION("""COMPUTED_VALUE"""),"SERVICEABLE")</f>
        <v>SERVICEABLE</v>
      </c>
      <c r="N3378" s="164"/>
    </row>
    <row r="3379" spans="1:14" ht="13.2" hidden="1">
      <c r="A3379" s="164" t="str">
        <f ca="1">IFERROR(__xludf.DUMMYFUNCTION("""COMPUTED_VALUE"""),"REGION IX")</f>
        <v>REGION IX</v>
      </c>
      <c r="B3379" s="164" t="str">
        <f ca="1">IFERROR(__xludf.DUMMYFUNCTION("""COMPUTED_VALUE"""),"Zamboanga Sibugay")</f>
        <v>Zamboanga Sibugay</v>
      </c>
      <c r="C3379" s="164" t="str">
        <f ca="1">IFERROR(__xludf.DUMMYFUNCTION("""COMPUTED_VALUE"""),"Motorcycle – (Honda XRL 150)")</f>
        <v>Motorcycle – (Honda XRL 150)</v>
      </c>
      <c r="D3379" s="164" t="str">
        <f ca="1">IFERROR(__xludf.DUMMYFUNCTION("""COMPUTED_VALUE"""),"₱ 124,900.00")</f>
        <v>₱ 124,900.00</v>
      </c>
      <c r="E3379" s="164" t="str">
        <f ca="1">IFERROR(__xludf.DUMMYFUNCTION("""COMPUTED_VALUE"""),"₱ -")</f>
        <v>₱ -</v>
      </c>
      <c r="F3379" s="164" t="str">
        <f ca="1">IFERROR(__xludf.DUMMYFUNCTION("""COMPUTED_VALUE"""),"2023-06-01-10202SP513-01")</f>
        <v>2023-06-01-10202SP513-01</v>
      </c>
      <c r="G3379" s="164" t="str">
        <f ca="1">IFERROR(__xludf.DUMMYFUNCTION("""COMPUTED_VALUE"""),"no plate available")</f>
        <v>no plate available</v>
      </c>
      <c r="H3379" s="164" t="str">
        <f ca="1">IFERROR(__xludf.DUMMYFUNCTION("""COMPUTED_VALUE"""),"JOCELYN N. BAGUIO")</f>
        <v>JOCELYN N. BAGUIO</v>
      </c>
      <c r="I3379" s="164" t="str">
        <f ca="1">IFERROR(__xludf.DUMMYFUNCTION("""COMPUTED_VALUE"""),"ENGINEER II")</f>
        <v>ENGINEER II</v>
      </c>
      <c r="J3379" s="164" t="str">
        <f ca="1">IFERROR(__xludf.DUMMYFUNCTION("""COMPUTED_VALUE"""),"ZSSPLIT2023-13-06-032")</f>
        <v>ZSSPLIT2023-13-06-032</v>
      </c>
      <c r="K3379" s="164" t="str">
        <f ca="1">IFERROR(__xludf.DUMMYFUNCTION("""COMPUTED_VALUE"""),"JERIC ARANDIA")</f>
        <v>JERIC ARANDIA</v>
      </c>
      <c r="L3379" s="164" t="str">
        <f ca="1">IFERROR(__xludf.DUMMYFUNCTION("""COMPUTED_VALUE"""),"DARMO PAYAO")</f>
        <v>DARMO PAYAO</v>
      </c>
      <c r="M3379" s="164" t="str">
        <f ca="1">IFERROR(__xludf.DUMMYFUNCTION("""COMPUTED_VALUE"""),"SERVICEABLE")</f>
        <v>SERVICEABLE</v>
      </c>
      <c r="N3379" s="164"/>
    </row>
    <row r="3380" spans="1:14" ht="13.2" hidden="1">
      <c r="A3380" s="164" t="str">
        <f ca="1">IFERROR(__xludf.DUMMYFUNCTION("""COMPUTED_VALUE"""),"REGION IX")</f>
        <v>REGION IX</v>
      </c>
      <c r="B3380" s="164" t="str">
        <f ca="1">IFERROR(__xludf.DUMMYFUNCTION("""COMPUTED_VALUE"""),"Zamboanga Sibugay")</f>
        <v>Zamboanga Sibugay</v>
      </c>
      <c r="C3380" s="164" t="str">
        <f ca="1">IFERROR(__xludf.DUMMYFUNCTION("""COMPUTED_VALUE"""),"Motorcycle – (Honda XRL 150)")</f>
        <v>Motorcycle – (Honda XRL 150)</v>
      </c>
      <c r="D3380" s="164" t="str">
        <f ca="1">IFERROR(__xludf.DUMMYFUNCTION("""COMPUTED_VALUE"""),"₱ 124,900.00")</f>
        <v>₱ 124,900.00</v>
      </c>
      <c r="E3380" s="164" t="str">
        <f ca="1">IFERROR(__xludf.DUMMYFUNCTION("""COMPUTED_VALUE"""),"₱ -")</f>
        <v>₱ -</v>
      </c>
      <c r="F3380" s="164" t="str">
        <f ca="1">IFERROR(__xludf.DUMMYFUNCTION("""COMPUTED_VALUE"""),"2023-06-01-10202SP517-01")</f>
        <v>2023-06-01-10202SP517-01</v>
      </c>
      <c r="G3380" s="164" t="str">
        <f ca="1">IFERROR(__xludf.DUMMYFUNCTION("""COMPUTED_VALUE"""),"no plate available")</f>
        <v>no plate available</v>
      </c>
      <c r="H3380" s="164" t="str">
        <f ca="1">IFERROR(__xludf.DUMMYFUNCTION("""COMPUTED_VALUE"""),"RYAN B. MONACILLO")</f>
        <v>RYAN B. MONACILLO</v>
      </c>
      <c r="I3380" s="164" t="str">
        <f ca="1">IFERROR(__xludf.DUMMYFUNCTION("""COMPUTED_VALUE"""),"ARPT")</f>
        <v>ARPT</v>
      </c>
      <c r="J3380" s="164" t="str">
        <f ca="1">IFERROR(__xludf.DUMMYFUNCTION("""COMPUTED_VALUE"""),"ZSSPLIT2023-13-06-033")</f>
        <v>ZSSPLIT2023-13-06-033</v>
      </c>
      <c r="K3380" s="164" t="str">
        <f ca="1">IFERROR(__xludf.DUMMYFUNCTION("""COMPUTED_VALUE"""),"JOCELYN N. BAGUIO")</f>
        <v>JOCELYN N. BAGUIO</v>
      </c>
      <c r="L3380" s="164" t="str">
        <f ca="1">IFERROR(__xludf.DUMMYFUNCTION("""COMPUTED_VALUE"""),"DARMO OLUTANGA")</f>
        <v>DARMO OLUTANGA</v>
      </c>
      <c r="M3380" s="164" t="str">
        <f ca="1">IFERROR(__xludf.DUMMYFUNCTION("""COMPUTED_VALUE"""),"SERVICEABLE")</f>
        <v>SERVICEABLE</v>
      </c>
      <c r="N3380" s="164"/>
    </row>
    <row r="3381" spans="1:14" ht="13.2" hidden="1">
      <c r="A3381" s="164" t="str">
        <f ca="1">IFERROR(__xludf.DUMMYFUNCTION("""COMPUTED_VALUE"""),"REGION IX")</f>
        <v>REGION IX</v>
      </c>
      <c r="B3381" s="164" t="str">
        <f ca="1">IFERROR(__xludf.DUMMYFUNCTION("""COMPUTED_VALUE"""),"Zamboanga Sibugay")</f>
        <v>Zamboanga Sibugay</v>
      </c>
      <c r="C3381" s="164" t="str">
        <f ca="1">IFERROR(__xludf.DUMMYFUNCTION("""COMPUTED_VALUE"""),"Motorcycle – (Honda XRL 150)")</f>
        <v>Motorcycle – (Honda XRL 150)</v>
      </c>
      <c r="D3381" s="164" t="str">
        <f ca="1">IFERROR(__xludf.DUMMYFUNCTION("""COMPUTED_VALUE"""),"₱ 124,900.00")</f>
        <v>₱ 124,900.00</v>
      </c>
      <c r="E3381" s="164" t="str">
        <f ca="1">IFERROR(__xludf.DUMMYFUNCTION("""COMPUTED_VALUE"""),"₱ -")</f>
        <v>₱ -</v>
      </c>
      <c r="F3381" s="164" t="str">
        <f ca="1">IFERROR(__xludf.DUMMYFUNCTION("""COMPUTED_VALUE"""),"2023-06-01-10202SP519-01")</f>
        <v>2023-06-01-10202SP519-01</v>
      </c>
      <c r="G3381" s="164" t="str">
        <f ca="1">IFERROR(__xludf.DUMMYFUNCTION("""COMPUTED_VALUE"""),"no plate available")</f>
        <v>no plate available</v>
      </c>
      <c r="H3381" s="164" t="str">
        <f ca="1">IFERROR(__xludf.DUMMYFUNCTION("""COMPUTED_VALUE"""),"EZRA ACLA")</f>
        <v>EZRA ACLA</v>
      </c>
      <c r="I3381" s="164" t="str">
        <f ca="1">IFERROR(__xludf.DUMMYFUNCTION("""COMPUTED_VALUE"""),"ARPT")</f>
        <v>ARPT</v>
      </c>
      <c r="J3381" s="164" t="str">
        <f ca="1">IFERROR(__xludf.DUMMYFUNCTION("""COMPUTED_VALUE"""),"ZSSPLIT2023-13-06-034")</f>
        <v>ZSSPLIT2023-13-06-034</v>
      </c>
      <c r="K3381" s="164" t="str">
        <f ca="1">IFERROR(__xludf.DUMMYFUNCTION("""COMPUTED_VALUE"""),"RYAN B. MONACILLO")</f>
        <v>RYAN B. MONACILLO</v>
      </c>
      <c r="L3381" s="164" t="str">
        <f ca="1">IFERROR(__xludf.DUMMYFUNCTION("""COMPUTED_VALUE"""),"DARMO MABUHAY")</f>
        <v>DARMO MABUHAY</v>
      </c>
      <c r="M3381" s="164" t="str">
        <f ca="1">IFERROR(__xludf.DUMMYFUNCTION("""COMPUTED_VALUE"""),"SERVICEABLE")</f>
        <v>SERVICEABLE</v>
      </c>
      <c r="N3381" s="164"/>
    </row>
    <row r="3382" spans="1:14" ht="13.2" hidden="1">
      <c r="A3382" s="164" t="str">
        <f ca="1">IFERROR(__xludf.DUMMYFUNCTION("""COMPUTED_VALUE"""),"REGION IX")</f>
        <v>REGION IX</v>
      </c>
      <c r="B3382" s="164" t="str">
        <f ca="1">IFERROR(__xludf.DUMMYFUNCTION("""COMPUTED_VALUE"""),"Zamboanga Sibugay")</f>
        <v>Zamboanga Sibugay</v>
      </c>
      <c r="C3382" s="164" t="str">
        <f ca="1">IFERROR(__xludf.DUMMYFUNCTION("""COMPUTED_VALUE"""),"Motorcycle – (Honda XRL 150)")</f>
        <v>Motorcycle – (Honda XRL 150)</v>
      </c>
      <c r="D3382" s="164" t="str">
        <f ca="1">IFERROR(__xludf.DUMMYFUNCTION("""COMPUTED_VALUE"""),"₱ 124,900.00")</f>
        <v>₱ 124,900.00</v>
      </c>
      <c r="E3382" s="164" t="str">
        <f ca="1">IFERROR(__xludf.DUMMYFUNCTION("""COMPUTED_VALUE"""),"₱ -")</f>
        <v>₱ -</v>
      </c>
      <c r="F3382" s="164" t="str">
        <f ca="1">IFERROR(__xludf.DUMMYFUNCTION("""COMPUTED_VALUE"""),"2023-06-01-10202SP520-01")</f>
        <v>2023-06-01-10202SP520-01</v>
      </c>
      <c r="G3382" s="164" t="str">
        <f ca="1">IFERROR(__xludf.DUMMYFUNCTION("""COMPUTED_VALUE"""),"no plate available")</f>
        <v>no plate available</v>
      </c>
      <c r="H3382" s="164" t="str">
        <f ca="1">IFERROR(__xludf.DUMMYFUNCTION("""COMPUTED_VALUE"""),"EDGARDO O. LAMATAN")</f>
        <v>EDGARDO O. LAMATAN</v>
      </c>
      <c r="I3382" s="164" t="str">
        <f ca="1">IFERROR(__xludf.DUMMYFUNCTION("""COMPUTED_VALUE"""),"ARPO II")</f>
        <v>ARPO II</v>
      </c>
      <c r="J3382" s="164" t="str">
        <f ca="1">IFERROR(__xludf.DUMMYFUNCTION("""COMPUTED_VALUE"""),"ZSSPLIT2023-13-06-035")</f>
        <v>ZSSPLIT2023-13-06-035</v>
      </c>
      <c r="K3382" s="164" t="str">
        <f ca="1">IFERROR(__xludf.DUMMYFUNCTION("""COMPUTED_VALUE"""),"EZRA ACLA")</f>
        <v>EZRA ACLA</v>
      </c>
      <c r="L3382" s="164" t="str">
        <f ca="1">IFERROR(__xludf.DUMMYFUNCTION("""COMPUTED_VALUE"""),"DARMO R.T .LIM")</f>
        <v>DARMO R.T .LIM</v>
      </c>
      <c r="M3382" s="164" t="str">
        <f ca="1">IFERROR(__xludf.DUMMYFUNCTION("""COMPUTED_VALUE"""),"SERVICEABLE")</f>
        <v>SERVICEABLE</v>
      </c>
      <c r="N3382" s="164"/>
    </row>
    <row r="3383" spans="1:14" ht="13.2" hidden="1">
      <c r="A3383" s="164" t="str">
        <f ca="1">IFERROR(__xludf.DUMMYFUNCTION("""COMPUTED_VALUE"""),"REGION IX")</f>
        <v>REGION IX</v>
      </c>
      <c r="B3383" s="164" t="str">
        <f ca="1">IFERROR(__xludf.DUMMYFUNCTION("""COMPUTED_VALUE"""),"Zamboanga Sibugay")</f>
        <v>Zamboanga Sibugay</v>
      </c>
      <c r="C3383" s="164" t="str">
        <f ca="1">IFERROR(__xludf.DUMMYFUNCTION("""COMPUTED_VALUE"""),"Motorcycle – (Honda XRL 150)")</f>
        <v>Motorcycle – (Honda XRL 150)</v>
      </c>
      <c r="D3383" s="164" t="str">
        <f ca="1">IFERROR(__xludf.DUMMYFUNCTION("""COMPUTED_VALUE"""),"₱ 124,900.00")</f>
        <v>₱ 124,900.00</v>
      </c>
      <c r="E3383" s="164" t="str">
        <f ca="1">IFERROR(__xludf.DUMMYFUNCTION("""COMPUTED_VALUE"""),"₱ -")</f>
        <v>₱ -</v>
      </c>
      <c r="F3383" s="164" t="str">
        <f ca="1">IFERROR(__xludf.DUMMYFUNCTION("""COMPUTED_VALUE"""),"2023-06-01-10202SP522-01")</f>
        <v>2023-06-01-10202SP522-01</v>
      </c>
      <c r="G3383" s="164" t="str">
        <f ca="1">IFERROR(__xludf.DUMMYFUNCTION("""COMPUTED_VALUE"""),"no plate available")</f>
        <v>no plate available</v>
      </c>
      <c r="H3383" s="164" t="str">
        <f ca="1">IFERROR(__xludf.DUMMYFUNCTION("""COMPUTED_VALUE"""),"LETICIA SAGA")</f>
        <v>LETICIA SAGA</v>
      </c>
      <c r="I3383" s="164" t="str">
        <f ca="1">IFERROR(__xludf.DUMMYFUNCTION("""COMPUTED_VALUE"""),"ARPO I")</f>
        <v>ARPO I</v>
      </c>
      <c r="J3383" s="164" t="str">
        <f ca="1">IFERROR(__xludf.DUMMYFUNCTION("""COMPUTED_VALUE"""),"ZSSPLIT2023-13-06-036")</f>
        <v>ZSSPLIT2023-13-06-036</v>
      </c>
      <c r="K3383" s="164" t="str">
        <f ca="1">IFERROR(__xludf.DUMMYFUNCTION("""COMPUTED_VALUE"""),"LETICIA SAGA")</f>
        <v>LETICIA SAGA</v>
      </c>
      <c r="L3383" s="164" t="str">
        <f ca="1">IFERROR(__xludf.DUMMYFUNCTION("""COMPUTED_VALUE"""),"DARMO SIAY")</f>
        <v>DARMO SIAY</v>
      </c>
      <c r="M3383" s="164" t="str">
        <f ca="1">IFERROR(__xludf.DUMMYFUNCTION("""COMPUTED_VALUE"""),"SERVICEABLE")</f>
        <v>SERVICEABLE</v>
      </c>
      <c r="N3383" s="164"/>
    </row>
    <row r="3384" spans="1:14" ht="13.2" hidden="1">
      <c r="A3384" s="164" t="str">
        <f ca="1">IFERROR(__xludf.DUMMYFUNCTION("""COMPUTED_VALUE"""),"REGION IX")</f>
        <v>REGION IX</v>
      </c>
      <c r="B3384" s="164" t="str">
        <f ca="1">IFERROR(__xludf.DUMMYFUNCTION("""COMPUTED_VALUE"""),"Zamboanga Sibugay")</f>
        <v>Zamboanga Sibugay</v>
      </c>
      <c r="C3384" s="164" t="str">
        <f ca="1">IFERROR(__xludf.DUMMYFUNCTION("""COMPUTED_VALUE"""),"Motorcycle – (Honda XRL 150)")</f>
        <v>Motorcycle – (Honda XRL 150)</v>
      </c>
      <c r="D3384" s="164" t="str">
        <f ca="1">IFERROR(__xludf.DUMMYFUNCTION("""COMPUTED_VALUE"""),"₱ 124,900.00")</f>
        <v>₱ 124,900.00</v>
      </c>
      <c r="E3384" s="164" t="str">
        <f ca="1">IFERROR(__xludf.DUMMYFUNCTION("""COMPUTED_VALUE"""),"₱ -")</f>
        <v>₱ -</v>
      </c>
      <c r="F3384" s="164" t="str">
        <f ca="1">IFERROR(__xludf.DUMMYFUNCTION("""COMPUTED_VALUE"""),"2023-06-01-10202SP537-01")</f>
        <v>2023-06-01-10202SP537-01</v>
      </c>
      <c r="G3384" s="164" t="str">
        <f ca="1">IFERROR(__xludf.DUMMYFUNCTION("""COMPUTED_VALUE"""),"no plate available")</f>
        <v>no plate available</v>
      </c>
      <c r="H3384" s="164" t="str">
        <f ca="1">IFERROR(__xludf.DUMMYFUNCTION("""COMPUTED_VALUE"""),"HELENE GARCIA")</f>
        <v>HELENE GARCIA</v>
      </c>
      <c r="I3384" s="164" t="str">
        <f ca="1">IFERROR(__xludf.DUMMYFUNCTION("""COMPUTED_VALUE"""),"ARPT")</f>
        <v>ARPT</v>
      </c>
      <c r="J3384" s="164" t="str">
        <f ca="1">IFERROR(__xludf.DUMMYFUNCTION("""COMPUTED_VALUE"""),"ZSSPLIT2023-13-06-037")</f>
        <v>ZSSPLIT2023-13-06-037</v>
      </c>
      <c r="K3384" s="164" t="str">
        <f ca="1">IFERROR(__xludf.DUMMYFUNCTION("""COMPUTED_VALUE"""),"RAYMAR SUARDIAZ")</f>
        <v>RAYMAR SUARDIAZ</v>
      </c>
      <c r="L3384" s="164" t="str">
        <f ca="1">IFERROR(__xludf.DUMMYFUNCTION("""COMPUTED_VALUE"""),"LTID")</f>
        <v>LTID</v>
      </c>
      <c r="M3384" s="164" t="str">
        <f ca="1">IFERROR(__xludf.DUMMYFUNCTION("""COMPUTED_VALUE"""),"SERVICEABLE")</f>
        <v>SERVICEABLE</v>
      </c>
      <c r="N3384" s="164"/>
    </row>
    <row r="3385" spans="1:14" ht="13.2" hidden="1">
      <c r="A3385" s="164" t="str">
        <f ca="1">IFERROR(__xludf.DUMMYFUNCTION("""COMPUTED_VALUE"""),"REGION IX")</f>
        <v>REGION IX</v>
      </c>
      <c r="B3385" s="164" t="str">
        <f ca="1">IFERROR(__xludf.DUMMYFUNCTION("""COMPUTED_VALUE"""),"Zamboanga Sibugay")</f>
        <v>Zamboanga Sibugay</v>
      </c>
      <c r="C3385" s="164" t="str">
        <f ca="1">IFERROR(__xludf.DUMMYFUNCTION("""COMPUTED_VALUE"""),"Motorcycle – (Honda XRL 150)")</f>
        <v>Motorcycle – (Honda XRL 150)</v>
      </c>
      <c r="D3385" s="164" t="str">
        <f ca="1">IFERROR(__xludf.DUMMYFUNCTION("""COMPUTED_VALUE"""),"₱ 124,900.00")</f>
        <v>₱ 124,900.00</v>
      </c>
      <c r="E3385" s="164" t="str">
        <f ca="1">IFERROR(__xludf.DUMMYFUNCTION("""COMPUTED_VALUE"""),"₱ -")</f>
        <v>₱ -</v>
      </c>
      <c r="F3385" s="164" t="str">
        <f ca="1">IFERROR(__xludf.DUMMYFUNCTION("""COMPUTED_VALUE"""),"2023-06-01-10202SP524-01")</f>
        <v>2023-06-01-10202SP524-01</v>
      </c>
      <c r="G3385" s="164" t="str">
        <f ca="1">IFERROR(__xludf.DUMMYFUNCTION("""COMPUTED_VALUE"""),"no plate available")</f>
        <v>no plate available</v>
      </c>
      <c r="H3385" s="164" t="str">
        <f ca="1">IFERROR(__xludf.DUMMYFUNCTION("""COMPUTED_VALUE"""),"ALBERT IAN CORVERA")</f>
        <v>ALBERT IAN CORVERA</v>
      </c>
      <c r="I3385" s="164" t="str">
        <f ca="1">IFERROR(__xludf.DUMMYFUNCTION("""COMPUTED_VALUE"""),"ARPT")</f>
        <v>ARPT</v>
      </c>
      <c r="J3385" s="164" t="str">
        <f ca="1">IFERROR(__xludf.DUMMYFUNCTION("""COMPUTED_VALUE"""),"ZSSPLIT2023-13-06-038")</f>
        <v>ZSSPLIT2023-13-06-038</v>
      </c>
      <c r="K3385" s="164" t="str">
        <f ca="1">IFERROR(__xludf.DUMMYFUNCTION("""COMPUTED_VALUE"""),"ALBERT IAN CORVERA")</f>
        <v>ALBERT IAN CORVERA</v>
      </c>
      <c r="L3385" s="164" t="str">
        <f ca="1">IFERROR(__xludf.DUMMYFUNCTION("""COMPUTED_VALUE"""),"DARMO ISABELA")</f>
        <v>DARMO ISABELA</v>
      </c>
      <c r="M3385" s="164" t="str">
        <f ca="1">IFERROR(__xludf.DUMMYFUNCTION("""COMPUTED_VALUE"""),"SERVICEABLE")</f>
        <v>SERVICEABLE</v>
      </c>
      <c r="N3385" s="164"/>
    </row>
    <row r="3386" spans="1:14" ht="13.2" hidden="1">
      <c r="A3386" s="164" t="str">
        <f ca="1">IFERROR(__xludf.DUMMYFUNCTION("""COMPUTED_VALUE"""),"REGION IX")</f>
        <v>REGION IX</v>
      </c>
      <c r="B3386" s="164" t="str">
        <f ca="1">IFERROR(__xludf.DUMMYFUNCTION("""COMPUTED_VALUE"""),"Zamboanga Sibugay")</f>
        <v>Zamboanga Sibugay</v>
      </c>
      <c r="C3386" s="164" t="str">
        <f ca="1">IFERROR(__xludf.DUMMYFUNCTION("""COMPUTED_VALUE"""),"Motorcycle – (Honda XRL 150)")</f>
        <v>Motorcycle – (Honda XRL 150)</v>
      </c>
      <c r="D3386" s="164" t="str">
        <f ca="1">IFERROR(__xludf.DUMMYFUNCTION("""COMPUTED_VALUE"""),"₱ 124,900.00")</f>
        <v>₱ 124,900.00</v>
      </c>
      <c r="E3386" s="164" t="str">
        <f ca="1">IFERROR(__xludf.DUMMYFUNCTION("""COMPUTED_VALUE"""),"₱ -")</f>
        <v>₱ -</v>
      </c>
      <c r="F3386" s="164" t="str">
        <f ca="1">IFERROR(__xludf.DUMMYFUNCTION("""COMPUTED_VALUE"""),"2023-06-01-10202SP526-01")</f>
        <v>2023-06-01-10202SP526-01</v>
      </c>
      <c r="G3386" s="164" t="str">
        <f ca="1">IFERROR(__xludf.DUMMYFUNCTION("""COMPUTED_VALUE"""),"no plate available")</f>
        <v>no plate available</v>
      </c>
      <c r="H3386" s="164" t="str">
        <f ca="1">IFERROR(__xludf.DUMMYFUNCTION("""COMPUTED_VALUE"""),"EDWARD EBILLO")</f>
        <v>EDWARD EBILLO</v>
      </c>
      <c r="I3386" s="164" t="str">
        <f ca="1">IFERROR(__xludf.DUMMYFUNCTION("""COMPUTED_VALUE"""),"SARPT")</f>
        <v>SARPT</v>
      </c>
      <c r="J3386" s="164" t="str">
        <f ca="1">IFERROR(__xludf.DUMMYFUNCTION("""COMPUTED_VALUE"""),"ZSSPLIT2023-13-06-039")</f>
        <v>ZSSPLIT2023-13-06-039</v>
      </c>
      <c r="K3386" s="164" t="str">
        <f ca="1">IFERROR(__xludf.DUMMYFUNCTION("""COMPUTED_VALUE"""),"EDWARD EBILLO")</f>
        <v>EDWARD EBILLO</v>
      </c>
      <c r="L3386" s="164" t="str">
        <f ca="1">IFERROR(__xludf.DUMMYFUNCTION("""COMPUTED_VALUE"""),"DARMO BUUG")</f>
        <v>DARMO BUUG</v>
      </c>
      <c r="M3386" s="164" t="str">
        <f ca="1">IFERROR(__xludf.DUMMYFUNCTION("""COMPUTED_VALUE"""),"SERVICEABLE")</f>
        <v>SERVICEABLE</v>
      </c>
      <c r="N3386" s="164"/>
    </row>
    <row r="3387" spans="1:14" ht="13.2" hidden="1">
      <c r="A3387" s="164" t="str">
        <f ca="1">IFERROR(__xludf.DUMMYFUNCTION("""COMPUTED_VALUE"""),"REGION IX")</f>
        <v>REGION IX</v>
      </c>
      <c r="B3387" s="164" t="str">
        <f ca="1">IFERROR(__xludf.DUMMYFUNCTION("""COMPUTED_VALUE"""),"Zamboanga Sibugay")</f>
        <v>Zamboanga Sibugay</v>
      </c>
      <c r="C3387" s="164" t="str">
        <f ca="1">IFERROR(__xludf.DUMMYFUNCTION("""COMPUTED_VALUE"""),"Motorcycle – (Honda XRL 150)")</f>
        <v>Motorcycle – (Honda XRL 150)</v>
      </c>
      <c r="D3387" s="164" t="str">
        <f ca="1">IFERROR(__xludf.DUMMYFUNCTION("""COMPUTED_VALUE"""),"₱ 124,900.00")</f>
        <v>₱ 124,900.00</v>
      </c>
      <c r="E3387" s="164" t="str">
        <f ca="1">IFERROR(__xludf.DUMMYFUNCTION("""COMPUTED_VALUE"""),"₱ -")</f>
        <v>₱ -</v>
      </c>
      <c r="F3387" s="164" t="str">
        <f ca="1">IFERROR(__xludf.DUMMYFUNCTION("""COMPUTED_VALUE"""),"2023-06-01-10202SP527-01")</f>
        <v>2023-06-01-10202SP527-01</v>
      </c>
      <c r="G3387" s="164" t="str">
        <f ca="1">IFERROR(__xludf.DUMMYFUNCTION("""COMPUTED_VALUE"""),"no plate available")</f>
        <v>no plate available</v>
      </c>
      <c r="H3387" s="164" t="str">
        <f ca="1">IFERROR(__xludf.DUMMYFUNCTION("""COMPUTED_VALUE"""),"ALFRED BERMUDEZ")</f>
        <v>ALFRED BERMUDEZ</v>
      </c>
      <c r="I3387" s="164" t="str">
        <f ca="1">IFERROR(__xludf.DUMMYFUNCTION("""COMPUTED_VALUE"""),"ARPO I")</f>
        <v>ARPO I</v>
      </c>
      <c r="J3387" s="164" t="str">
        <f ca="1">IFERROR(__xludf.DUMMYFUNCTION("""COMPUTED_VALUE"""),"ZSSPLIT2023-13-06-040")</f>
        <v>ZSSPLIT2023-13-06-040</v>
      </c>
      <c r="K3387" s="164" t="str">
        <f ca="1">IFERROR(__xludf.DUMMYFUNCTION("""COMPUTED_VALUE"""),"ALFRED BERMUDEZ")</f>
        <v>ALFRED BERMUDEZ</v>
      </c>
      <c r="L3387" s="164" t="str">
        <f ca="1">IFERROR(__xludf.DUMMYFUNCTION("""COMPUTED_VALUE"""),"PBDD")</f>
        <v>PBDD</v>
      </c>
      <c r="M3387" s="164" t="str">
        <f ca="1">IFERROR(__xludf.DUMMYFUNCTION("""COMPUTED_VALUE"""),"SERVICEABLE")</f>
        <v>SERVICEABLE</v>
      </c>
      <c r="N3387" s="164"/>
    </row>
    <row r="3388" spans="1:14" ht="13.2" hidden="1">
      <c r="A3388" s="164" t="str">
        <f ca="1">IFERROR(__xludf.DUMMYFUNCTION("""COMPUTED_VALUE"""),"REGION IX")</f>
        <v>REGION IX</v>
      </c>
      <c r="B3388" s="164" t="str">
        <f ca="1">IFERROR(__xludf.DUMMYFUNCTION("""COMPUTED_VALUE"""),"Zamboanga Sibugay")</f>
        <v>Zamboanga Sibugay</v>
      </c>
      <c r="C3388" s="164" t="str">
        <f ca="1">IFERROR(__xludf.DUMMYFUNCTION("""COMPUTED_VALUE"""),"Motorcycle – (Honda XRL 150)")</f>
        <v>Motorcycle – (Honda XRL 150)</v>
      </c>
      <c r="D3388" s="164" t="str">
        <f ca="1">IFERROR(__xludf.DUMMYFUNCTION("""COMPUTED_VALUE"""),"₱ 124,900.00")</f>
        <v>₱ 124,900.00</v>
      </c>
      <c r="E3388" s="164" t="str">
        <f ca="1">IFERROR(__xludf.DUMMYFUNCTION("""COMPUTED_VALUE"""),"₱ -")</f>
        <v>₱ -</v>
      </c>
      <c r="F3388" s="164" t="str">
        <f ca="1">IFERROR(__xludf.DUMMYFUNCTION("""COMPUTED_VALUE"""),"2023-06-01-10202SP530-01")</f>
        <v>2023-06-01-10202SP530-01</v>
      </c>
      <c r="G3388" s="164" t="str">
        <f ca="1">IFERROR(__xludf.DUMMYFUNCTION("""COMPUTED_VALUE"""),"no plate available")</f>
        <v>no plate available</v>
      </c>
      <c r="H3388" s="164" t="str">
        <f ca="1">IFERROR(__xludf.DUMMYFUNCTION("""COMPUTED_VALUE"""),"SAMMY J. ACALUL")</f>
        <v>SAMMY J. ACALUL</v>
      </c>
      <c r="I3388" s="164" t="str">
        <f ca="1">IFERROR(__xludf.DUMMYFUNCTION("""COMPUTED_VALUE"""),"ARPT")</f>
        <v>ARPT</v>
      </c>
      <c r="J3388" s="164" t="str">
        <f ca="1">IFERROR(__xludf.DUMMYFUNCTION("""COMPUTED_VALUE"""),"ZSSPLIT2023-13-06-041")</f>
        <v>ZSSPLIT2023-13-06-041</v>
      </c>
      <c r="K3388" s="164" t="str">
        <f ca="1">IFERROR(__xludf.DUMMYFUNCTION("""COMPUTED_VALUE"""),"SAMMY J. ACALUL")</f>
        <v>SAMMY J. ACALUL</v>
      </c>
      <c r="L3388" s="164" t="str">
        <f ca="1">IFERROR(__xludf.DUMMYFUNCTION("""COMPUTED_VALUE"""),"DARMO CURUAN")</f>
        <v>DARMO CURUAN</v>
      </c>
      <c r="M3388" s="164" t="str">
        <f ca="1">IFERROR(__xludf.DUMMYFUNCTION("""COMPUTED_VALUE"""),"SERVICEABLE")</f>
        <v>SERVICEABLE</v>
      </c>
      <c r="N3388" s="164"/>
    </row>
    <row r="3389" spans="1:14" ht="13.2" hidden="1">
      <c r="A3389" s="164" t="str">
        <f ca="1">IFERROR(__xludf.DUMMYFUNCTION("""COMPUTED_VALUE"""),"REGION IX")</f>
        <v>REGION IX</v>
      </c>
      <c r="B3389" s="164" t="str">
        <f ca="1">IFERROR(__xludf.DUMMYFUNCTION("""COMPUTED_VALUE"""),"Zamboanga Sibugay")</f>
        <v>Zamboanga Sibugay</v>
      </c>
      <c r="C3389" s="164" t="str">
        <f ca="1">IFERROR(__xludf.DUMMYFUNCTION("""COMPUTED_VALUE"""),"Motorcycle – (Honda XRL 150)")</f>
        <v>Motorcycle – (Honda XRL 150)</v>
      </c>
      <c r="D3389" s="164" t="str">
        <f ca="1">IFERROR(__xludf.DUMMYFUNCTION("""COMPUTED_VALUE"""),"₱ 124,900.00")</f>
        <v>₱ 124,900.00</v>
      </c>
      <c r="E3389" s="164" t="str">
        <f ca="1">IFERROR(__xludf.DUMMYFUNCTION("""COMPUTED_VALUE"""),"₱ -")</f>
        <v>₱ -</v>
      </c>
      <c r="F3389" s="164" t="str">
        <f ca="1">IFERROR(__xludf.DUMMYFUNCTION("""COMPUTED_VALUE"""),"2023-06-01-10202SP533-01")</f>
        <v>2023-06-01-10202SP533-01</v>
      </c>
      <c r="G3389" s="164" t="str">
        <f ca="1">IFERROR(__xludf.DUMMYFUNCTION("""COMPUTED_VALUE"""),"no plate available")</f>
        <v>no plate available</v>
      </c>
      <c r="H3389" s="164" t="str">
        <f ca="1">IFERROR(__xludf.DUMMYFUNCTION("""COMPUTED_VALUE"""),"NEMESIO J. BALBIN")</f>
        <v>NEMESIO J. BALBIN</v>
      </c>
      <c r="I3389" s="164" t="str">
        <f ca="1">IFERROR(__xludf.DUMMYFUNCTION("""COMPUTED_VALUE"""),"SARPT")</f>
        <v>SARPT</v>
      </c>
      <c r="J3389" s="164" t="str">
        <f ca="1">IFERROR(__xludf.DUMMYFUNCTION("""COMPUTED_VALUE"""),"ZSSPLIT2023-13-06-042")</f>
        <v>ZSSPLIT2023-13-06-042</v>
      </c>
      <c r="K3389" s="164" t="str">
        <f ca="1">IFERROR(__xludf.DUMMYFUNCTION("""COMPUTED_VALUE"""),"NEMESIO J. BALBIN")</f>
        <v>NEMESIO J. BALBIN</v>
      </c>
      <c r="L3389" s="164" t="str">
        <f ca="1">IFERROR(__xludf.DUMMYFUNCTION("""COMPUTED_VALUE"""),"DARMO TALUSAN")</f>
        <v>DARMO TALUSAN</v>
      </c>
      <c r="M3389" s="164" t="str">
        <f ca="1">IFERROR(__xludf.DUMMYFUNCTION("""COMPUTED_VALUE"""),"SERVICEABLE")</f>
        <v>SERVICEABLE</v>
      </c>
      <c r="N3389" s="164"/>
    </row>
    <row r="3390" spans="1:14" ht="13.2" hidden="1">
      <c r="A3390" s="164" t="str">
        <f ca="1">IFERROR(__xludf.DUMMYFUNCTION("""COMPUTED_VALUE"""),"REGION IX")</f>
        <v>REGION IX</v>
      </c>
      <c r="B3390" s="164" t="str">
        <f ca="1">IFERROR(__xludf.DUMMYFUNCTION("""COMPUTED_VALUE"""),"Zamboanga Sibugay")</f>
        <v>Zamboanga Sibugay</v>
      </c>
      <c r="C3390" s="164" t="str">
        <f ca="1">IFERROR(__xludf.DUMMYFUNCTION("""COMPUTED_VALUE"""),"Motorcycle – (Honda XRL 150)")</f>
        <v>Motorcycle – (Honda XRL 150)</v>
      </c>
      <c r="D3390" s="164" t="str">
        <f ca="1">IFERROR(__xludf.DUMMYFUNCTION("""COMPUTED_VALUE"""),"₱ 124,900.00")</f>
        <v>₱ 124,900.00</v>
      </c>
      <c r="E3390" s="164" t="str">
        <f ca="1">IFERROR(__xludf.DUMMYFUNCTION("""COMPUTED_VALUE"""),"₱ -")</f>
        <v>₱ -</v>
      </c>
      <c r="F3390" s="164" t="str">
        <f ca="1">IFERROR(__xludf.DUMMYFUNCTION("""COMPUTED_VALUE"""),"2023-06-01-10202SP534-01")</f>
        <v>2023-06-01-10202SP534-01</v>
      </c>
      <c r="G3390" s="164" t="str">
        <f ca="1">IFERROR(__xludf.DUMMYFUNCTION("""COMPUTED_VALUE"""),"no plate available")</f>
        <v>no plate available</v>
      </c>
      <c r="H3390" s="164" t="str">
        <f ca="1">IFERROR(__xludf.DUMMYFUNCTION("""COMPUTED_VALUE"""),"FLORINDINO ESTORICO")</f>
        <v>FLORINDINO ESTORICO</v>
      </c>
      <c r="I3390" s="164" t="str">
        <f ca="1">IFERROR(__xludf.DUMMYFUNCTION("""COMPUTED_VALUE"""),"SARPT")</f>
        <v>SARPT</v>
      </c>
      <c r="J3390" s="164" t="str">
        <f ca="1">IFERROR(__xludf.DUMMYFUNCTION("""COMPUTED_VALUE"""),"ZSSPLIT2023-13-06-043")</f>
        <v>ZSSPLIT2023-13-06-043</v>
      </c>
      <c r="K3390" s="164" t="str">
        <f ca="1">IFERROR(__xludf.DUMMYFUNCTION("""COMPUTED_VALUE"""),"FLORINDINO ESTORICO")</f>
        <v>FLORINDINO ESTORICO</v>
      </c>
      <c r="L3390" s="164" t="str">
        <f ca="1">IFERROR(__xludf.DUMMYFUNCTION("""COMPUTED_VALUE"""),"DARMO TITAY")</f>
        <v>DARMO TITAY</v>
      </c>
      <c r="M3390" s="164" t="str">
        <f ca="1">IFERROR(__xludf.DUMMYFUNCTION("""COMPUTED_VALUE"""),"SERVICEABLE")</f>
        <v>SERVICEABLE</v>
      </c>
      <c r="N3390" s="164"/>
    </row>
    <row r="3391" spans="1:14" ht="13.2" hidden="1">
      <c r="A3391" s="164" t="str">
        <f ca="1">IFERROR(__xludf.DUMMYFUNCTION("""COMPUTED_VALUE"""),"REGION IX")</f>
        <v>REGION IX</v>
      </c>
      <c r="B3391" s="164" t="str">
        <f ca="1">IFERROR(__xludf.DUMMYFUNCTION("""COMPUTED_VALUE"""),"Zamboanga Sibugay")</f>
        <v>Zamboanga Sibugay</v>
      </c>
      <c r="C3391" s="164" t="str">
        <f ca="1">IFERROR(__xludf.DUMMYFUNCTION("""COMPUTED_VALUE"""),"Motorcycle – (Honda XRL 150)")</f>
        <v>Motorcycle – (Honda XRL 150)</v>
      </c>
      <c r="D3391" s="164" t="str">
        <f ca="1">IFERROR(__xludf.DUMMYFUNCTION("""COMPUTED_VALUE"""),"₱ 124,900.00")</f>
        <v>₱ 124,900.00</v>
      </c>
      <c r="E3391" s="164" t="str">
        <f ca="1">IFERROR(__xludf.DUMMYFUNCTION("""COMPUTED_VALUE"""),"₱ -")</f>
        <v>₱ -</v>
      </c>
      <c r="F3391" s="164" t="str">
        <f ca="1">IFERROR(__xludf.DUMMYFUNCTION("""COMPUTED_VALUE"""),"2023-06-01-10202SP535-01")</f>
        <v>2023-06-01-10202SP535-01</v>
      </c>
      <c r="G3391" s="164" t="str">
        <f ca="1">IFERROR(__xludf.DUMMYFUNCTION("""COMPUTED_VALUE"""),"no plate available")</f>
        <v>no plate available</v>
      </c>
      <c r="H3391" s="164" t="str">
        <f ca="1">IFERROR(__xludf.DUMMYFUNCTION("""COMPUTED_VALUE"""),"SHADIL AKIM ADJU")</f>
        <v>SHADIL AKIM ADJU</v>
      </c>
      <c r="I3391" s="164" t="str">
        <f ca="1">IFERROR(__xludf.DUMMYFUNCTION("""COMPUTED_VALUE"""),"ARPT")</f>
        <v>ARPT</v>
      </c>
      <c r="J3391" s="164" t="str">
        <f ca="1">IFERROR(__xludf.DUMMYFUNCTION("""COMPUTED_VALUE"""),"ZSSPLIT2023-13-06-044")</f>
        <v>ZSSPLIT2023-13-06-044</v>
      </c>
      <c r="K3391" s="164" t="str">
        <f ca="1">IFERROR(__xludf.DUMMYFUNCTION("""COMPUTED_VALUE"""),"SHADIL AKIM ADJU")</f>
        <v>SHADIL AKIM ADJU</v>
      </c>
      <c r="L3391" s="164" t="str">
        <f ca="1">IFERROR(__xludf.DUMMYFUNCTION("""COMPUTED_VALUE"""),"DARMO CURUAN")</f>
        <v>DARMO CURUAN</v>
      </c>
      <c r="M3391" s="164" t="str">
        <f ca="1">IFERROR(__xludf.DUMMYFUNCTION("""COMPUTED_VALUE"""),"SERVICEABLE")</f>
        <v>SERVICEABLE</v>
      </c>
      <c r="N3391" s="164"/>
    </row>
    <row r="3392" spans="1:14" ht="13.2" hidden="1">
      <c r="A3392" s="164" t="str">
        <f ca="1">IFERROR(__xludf.DUMMYFUNCTION("""COMPUTED_VALUE"""),"REGION IX")</f>
        <v>REGION IX</v>
      </c>
      <c r="B3392" s="164" t="str">
        <f ca="1">IFERROR(__xludf.DUMMYFUNCTION("""COMPUTED_VALUE"""),"Zamboanga Sibugay")</f>
        <v>Zamboanga Sibugay</v>
      </c>
      <c r="C3392" s="164" t="str">
        <f ca="1">IFERROR(__xludf.DUMMYFUNCTION("""COMPUTED_VALUE"""),"Motorcycle – (Honda XRL 150)")</f>
        <v>Motorcycle – (Honda XRL 150)</v>
      </c>
      <c r="D3392" s="164" t="str">
        <f ca="1">IFERROR(__xludf.DUMMYFUNCTION("""COMPUTED_VALUE"""),"₱ 124,900.00")</f>
        <v>₱ 124,900.00</v>
      </c>
      <c r="E3392" s="164" t="str">
        <f ca="1">IFERROR(__xludf.DUMMYFUNCTION("""COMPUTED_VALUE"""),"₱ -")</f>
        <v>₱ -</v>
      </c>
      <c r="F3392" s="164" t="str">
        <f ca="1">IFERROR(__xludf.DUMMYFUNCTION("""COMPUTED_VALUE"""),"2023-06-01-10202SP536-01")</f>
        <v>2023-06-01-10202SP536-01</v>
      </c>
      <c r="G3392" s="164" t="str">
        <f ca="1">IFERROR(__xludf.DUMMYFUNCTION("""COMPUTED_VALUE"""),"no plate available")</f>
        <v>no plate available</v>
      </c>
      <c r="H3392" s="164" t="str">
        <f ca="1">IFERROR(__xludf.DUMMYFUNCTION("""COMPUTED_VALUE"""),"EDGARDO TALA")</f>
        <v>EDGARDO TALA</v>
      </c>
      <c r="I3392" s="164" t="str">
        <f ca="1">IFERROR(__xludf.DUMMYFUNCTION("""COMPUTED_VALUE"""),"ARPT")</f>
        <v>ARPT</v>
      </c>
      <c r="J3392" s="164" t="str">
        <f ca="1">IFERROR(__xludf.DUMMYFUNCTION("""COMPUTED_VALUE"""),"ZSSPLIT2023-13-06-045")</f>
        <v>ZSSPLIT2023-13-06-045</v>
      </c>
      <c r="K3392" s="164" t="str">
        <f ca="1">IFERROR(__xludf.DUMMYFUNCTION("""COMPUTED_VALUE"""),"EDGARDO TALA")</f>
        <v>EDGARDO TALA</v>
      </c>
      <c r="L3392" s="164" t="str">
        <f ca="1">IFERROR(__xludf.DUMMYFUNCTION("""COMPUTED_VALUE"""),"DARMO ALICIA")</f>
        <v>DARMO ALICIA</v>
      </c>
      <c r="M3392" s="164" t="str">
        <f ca="1">IFERROR(__xludf.DUMMYFUNCTION("""COMPUTED_VALUE"""),"SERVICEABLE")</f>
        <v>SERVICEABLE</v>
      </c>
      <c r="N3392" s="164"/>
    </row>
    <row r="3393" spans="1:14" ht="13.2" hidden="1">
      <c r="A3393" s="164" t="str">
        <f ca="1">IFERROR(__xludf.DUMMYFUNCTION("""COMPUTED_VALUE"""),"REGION IX")</f>
        <v>REGION IX</v>
      </c>
      <c r="B3393" s="164" t="str">
        <f ca="1">IFERROR(__xludf.DUMMYFUNCTION("""COMPUTED_VALUE"""),"Zamboanga Sibugay")</f>
        <v>Zamboanga Sibugay</v>
      </c>
      <c r="C3393" s="164" t="str">
        <f ca="1">IFERROR(__xludf.DUMMYFUNCTION("""COMPUTED_VALUE"""),"Motorcycle – (Honda XRL 150)")</f>
        <v>Motorcycle – (Honda XRL 150)</v>
      </c>
      <c r="D3393" s="164" t="str">
        <f ca="1">IFERROR(__xludf.DUMMYFUNCTION("""COMPUTED_VALUE"""),"₱ 124,900.00")</f>
        <v>₱ 124,900.00</v>
      </c>
      <c r="E3393" s="164" t="str">
        <f ca="1">IFERROR(__xludf.DUMMYFUNCTION("""COMPUTED_VALUE"""),"₱ -")</f>
        <v>₱ -</v>
      </c>
      <c r="F3393" s="164" t="str">
        <f ca="1">IFERROR(__xludf.DUMMYFUNCTION("""COMPUTED_VALUE"""),"2023-06-01-10202SP522-01
 2023-06-01-10202SP525-01")</f>
        <v>2023-06-01-10202SP522-01
 2023-06-01-10202SP525-01</v>
      </c>
      <c r="G3393" s="164" t="str">
        <f ca="1">IFERROR(__xludf.DUMMYFUNCTION("""COMPUTED_VALUE"""),"no plate available")</f>
        <v>no plate available</v>
      </c>
      <c r="H3393" s="164" t="str">
        <f ca="1">IFERROR(__xludf.DUMMYFUNCTION("""COMPUTED_VALUE"""),"PRETTY M. VILLAGANAS")</f>
        <v>PRETTY M. VILLAGANAS</v>
      </c>
      <c r="I3393" s="164" t="str">
        <f ca="1">IFERROR(__xludf.DUMMYFUNCTION("""COMPUTED_VALUE"""),"ARPT")</f>
        <v>ARPT</v>
      </c>
      <c r="J3393" s="164" t="str">
        <f ca="1">IFERROR(__xludf.DUMMYFUNCTION("""COMPUTED_VALUE"""),"ZSSPLIT2023-13-06-046")</f>
        <v>ZSSPLIT2023-13-06-046</v>
      </c>
      <c r="K3393" s="164" t="str">
        <f ca="1">IFERROR(__xludf.DUMMYFUNCTION("""COMPUTED_VALUE"""),"PRETTY M. VILLAGANAS")</f>
        <v>PRETTY M. VILLAGANAS</v>
      </c>
      <c r="L3393" s="164" t="str">
        <f ca="1">IFERROR(__xludf.DUMMYFUNCTION("""COMPUTED_VALUE"""),"DARMO R.T .LIM")</f>
        <v>DARMO R.T .LIM</v>
      </c>
      <c r="M3393" s="164" t="str">
        <f ca="1">IFERROR(__xludf.DUMMYFUNCTION("""COMPUTED_VALUE"""),"SERVICEABLE")</f>
        <v>SERVICEABLE</v>
      </c>
      <c r="N3393" s="164"/>
    </row>
    <row r="3394" spans="1:14" ht="13.2" hidden="1">
      <c r="A3394" s="164" t="str">
        <f ca="1">IFERROR(__xludf.DUMMYFUNCTION("""COMPUTED_VALUE"""),"REGION IX")</f>
        <v>REGION IX</v>
      </c>
      <c r="B3394" s="164" t="str">
        <f ca="1">IFERROR(__xludf.DUMMYFUNCTION("""COMPUTED_VALUE"""),"Zamboanga Sibugay")</f>
        <v>Zamboanga Sibugay</v>
      </c>
      <c r="C3394" s="164" t="str">
        <f ca="1">IFERROR(__xludf.DUMMYFUNCTION("""COMPUTED_VALUE"""),"Motorcycle – (Honda XRL 150)")</f>
        <v>Motorcycle – (Honda XRL 150)</v>
      </c>
      <c r="D3394" s="164" t="str">
        <f ca="1">IFERROR(__xludf.DUMMYFUNCTION("""COMPUTED_VALUE"""),"₱ 124,900.00")</f>
        <v>₱ 124,900.00</v>
      </c>
      <c r="E3394" s="164" t="str">
        <f ca="1">IFERROR(__xludf.DUMMYFUNCTION("""COMPUTED_VALUE"""),"₱ -")</f>
        <v>₱ -</v>
      </c>
      <c r="F3394" s="164" t="str">
        <f ca="1">IFERROR(__xludf.DUMMYFUNCTION("""COMPUTED_VALUE"""),"2023-06-01-10202SP540-01")</f>
        <v>2023-06-01-10202SP540-01</v>
      </c>
      <c r="G3394" s="164" t="str">
        <f ca="1">IFERROR(__xludf.DUMMYFUNCTION("""COMPUTED_VALUE"""),"no plate available")</f>
        <v>no plate available</v>
      </c>
      <c r="H3394" s="164" t="str">
        <f ca="1">IFERROR(__xludf.DUMMYFUNCTION("""COMPUTED_VALUE"""),"JOHN LLYOD P. CABABAT")</f>
        <v>JOHN LLYOD P. CABABAT</v>
      </c>
      <c r="I3394" s="164" t="str">
        <f ca="1">IFERROR(__xludf.DUMMYFUNCTION("""COMPUTED_VALUE"""),"HRMO")</f>
        <v>HRMO</v>
      </c>
      <c r="J3394" s="164" t="str">
        <f ca="1">IFERROR(__xludf.DUMMYFUNCTION("""COMPUTED_VALUE"""),"ZSSPLIT2023-13-06-047")</f>
        <v>ZSSPLIT2023-13-06-047</v>
      </c>
      <c r="K3394" s="164" t="str">
        <f ca="1">IFERROR(__xludf.DUMMYFUNCTION("""COMPUTED_VALUE"""),"JOHN LLYOD P. CABABAT")</f>
        <v>JOHN LLYOD P. CABABAT</v>
      </c>
      <c r="L3394" s="164" t="str">
        <f ca="1">IFERROR(__xludf.DUMMYFUNCTION("""COMPUTED_VALUE"""),"STOD- PERSONNEL SECTION")</f>
        <v>STOD- PERSONNEL SECTION</v>
      </c>
      <c r="M3394" s="164" t="str">
        <f ca="1">IFERROR(__xludf.DUMMYFUNCTION("""COMPUTED_VALUE"""),"SERVICEABLE")</f>
        <v>SERVICEABLE</v>
      </c>
      <c r="N3394" s="164"/>
    </row>
    <row r="3395" spans="1:14" ht="13.2" hidden="1">
      <c r="A3395" s="164" t="str">
        <f ca="1">IFERROR(__xludf.DUMMYFUNCTION("""COMPUTED_VALUE"""),"REGION IX")</f>
        <v>REGION IX</v>
      </c>
      <c r="B3395" s="164" t="str">
        <f ca="1">IFERROR(__xludf.DUMMYFUNCTION("""COMPUTED_VALUE"""),"Zamboanga Sibugay")</f>
        <v>Zamboanga Sibugay</v>
      </c>
      <c r="C3395" s="164" t="str">
        <f ca="1">IFERROR(__xludf.DUMMYFUNCTION("""COMPUTED_VALUE"""),"Motorcycle – (Honda XRL 150)")</f>
        <v>Motorcycle – (Honda XRL 150)</v>
      </c>
      <c r="D3395" s="164" t="str">
        <f ca="1">IFERROR(__xludf.DUMMYFUNCTION("""COMPUTED_VALUE"""),"₱ 124,900.00")</f>
        <v>₱ 124,900.00</v>
      </c>
      <c r="E3395" s="164" t="str">
        <f ca="1">IFERROR(__xludf.DUMMYFUNCTION("""COMPUTED_VALUE"""),"₱ -")</f>
        <v>₱ -</v>
      </c>
      <c r="F3395" s="164" t="str">
        <f ca="1">IFERROR(__xludf.DUMMYFUNCTION("""COMPUTED_VALUE"""),"2023-06-01-10202SP541-01")</f>
        <v>2023-06-01-10202SP541-01</v>
      </c>
      <c r="G3395" s="164" t="str">
        <f ca="1">IFERROR(__xludf.DUMMYFUNCTION("""COMPUTED_VALUE"""),"no plate available")</f>
        <v>no plate available</v>
      </c>
      <c r="H3395" s="164" t="str">
        <f ca="1">IFERROR(__xludf.DUMMYFUNCTION("""COMPUTED_VALUE"""),"EMILYN DAGA-ANG")</f>
        <v>EMILYN DAGA-ANG</v>
      </c>
      <c r="I3395" s="164" t="str">
        <f ca="1">IFERROR(__xludf.DUMMYFUNCTION("""COMPUTED_VALUE"""),"ARPT")</f>
        <v>ARPT</v>
      </c>
      <c r="J3395" s="164" t="str">
        <f ca="1">IFERROR(__xludf.DUMMYFUNCTION("""COMPUTED_VALUE"""),"ZSSPLIT2023-13-06-048")</f>
        <v>ZSSPLIT2023-13-06-048</v>
      </c>
      <c r="K3395" s="164" t="str">
        <f ca="1">IFERROR(__xludf.DUMMYFUNCTION("""COMPUTED_VALUE"""),"EMILYN DAGA-ANG")</f>
        <v>EMILYN DAGA-ANG</v>
      </c>
      <c r="L3395" s="164" t="str">
        <f ca="1">IFERROR(__xludf.DUMMYFUNCTION("""COMPUTED_VALUE"""),"DARMO DIPLAHAN")</f>
        <v>DARMO DIPLAHAN</v>
      </c>
      <c r="M3395" s="164" t="str">
        <f ca="1">IFERROR(__xludf.DUMMYFUNCTION("""COMPUTED_VALUE"""),"SERVICEABLE")</f>
        <v>SERVICEABLE</v>
      </c>
      <c r="N3395" s="164"/>
    </row>
    <row r="3396" spans="1:14" ht="13.2" hidden="1">
      <c r="A3396" s="164" t="str">
        <f ca="1">IFERROR(__xludf.DUMMYFUNCTION("""COMPUTED_VALUE"""),"REGION IX")</f>
        <v>REGION IX</v>
      </c>
      <c r="B3396" s="164" t="str">
        <f ca="1">IFERROR(__xludf.DUMMYFUNCTION("""COMPUTED_VALUE"""),"Zamboanga Sibugay")</f>
        <v>Zamboanga Sibugay</v>
      </c>
      <c r="C3396" s="164" t="str">
        <f ca="1">IFERROR(__xludf.DUMMYFUNCTION("""COMPUTED_VALUE"""),"Motorcycle – (Honda XRL 150)")</f>
        <v>Motorcycle – (Honda XRL 150)</v>
      </c>
      <c r="D3396" s="164" t="str">
        <f ca="1">IFERROR(__xludf.DUMMYFUNCTION("""COMPUTED_VALUE"""),"₱ 124,900.00")</f>
        <v>₱ 124,900.00</v>
      </c>
      <c r="E3396" s="164" t="str">
        <f ca="1">IFERROR(__xludf.DUMMYFUNCTION("""COMPUTED_VALUE"""),"₱ -")</f>
        <v>₱ -</v>
      </c>
      <c r="F3396" s="164" t="str">
        <f ca="1">IFERROR(__xludf.DUMMYFUNCTION("""COMPUTED_VALUE"""),"2023-06-01-10202SP544-01")</f>
        <v>2023-06-01-10202SP544-01</v>
      </c>
      <c r="G3396" s="164" t="str">
        <f ca="1">IFERROR(__xludf.DUMMYFUNCTION("""COMPUTED_VALUE"""),"no plate available")</f>
        <v>no plate available</v>
      </c>
      <c r="H3396" s="164" t="str">
        <f ca="1">IFERROR(__xludf.DUMMYFUNCTION("""COMPUTED_VALUE"""),"KYLE PHILIP DE VILLA")</f>
        <v>KYLE PHILIP DE VILLA</v>
      </c>
      <c r="I3396" s="164" t="str">
        <f ca="1">IFERROR(__xludf.DUMMYFUNCTION("""COMPUTED_VALUE"""),"ARPO II")</f>
        <v>ARPO II</v>
      </c>
      <c r="J3396" s="164" t="str">
        <f ca="1">IFERROR(__xludf.DUMMYFUNCTION("""COMPUTED_VALUE"""),"ZSSPLIT2023-13-06-049")</f>
        <v>ZSSPLIT2023-13-06-049</v>
      </c>
      <c r="K3396" s="164" t="str">
        <f ca="1">IFERROR(__xludf.DUMMYFUNCTION("""COMPUTED_VALUE"""),"FAIZAL N. GARINGAN")</f>
        <v>FAIZAL N. GARINGAN</v>
      </c>
      <c r="L3396" s="164" t="str">
        <f ca="1">IFERROR(__xludf.DUMMYFUNCTION("""COMPUTED_VALUE"""),"LTID")</f>
        <v>LTID</v>
      </c>
      <c r="M3396" s="164" t="str">
        <f ca="1">IFERROR(__xludf.DUMMYFUNCTION("""COMPUTED_VALUE"""),"SERVICEABLE")</f>
        <v>SERVICEABLE</v>
      </c>
      <c r="N3396" s="164"/>
    </row>
    <row r="3397" spans="1:14" ht="13.2" hidden="1">
      <c r="A3397" s="164" t="str">
        <f ca="1">IFERROR(__xludf.DUMMYFUNCTION("""COMPUTED_VALUE"""),"REGION IX")</f>
        <v>REGION IX</v>
      </c>
      <c r="B3397" s="164" t="str">
        <f ca="1">IFERROR(__xludf.DUMMYFUNCTION("""COMPUTED_VALUE"""),"Zamboanga Sibugay")</f>
        <v>Zamboanga Sibugay</v>
      </c>
      <c r="C3397" s="164" t="str">
        <f ca="1">IFERROR(__xludf.DUMMYFUNCTION("""COMPUTED_VALUE"""),"Motorcycle – (Honda XRL 150)")</f>
        <v>Motorcycle – (Honda XRL 150)</v>
      </c>
      <c r="D3397" s="164" t="str">
        <f ca="1">IFERROR(__xludf.DUMMYFUNCTION("""COMPUTED_VALUE"""),"₱ 124,900.00")</f>
        <v>₱ 124,900.00</v>
      </c>
      <c r="E3397" s="164" t="str">
        <f ca="1">IFERROR(__xludf.DUMMYFUNCTION("""COMPUTED_VALUE"""),"₱ -")</f>
        <v>₱ -</v>
      </c>
      <c r="F3397" s="164" t="str">
        <f ca="1">IFERROR(__xludf.DUMMYFUNCTION("""COMPUTED_VALUE"""),"2023-06-01-10202SP543-01")</f>
        <v>2023-06-01-10202SP543-01</v>
      </c>
      <c r="G3397" s="164" t="str">
        <f ca="1">IFERROR(__xludf.DUMMYFUNCTION("""COMPUTED_VALUE"""),"no plate available")</f>
        <v>no plate available</v>
      </c>
      <c r="H3397" s="164" t="str">
        <f ca="1">IFERROR(__xludf.DUMMYFUNCTION("""COMPUTED_VALUE"""),"REY LACHAMA")</f>
        <v>REY LACHAMA</v>
      </c>
      <c r="I3397" s="164" t="str">
        <f ca="1">IFERROR(__xludf.DUMMYFUNCTION("""COMPUTED_VALUE"""),"ARPO II")</f>
        <v>ARPO II</v>
      </c>
      <c r="J3397" s="164" t="str">
        <f ca="1">IFERROR(__xludf.DUMMYFUNCTION("""COMPUTED_VALUE"""),"ZSSPLIT2023-13-06-050")</f>
        <v>ZSSPLIT2023-13-06-050</v>
      </c>
      <c r="K3397" s="164" t="str">
        <f ca="1">IFERROR(__xludf.DUMMYFUNCTION("""COMPUTED_VALUE"""),"REY LACHAMA")</f>
        <v>REY LACHAMA</v>
      </c>
      <c r="L3397" s="164" t="str">
        <f ca="1">IFERROR(__xludf.DUMMYFUNCTION("""COMPUTED_VALUE"""),"LEGAL DIVISION")</f>
        <v>LEGAL DIVISION</v>
      </c>
      <c r="M3397" s="164" t="str">
        <f ca="1">IFERROR(__xludf.DUMMYFUNCTION("""COMPUTED_VALUE"""),"SERVICEABLE")</f>
        <v>SERVICEABLE</v>
      </c>
      <c r="N3397" s="164"/>
    </row>
    <row r="3398" spans="1:14" ht="13.2" hidden="1">
      <c r="A3398" s="164" t="str">
        <f ca="1">IFERROR(__xludf.DUMMYFUNCTION("""COMPUTED_VALUE"""),"REGION IX")</f>
        <v>REGION IX</v>
      </c>
      <c r="B3398" s="164" t="str">
        <f ca="1">IFERROR(__xludf.DUMMYFUNCTION("""COMPUTED_VALUE"""),"Zamboanga Sibugay")</f>
        <v>Zamboanga Sibugay</v>
      </c>
      <c r="C3398" s="164" t="str">
        <f ca="1">IFERROR(__xludf.DUMMYFUNCTION("""COMPUTED_VALUE"""),"Motorcycle – (Honda XRL 150)")</f>
        <v>Motorcycle – (Honda XRL 150)</v>
      </c>
      <c r="D3398" s="164" t="str">
        <f ca="1">IFERROR(__xludf.DUMMYFUNCTION("""COMPUTED_VALUE"""),"₱ 124,900.00")</f>
        <v>₱ 124,900.00</v>
      </c>
      <c r="E3398" s="164" t="str">
        <f ca="1">IFERROR(__xludf.DUMMYFUNCTION("""COMPUTED_VALUE"""),"₱ -")</f>
        <v>₱ -</v>
      </c>
      <c r="F3398" s="164" t="str">
        <f ca="1">IFERROR(__xludf.DUMMYFUNCTION("""COMPUTED_VALUE"""),"2023-06-01-10202SP545-01")</f>
        <v>2023-06-01-10202SP545-01</v>
      </c>
      <c r="G3398" s="164" t="str">
        <f ca="1">IFERROR(__xludf.DUMMYFUNCTION("""COMPUTED_VALUE"""),"no plate available")</f>
        <v>no plate available</v>
      </c>
      <c r="H3398" s="164" t="str">
        <f ca="1">IFERROR(__xludf.DUMMYFUNCTION("""COMPUTED_VALUE"""),"SHEIN ANTONETTE B. CASALEM")</f>
        <v>SHEIN ANTONETTE B. CASALEM</v>
      </c>
      <c r="I3398" s="164" t="str">
        <f ca="1">IFERROR(__xludf.DUMMYFUNCTION("""COMPUTED_VALUE"""),"ARPT")</f>
        <v>ARPT</v>
      </c>
      <c r="J3398" s="164" t="str">
        <f ca="1">IFERROR(__xludf.DUMMYFUNCTION("""COMPUTED_VALUE"""),"ZSSPLIT2023-13-06-051")</f>
        <v>ZSSPLIT2023-13-06-051</v>
      </c>
      <c r="K3398" s="164" t="str">
        <f ca="1">IFERROR(__xludf.DUMMYFUNCTION("""COMPUTED_VALUE"""),"RENELOU ALMARIO")</f>
        <v>RENELOU ALMARIO</v>
      </c>
      <c r="L3398" s="164" t="str">
        <f ca="1">IFERROR(__xludf.DUMMYFUNCTION("""COMPUTED_VALUE"""),"LTID")</f>
        <v>LTID</v>
      </c>
      <c r="M3398" s="164" t="str">
        <f ca="1">IFERROR(__xludf.DUMMYFUNCTION("""COMPUTED_VALUE"""),"SERVICEABLE")</f>
        <v>SERVICEABLE</v>
      </c>
      <c r="N3398" s="164"/>
    </row>
    <row r="3399" spans="1:14" ht="13.2" hidden="1">
      <c r="A3399" s="164" t="str">
        <f ca="1">IFERROR(__xludf.DUMMYFUNCTION("""COMPUTED_VALUE"""),"REGION IX")</f>
        <v>REGION IX</v>
      </c>
      <c r="B3399" s="164" t="str">
        <f ca="1">IFERROR(__xludf.DUMMYFUNCTION("""COMPUTED_VALUE"""),"Zamboanga Sibugay")</f>
        <v>Zamboanga Sibugay</v>
      </c>
      <c r="C3399" s="164" t="str">
        <f ca="1">IFERROR(__xludf.DUMMYFUNCTION("""COMPUTED_VALUE"""),"Motorcycle – (Honda XRL 150)")</f>
        <v>Motorcycle – (Honda XRL 150)</v>
      </c>
      <c r="D3399" s="164" t="str">
        <f ca="1">IFERROR(__xludf.DUMMYFUNCTION("""COMPUTED_VALUE"""),"₱ 124,900.00")</f>
        <v>₱ 124,900.00</v>
      </c>
      <c r="E3399" s="164" t="str">
        <f ca="1">IFERROR(__xludf.DUMMYFUNCTION("""COMPUTED_VALUE"""),"₱ -")</f>
        <v>₱ -</v>
      </c>
      <c r="F3399" s="164" t="str">
        <f ca="1">IFERROR(__xludf.DUMMYFUNCTION("""COMPUTED_VALUE"""),"2023-06-01-10202SP546-01")</f>
        <v>2023-06-01-10202SP546-01</v>
      </c>
      <c r="G3399" s="164" t="str">
        <f ca="1">IFERROR(__xludf.DUMMYFUNCTION("""COMPUTED_VALUE"""),"no plate available")</f>
        <v>no plate available</v>
      </c>
      <c r="H3399" s="164" t="str">
        <f ca="1">IFERROR(__xludf.DUMMYFUNCTION("""COMPUTED_VALUE"""),"BLENDI ENDONG")</f>
        <v>BLENDI ENDONG</v>
      </c>
      <c r="I3399" s="164" t="str">
        <f ca="1">IFERROR(__xludf.DUMMYFUNCTION("""COMPUTED_VALUE"""),"ASSIST. STAT")</f>
        <v>ASSIST. STAT</v>
      </c>
      <c r="J3399" s="164" t="str">
        <f ca="1">IFERROR(__xludf.DUMMYFUNCTION("""COMPUTED_VALUE"""),"ZSSPLIT2023-13-06-052")</f>
        <v>ZSSPLIT2023-13-06-052</v>
      </c>
      <c r="K3399" s="164" t="str">
        <f ca="1">IFERROR(__xludf.DUMMYFUNCTION("""COMPUTED_VALUE"""),"BLENDI ENDONG")</f>
        <v>BLENDI ENDONG</v>
      </c>
      <c r="L3399" s="164" t="str">
        <f ca="1">IFERROR(__xludf.DUMMYFUNCTION("""COMPUTED_VALUE"""),"LTID")</f>
        <v>LTID</v>
      </c>
      <c r="M3399" s="164" t="str">
        <f ca="1">IFERROR(__xludf.DUMMYFUNCTION("""COMPUTED_VALUE"""),"SERVICEABLE")</f>
        <v>SERVICEABLE</v>
      </c>
      <c r="N3399" s="164"/>
    </row>
    <row r="3400" spans="1:14" ht="13.2" hidden="1">
      <c r="A3400" s="164" t="str">
        <f ca="1">IFERROR(__xludf.DUMMYFUNCTION("""COMPUTED_VALUE"""),"REGION IX")</f>
        <v>REGION IX</v>
      </c>
      <c r="B3400" s="164" t="str">
        <f ca="1">IFERROR(__xludf.DUMMYFUNCTION("""COMPUTED_VALUE"""),"Zamboanga Sibugay")</f>
        <v>Zamboanga Sibugay</v>
      </c>
      <c r="C3400" s="164" t="str">
        <f ca="1">IFERROR(__xludf.DUMMYFUNCTION("""COMPUTED_VALUE"""),"Motorcycle – (Honda XRL 150)")</f>
        <v>Motorcycle – (Honda XRL 150)</v>
      </c>
      <c r="D3400" s="164" t="str">
        <f ca="1">IFERROR(__xludf.DUMMYFUNCTION("""COMPUTED_VALUE"""),"₱ 124,900.00")</f>
        <v>₱ 124,900.00</v>
      </c>
      <c r="E3400" s="164" t="str">
        <f ca="1">IFERROR(__xludf.DUMMYFUNCTION("""COMPUTED_VALUE"""),"₱ -")</f>
        <v>₱ -</v>
      </c>
      <c r="F3400" s="164" t="str">
        <f ca="1">IFERROR(__xludf.DUMMYFUNCTION("""COMPUTED_VALUE"""),"2023-06-01-10202SP548-01")</f>
        <v>2023-06-01-10202SP548-01</v>
      </c>
      <c r="G3400" s="164" t="str">
        <f ca="1">IFERROR(__xludf.DUMMYFUNCTION("""COMPUTED_VALUE"""),"no plate available")</f>
        <v>no plate available</v>
      </c>
      <c r="H3400" s="164" t="str">
        <f ca="1">IFERROR(__xludf.DUMMYFUNCTION("""COMPUTED_VALUE"""),"EDGAR BALBUENA")</f>
        <v>EDGAR BALBUENA</v>
      </c>
      <c r="I3400" s="164" t="str">
        <f ca="1">IFERROR(__xludf.DUMMYFUNCTION("""COMPUTED_VALUE"""),"SARPT")</f>
        <v>SARPT</v>
      </c>
      <c r="J3400" s="164" t="str">
        <f ca="1">IFERROR(__xludf.DUMMYFUNCTION("""COMPUTED_VALUE"""),"ZSSPLIT2023-13-06-053")</f>
        <v>ZSSPLIT2023-13-06-053</v>
      </c>
      <c r="K3400" s="164" t="str">
        <f ca="1">IFERROR(__xludf.DUMMYFUNCTION("""COMPUTED_VALUE"""),"EDGAR BALBUENA")</f>
        <v>EDGAR BALBUENA</v>
      </c>
      <c r="L3400" s="164" t="str">
        <f ca="1">IFERROR(__xludf.DUMMYFUNCTION("""COMPUTED_VALUE"""),"DARMO TUNGAWAN")</f>
        <v>DARMO TUNGAWAN</v>
      </c>
      <c r="M3400" s="164" t="str">
        <f ca="1">IFERROR(__xludf.DUMMYFUNCTION("""COMPUTED_VALUE"""),"SERVICEABLE")</f>
        <v>SERVICEABLE</v>
      </c>
      <c r="N3400" s="164"/>
    </row>
    <row r="3401" spans="1:14" ht="13.2" hidden="1">
      <c r="A3401" s="164" t="str">
        <f ca="1">IFERROR(__xludf.DUMMYFUNCTION("""COMPUTED_VALUE"""),"REGION IX")</f>
        <v>REGION IX</v>
      </c>
      <c r="B3401" s="164" t="str">
        <f ca="1">IFERROR(__xludf.DUMMYFUNCTION("""COMPUTED_VALUE"""),"Zamboanga Sibugay")</f>
        <v>Zamboanga Sibugay</v>
      </c>
      <c r="C3401" s="164" t="str">
        <f ca="1">IFERROR(__xludf.DUMMYFUNCTION("""COMPUTED_VALUE"""),"Motorcycle – (Honda XRL 150)")</f>
        <v>Motorcycle – (Honda XRL 150)</v>
      </c>
      <c r="D3401" s="164" t="str">
        <f ca="1">IFERROR(__xludf.DUMMYFUNCTION("""COMPUTED_VALUE"""),"₱ 124,900.00")</f>
        <v>₱ 124,900.00</v>
      </c>
      <c r="E3401" s="164" t="str">
        <f ca="1">IFERROR(__xludf.DUMMYFUNCTION("""COMPUTED_VALUE"""),"₱ -")</f>
        <v>₱ -</v>
      </c>
      <c r="F3401" s="164" t="str">
        <f ca="1">IFERROR(__xludf.DUMMYFUNCTION("""COMPUTED_VALUE"""),"2023-06-01-10202SP547-01")</f>
        <v>2023-06-01-10202SP547-01</v>
      </c>
      <c r="G3401" s="164" t="str">
        <f ca="1">IFERROR(__xludf.DUMMYFUNCTION("""COMPUTED_VALUE"""),"no plate available")</f>
        <v>no plate available</v>
      </c>
      <c r="H3401" s="164" t="str">
        <f ca="1">IFERROR(__xludf.DUMMYFUNCTION("""COMPUTED_VALUE"""),"DEL R. BIOCO")</f>
        <v>DEL R. BIOCO</v>
      </c>
      <c r="I3401" s="164" t="str">
        <f ca="1">IFERROR(__xludf.DUMMYFUNCTION("""COMPUTED_VALUE"""),"SURVEY MAN")</f>
        <v>SURVEY MAN</v>
      </c>
      <c r="J3401" s="164" t="str">
        <f ca="1">IFERROR(__xludf.DUMMYFUNCTION("""COMPUTED_VALUE"""),"ZSSPLIT2023-13-06-054")</f>
        <v>ZSSPLIT2023-13-06-054</v>
      </c>
      <c r="K3401" s="164" t="str">
        <f ca="1">IFERROR(__xludf.DUMMYFUNCTION("""COMPUTED_VALUE"""),"DEL R. BIOCO")</f>
        <v>DEL R. BIOCO</v>
      </c>
      <c r="L3401" s="164" t="str">
        <f ca="1">IFERROR(__xludf.DUMMYFUNCTION("""COMPUTED_VALUE"""),"LTID")</f>
        <v>LTID</v>
      </c>
      <c r="M3401" s="164" t="str">
        <f ca="1">IFERROR(__xludf.DUMMYFUNCTION("""COMPUTED_VALUE"""),"SERVICEABLE")</f>
        <v>SERVICEABLE</v>
      </c>
      <c r="N3401" s="164"/>
    </row>
    <row r="3402" spans="1:14" ht="13.2" hidden="1">
      <c r="A3402" s="164" t="str">
        <f ca="1">IFERROR(__xludf.DUMMYFUNCTION("""COMPUTED_VALUE"""),"REGION IX")</f>
        <v>REGION IX</v>
      </c>
      <c r="B3402" s="164" t="str">
        <f ca="1">IFERROR(__xludf.DUMMYFUNCTION("""COMPUTED_VALUE"""),"Zamboanga Sibugay")</f>
        <v>Zamboanga Sibugay</v>
      </c>
      <c r="C3402" s="164" t="str">
        <f ca="1">IFERROR(__xludf.DUMMYFUNCTION("""COMPUTED_VALUE"""),"Motorcycle – (Honda XRL 150)")</f>
        <v>Motorcycle – (Honda XRL 150)</v>
      </c>
      <c r="D3402" s="164" t="str">
        <f ca="1">IFERROR(__xludf.DUMMYFUNCTION("""COMPUTED_VALUE"""),"₱ 124,900.00")</f>
        <v>₱ 124,900.00</v>
      </c>
      <c r="E3402" s="164" t="str">
        <f ca="1">IFERROR(__xludf.DUMMYFUNCTION("""COMPUTED_VALUE"""),"₱ -")</f>
        <v>₱ -</v>
      </c>
      <c r="F3402" s="164" t="str">
        <f ca="1">IFERROR(__xludf.DUMMYFUNCTION("""COMPUTED_VALUE"""),"2023-06-01-10202SP542-01")</f>
        <v>2023-06-01-10202SP542-01</v>
      </c>
      <c r="G3402" s="164" t="str">
        <f ca="1">IFERROR(__xludf.DUMMYFUNCTION("""COMPUTED_VALUE"""),"no plate available")</f>
        <v>no plate available</v>
      </c>
      <c r="H3402" s="164" t="str">
        <f ca="1">IFERROR(__xludf.DUMMYFUNCTION("""COMPUTED_VALUE"""),"ANTAO, PENDATUN")</f>
        <v>ANTAO, PENDATUN</v>
      </c>
      <c r="I3402" s="164" t="str">
        <f ca="1">IFERROR(__xludf.DUMMYFUNCTION("""COMPUTED_VALUE"""),"SARPT")</f>
        <v>SARPT</v>
      </c>
      <c r="J3402" s="164" t="str">
        <f ca="1">IFERROR(__xludf.DUMMYFUNCTION("""COMPUTED_VALUE"""),"ZSSPLIT2023-13-06-055")</f>
        <v>ZSSPLIT2023-13-06-055</v>
      </c>
      <c r="K3402" s="164" t="str">
        <f ca="1">IFERROR(__xludf.DUMMYFUNCTION("""COMPUTED_VALUE"""),"ANTAO, PENDATUN")</f>
        <v>ANTAO, PENDATUN</v>
      </c>
      <c r="L3402" s="164" t="str">
        <f ca="1">IFERROR(__xludf.DUMMYFUNCTION("""COMPUTED_VALUE"""),"DARMO AYALA")</f>
        <v>DARMO AYALA</v>
      </c>
      <c r="M3402" s="164" t="str">
        <f ca="1">IFERROR(__xludf.DUMMYFUNCTION("""COMPUTED_VALUE"""),"SERVICEABLE")</f>
        <v>SERVICEABLE</v>
      </c>
      <c r="N3402" s="164"/>
    </row>
    <row r="3403" spans="1:14" ht="13.2" hidden="1">
      <c r="A3403" s="164" t="str">
        <f ca="1">IFERROR(__xludf.DUMMYFUNCTION("""COMPUTED_VALUE"""),"REGION IX")</f>
        <v>REGION IX</v>
      </c>
      <c r="B3403" s="164" t="str">
        <f ca="1">IFERROR(__xludf.DUMMYFUNCTION("""COMPUTED_VALUE"""),"Zamboanga del Norte")</f>
        <v>Zamboanga del Norte</v>
      </c>
      <c r="C3403" s="164" t="str">
        <f ca="1">IFERROR(__xludf.DUMMYFUNCTION("""COMPUTED_VALUE"""),"Double Cabin Pick-up Vehicles – Mitsubishi Strada")</f>
        <v>Double Cabin Pick-up Vehicles – Mitsubishi Strada</v>
      </c>
      <c r="D3403" s="164" t="str">
        <f ca="1">IFERROR(__xludf.DUMMYFUNCTION("""COMPUTED_VALUE"""),"₱ 1,752,400.00")</f>
        <v>₱ 1,752,400.00</v>
      </c>
      <c r="E3403" s="164" t="str">
        <f ca="1">IFERROR(__xludf.DUMMYFUNCTION("""COMPUTED_VALUE"""),"₱ -")</f>
        <v>₱ -</v>
      </c>
      <c r="F3403" s="164" t="str">
        <f ca="1">IFERROR(__xludf.DUMMYFUNCTION("""COMPUTED_VALUE"""),"2023-06-01-10201SP109-01")</f>
        <v>2023-06-01-10201SP109-01</v>
      </c>
      <c r="G3403" s="164" t="str">
        <f ca="1">IFERROR(__xludf.DUMMYFUNCTION("""COMPUTED_VALUE"""),"Y3-B136")</f>
        <v>Y3-B136</v>
      </c>
      <c r="H3403" s="164" t="str">
        <f ca="1">IFERROR(__xludf.DUMMYFUNCTION("""COMPUTED_VALUE"""),"RICARDO M. ABAD")</f>
        <v>RICARDO M. ABAD</v>
      </c>
      <c r="I3403" s="164" t="str">
        <f ca="1">IFERROR(__xludf.DUMMYFUNCTION("""COMPUTED_VALUE"""),"AO IV")</f>
        <v>AO IV</v>
      </c>
      <c r="J3403" s="164" t="str">
        <f ca="1">IFERROR(__xludf.DUMMYFUNCTION("""COMPUTED_VALUE"""),"P-23-05-ZDN-SPLIT-051")</f>
        <v>P-23-05-ZDN-SPLIT-051</v>
      </c>
      <c r="K3403" s="164" t="str">
        <f ca="1">IFERROR(__xludf.DUMMYFUNCTION("""COMPUTED_VALUE"""),"RICARDO M. ABAD")</f>
        <v>RICARDO M. ABAD</v>
      </c>
      <c r="L3403" s="164" t="str">
        <f ca="1">IFERROR(__xludf.DUMMYFUNCTION("""COMPUTED_VALUE"""),"DARPO-STOD")</f>
        <v>DARPO-STOD</v>
      </c>
      <c r="M3403" s="164" t="str">
        <f ca="1">IFERROR(__xludf.DUMMYFUNCTION("""COMPUTED_VALUE"""),"SERVICEABLE")</f>
        <v>SERVICEABLE</v>
      </c>
      <c r="N3403" s="164"/>
    </row>
    <row r="3404" spans="1:14" ht="13.2" hidden="1">
      <c r="A3404" s="164" t="str">
        <f ca="1">IFERROR(__xludf.DUMMYFUNCTION("""COMPUTED_VALUE"""),"REGION IX")</f>
        <v>REGION IX</v>
      </c>
      <c r="B3404" s="164" t="str">
        <f ca="1">IFERROR(__xludf.DUMMYFUNCTION("""COMPUTED_VALUE"""),"Zamboanga del Norte")</f>
        <v>Zamboanga del Norte</v>
      </c>
      <c r="C3404" s="164" t="str">
        <f ca="1">IFERROR(__xludf.DUMMYFUNCTION("""COMPUTED_VALUE"""),"Motorcycle – (Honda XRL 150)")</f>
        <v>Motorcycle – (Honda XRL 150)</v>
      </c>
      <c r="D3404" s="164" t="str">
        <f ca="1">IFERROR(__xludf.DUMMYFUNCTION("""COMPUTED_VALUE"""),"₱ 124,900.00")</f>
        <v>₱ 124,900.00</v>
      </c>
      <c r="E3404" s="164" t="str">
        <f ca="1">IFERROR(__xludf.DUMMYFUNCTION("""COMPUTED_VALUE"""),"₱ -")</f>
        <v>₱ -</v>
      </c>
      <c r="F3404" s="164" t="str">
        <f ca="1">IFERROR(__xludf.DUMMYFUNCTION("""COMPUTED_VALUE"""),"2023-06-01-10202SP491-01")</f>
        <v>2023-06-01-10202SP491-01</v>
      </c>
      <c r="G3404" s="164" t="str">
        <f ca="1">IFERROR(__xludf.DUMMYFUNCTION("""COMPUTED_VALUE"""),"no plate available")</f>
        <v>no plate available</v>
      </c>
      <c r="H3404" s="164" t="str">
        <f ca="1">IFERROR(__xludf.DUMMYFUNCTION("""COMPUTED_VALUE"""),"NOEL B. CREDO")</f>
        <v>NOEL B. CREDO</v>
      </c>
      <c r="I3404" s="164" t="str">
        <f ca="1">IFERROR(__xludf.DUMMYFUNCTION("""COMPUTED_VALUE"""),"ARPO II")</f>
        <v>ARPO II</v>
      </c>
      <c r="J3404" s="164" t="str">
        <f ca="1">IFERROR(__xludf.DUMMYFUNCTION("""COMPUTED_VALUE"""),"P-23-05-ZDN-SPLIT-022")</f>
        <v>P-23-05-ZDN-SPLIT-022</v>
      </c>
      <c r="K3404" s="164" t="str">
        <f ca="1">IFERROR(__xludf.DUMMYFUNCTION("""COMPUTED_VALUE"""),"NOEL B. CREDO")</f>
        <v>NOEL B. CREDO</v>
      </c>
      <c r="L3404" s="164" t="str">
        <f ca="1">IFERROR(__xludf.DUMMYFUNCTION("""COMPUTED_VALUE"""),"DARPO-PBDD")</f>
        <v>DARPO-PBDD</v>
      </c>
      <c r="M3404" s="164" t="str">
        <f ca="1">IFERROR(__xludf.DUMMYFUNCTION("""COMPUTED_VALUE"""),"SERVICEABLE")</f>
        <v>SERVICEABLE</v>
      </c>
      <c r="N3404" s="164"/>
    </row>
    <row r="3405" spans="1:14" ht="13.2" hidden="1">
      <c r="A3405" s="164" t="str">
        <f ca="1">IFERROR(__xludf.DUMMYFUNCTION("""COMPUTED_VALUE"""),"REGION IX")</f>
        <v>REGION IX</v>
      </c>
      <c r="B3405" s="164" t="str">
        <f ca="1">IFERROR(__xludf.DUMMYFUNCTION("""COMPUTED_VALUE"""),"Zamboanga del Norte")</f>
        <v>Zamboanga del Norte</v>
      </c>
      <c r="C3405" s="164" t="str">
        <f ca="1">IFERROR(__xludf.DUMMYFUNCTION("""COMPUTED_VALUE"""),"Motorcycle – (Honda XRL 150)")</f>
        <v>Motorcycle – (Honda XRL 150)</v>
      </c>
      <c r="D3405" s="164" t="str">
        <f ca="1">IFERROR(__xludf.DUMMYFUNCTION("""COMPUTED_VALUE"""),"₱ 124,900.00")</f>
        <v>₱ 124,900.00</v>
      </c>
      <c r="E3405" s="164" t="str">
        <f ca="1">IFERROR(__xludf.DUMMYFUNCTION("""COMPUTED_VALUE"""),"₱ -")</f>
        <v>₱ -</v>
      </c>
      <c r="F3405" s="164" t="str">
        <f ca="1">IFERROR(__xludf.DUMMYFUNCTION("""COMPUTED_VALUE"""),"2023-06-01-10202SP492-01")</f>
        <v>2023-06-01-10202SP492-01</v>
      </c>
      <c r="G3405" s="164" t="str">
        <f ca="1">IFERROR(__xludf.DUMMYFUNCTION("""COMPUTED_VALUE"""),"no plate available")</f>
        <v>no plate available</v>
      </c>
      <c r="H3405" s="164" t="str">
        <f ca="1">IFERROR(__xludf.DUMMYFUNCTION("""COMPUTED_VALUE"""),"AL CASSIM A. CAMSIA JR.")</f>
        <v>AL CASSIM A. CAMSIA JR.</v>
      </c>
      <c r="I3405" s="164" t="str">
        <f ca="1">IFERROR(__xludf.DUMMYFUNCTION("""COMPUTED_VALUE"""),"ARPT")</f>
        <v>ARPT</v>
      </c>
      <c r="J3405" s="164" t="str">
        <f ca="1">IFERROR(__xludf.DUMMYFUNCTION("""COMPUTED_VALUE"""),"P-23-05-ZDN-SPLIT-023")</f>
        <v>P-23-05-ZDN-SPLIT-023</v>
      </c>
      <c r="K3405" s="164" t="str">
        <f ca="1">IFERROR(__xludf.DUMMYFUNCTION("""COMPUTED_VALUE"""),"AL CASSIM A. CAMSIA JR.")</f>
        <v>AL CASSIM A. CAMSIA JR.</v>
      </c>
      <c r="L3405" s="164" t="str">
        <f ca="1">IFERROR(__xludf.DUMMYFUNCTION("""COMPUTED_VALUE"""),"DARPO-STOD")</f>
        <v>DARPO-STOD</v>
      </c>
      <c r="M3405" s="164" t="str">
        <f ca="1">IFERROR(__xludf.DUMMYFUNCTION("""COMPUTED_VALUE"""),"SERVICEABLE")</f>
        <v>SERVICEABLE</v>
      </c>
      <c r="N3405" s="164"/>
    </row>
    <row r="3406" spans="1:14" ht="13.2" hidden="1">
      <c r="A3406" s="164" t="str">
        <f ca="1">IFERROR(__xludf.DUMMYFUNCTION("""COMPUTED_VALUE"""),"REGION IX")</f>
        <v>REGION IX</v>
      </c>
      <c r="B3406" s="164" t="str">
        <f ca="1">IFERROR(__xludf.DUMMYFUNCTION("""COMPUTED_VALUE"""),"Zamboanga del Norte")</f>
        <v>Zamboanga del Norte</v>
      </c>
      <c r="C3406" s="164" t="str">
        <f ca="1">IFERROR(__xludf.DUMMYFUNCTION("""COMPUTED_VALUE"""),"Motorcycle – (Honda XRL 150)")</f>
        <v>Motorcycle – (Honda XRL 150)</v>
      </c>
      <c r="D3406" s="164" t="str">
        <f ca="1">IFERROR(__xludf.DUMMYFUNCTION("""COMPUTED_VALUE"""),"₱ 124,900.00")</f>
        <v>₱ 124,900.00</v>
      </c>
      <c r="E3406" s="164" t="str">
        <f ca="1">IFERROR(__xludf.DUMMYFUNCTION("""COMPUTED_VALUE"""),"₱ -")</f>
        <v>₱ -</v>
      </c>
      <c r="F3406" s="164" t="str">
        <f ca="1">IFERROR(__xludf.DUMMYFUNCTION("""COMPUTED_VALUE"""),"2023-06-01-10202SP494-01")</f>
        <v>2023-06-01-10202SP494-01</v>
      </c>
      <c r="G3406" s="164" t="str">
        <f ca="1">IFERROR(__xludf.DUMMYFUNCTION("""COMPUTED_VALUE"""),"no plate available")</f>
        <v>no plate available</v>
      </c>
      <c r="H3406" s="164" t="str">
        <f ca="1">IFERROR(__xludf.DUMMYFUNCTION("""COMPUTED_VALUE"""),"DOROTHY APRIL M. GAHUM")</f>
        <v>DOROTHY APRIL M. GAHUM</v>
      </c>
      <c r="I3406" s="164" t="str">
        <f ca="1">IFERROR(__xludf.DUMMYFUNCTION("""COMPUTED_VALUE"""),"ARPO II")</f>
        <v>ARPO II</v>
      </c>
      <c r="J3406" s="164" t="str">
        <f ca="1">IFERROR(__xludf.DUMMYFUNCTION("""COMPUTED_VALUE"""),"P-23-05-ZDN-SPLIT-024")</f>
        <v>P-23-05-ZDN-SPLIT-024</v>
      </c>
      <c r="K3406" s="164" t="str">
        <f ca="1">IFERROR(__xludf.DUMMYFUNCTION("""COMPUTED_VALUE"""),"DOROTHY APRIL M. GAHUM")</f>
        <v>DOROTHY APRIL M. GAHUM</v>
      </c>
      <c r="L3406" s="164" t="str">
        <f ca="1">IFERROR(__xludf.DUMMYFUNCTION("""COMPUTED_VALUE"""),"DARAD")</f>
        <v>DARAD</v>
      </c>
      <c r="M3406" s="164" t="str">
        <f ca="1">IFERROR(__xludf.DUMMYFUNCTION("""COMPUTED_VALUE"""),"SERVICEABLE")</f>
        <v>SERVICEABLE</v>
      </c>
      <c r="N3406" s="164"/>
    </row>
    <row r="3407" spans="1:14" ht="13.2" hidden="1">
      <c r="A3407" s="164" t="str">
        <f ca="1">IFERROR(__xludf.DUMMYFUNCTION("""COMPUTED_VALUE"""),"REGION IX")</f>
        <v>REGION IX</v>
      </c>
      <c r="B3407" s="164" t="str">
        <f ca="1">IFERROR(__xludf.DUMMYFUNCTION("""COMPUTED_VALUE"""),"Zamboanga del Norte")</f>
        <v>Zamboanga del Norte</v>
      </c>
      <c r="C3407" s="164" t="str">
        <f ca="1">IFERROR(__xludf.DUMMYFUNCTION("""COMPUTED_VALUE"""),"Motorcycle – (Honda XRL 150)")</f>
        <v>Motorcycle – (Honda XRL 150)</v>
      </c>
      <c r="D3407" s="164" t="str">
        <f ca="1">IFERROR(__xludf.DUMMYFUNCTION("""COMPUTED_VALUE"""),"₱ 124,900.00")</f>
        <v>₱ 124,900.00</v>
      </c>
      <c r="E3407" s="164" t="str">
        <f ca="1">IFERROR(__xludf.DUMMYFUNCTION("""COMPUTED_VALUE"""),"₱ -")</f>
        <v>₱ -</v>
      </c>
      <c r="F3407" s="164" t="str">
        <f ca="1">IFERROR(__xludf.DUMMYFUNCTION("""COMPUTED_VALUE"""),"2023-06-01-10202SP500-01")</f>
        <v>2023-06-01-10202SP500-01</v>
      </c>
      <c r="G3407" s="164" t="str">
        <f ca="1">IFERROR(__xludf.DUMMYFUNCTION("""COMPUTED_VALUE"""),"no plate available")</f>
        <v>no plate available</v>
      </c>
      <c r="H3407" s="164" t="str">
        <f ca="1">IFERROR(__xludf.DUMMYFUNCTION("""COMPUTED_VALUE"""),"JOY B. AGUM")</f>
        <v>JOY B. AGUM</v>
      </c>
      <c r="I3407" s="164" t="str">
        <f ca="1">IFERROR(__xludf.DUMMYFUNCTION("""COMPUTED_VALUE"""),"SARPT")</f>
        <v>SARPT</v>
      </c>
      <c r="J3407" s="164" t="str">
        <f ca="1">IFERROR(__xludf.DUMMYFUNCTION("""COMPUTED_VALUE"""),"P-23-05-ZDN-SPLIT-025")</f>
        <v>P-23-05-ZDN-SPLIT-025</v>
      </c>
      <c r="K3407" s="164" t="str">
        <f ca="1">IFERROR(__xludf.DUMMYFUNCTION("""COMPUTED_VALUE"""),"JOY B. AGUM")</f>
        <v>JOY B. AGUM</v>
      </c>
      <c r="L3407" s="164" t="str">
        <f ca="1">IFERROR(__xludf.DUMMYFUNCTION("""COMPUTED_VALUE"""),"DARMO-MUTIA")</f>
        <v>DARMO-MUTIA</v>
      </c>
      <c r="M3407" s="164" t="str">
        <f ca="1">IFERROR(__xludf.DUMMYFUNCTION("""COMPUTED_VALUE"""),"SERVICEABLE")</f>
        <v>SERVICEABLE</v>
      </c>
      <c r="N3407" s="164"/>
    </row>
    <row r="3408" spans="1:14" ht="13.2" hidden="1">
      <c r="A3408" s="164" t="str">
        <f ca="1">IFERROR(__xludf.DUMMYFUNCTION("""COMPUTED_VALUE"""),"REGION IX")</f>
        <v>REGION IX</v>
      </c>
      <c r="B3408" s="164" t="str">
        <f ca="1">IFERROR(__xludf.DUMMYFUNCTION("""COMPUTED_VALUE"""),"Zamboanga del Norte")</f>
        <v>Zamboanga del Norte</v>
      </c>
      <c r="C3408" s="164" t="str">
        <f ca="1">IFERROR(__xludf.DUMMYFUNCTION("""COMPUTED_VALUE"""),"Motorcycle – (Honda XRL 150)")</f>
        <v>Motorcycle – (Honda XRL 150)</v>
      </c>
      <c r="D3408" s="164" t="str">
        <f ca="1">IFERROR(__xludf.DUMMYFUNCTION("""COMPUTED_VALUE"""),"₱ 124,900.00")</f>
        <v>₱ 124,900.00</v>
      </c>
      <c r="E3408" s="164" t="str">
        <f ca="1">IFERROR(__xludf.DUMMYFUNCTION("""COMPUTED_VALUE"""),"₱ -")</f>
        <v>₱ -</v>
      </c>
      <c r="F3408" s="164" t="str">
        <f ca="1">IFERROR(__xludf.DUMMYFUNCTION("""COMPUTED_VALUE"""),"2023-06-01-10202SP498-00
 2023-06-01-10202SP499-01")</f>
        <v>2023-06-01-10202SP498-00
 2023-06-01-10202SP499-01</v>
      </c>
      <c r="G3408" s="164" t="str">
        <f ca="1">IFERROR(__xludf.DUMMYFUNCTION("""COMPUTED_VALUE"""),"no plate available")</f>
        <v>no plate available</v>
      </c>
      <c r="H3408" s="164" t="str">
        <f ca="1">IFERROR(__xludf.DUMMYFUNCTION("""COMPUTED_VALUE"""),"GRACE D. MALIGRO")</f>
        <v>GRACE D. MALIGRO</v>
      </c>
      <c r="I3408" s="164" t="str">
        <f ca="1">IFERROR(__xludf.DUMMYFUNCTION("""COMPUTED_VALUE"""),"SARPT")</f>
        <v>SARPT</v>
      </c>
      <c r="J3408" s="164" t="str">
        <f ca="1">IFERROR(__xludf.DUMMYFUNCTION("""COMPUTED_VALUE"""),"P-23-05-ZDN-SPLIT-026")</f>
        <v>P-23-05-ZDN-SPLIT-026</v>
      </c>
      <c r="K3408" s="164" t="str">
        <f ca="1">IFERROR(__xludf.DUMMYFUNCTION("""COMPUTED_VALUE"""),"GRACE D. MALIGRO")</f>
        <v>GRACE D. MALIGRO</v>
      </c>
      <c r="L3408" s="164" t="str">
        <f ca="1">IFERROR(__xludf.DUMMYFUNCTION("""COMPUTED_VALUE"""),"DARMO-RIZAL")</f>
        <v>DARMO-RIZAL</v>
      </c>
      <c r="M3408" s="164" t="str">
        <f ca="1">IFERROR(__xludf.DUMMYFUNCTION("""COMPUTED_VALUE"""),"SERVICEABLE")</f>
        <v>SERVICEABLE</v>
      </c>
      <c r="N3408" s="164"/>
    </row>
    <row r="3409" spans="1:14" ht="13.2" hidden="1">
      <c r="A3409" s="164" t="str">
        <f ca="1">IFERROR(__xludf.DUMMYFUNCTION("""COMPUTED_VALUE"""),"REGION IX")</f>
        <v>REGION IX</v>
      </c>
      <c r="B3409" s="164" t="str">
        <f ca="1">IFERROR(__xludf.DUMMYFUNCTION("""COMPUTED_VALUE"""),"Zamboanga del Norte")</f>
        <v>Zamboanga del Norte</v>
      </c>
      <c r="C3409" s="164" t="str">
        <f ca="1">IFERROR(__xludf.DUMMYFUNCTION("""COMPUTED_VALUE"""),"Motorcycle – (Honda XRL 150)")</f>
        <v>Motorcycle – (Honda XRL 150)</v>
      </c>
      <c r="D3409" s="164" t="str">
        <f ca="1">IFERROR(__xludf.DUMMYFUNCTION("""COMPUTED_VALUE"""),"₱ 124,900.00")</f>
        <v>₱ 124,900.00</v>
      </c>
      <c r="E3409" s="164" t="str">
        <f ca="1">IFERROR(__xludf.DUMMYFUNCTION("""COMPUTED_VALUE"""),"₱ -")</f>
        <v>₱ -</v>
      </c>
      <c r="F3409" s="164" t="str">
        <f ca="1">IFERROR(__xludf.DUMMYFUNCTION("""COMPUTED_VALUE"""),"2023-06-01-10202SP499-01
 2023-06-01-10202SP498-01")</f>
        <v>2023-06-01-10202SP499-01
 2023-06-01-10202SP498-01</v>
      </c>
      <c r="G3409" s="164" t="str">
        <f ca="1">IFERROR(__xludf.DUMMYFUNCTION("""COMPUTED_VALUE"""),"no plate available")</f>
        <v>no plate available</v>
      </c>
      <c r="H3409" s="164" t="str">
        <f ca="1">IFERROR(__xludf.DUMMYFUNCTION("""COMPUTED_VALUE"""),"APRIL JOY B. MAGARANG")</f>
        <v>APRIL JOY B. MAGARANG</v>
      </c>
      <c r="I3409" s="164" t="str">
        <f ca="1">IFERROR(__xludf.DUMMYFUNCTION("""COMPUTED_VALUE"""),"ARPT")</f>
        <v>ARPT</v>
      </c>
      <c r="J3409" s="164" t="str">
        <f ca="1">IFERROR(__xludf.DUMMYFUNCTION("""COMPUTED_VALUE"""),"P-23-05-ZDN-SPLIT-027")</f>
        <v>P-23-05-ZDN-SPLIT-027</v>
      </c>
      <c r="K3409" s="164" t="str">
        <f ca="1">IFERROR(__xludf.DUMMYFUNCTION("""COMPUTED_VALUE"""),"APRIL JOY B. MAGARANG")</f>
        <v>APRIL JOY B. MAGARANG</v>
      </c>
      <c r="L3409" s="164" t="str">
        <f ca="1">IFERROR(__xludf.DUMMYFUNCTION("""COMPUTED_VALUE"""),"DARMO-SERGIO OSMEÑA")</f>
        <v>DARMO-SERGIO OSMEÑA</v>
      </c>
      <c r="M3409" s="164" t="str">
        <f ca="1">IFERROR(__xludf.DUMMYFUNCTION("""COMPUTED_VALUE"""),"SERVICEABLE")</f>
        <v>SERVICEABLE</v>
      </c>
      <c r="N3409" s="164"/>
    </row>
    <row r="3410" spans="1:14" ht="13.2" hidden="1">
      <c r="A3410" s="164" t="str">
        <f ca="1">IFERROR(__xludf.DUMMYFUNCTION("""COMPUTED_VALUE"""),"REGION IX")</f>
        <v>REGION IX</v>
      </c>
      <c r="B3410" s="164" t="str">
        <f ca="1">IFERROR(__xludf.DUMMYFUNCTION("""COMPUTED_VALUE"""),"Zamboanga del Norte")</f>
        <v>Zamboanga del Norte</v>
      </c>
      <c r="C3410" s="164" t="str">
        <f ca="1">IFERROR(__xludf.DUMMYFUNCTION("""COMPUTED_VALUE"""),"Motorcycle – (Honda XRL 150)")</f>
        <v>Motorcycle – (Honda XRL 150)</v>
      </c>
      <c r="D3410" s="164" t="str">
        <f ca="1">IFERROR(__xludf.DUMMYFUNCTION("""COMPUTED_VALUE"""),"₱ 124,900.00")</f>
        <v>₱ 124,900.00</v>
      </c>
      <c r="E3410" s="164" t="str">
        <f ca="1">IFERROR(__xludf.DUMMYFUNCTION("""COMPUTED_VALUE"""),"₱ -")</f>
        <v>₱ -</v>
      </c>
      <c r="F3410" s="164" t="str">
        <f ca="1">IFERROR(__xludf.DUMMYFUNCTION("""COMPUTED_VALUE"""),"2023-06-01-10202SP502-01")</f>
        <v>2023-06-01-10202SP502-01</v>
      </c>
      <c r="G3410" s="164" t="str">
        <f ca="1">IFERROR(__xludf.DUMMYFUNCTION("""COMPUTED_VALUE"""),"no plate available")</f>
        <v>no plate available</v>
      </c>
      <c r="H3410" s="164" t="str">
        <f ca="1">IFERROR(__xludf.DUMMYFUNCTION("""COMPUTED_VALUE"""),"RUNA JANE B. SABAC")</f>
        <v>RUNA JANE B. SABAC</v>
      </c>
      <c r="I3410" s="164" t="str">
        <f ca="1">IFERROR(__xludf.DUMMYFUNCTION("""COMPUTED_VALUE"""),"ARPO I")</f>
        <v>ARPO I</v>
      </c>
      <c r="J3410" s="164" t="str">
        <f ca="1">IFERROR(__xludf.DUMMYFUNCTION("""COMPUTED_VALUE"""),"P-23-05-ZDN-SPLIT-028")</f>
        <v>P-23-05-ZDN-SPLIT-028</v>
      </c>
      <c r="K3410" s="164" t="str">
        <f ca="1">IFERROR(__xludf.DUMMYFUNCTION("""COMPUTED_VALUE"""),"RUNA JANE B. SABAC")</f>
        <v>RUNA JANE B. SABAC</v>
      </c>
      <c r="L3410" s="164" t="str">
        <f ca="1">IFERROR(__xludf.DUMMYFUNCTION("""COMPUTED_VALUE"""),"DARMO-LILOY")</f>
        <v>DARMO-LILOY</v>
      </c>
      <c r="M3410" s="164" t="str">
        <f ca="1">IFERROR(__xludf.DUMMYFUNCTION("""COMPUTED_VALUE"""),"SERVICEABLE")</f>
        <v>SERVICEABLE</v>
      </c>
      <c r="N3410" s="164"/>
    </row>
    <row r="3411" spans="1:14" ht="13.2" hidden="1">
      <c r="A3411" s="164" t="str">
        <f ca="1">IFERROR(__xludf.DUMMYFUNCTION("""COMPUTED_VALUE"""),"REGION IX")</f>
        <v>REGION IX</v>
      </c>
      <c r="B3411" s="164" t="str">
        <f ca="1">IFERROR(__xludf.DUMMYFUNCTION("""COMPUTED_VALUE"""),"Zamboanga del Norte")</f>
        <v>Zamboanga del Norte</v>
      </c>
      <c r="C3411" s="164" t="str">
        <f ca="1">IFERROR(__xludf.DUMMYFUNCTION("""COMPUTED_VALUE"""),"Motorcycle – (Honda XRL 150)")</f>
        <v>Motorcycle – (Honda XRL 150)</v>
      </c>
      <c r="D3411" s="164" t="str">
        <f ca="1">IFERROR(__xludf.DUMMYFUNCTION("""COMPUTED_VALUE"""),"₱ 124,900.00")</f>
        <v>₱ 124,900.00</v>
      </c>
      <c r="E3411" s="164" t="str">
        <f ca="1">IFERROR(__xludf.DUMMYFUNCTION("""COMPUTED_VALUE"""),"₱ -")</f>
        <v>₱ -</v>
      </c>
      <c r="F3411" s="164" t="str">
        <f ca="1">IFERROR(__xludf.DUMMYFUNCTION("""COMPUTED_VALUE"""),"2023-06-01-10202SP504-01")</f>
        <v>2023-06-01-10202SP504-01</v>
      </c>
      <c r="G3411" s="164" t="str">
        <f ca="1">IFERROR(__xludf.DUMMYFUNCTION("""COMPUTED_VALUE"""),"no plate available")</f>
        <v>no plate available</v>
      </c>
      <c r="H3411" s="164" t="str">
        <f ca="1">IFERROR(__xludf.DUMMYFUNCTION("""COMPUTED_VALUE"""),"PETER PAUL R. CAJOCON")</f>
        <v>PETER PAUL R. CAJOCON</v>
      </c>
      <c r="I3411" s="164" t="str">
        <f ca="1">IFERROR(__xludf.DUMMYFUNCTION("""COMPUTED_VALUE"""),"SARPT")</f>
        <v>SARPT</v>
      </c>
      <c r="J3411" s="164" t="str">
        <f ca="1">IFERROR(__xludf.DUMMYFUNCTION("""COMPUTED_VALUE"""),"P-23-05-ZDN-SPLIT-029")</f>
        <v>P-23-05-ZDN-SPLIT-029</v>
      </c>
      <c r="K3411" s="164" t="str">
        <f ca="1">IFERROR(__xludf.DUMMYFUNCTION("""COMPUTED_VALUE"""),"PETER PAUL R. CAJOCON")</f>
        <v>PETER PAUL R. CAJOCON</v>
      </c>
      <c r="L3411" s="164" t="str">
        <f ca="1">IFERROR(__xludf.DUMMYFUNCTION("""COMPUTED_VALUE"""),"DARMO-KALAWIT")</f>
        <v>DARMO-KALAWIT</v>
      </c>
      <c r="M3411" s="164" t="str">
        <f ca="1">IFERROR(__xludf.DUMMYFUNCTION("""COMPUTED_VALUE"""),"SERVICEABLE")</f>
        <v>SERVICEABLE</v>
      </c>
      <c r="N3411" s="164"/>
    </row>
    <row r="3412" spans="1:14" ht="13.2" hidden="1">
      <c r="A3412" s="164" t="str">
        <f ca="1">IFERROR(__xludf.DUMMYFUNCTION("""COMPUTED_VALUE"""),"REGION IX")</f>
        <v>REGION IX</v>
      </c>
      <c r="B3412" s="164" t="str">
        <f ca="1">IFERROR(__xludf.DUMMYFUNCTION("""COMPUTED_VALUE"""),"Zamboanga del Norte")</f>
        <v>Zamboanga del Norte</v>
      </c>
      <c r="C3412" s="164" t="str">
        <f ca="1">IFERROR(__xludf.DUMMYFUNCTION("""COMPUTED_VALUE"""),"Motorcycle – (Honda XRL 150)")</f>
        <v>Motorcycle – (Honda XRL 150)</v>
      </c>
      <c r="D3412" s="164" t="str">
        <f ca="1">IFERROR(__xludf.DUMMYFUNCTION("""COMPUTED_VALUE"""),"₱ 124,900.00")</f>
        <v>₱ 124,900.00</v>
      </c>
      <c r="E3412" s="164" t="str">
        <f ca="1">IFERROR(__xludf.DUMMYFUNCTION("""COMPUTED_VALUE"""),"₱ -")</f>
        <v>₱ -</v>
      </c>
      <c r="F3412" s="164" t="str">
        <f ca="1">IFERROR(__xludf.DUMMYFUNCTION("""COMPUTED_VALUE"""),"2023-06-01-10202SP506-01")</f>
        <v>2023-06-01-10202SP506-01</v>
      </c>
      <c r="G3412" s="164" t="str">
        <f ca="1">IFERROR(__xludf.DUMMYFUNCTION("""COMPUTED_VALUE"""),"no plate available")</f>
        <v>no plate available</v>
      </c>
      <c r="H3412" s="164" t="str">
        <f ca="1">IFERROR(__xludf.DUMMYFUNCTION("""COMPUTED_VALUE"""),"JOVELYN A. SALBORO")</f>
        <v>JOVELYN A. SALBORO</v>
      </c>
      <c r="I3412" s="164" t="str">
        <f ca="1">IFERROR(__xludf.DUMMYFUNCTION("""COMPUTED_VALUE"""),"ARPT")</f>
        <v>ARPT</v>
      </c>
      <c r="J3412" s="164" t="str">
        <f ca="1">IFERROR(__xludf.DUMMYFUNCTION("""COMPUTED_VALUE"""),"P-23-05-ZDN-SPLIT-030")</f>
        <v>P-23-05-ZDN-SPLIT-030</v>
      </c>
      <c r="K3412" s="164" t="str">
        <f ca="1">IFERROR(__xludf.DUMMYFUNCTION("""COMPUTED_VALUE"""),"JOVELYN A. SALBORO")</f>
        <v>JOVELYN A. SALBORO</v>
      </c>
      <c r="L3412" s="164" t="str">
        <f ca="1">IFERROR(__xludf.DUMMYFUNCTION("""COMPUTED_VALUE"""),"DARMO-SIRAWAI")</f>
        <v>DARMO-SIRAWAI</v>
      </c>
      <c r="M3412" s="164" t="str">
        <f ca="1">IFERROR(__xludf.DUMMYFUNCTION("""COMPUTED_VALUE"""),"SERVICEABLE")</f>
        <v>SERVICEABLE</v>
      </c>
      <c r="N3412" s="164"/>
    </row>
    <row r="3413" spans="1:14" ht="13.2" hidden="1">
      <c r="A3413" s="164" t="str">
        <f ca="1">IFERROR(__xludf.DUMMYFUNCTION("""COMPUTED_VALUE"""),"REGION IX")</f>
        <v>REGION IX</v>
      </c>
      <c r="B3413" s="164" t="str">
        <f ca="1">IFERROR(__xludf.DUMMYFUNCTION("""COMPUTED_VALUE"""),"Zamboanga del Norte")</f>
        <v>Zamboanga del Norte</v>
      </c>
      <c r="C3413" s="164" t="str">
        <f ca="1">IFERROR(__xludf.DUMMYFUNCTION("""COMPUTED_VALUE"""),"Motorcycle – (Honda XRL 150)")</f>
        <v>Motorcycle – (Honda XRL 150)</v>
      </c>
      <c r="D3413" s="164" t="str">
        <f ca="1">IFERROR(__xludf.DUMMYFUNCTION("""COMPUTED_VALUE"""),"₱ 124,900.00")</f>
        <v>₱ 124,900.00</v>
      </c>
      <c r="E3413" s="164" t="str">
        <f ca="1">IFERROR(__xludf.DUMMYFUNCTION("""COMPUTED_VALUE"""),"₱ -")</f>
        <v>₱ -</v>
      </c>
      <c r="F3413" s="164" t="str">
        <f ca="1">IFERROR(__xludf.DUMMYFUNCTION("""COMPUTED_VALUE"""),"2023-06-01-10202SP507-01")</f>
        <v>2023-06-01-10202SP507-01</v>
      </c>
      <c r="G3413" s="164" t="str">
        <f ca="1">IFERROR(__xludf.DUMMYFUNCTION("""COMPUTED_VALUE"""),"no plate available")</f>
        <v>no plate available</v>
      </c>
      <c r="H3413" s="164" t="str">
        <f ca="1">IFERROR(__xludf.DUMMYFUNCTION("""COMPUTED_VALUE"""),"CYRINE L. PALMA")</f>
        <v>CYRINE L. PALMA</v>
      </c>
      <c r="I3413" s="164" t="str">
        <f ca="1">IFERROR(__xludf.DUMMYFUNCTION("""COMPUTED_VALUE"""),"ARPO I")</f>
        <v>ARPO I</v>
      </c>
      <c r="J3413" s="164" t="str">
        <f ca="1">IFERROR(__xludf.DUMMYFUNCTION("""COMPUTED_VALUE"""),"P-23-05-ZDN-SPLIT-031")</f>
        <v>P-23-05-ZDN-SPLIT-031</v>
      </c>
      <c r="K3413" s="164" t="str">
        <f ca="1">IFERROR(__xludf.DUMMYFUNCTION("""COMPUTED_VALUE"""),"CYRINE L. PALMA")</f>
        <v>CYRINE L. PALMA</v>
      </c>
      <c r="L3413" s="164" t="str">
        <f ca="1">IFERROR(__xludf.DUMMYFUNCTION("""COMPUTED_VALUE"""),"DARMO-DAPITAN")</f>
        <v>DARMO-DAPITAN</v>
      </c>
      <c r="M3413" s="164" t="str">
        <f ca="1">IFERROR(__xludf.DUMMYFUNCTION("""COMPUTED_VALUE"""),"SERVICEABLE")</f>
        <v>SERVICEABLE</v>
      </c>
      <c r="N3413" s="164"/>
    </row>
    <row r="3414" spans="1:14" ht="13.2" hidden="1">
      <c r="A3414" s="164" t="str">
        <f ca="1">IFERROR(__xludf.DUMMYFUNCTION("""COMPUTED_VALUE"""),"REGION IX")</f>
        <v>REGION IX</v>
      </c>
      <c r="B3414" s="164" t="str">
        <f ca="1">IFERROR(__xludf.DUMMYFUNCTION("""COMPUTED_VALUE"""),"Zamboanga del Norte")</f>
        <v>Zamboanga del Norte</v>
      </c>
      <c r="C3414" s="164" t="str">
        <f ca="1">IFERROR(__xludf.DUMMYFUNCTION("""COMPUTED_VALUE"""),"Motorcycle – (Honda XRL 150)")</f>
        <v>Motorcycle – (Honda XRL 150)</v>
      </c>
      <c r="D3414" s="164" t="str">
        <f ca="1">IFERROR(__xludf.DUMMYFUNCTION("""COMPUTED_VALUE"""),"₱ 124,900.00")</f>
        <v>₱ 124,900.00</v>
      </c>
      <c r="E3414" s="164" t="str">
        <f ca="1">IFERROR(__xludf.DUMMYFUNCTION("""COMPUTED_VALUE"""),"₱ -")</f>
        <v>₱ -</v>
      </c>
      <c r="F3414" s="164" t="str">
        <f ca="1">IFERROR(__xludf.DUMMYFUNCTION("""COMPUTED_VALUE"""),"2023-06-01-10202SP508-01")</f>
        <v>2023-06-01-10202SP508-01</v>
      </c>
      <c r="G3414" s="164" t="str">
        <f ca="1">IFERROR(__xludf.DUMMYFUNCTION("""COMPUTED_VALUE"""),"no plate available")</f>
        <v>no plate available</v>
      </c>
      <c r="H3414" s="164" t="str">
        <f ca="1">IFERROR(__xludf.DUMMYFUNCTION("""COMPUTED_VALUE"""),"ALVIN R. BUBURAN")</f>
        <v>ALVIN R. BUBURAN</v>
      </c>
      <c r="I3414" s="164" t="str">
        <f ca="1">IFERROR(__xludf.DUMMYFUNCTION("""COMPUTED_VALUE"""),"ARPO I")</f>
        <v>ARPO I</v>
      </c>
      <c r="J3414" s="164" t="str">
        <f ca="1">IFERROR(__xludf.DUMMYFUNCTION("""COMPUTED_VALUE"""),"P-23-05-ZDN-SPLIT-032")</f>
        <v>P-23-05-ZDN-SPLIT-032</v>
      </c>
      <c r="K3414" s="164" t="str">
        <f ca="1">IFERROR(__xludf.DUMMYFUNCTION("""COMPUTED_VALUE"""),"ALVIN R. BUBURAN")</f>
        <v>ALVIN R. BUBURAN</v>
      </c>
      <c r="L3414" s="164" t="str">
        <f ca="1">IFERROR(__xludf.DUMMYFUNCTION("""COMPUTED_VALUE"""),"DARMO-LABASON")</f>
        <v>DARMO-LABASON</v>
      </c>
      <c r="M3414" s="164" t="str">
        <f ca="1">IFERROR(__xludf.DUMMYFUNCTION("""COMPUTED_VALUE"""),"SERVICEABLE")</f>
        <v>SERVICEABLE</v>
      </c>
      <c r="N3414" s="164"/>
    </row>
    <row r="3415" spans="1:14" ht="13.2" hidden="1">
      <c r="A3415" s="164" t="str">
        <f ca="1">IFERROR(__xludf.DUMMYFUNCTION("""COMPUTED_VALUE"""),"REGION IX")</f>
        <v>REGION IX</v>
      </c>
      <c r="B3415" s="164" t="str">
        <f ca="1">IFERROR(__xludf.DUMMYFUNCTION("""COMPUTED_VALUE"""),"Zamboanga del Norte")</f>
        <v>Zamboanga del Norte</v>
      </c>
      <c r="C3415" s="164" t="str">
        <f ca="1">IFERROR(__xludf.DUMMYFUNCTION("""COMPUTED_VALUE"""),"Motorcycle – (Honda XRL 150)")</f>
        <v>Motorcycle – (Honda XRL 150)</v>
      </c>
      <c r="D3415" s="164" t="str">
        <f ca="1">IFERROR(__xludf.DUMMYFUNCTION("""COMPUTED_VALUE"""),"₱ 124,900.00")</f>
        <v>₱ 124,900.00</v>
      </c>
      <c r="E3415" s="164" t="str">
        <f ca="1">IFERROR(__xludf.DUMMYFUNCTION("""COMPUTED_VALUE"""),"₱ -")</f>
        <v>₱ -</v>
      </c>
      <c r="F3415" s="164" t="str">
        <f ca="1">IFERROR(__xludf.DUMMYFUNCTION("""COMPUTED_VALUE"""),"2023-06-01-10202SP511-01")</f>
        <v>2023-06-01-10202SP511-01</v>
      </c>
      <c r="G3415" s="164" t="str">
        <f ca="1">IFERROR(__xludf.DUMMYFUNCTION("""COMPUTED_VALUE"""),"no plate available")</f>
        <v>no plate available</v>
      </c>
      <c r="H3415" s="164" t="str">
        <f ca="1">IFERROR(__xludf.DUMMYFUNCTION("""COMPUTED_VALUE"""),"SILVENO D. CAGAYAN JR.")</f>
        <v>SILVENO D. CAGAYAN JR.</v>
      </c>
      <c r="I3415" s="164" t="str">
        <f ca="1">IFERROR(__xludf.DUMMYFUNCTION("""COMPUTED_VALUE"""),"SARPT")</f>
        <v>SARPT</v>
      </c>
      <c r="J3415" s="164" t="str">
        <f ca="1">IFERROR(__xludf.DUMMYFUNCTION("""COMPUTED_VALUE"""),"P-23-05-ZDN-SPLIT-033")</f>
        <v>P-23-05-ZDN-SPLIT-033</v>
      </c>
      <c r="K3415" s="164" t="str">
        <f ca="1">IFERROR(__xludf.DUMMYFUNCTION("""COMPUTED_VALUE"""),"SILVENO D. CAGAYAN JR.")</f>
        <v>SILVENO D. CAGAYAN JR.</v>
      </c>
      <c r="L3415" s="164" t="str">
        <f ca="1">IFERROR(__xludf.DUMMYFUNCTION("""COMPUTED_VALUE"""),"DARMO-SINDANGAN")</f>
        <v>DARMO-SINDANGAN</v>
      </c>
      <c r="M3415" s="164" t="str">
        <f ca="1">IFERROR(__xludf.DUMMYFUNCTION("""COMPUTED_VALUE"""),"SERVICEABLE")</f>
        <v>SERVICEABLE</v>
      </c>
      <c r="N3415" s="164"/>
    </row>
    <row r="3416" spans="1:14" ht="13.2" hidden="1">
      <c r="A3416" s="164" t="str">
        <f ca="1">IFERROR(__xludf.DUMMYFUNCTION("""COMPUTED_VALUE"""),"REGION IX")</f>
        <v>REGION IX</v>
      </c>
      <c r="B3416" s="164" t="str">
        <f ca="1">IFERROR(__xludf.DUMMYFUNCTION("""COMPUTED_VALUE"""),"Zamboanga del Norte")</f>
        <v>Zamboanga del Norte</v>
      </c>
      <c r="C3416" s="164" t="str">
        <f ca="1">IFERROR(__xludf.DUMMYFUNCTION("""COMPUTED_VALUE"""),"Motorcycle – (Honda XRL 150)")</f>
        <v>Motorcycle – (Honda XRL 150)</v>
      </c>
      <c r="D3416" s="164" t="str">
        <f ca="1">IFERROR(__xludf.DUMMYFUNCTION("""COMPUTED_VALUE"""),"₱ 124,900.00")</f>
        <v>₱ 124,900.00</v>
      </c>
      <c r="E3416" s="164" t="str">
        <f ca="1">IFERROR(__xludf.DUMMYFUNCTION("""COMPUTED_VALUE"""),"₱ -")</f>
        <v>₱ -</v>
      </c>
      <c r="F3416" s="164" t="str">
        <f ca="1">IFERROR(__xludf.DUMMYFUNCTION("""COMPUTED_VALUE"""),"2023-06-01-10202SP514-01")</f>
        <v>2023-06-01-10202SP514-01</v>
      </c>
      <c r="G3416" s="164" t="str">
        <f ca="1">IFERROR(__xludf.DUMMYFUNCTION("""COMPUTED_VALUE"""),"no plate available")</f>
        <v>no plate available</v>
      </c>
      <c r="H3416" s="164" t="str">
        <f ca="1">IFERROR(__xludf.DUMMYFUNCTION("""COMPUTED_VALUE"""),"YOLANDA L. HERMANO")</f>
        <v>YOLANDA L. HERMANO</v>
      </c>
      <c r="I3416" s="164" t="str">
        <f ca="1">IFERROR(__xludf.DUMMYFUNCTION("""COMPUTED_VALUE"""),"ARPO I")</f>
        <v>ARPO I</v>
      </c>
      <c r="J3416" s="164" t="str">
        <f ca="1">IFERROR(__xludf.DUMMYFUNCTION("""COMPUTED_VALUE"""),"P-23-05-ZDN-SPLIT-034")</f>
        <v>P-23-05-ZDN-SPLIT-034</v>
      </c>
      <c r="K3416" s="164" t="str">
        <f ca="1">IFERROR(__xludf.DUMMYFUNCTION("""COMPUTED_VALUE"""),"YOLANDA L. HERMANO")</f>
        <v>YOLANDA L. HERMANO</v>
      </c>
      <c r="L3416" s="164" t="str">
        <f ca="1">IFERROR(__xludf.DUMMYFUNCTION("""COMPUTED_VALUE"""),"DARMO-SIOCON")</f>
        <v>DARMO-SIOCON</v>
      </c>
      <c r="M3416" s="164" t="str">
        <f ca="1">IFERROR(__xludf.DUMMYFUNCTION("""COMPUTED_VALUE"""),"SERVICEABLE")</f>
        <v>SERVICEABLE</v>
      </c>
      <c r="N3416" s="164"/>
    </row>
    <row r="3417" spans="1:14" ht="13.2" hidden="1">
      <c r="A3417" s="164" t="str">
        <f ca="1">IFERROR(__xludf.DUMMYFUNCTION("""COMPUTED_VALUE"""),"REGION IX")</f>
        <v>REGION IX</v>
      </c>
      <c r="B3417" s="164" t="str">
        <f ca="1">IFERROR(__xludf.DUMMYFUNCTION("""COMPUTED_VALUE"""),"Zamboanga del Norte")</f>
        <v>Zamboanga del Norte</v>
      </c>
      <c r="C3417" s="164" t="str">
        <f ca="1">IFERROR(__xludf.DUMMYFUNCTION("""COMPUTED_VALUE"""),"Motorcycle – (Honda XRL 150)")</f>
        <v>Motorcycle – (Honda XRL 150)</v>
      </c>
      <c r="D3417" s="164" t="str">
        <f ca="1">IFERROR(__xludf.DUMMYFUNCTION("""COMPUTED_VALUE"""),"₱ 124,900.00")</f>
        <v>₱ 124,900.00</v>
      </c>
      <c r="E3417" s="164" t="str">
        <f ca="1">IFERROR(__xludf.DUMMYFUNCTION("""COMPUTED_VALUE"""),"₱ -")</f>
        <v>₱ -</v>
      </c>
      <c r="F3417" s="164" t="str">
        <f ca="1">IFERROR(__xludf.DUMMYFUNCTION("""COMPUTED_VALUE"""),"2023-06-01-10202SP515-01")</f>
        <v>2023-06-01-10202SP515-01</v>
      </c>
      <c r="G3417" s="164" t="str">
        <f ca="1">IFERROR(__xludf.DUMMYFUNCTION("""COMPUTED_VALUE"""),"no plate available")</f>
        <v>no plate available</v>
      </c>
      <c r="H3417" s="164" t="str">
        <f ca="1">IFERROR(__xludf.DUMMYFUNCTION("""COMPUTED_VALUE"""),"GLEYZ REYMAR D. LIM")</f>
        <v>GLEYZ REYMAR D. LIM</v>
      </c>
      <c r="I3417" s="164" t="str">
        <f ca="1">IFERROR(__xludf.DUMMYFUNCTION("""COMPUTED_VALUE"""),"ARPT")</f>
        <v>ARPT</v>
      </c>
      <c r="J3417" s="164" t="str">
        <f ca="1">IFERROR(__xludf.DUMMYFUNCTION("""COMPUTED_VALUE"""),"P-23-05-ZDN-SPLIT-035")</f>
        <v>P-23-05-ZDN-SPLIT-035</v>
      </c>
      <c r="K3417" s="164" t="str">
        <f ca="1">IFERROR(__xludf.DUMMYFUNCTION("""COMPUTED_VALUE"""),"GLEYZ REYMAR D. LIM")</f>
        <v>GLEYZ REYMAR D. LIM</v>
      </c>
      <c r="L3417" s="164" t="str">
        <f ca="1">IFERROR(__xludf.DUMMYFUNCTION("""COMPUTED_VALUE"""),"DARMO-KATIPUNAN")</f>
        <v>DARMO-KATIPUNAN</v>
      </c>
      <c r="M3417" s="164" t="str">
        <f ca="1">IFERROR(__xludf.DUMMYFUNCTION("""COMPUTED_VALUE"""),"SERVICEABLE")</f>
        <v>SERVICEABLE</v>
      </c>
      <c r="N3417" s="164"/>
    </row>
    <row r="3418" spans="1:14" ht="13.2" hidden="1">
      <c r="A3418" s="164" t="str">
        <f ca="1">IFERROR(__xludf.DUMMYFUNCTION("""COMPUTED_VALUE"""),"REGION IX")</f>
        <v>REGION IX</v>
      </c>
      <c r="B3418" s="164" t="str">
        <f ca="1">IFERROR(__xludf.DUMMYFUNCTION("""COMPUTED_VALUE"""),"Zamboanga del Norte")</f>
        <v>Zamboanga del Norte</v>
      </c>
      <c r="C3418" s="164" t="str">
        <f ca="1">IFERROR(__xludf.DUMMYFUNCTION("""COMPUTED_VALUE"""),"Motorcycle – (Honda XRL 150)")</f>
        <v>Motorcycle – (Honda XRL 150)</v>
      </c>
      <c r="D3418" s="164" t="str">
        <f ca="1">IFERROR(__xludf.DUMMYFUNCTION("""COMPUTED_VALUE"""),"₱ 124,900.00")</f>
        <v>₱ 124,900.00</v>
      </c>
      <c r="E3418" s="164" t="str">
        <f ca="1">IFERROR(__xludf.DUMMYFUNCTION("""COMPUTED_VALUE"""),"₱ -")</f>
        <v>₱ -</v>
      </c>
      <c r="F3418" s="164" t="str">
        <f ca="1">IFERROR(__xludf.DUMMYFUNCTION("""COMPUTED_VALUE"""),"2023-06-01-10202SP523-01")</f>
        <v>2023-06-01-10202SP523-01</v>
      </c>
      <c r="G3418" s="164" t="str">
        <f ca="1">IFERROR(__xludf.DUMMYFUNCTION("""COMPUTED_VALUE"""),"no plate available")</f>
        <v>no plate available</v>
      </c>
      <c r="H3418" s="164" t="str">
        <f ca="1">IFERROR(__xludf.DUMMYFUNCTION("""COMPUTED_VALUE"""),"EDGAR Y. UYCOCO")</f>
        <v>EDGAR Y. UYCOCO</v>
      </c>
      <c r="I3418" s="164" t="str">
        <f ca="1">IFERROR(__xludf.DUMMYFUNCTION("""COMPUTED_VALUE"""),"ARPO I")</f>
        <v>ARPO I</v>
      </c>
      <c r="J3418" s="164" t="str">
        <f ca="1">IFERROR(__xludf.DUMMYFUNCTION("""COMPUTED_VALUE"""),"P-23-05-ZDN-SPLIT-036")</f>
        <v>P-23-05-ZDN-SPLIT-036</v>
      </c>
      <c r="K3418" s="164" t="str">
        <f ca="1">IFERROR(__xludf.DUMMYFUNCTION("""COMPUTED_VALUE"""),"EDGAR Y. UYCOCO")</f>
        <v>EDGAR Y. UYCOCO</v>
      </c>
      <c r="L3418" s="164" t="str">
        <f ca="1">IFERROR(__xludf.DUMMYFUNCTION("""COMPUTED_VALUE"""),"DARMO-GODOD")</f>
        <v>DARMO-GODOD</v>
      </c>
      <c r="M3418" s="164" t="str">
        <f ca="1">IFERROR(__xludf.DUMMYFUNCTION("""COMPUTED_VALUE"""),"SERVICEABLE")</f>
        <v>SERVICEABLE</v>
      </c>
      <c r="N3418" s="164"/>
    </row>
    <row r="3419" spans="1:14" ht="13.2" hidden="1">
      <c r="A3419" s="164" t="str">
        <f ca="1">IFERROR(__xludf.DUMMYFUNCTION("""COMPUTED_VALUE"""),"REGION IX")</f>
        <v>REGION IX</v>
      </c>
      <c r="B3419" s="164" t="str">
        <f ca="1">IFERROR(__xludf.DUMMYFUNCTION("""COMPUTED_VALUE"""),"Zamboanga del Norte")</f>
        <v>Zamboanga del Norte</v>
      </c>
      <c r="C3419" s="164" t="str">
        <f ca="1">IFERROR(__xludf.DUMMYFUNCTION("""COMPUTED_VALUE"""),"Motorcycle – (Honda XRL 150)")</f>
        <v>Motorcycle – (Honda XRL 150)</v>
      </c>
      <c r="D3419" s="164" t="str">
        <f ca="1">IFERROR(__xludf.DUMMYFUNCTION("""COMPUTED_VALUE"""),"₱ 124,900.00")</f>
        <v>₱ 124,900.00</v>
      </c>
      <c r="E3419" s="164" t="str">
        <f ca="1">IFERROR(__xludf.DUMMYFUNCTION("""COMPUTED_VALUE"""),"₱ -")</f>
        <v>₱ -</v>
      </c>
      <c r="F3419" s="164" t="str">
        <f ca="1">IFERROR(__xludf.DUMMYFUNCTION("""COMPUTED_VALUE"""),"2023-06-01-10202SP528-01")</f>
        <v>2023-06-01-10202SP528-01</v>
      </c>
      <c r="G3419" s="164" t="str">
        <f ca="1">IFERROR(__xludf.DUMMYFUNCTION("""COMPUTED_VALUE"""),"no plate available")</f>
        <v>no plate available</v>
      </c>
      <c r="H3419" s="164" t="str">
        <f ca="1">IFERROR(__xludf.DUMMYFUNCTION("""COMPUTED_VALUE"""),"RYAN E. MONLEON")</f>
        <v>RYAN E. MONLEON</v>
      </c>
      <c r="I3419" s="164" t="str">
        <f ca="1">IFERROR(__xludf.DUMMYFUNCTION("""COMPUTED_VALUE"""),"SARPT")</f>
        <v>SARPT</v>
      </c>
      <c r="J3419" s="164" t="str">
        <f ca="1">IFERROR(__xludf.DUMMYFUNCTION("""COMPUTED_VALUE"""),"P-23-05-ZDN-SPLIT-037")</f>
        <v>P-23-05-ZDN-SPLIT-037</v>
      </c>
      <c r="K3419" s="164" t="str">
        <f ca="1">IFERROR(__xludf.DUMMYFUNCTION("""COMPUTED_VALUE"""),"RYAN E. MONLEON")</f>
        <v>RYAN E. MONLEON</v>
      </c>
      <c r="L3419" s="164" t="str">
        <f ca="1">IFERROR(__xludf.DUMMYFUNCTION("""COMPUTED_VALUE"""),"DARMO-KALAWIT")</f>
        <v>DARMO-KALAWIT</v>
      </c>
      <c r="M3419" s="164" t="str">
        <f ca="1">IFERROR(__xludf.DUMMYFUNCTION("""COMPUTED_VALUE"""),"SERVICEABLE")</f>
        <v>SERVICEABLE</v>
      </c>
      <c r="N3419" s="164"/>
    </row>
    <row r="3420" spans="1:14" ht="13.2" hidden="1">
      <c r="A3420" s="164" t="str">
        <f ca="1">IFERROR(__xludf.DUMMYFUNCTION("""COMPUTED_VALUE"""),"REGION IX")</f>
        <v>REGION IX</v>
      </c>
      <c r="B3420" s="164" t="str">
        <f ca="1">IFERROR(__xludf.DUMMYFUNCTION("""COMPUTED_VALUE"""),"Zamboanga del Norte")</f>
        <v>Zamboanga del Norte</v>
      </c>
      <c r="C3420" s="164" t="str">
        <f ca="1">IFERROR(__xludf.DUMMYFUNCTION("""COMPUTED_VALUE"""),"Motorcycle – (Honda XRL 150)")</f>
        <v>Motorcycle – (Honda XRL 150)</v>
      </c>
      <c r="D3420" s="164" t="str">
        <f ca="1">IFERROR(__xludf.DUMMYFUNCTION("""COMPUTED_VALUE"""),"₱ 124,900.00")</f>
        <v>₱ 124,900.00</v>
      </c>
      <c r="E3420" s="164" t="str">
        <f ca="1">IFERROR(__xludf.DUMMYFUNCTION("""COMPUTED_VALUE"""),"₱ -")</f>
        <v>₱ -</v>
      </c>
      <c r="F3420" s="164" t="str">
        <f ca="1">IFERROR(__xludf.DUMMYFUNCTION("""COMPUTED_VALUE"""),"2023-06-01-10202SP487-01")</f>
        <v>2023-06-01-10202SP487-01</v>
      </c>
      <c r="G3420" s="164" t="str">
        <f ca="1">IFERROR(__xludf.DUMMYFUNCTION("""COMPUTED_VALUE"""),"no plate available")</f>
        <v>no plate available</v>
      </c>
      <c r="H3420" s="164" t="str">
        <f ca="1">IFERROR(__xludf.DUMMYFUNCTION("""COMPUTED_VALUE"""),"LIMUEL G. REGALADO")</f>
        <v>LIMUEL G. REGALADO</v>
      </c>
      <c r="I3420" s="164" t="str">
        <f ca="1">IFERROR(__xludf.DUMMYFUNCTION("""COMPUTED_VALUE"""),"ARPO II")</f>
        <v>ARPO II</v>
      </c>
      <c r="J3420" s="164" t="str">
        <f ca="1">IFERROR(__xludf.DUMMYFUNCTION("""COMPUTED_VALUE"""),"P-23-05-ZDN-SPLIT-038")</f>
        <v>P-23-05-ZDN-SPLIT-038</v>
      </c>
      <c r="K3420" s="164" t="str">
        <f ca="1">IFERROR(__xludf.DUMMYFUNCTION("""COMPUTED_VALUE"""),"LIMUEL G. REGALADO")</f>
        <v>LIMUEL G. REGALADO</v>
      </c>
      <c r="L3420" s="164" t="str">
        <f ca="1">IFERROR(__xludf.DUMMYFUNCTION("""COMPUTED_VALUE"""),"DARPO-LTID")</f>
        <v>DARPO-LTID</v>
      </c>
      <c r="M3420" s="164" t="str">
        <f ca="1">IFERROR(__xludf.DUMMYFUNCTION("""COMPUTED_VALUE"""),"SERVICEABLE")</f>
        <v>SERVICEABLE</v>
      </c>
      <c r="N3420" s="164"/>
    </row>
    <row r="3421" spans="1:14" ht="13.2" hidden="1">
      <c r="A3421" s="164" t="str">
        <f ca="1">IFERROR(__xludf.DUMMYFUNCTION("""COMPUTED_VALUE"""),"REGION IX")</f>
        <v>REGION IX</v>
      </c>
      <c r="B3421" s="164" t="str">
        <f ca="1">IFERROR(__xludf.DUMMYFUNCTION("""COMPUTED_VALUE"""),"Zamboanga del Norte")</f>
        <v>Zamboanga del Norte</v>
      </c>
      <c r="C3421" s="164" t="str">
        <f ca="1">IFERROR(__xludf.DUMMYFUNCTION("""COMPUTED_VALUE"""),"Motorcycle – (Honda XRL 150)")</f>
        <v>Motorcycle – (Honda XRL 150)</v>
      </c>
      <c r="D3421" s="164" t="str">
        <f ca="1">IFERROR(__xludf.DUMMYFUNCTION("""COMPUTED_VALUE"""),"₱ 124,900.00")</f>
        <v>₱ 124,900.00</v>
      </c>
      <c r="E3421" s="164" t="str">
        <f ca="1">IFERROR(__xludf.DUMMYFUNCTION("""COMPUTED_VALUE"""),"₱ -")</f>
        <v>₱ -</v>
      </c>
      <c r="F3421" s="164" t="str">
        <f ca="1">IFERROR(__xludf.DUMMYFUNCTION("""COMPUTED_VALUE"""),"2023-06-01-10202SP488-01")</f>
        <v>2023-06-01-10202SP488-01</v>
      </c>
      <c r="G3421" s="164" t="str">
        <f ca="1">IFERROR(__xludf.DUMMYFUNCTION("""COMPUTED_VALUE"""),"no plate available")</f>
        <v>no plate available</v>
      </c>
      <c r="H3421" s="164" t="str">
        <f ca="1">IFERROR(__xludf.DUMMYFUNCTION("""COMPUTED_VALUE"""),"ELIZA L. PORFERIO")</f>
        <v>ELIZA L. PORFERIO</v>
      </c>
      <c r="I3421" s="164" t="str">
        <f ca="1">IFERROR(__xludf.DUMMYFUNCTION("""COMPUTED_VALUE"""),"SARPT")</f>
        <v>SARPT</v>
      </c>
      <c r="J3421" s="164" t="str">
        <f ca="1">IFERROR(__xludf.DUMMYFUNCTION("""COMPUTED_VALUE"""),"P-23-02-ZDN-SPLIT-039")</f>
        <v>P-23-02-ZDN-SPLIT-039</v>
      </c>
      <c r="K3421" s="164" t="str">
        <f ca="1">IFERROR(__xludf.DUMMYFUNCTION("""COMPUTED_VALUE"""),"ELIZA L. PORFERIO")</f>
        <v>ELIZA L. PORFERIO</v>
      </c>
      <c r="L3421" s="164" t="str">
        <f ca="1">IFERROR(__xludf.DUMMYFUNCTION("""COMPUTED_VALUE"""),"PARPOs OFFICE")</f>
        <v>PARPOs OFFICE</v>
      </c>
      <c r="M3421" s="164" t="str">
        <f ca="1">IFERROR(__xludf.DUMMYFUNCTION("""COMPUTED_VALUE"""),"SERVICEABLE")</f>
        <v>SERVICEABLE</v>
      </c>
      <c r="N3421" s="164"/>
    </row>
    <row r="3422" spans="1:14" ht="13.2" hidden="1">
      <c r="A3422" s="164" t="str">
        <f ca="1">IFERROR(__xludf.DUMMYFUNCTION("""COMPUTED_VALUE"""),"REGION IX")</f>
        <v>REGION IX</v>
      </c>
      <c r="B3422" s="164" t="str">
        <f ca="1">IFERROR(__xludf.DUMMYFUNCTION("""COMPUTED_VALUE"""),"Zamboanga del Norte")</f>
        <v>Zamboanga del Norte</v>
      </c>
      <c r="C3422" s="164" t="str">
        <f ca="1">IFERROR(__xludf.DUMMYFUNCTION("""COMPUTED_VALUE"""),"Motorcycle – (Honda XRL 150)")</f>
        <v>Motorcycle – (Honda XRL 150)</v>
      </c>
      <c r="D3422" s="164" t="str">
        <f ca="1">IFERROR(__xludf.DUMMYFUNCTION("""COMPUTED_VALUE"""),"₱ 124,900.00")</f>
        <v>₱ 124,900.00</v>
      </c>
      <c r="E3422" s="164" t="str">
        <f ca="1">IFERROR(__xludf.DUMMYFUNCTION("""COMPUTED_VALUE"""),"₱ -")</f>
        <v>₱ -</v>
      </c>
      <c r="F3422" s="164" t="str">
        <f ca="1">IFERROR(__xludf.DUMMYFUNCTION("""COMPUTED_VALUE"""),"2023-06-01-10202SP489-01")</f>
        <v>2023-06-01-10202SP489-01</v>
      </c>
      <c r="G3422" s="164" t="str">
        <f ca="1">IFERROR(__xludf.DUMMYFUNCTION("""COMPUTED_VALUE"""),"no plate available")</f>
        <v>no plate available</v>
      </c>
      <c r="H3422" s="164" t="str">
        <f ca="1">IFERROR(__xludf.DUMMYFUNCTION("""COMPUTED_VALUE"""),"EWALD S. ORDINARIA")</f>
        <v>EWALD S. ORDINARIA</v>
      </c>
      <c r="I3422" s="164" t="str">
        <f ca="1">IFERROR(__xludf.DUMMYFUNCTION("""COMPUTED_VALUE"""),"ARPO I")</f>
        <v>ARPO I</v>
      </c>
      <c r="J3422" s="164" t="str">
        <f ca="1">IFERROR(__xludf.DUMMYFUNCTION("""COMPUTED_VALUE"""),"P-23-02-ZDN-SPLIT-040")</f>
        <v>P-23-02-ZDN-SPLIT-040</v>
      </c>
      <c r="K3422" s="164" t="str">
        <f ca="1">IFERROR(__xludf.DUMMYFUNCTION("""COMPUTED_VALUE"""),"EWALD S. ORDINARIA")</f>
        <v>EWALD S. ORDINARIA</v>
      </c>
      <c r="L3422" s="164" t="str">
        <f ca="1">IFERROR(__xludf.DUMMYFUNCTION("""COMPUTED_VALUE"""),"DARPO-LEGAL")</f>
        <v>DARPO-LEGAL</v>
      </c>
      <c r="M3422" s="164" t="str">
        <f ca="1">IFERROR(__xludf.DUMMYFUNCTION("""COMPUTED_VALUE"""),"SERVICEABLE")</f>
        <v>SERVICEABLE</v>
      </c>
      <c r="N3422" s="164"/>
    </row>
    <row r="3423" spans="1:14" ht="13.2" hidden="1">
      <c r="A3423" s="164" t="str">
        <f ca="1">IFERROR(__xludf.DUMMYFUNCTION("""COMPUTED_VALUE"""),"REGION IX")</f>
        <v>REGION IX</v>
      </c>
      <c r="B3423" s="164" t="str">
        <f ca="1">IFERROR(__xludf.DUMMYFUNCTION("""COMPUTED_VALUE"""),"Zamboanga del Sur")</f>
        <v>Zamboanga del Sur</v>
      </c>
      <c r="C3423" s="164" t="str">
        <f ca="1">IFERROR(__xludf.DUMMYFUNCTION("""COMPUTED_VALUE"""),"Double Cabin Pick-up Vehicles – Mitsubishi Strada")</f>
        <v>Double Cabin Pick-up Vehicles – Mitsubishi Strada</v>
      </c>
      <c r="D3423" s="164" t="str">
        <f ca="1">IFERROR(__xludf.DUMMYFUNCTION("""COMPUTED_VALUE"""),"₱ 1,752,400.00")</f>
        <v>₱ 1,752,400.00</v>
      </c>
      <c r="E3423" s="164" t="str">
        <f ca="1">IFERROR(__xludf.DUMMYFUNCTION("""COMPUTED_VALUE"""),"₱ -")</f>
        <v>₱ -</v>
      </c>
      <c r="F3423" s="164" t="str">
        <f ca="1">IFERROR(__xludf.DUMMYFUNCTION("""COMPUTED_VALUE"""),"2023-06-01-10201SP110-01")</f>
        <v>2023-06-01-10201SP110-01</v>
      </c>
      <c r="G3423" s="164" t="str">
        <f ca="1">IFERROR(__xludf.DUMMYFUNCTION("""COMPUTED_VALUE"""),"SNC 1117")</f>
        <v>SNC 1117</v>
      </c>
      <c r="H3423" s="164" t="str">
        <f ca="1">IFERROR(__xludf.DUMMYFUNCTION("""COMPUTED_VALUE"""),"Maria Gizella F. Lanuzga")</f>
        <v>Maria Gizella F. Lanuzga</v>
      </c>
      <c r="I3423" s="164" t="str">
        <f ca="1">IFERROR(__xludf.DUMMYFUNCTION("""COMPUTED_VALUE"""),"AO-IV")</f>
        <v>AO-IV</v>
      </c>
      <c r="J3423" s="164" t="str">
        <f ca="1">IFERROR(__xludf.DUMMYFUNCTION("""COMPUTED_VALUE"""),"2023-03-01-00-0104-77-ZDS")</f>
        <v>2023-03-01-00-0104-77-ZDS</v>
      </c>
      <c r="K3423" s="164" t="str">
        <f ca="1">IFERROR(__xludf.DUMMYFUNCTION("""COMPUTED_VALUE"""),"Maria Gizella F. Lanuzga")</f>
        <v>Maria Gizella F. Lanuzga</v>
      </c>
      <c r="L3423" s="164" t="str">
        <f ca="1">IFERROR(__xludf.DUMMYFUNCTION("""COMPUTED_VALUE"""),"DARPO-STOD")</f>
        <v>DARPO-STOD</v>
      </c>
      <c r="M3423" s="164" t="str">
        <f ca="1">IFERROR(__xludf.DUMMYFUNCTION("""COMPUTED_VALUE"""),"SERVICEABLE")</f>
        <v>SERVICEABLE</v>
      </c>
      <c r="N3423" s="164"/>
    </row>
    <row r="3424" spans="1:14" ht="13.2" hidden="1">
      <c r="A3424" s="164" t="str">
        <f ca="1">IFERROR(__xludf.DUMMYFUNCTION("""COMPUTED_VALUE"""),"REGION IX")</f>
        <v>REGION IX</v>
      </c>
      <c r="B3424" s="164" t="str">
        <f ca="1">IFERROR(__xludf.DUMMYFUNCTION("""COMPUTED_VALUE"""),"Zamboanga del Sur")</f>
        <v>Zamboanga del Sur</v>
      </c>
      <c r="C3424" s="164" t="str">
        <f ca="1">IFERROR(__xludf.DUMMYFUNCTION("""COMPUTED_VALUE"""),"Motorcycle – (Honda XRL 150)")</f>
        <v>Motorcycle – (Honda XRL 150)</v>
      </c>
      <c r="D3424" s="164" t="str">
        <f ca="1">IFERROR(__xludf.DUMMYFUNCTION("""COMPUTED_VALUE"""),"₱ 124,900.00")</f>
        <v>₱ 124,900.00</v>
      </c>
      <c r="E3424" s="164" t="str">
        <f ca="1">IFERROR(__xludf.DUMMYFUNCTION("""COMPUTED_VALUE"""),"₱ -")</f>
        <v>₱ -</v>
      </c>
      <c r="F3424" s="164" t="str">
        <f ca="1">IFERROR(__xludf.DUMMYFUNCTION("""COMPUTED_VALUE"""),"2023-06-01-10202SP490-01")</f>
        <v>2023-06-01-10202SP490-01</v>
      </c>
      <c r="G3424" s="164"/>
      <c r="H3424" s="164" t="str">
        <f ca="1">IFERROR(__xludf.DUMMYFUNCTION("""COMPUTED_VALUE"""),"Enrico Jose C. Bodiongan")</f>
        <v>Enrico Jose C. Bodiongan</v>
      </c>
      <c r="I3424" s="164" t="str">
        <f ca="1">IFERROR(__xludf.DUMMYFUNCTION("""COMPUTED_VALUE"""),"SARPT")</f>
        <v>SARPT</v>
      </c>
      <c r="J3424" s="164" t="str">
        <f ca="1">IFERROR(__xludf.DUMMYFUNCTION("""COMPUTED_VALUE"""),"2023-06-01-102202SP490-01-ZDS")</f>
        <v>2023-06-01-102202SP490-01-ZDS</v>
      </c>
      <c r="K3424" s="164" t="str">
        <f ca="1">IFERROR(__xludf.DUMMYFUNCTION("""COMPUTED_VALUE"""),"Enrico Jose C. Bodiongan")</f>
        <v>Enrico Jose C. Bodiongan</v>
      </c>
      <c r="L3424" s="164" t="str">
        <f ca="1">IFERROR(__xludf.DUMMYFUNCTION("""COMPUTED_VALUE"""),"DARMO-Dinas")</f>
        <v>DARMO-Dinas</v>
      </c>
      <c r="M3424" s="164" t="str">
        <f ca="1">IFERROR(__xludf.DUMMYFUNCTION("""COMPUTED_VALUE"""),"SERVICEABLE")</f>
        <v>SERVICEABLE</v>
      </c>
      <c r="N3424" s="164"/>
    </row>
    <row r="3425" spans="1:14" ht="13.2" hidden="1">
      <c r="A3425" s="164" t="str">
        <f ca="1">IFERROR(__xludf.DUMMYFUNCTION("""COMPUTED_VALUE"""),"REGION IX")</f>
        <v>REGION IX</v>
      </c>
      <c r="B3425" s="164" t="str">
        <f ca="1">IFERROR(__xludf.DUMMYFUNCTION("""COMPUTED_VALUE"""),"Zamboanga del Sur")</f>
        <v>Zamboanga del Sur</v>
      </c>
      <c r="C3425" s="164" t="str">
        <f ca="1">IFERROR(__xludf.DUMMYFUNCTION("""COMPUTED_VALUE"""),"Motorcycle – (Honda XRL 150)")</f>
        <v>Motorcycle – (Honda XRL 150)</v>
      </c>
      <c r="D3425" s="164" t="str">
        <f ca="1">IFERROR(__xludf.DUMMYFUNCTION("""COMPUTED_VALUE"""),"₱ 124,900.00")</f>
        <v>₱ 124,900.00</v>
      </c>
      <c r="E3425" s="164" t="str">
        <f ca="1">IFERROR(__xludf.DUMMYFUNCTION("""COMPUTED_VALUE"""),"₱ -")</f>
        <v>₱ -</v>
      </c>
      <c r="F3425" s="164" t="str">
        <f ca="1">IFERROR(__xludf.DUMMYFUNCTION("""COMPUTED_VALUE"""),"2023-06-01-10202SP493-01")</f>
        <v>2023-06-01-10202SP493-01</v>
      </c>
      <c r="G3425" s="164"/>
      <c r="H3425" s="164" t="str">
        <f ca="1">IFERROR(__xludf.DUMMYFUNCTION("""COMPUTED_VALUE"""),"Charmeine Joy A. Mabulay")</f>
        <v>Charmeine Joy A. Mabulay</v>
      </c>
      <c r="I3425" s="164" t="str">
        <f ca="1">IFERROR(__xludf.DUMMYFUNCTION("""COMPUTED_VALUE"""),"Admin Aide VI")</f>
        <v>Admin Aide VI</v>
      </c>
      <c r="J3425" s="164" t="str">
        <f ca="1">IFERROR(__xludf.DUMMYFUNCTION("""COMPUTED_VALUE"""),"2023-06-01-10202SP493-01-ZDS")</f>
        <v>2023-06-01-10202SP493-01-ZDS</v>
      </c>
      <c r="K3425" s="164" t="str">
        <f ca="1">IFERROR(__xludf.DUMMYFUNCTION("""COMPUTED_VALUE"""),"Charmeine Joy A. Mabulay")</f>
        <v>Charmeine Joy A. Mabulay</v>
      </c>
      <c r="L3425" s="164" t="str">
        <f ca="1">IFERROR(__xludf.DUMMYFUNCTION("""COMPUTED_VALUE"""),"DARPO- STOD")</f>
        <v>DARPO- STOD</v>
      </c>
      <c r="M3425" s="164" t="str">
        <f ca="1">IFERROR(__xludf.DUMMYFUNCTION("""COMPUTED_VALUE"""),"SERVICEABLE")</f>
        <v>SERVICEABLE</v>
      </c>
      <c r="N3425" s="164"/>
    </row>
    <row r="3426" spans="1:14" ht="13.2" hidden="1">
      <c r="A3426" s="164" t="str">
        <f ca="1">IFERROR(__xludf.DUMMYFUNCTION("""COMPUTED_VALUE"""),"REGION IX")</f>
        <v>REGION IX</v>
      </c>
      <c r="B3426" s="164" t="str">
        <f ca="1">IFERROR(__xludf.DUMMYFUNCTION("""COMPUTED_VALUE"""),"Zamboanga del Sur")</f>
        <v>Zamboanga del Sur</v>
      </c>
      <c r="C3426" s="164" t="str">
        <f ca="1">IFERROR(__xludf.DUMMYFUNCTION("""COMPUTED_VALUE"""),"Motorcycle – (Honda XRL 150)")</f>
        <v>Motorcycle – (Honda XRL 150)</v>
      </c>
      <c r="D3426" s="164" t="str">
        <f ca="1">IFERROR(__xludf.DUMMYFUNCTION("""COMPUTED_VALUE"""),"₱ 124,900.00")</f>
        <v>₱ 124,900.00</v>
      </c>
      <c r="E3426" s="164" t="str">
        <f ca="1">IFERROR(__xludf.DUMMYFUNCTION("""COMPUTED_VALUE"""),"₱ -")</f>
        <v>₱ -</v>
      </c>
      <c r="F3426" s="164" t="str">
        <f ca="1">IFERROR(__xludf.DUMMYFUNCTION("""COMPUTED_VALUE"""),"2023-06-01-10202SP495-01")</f>
        <v>2023-06-01-10202SP495-01</v>
      </c>
      <c r="G3426" s="164"/>
      <c r="H3426" s="164" t="str">
        <f ca="1">IFERROR(__xludf.DUMMYFUNCTION("""COMPUTED_VALUE"""),"Eric Anthony B. Galaraga")</f>
        <v>Eric Anthony B. Galaraga</v>
      </c>
      <c r="I3426" s="164" t="str">
        <f ca="1">IFERROR(__xludf.DUMMYFUNCTION("""COMPUTED_VALUE"""),"ARPO 1")</f>
        <v>ARPO 1</v>
      </c>
      <c r="J3426" s="164" t="str">
        <f ca="1">IFERROR(__xludf.DUMMYFUNCTION("""COMPUTED_VALUE"""),"2023-06-01-10202SP495-01-ZDS")</f>
        <v>2023-06-01-10202SP495-01-ZDS</v>
      </c>
      <c r="K3426" s="164" t="str">
        <f ca="1">IFERROR(__xludf.DUMMYFUNCTION("""COMPUTED_VALUE"""),"Eric Anthony B. Galaraga")</f>
        <v>Eric Anthony B. Galaraga</v>
      </c>
      <c r="L3426" s="164" t="str">
        <f ca="1">IFERROR(__xludf.DUMMYFUNCTION("""COMPUTED_VALUE"""),"PBDD")</f>
        <v>PBDD</v>
      </c>
      <c r="M3426" s="164" t="str">
        <f ca="1">IFERROR(__xludf.DUMMYFUNCTION("""COMPUTED_VALUE"""),"SERVICEABLE")</f>
        <v>SERVICEABLE</v>
      </c>
      <c r="N3426" s="164"/>
    </row>
    <row r="3427" spans="1:14" ht="13.2" hidden="1">
      <c r="A3427" s="164" t="str">
        <f ca="1">IFERROR(__xludf.DUMMYFUNCTION("""COMPUTED_VALUE"""),"REGION IX")</f>
        <v>REGION IX</v>
      </c>
      <c r="B3427" s="164" t="str">
        <f ca="1">IFERROR(__xludf.DUMMYFUNCTION("""COMPUTED_VALUE"""),"Zamboanga del Sur")</f>
        <v>Zamboanga del Sur</v>
      </c>
      <c r="C3427" s="164" t="str">
        <f ca="1">IFERROR(__xludf.DUMMYFUNCTION("""COMPUTED_VALUE"""),"Motorcycle – (Honda XRL 150)")</f>
        <v>Motorcycle – (Honda XRL 150)</v>
      </c>
      <c r="D3427" s="164" t="str">
        <f ca="1">IFERROR(__xludf.DUMMYFUNCTION("""COMPUTED_VALUE"""),"₱ 124,900.00")</f>
        <v>₱ 124,900.00</v>
      </c>
      <c r="E3427" s="164" t="str">
        <f ca="1">IFERROR(__xludf.DUMMYFUNCTION("""COMPUTED_VALUE"""),"₱ -")</f>
        <v>₱ -</v>
      </c>
      <c r="F3427" s="164" t="str">
        <f ca="1">IFERROR(__xludf.DUMMYFUNCTION("""COMPUTED_VALUE"""),"2023-06-01-10202SP496-01")</f>
        <v>2023-06-01-10202SP496-01</v>
      </c>
      <c r="G3427" s="164"/>
      <c r="H3427" s="164" t="str">
        <f ca="1">IFERROR(__xludf.DUMMYFUNCTION("""COMPUTED_VALUE"""),"Girlyn C. Toling")</f>
        <v>Girlyn C. Toling</v>
      </c>
      <c r="I3427" s="164" t="str">
        <f ca="1">IFERROR(__xludf.DUMMYFUNCTION("""COMPUTED_VALUE"""),"ARPT")</f>
        <v>ARPT</v>
      </c>
      <c r="J3427" s="164" t="str">
        <f ca="1">IFERROR(__xludf.DUMMYFUNCTION("""COMPUTED_VALUE"""),"2023-06-01-10202SP496-01-ZDS")</f>
        <v>2023-06-01-10202SP496-01-ZDS</v>
      </c>
      <c r="K3427" s="164" t="str">
        <f ca="1">IFERROR(__xludf.DUMMYFUNCTION("""COMPUTED_VALUE"""),"Girlyn C. Toling")</f>
        <v>Girlyn C. Toling</v>
      </c>
      <c r="L3427" s="164" t="str">
        <f ca="1">IFERROR(__xludf.DUMMYFUNCTION("""COMPUTED_VALUE"""),"DARMO-Tambulig")</f>
        <v>DARMO-Tambulig</v>
      </c>
      <c r="M3427" s="164" t="str">
        <f ca="1">IFERROR(__xludf.DUMMYFUNCTION("""COMPUTED_VALUE"""),"SERVICEABLE")</f>
        <v>SERVICEABLE</v>
      </c>
      <c r="N3427" s="164"/>
    </row>
    <row r="3428" spans="1:14" ht="13.2" hidden="1">
      <c r="A3428" s="164" t="str">
        <f ca="1">IFERROR(__xludf.DUMMYFUNCTION("""COMPUTED_VALUE"""),"REGION IX")</f>
        <v>REGION IX</v>
      </c>
      <c r="B3428" s="164" t="str">
        <f ca="1">IFERROR(__xludf.DUMMYFUNCTION("""COMPUTED_VALUE"""),"Zamboanga del Sur")</f>
        <v>Zamboanga del Sur</v>
      </c>
      <c r="C3428" s="164" t="str">
        <f ca="1">IFERROR(__xludf.DUMMYFUNCTION("""COMPUTED_VALUE"""),"Motorcycle – (Honda XRL 150)")</f>
        <v>Motorcycle – (Honda XRL 150)</v>
      </c>
      <c r="D3428" s="164" t="str">
        <f ca="1">IFERROR(__xludf.DUMMYFUNCTION("""COMPUTED_VALUE"""),"₱ 124,900.00")</f>
        <v>₱ 124,900.00</v>
      </c>
      <c r="E3428" s="164" t="str">
        <f ca="1">IFERROR(__xludf.DUMMYFUNCTION("""COMPUTED_VALUE"""),"₱ -")</f>
        <v>₱ -</v>
      </c>
      <c r="F3428" s="164" t="str">
        <f ca="1">IFERROR(__xludf.DUMMYFUNCTION("""COMPUTED_VALUE"""),"2023-06-01-10202SP501-01")</f>
        <v>2023-06-01-10202SP501-01</v>
      </c>
      <c r="G3428" s="164"/>
      <c r="H3428" s="164" t="str">
        <f ca="1">IFERROR(__xludf.DUMMYFUNCTION("""COMPUTED_VALUE"""),"Jocelyn l. Cagatan")</f>
        <v>Jocelyn l. Cagatan</v>
      </c>
      <c r="I3428" s="164" t="str">
        <f ca="1">IFERROR(__xludf.DUMMYFUNCTION("""COMPUTED_VALUE"""),"ARPO 1")</f>
        <v>ARPO 1</v>
      </c>
      <c r="J3428" s="164" t="str">
        <f ca="1">IFERROR(__xludf.DUMMYFUNCTION("""COMPUTED_VALUE"""),"2023-06-01-10202SP501-01-ZDS")</f>
        <v>2023-06-01-10202SP501-01-ZDS</v>
      </c>
      <c r="K3428" s="164" t="str">
        <f ca="1">IFERROR(__xludf.DUMMYFUNCTION("""COMPUTED_VALUE"""),"Jocelyn M. Cagas")</f>
        <v>Jocelyn M. Cagas</v>
      </c>
      <c r="L3428" s="164" t="str">
        <f ca="1">IFERROR(__xludf.DUMMYFUNCTION("""COMPUTED_VALUE"""),"DARMO-Dumingag")</f>
        <v>DARMO-Dumingag</v>
      </c>
      <c r="M3428" s="164" t="str">
        <f ca="1">IFERROR(__xludf.DUMMYFUNCTION("""COMPUTED_VALUE"""),"SERVICEABLE")</f>
        <v>SERVICEABLE</v>
      </c>
      <c r="N3428" s="164"/>
    </row>
    <row r="3429" spans="1:14" ht="13.2" hidden="1">
      <c r="A3429" s="164" t="str">
        <f ca="1">IFERROR(__xludf.DUMMYFUNCTION("""COMPUTED_VALUE"""),"REGION IX")</f>
        <v>REGION IX</v>
      </c>
      <c r="B3429" s="164" t="str">
        <f ca="1">IFERROR(__xludf.DUMMYFUNCTION("""COMPUTED_VALUE"""),"Zamboanga del Sur")</f>
        <v>Zamboanga del Sur</v>
      </c>
      <c r="C3429" s="164" t="str">
        <f ca="1">IFERROR(__xludf.DUMMYFUNCTION("""COMPUTED_VALUE"""),"Motorcycle – (Honda XRL 150)")</f>
        <v>Motorcycle – (Honda XRL 150)</v>
      </c>
      <c r="D3429" s="164" t="str">
        <f ca="1">IFERROR(__xludf.DUMMYFUNCTION("""COMPUTED_VALUE"""),"₱ 124,900.00")</f>
        <v>₱ 124,900.00</v>
      </c>
      <c r="E3429" s="164" t="str">
        <f ca="1">IFERROR(__xludf.DUMMYFUNCTION("""COMPUTED_VALUE"""),"₱ -")</f>
        <v>₱ -</v>
      </c>
      <c r="F3429" s="164" t="str">
        <f ca="1">IFERROR(__xludf.DUMMYFUNCTION("""COMPUTED_VALUE"""),"2023-06-01-10202SP503-01")</f>
        <v>2023-06-01-10202SP503-01</v>
      </c>
      <c r="G3429" s="164"/>
      <c r="H3429" s="164" t="str">
        <f ca="1">IFERROR(__xludf.DUMMYFUNCTION("""COMPUTED_VALUE"""),"Philipp N. Allego")</f>
        <v>Philipp N. Allego</v>
      </c>
      <c r="I3429" s="164" t="str">
        <f ca="1">IFERROR(__xludf.DUMMYFUNCTION("""COMPUTED_VALUE"""),"ARPT")</f>
        <v>ARPT</v>
      </c>
      <c r="J3429" s="164" t="str">
        <f ca="1">IFERROR(__xludf.DUMMYFUNCTION("""COMPUTED_VALUE"""),"2023-06-01-10202SP503-01-ZDS")</f>
        <v>2023-06-01-10202SP503-01-ZDS</v>
      </c>
      <c r="K3429" s="164" t="str">
        <f ca="1">IFERROR(__xludf.DUMMYFUNCTION("""COMPUTED_VALUE"""),"Philipp N. Allego")</f>
        <v>Philipp N. Allego</v>
      </c>
      <c r="L3429" s="164" t="str">
        <f ca="1">IFERROR(__xludf.DUMMYFUNCTION("""COMPUTED_VALUE"""),"DARMO-Tigbao")</f>
        <v>DARMO-Tigbao</v>
      </c>
      <c r="M3429" s="164" t="str">
        <f ca="1">IFERROR(__xludf.DUMMYFUNCTION("""COMPUTED_VALUE"""),"SERVICEABLE")</f>
        <v>SERVICEABLE</v>
      </c>
      <c r="N3429" s="164"/>
    </row>
    <row r="3430" spans="1:14" ht="13.2" hidden="1">
      <c r="A3430" s="164" t="str">
        <f ca="1">IFERROR(__xludf.DUMMYFUNCTION("""COMPUTED_VALUE"""),"REGION IX")</f>
        <v>REGION IX</v>
      </c>
      <c r="B3430" s="164" t="str">
        <f ca="1">IFERROR(__xludf.DUMMYFUNCTION("""COMPUTED_VALUE"""),"Zamboanga del Sur")</f>
        <v>Zamboanga del Sur</v>
      </c>
      <c r="C3430" s="164" t="str">
        <f ca="1">IFERROR(__xludf.DUMMYFUNCTION("""COMPUTED_VALUE"""),"Motorcycle – (Honda XRL 150)")</f>
        <v>Motorcycle – (Honda XRL 150)</v>
      </c>
      <c r="D3430" s="164" t="str">
        <f ca="1">IFERROR(__xludf.DUMMYFUNCTION("""COMPUTED_VALUE"""),"₱ 124,900.00")</f>
        <v>₱ 124,900.00</v>
      </c>
      <c r="E3430" s="164" t="str">
        <f ca="1">IFERROR(__xludf.DUMMYFUNCTION("""COMPUTED_VALUE"""),"₱ -")</f>
        <v>₱ -</v>
      </c>
      <c r="F3430" s="164" t="str">
        <f ca="1">IFERROR(__xludf.DUMMYFUNCTION("""COMPUTED_VALUE"""),"2023-06-01-10202SP512-01")</f>
        <v>2023-06-01-10202SP512-01</v>
      </c>
      <c r="G3430" s="164"/>
      <c r="H3430" s="164" t="str">
        <f ca="1">IFERROR(__xludf.DUMMYFUNCTION("""COMPUTED_VALUE"""),"Mercylyn D. Robaro")</f>
        <v>Mercylyn D. Robaro</v>
      </c>
      <c r="I3430" s="164" t="str">
        <f ca="1">IFERROR(__xludf.DUMMYFUNCTION("""COMPUTED_VALUE"""),"ARPT")</f>
        <v>ARPT</v>
      </c>
      <c r="J3430" s="164" t="str">
        <f ca="1">IFERROR(__xludf.DUMMYFUNCTION("""COMPUTED_VALUE"""),"2023-06-01-10202SP512-01-ZDS")</f>
        <v>2023-06-01-10202SP512-01-ZDS</v>
      </c>
      <c r="K3430" s="164" t="str">
        <f ca="1">IFERROR(__xludf.DUMMYFUNCTION("""COMPUTED_VALUE"""),"Mercylyn D. Robaro")</f>
        <v>Mercylyn D. Robaro</v>
      </c>
      <c r="L3430" s="164" t="str">
        <f ca="1">IFERROR(__xludf.DUMMYFUNCTION("""COMPUTED_VALUE"""),"DARMO-Molave")</f>
        <v>DARMO-Molave</v>
      </c>
      <c r="M3430" s="164" t="str">
        <f ca="1">IFERROR(__xludf.DUMMYFUNCTION("""COMPUTED_VALUE"""),"SERVICEABLE")</f>
        <v>SERVICEABLE</v>
      </c>
      <c r="N3430" s="164"/>
    </row>
    <row r="3431" spans="1:14" ht="13.2" hidden="1">
      <c r="A3431" s="164" t="str">
        <f ca="1">IFERROR(__xludf.DUMMYFUNCTION("""COMPUTED_VALUE"""),"REGION IX")</f>
        <v>REGION IX</v>
      </c>
      <c r="B3431" s="164" t="str">
        <f ca="1">IFERROR(__xludf.DUMMYFUNCTION("""COMPUTED_VALUE"""),"Zamboanga del Sur")</f>
        <v>Zamboanga del Sur</v>
      </c>
      <c r="C3431" s="164" t="str">
        <f ca="1">IFERROR(__xludf.DUMMYFUNCTION("""COMPUTED_VALUE"""),"Motorcycle – (Honda XRL 150)")</f>
        <v>Motorcycle – (Honda XRL 150)</v>
      </c>
      <c r="D3431" s="164" t="str">
        <f ca="1">IFERROR(__xludf.DUMMYFUNCTION("""COMPUTED_VALUE"""),"₱ 124,900.00")</f>
        <v>₱ 124,900.00</v>
      </c>
      <c r="E3431" s="164" t="str">
        <f ca="1">IFERROR(__xludf.DUMMYFUNCTION("""COMPUTED_VALUE"""),"₱ -")</f>
        <v>₱ -</v>
      </c>
      <c r="F3431" s="164" t="str">
        <f ca="1">IFERROR(__xludf.DUMMYFUNCTION("""COMPUTED_VALUE"""),"2023-06-01-10202SP516-01")</f>
        <v>2023-06-01-10202SP516-01</v>
      </c>
      <c r="G3431" s="164"/>
      <c r="H3431" s="164" t="str">
        <f ca="1">IFERROR(__xludf.DUMMYFUNCTION("""COMPUTED_VALUE"""),"Jaymark C. Agac-ac")</f>
        <v>Jaymark C. Agac-ac</v>
      </c>
      <c r="I3431" s="164" t="str">
        <f ca="1">IFERROR(__xludf.DUMMYFUNCTION("""COMPUTED_VALUE"""),"ARPT")</f>
        <v>ARPT</v>
      </c>
      <c r="J3431" s="164" t="str">
        <f ca="1">IFERROR(__xludf.DUMMYFUNCTION("""COMPUTED_VALUE"""),"2023-06-01-10202SP516-01-ZDS")</f>
        <v>2023-06-01-10202SP516-01-ZDS</v>
      </c>
      <c r="K3431" s="164" t="str">
        <f ca="1">IFERROR(__xludf.DUMMYFUNCTION("""COMPUTED_VALUE"""),"Jaymark C. Agac-ac")</f>
        <v>Jaymark C. Agac-ac</v>
      </c>
      <c r="L3431" s="164" t="str">
        <f ca="1">IFERROR(__xludf.DUMMYFUNCTION("""COMPUTED_VALUE"""),"DARMO-Pag. City")</f>
        <v>DARMO-Pag. City</v>
      </c>
      <c r="M3431" s="164" t="str">
        <f ca="1">IFERROR(__xludf.DUMMYFUNCTION("""COMPUTED_VALUE"""),"SERVICEABLE")</f>
        <v>SERVICEABLE</v>
      </c>
      <c r="N3431" s="164"/>
    </row>
    <row r="3432" spans="1:14" ht="13.2" hidden="1">
      <c r="A3432" s="164" t="str">
        <f ca="1">IFERROR(__xludf.DUMMYFUNCTION("""COMPUTED_VALUE"""),"REGION IX")</f>
        <v>REGION IX</v>
      </c>
      <c r="B3432" s="164" t="str">
        <f ca="1">IFERROR(__xludf.DUMMYFUNCTION("""COMPUTED_VALUE"""),"Zamboanga del Sur")</f>
        <v>Zamboanga del Sur</v>
      </c>
      <c r="C3432" s="164" t="str">
        <f ca="1">IFERROR(__xludf.DUMMYFUNCTION("""COMPUTED_VALUE"""),"Motorcycle – (Honda XRL 150)")</f>
        <v>Motorcycle – (Honda XRL 150)</v>
      </c>
      <c r="D3432" s="164" t="str">
        <f ca="1">IFERROR(__xludf.DUMMYFUNCTION("""COMPUTED_VALUE"""),"₱ 124,900.00")</f>
        <v>₱ 124,900.00</v>
      </c>
      <c r="E3432" s="164" t="str">
        <f ca="1">IFERROR(__xludf.DUMMYFUNCTION("""COMPUTED_VALUE"""),"₱ -")</f>
        <v>₱ -</v>
      </c>
      <c r="F3432" s="164" t="str">
        <f ca="1">IFERROR(__xludf.DUMMYFUNCTION("""COMPUTED_VALUE"""),"2023-06-01-10202SP518-01")</f>
        <v>2023-06-01-10202SP518-01</v>
      </c>
      <c r="G3432" s="164"/>
      <c r="H3432" s="164" t="str">
        <f ca="1">IFERROR(__xludf.DUMMYFUNCTION("""COMPUTED_VALUE"""),"Carlito N. Soria")</f>
        <v>Carlito N. Soria</v>
      </c>
      <c r="I3432" s="164" t="str">
        <f ca="1">IFERROR(__xludf.DUMMYFUNCTION("""COMPUTED_VALUE"""),"Engineering Aide")</f>
        <v>Engineering Aide</v>
      </c>
      <c r="J3432" s="164" t="str">
        <f ca="1">IFERROR(__xludf.DUMMYFUNCTION("""COMPUTED_VALUE"""),"2023-06-01-10202SP518-01-ZDS")</f>
        <v>2023-06-01-10202SP518-01-ZDS</v>
      </c>
      <c r="K3432" s="164" t="str">
        <f ca="1">IFERROR(__xludf.DUMMYFUNCTION("""COMPUTED_VALUE"""),"Carlito N. Soria")</f>
        <v>Carlito N. Soria</v>
      </c>
      <c r="L3432" s="164" t="str">
        <f ca="1">IFERROR(__xludf.DUMMYFUNCTION("""COMPUTED_VALUE"""),"DARPO-LTID")</f>
        <v>DARPO-LTID</v>
      </c>
      <c r="M3432" s="164" t="str">
        <f ca="1">IFERROR(__xludf.DUMMYFUNCTION("""COMPUTED_VALUE"""),"SERVICEABLE")</f>
        <v>SERVICEABLE</v>
      </c>
      <c r="N3432" s="164"/>
    </row>
    <row r="3433" spans="1:14" ht="13.2" hidden="1">
      <c r="A3433" s="164" t="str">
        <f ca="1">IFERROR(__xludf.DUMMYFUNCTION("""COMPUTED_VALUE"""),"REGION IX")</f>
        <v>REGION IX</v>
      </c>
      <c r="B3433" s="164" t="str">
        <f ca="1">IFERROR(__xludf.DUMMYFUNCTION("""COMPUTED_VALUE"""),"Zamboanga del Sur")</f>
        <v>Zamboanga del Sur</v>
      </c>
      <c r="C3433" s="164" t="str">
        <f ca="1">IFERROR(__xludf.DUMMYFUNCTION("""COMPUTED_VALUE"""),"Motorcycle – (Honda XRL 150)")</f>
        <v>Motorcycle – (Honda XRL 150)</v>
      </c>
      <c r="D3433" s="164" t="str">
        <f ca="1">IFERROR(__xludf.DUMMYFUNCTION("""COMPUTED_VALUE"""),"₱ 124,900.00")</f>
        <v>₱ 124,900.00</v>
      </c>
      <c r="E3433" s="164" t="str">
        <f ca="1">IFERROR(__xludf.DUMMYFUNCTION("""COMPUTED_VALUE"""),"₱ -")</f>
        <v>₱ -</v>
      </c>
      <c r="F3433" s="164" t="str">
        <f ca="1">IFERROR(__xludf.DUMMYFUNCTION("""COMPUTED_VALUE"""),"2023-06-01-10202SP521-01")</f>
        <v>2023-06-01-10202SP521-01</v>
      </c>
      <c r="G3433" s="164"/>
      <c r="H3433" s="164" t="str">
        <f ca="1">IFERROR(__xludf.DUMMYFUNCTION("""COMPUTED_VALUE"""),"Elmer M. De Guzman")</f>
        <v>Elmer M. De Guzman</v>
      </c>
      <c r="I3433" s="164" t="str">
        <f ca="1">IFERROR(__xludf.DUMMYFUNCTION("""COMPUTED_VALUE"""),"Surveyman")</f>
        <v>Surveyman</v>
      </c>
      <c r="J3433" s="164" t="str">
        <f ca="1">IFERROR(__xludf.DUMMYFUNCTION("""COMPUTED_VALUE"""),"2023-06-01-10202SP521-01-ZDS")</f>
        <v>2023-06-01-10202SP521-01-ZDS</v>
      </c>
      <c r="K3433" s="164" t="str">
        <f ca="1">IFERROR(__xludf.DUMMYFUNCTION("""COMPUTED_VALUE"""),"Elmer M. De Guzman")</f>
        <v>Elmer M. De Guzman</v>
      </c>
      <c r="L3433" s="164" t="str">
        <f ca="1">IFERROR(__xludf.DUMMYFUNCTION("""COMPUTED_VALUE"""),"DARPO-LTID")</f>
        <v>DARPO-LTID</v>
      </c>
      <c r="M3433" s="164" t="str">
        <f ca="1">IFERROR(__xludf.DUMMYFUNCTION("""COMPUTED_VALUE"""),"SERVICEABLE")</f>
        <v>SERVICEABLE</v>
      </c>
      <c r="N3433" s="164"/>
    </row>
    <row r="3434" spans="1:14" ht="13.2" hidden="1">
      <c r="A3434" s="164" t="str">
        <f ca="1">IFERROR(__xludf.DUMMYFUNCTION("""COMPUTED_VALUE"""),"REGION IX")</f>
        <v>REGION IX</v>
      </c>
      <c r="B3434" s="164" t="str">
        <f ca="1">IFERROR(__xludf.DUMMYFUNCTION("""COMPUTED_VALUE"""),"Zamboanga del Sur")</f>
        <v>Zamboanga del Sur</v>
      </c>
      <c r="C3434" s="164" t="str">
        <f ca="1">IFERROR(__xludf.DUMMYFUNCTION("""COMPUTED_VALUE"""),"Motorcycle – (Honda XRL 150)")</f>
        <v>Motorcycle – (Honda XRL 150)</v>
      </c>
      <c r="D3434" s="164" t="str">
        <f ca="1">IFERROR(__xludf.DUMMYFUNCTION("""COMPUTED_VALUE"""),"₱ 124,900.00")</f>
        <v>₱ 124,900.00</v>
      </c>
      <c r="E3434" s="164" t="str">
        <f ca="1">IFERROR(__xludf.DUMMYFUNCTION("""COMPUTED_VALUE"""),"₱ -")</f>
        <v>₱ -</v>
      </c>
      <c r="F3434" s="164" t="str">
        <f ca="1">IFERROR(__xludf.DUMMYFUNCTION("""COMPUTED_VALUE"""),"2023-06-01-10202SP527-01")</f>
        <v>2023-06-01-10202SP527-01</v>
      </c>
      <c r="G3434" s="164"/>
      <c r="H3434" s="164" t="str">
        <f ca="1">IFERROR(__xludf.DUMMYFUNCTION("""COMPUTED_VALUE"""),"Edgar P. Decena")</f>
        <v>Edgar P. Decena</v>
      </c>
      <c r="I3434" s="164" t="str">
        <f ca="1">IFERROR(__xludf.DUMMYFUNCTION("""COMPUTED_VALUE"""),"ARPT")</f>
        <v>ARPT</v>
      </c>
      <c r="J3434" s="164" t="str">
        <f ca="1">IFERROR(__xludf.DUMMYFUNCTION("""COMPUTED_VALUE"""),"2023-06-01-10202SP527-01-ZDS")</f>
        <v>2023-06-01-10202SP527-01-ZDS</v>
      </c>
      <c r="K3434" s="164" t="str">
        <f ca="1">IFERROR(__xludf.DUMMYFUNCTION("""COMPUTED_VALUE"""),"Edgar P. Decena")</f>
        <v>Edgar P. Decena</v>
      </c>
      <c r="L3434" s="164" t="str">
        <f ca="1">IFERROR(__xludf.DUMMYFUNCTION("""COMPUTED_VALUE"""),"DARMO-Lapuyan")</f>
        <v>DARMO-Lapuyan</v>
      </c>
      <c r="M3434" s="164" t="str">
        <f ca="1">IFERROR(__xludf.DUMMYFUNCTION("""COMPUTED_VALUE"""),"SERVICEABLE")</f>
        <v>SERVICEABLE</v>
      </c>
      <c r="N3434" s="164"/>
    </row>
    <row r="3435" spans="1:14" ht="13.2" hidden="1">
      <c r="A3435" s="164" t="str">
        <f ca="1">IFERROR(__xludf.DUMMYFUNCTION("""COMPUTED_VALUE"""),"REGION IX")</f>
        <v>REGION IX</v>
      </c>
      <c r="B3435" s="164" t="str">
        <f ca="1">IFERROR(__xludf.DUMMYFUNCTION("""COMPUTED_VALUE"""),"Zamboanga del Sur")</f>
        <v>Zamboanga del Sur</v>
      </c>
      <c r="C3435" s="164" t="str">
        <f ca="1">IFERROR(__xludf.DUMMYFUNCTION("""COMPUTED_VALUE"""),"Motorcycle – (Honda XRL 150)")</f>
        <v>Motorcycle – (Honda XRL 150)</v>
      </c>
      <c r="D3435" s="164" t="str">
        <f ca="1">IFERROR(__xludf.DUMMYFUNCTION("""COMPUTED_VALUE"""),"₱ 124,900.00")</f>
        <v>₱ 124,900.00</v>
      </c>
      <c r="E3435" s="164" t="str">
        <f ca="1">IFERROR(__xludf.DUMMYFUNCTION("""COMPUTED_VALUE"""),"₱ -")</f>
        <v>₱ -</v>
      </c>
      <c r="F3435" s="164" t="str">
        <f ca="1">IFERROR(__xludf.DUMMYFUNCTION("""COMPUTED_VALUE"""),"2023-06-01-10202SP531-01")</f>
        <v>2023-06-01-10202SP531-01</v>
      </c>
      <c r="G3435" s="164"/>
      <c r="H3435" s="164" t="str">
        <f ca="1">IFERROR(__xludf.DUMMYFUNCTION("""COMPUTED_VALUE"""),"Jose Regner S. Coraza")</f>
        <v>Jose Regner S. Coraza</v>
      </c>
      <c r="I3435" s="164" t="str">
        <f ca="1">IFERROR(__xludf.DUMMYFUNCTION("""COMPUTED_VALUE"""),"ARPT")</f>
        <v>ARPT</v>
      </c>
      <c r="J3435" s="164" t="str">
        <f ca="1">IFERROR(__xludf.DUMMYFUNCTION("""COMPUTED_VALUE"""),"2023-06-01-10202SP531-01-ZDS")</f>
        <v>2023-06-01-10202SP531-01-ZDS</v>
      </c>
      <c r="K3435" s="164" t="str">
        <f ca="1">IFERROR(__xludf.DUMMYFUNCTION("""COMPUTED_VALUE"""),"Jose Regner S. Coraza")</f>
        <v>Jose Regner S. Coraza</v>
      </c>
      <c r="L3435" s="164" t="str">
        <f ca="1">IFERROR(__xludf.DUMMYFUNCTION("""COMPUTED_VALUE"""),"DARMO-Tukuran")</f>
        <v>DARMO-Tukuran</v>
      </c>
      <c r="M3435" s="164" t="str">
        <f ca="1">IFERROR(__xludf.DUMMYFUNCTION("""COMPUTED_VALUE"""),"SERVICEABLE")</f>
        <v>SERVICEABLE</v>
      </c>
      <c r="N3435" s="164"/>
    </row>
    <row r="3436" spans="1:14" ht="13.2" hidden="1">
      <c r="A3436" s="164" t="str">
        <f ca="1">IFERROR(__xludf.DUMMYFUNCTION("""COMPUTED_VALUE"""),"REGION IX")</f>
        <v>REGION IX</v>
      </c>
      <c r="B3436" s="164" t="str">
        <f ca="1">IFERROR(__xludf.DUMMYFUNCTION("""COMPUTED_VALUE"""),"Zamboanga del Sur")</f>
        <v>Zamboanga del Sur</v>
      </c>
      <c r="C3436" s="164" t="str">
        <f ca="1">IFERROR(__xludf.DUMMYFUNCTION("""COMPUTED_VALUE"""),"Motorcycle – (Honda XRL 150)")</f>
        <v>Motorcycle – (Honda XRL 150)</v>
      </c>
      <c r="D3436" s="164" t="str">
        <f ca="1">IFERROR(__xludf.DUMMYFUNCTION("""COMPUTED_VALUE"""),"₱ 124,900.00")</f>
        <v>₱ 124,900.00</v>
      </c>
      <c r="E3436" s="164" t="str">
        <f ca="1">IFERROR(__xludf.DUMMYFUNCTION("""COMPUTED_VALUE"""),"₱ -")</f>
        <v>₱ -</v>
      </c>
      <c r="F3436" s="164" t="str">
        <f ca="1">IFERROR(__xludf.DUMMYFUNCTION("""COMPUTED_VALUE"""),"2023-06-01-10202SP532-01")</f>
        <v>2023-06-01-10202SP532-01</v>
      </c>
      <c r="G3436" s="164"/>
      <c r="H3436" s="164" t="str">
        <f ca="1">IFERROR(__xludf.DUMMYFUNCTION("""COMPUTED_VALUE"""),"Melissa M. Batbatan")</f>
        <v>Melissa M. Batbatan</v>
      </c>
      <c r="I3436" s="164" t="str">
        <f ca="1">IFERROR(__xludf.DUMMYFUNCTION("""COMPUTED_VALUE"""),"ARPO 1")</f>
        <v>ARPO 1</v>
      </c>
      <c r="J3436" s="164" t="str">
        <f ca="1">IFERROR(__xludf.DUMMYFUNCTION("""COMPUTED_VALUE"""),"2023-06-01-10202SP532-01-ZDS")</f>
        <v>2023-06-01-10202SP532-01-ZDS</v>
      </c>
      <c r="K3436" s="164" t="str">
        <f ca="1">IFERROR(__xludf.DUMMYFUNCTION("""COMPUTED_VALUE"""),"Melissa M. Batbatan")</f>
        <v>Melissa M. Batbatan</v>
      </c>
      <c r="L3436" s="164" t="str">
        <f ca="1">IFERROR(__xludf.DUMMYFUNCTION("""COMPUTED_VALUE"""),"DARMO-Dinas")</f>
        <v>DARMO-Dinas</v>
      </c>
      <c r="M3436" s="164" t="str">
        <f ca="1">IFERROR(__xludf.DUMMYFUNCTION("""COMPUTED_VALUE"""),"SERVICEABLE")</f>
        <v>SERVICEABLE</v>
      </c>
      <c r="N3436" s="164"/>
    </row>
    <row r="3437" spans="1:14" ht="13.2" hidden="1">
      <c r="A3437" s="164" t="str">
        <f ca="1">IFERROR(__xludf.DUMMYFUNCTION("""COMPUTED_VALUE"""),"REGION IX")</f>
        <v>REGION IX</v>
      </c>
      <c r="B3437" s="164" t="str">
        <f ca="1">IFERROR(__xludf.DUMMYFUNCTION("""COMPUTED_VALUE"""),"Zamboanga del Sur")</f>
        <v>Zamboanga del Sur</v>
      </c>
      <c r="C3437" s="164" t="str">
        <f ca="1">IFERROR(__xludf.DUMMYFUNCTION("""COMPUTED_VALUE"""),"Motorcycle – (Honda XRL 150)")</f>
        <v>Motorcycle – (Honda XRL 150)</v>
      </c>
      <c r="D3437" s="164" t="str">
        <f ca="1">IFERROR(__xludf.DUMMYFUNCTION("""COMPUTED_VALUE"""),"₱ 124,900.00")</f>
        <v>₱ 124,900.00</v>
      </c>
      <c r="E3437" s="164" t="str">
        <f ca="1">IFERROR(__xludf.DUMMYFUNCTION("""COMPUTED_VALUE"""),"₱ -")</f>
        <v>₱ -</v>
      </c>
      <c r="F3437" s="164" t="str">
        <f ca="1">IFERROR(__xludf.DUMMYFUNCTION("""COMPUTED_VALUE"""),"2023-06-01-10202SP538-01")</f>
        <v>2023-06-01-10202SP538-01</v>
      </c>
      <c r="G3437" s="164"/>
      <c r="H3437" s="164" t="str">
        <f ca="1">IFERROR(__xludf.DUMMYFUNCTION("""COMPUTED_VALUE"""),"Jocelyn S. Mayol")</f>
        <v>Jocelyn S. Mayol</v>
      </c>
      <c r="I3437" s="164" t="str">
        <f ca="1">IFERROR(__xludf.DUMMYFUNCTION("""COMPUTED_VALUE"""),"Admin Aide VI")</f>
        <v>Admin Aide VI</v>
      </c>
      <c r="J3437" s="164" t="str">
        <f ca="1">IFERROR(__xludf.DUMMYFUNCTION("""COMPUTED_VALUE"""),"2023-06-01-10202SP538-01-ZDS")</f>
        <v>2023-06-01-10202SP538-01-ZDS</v>
      </c>
      <c r="K3437" s="164" t="str">
        <f ca="1">IFERROR(__xludf.DUMMYFUNCTION("""COMPUTED_VALUE"""),"Jocelyn S. Mayol")</f>
        <v>Jocelyn S. Mayol</v>
      </c>
      <c r="L3437" s="164" t="str">
        <f ca="1">IFERROR(__xludf.DUMMYFUNCTION("""COMPUTED_VALUE"""),"DARMO-Josefina")</f>
        <v>DARMO-Josefina</v>
      </c>
      <c r="M3437" s="164" t="str">
        <f ca="1">IFERROR(__xludf.DUMMYFUNCTION("""COMPUTED_VALUE"""),"SERVICEABLE")</f>
        <v>SERVICEABLE</v>
      </c>
      <c r="N3437" s="164"/>
    </row>
    <row r="3438" spans="1:14" ht="13.2" hidden="1">
      <c r="A3438" s="164" t="str">
        <f ca="1">IFERROR(__xludf.DUMMYFUNCTION("""COMPUTED_VALUE"""),"REGION IX")</f>
        <v>REGION IX</v>
      </c>
      <c r="B3438" s="164" t="str">
        <f ca="1">IFERROR(__xludf.DUMMYFUNCTION("""COMPUTED_VALUE"""),"Zamboanga del Sur")</f>
        <v>Zamboanga del Sur</v>
      </c>
      <c r="C3438" s="164" t="str">
        <f ca="1">IFERROR(__xludf.DUMMYFUNCTION("""COMPUTED_VALUE"""),"Motorcycle – (Honda XRL 150)")</f>
        <v>Motorcycle – (Honda XRL 150)</v>
      </c>
      <c r="D3438" s="164" t="str">
        <f ca="1">IFERROR(__xludf.DUMMYFUNCTION("""COMPUTED_VALUE"""),"₱ 124,900.00")</f>
        <v>₱ 124,900.00</v>
      </c>
      <c r="E3438" s="164" t="str">
        <f ca="1">IFERROR(__xludf.DUMMYFUNCTION("""COMPUTED_VALUE"""),"₱ -")</f>
        <v>₱ -</v>
      </c>
      <c r="F3438" s="164" t="str">
        <f ca="1">IFERROR(__xludf.DUMMYFUNCTION("""COMPUTED_VALUE"""),"2023-06-01-10202SP539-01")</f>
        <v>2023-06-01-10202SP539-01</v>
      </c>
      <c r="G3438" s="164"/>
      <c r="H3438" s="164" t="str">
        <f ca="1">IFERROR(__xludf.DUMMYFUNCTION("""COMPUTED_VALUE"""),"Jollybie R. Lanzado")</f>
        <v>Jollybie R. Lanzado</v>
      </c>
      <c r="I3438" s="164" t="str">
        <f ca="1">IFERROR(__xludf.DUMMYFUNCTION("""COMPUTED_VALUE"""),"ARPT")</f>
        <v>ARPT</v>
      </c>
      <c r="J3438" s="164" t="str">
        <f ca="1">IFERROR(__xludf.DUMMYFUNCTION("""COMPUTED_VALUE"""),"2023-06-01-10202SP539-01-ZDS")</f>
        <v>2023-06-01-10202SP539-01-ZDS</v>
      </c>
      <c r="K3438" s="164" t="str">
        <f ca="1">IFERROR(__xludf.DUMMYFUNCTION("""COMPUTED_VALUE"""),"Jollybie R. Lanzado")</f>
        <v>Jollybie R. Lanzado</v>
      </c>
      <c r="L3438" s="164" t="str">
        <f ca="1">IFERROR(__xludf.DUMMYFUNCTION("""COMPUTED_VALUE"""),"DARPO-LTID")</f>
        <v>DARPO-LTID</v>
      </c>
      <c r="M3438" s="164" t="str">
        <f ca="1">IFERROR(__xludf.DUMMYFUNCTION("""COMPUTED_VALUE"""),"SERVICEABLE")</f>
        <v>SERVICEABLE</v>
      </c>
      <c r="N3438" s="164"/>
    </row>
    <row r="3439" spans="1:14" ht="13.2" hidden="1">
      <c r="A3439" s="164" t="str">
        <f ca="1">IFERROR(__xludf.DUMMYFUNCTION("""COMPUTED_VALUE"""),"REGION IX")</f>
        <v>REGION IX</v>
      </c>
      <c r="B3439" s="164" t="str">
        <f ca="1">IFERROR(__xludf.DUMMYFUNCTION("""COMPUTED_VALUE"""),"Zamboanga del Sur")</f>
        <v>Zamboanga del Sur</v>
      </c>
      <c r="C3439" s="164" t="str">
        <f ca="1">IFERROR(__xludf.DUMMYFUNCTION("""COMPUTED_VALUE"""),"LAPTOP MSI KATANA")</f>
        <v>LAPTOP MSI KATANA</v>
      </c>
      <c r="D3439" s="164" t="str">
        <f ca="1">IFERROR(__xludf.DUMMYFUNCTION("""COMPUTED_VALUE"""),"₱ 142,100.00")</f>
        <v>₱ 142,100.00</v>
      </c>
      <c r="E3439" s="164"/>
      <c r="F3439" s="164" t="str">
        <f ca="1">IFERROR(__xludf.DUMMYFUNCTION("""COMPUTED_VALUE"""),"2024-05-03-10202SPO55-01")</f>
        <v>2024-05-03-10202SPO55-01</v>
      </c>
      <c r="G3439" s="164"/>
      <c r="H3439" s="164"/>
      <c r="I3439" s="164"/>
      <c r="J3439" s="164"/>
      <c r="K3439" s="164"/>
      <c r="L3439" s="164"/>
      <c r="M3439" s="164" t="str">
        <f ca="1">IFERROR(__xludf.DUMMYFUNCTION("""COMPUTED_VALUE"""),"SERVICEABLE")</f>
        <v>SERVICEABLE</v>
      </c>
      <c r="N3439" s="164"/>
    </row>
    <row r="3440" spans="1:14" ht="13.2" hidden="1">
      <c r="A3440" s="164" t="str">
        <f ca="1">IFERROR(__xludf.DUMMYFUNCTION("""COMPUTED_VALUE"""),"REGION IX")</f>
        <v>REGION IX</v>
      </c>
      <c r="B3440" s="164" t="str">
        <f ca="1">IFERROR(__xludf.DUMMYFUNCTION("""COMPUTED_VALUE"""),"Zamboanga del Sur")</f>
        <v>Zamboanga del Sur</v>
      </c>
      <c r="C3440" s="164" t="str">
        <f ca="1">IFERROR(__xludf.DUMMYFUNCTION("""COMPUTED_VALUE"""),"LAPTOP MSI KATANA")</f>
        <v>LAPTOP MSI KATANA</v>
      </c>
      <c r="D3440" s="164" t="str">
        <f ca="1">IFERROR(__xludf.DUMMYFUNCTION("""COMPUTED_VALUE"""),"₱ 142,100.00")</f>
        <v>₱ 142,100.00</v>
      </c>
      <c r="E3440" s="164"/>
      <c r="F3440" s="164" t="str">
        <f ca="1">IFERROR(__xludf.DUMMYFUNCTION("""COMPUTED_VALUE"""),"2024-05-03-10202SPO72-01")</f>
        <v>2024-05-03-10202SPO72-01</v>
      </c>
      <c r="G3440" s="164"/>
      <c r="H3440" s="164"/>
      <c r="I3440" s="164"/>
      <c r="J3440" s="164"/>
      <c r="K3440" s="164"/>
      <c r="L3440" s="164"/>
      <c r="M3440" s="164" t="str">
        <f ca="1">IFERROR(__xludf.DUMMYFUNCTION("""COMPUTED_VALUE"""),"SERVICEABLE")</f>
        <v>SERVICEABLE</v>
      </c>
      <c r="N3440" s="164"/>
    </row>
    <row r="3441" spans="1:14" ht="13.2" hidden="1">
      <c r="A3441" s="164" t="str">
        <f ca="1">IFERROR(__xludf.DUMMYFUNCTION("""COMPUTED_VALUE"""),"Region X")</f>
        <v>Region X</v>
      </c>
      <c r="B3441" s="164" t="str">
        <f ca="1">IFERROR(__xludf.DUMMYFUNCTION("""COMPUTED_VALUE"""),"REGIONAL OFFICE")</f>
        <v>REGIONAL OFFICE</v>
      </c>
      <c r="C3441" s="164" t="str">
        <f ca="1">IFERROR(__xludf.DUMMYFUNCTION("""COMPUTED_VALUE"""),"Laptop – (ACER EXTENSA EX215-55G i7)")</f>
        <v>Laptop – (ACER EXTENSA EX215-55G i7)</v>
      </c>
      <c r="D3441" s="164" t="str">
        <f ca="1">IFERROR(__xludf.DUMMYFUNCTION("""COMPUTED_VALUE"""),"₱ 59,500.00")</f>
        <v>₱ 59,500.00</v>
      </c>
      <c r="E3441" s="164" t="str">
        <f ca="1">IFERROR(__xludf.DUMMYFUNCTION("""COMPUTED_VALUE"""),"₱ -")</f>
        <v>₱ -</v>
      </c>
      <c r="F3441" s="164" t="str">
        <f ca="1">IFERROR(__xludf.DUMMYFUNCTION("""COMPUTED_VALUE"""),"2023-05-03-1020SP72-01")</f>
        <v>2023-05-03-1020SP72-01</v>
      </c>
      <c r="G3441" s="164"/>
      <c r="H3441" s="164" t="str">
        <f ca="1">IFERROR(__xludf.DUMMYFUNCTION("""COMPUTED_VALUE"""),"JOCELYN A. CHUA")</f>
        <v>JOCELYN A. CHUA</v>
      </c>
      <c r="I3441" s="164" t="str">
        <f ca="1">IFERROR(__xludf.DUMMYFUNCTION("""COMPUTED_VALUE"""),"REGIONAL INFORMATION OFFICER")</f>
        <v>REGIONAL INFORMATION OFFICER</v>
      </c>
      <c r="J3441" s="164" t="str">
        <f ca="1">IFERROR(__xludf.DUMMYFUNCTION("""COMPUTED_VALUE"""),"2023-001")</f>
        <v>2023-001</v>
      </c>
      <c r="K3441" s="164" t="str">
        <f ca="1">IFERROR(__xludf.DUMMYFUNCTION("""COMPUTED_VALUE"""),"JOCELYN A. CHUA")</f>
        <v>JOCELYN A. CHUA</v>
      </c>
      <c r="L3441" s="164" t="str">
        <f ca="1">IFERROR(__xludf.DUMMYFUNCTION("""COMPUTED_VALUE"""),"DAR REGIONAL OFFICEX")</f>
        <v>DAR REGIONAL OFFICEX</v>
      </c>
      <c r="M3441" s="164" t="str">
        <f ca="1">IFERROR(__xludf.DUMMYFUNCTION("""COMPUTED_VALUE"""),"SERVICEABLE")</f>
        <v>SERVICEABLE</v>
      </c>
      <c r="N3441" s="164"/>
    </row>
    <row r="3442" spans="1:14" ht="13.2" hidden="1">
      <c r="A3442" s="164" t="str">
        <f ca="1">IFERROR(__xludf.DUMMYFUNCTION("""COMPUTED_VALUE"""),"Region X")</f>
        <v>Region X</v>
      </c>
      <c r="B3442" s="164" t="str">
        <f ca="1">IFERROR(__xludf.DUMMYFUNCTION("""COMPUTED_VALUE"""),"REGIONAL OFFICE")</f>
        <v>REGIONAL OFFICE</v>
      </c>
      <c r="C3442" s="164" t="str">
        <f ca="1">IFERROR(__xludf.DUMMYFUNCTION("""COMPUTED_VALUE"""),"Laptop – (ACER EXTENSA EX215-55G i7)")</f>
        <v>Laptop – (ACER EXTENSA EX215-55G i7)</v>
      </c>
      <c r="D3442" s="164" t="str">
        <f ca="1">IFERROR(__xludf.DUMMYFUNCTION("""COMPUTED_VALUE"""),"₱ 59,500.00")</f>
        <v>₱ 59,500.00</v>
      </c>
      <c r="E3442" s="164" t="str">
        <f ca="1">IFERROR(__xludf.DUMMYFUNCTION("""COMPUTED_VALUE"""),"₱ -")</f>
        <v>₱ -</v>
      </c>
      <c r="F3442" s="164" t="str">
        <f ca="1">IFERROR(__xludf.DUMMYFUNCTION("""COMPUTED_VALUE"""),"2023-05-03-10201SP178-01")</f>
        <v>2023-05-03-10201SP178-01</v>
      </c>
      <c r="G3442" s="164"/>
      <c r="H3442" s="164" t="str">
        <f ca="1">IFERROR(__xludf.DUMMYFUNCTION("""COMPUTED_VALUE"""),"REMIA M. BUGAHOD")</f>
        <v>REMIA M. BUGAHOD</v>
      </c>
      <c r="I3442" s="164" t="str">
        <f ca="1">IFERROR(__xludf.DUMMYFUNCTION("""COMPUTED_VALUE"""),"PARCELIZATION COMPONENT AND FIELD VALIDATION TEAM COORDINATOR/ CARPO, LTSP")</f>
        <v>PARCELIZATION COMPONENT AND FIELD VALIDATION TEAM COORDINATOR/ CARPO, LTSP</v>
      </c>
      <c r="J3442" s="164" t="str">
        <f ca="1">IFERROR(__xludf.DUMMYFUNCTION("""COMPUTED_VALUE"""),"2023-001")</f>
        <v>2023-001</v>
      </c>
      <c r="K3442" s="164" t="str">
        <f ca="1">IFERROR(__xludf.DUMMYFUNCTION("""COMPUTED_VALUE"""),"RICHARD TANILON")</f>
        <v>RICHARD TANILON</v>
      </c>
      <c r="L3442" s="164" t="str">
        <f ca="1">IFERROR(__xludf.DUMMYFUNCTION("""COMPUTED_VALUE"""),"DAR REGIONAL OFFICEX")</f>
        <v>DAR REGIONAL OFFICEX</v>
      </c>
      <c r="M3442" s="164" t="str">
        <f ca="1">IFERROR(__xludf.DUMMYFUNCTION("""COMPUTED_VALUE"""),"SERVICEABLE")</f>
        <v>SERVICEABLE</v>
      </c>
      <c r="N3442" s="164"/>
    </row>
    <row r="3443" spans="1:14" ht="13.2" hidden="1">
      <c r="A3443" s="164" t="str">
        <f ca="1">IFERROR(__xludf.DUMMYFUNCTION("""COMPUTED_VALUE"""),"Region X")</f>
        <v>Region X</v>
      </c>
      <c r="B3443" s="164" t="str">
        <f ca="1">IFERROR(__xludf.DUMMYFUNCTION("""COMPUTED_VALUE"""),"REGIONAL OFFICE")</f>
        <v>REGIONAL OFFICE</v>
      </c>
      <c r="C3443" s="164" t="str">
        <f ca="1">IFERROR(__xludf.DUMMYFUNCTION("""COMPUTED_VALUE"""),"Laptop – (ACER EXTENSA EX215-55G i7)")</f>
        <v>Laptop – (ACER EXTENSA EX215-55G i7)</v>
      </c>
      <c r="D3443" s="164" t="str">
        <f ca="1">IFERROR(__xludf.DUMMYFUNCTION("""COMPUTED_VALUE"""),"₱ 59,500.00")</f>
        <v>₱ 59,500.00</v>
      </c>
      <c r="E3443" s="164" t="str">
        <f ca="1">IFERROR(__xludf.DUMMYFUNCTION("""COMPUTED_VALUE"""),"₱ -")</f>
        <v>₱ -</v>
      </c>
      <c r="F3443" s="164" t="str">
        <f ca="1">IFERROR(__xludf.DUMMYFUNCTION("""COMPUTED_VALUE"""),"2023-05-03-10201SP179-01")</f>
        <v>2023-05-03-10201SP179-01</v>
      </c>
      <c r="G3443" s="164"/>
      <c r="H3443" s="164" t="str">
        <f ca="1">IFERROR(__xludf.DUMMYFUNCTION("""COMPUTED_VALUE"""),"VLADIMIR ALFID B. FABE")</f>
        <v>VLADIMIR ALFID B. FABE</v>
      </c>
      <c r="I3443" s="164"/>
      <c r="J3443" s="164" t="str">
        <f ca="1">IFERROR(__xludf.DUMMYFUNCTION("""COMPUTED_VALUE"""),"2023-002")</f>
        <v>2023-002</v>
      </c>
      <c r="K3443" s="164" t="str">
        <f ca="1">IFERROR(__xludf.DUMMYFUNCTION("""COMPUTED_VALUE"""),"VLADIMIR ALFID B. FABE")</f>
        <v>VLADIMIR ALFID B. FABE</v>
      </c>
      <c r="L3443" s="164"/>
      <c r="M3443" s="164" t="str">
        <f ca="1">IFERROR(__xludf.DUMMYFUNCTION("""COMPUTED_VALUE"""),"SERVICEABLE")</f>
        <v>SERVICEABLE</v>
      </c>
      <c r="N3443" s="164"/>
    </row>
    <row r="3444" spans="1:14" ht="13.2" hidden="1">
      <c r="A3444" s="164" t="str">
        <f ca="1">IFERROR(__xludf.DUMMYFUNCTION("""COMPUTED_VALUE"""),"Region X")</f>
        <v>Region X</v>
      </c>
      <c r="B3444" s="164" t="str">
        <f ca="1">IFERROR(__xludf.DUMMYFUNCTION("""COMPUTED_VALUE"""),"REGIONAL OFFICE")</f>
        <v>REGIONAL OFFICE</v>
      </c>
      <c r="C3444" s="164" t="str">
        <f ca="1">IFERROR(__xludf.DUMMYFUNCTION("""COMPUTED_VALUE"""),"Laptop – (ACER EXTENSA EX215-55G i7)")</f>
        <v>Laptop – (ACER EXTENSA EX215-55G i7)</v>
      </c>
      <c r="D3444" s="164" t="str">
        <f ca="1">IFERROR(__xludf.DUMMYFUNCTION("""COMPUTED_VALUE"""),"₱ 59,500.00")</f>
        <v>₱ 59,500.00</v>
      </c>
      <c r="E3444" s="164" t="str">
        <f ca="1">IFERROR(__xludf.DUMMYFUNCTION("""COMPUTED_VALUE"""),"₱ -")</f>
        <v>₱ -</v>
      </c>
      <c r="F3444" s="164" t="str">
        <f ca="1">IFERROR(__xludf.DUMMYFUNCTION("""COMPUTED_VALUE"""),"2023-05-03-10201SP180-01")</f>
        <v>2023-05-03-10201SP180-01</v>
      </c>
      <c r="G3444" s="164"/>
      <c r="H3444" s="164" t="str">
        <f ca="1">IFERROR(__xludf.DUMMYFUNCTION("""COMPUTED_VALUE"""),"MAYBELLE T. ALCALA")</f>
        <v>MAYBELLE T. ALCALA</v>
      </c>
      <c r="I3444" s="164" t="str">
        <f ca="1">IFERROR(__xludf.DUMMYFUNCTION("""COMPUTED_VALUE"""),"TECHNICAL STAFF 1 - CBTA FOR IMPLEMENTERS/ESS/ PARO I")</f>
        <v>TECHNICAL STAFF 1 - CBTA FOR IMPLEMENTERS/ESS/ PARO I</v>
      </c>
      <c r="J3444" s="164" t="str">
        <f ca="1">IFERROR(__xludf.DUMMYFUNCTION("""COMPUTED_VALUE"""),"2023-004")</f>
        <v>2023-004</v>
      </c>
      <c r="K3444" s="164" t="str">
        <f ca="1">IFERROR(__xludf.DUMMYFUNCTION("""COMPUTED_VALUE"""),"JUSTINE ENILEE A
 TABOTABO")</f>
        <v>JUSTINE ENILEE A
 TABOTABO</v>
      </c>
      <c r="L3444" s="164" t="str">
        <f ca="1">IFERROR(__xludf.DUMMYFUNCTION("""COMPUTED_VALUE"""),"DAR REGIONAL OFFICEX")</f>
        <v>DAR REGIONAL OFFICEX</v>
      </c>
      <c r="M3444" s="164" t="str">
        <f ca="1">IFERROR(__xludf.DUMMYFUNCTION("""COMPUTED_VALUE"""),"SERVICEABLE")</f>
        <v>SERVICEABLE</v>
      </c>
      <c r="N3444" s="164"/>
    </row>
    <row r="3445" spans="1:14" ht="13.2" hidden="1">
      <c r="A3445" s="164" t="str">
        <f ca="1">IFERROR(__xludf.DUMMYFUNCTION("""COMPUTED_VALUE"""),"Region X")</f>
        <v>Region X</v>
      </c>
      <c r="B3445" s="164" t="str">
        <f ca="1">IFERROR(__xludf.DUMMYFUNCTION("""COMPUTED_VALUE"""),"REGIONAL OFFICE")</f>
        <v>REGIONAL OFFICE</v>
      </c>
      <c r="C3445" s="164" t="str">
        <f ca="1">IFERROR(__xludf.DUMMYFUNCTION("""COMPUTED_VALUE"""),"Laptop – (ACER EXTENSA EX215-55G i7)")</f>
        <v>Laptop – (ACER EXTENSA EX215-55G i7)</v>
      </c>
      <c r="D3445" s="164" t="str">
        <f ca="1">IFERROR(__xludf.DUMMYFUNCTION("""COMPUTED_VALUE"""),"₱ 59,500.00")</f>
        <v>₱ 59,500.00</v>
      </c>
      <c r="E3445" s="164" t="str">
        <f ca="1">IFERROR(__xludf.DUMMYFUNCTION("""COMPUTED_VALUE"""),"₱ -")</f>
        <v>₱ -</v>
      </c>
      <c r="F3445" s="164" t="str">
        <f ca="1">IFERROR(__xludf.DUMMYFUNCTION("""COMPUTED_VALUE"""),"2023-05-03-10201SP181-01")</f>
        <v>2023-05-03-10201SP181-01</v>
      </c>
      <c r="G3445" s="164"/>
      <c r="H3445" s="164" t="str">
        <f ca="1">IFERROR(__xludf.DUMMYFUNCTION("""COMPUTED_VALUE"""),"VLADIMIR ALFID B. FABE")</f>
        <v>VLADIMIR ALFID B. FABE</v>
      </c>
      <c r="I3445" s="164"/>
      <c r="J3445" s="164" t="str">
        <f ca="1">IFERROR(__xludf.DUMMYFUNCTION("""COMPUTED_VALUE"""),"2023-003")</f>
        <v>2023-003</v>
      </c>
      <c r="K3445" s="164" t="str">
        <f ca="1">IFERROR(__xludf.DUMMYFUNCTION("""COMPUTED_VALUE"""),"VLADIMIR ALFID B. FABE")</f>
        <v>VLADIMIR ALFID B. FABE</v>
      </c>
      <c r="L3445" s="164"/>
      <c r="M3445" s="164" t="str">
        <f ca="1">IFERROR(__xludf.DUMMYFUNCTION("""COMPUTED_VALUE"""),"SERVICEABLE")</f>
        <v>SERVICEABLE</v>
      </c>
      <c r="N3445" s="164"/>
    </row>
    <row r="3446" spans="1:14" ht="13.2" hidden="1">
      <c r="A3446" s="164" t="str">
        <f ca="1">IFERROR(__xludf.DUMMYFUNCTION("""COMPUTED_VALUE"""),"Region X")</f>
        <v>Region X</v>
      </c>
      <c r="B3446" s="164" t="str">
        <f ca="1">IFERROR(__xludf.DUMMYFUNCTION("""COMPUTED_VALUE"""),"REGIONAL OFFICE")</f>
        <v>REGIONAL OFFICE</v>
      </c>
      <c r="C3446" s="164" t="str">
        <f ca="1">IFERROR(__xludf.DUMMYFUNCTION("""COMPUTED_VALUE"""),"Laptop – (ACER EXTENSA EX215-55G i7)")</f>
        <v>Laptop – (ACER EXTENSA EX215-55G i7)</v>
      </c>
      <c r="D3446" s="164" t="str">
        <f ca="1">IFERROR(__xludf.DUMMYFUNCTION("""COMPUTED_VALUE"""),"₱ 59,500.00")</f>
        <v>₱ 59,500.00</v>
      </c>
      <c r="E3446" s="164" t="str">
        <f ca="1">IFERROR(__xludf.DUMMYFUNCTION("""COMPUTED_VALUE"""),"₱ -")</f>
        <v>₱ -</v>
      </c>
      <c r="F3446" s="164" t="str">
        <f ca="1">IFERROR(__xludf.DUMMYFUNCTION("""COMPUTED_VALUE"""),"2023-05-03-10201SP182-01")</f>
        <v>2023-05-03-10201SP182-01</v>
      </c>
      <c r="G3446" s="164"/>
      <c r="H3446" s="164" t="str">
        <f ca="1">IFERROR(__xludf.DUMMYFUNCTION("""COMPUTED_VALUE"""),"VIOLETA G. CAJES")</f>
        <v>VIOLETA G. CAJES</v>
      </c>
      <c r="I3446" s="164" t="str">
        <f ca="1">IFERROR(__xludf.DUMMYFUNCTION("""COMPUTED_VALUE"""),"M/E COORDINATOR/ POV")</f>
        <v>M/E COORDINATOR/ POV</v>
      </c>
      <c r="J3446" s="164" t="str">
        <f ca="1">IFERROR(__xludf.DUMMYFUNCTION("""COMPUTED_VALUE"""),"2023-005")</f>
        <v>2023-005</v>
      </c>
      <c r="K3446" s="164" t="str">
        <f ca="1">IFERROR(__xludf.DUMMYFUNCTION("""COMPUTED_VALUE"""),"JOCELYN BONJOC")</f>
        <v>JOCELYN BONJOC</v>
      </c>
      <c r="L3446" s="164" t="str">
        <f ca="1">IFERROR(__xludf.DUMMYFUNCTION("""COMPUTED_VALUE"""),"DAR REGIONAL OFFICEX")</f>
        <v>DAR REGIONAL OFFICEX</v>
      </c>
      <c r="M3446" s="164" t="str">
        <f ca="1">IFERROR(__xludf.DUMMYFUNCTION("""COMPUTED_VALUE"""),"SERVICEABLE")</f>
        <v>SERVICEABLE</v>
      </c>
      <c r="N3446" s="164"/>
    </row>
    <row r="3447" spans="1:14" ht="13.2" hidden="1">
      <c r="A3447" s="164" t="str">
        <f ca="1">IFERROR(__xludf.DUMMYFUNCTION("""COMPUTED_VALUE"""),"Region X")</f>
        <v>Region X</v>
      </c>
      <c r="B3447" s="164" t="str">
        <f ca="1">IFERROR(__xludf.DUMMYFUNCTION("""COMPUTED_VALUE"""),"REGIONAL OFFICE")</f>
        <v>REGIONAL OFFICE</v>
      </c>
      <c r="C3447" s="164" t="str">
        <f ca="1">IFERROR(__xludf.DUMMYFUNCTION("""COMPUTED_VALUE"""),"Laptop – (ACER EXTENSA EX215-55G i7)")</f>
        <v>Laptop – (ACER EXTENSA EX215-55G i7)</v>
      </c>
      <c r="D3447" s="164" t="str">
        <f ca="1">IFERROR(__xludf.DUMMYFUNCTION("""COMPUTED_VALUE"""),"₱ 59,500.00")</f>
        <v>₱ 59,500.00</v>
      </c>
      <c r="E3447" s="164" t="str">
        <f ca="1">IFERROR(__xludf.DUMMYFUNCTION("""COMPUTED_VALUE"""),"₱ -")</f>
        <v>₱ -</v>
      </c>
      <c r="F3447" s="164" t="str">
        <f ca="1">IFERROR(__xludf.DUMMYFUNCTION("""COMPUTED_VALUE"""),"2023-05-03-10201SP183-01")</f>
        <v>2023-05-03-10201SP183-01</v>
      </c>
      <c r="G3447" s="164"/>
      <c r="H3447" s="164" t="str">
        <f ca="1">IFERROR(__xludf.DUMMYFUNCTION("""COMPUTED_VALUE"""),"ATTY. STEPHANIE D. CABRERA")</f>
        <v>ATTY. STEPHANIE D. CABRERA</v>
      </c>
      <c r="I3447" s="164" t="str">
        <f ca="1">IFERROR(__xludf.DUMMYFUNCTION("""COMPUTED_VALUE"""),"LEGAL COORDINATOR/TA V")</f>
        <v>LEGAL COORDINATOR/TA V</v>
      </c>
      <c r="J3447" s="164" t="str">
        <f ca="1">IFERROR(__xludf.DUMMYFUNCTION("""COMPUTED_VALUE"""),"2023-006")</f>
        <v>2023-006</v>
      </c>
      <c r="K3447" s="164" t="str">
        <f ca="1">IFERROR(__xludf.DUMMYFUNCTION("""COMPUTED_VALUE"""),"MARIALYN C. AMPLAYO")</f>
        <v>MARIALYN C. AMPLAYO</v>
      </c>
      <c r="L3447" s="164" t="str">
        <f ca="1">IFERROR(__xludf.DUMMYFUNCTION("""COMPUTED_VALUE"""),"DAR REGIONAL OFFICEX")</f>
        <v>DAR REGIONAL OFFICEX</v>
      </c>
      <c r="M3447" s="164" t="str">
        <f ca="1">IFERROR(__xludf.DUMMYFUNCTION("""COMPUTED_VALUE"""),"SERVICEABLE")</f>
        <v>SERVICEABLE</v>
      </c>
      <c r="N3447" s="164"/>
    </row>
    <row r="3448" spans="1:14" ht="13.2" hidden="1">
      <c r="A3448" s="164" t="str">
        <f ca="1">IFERROR(__xludf.DUMMYFUNCTION("""COMPUTED_VALUE"""),"Region X")</f>
        <v>Region X</v>
      </c>
      <c r="B3448" s="164" t="str">
        <f ca="1">IFERROR(__xludf.DUMMYFUNCTION("""COMPUTED_VALUE"""),"REGIONAL OFFICE")</f>
        <v>REGIONAL OFFICE</v>
      </c>
      <c r="C3448" s="164" t="str">
        <f ca="1">IFERROR(__xludf.DUMMYFUNCTION("""COMPUTED_VALUE"""),"Laptop – (ACER EXTENSA EX215-55G i7)")</f>
        <v>Laptop – (ACER EXTENSA EX215-55G i7)</v>
      </c>
      <c r="D3448" s="164" t="str">
        <f ca="1">IFERROR(__xludf.DUMMYFUNCTION("""COMPUTED_VALUE"""),"₱ 59,500.00")</f>
        <v>₱ 59,500.00</v>
      </c>
      <c r="E3448" s="164" t="str">
        <f ca="1">IFERROR(__xludf.DUMMYFUNCTION("""COMPUTED_VALUE"""),"₱ -")</f>
        <v>₱ -</v>
      </c>
      <c r="F3448" s="164" t="str">
        <f ca="1">IFERROR(__xludf.DUMMYFUNCTION("""COMPUTED_VALUE"""),"2023-05-03-10201SP177-01")</f>
        <v>2023-05-03-10201SP177-01</v>
      </c>
      <c r="G3448" s="164"/>
      <c r="H3448" s="164" t="str">
        <f ca="1">IFERROR(__xludf.DUMMYFUNCTION("""COMPUTED_VALUE"""),"VIOLETA G. CAJES")</f>
        <v>VIOLETA G. CAJES</v>
      </c>
      <c r="I3448" s="164" t="str">
        <f ca="1">IFERROR(__xludf.DUMMYFUNCTION("""COMPUTED_VALUE"""),"M/E COORDINATOR/ POV")</f>
        <v>M/E COORDINATOR/ POV</v>
      </c>
      <c r="J3448" s="164" t="str">
        <f ca="1">IFERROR(__xludf.DUMMYFUNCTION("""COMPUTED_VALUE"""),"2023-007")</f>
        <v>2023-007</v>
      </c>
      <c r="K3448" s="164" t="str">
        <f ca="1">IFERROR(__xludf.DUMMYFUNCTION("""COMPUTED_VALUE"""),"VIOLETA G. CAJES")</f>
        <v>VIOLETA G. CAJES</v>
      </c>
      <c r="L3448" s="164" t="str">
        <f ca="1">IFERROR(__xludf.DUMMYFUNCTION("""COMPUTED_VALUE"""),"DAR REGIONAL OFFICEX")</f>
        <v>DAR REGIONAL OFFICEX</v>
      </c>
      <c r="M3448" s="164" t="str">
        <f ca="1">IFERROR(__xludf.DUMMYFUNCTION("""COMPUTED_VALUE"""),"SERVICEABLE")</f>
        <v>SERVICEABLE</v>
      </c>
      <c r="N3448" s="164"/>
    </row>
    <row r="3449" spans="1:14" ht="13.2" hidden="1">
      <c r="A3449" s="164" t="str">
        <f ca="1">IFERROR(__xludf.DUMMYFUNCTION("""COMPUTED_VALUE"""),"Region X")</f>
        <v>Region X</v>
      </c>
      <c r="B3449" s="164" t="str">
        <f ca="1">IFERROR(__xludf.DUMMYFUNCTION("""COMPUTED_VALUE"""),"REGIONAL OFFICE")</f>
        <v>REGIONAL OFFICE</v>
      </c>
      <c r="C3449" s="164" t="str">
        <f ca="1">IFERROR(__xludf.DUMMYFUNCTION("""COMPUTED_VALUE"""),"Desktop Computer – (Lenovo M70T)")</f>
        <v>Desktop Computer – (Lenovo M70T)</v>
      </c>
      <c r="D3449" s="164" t="str">
        <f ca="1">IFERROR(__xludf.DUMMYFUNCTION("""COMPUTED_VALUE"""),"₱ 75,468.00")</f>
        <v>₱ 75,468.00</v>
      </c>
      <c r="E3449" s="164" t="str">
        <f ca="1">IFERROR(__xludf.DUMMYFUNCTION("""COMPUTED_VALUE"""),"₱ -")</f>
        <v>₱ -</v>
      </c>
      <c r="F3449" s="164" t="str">
        <f ca="1">IFERROR(__xludf.DUMMYFUNCTION("""COMPUTED_VALUE"""),"2023-05-03-10201SP1541-01")</f>
        <v>2023-05-03-10201SP1541-01</v>
      </c>
      <c r="G3449" s="164"/>
      <c r="H3449" s="164" t="str">
        <f ca="1">IFERROR(__xludf.DUMMYFUNCTION("""COMPUTED_VALUE"""),"ZORAIDA 0. MACADINDANG, AL- HADJ, JD")</f>
        <v>ZORAIDA 0. MACADINDANG, AL- HADJ, JD</v>
      </c>
      <c r="I3449" s="164" t="str">
        <f ca="1">IFERROR(__xludf.DUMMYFUNCTION("""COMPUTED_VALUE"""),"REGIONAL DIRECTOR/ PROJECT MANAGER")</f>
        <v>REGIONAL DIRECTOR/ PROJECT MANAGER</v>
      </c>
      <c r="J3449" s="164" t="str">
        <f ca="1">IFERROR(__xludf.DUMMYFUNCTION("""COMPUTED_VALUE"""),"2023-001")</f>
        <v>2023-001</v>
      </c>
      <c r="K3449" s="164" t="str">
        <f ca="1">IFERROR(__xludf.DUMMYFUNCTION("""COMPUTED_VALUE"""),"ZORAIDA 0.
 MACADINDANG, AL-HADJ, JD")</f>
        <v>ZORAIDA 0.
 MACADINDANG, AL-HADJ, JD</v>
      </c>
      <c r="L3449" s="164" t="str">
        <f ca="1">IFERROR(__xludf.DUMMYFUNCTION("""COMPUTED_VALUE"""),"DAR REGIONAL OFFICEX")</f>
        <v>DAR REGIONAL OFFICEX</v>
      </c>
      <c r="M3449" s="164" t="str">
        <f ca="1">IFERROR(__xludf.DUMMYFUNCTION("""COMPUTED_VALUE"""),"SERVICEABLE")</f>
        <v>SERVICEABLE</v>
      </c>
      <c r="N3449" s="164"/>
    </row>
    <row r="3450" spans="1:14" ht="13.2" hidden="1">
      <c r="A3450" s="164" t="str">
        <f ca="1">IFERROR(__xludf.DUMMYFUNCTION("""COMPUTED_VALUE"""),"Region X")</f>
        <v>Region X</v>
      </c>
      <c r="B3450" s="164" t="str">
        <f ca="1">IFERROR(__xludf.DUMMYFUNCTION("""COMPUTED_VALUE"""),"REGIONAL OFFICE")</f>
        <v>REGIONAL OFFICE</v>
      </c>
      <c r="C3450" s="164" t="str">
        <f ca="1">IFERROR(__xludf.DUMMYFUNCTION("""COMPUTED_VALUE"""),"Desktop Computer – (Lenovo M70T)")</f>
        <v>Desktop Computer – (Lenovo M70T)</v>
      </c>
      <c r="D3450" s="164" t="str">
        <f ca="1">IFERROR(__xludf.DUMMYFUNCTION("""COMPUTED_VALUE"""),"₱ 75,468.00")</f>
        <v>₱ 75,468.00</v>
      </c>
      <c r="E3450" s="164" t="str">
        <f ca="1">IFERROR(__xludf.DUMMYFUNCTION("""COMPUTED_VALUE"""),"₱ -")</f>
        <v>₱ -</v>
      </c>
      <c r="F3450" s="164" t="str">
        <f ca="1">IFERROR(__xludf.DUMMYFUNCTION("""COMPUTED_VALUE"""),"2023-05-03-10201SP1549-01")</f>
        <v>2023-05-03-10201SP1549-01</v>
      </c>
      <c r="G3450" s="164"/>
      <c r="H3450" s="164" t="str">
        <f ca="1">IFERROR(__xludf.DUMMYFUNCTION("""COMPUTED_VALUE"""),"ATTY. NOEL P. CARREON")</f>
        <v>ATTY. NOEL P. CARREON</v>
      </c>
      <c r="I3450" s="164" t="str">
        <f ca="1">IFERROR(__xludf.DUMMYFUNCTION("""COMPUTED_VALUE"""),"GRIEVANCE REDRESS MECHANISM (GRM)
 COORDINATOR/ RARAD")</f>
        <v>GRIEVANCE REDRESS MECHANISM (GRM)
 COORDINATOR/ RARAD</v>
      </c>
      <c r="J3450" s="164" t="str">
        <f ca="1">IFERROR(__xludf.DUMMYFUNCTION("""COMPUTED_VALUE"""),"2023-002")</f>
        <v>2023-002</v>
      </c>
      <c r="K3450" s="164" t="str">
        <f ca="1">IFERROR(__xludf.DUMMYFUNCTION("""COMPUTED_VALUE"""),"ATTY. NOEL P. CARREON")</f>
        <v>ATTY. NOEL P. CARREON</v>
      </c>
      <c r="L3450" s="164" t="str">
        <f ca="1">IFERROR(__xludf.DUMMYFUNCTION("""COMPUTED_VALUE"""),"DAR REGIONAL OFFICEX")</f>
        <v>DAR REGIONAL OFFICEX</v>
      </c>
      <c r="M3450" s="164" t="str">
        <f ca="1">IFERROR(__xludf.DUMMYFUNCTION("""COMPUTED_VALUE"""),"SERVICEABLE")</f>
        <v>SERVICEABLE</v>
      </c>
      <c r="N3450" s="164"/>
    </row>
    <row r="3451" spans="1:14" ht="13.2" hidden="1">
      <c r="A3451" s="164" t="str">
        <f ca="1">IFERROR(__xludf.DUMMYFUNCTION("""COMPUTED_VALUE"""),"Region X")</f>
        <v>Region X</v>
      </c>
      <c r="B3451" s="164" t="str">
        <f ca="1">IFERROR(__xludf.DUMMYFUNCTION("""COMPUTED_VALUE"""),"REGIONAL OFFICE")</f>
        <v>REGIONAL OFFICE</v>
      </c>
      <c r="C3451" s="164" t="str">
        <f ca="1">IFERROR(__xludf.DUMMYFUNCTION("""COMPUTED_VALUE"""),"Desktop Computer – (Lenovo M70T)")</f>
        <v>Desktop Computer – (Lenovo M70T)</v>
      </c>
      <c r="D3451" s="164" t="str">
        <f ca="1">IFERROR(__xludf.DUMMYFUNCTION("""COMPUTED_VALUE"""),"₱ 75,468.00")</f>
        <v>₱ 75,468.00</v>
      </c>
      <c r="E3451" s="164" t="str">
        <f ca="1">IFERROR(__xludf.DUMMYFUNCTION("""COMPUTED_VALUE"""),"₱ -")</f>
        <v>₱ -</v>
      </c>
      <c r="F3451" s="164" t="str">
        <f ca="1">IFERROR(__xludf.DUMMYFUNCTION("""COMPUTED_VALUE"""),"2023-05-03-10201SP1564-01")</f>
        <v>2023-05-03-10201SP1564-01</v>
      </c>
      <c r="G3451" s="164"/>
      <c r="H3451" s="164" t="str">
        <f ca="1">IFERROR(__xludf.DUMMYFUNCTION("""COMPUTED_VALUE"""),"ATTY. NOEL P. CARREON")</f>
        <v>ATTY. NOEL P. CARREON</v>
      </c>
      <c r="I3451" s="164" t="str">
        <f ca="1">IFERROR(__xludf.DUMMYFUNCTION("""COMPUTED_VALUE"""),"GRIEVANCE REDRESS MECHANISM (GRM)
 COORDINATOR/ RARAD")</f>
        <v>GRIEVANCE REDRESS MECHANISM (GRM)
 COORDINATOR/ RARAD</v>
      </c>
      <c r="J3451" s="164" t="str">
        <f ca="1">IFERROR(__xludf.DUMMYFUNCTION("""COMPUTED_VALUE"""),"2023-003")</f>
        <v>2023-003</v>
      </c>
      <c r="K3451" s="164" t="str">
        <f ca="1">IFERROR(__xludf.DUMMYFUNCTION("""COMPUTED_VALUE"""),"ATTY. NOEL P. CARREON")</f>
        <v>ATTY. NOEL P. CARREON</v>
      </c>
      <c r="L3451" s="164" t="str">
        <f ca="1">IFERROR(__xludf.DUMMYFUNCTION("""COMPUTED_VALUE"""),"DAR REGIONAL OFFICEX")</f>
        <v>DAR REGIONAL OFFICEX</v>
      </c>
      <c r="M3451" s="164" t="str">
        <f ca="1">IFERROR(__xludf.DUMMYFUNCTION("""COMPUTED_VALUE"""),"SERVICEABLE")</f>
        <v>SERVICEABLE</v>
      </c>
      <c r="N3451" s="164"/>
    </row>
    <row r="3452" spans="1:14" ht="13.2" hidden="1">
      <c r="A3452" s="164" t="str">
        <f ca="1">IFERROR(__xludf.DUMMYFUNCTION("""COMPUTED_VALUE"""),"Region X")</f>
        <v>Region X</v>
      </c>
      <c r="B3452" s="164" t="str">
        <f ca="1">IFERROR(__xludf.DUMMYFUNCTION("""COMPUTED_VALUE"""),"REGIONAL OFFICE")</f>
        <v>REGIONAL OFFICE</v>
      </c>
      <c r="C3452" s="164" t="str">
        <f ca="1">IFERROR(__xludf.DUMMYFUNCTION("""COMPUTED_VALUE"""),"Desktop Computer – (Lenovo M70T)")</f>
        <v>Desktop Computer – (Lenovo M70T)</v>
      </c>
      <c r="D3452" s="164" t="str">
        <f ca="1">IFERROR(__xludf.DUMMYFUNCTION("""COMPUTED_VALUE"""),"₱ 75,468.00")</f>
        <v>₱ 75,468.00</v>
      </c>
      <c r="E3452" s="164" t="str">
        <f ca="1">IFERROR(__xludf.DUMMYFUNCTION("""COMPUTED_VALUE"""),"₱ -")</f>
        <v>₱ -</v>
      </c>
      <c r="F3452" s="164" t="str">
        <f ca="1">IFERROR(__xludf.DUMMYFUNCTION("""COMPUTED_VALUE"""),"2023-05-03-10201SP1542-01")</f>
        <v>2023-05-03-10201SP1542-01</v>
      </c>
      <c r="G3452" s="164"/>
      <c r="H3452" s="164" t="str">
        <f ca="1">IFERROR(__xludf.DUMMYFUNCTION("""COMPUTED_VALUE"""),"SENY FE B. FABE")</f>
        <v>SENY FE B. FABE</v>
      </c>
      <c r="I3452" s="164" t="str">
        <f ca="1">IFERROR(__xludf.DUMMYFUNCTION("""COMPUTED_VALUE"""),"PROJECT MANAGER - ADMINISTRA TION/GRM COORDINATOR (TYPE 1 AND
 TYPE 2A)/ ARDA")</f>
        <v>PROJECT MANAGER - ADMINISTRA TION/GRM COORDINATOR (TYPE 1 AND
 TYPE 2A)/ ARDA</v>
      </c>
      <c r="J3452" s="164" t="str">
        <f ca="1">IFERROR(__xludf.DUMMYFUNCTION("""COMPUTED_VALUE"""),"2023-004")</f>
        <v>2023-004</v>
      </c>
      <c r="K3452" s="164" t="str">
        <f ca="1">IFERROR(__xludf.DUMMYFUNCTION("""COMPUTED_VALUE"""),"SENY FEB. FABE")</f>
        <v>SENY FEB. FABE</v>
      </c>
      <c r="L3452" s="164" t="str">
        <f ca="1">IFERROR(__xludf.DUMMYFUNCTION("""COMPUTED_VALUE"""),"DAR REGIONAL OFFICEX")</f>
        <v>DAR REGIONAL OFFICEX</v>
      </c>
      <c r="M3452" s="164" t="str">
        <f ca="1">IFERROR(__xludf.DUMMYFUNCTION("""COMPUTED_VALUE"""),"SERVICEABLE")</f>
        <v>SERVICEABLE</v>
      </c>
      <c r="N3452" s="164"/>
    </row>
    <row r="3453" spans="1:14" ht="13.2" hidden="1">
      <c r="A3453" s="164" t="str">
        <f ca="1">IFERROR(__xludf.DUMMYFUNCTION("""COMPUTED_VALUE"""),"Region X")</f>
        <v>Region X</v>
      </c>
      <c r="B3453" s="164" t="str">
        <f ca="1">IFERROR(__xludf.DUMMYFUNCTION("""COMPUTED_VALUE"""),"REGIONAL OFFICE")</f>
        <v>REGIONAL OFFICE</v>
      </c>
      <c r="C3453" s="164" t="str">
        <f ca="1">IFERROR(__xludf.DUMMYFUNCTION("""COMPUTED_VALUE"""),"Desktop Computer – (Lenovo M70T)")</f>
        <v>Desktop Computer – (Lenovo M70T)</v>
      </c>
      <c r="D3453" s="164" t="str">
        <f ca="1">IFERROR(__xludf.DUMMYFUNCTION("""COMPUTED_VALUE"""),"₱ 75,468.00")</f>
        <v>₱ 75,468.00</v>
      </c>
      <c r="E3453" s="164" t="str">
        <f ca="1">IFERROR(__xludf.DUMMYFUNCTION("""COMPUTED_VALUE"""),"₱ -")</f>
        <v>₱ -</v>
      </c>
      <c r="F3453" s="164" t="str">
        <f ca="1">IFERROR(__xludf.DUMMYFUNCTION("""COMPUTED_VALUE"""),"2023-05-03-10201SP1543-01")</f>
        <v>2023-05-03-10201SP1543-01</v>
      </c>
      <c r="G3453" s="164"/>
      <c r="H3453" s="164" t="str">
        <f ca="1">IFERROR(__xludf.DUMMYFUNCTION("""COMPUTED_VALUE"""),"ENGR. NORBERTO R.
 PAQUINGAN, OM")</f>
        <v>ENGR. NORBERTO R.
 PAQUINGAN, OM</v>
      </c>
      <c r="I3453" s="164" t="str">
        <f ca="1">IFERROR(__xludf.DUMMYFUNCTION("""COMPUTED_VALUE"""),"ASSISTANT REGIONAL PROJECT MANAGER - OPN")</f>
        <v>ASSISTANT REGIONAL PROJECT MANAGER - OPN</v>
      </c>
      <c r="J3453" s="164" t="str">
        <f ca="1">IFERROR(__xludf.DUMMYFUNCTION("""COMPUTED_VALUE"""),"2023-005")</f>
        <v>2023-005</v>
      </c>
      <c r="K3453" s="164" t="str">
        <f ca="1">IFERROR(__xludf.DUMMYFUNCTION("""COMPUTED_VALUE"""),"ENGR.' NORBERTO R.
 PAQUINGAN, OM")</f>
        <v>ENGR.' NORBERTO R.
 PAQUINGAN, OM</v>
      </c>
      <c r="L3453" s="164" t="str">
        <f ca="1">IFERROR(__xludf.DUMMYFUNCTION("""COMPUTED_VALUE"""),"DAR REGIONAL OFFICEX")</f>
        <v>DAR REGIONAL OFFICEX</v>
      </c>
      <c r="M3453" s="164" t="str">
        <f ca="1">IFERROR(__xludf.DUMMYFUNCTION("""COMPUTED_VALUE"""),"SERVICEABLE")</f>
        <v>SERVICEABLE</v>
      </c>
      <c r="N3453" s="164"/>
    </row>
    <row r="3454" spans="1:14" ht="13.2" hidden="1">
      <c r="A3454" s="164" t="str">
        <f ca="1">IFERROR(__xludf.DUMMYFUNCTION("""COMPUTED_VALUE"""),"Region X")</f>
        <v>Region X</v>
      </c>
      <c r="B3454" s="164" t="str">
        <f ca="1">IFERROR(__xludf.DUMMYFUNCTION("""COMPUTED_VALUE"""),"REGIONAL OFFICE")</f>
        <v>REGIONAL OFFICE</v>
      </c>
      <c r="C3454" s="164" t="str">
        <f ca="1">IFERROR(__xludf.DUMMYFUNCTION("""COMPUTED_VALUE"""),"Desktop Computer – (Lenovo M70T)")</f>
        <v>Desktop Computer – (Lenovo M70T)</v>
      </c>
      <c r="D3454" s="164" t="str">
        <f ca="1">IFERROR(__xludf.DUMMYFUNCTION("""COMPUTED_VALUE"""),"₱ 75,468.00")</f>
        <v>₱ 75,468.00</v>
      </c>
      <c r="E3454" s="164" t="str">
        <f ca="1">IFERROR(__xludf.DUMMYFUNCTION("""COMPUTED_VALUE"""),"₱ -")</f>
        <v>₱ -</v>
      </c>
      <c r="F3454" s="164" t="str">
        <f ca="1">IFERROR(__xludf.DUMMYFUNCTION("""COMPUTED_VALUE"""),"2023-05-03-10201SP1544-01")</f>
        <v>2023-05-03-10201SP1544-01</v>
      </c>
      <c r="G3454" s="164"/>
      <c r="H3454" s="164" t="str">
        <f ca="1">IFERROR(__xludf.DUMMYFUNCTION("""COMPUTED_VALUE"""),"MAYBELLE T. ALCALA")</f>
        <v>MAYBELLE T. ALCALA</v>
      </c>
      <c r="I3454" s="164" t="str">
        <f ca="1">IFERROR(__xludf.DUMMYFUNCTION("""COMPUTED_VALUE"""),"TECHNICAL STAFF 1 -CBTA
 FOR IMPLEMENTERS/ESS, PAROI")</f>
        <v>TECHNICAL STAFF 1 -CBTA
 FOR IMPLEMENTERS/ESS, PAROI</v>
      </c>
      <c r="J3454" s="164" t="str">
        <f ca="1">IFERROR(__xludf.DUMMYFUNCTION("""COMPUTED_VALUE"""),"2023-006")</f>
        <v>2023-006</v>
      </c>
      <c r="K3454" s="164" t="str">
        <f ca="1">IFERROR(__xludf.DUMMYFUNCTION("""COMPUTED_VALUE"""),"MAYBELLE T. ALCALA")</f>
        <v>MAYBELLE T. ALCALA</v>
      </c>
      <c r="L3454" s="164" t="str">
        <f ca="1">IFERROR(__xludf.DUMMYFUNCTION("""COMPUTED_VALUE"""),"DAR REGIONAL OFFICEX")</f>
        <v>DAR REGIONAL OFFICEX</v>
      </c>
      <c r="M3454" s="164" t="str">
        <f ca="1">IFERROR(__xludf.DUMMYFUNCTION("""COMPUTED_VALUE"""),"SERVICEABLE")</f>
        <v>SERVICEABLE</v>
      </c>
      <c r="N3454" s="164"/>
    </row>
    <row r="3455" spans="1:14" ht="13.2">
      <c r="A3455" s="164" t="str">
        <f ca="1">IFERROR(__xludf.DUMMYFUNCTION("""COMPUTED_VALUE"""),"Region X")</f>
        <v>Region X</v>
      </c>
      <c r="B3455" s="164" t="str">
        <f ca="1">IFERROR(__xludf.DUMMYFUNCTION("""COMPUTED_VALUE"""),"REGIONAL
 OFFICE")</f>
        <v>REGIONAL
 OFFICE</v>
      </c>
      <c r="C3455" s="164" t="str">
        <f ca="1">IFERROR(__xludf.DUMMYFUNCTION("""COMPUTED_VALUE"""),"Desktop Computer – (Lenovo M70T)")</f>
        <v>Desktop Computer – (Lenovo M70T)</v>
      </c>
      <c r="D3455" s="164" t="str">
        <f ca="1">IFERROR(__xludf.DUMMYFUNCTION("""COMPUTED_VALUE"""),"₱ 75,468.00")</f>
        <v>₱ 75,468.00</v>
      </c>
      <c r="E3455" s="164" t="str">
        <f ca="1">IFERROR(__xludf.DUMMYFUNCTION("""COMPUTED_VALUE"""),"₱ -")</f>
        <v>₱ -</v>
      </c>
      <c r="F3455" s="164" t="str">
        <f ca="1">IFERROR(__xludf.DUMMYFUNCTION("""COMPUTED_VALUE"""),"2023-05-03-10201SP1561-01")</f>
        <v>2023-05-03-10201SP1561-01</v>
      </c>
      <c r="G3455" s="164"/>
      <c r="H3455" s="164" t="str">
        <f ca="1">IFERROR(__xludf.DUMMYFUNCTION("""COMPUTED_VALUE"""),"MAYBELLE T. ALCALA")</f>
        <v>MAYBELLE T. ALCALA</v>
      </c>
      <c r="I3455" s="164" t="str">
        <f ca="1">IFERROR(__xludf.DUMMYFUNCTION("""COMPUTED_VALUE"""),"TECHNICAL STAFF 1 -CBTA FOR IMPLEMENTERS/ESS, PAROI")</f>
        <v>TECHNICAL STAFF 1 -CBTA FOR IMPLEMENTERS/ESS, PAROI</v>
      </c>
      <c r="J3455" s="164" t="str">
        <f ca="1">IFERROR(__xludf.DUMMYFUNCTION("""COMPUTED_VALUE"""),"2023-007")</f>
        <v>2023-007</v>
      </c>
      <c r="K3455" s="164" t="str">
        <f ca="1">IFERROR(__xludf.DUMMYFUNCTION("""COMPUTED_VALUE"""),"MAYBELLE T. ALCALA")</f>
        <v>MAYBELLE T. ALCALA</v>
      </c>
      <c r="L3455" s="164" t="str">
        <f ca="1">IFERROR(__xludf.DUMMYFUNCTION("""COMPUTED_VALUE"""),"DAR REGIONAL OFFICEX")</f>
        <v>DAR REGIONAL OFFICEX</v>
      </c>
      <c r="M3455" s="164" t="str">
        <f ca="1">IFERROR(__xludf.DUMMYFUNCTION("""COMPUTED_VALUE"""),"SERVICEABLE")</f>
        <v>SERVICEABLE</v>
      </c>
      <c r="N3455" s="164"/>
    </row>
    <row r="3456" spans="1:14" ht="13.2">
      <c r="A3456" s="164" t="str">
        <f ca="1">IFERROR(__xludf.DUMMYFUNCTION("""COMPUTED_VALUE"""),"Region X")</f>
        <v>Region X</v>
      </c>
      <c r="B3456" s="164" t="str">
        <f ca="1">IFERROR(__xludf.DUMMYFUNCTION("""COMPUTED_VALUE"""),"REGIONAL
 OFFICE")</f>
        <v>REGIONAL
 OFFICE</v>
      </c>
      <c r="C3456" s="164" t="str">
        <f ca="1">IFERROR(__xludf.DUMMYFUNCTION("""COMPUTED_VALUE"""),"Desktop Computer – (Lenovo M70T)")</f>
        <v>Desktop Computer – (Lenovo M70T)</v>
      </c>
      <c r="D3456" s="164" t="str">
        <f ca="1">IFERROR(__xludf.DUMMYFUNCTION("""COMPUTED_VALUE"""),"₱ 75,468.00")</f>
        <v>₱ 75,468.00</v>
      </c>
      <c r="E3456" s="164" t="str">
        <f ca="1">IFERROR(__xludf.DUMMYFUNCTION("""COMPUTED_VALUE"""),"₱ -")</f>
        <v>₱ -</v>
      </c>
      <c r="F3456" s="164" t="str">
        <f ca="1">IFERROR(__xludf.DUMMYFUNCTION("""COMPUTED_VALUE"""),"2023-05-03-
 10201SP1562-01")</f>
        <v>2023-05-03-
 10201SP1562-01</v>
      </c>
      <c r="G3456" s="164"/>
      <c r="H3456" s="164"/>
      <c r="I3456" s="164"/>
      <c r="J3456" s="164"/>
      <c r="K3456" s="164"/>
      <c r="L3456" s="164"/>
      <c r="M3456" s="164" t="str">
        <f ca="1">IFERROR(__xludf.DUMMYFUNCTION("""COMPUTED_VALUE"""),"SERVICEABLE")</f>
        <v>SERVICEABLE</v>
      </c>
      <c r="N3456" s="164"/>
    </row>
    <row r="3457" spans="1:14" ht="13.2">
      <c r="A3457" s="164" t="str">
        <f ca="1">IFERROR(__xludf.DUMMYFUNCTION("""COMPUTED_VALUE"""),"Region X")</f>
        <v>Region X</v>
      </c>
      <c r="B3457" s="164" t="str">
        <f ca="1">IFERROR(__xludf.DUMMYFUNCTION("""COMPUTED_VALUE"""),"REGIONAL
 OFFICE")</f>
        <v>REGIONAL
 OFFICE</v>
      </c>
      <c r="C3457" s="164" t="str">
        <f ca="1">IFERROR(__xludf.DUMMYFUNCTION("""COMPUTED_VALUE"""),"Desktop Computer – (Lenovo M70T)")</f>
        <v>Desktop Computer – (Lenovo M70T)</v>
      </c>
      <c r="D3457" s="164" t="str">
        <f ca="1">IFERROR(__xludf.DUMMYFUNCTION("""COMPUTED_VALUE"""),"₱ 75,468.00")</f>
        <v>₱ 75,468.00</v>
      </c>
      <c r="E3457" s="164" t="str">
        <f ca="1">IFERROR(__xludf.DUMMYFUNCTION("""COMPUTED_VALUE"""),"₱ -")</f>
        <v>₱ -</v>
      </c>
      <c r="F3457" s="164" t="str">
        <f ca="1">IFERROR(__xludf.DUMMYFUNCTION("""COMPUTED_VALUE"""),"2023-05-03-
 10201SP1563-01")</f>
        <v>2023-05-03-
 10201SP1563-01</v>
      </c>
      <c r="G3457" s="164"/>
      <c r="H3457" s="164"/>
      <c r="I3457" s="164"/>
      <c r="J3457" s="164"/>
      <c r="K3457" s="164"/>
      <c r="L3457" s="164"/>
      <c r="M3457" s="164" t="str">
        <f ca="1">IFERROR(__xludf.DUMMYFUNCTION("""COMPUTED_VALUE"""),"SERVICEABLE")</f>
        <v>SERVICEABLE</v>
      </c>
      <c r="N3457" s="164"/>
    </row>
    <row r="3458" spans="1:14" ht="13.2" hidden="1">
      <c r="A3458" s="164" t="str">
        <f ca="1">IFERROR(__xludf.DUMMYFUNCTION("""COMPUTED_VALUE"""),"Region X")</f>
        <v>Region X</v>
      </c>
      <c r="B3458" s="164" t="str">
        <f ca="1">IFERROR(__xludf.DUMMYFUNCTION("""COMPUTED_VALUE"""),"REGIONAL OFFICE")</f>
        <v>REGIONAL OFFICE</v>
      </c>
      <c r="C3458" s="164" t="str">
        <f ca="1">IFERROR(__xludf.DUMMYFUNCTION("""COMPUTED_VALUE"""),"Desktop Computer – (Lenovo M70T)")</f>
        <v>Desktop Computer – (Lenovo M70T)</v>
      </c>
      <c r="D3458" s="164" t="str">
        <f ca="1">IFERROR(__xludf.DUMMYFUNCTION("""COMPUTED_VALUE"""),"₱ 75,468.00")</f>
        <v>₱ 75,468.00</v>
      </c>
      <c r="E3458" s="164" t="str">
        <f ca="1">IFERROR(__xludf.DUMMYFUNCTION("""COMPUTED_VALUE"""),"₱ -")</f>
        <v>₱ -</v>
      </c>
      <c r="F3458" s="164" t="str">
        <f ca="1">IFERROR(__xludf.DUMMYFUNCTION("""COMPUTED_VALUE"""),"2023-05-03-
 10201SP1551-01")</f>
        <v>2023-05-03-
 10201SP1551-01</v>
      </c>
      <c r="G3458" s="164"/>
      <c r="H3458" s="164" t="str">
        <f ca="1">IFERROR(__xludf.DUMMYFUNCTION("""COMPUTED_VALUE"""),"ATTY. STEPHANIE D. CABRERA")</f>
        <v>ATTY. STEPHANIE D. CABRERA</v>
      </c>
      <c r="I3458" s="164" t="str">
        <f ca="1">IFERROR(__xludf.DUMMYFUNCTION("""COMPUTED_VALUE"""),"LEGAL COORDINATOR/ TA V")</f>
        <v>LEGAL COORDINATOR/ TA V</v>
      </c>
      <c r="J3458" s="164" t="str">
        <f ca="1">IFERROR(__xludf.DUMMYFUNCTION("""COMPUTED_VALUE"""),"2023-008")</f>
        <v>2023-008</v>
      </c>
      <c r="K3458" s="164" t="str">
        <f ca="1">IFERROR(__xludf.DUMMYFUNCTION("""COMPUTED_VALUE"""),"ATTY. STEPHANIE D. CABRERA")</f>
        <v>ATTY. STEPHANIE D. CABRERA</v>
      </c>
      <c r="L3458" s="164" t="str">
        <f ca="1">IFERROR(__xludf.DUMMYFUNCTION("""COMPUTED_VALUE"""),"DAR REGIONAL OFFICE X")</f>
        <v>DAR REGIONAL OFFICE X</v>
      </c>
      <c r="M3458" s="164" t="str">
        <f ca="1">IFERROR(__xludf.DUMMYFUNCTION("""COMPUTED_VALUE"""),"SERVICEABLE")</f>
        <v>SERVICEABLE</v>
      </c>
      <c r="N3458" s="164"/>
    </row>
    <row r="3459" spans="1:14" ht="13.2">
      <c r="A3459" s="164" t="str">
        <f ca="1">IFERROR(__xludf.DUMMYFUNCTION("""COMPUTED_VALUE"""),"Region X")</f>
        <v>Region X</v>
      </c>
      <c r="B3459" s="164" t="str">
        <f ca="1">IFERROR(__xludf.DUMMYFUNCTION("""COMPUTED_VALUE"""),"REGIONAL
 OFFICE")</f>
        <v>REGIONAL
 OFFICE</v>
      </c>
      <c r="C3459" s="164" t="str">
        <f ca="1">IFERROR(__xludf.DUMMYFUNCTION("""COMPUTED_VALUE"""),"Desktop Computer – (Lenovo M70T)")</f>
        <v>Desktop Computer – (Lenovo M70T)</v>
      </c>
      <c r="D3459" s="164" t="str">
        <f ca="1">IFERROR(__xludf.DUMMYFUNCTION("""COMPUTED_VALUE"""),"₱ 75,468.00")</f>
        <v>₱ 75,468.00</v>
      </c>
      <c r="E3459" s="164" t="str">
        <f ca="1">IFERROR(__xludf.DUMMYFUNCTION("""COMPUTED_VALUE"""),"₱ -")</f>
        <v>₱ -</v>
      </c>
      <c r="F3459" s="164" t="str">
        <f ca="1">IFERROR(__xludf.DUMMYFUNCTION("""COMPUTED_VALUE"""),"2023-05-03-
 10201SP1550-01")</f>
        <v>2023-05-03-
 10201SP1550-01</v>
      </c>
      <c r="G3459" s="164"/>
      <c r="H3459" s="164"/>
      <c r="I3459" s="164"/>
      <c r="J3459" s="164"/>
      <c r="K3459" s="164"/>
      <c r="L3459" s="164"/>
      <c r="M3459" s="164" t="str">
        <f ca="1">IFERROR(__xludf.DUMMYFUNCTION("""COMPUTED_VALUE"""),"SERVICEABLE")</f>
        <v>SERVICEABLE</v>
      </c>
      <c r="N3459" s="164"/>
    </row>
    <row r="3460" spans="1:14" ht="13.2" hidden="1">
      <c r="A3460" s="164" t="str">
        <f ca="1">IFERROR(__xludf.DUMMYFUNCTION("""COMPUTED_VALUE"""),"Region X")</f>
        <v>Region X</v>
      </c>
      <c r="B3460" s="164" t="str">
        <f ca="1">IFERROR(__xludf.DUMMYFUNCTION("""COMPUTED_VALUE"""),"REGIONAL OFFICE")</f>
        <v>REGIONAL OFFICE</v>
      </c>
      <c r="C3460" s="164" t="str">
        <f ca="1">IFERROR(__xludf.DUMMYFUNCTION("""COMPUTED_VALUE"""),"Desktop Computer – (Lenovo M70T)")</f>
        <v>Desktop Computer – (Lenovo M70T)</v>
      </c>
      <c r="D3460" s="164" t="str">
        <f ca="1">IFERROR(__xludf.DUMMYFUNCTION("""COMPUTED_VALUE"""),"₱ 75,468.00")</f>
        <v>₱ 75,468.00</v>
      </c>
      <c r="E3460" s="164" t="str">
        <f ca="1">IFERROR(__xludf.DUMMYFUNCTION("""COMPUTED_VALUE"""),"₱ -")</f>
        <v>₱ -</v>
      </c>
      <c r="F3460" s="164" t="str">
        <f ca="1">IFERROR(__xludf.DUMMYFUNCTION("""COMPUTED_VALUE"""),"2023-05-03-
 10201SP1558-01")</f>
        <v>2023-05-03-
 10201SP1558-01</v>
      </c>
      <c r="G3460" s="164"/>
      <c r="H3460" s="164" t="str">
        <f ca="1">IFERROR(__xludf.DUMMYFUNCTION("""COMPUTED_VALUE"""),"JOEL ANGELO M. PALER")</f>
        <v>JOEL ANGELO M. PALER</v>
      </c>
      <c r="I3460" s="164" t="str">
        <f ca="1">IFERROR(__xludf.DUMMYFUNCTION("""COMPUTED_VALUE"""),"TECHNICAL STAFF 2 - ADMINISTRATIVE AND FINANCE OFFICER/ RCAO")</f>
        <v>TECHNICAL STAFF 2 - ADMINISTRATIVE AND FINANCE OFFICER/ RCAO</v>
      </c>
      <c r="J3460" s="164" t="str">
        <f ca="1">IFERROR(__xludf.DUMMYFUNCTION("""COMPUTED_VALUE"""),"2023-009")</f>
        <v>2023-009</v>
      </c>
      <c r="K3460" s="164" t="str">
        <f ca="1">IFERROR(__xludf.DUMMYFUNCTION("""COMPUTED_VALUE"""),"LUIS T. ARQUIZA")</f>
        <v>LUIS T. ARQUIZA</v>
      </c>
      <c r="L3460" s="164" t="str">
        <f ca="1">IFERROR(__xludf.DUMMYFUNCTION("""COMPUTED_VALUE"""),"DAR REGIONAL OFFICEX")</f>
        <v>DAR REGIONAL OFFICEX</v>
      </c>
      <c r="M3460" s="164" t="str">
        <f ca="1">IFERROR(__xludf.DUMMYFUNCTION("""COMPUTED_VALUE"""),"SERVICEABLE")</f>
        <v>SERVICEABLE</v>
      </c>
      <c r="N3460" s="164"/>
    </row>
    <row r="3461" spans="1:14" ht="13.2" hidden="1">
      <c r="A3461" s="164" t="str">
        <f ca="1">IFERROR(__xludf.DUMMYFUNCTION("""COMPUTED_VALUE"""),"Region X")</f>
        <v>Region X</v>
      </c>
      <c r="B3461" s="164" t="str">
        <f ca="1">IFERROR(__xludf.DUMMYFUNCTION("""COMPUTED_VALUE"""),"REGIONAL OFFICE")</f>
        <v>REGIONAL OFFICE</v>
      </c>
      <c r="C3461" s="164" t="str">
        <f ca="1">IFERROR(__xludf.DUMMYFUNCTION("""COMPUTED_VALUE"""),"Desktop Computer – (Lenovo M70T)")</f>
        <v>Desktop Computer – (Lenovo M70T)</v>
      </c>
      <c r="D3461" s="164" t="str">
        <f ca="1">IFERROR(__xludf.DUMMYFUNCTION("""COMPUTED_VALUE"""),"₱ 75,468.00")</f>
        <v>₱ 75,468.00</v>
      </c>
      <c r="E3461" s="164" t="str">
        <f ca="1">IFERROR(__xludf.DUMMYFUNCTION("""COMPUTED_VALUE"""),"₱ -")</f>
        <v>₱ -</v>
      </c>
      <c r="F3461" s="164" t="str">
        <f ca="1">IFERROR(__xludf.DUMMYFUNCTION("""COMPUTED_VALUE"""),"2023-05-03-
 10201SP1559-01")</f>
        <v>2023-05-03-
 10201SP1559-01</v>
      </c>
      <c r="G3461" s="164"/>
      <c r="H3461" s="164"/>
      <c r="I3461" s="164"/>
      <c r="J3461" s="164"/>
      <c r="K3461" s="164" t="str">
        <f ca="1">IFERROR(__xludf.DUMMYFUNCTION("""COMPUTED_VALUE"""),"JOMARJD.PAPANDAYAN")</f>
        <v>JOMARJD.PAPANDAYAN</v>
      </c>
      <c r="L3461" s="164"/>
      <c r="M3461" s="164" t="str">
        <f ca="1">IFERROR(__xludf.DUMMYFUNCTION("""COMPUTED_VALUE"""),"SERVICEABLE")</f>
        <v>SERVICEABLE</v>
      </c>
      <c r="N3461" s="164"/>
    </row>
    <row r="3462" spans="1:14" ht="13.2" hidden="1">
      <c r="A3462" s="164" t="str">
        <f ca="1">IFERROR(__xludf.DUMMYFUNCTION("""COMPUTED_VALUE"""),"Region X")</f>
        <v>Region X</v>
      </c>
      <c r="B3462" s="164" t="str">
        <f ca="1">IFERROR(__xludf.DUMMYFUNCTION("""COMPUTED_VALUE"""),"REGIONAL OFFICE")</f>
        <v>REGIONAL OFFICE</v>
      </c>
      <c r="C3462" s="164" t="str">
        <f ca="1">IFERROR(__xludf.DUMMYFUNCTION("""COMPUTED_VALUE"""),"Desktop Computer – (Lenovo M70T)")</f>
        <v>Desktop Computer – (Lenovo M70T)</v>
      </c>
      <c r="D3462" s="164" t="str">
        <f ca="1">IFERROR(__xludf.DUMMYFUNCTION("""COMPUTED_VALUE"""),"₱ 75,468.00")</f>
        <v>₱ 75,468.00</v>
      </c>
      <c r="E3462" s="164" t="str">
        <f ca="1">IFERROR(__xludf.DUMMYFUNCTION("""COMPUTED_VALUE"""),"₱ -")</f>
        <v>₱ -</v>
      </c>
      <c r="F3462" s="164" t="str">
        <f ca="1">IFERROR(__xludf.DUMMYFUNCTION("""COMPUTED_VALUE"""),"2023-05-03-
 10201SP1560-01")</f>
        <v>2023-05-03-
 10201SP1560-01</v>
      </c>
      <c r="G3462" s="164"/>
      <c r="H3462" s="164"/>
      <c r="I3462" s="164"/>
      <c r="J3462" s="164"/>
      <c r="K3462" s="164" t="str">
        <f ca="1">IFERROR(__xludf.DUMMYFUNCTION("""COMPUTED_VALUE"""),"RAQUEL D. DE LOS REYES")</f>
        <v>RAQUEL D. DE LOS REYES</v>
      </c>
      <c r="L3462" s="164"/>
      <c r="M3462" s="164" t="str">
        <f ca="1">IFERROR(__xludf.DUMMYFUNCTION("""COMPUTED_VALUE"""),"SERVICEABLE")</f>
        <v>SERVICEABLE</v>
      </c>
      <c r="N3462" s="164"/>
    </row>
    <row r="3463" spans="1:14" ht="13.2" hidden="1">
      <c r="A3463" s="164" t="str">
        <f ca="1">IFERROR(__xludf.DUMMYFUNCTION("""COMPUTED_VALUE"""),"Region X")</f>
        <v>Region X</v>
      </c>
      <c r="B3463" s="164" t="str">
        <f ca="1">IFERROR(__xludf.DUMMYFUNCTION("""COMPUTED_VALUE"""),"REGIONAL OFFICE")</f>
        <v>REGIONAL OFFICE</v>
      </c>
      <c r="C3463" s="164" t="str">
        <f ca="1">IFERROR(__xludf.DUMMYFUNCTION("""COMPUTED_VALUE"""),"Desktop Computer – (Lenovo M70T)")</f>
        <v>Desktop Computer – (Lenovo M70T)</v>
      </c>
      <c r="D3463" s="164" t="str">
        <f ca="1">IFERROR(__xludf.DUMMYFUNCTION("""COMPUTED_VALUE"""),"₱ 75,468.00")</f>
        <v>₱ 75,468.00</v>
      </c>
      <c r="E3463" s="164" t="str">
        <f ca="1">IFERROR(__xludf.DUMMYFUNCTION("""COMPUTED_VALUE"""),"₱ -")</f>
        <v>₱ -</v>
      </c>
      <c r="F3463" s="164" t="str">
        <f ca="1">IFERROR(__xludf.DUMMYFUNCTION("""COMPUTED_VALUE"""),"2023-05-03-
 10201SP1553-01")</f>
        <v>2023-05-03-
 10201SP1553-01</v>
      </c>
      <c r="G3463" s="164"/>
      <c r="H3463" s="164" t="str">
        <f ca="1">IFERROR(__xludf.DUMMYFUNCTION("""COMPUTED_VALUE"""),"JOEL ANGELO M. PALER")</f>
        <v>JOEL ANGELO M. PALER</v>
      </c>
      <c r="I3463" s="164" t="str">
        <f ca="1">IFERROR(__xludf.DUMMYFUNCTION("""COMPUTED_VALUE"""),"TECHNICAL STAFF 2 - ADMINISTRATIVE AND FINANCE OFFICER/ RCAO")</f>
        <v>TECHNICAL STAFF 2 - ADMINISTRATIVE AND FINANCE OFFICER/ RCAO</v>
      </c>
      <c r="J3463" s="164" t="str">
        <f ca="1">IFERROR(__xludf.DUMMYFUNCTION("""COMPUTED_VALUE"""),"2023-010")</f>
        <v>2023-010</v>
      </c>
      <c r="K3463" s="164" t="str">
        <f ca="1">IFERROR(__xludf.DUMMYFUNCTION("""COMPUTED_VALUE"""),"JOEL ANGELO M. PALER")</f>
        <v>JOEL ANGELO M. PALER</v>
      </c>
      <c r="L3463" s="164" t="str">
        <f ca="1">IFERROR(__xludf.DUMMYFUNCTION("""COMPUTED_VALUE"""),"DAR REGIONAL OFFICE X")</f>
        <v>DAR REGIONAL OFFICE X</v>
      </c>
      <c r="M3463" s="164" t="str">
        <f ca="1">IFERROR(__xludf.DUMMYFUNCTION("""COMPUTED_VALUE"""),"SERVICEABLE")</f>
        <v>SERVICEABLE</v>
      </c>
      <c r="N3463" s="164"/>
    </row>
    <row r="3464" spans="1:14" ht="13.2" hidden="1">
      <c r="A3464" s="164" t="str">
        <f ca="1">IFERROR(__xludf.DUMMYFUNCTION("""COMPUTED_VALUE"""),"Region X")</f>
        <v>Region X</v>
      </c>
      <c r="B3464" s="164" t="str">
        <f ca="1">IFERROR(__xludf.DUMMYFUNCTION("""COMPUTED_VALUE"""),"REGIONAL OFFICE")</f>
        <v>REGIONAL OFFICE</v>
      </c>
      <c r="C3464" s="164" t="str">
        <f ca="1">IFERROR(__xludf.DUMMYFUNCTION("""COMPUTED_VALUE"""),"Desktop Computer – (Lenovo M70T)")</f>
        <v>Desktop Computer – (Lenovo M70T)</v>
      </c>
      <c r="D3464" s="164" t="str">
        <f ca="1">IFERROR(__xludf.DUMMYFUNCTION("""COMPUTED_VALUE"""),"₱ 75,468.00")</f>
        <v>₱ 75,468.00</v>
      </c>
      <c r="E3464" s="164" t="str">
        <f ca="1">IFERROR(__xludf.DUMMYFUNCTION("""COMPUTED_VALUE"""),"₱ -")</f>
        <v>₱ -</v>
      </c>
      <c r="F3464" s="164" t="str">
        <f ca="1">IFERROR(__xludf.DUMMYFUNCTION("""COMPUTED_VALUE"""),"2023-05-03-
 10201SP1552-01")</f>
        <v>2023-05-03-
 10201SP1552-01</v>
      </c>
      <c r="G3464" s="164"/>
      <c r="H3464" s="164"/>
      <c r="I3464" s="164"/>
      <c r="J3464" s="164"/>
      <c r="K3464" s="164" t="str">
        <f ca="1">IFERROR(__xludf.DUMMYFUNCTION("""COMPUTED_VALUE"""),"MARCO ANTONIO M. MABULAY")</f>
        <v>MARCO ANTONIO M. MABULAY</v>
      </c>
      <c r="L3464" s="164"/>
      <c r="M3464" s="164" t="str">
        <f ca="1">IFERROR(__xludf.DUMMYFUNCTION("""COMPUTED_VALUE"""),"SERVICEABLE")</f>
        <v>SERVICEABLE</v>
      </c>
      <c r="N3464" s="164"/>
    </row>
    <row r="3465" spans="1:14" ht="13.2" hidden="1">
      <c r="A3465" s="164" t="str">
        <f ca="1">IFERROR(__xludf.DUMMYFUNCTION("""COMPUTED_VALUE"""),"Region X")</f>
        <v>Region X</v>
      </c>
      <c r="B3465" s="164" t="str">
        <f ca="1">IFERROR(__xludf.DUMMYFUNCTION("""COMPUTED_VALUE"""),"REGIONAL OFFICE")</f>
        <v>REGIONAL OFFICE</v>
      </c>
      <c r="C3465" s="164" t="str">
        <f ca="1">IFERROR(__xludf.DUMMYFUNCTION("""COMPUTED_VALUE"""),"Desktop Computer – (Lenovo M70T)")</f>
        <v>Desktop Computer – (Lenovo M70T)</v>
      </c>
      <c r="D3465" s="164" t="str">
        <f ca="1">IFERROR(__xludf.DUMMYFUNCTION("""COMPUTED_VALUE"""),"₱ 75,468.00")</f>
        <v>₱ 75,468.00</v>
      </c>
      <c r="E3465" s="164" t="str">
        <f ca="1">IFERROR(__xludf.DUMMYFUNCTION("""COMPUTED_VALUE"""),"₱ -")</f>
        <v>₱ -</v>
      </c>
      <c r="F3465" s="164" t="str">
        <f ca="1">IFERROR(__xludf.DUMMYFUNCTION("""COMPUTED_VALUE"""),"2023-05-03-
 10201SP1565-01")</f>
        <v>2023-05-03-
 10201SP1565-01</v>
      </c>
      <c r="G3465" s="164"/>
      <c r="H3465" s="164"/>
      <c r="I3465" s="164"/>
      <c r="J3465" s="164"/>
      <c r="K3465" s="164" t="str">
        <f ca="1">IFERROR(__xludf.DUMMYFUNCTION("""COMPUTED_VALUE"""),"ABEGAIL LAGUNA")</f>
        <v>ABEGAIL LAGUNA</v>
      </c>
      <c r="L3465" s="164"/>
      <c r="M3465" s="164" t="str">
        <f ca="1">IFERROR(__xludf.DUMMYFUNCTION("""COMPUTED_VALUE"""),"SERVICEABLE")</f>
        <v>SERVICEABLE</v>
      </c>
      <c r="N3465" s="164"/>
    </row>
    <row r="3466" spans="1:14" ht="13.2" hidden="1">
      <c r="A3466" s="164" t="str">
        <f ca="1">IFERROR(__xludf.DUMMYFUNCTION("""COMPUTED_VALUE"""),"Region X")</f>
        <v>Region X</v>
      </c>
      <c r="B3466" s="164" t="str">
        <f ca="1">IFERROR(__xludf.DUMMYFUNCTION("""COMPUTED_VALUE"""),"REGIONAL OFFICE")</f>
        <v>REGIONAL OFFICE</v>
      </c>
      <c r="C3466" s="164" t="str">
        <f ca="1">IFERROR(__xludf.DUMMYFUNCTION("""COMPUTED_VALUE"""),"Desktop Computer – (Lenovo M70T)")</f>
        <v>Desktop Computer – (Lenovo M70T)</v>
      </c>
      <c r="D3466" s="164" t="str">
        <f ca="1">IFERROR(__xludf.DUMMYFUNCTION("""COMPUTED_VALUE"""),"₱ 75,468.00")</f>
        <v>₱ 75,468.00</v>
      </c>
      <c r="E3466" s="164" t="str">
        <f ca="1">IFERROR(__xludf.DUMMYFUNCTION("""COMPUTED_VALUE"""),"₱ -")</f>
        <v>₱ -</v>
      </c>
      <c r="F3466" s="164" t="str">
        <f ca="1">IFERROR(__xludf.DUMMYFUNCTION("""COMPUTED_VALUE"""),"2023-05-03-
 10201SP1545-01")</f>
        <v>2023-05-03-
 10201SP1545-01</v>
      </c>
      <c r="G3466" s="164"/>
      <c r="H3466" s="164" t="str">
        <f ca="1">IFERROR(__xludf.DUMMYFUNCTION("""COMPUTED_VALUE"""),"REMIA M. BUGAHOD")</f>
        <v>REMIA M. BUGAHOD</v>
      </c>
      <c r="I3466" s="164" t="str">
        <f ca="1">IFERROR(__xludf.DUMMYFUNCTION("""COMPUTED_VALUE"""),"PARCELIZATION COMPONENT AND FIELD VALIDATION TEAM COORDINATOR/ CARPO, LTSP")</f>
        <v>PARCELIZATION COMPONENT AND FIELD VALIDATION TEAM COORDINATOR/ CARPO, LTSP</v>
      </c>
      <c r="J3466" s="164" t="str">
        <f ca="1">IFERROR(__xludf.DUMMYFUNCTION("""COMPUTED_VALUE"""),"2023-011")</f>
        <v>2023-011</v>
      </c>
      <c r="K3466" s="164" t="str">
        <f ca="1">IFERROR(__xludf.DUMMYFUNCTION("""COMPUTED_VALUE"""),"REMIA M. BUGAHOD")</f>
        <v>REMIA M. BUGAHOD</v>
      </c>
      <c r="L3466" s="164" t="str">
        <f ca="1">IFERROR(__xludf.DUMMYFUNCTION("""COMPUTED_VALUE"""),"DAR REGIONAL OFFICE X")</f>
        <v>DAR REGIONAL OFFICE X</v>
      </c>
      <c r="M3466" s="164" t="str">
        <f ca="1">IFERROR(__xludf.DUMMYFUNCTION("""COMPUTED_VALUE"""),"SERVICEABLE")</f>
        <v>SERVICEABLE</v>
      </c>
      <c r="N3466" s="164"/>
    </row>
    <row r="3467" spans="1:14" ht="13.2" hidden="1">
      <c r="A3467" s="164" t="str">
        <f ca="1">IFERROR(__xludf.DUMMYFUNCTION("""COMPUTED_VALUE"""),"Region X")</f>
        <v>Region X</v>
      </c>
      <c r="B3467" s="164" t="str">
        <f ca="1">IFERROR(__xludf.DUMMYFUNCTION("""COMPUTED_VALUE"""),"REGIONAL OFFICE")</f>
        <v>REGIONAL OFFICE</v>
      </c>
      <c r="C3467" s="164" t="str">
        <f ca="1">IFERROR(__xludf.DUMMYFUNCTION("""COMPUTED_VALUE"""),"Desktop Computer – (Lenovo M70T)")</f>
        <v>Desktop Computer – (Lenovo M70T)</v>
      </c>
      <c r="D3467" s="164" t="str">
        <f ca="1">IFERROR(__xludf.DUMMYFUNCTION("""COMPUTED_VALUE"""),"₱ 75,468.00")</f>
        <v>₱ 75,468.00</v>
      </c>
      <c r="E3467" s="164" t="str">
        <f ca="1">IFERROR(__xludf.DUMMYFUNCTION("""COMPUTED_VALUE"""),"₱ -")</f>
        <v>₱ -</v>
      </c>
      <c r="F3467" s="164" t="str">
        <f ca="1">IFERROR(__xludf.DUMMYFUNCTION("""COMPUTED_VALUE"""),"2023-05-03-
 10201SP1546-01")</f>
        <v>2023-05-03-
 10201SP1546-01</v>
      </c>
      <c r="G3467" s="164"/>
      <c r="H3467" s="164" t="str">
        <f ca="1">IFERROR(__xludf.DUMMYFUNCTION("""COMPUTED_VALUE"""),"ARISA A. CUASITO")</f>
        <v>ARISA A. CUASITO</v>
      </c>
      <c r="I3467" s="164" t="str">
        <f ca="1">IFERROR(__xludf.DUMMYFUNCTION("""COMPUTED_VALUE"""),"DOCUMENTATION AND ENVIRONMENT AND SOCIAL SAFEGUARDS SUPPORT STAFF/ SUARPO, LTSP")</f>
        <v>DOCUMENTATION AND ENVIRONMENT AND SOCIAL SAFEGUARDS SUPPORT STAFF/ SUARPO, LTSP</v>
      </c>
      <c r="J3467" s="164" t="str">
        <f ca="1">IFERROR(__xludf.DUMMYFUNCTION("""COMPUTED_VALUE"""),"2023-012")</f>
        <v>2023-012</v>
      </c>
      <c r="K3467" s="164" t="str">
        <f ca="1">IFERROR(__xludf.DUMMYFUNCTION("""COMPUTED_VALUE"""),"ARISA A. CUASITO")</f>
        <v>ARISA A. CUASITO</v>
      </c>
      <c r="L3467" s="164" t="str">
        <f ca="1">IFERROR(__xludf.DUMMYFUNCTION("""COMPUTED_VALUE"""),"DAR REGIONAL OFFICEX")</f>
        <v>DAR REGIONAL OFFICEX</v>
      </c>
      <c r="M3467" s="164" t="str">
        <f ca="1">IFERROR(__xludf.DUMMYFUNCTION("""COMPUTED_VALUE"""),"SERVICEABLE")</f>
        <v>SERVICEABLE</v>
      </c>
      <c r="N3467" s="164"/>
    </row>
    <row r="3468" spans="1:14" ht="13.2" hidden="1">
      <c r="A3468" s="164" t="str">
        <f ca="1">IFERROR(__xludf.DUMMYFUNCTION("""COMPUTED_VALUE"""),"Region X")</f>
        <v>Region X</v>
      </c>
      <c r="B3468" s="164" t="str">
        <f ca="1">IFERROR(__xludf.DUMMYFUNCTION("""COMPUTED_VALUE"""),"REGIONAL OFFICE")</f>
        <v>REGIONAL OFFICE</v>
      </c>
      <c r="C3468" s="164" t="str">
        <f ca="1">IFERROR(__xludf.DUMMYFUNCTION("""COMPUTED_VALUE"""),"Desktop Computer – (Lenovo M70T)")</f>
        <v>Desktop Computer – (Lenovo M70T)</v>
      </c>
      <c r="D3468" s="164" t="str">
        <f ca="1">IFERROR(__xludf.DUMMYFUNCTION("""COMPUTED_VALUE"""),"₱ 75,468.00")</f>
        <v>₱ 75,468.00</v>
      </c>
      <c r="E3468" s="164" t="str">
        <f ca="1">IFERROR(__xludf.DUMMYFUNCTION("""COMPUTED_VALUE"""),"₱ -")</f>
        <v>₱ -</v>
      </c>
      <c r="F3468" s="164" t="str">
        <f ca="1">IFERROR(__xludf.DUMMYFUNCTION("""COMPUTED_VALUE"""),"2023-05-03-
 10201SP1547-01")</f>
        <v>2023-05-03-
 10201SP1547-01</v>
      </c>
      <c r="G3468" s="164"/>
      <c r="H3468" s="164" t="str">
        <f ca="1">IFERROR(__xludf.DUMMYFUNCTION("""COMPUTED_VALUE"""),"ENGR. JOVY ANN D. CLARO")</f>
        <v>ENGR. JOVY ANN D. CLARO</v>
      </c>
      <c r="I3468" s="164" t="str">
        <f ca="1">IFERROR(__xludf.DUMMYFUNCTION("""COMPUTED_VALUE"""),"DENR/LRA-ROD SURVEY
 COORDINATOR/ ENGR Ill, LTSP")</f>
        <v>DENR/LRA-ROD SURVEY
 COORDINATOR/ ENGR Ill, LTSP</v>
      </c>
      <c r="J3468" s="164" t="str">
        <f ca="1">IFERROR(__xludf.DUMMYFUNCTION("""COMPUTED_VALUE"""),"2023-013")</f>
        <v>2023-013</v>
      </c>
      <c r="K3468" s="164" t="str">
        <f ca="1">IFERROR(__xludf.DUMMYFUNCTION("""COMPUTED_VALUE"""),"ENGR.DEAMARKJHONE
 C. PALARAN")</f>
        <v>ENGR.DEAMARKJHONE
 C. PALARAN</v>
      </c>
      <c r="L3468" s="164" t="str">
        <f ca="1">IFERROR(__xludf.DUMMYFUNCTION("""COMPUTED_VALUE"""),"DAR REGIONAL OFFICEX")</f>
        <v>DAR REGIONAL OFFICEX</v>
      </c>
      <c r="M3468" s="164" t="str">
        <f ca="1">IFERROR(__xludf.DUMMYFUNCTION("""COMPUTED_VALUE"""),"SERVICEABLE")</f>
        <v>SERVICEABLE</v>
      </c>
      <c r="N3468" s="164"/>
    </row>
    <row r="3469" spans="1:14" ht="13.2" hidden="1">
      <c r="A3469" s="164" t="str">
        <f ca="1">IFERROR(__xludf.DUMMYFUNCTION("""COMPUTED_VALUE"""),"Region X")</f>
        <v>Region X</v>
      </c>
      <c r="B3469" s="164" t="str">
        <f ca="1">IFERROR(__xludf.DUMMYFUNCTION("""COMPUTED_VALUE"""),"REGIONAL OFFICE")</f>
        <v>REGIONAL OFFICE</v>
      </c>
      <c r="C3469" s="164" t="str">
        <f ca="1">IFERROR(__xludf.DUMMYFUNCTION("""COMPUTED_VALUE"""),"Desktop Computer – (Lenovo M70T)")</f>
        <v>Desktop Computer – (Lenovo M70T)</v>
      </c>
      <c r="D3469" s="164" t="str">
        <f ca="1">IFERROR(__xludf.DUMMYFUNCTION("""COMPUTED_VALUE"""),"₱ 75,468.00")</f>
        <v>₱ 75,468.00</v>
      </c>
      <c r="E3469" s="164" t="str">
        <f ca="1">IFERROR(__xludf.DUMMYFUNCTION("""COMPUTED_VALUE"""),"₱ -")</f>
        <v>₱ -</v>
      </c>
      <c r="F3469" s="164" t="str">
        <f ca="1">IFERROR(__xludf.DUMMYFUNCTION("""COMPUTED_VALUE"""),"2023-05-03-
 10201SP1548-01")</f>
        <v>2023-05-03-
 10201SP1548-01</v>
      </c>
      <c r="G3469" s="164"/>
      <c r="H3469" s="164" t="str">
        <f ca="1">IFERROR(__xludf.DUMMYFUNCTION("""COMPUTED_VALUE"""),"ALVIN V. PIOLO")</f>
        <v>ALVIN V. PIOLO</v>
      </c>
      <c r="I3469" s="164" t="str">
        <f ca="1">IFERROR(__xludf.DUMMYFUNCTION("""COMPUTED_VALUE"""),"MIS COORDINATOR/ CARTO II, LTSP")</f>
        <v>MIS COORDINATOR/ CARTO II, LTSP</v>
      </c>
      <c r="J3469" s="164" t="str">
        <f ca="1">IFERROR(__xludf.DUMMYFUNCTION("""COMPUTED_VALUE"""),"2023-014")</f>
        <v>2023-014</v>
      </c>
      <c r="K3469" s="164" t="str">
        <f ca="1">IFERROR(__xludf.DUMMYFUNCTION("""COMPUTED_VALUE"""),"MODENITA A. MABAYLAN")</f>
        <v>MODENITA A. MABAYLAN</v>
      </c>
      <c r="L3469" s="164" t="str">
        <f ca="1">IFERROR(__xludf.DUMMYFUNCTION("""COMPUTED_VALUE"""),"DAR REGIONAL OFFICEX")</f>
        <v>DAR REGIONAL OFFICEX</v>
      </c>
      <c r="M3469" s="164" t="str">
        <f ca="1">IFERROR(__xludf.DUMMYFUNCTION("""COMPUTED_VALUE"""),"SERVICEABLE")</f>
        <v>SERVICEABLE</v>
      </c>
      <c r="N3469" s="164"/>
    </row>
    <row r="3470" spans="1:14" ht="13.2">
      <c r="A3470" s="164" t="str">
        <f ca="1">IFERROR(__xludf.DUMMYFUNCTION("""COMPUTED_VALUE"""),"Region X")</f>
        <v>Region X</v>
      </c>
      <c r="B3470" s="164" t="str">
        <f ca="1">IFERROR(__xludf.DUMMYFUNCTION("""COMPUTED_VALUE"""),"REGIONAL
 OFFICE")</f>
        <v>REGIONAL
 OFFICE</v>
      </c>
      <c r="C3470" s="164" t="str">
        <f ca="1">IFERROR(__xludf.DUMMYFUNCTION("""COMPUTED_VALUE"""),"Desktop Computer – (Lenovo M70T)")</f>
        <v>Desktop Computer – (Lenovo M70T)</v>
      </c>
      <c r="D3470" s="164" t="str">
        <f ca="1">IFERROR(__xludf.DUMMYFUNCTION("""COMPUTED_VALUE"""),"₱ 75,468.00")</f>
        <v>₱ 75,468.00</v>
      </c>
      <c r="E3470" s="164" t="str">
        <f ca="1">IFERROR(__xludf.DUMMYFUNCTION("""COMPUTED_VALUE"""),"₱ -")</f>
        <v>₱ -</v>
      </c>
      <c r="F3470" s="164" t="str">
        <f ca="1">IFERROR(__xludf.DUMMYFUNCTION("""COMPUTED_VALUE"""),"2023-05-03-
 10201SP1554-01")</f>
        <v>2023-05-03-
 10201SP1554-01</v>
      </c>
      <c r="G3470" s="164"/>
      <c r="H3470" s="164" t="str">
        <f ca="1">IFERROR(__xludf.DUMMYFUNCTION("""COMPUTED_VALUE"""),"JOEL ANGELO M. PALER")</f>
        <v>JOEL ANGELO M. PALER</v>
      </c>
      <c r="I3470" s="164" t="str">
        <f ca="1">IFERROR(__xludf.DUMMYFUNCTION("""COMPUTED_VALUE"""),"TECHNICAL STAFF 2 - ADMINISTRATIVE AND FINANCE OFFICER/ RCAO")</f>
        <v>TECHNICAL STAFF 2 - ADMINISTRATIVE AND FINANCE OFFICER/ RCAO</v>
      </c>
      <c r="J3470" s="164" t="str">
        <f ca="1">IFERROR(__xludf.DUMMYFUNCTION("""COMPUTED_VALUE"""),"2023-015")</f>
        <v>2023-015</v>
      </c>
      <c r="K3470" s="164" t="str">
        <f ca="1">IFERROR(__xludf.DUMMYFUNCTION("""COMPUTED_VALUE"""),"IVO T. TOLENTINO")</f>
        <v>IVO T. TOLENTINO</v>
      </c>
      <c r="L3470" s="164" t="str">
        <f ca="1">IFERROR(__xludf.DUMMYFUNCTION("""COMPUTED_VALUE"""),"DAR REGIONAL OFFICE X")</f>
        <v>DAR REGIONAL OFFICE X</v>
      </c>
      <c r="M3470" s="164" t="str">
        <f ca="1">IFERROR(__xludf.DUMMYFUNCTION("""COMPUTED_VALUE"""),"SERVICEABLE")</f>
        <v>SERVICEABLE</v>
      </c>
      <c r="N3470" s="164"/>
    </row>
    <row r="3471" spans="1:14" ht="13.2" hidden="1">
      <c r="A3471" s="164" t="str">
        <f ca="1">IFERROR(__xludf.DUMMYFUNCTION("""COMPUTED_VALUE"""),"Region X")</f>
        <v>Region X</v>
      </c>
      <c r="B3471" s="164" t="str">
        <f ca="1">IFERROR(__xludf.DUMMYFUNCTION("""COMPUTED_VALUE"""),"REGIONAL OFFICE")</f>
        <v>REGIONAL OFFICE</v>
      </c>
      <c r="C3471" s="164" t="str">
        <f ca="1">IFERROR(__xludf.DUMMYFUNCTION("""COMPUTED_VALUE"""),"Desktop Computer – (Lenovo M70T)")</f>
        <v>Desktop Computer – (Lenovo M70T)</v>
      </c>
      <c r="D3471" s="164" t="str">
        <f ca="1">IFERROR(__xludf.DUMMYFUNCTION("""COMPUTED_VALUE"""),"₱ 75,468.00")</f>
        <v>₱ 75,468.00</v>
      </c>
      <c r="E3471" s="164" t="str">
        <f ca="1">IFERROR(__xludf.DUMMYFUNCTION("""COMPUTED_VALUE"""),"₱ -")</f>
        <v>₱ -</v>
      </c>
      <c r="F3471" s="164" t="str">
        <f ca="1">IFERROR(__xludf.DUMMYFUNCTION("""COMPUTED_VALUE"""),"2023-05-03-
 10201SP1555-01")</f>
        <v>2023-05-03-
 10201SP1555-01</v>
      </c>
      <c r="G3471" s="164"/>
      <c r="H3471" s="164"/>
      <c r="I3471" s="164"/>
      <c r="J3471" s="164"/>
      <c r="K3471" s="164" t="str">
        <f ca="1">IFERROR(__xludf.DUMMYFUNCTION("""COMPUTED_VALUE"""),"ENGR. LEONARD Z. CASILLO")</f>
        <v>ENGR. LEONARD Z. CASILLO</v>
      </c>
      <c r="L3471" s="164"/>
      <c r="M3471" s="164" t="str">
        <f ca="1">IFERROR(__xludf.DUMMYFUNCTION("""COMPUTED_VALUE"""),"SERVICEABLE")</f>
        <v>SERVICEABLE</v>
      </c>
      <c r="N3471" s="164"/>
    </row>
    <row r="3472" spans="1:14" ht="13.2">
      <c r="A3472" s="164" t="str">
        <f ca="1">IFERROR(__xludf.DUMMYFUNCTION("""COMPUTED_VALUE"""),"Region X")</f>
        <v>Region X</v>
      </c>
      <c r="B3472" s="164" t="str">
        <f ca="1">IFERROR(__xludf.DUMMYFUNCTION("""COMPUTED_VALUE"""),"REGIONAL
 OFFICE")</f>
        <v>REGIONAL
 OFFICE</v>
      </c>
      <c r="C3472" s="164" t="str">
        <f ca="1">IFERROR(__xludf.DUMMYFUNCTION("""COMPUTED_VALUE"""),"Desktop Computer – (Lenovo M70T)")</f>
        <v>Desktop Computer – (Lenovo M70T)</v>
      </c>
      <c r="D3472" s="164" t="str">
        <f ca="1">IFERROR(__xludf.DUMMYFUNCTION("""COMPUTED_VALUE"""),"₱ 75,468.00")</f>
        <v>₱ 75,468.00</v>
      </c>
      <c r="E3472" s="164" t="str">
        <f ca="1">IFERROR(__xludf.DUMMYFUNCTION("""COMPUTED_VALUE"""),"₱ -")</f>
        <v>₱ -</v>
      </c>
      <c r="F3472" s="164" t="str">
        <f ca="1">IFERROR(__xludf.DUMMYFUNCTION("""COMPUTED_VALUE"""),"2023-05-03-
 10201SP1556-01")</f>
        <v>2023-05-03-
 10201SP1556-01</v>
      </c>
      <c r="G3472" s="164"/>
      <c r="H3472" s="164"/>
      <c r="I3472" s="164"/>
      <c r="J3472" s="164"/>
      <c r="K3472" s="164" t="str">
        <f ca="1">IFERROR(__xludf.DUMMYFUNCTION("""COMPUTED_VALUE"""),"ERRIELYN T. PARDINAN")</f>
        <v>ERRIELYN T. PARDINAN</v>
      </c>
      <c r="L3472" s="164"/>
      <c r="M3472" s="164" t="str">
        <f ca="1">IFERROR(__xludf.DUMMYFUNCTION("""COMPUTED_VALUE"""),"SERVICEABLE")</f>
        <v>SERVICEABLE</v>
      </c>
      <c r="N3472" s="164"/>
    </row>
    <row r="3473" spans="1:14" ht="13.2" hidden="1">
      <c r="A3473" s="164" t="str">
        <f ca="1">IFERROR(__xludf.DUMMYFUNCTION("""COMPUTED_VALUE"""),"Region X")</f>
        <v>Region X</v>
      </c>
      <c r="B3473" s="164" t="str">
        <f ca="1">IFERROR(__xludf.DUMMYFUNCTION("""COMPUTED_VALUE"""),"REGIONAL OFFICE")</f>
        <v>REGIONAL OFFICE</v>
      </c>
      <c r="C3473" s="164" t="str">
        <f ca="1">IFERROR(__xludf.DUMMYFUNCTION("""COMPUTED_VALUE"""),"Desktop Computer – (Lenovo M70T)")</f>
        <v>Desktop Computer – (Lenovo M70T)</v>
      </c>
      <c r="D3473" s="164" t="str">
        <f ca="1">IFERROR(__xludf.DUMMYFUNCTION("""COMPUTED_VALUE"""),"₱ 75,468.00")</f>
        <v>₱ 75,468.00</v>
      </c>
      <c r="E3473" s="164" t="str">
        <f ca="1">IFERROR(__xludf.DUMMYFUNCTION("""COMPUTED_VALUE"""),"₱ -")</f>
        <v>₱ -</v>
      </c>
      <c r="F3473" s="164" t="str">
        <f ca="1">IFERROR(__xludf.DUMMYFUNCTION("""COMPUTED_VALUE"""),"2023-05-03-
 10201SP1557-01")</f>
        <v>2023-05-03-
 10201SP1557-01</v>
      </c>
      <c r="G3473" s="164"/>
      <c r="H3473" s="164"/>
      <c r="I3473" s="164"/>
      <c r="J3473" s="164"/>
      <c r="K3473" s="164" t="str">
        <f ca="1">IFERROR(__xludf.DUMMYFUNCTION("""COMPUTED_VALUE"""),"JOCELYN BONJOC")</f>
        <v>JOCELYN BONJOC</v>
      </c>
      <c r="L3473" s="164"/>
      <c r="M3473" s="164" t="str">
        <f ca="1">IFERROR(__xludf.DUMMYFUNCTION("""COMPUTED_VALUE"""),"SERVICEABLE")</f>
        <v>SERVICEABLE</v>
      </c>
      <c r="N3473" s="164"/>
    </row>
    <row r="3474" spans="1:14" ht="13.2">
      <c r="A3474" s="164" t="str">
        <f ca="1">IFERROR(__xludf.DUMMYFUNCTION("""COMPUTED_VALUE"""),"Region X")</f>
        <v>Region X</v>
      </c>
      <c r="B3474" s="164" t="str">
        <f ca="1">IFERROR(__xludf.DUMMYFUNCTION("""COMPUTED_VALUE"""),"REGIONAL
 OFFICE")</f>
        <v>REGIONAL
 OFFICE</v>
      </c>
      <c r="C3474" s="164" t="str">
        <f ca="1">IFERROR(__xludf.DUMMYFUNCTION("""COMPUTED_VALUE"""),"Desktop Computer – (Lenovo M70T)")</f>
        <v>Desktop Computer – (Lenovo M70T)</v>
      </c>
      <c r="D3474" s="164" t="str">
        <f ca="1">IFERROR(__xludf.DUMMYFUNCTION("""COMPUTED_VALUE"""),"₱ 75,468.00")</f>
        <v>₱ 75,468.00</v>
      </c>
      <c r="E3474" s="164" t="str">
        <f ca="1">IFERROR(__xludf.DUMMYFUNCTION("""COMPUTED_VALUE"""),"₱ -")</f>
        <v>₱ -</v>
      </c>
      <c r="F3474" s="164" t="str">
        <f ca="1">IFERROR(__xludf.DUMMYFUNCTION("""COMPUTED_VALUE"""),"2023-05-03-
 10201SP1566-01")</f>
        <v>2023-05-03-
 10201SP1566-01</v>
      </c>
      <c r="G3474" s="164"/>
      <c r="H3474" s="164" t="str">
        <f ca="1">IFERROR(__xludf.DUMMYFUNCTION("""COMPUTED_VALUE"""),"ENGR. ARNOLFO B.
 MAGADAN")</f>
        <v>ENGR. ARNOLFO B.
 MAGADAN</v>
      </c>
      <c r="I3474" s="164" t="str">
        <f ca="1">IFERROR(__xludf.DUMMYFUNCTION("""COMPUTED_VALUE"""),"CHIEF, SURVEY &amp; CONTROL
 SECTION")</f>
        <v>CHIEF, SURVEY &amp; CONTROL
 SECTION</v>
      </c>
      <c r="J3474" s="164" t="str">
        <f ca="1">IFERROR(__xludf.DUMMYFUNCTION("""COMPUTED_VALUE"""),"PTR No. 2023
 04-015")</f>
        <v>PTR No. 2023
 04-015</v>
      </c>
      <c r="K3474" s="164" t="str">
        <f ca="1">IFERROR(__xludf.DUMMYFUNCTION("""COMPUTED_VALUE"""),"ENGR. ARNOLFO B.
 MAGADAN")</f>
        <v>ENGR. ARNOLFO B.
 MAGADAN</v>
      </c>
      <c r="L3474" s="164" t="str">
        <f ca="1">IFERROR(__xludf.DUMMYFUNCTION("""COMPUTED_VALUE"""),"DENR REGIONAL
 OFFICEX")</f>
        <v>DENR REGIONAL
 OFFICEX</v>
      </c>
      <c r="M3474" s="164" t="str">
        <f ca="1">IFERROR(__xludf.DUMMYFUNCTION("""COMPUTED_VALUE"""),"SERVICEABLE")</f>
        <v>SERVICEABLE</v>
      </c>
      <c r="N3474" s="164"/>
    </row>
    <row r="3475" spans="1:14" ht="13.2" hidden="1">
      <c r="A3475" s="164" t="str">
        <f ca="1">IFERROR(__xludf.DUMMYFUNCTION("""COMPUTED_VALUE"""),"Region X")</f>
        <v>Region X</v>
      </c>
      <c r="B3475" s="164" t="str">
        <f ca="1">IFERROR(__xludf.DUMMYFUNCTION("""COMPUTED_VALUE"""),"REGIONAL OFFICE")</f>
        <v>REGIONAL OFFICE</v>
      </c>
      <c r="C3475" s="164" t="str">
        <f ca="1">IFERROR(__xludf.DUMMYFUNCTION("""COMPUTED_VALUE"""),"Desktop Computer – (HP Pro SFF 280G9)")</f>
        <v>Desktop Computer – (HP Pro SFF 280G9)</v>
      </c>
      <c r="D3475" s="164" t="str">
        <f ca="1">IFERROR(__xludf.DUMMYFUNCTION("""COMPUTED_VALUE"""),"₱ 78,898.00")</f>
        <v>₱ 78,898.00</v>
      </c>
      <c r="E3475" s="164" t="str">
        <f ca="1">IFERROR(__xludf.DUMMYFUNCTION("""COMPUTED_VALUE"""),"₱ -")</f>
        <v>₱ -</v>
      </c>
      <c r="F3475" s="164" t="str">
        <f ca="1">IFERROR(__xludf.DUMMYFUNCTION("""COMPUTED_VALUE"""),"2023-05-03-
 10201SP463-01")</f>
        <v>2023-05-03-
 10201SP463-01</v>
      </c>
      <c r="G3475" s="164"/>
      <c r="H3475" s="164" t="str">
        <f ca="1">IFERROR(__xludf.DUMMYFUNCTION("""COMPUTED_VALUE"""),"ZORAIDA 0.
 MACADINDANG, AL-
 HADJ, JD")</f>
        <v>ZORAIDA 0.
 MACADINDANG, AL-
 HADJ, JD</v>
      </c>
      <c r="I3475" s="164" t="str">
        <f ca="1">IFERROR(__xludf.DUMMYFUNCTION("""COMPUTED_VALUE"""),"PROJECT MANAGER/ REGIONAL DIRECTOR")</f>
        <v>PROJECT MANAGER/ REGIONAL DIRECTOR</v>
      </c>
      <c r="J3475" s="164" t="str">
        <f ca="1">IFERROR(__xludf.DUMMYFUNCTION("""COMPUTED_VALUE"""),"2023-001")</f>
        <v>2023-001</v>
      </c>
      <c r="K3475" s="164" t="str">
        <f ca="1">IFERROR(__xludf.DUMMYFUNCTION("""COMPUTED_VALUE"""),"GLOW T. BANAC")</f>
        <v>GLOW T. BANAC</v>
      </c>
      <c r="L3475" s="164" t="str">
        <f ca="1">IFERROR(__xludf.DUMMYFUNCTION("""COMPUTED_VALUE"""),"DAR REGIONAL OFFICE X")</f>
        <v>DAR REGIONAL OFFICE X</v>
      </c>
      <c r="M3475" s="164" t="str">
        <f ca="1">IFERROR(__xludf.DUMMYFUNCTION("""COMPUTED_VALUE"""),"SERVICEABLE")</f>
        <v>SERVICEABLE</v>
      </c>
      <c r="N3475" s="164"/>
    </row>
    <row r="3476" spans="1:14" ht="13.2" hidden="1">
      <c r="A3476" s="164" t="str">
        <f ca="1">IFERROR(__xludf.DUMMYFUNCTION("""COMPUTED_VALUE"""),"Region X")</f>
        <v>Region X</v>
      </c>
      <c r="B3476" s="164" t="str">
        <f ca="1">IFERROR(__xludf.DUMMYFUNCTION("""COMPUTED_VALUE"""),"REGIONAL OFFICE")</f>
        <v>REGIONAL OFFICE</v>
      </c>
      <c r="C3476" s="164" t="str">
        <f ca="1">IFERROR(__xludf.DUMMYFUNCTION("""COMPUTED_VALUE"""),"Desktop Computer – (HP Pro SFF 280G9)")</f>
        <v>Desktop Computer – (HP Pro SFF 280G9)</v>
      </c>
      <c r="D3476" s="164" t="str">
        <f ca="1">IFERROR(__xludf.DUMMYFUNCTION("""COMPUTED_VALUE"""),"₱ 78,898.00")</f>
        <v>₱ 78,898.00</v>
      </c>
      <c r="E3476" s="164" t="str">
        <f ca="1">IFERROR(__xludf.DUMMYFUNCTION("""COMPUTED_VALUE"""),"₱ -")</f>
        <v>₱ -</v>
      </c>
      <c r="F3476" s="164" t="str">
        <f ca="1">IFERROR(__xludf.DUMMYFUNCTION("""COMPUTED_VALUE"""),"2023-05-03-
 10201SP464-01")</f>
        <v>2023-05-03-
 10201SP464-01</v>
      </c>
      <c r="G3476" s="164"/>
      <c r="H3476" s="164" t="str">
        <f ca="1">IFERROR(__xludf.DUMMYFUNCTION("""COMPUTED_VALUE"""),"ENGR. JOVY ANN D. CLARO")</f>
        <v>ENGR. JOVY ANN D. CLARO</v>
      </c>
      <c r="I3476" s="164" t="str">
        <f ca="1">IFERROR(__xludf.DUMMYFUNCTION("""COMPUTED_VALUE"""),"DENR/LRA-ROD SURVEY COORDINATOR/ ENGR Ill, LTSP")</f>
        <v>DENR/LRA-ROD SURVEY COORDINATOR/ ENGR Ill, LTSP</v>
      </c>
      <c r="J3476" s="164" t="str">
        <f ca="1">IFERROR(__xludf.DUMMYFUNCTION("""COMPUTED_VALUE"""),"2023-002")</f>
        <v>2023-002</v>
      </c>
      <c r="K3476" s="164" t="str">
        <f ca="1">IFERROR(__xludf.DUMMYFUNCTION("""COMPUTED_VALUE"""),"ENGR. KRISHA ANN N. OLLER")</f>
        <v>ENGR. KRISHA ANN N. OLLER</v>
      </c>
      <c r="L3476" s="164" t="str">
        <f ca="1">IFERROR(__xludf.DUMMYFUNCTION("""COMPUTED_VALUE"""),"DAR REGIONAL OFFICE X")</f>
        <v>DAR REGIONAL OFFICE X</v>
      </c>
      <c r="M3476" s="164" t="str">
        <f ca="1">IFERROR(__xludf.DUMMYFUNCTION("""COMPUTED_VALUE"""),"SERVICEABLE")</f>
        <v>SERVICEABLE</v>
      </c>
      <c r="N3476" s="164"/>
    </row>
    <row r="3477" spans="1:14" ht="13.2" hidden="1">
      <c r="A3477" s="164" t="str">
        <f ca="1">IFERROR(__xludf.DUMMYFUNCTION("""COMPUTED_VALUE"""),"Region X")</f>
        <v>Region X</v>
      </c>
      <c r="B3477" s="164" t="str">
        <f ca="1">IFERROR(__xludf.DUMMYFUNCTION("""COMPUTED_VALUE"""),"REGIONAL OFFICE")</f>
        <v>REGIONAL OFFICE</v>
      </c>
      <c r="C3477" s="164" t="str">
        <f ca="1">IFERROR(__xludf.DUMMYFUNCTION("""COMPUTED_VALUE"""),"Desktop Computer – (HP Pro SFF 280G9)")</f>
        <v>Desktop Computer – (HP Pro SFF 280G9)</v>
      </c>
      <c r="D3477" s="164" t="str">
        <f ca="1">IFERROR(__xludf.DUMMYFUNCTION("""COMPUTED_VALUE"""),"₱ 78,898.00")</f>
        <v>₱ 78,898.00</v>
      </c>
      <c r="E3477" s="164" t="str">
        <f ca="1">IFERROR(__xludf.DUMMYFUNCTION("""COMPUTED_VALUE"""),"₱ -")</f>
        <v>₱ -</v>
      </c>
      <c r="F3477" s="164" t="str">
        <f ca="1">IFERROR(__xludf.DUMMYFUNCTION("""COMPUTED_VALUE"""),"2023-05-03-
 10201SP465-01")</f>
        <v>2023-05-03-
 10201SP465-01</v>
      </c>
      <c r="G3477" s="164"/>
      <c r="H3477" s="164"/>
      <c r="I3477" s="164"/>
      <c r="J3477" s="164"/>
      <c r="K3477" s="164" t="str">
        <f ca="1">IFERROR(__xludf.DUMMYFUNCTION("""COMPUTED_VALUE"""),"CITRA LIKKA P. SENIEDO")</f>
        <v>CITRA LIKKA P. SENIEDO</v>
      </c>
      <c r="L3477" s="164"/>
      <c r="M3477" s="164" t="str">
        <f ca="1">IFERROR(__xludf.DUMMYFUNCTION("""COMPUTED_VALUE"""),"SERVICEABLE")</f>
        <v>SERVICEABLE</v>
      </c>
      <c r="N3477" s="164"/>
    </row>
    <row r="3478" spans="1:14" ht="13.2" hidden="1">
      <c r="A3478" s="164" t="str">
        <f ca="1">IFERROR(__xludf.DUMMYFUNCTION("""COMPUTED_VALUE"""),"Region X")</f>
        <v>Region X</v>
      </c>
      <c r="B3478" s="164" t="str">
        <f ca="1">IFERROR(__xludf.DUMMYFUNCTION("""COMPUTED_VALUE"""),"REGIONAL OFFICE")</f>
        <v>REGIONAL OFFICE</v>
      </c>
      <c r="C3478" s="164" t="str">
        <f ca="1">IFERROR(__xludf.DUMMYFUNCTION("""COMPUTED_VALUE"""),"Desktop Computer – (HP Pro SFF 280G9)")</f>
        <v>Desktop Computer – (HP Pro SFF 280G9)</v>
      </c>
      <c r="D3478" s="164" t="str">
        <f ca="1">IFERROR(__xludf.DUMMYFUNCTION("""COMPUTED_VALUE"""),"₱ 78,898.00")</f>
        <v>₱ 78,898.00</v>
      </c>
      <c r="E3478" s="164" t="str">
        <f ca="1">IFERROR(__xludf.DUMMYFUNCTION("""COMPUTED_VALUE"""),"₱ -")</f>
        <v>₱ -</v>
      </c>
      <c r="F3478" s="164" t="str">
        <f ca="1">IFERROR(__xludf.DUMMYFUNCTION("""COMPUTED_VALUE"""),"2023-05-03-
 10201SP466-01")</f>
        <v>2023-05-03-
 10201SP466-01</v>
      </c>
      <c r="G3478" s="164"/>
      <c r="H3478" s="164" t="str">
        <f ca="1">IFERROR(__xludf.DUMMYFUNCTION("""COMPUTED_VALUE"""),"JOEL ANGELO M. PALER")</f>
        <v>JOEL ANGELO M. PALER</v>
      </c>
      <c r="I3478" s="164" t="str">
        <f ca="1">IFERROR(__xludf.DUMMYFUNCTION("""COMPUTED_VALUE"""),"TECHNICAL STAFF 2 - ADMINISTRATIVE AND
 FINANCE OFFICER/ RCAO")</f>
        <v>TECHNICAL STAFF 2 - ADMINISTRATIVE AND
 FINANCE OFFICER/ RCAO</v>
      </c>
      <c r="J3478" s="164" t="str">
        <f ca="1">IFERROR(__xludf.DUMMYFUNCTION("""COMPUTED_VALUE"""),"2023-003")</f>
        <v>2023-003</v>
      </c>
      <c r="K3478" s="164" t="str">
        <f ca="1">IFERROR(__xludf.DUMMYFUNCTION("""COMPUTED_VALUE"""),"JUSSEL S. GABE")</f>
        <v>JUSSEL S. GABE</v>
      </c>
      <c r="L3478" s="164" t="str">
        <f ca="1">IFERROR(__xludf.DUMMYFUNCTION("""COMPUTED_VALUE"""),"DAR REGIONAL OFFICEX")</f>
        <v>DAR REGIONAL OFFICEX</v>
      </c>
      <c r="M3478" s="164" t="str">
        <f ca="1">IFERROR(__xludf.DUMMYFUNCTION("""COMPUTED_VALUE"""),"SERVICEABLE")</f>
        <v>SERVICEABLE</v>
      </c>
      <c r="N3478" s="164"/>
    </row>
    <row r="3479" spans="1:14" ht="13.2" hidden="1">
      <c r="A3479" s="164" t="str">
        <f ca="1">IFERROR(__xludf.DUMMYFUNCTION("""COMPUTED_VALUE"""),"Region X")</f>
        <v>Region X</v>
      </c>
      <c r="B3479" s="164" t="str">
        <f ca="1">IFERROR(__xludf.DUMMYFUNCTION("""COMPUTED_VALUE"""),"REGIONAL OFFICE")</f>
        <v>REGIONAL OFFICE</v>
      </c>
      <c r="C3479" s="164" t="str">
        <f ca="1">IFERROR(__xludf.DUMMYFUNCTION("""COMPUTED_VALUE"""),"Desktop Computer – (HP Pro SFF 280G9)")</f>
        <v>Desktop Computer – (HP Pro SFF 280G9)</v>
      </c>
      <c r="D3479" s="164" t="str">
        <f ca="1">IFERROR(__xludf.DUMMYFUNCTION("""COMPUTED_VALUE"""),"₱ 78,898.00")</f>
        <v>₱ 78,898.00</v>
      </c>
      <c r="E3479" s="164" t="str">
        <f ca="1">IFERROR(__xludf.DUMMYFUNCTION("""COMPUTED_VALUE"""),"₱ -")</f>
        <v>₱ -</v>
      </c>
      <c r="F3479" s="164" t="str">
        <f ca="1">IFERROR(__xludf.DUMMYFUNCTION("""COMPUTED_VALUE"""),"2023-05-03-
 10201SP467-01")</f>
        <v>2023-05-03-
 10201SP467-01</v>
      </c>
      <c r="G3479" s="164"/>
      <c r="H3479" s="164" t="str">
        <f ca="1">IFERROR(__xludf.DUMMYFUNCTION("""COMPUTED_VALUE"""),"ATTY. STEPHANIE D. CABRERA")</f>
        <v>ATTY. STEPHANIE D. CABRERA</v>
      </c>
      <c r="I3479" s="164" t="str">
        <f ca="1">IFERROR(__xludf.DUMMYFUNCTION("""COMPUTED_VALUE"""),"LEGAL COORDINATOR/TA V")</f>
        <v>LEGAL COORDINATOR/TA V</v>
      </c>
      <c r="J3479" s="164" t="str">
        <f ca="1">IFERROR(__xludf.DUMMYFUNCTION("""COMPUTED_VALUE"""),"2023-004")</f>
        <v>2023-004</v>
      </c>
      <c r="K3479" s="164" t="str">
        <f ca="1">IFERROR(__xludf.DUMMYFUNCTION("""COMPUTED_VALUE"""),"BELLA VEJA 0. DILLA")</f>
        <v>BELLA VEJA 0. DILLA</v>
      </c>
      <c r="L3479" s="164" t="str">
        <f ca="1">IFERROR(__xludf.DUMMYFUNCTION("""COMPUTED_VALUE"""),"DAR REGIONAL OFFICEX")</f>
        <v>DAR REGIONAL OFFICEX</v>
      </c>
      <c r="M3479" s="164" t="str">
        <f ca="1">IFERROR(__xludf.DUMMYFUNCTION("""COMPUTED_VALUE"""),"SERVICEABLE")</f>
        <v>SERVICEABLE</v>
      </c>
      <c r="N3479" s="164"/>
    </row>
    <row r="3480" spans="1:14" ht="13.2" hidden="1">
      <c r="A3480" s="164" t="str">
        <f ca="1">IFERROR(__xludf.DUMMYFUNCTION("""COMPUTED_VALUE"""),"Region X")</f>
        <v>Region X</v>
      </c>
      <c r="B3480" s="164" t="str">
        <f ca="1">IFERROR(__xludf.DUMMYFUNCTION("""COMPUTED_VALUE"""),"REGIONAL OFFICE")</f>
        <v>REGIONAL OFFICE</v>
      </c>
      <c r="C3480" s="164" t="str">
        <f ca="1">IFERROR(__xludf.DUMMYFUNCTION("""COMPUTED_VALUE"""),"Desktop Computer – (HP Pro SFF 280G9)")</f>
        <v>Desktop Computer – (HP Pro SFF 280G9)</v>
      </c>
      <c r="D3480" s="164" t="str">
        <f ca="1">IFERROR(__xludf.DUMMYFUNCTION("""COMPUTED_VALUE"""),"₱ 78,898.00")</f>
        <v>₱ 78,898.00</v>
      </c>
      <c r="E3480" s="164" t="str">
        <f ca="1">IFERROR(__xludf.DUMMYFUNCTION("""COMPUTED_VALUE"""),"₱ -")</f>
        <v>₱ -</v>
      </c>
      <c r="F3480" s="164" t="str">
        <f ca="1">IFERROR(__xludf.DUMMYFUNCTION("""COMPUTED_VALUE"""),"2023-05-03-
 10201SP472-01")</f>
        <v>2023-05-03-
 10201SP472-01</v>
      </c>
      <c r="G3480" s="164"/>
      <c r="H3480" s="164" t="str">
        <f ca="1">IFERROR(__xludf.DUMMYFUNCTION("""COMPUTED_VALUE"""),"ENGR. ARNOLFO B. MAGADAN")</f>
        <v>ENGR. ARNOLFO B. MAGADAN</v>
      </c>
      <c r="I3480" s="164" t="str">
        <f ca="1">IFERROR(__xludf.DUMMYFUNCTION("""COMPUTED_VALUE"""),"CHIEF, SURVEY &amp; CONTROL SECTION")</f>
        <v>CHIEF, SURVEY &amp; CONTROL SECTION</v>
      </c>
      <c r="J3480" s="164" t="str">
        <f ca="1">IFERROR(__xludf.DUMMYFUNCTION("""COMPUTED_VALUE"""),"PTR No. 2023
 09-007")</f>
        <v>PTR No. 2023
 09-007</v>
      </c>
      <c r="K3480" s="164" t="str">
        <f ca="1">IFERROR(__xludf.DUMMYFUNCTION("""COMPUTED_VALUE"""),"ENGR. ARNOLFO B. MAGADAN")</f>
        <v>ENGR. ARNOLFO B. MAGADAN</v>
      </c>
      <c r="L3480" s="164" t="str">
        <f ca="1">IFERROR(__xludf.DUMMYFUNCTION("""COMPUTED_VALUE"""),"DENR REGIONAL OFFICEX")</f>
        <v>DENR REGIONAL OFFICEX</v>
      </c>
      <c r="M3480" s="164" t="str">
        <f ca="1">IFERROR(__xludf.DUMMYFUNCTION("""COMPUTED_VALUE"""),"SERVICEABLE")</f>
        <v>SERVICEABLE</v>
      </c>
      <c r="N3480" s="164"/>
    </row>
    <row r="3481" spans="1:14" ht="13.2" hidden="1">
      <c r="A3481" s="164" t="str">
        <f ca="1">IFERROR(__xludf.DUMMYFUNCTION("""COMPUTED_VALUE"""),"Region X")</f>
        <v>Region X</v>
      </c>
      <c r="B3481" s="164" t="str">
        <f ca="1">IFERROR(__xludf.DUMMYFUNCTION("""COMPUTED_VALUE"""),"REGIONAL OFFICE")</f>
        <v>REGIONAL OFFICE</v>
      </c>
      <c r="C3481" s="164" t="str">
        <f ca="1">IFERROR(__xludf.DUMMYFUNCTION("""COMPUTED_VALUE"""),"Desktop Computer – (HP Pro SFF 280G9)")</f>
        <v>Desktop Computer – (HP Pro SFF 280G9)</v>
      </c>
      <c r="D3481" s="164" t="str">
        <f ca="1">IFERROR(__xludf.DUMMYFUNCTION("""COMPUTED_VALUE"""),"₱ 78,898.00")</f>
        <v>₱ 78,898.00</v>
      </c>
      <c r="E3481" s="164" t="str">
        <f ca="1">IFERROR(__xludf.DUMMYFUNCTION("""COMPUTED_VALUE"""),"₱ -")</f>
        <v>₱ -</v>
      </c>
      <c r="F3481" s="164" t="str">
        <f ca="1">IFERROR(__xludf.DUMMYFUNCTION("""COMPUTED_VALUE"""),"2023-05-03-
 10201SP476-01")</f>
        <v>2023-05-03-
 10201SP476-01</v>
      </c>
      <c r="G3481" s="164"/>
      <c r="H3481" s="164"/>
      <c r="I3481" s="164"/>
      <c r="J3481" s="164"/>
      <c r="K3481" s="164"/>
      <c r="L3481" s="164"/>
      <c r="M3481" s="164" t="str">
        <f ca="1">IFERROR(__xludf.DUMMYFUNCTION("""COMPUTED_VALUE"""),"SERVICEABLE")</f>
        <v>SERVICEABLE</v>
      </c>
      <c r="N3481" s="164"/>
    </row>
    <row r="3482" spans="1:14" ht="13.2" hidden="1">
      <c r="A3482" s="164" t="str">
        <f ca="1">IFERROR(__xludf.DUMMYFUNCTION("""COMPUTED_VALUE"""),"Region X")</f>
        <v>Region X</v>
      </c>
      <c r="B3482" s="164" t="str">
        <f ca="1">IFERROR(__xludf.DUMMYFUNCTION("""COMPUTED_VALUE"""),"REGIONAL OFFICE")</f>
        <v>REGIONAL OFFICE</v>
      </c>
      <c r="C3482" s="164" t="str">
        <f ca="1">IFERROR(__xludf.DUMMYFUNCTION("""COMPUTED_VALUE"""),"Desktop Computer – (HP Pro SFF 280G9)")</f>
        <v>Desktop Computer – (HP Pro SFF 280G9)</v>
      </c>
      <c r="D3482" s="164" t="str">
        <f ca="1">IFERROR(__xludf.DUMMYFUNCTION("""COMPUTED_VALUE"""),"₱ 78,898.00")</f>
        <v>₱ 78,898.00</v>
      </c>
      <c r="E3482" s="164" t="str">
        <f ca="1">IFERROR(__xludf.DUMMYFUNCTION("""COMPUTED_VALUE"""),"₱ -")</f>
        <v>₱ -</v>
      </c>
      <c r="F3482" s="164" t="str">
        <f ca="1">IFERROR(__xludf.DUMMYFUNCTION("""COMPUTED_VALUE"""),"2023-05-03-
 10201SP478-01")</f>
        <v>2023-05-03-
 10201SP478-01</v>
      </c>
      <c r="G3482" s="164"/>
      <c r="H3482" s="164"/>
      <c r="I3482" s="164"/>
      <c r="J3482" s="164"/>
      <c r="K3482" s="164"/>
      <c r="L3482" s="164"/>
      <c r="M3482" s="164" t="str">
        <f ca="1">IFERROR(__xludf.DUMMYFUNCTION("""COMPUTED_VALUE"""),"SERVICEABLE")</f>
        <v>SERVICEABLE</v>
      </c>
      <c r="N3482" s="164"/>
    </row>
    <row r="3483" spans="1:14" ht="13.2" hidden="1">
      <c r="A3483" s="164" t="str">
        <f ca="1">IFERROR(__xludf.DUMMYFUNCTION("""COMPUTED_VALUE"""),"Region X")</f>
        <v>Region X</v>
      </c>
      <c r="B3483" s="164" t="str">
        <f ca="1">IFERROR(__xludf.DUMMYFUNCTION("""COMPUTED_VALUE"""),"REGIONAL OFFICE")</f>
        <v>REGIONAL OFFICE</v>
      </c>
      <c r="C3483" s="164" t="str">
        <f ca="1">IFERROR(__xludf.DUMMYFUNCTION("""COMPUTED_VALUE"""),"Desktop Computer – (HP Pro SFF 280G9)")</f>
        <v>Desktop Computer – (HP Pro SFF 280G9)</v>
      </c>
      <c r="D3483" s="164" t="str">
        <f ca="1">IFERROR(__xludf.DUMMYFUNCTION("""COMPUTED_VALUE"""),"₱ 78,898.00")</f>
        <v>₱ 78,898.00</v>
      </c>
      <c r="E3483" s="164" t="str">
        <f ca="1">IFERROR(__xludf.DUMMYFUNCTION("""COMPUTED_VALUE"""),"₱ -")</f>
        <v>₱ -</v>
      </c>
      <c r="F3483" s="164" t="str">
        <f ca="1">IFERROR(__xludf.DUMMYFUNCTION("""COMPUTED_VALUE"""),"2023-05-03-
 10201SP479-01")</f>
        <v>2023-05-03-
 10201SP479-01</v>
      </c>
      <c r="G3483" s="164"/>
      <c r="H3483" s="164"/>
      <c r="I3483" s="164"/>
      <c r="J3483" s="164"/>
      <c r="K3483" s="164"/>
      <c r="L3483" s="164"/>
      <c r="M3483" s="164" t="str">
        <f ca="1">IFERROR(__xludf.DUMMYFUNCTION("""COMPUTED_VALUE"""),"SERVICEABLE")</f>
        <v>SERVICEABLE</v>
      </c>
      <c r="N3483" s="164"/>
    </row>
    <row r="3484" spans="1:14" ht="13.2" hidden="1">
      <c r="A3484" s="164" t="str">
        <f ca="1">IFERROR(__xludf.DUMMYFUNCTION("""COMPUTED_VALUE"""),"Region X")</f>
        <v>Region X</v>
      </c>
      <c r="B3484" s="164" t="str">
        <f ca="1">IFERROR(__xludf.DUMMYFUNCTION("""COMPUTED_VALUE"""),"REGIONAL OFFICE")</f>
        <v>REGIONAL OFFICE</v>
      </c>
      <c r="C3484" s="164" t="str">
        <f ca="1">IFERROR(__xludf.DUMMYFUNCTION("""COMPUTED_VALUE"""),"Desktop Computer – (HP Pro SFF 280G9)")</f>
        <v>Desktop Computer – (HP Pro SFF 280G9)</v>
      </c>
      <c r="D3484" s="164" t="str">
        <f ca="1">IFERROR(__xludf.DUMMYFUNCTION("""COMPUTED_VALUE"""),"₱ 78,898.00")</f>
        <v>₱ 78,898.00</v>
      </c>
      <c r="E3484" s="164" t="str">
        <f ca="1">IFERROR(__xludf.DUMMYFUNCTION("""COMPUTED_VALUE"""),"₱ -")</f>
        <v>₱ -</v>
      </c>
      <c r="F3484" s="164" t="str">
        <f ca="1">IFERROR(__xludf.DUMMYFUNCTION("""COMPUTED_VALUE"""),"2023-05-03-
 10201SP462-01")</f>
        <v>2023-05-03-
 10201SP462-01</v>
      </c>
      <c r="G3484" s="164"/>
      <c r="H3484" s="164"/>
      <c r="I3484" s="164"/>
      <c r="J3484" s="164"/>
      <c r="K3484" s="164"/>
      <c r="L3484" s="164"/>
      <c r="M3484" s="164" t="str">
        <f ca="1">IFERROR(__xludf.DUMMYFUNCTION("""COMPUTED_VALUE"""),"SERVICEABLE")</f>
        <v>SERVICEABLE</v>
      </c>
      <c r="N3484" s="164"/>
    </row>
    <row r="3485" spans="1:14" ht="13.2" hidden="1">
      <c r="A3485" s="164" t="str">
        <f ca="1">IFERROR(__xludf.DUMMYFUNCTION("""COMPUTED_VALUE"""),"Region X")</f>
        <v>Region X</v>
      </c>
      <c r="B3485" s="164" t="str">
        <f ca="1">IFERROR(__xludf.DUMMYFUNCTION("""COMPUTED_VALUE"""),"MISAMIS ORIENTAL")</f>
        <v>MISAMIS ORIENTAL</v>
      </c>
      <c r="C3485" s="164" t="str">
        <f ca="1">IFERROR(__xludf.DUMMYFUNCTION("""COMPUTED_VALUE"""),"HANDHELD GPS – MODEL P6")</f>
        <v>HANDHELD GPS – MODEL P6</v>
      </c>
      <c r="D3485" s="164" t="str">
        <f ca="1">IFERROR(__xludf.DUMMYFUNCTION("""COMPUTED_VALUE"""),"₱ 79,000.00")</f>
        <v>₱ 79,000.00</v>
      </c>
      <c r="E3485" s="164" t="str">
        <f ca="1">IFERROR(__xludf.DUMMYFUNCTION("""COMPUTED_VALUE"""),"₱ -")</f>
        <v>₱ -</v>
      </c>
      <c r="F3485" s="164" t="str">
        <f ca="1">IFERROR(__xludf.DUMMYFUNCTION("""COMPUTED_VALUE"""),"2023-04-14-1020SP71-01")</f>
        <v>2023-04-14-1020SP71-01</v>
      </c>
      <c r="G3485" s="164"/>
      <c r="H3485" s="164" t="str">
        <f ca="1">IFERROR(__xludf.DUMMYFUNCTION("""COMPUTED_VALUE"""),"ENGR. JOVY ANN D. CLARO")</f>
        <v>ENGR. JOVY ANN D. CLARO</v>
      </c>
      <c r="I3485" s="164" t="str">
        <f ca="1">IFERROR(__xludf.DUMMYFUNCTION("""COMPUTED_VALUE"""),"DENR/LRA-ROD SURVEY COORDINATOR/ ENGR Ill, LTSP")</f>
        <v>DENR/LRA-ROD SURVEY COORDINATOR/ ENGR Ill, LTSP</v>
      </c>
      <c r="J3485" s="164" t="str">
        <f ca="1">IFERROR(__xludf.DUMMYFUNCTION("""COMPUTED_VALUE"""),"2023-001")</f>
        <v>2023-001</v>
      </c>
      <c r="K3485" s="164" t="str">
        <f ca="1">IFERROR(__xludf.DUMMYFUNCTION("""COMPUTED_VALUE"""),"ENGR. JOVY ANN D. CLARO")</f>
        <v>ENGR. JOVY ANN D. CLARO</v>
      </c>
      <c r="L3485" s="164" t="str">
        <f ca="1">IFERROR(__xludf.DUMMYFUNCTION("""COMPUTED_VALUE"""),"DAR REGIONAL OFFICEX")</f>
        <v>DAR REGIONAL OFFICEX</v>
      </c>
      <c r="M3485" s="164" t="str">
        <f ca="1">IFERROR(__xludf.DUMMYFUNCTION("""COMPUTED_VALUE"""),"SERVICEABLE")</f>
        <v>SERVICEABLE</v>
      </c>
      <c r="N3485" s="164"/>
    </row>
    <row r="3486" spans="1:14" ht="13.2">
      <c r="A3486" s="164" t="str">
        <f ca="1">IFERROR(__xludf.DUMMYFUNCTION("""COMPUTED_VALUE"""),"Region X")</f>
        <v>Region X</v>
      </c>
      <c r="B3486" s="164" t="str">
        <f ca="1">IFERROR(__xludf.DUMMYFUNCTION("""COMPUTED_VALUE"""),"LANAO DEL NORTE")</f>
        <v>LANAO DEL NORTE</v>
      </c>
      <c r="C3486" s="164" t="str">
        <f ca="1">IFERROR(__xludf.DUMMYFUNCTION("""COMPUTED_VALUE"""),"HANDHELD GPS – MODEL P6")</f>
        <v>HANDHELD GPS – MODEL P6</v>
      </c>
      <c r="D3486" s="164" t="str">
        <f ca="1">IFERROR(__xludf.DUMMYFUNCTION("""COMPUTED_VALUE"""),"₱ 79,000.00")</f>
        <v>₱ 79,000.00</v>
      </c>
      <c r="E3486" s="164" t="str">
        <f ca="1">IFERROR(__xludf.DUMMYFUNCTION("""COMPUTED_VALUE"""),"₱ -")</f>
        <v>₱ -</v>
      </c>
      <c r="F3486" s="164" t="str">
        <f ca="1">IFERROR(__xludf.DUMMYFUNCTION("""COMPUTED_VALUE"""),"2023-04-14-1020SP68-01")</f>
        <v>2023-04-14-1020SP68-01</v>
      </c>
      <c r="G3486" s="164"/>
      <c r="H3486" s="164" t="str">
        <f ca="1">IFERROR(__xludf.DUMMYFUNCTION("""COMPUTED_VALUE"""),"ENGR. JOVY ANN D. CLARO")</f>
        <v>ENGR. JOVY ANN D. CLARO</v>
      </c>
      <c r="I3486" s="164" t="str">
        <f ca="1">IFERROR(__xludf.DUMMYFUNCTION("""COMPUTED_VALUE"""),"DENR/LRA-ROD SURVEY COORDINATOR/ ENGR Ill, LTSP")</f>
        <v>DENR/LRA-ROD SURVEY COORDINATOR/ ENGR Ill, LTSP</v>
      </c>
      <c r="J3486" s="164" t="str">
        <f ca="1">IFERROR(__xludf.DUMMYFUNCTION("""COMPUTED_VALUE"""),"2023-001")</f>
        <v>2023-001</v>
      </c>
      <c r="K3486" s="164" t="str">
        <f ca="1">IFERROR(__xludf.DUMMYFUNCTION("""COMPUTED_VALUE"""),"ENGR. JOVY ANN D. CLARO")</f>
        <v>ENGR. JOVY ANN D. CLARO</v>
      </c>
      <c r="L3486" s="164" t="str">
        <f ca="1">IFERROR(__xludf.DUMMYFUNCTION("""COMPUTED_VALUE"""),"DAR REGIONAL OFFICEX")</f>
        <v>DAR REGIONAL OFFICEX</v>
      </c>
      <c r="M3486" s="164" t="str">
        <f ca="1">IFERROR(__xludf.DUMMYFUNCTION("""COMPUTED_VALUE"""),"SERVICEABLE")</f>
        <v>SERVICEABLE</v>
      </c>
      <c r="N3486" s="164"/>
    </row>
    <row r="3487" spans="1:14" ht="13.2">
      <c r="A3487" s="164" t="str">
        <f ca="1">IFERROR(__xludf.DUMMYFUNCTION("""COMPUTED_VALUE"""),"Region X")</f>
        <v>Region X</v>
      </c>
      <c r="B3487" s="164" t="str">
        <f ca="1">IFERROR(__xludf.DUMMYFUNCTION("""COMPUTED_VALUE"""),"MISAMI9S OCCIDENTAL")</f>
        <v>MISAMI9S OCCIDENTAL</v>
      </c>
      <c r="C3487" s="164" t="str">
        <f ca="1">IFERROR(__xludf.DUMMYFUNCTION("""COMPUTED_VALUE"""),"HANDHELD GPS – MODEL P6")</f>
        <v>HANDHELD GPS – MODEL P6</v>
      </c>
      <c r="D3487" s="164" t="str">
        <f ca="1">IFERROR(__xludf.DUMMYFUNCTION("""COMPUTED_VALUE"""),"₱ 79,000.00")</f>
        <v>₱ 79,000.00</v>
      </c>
      <c r="E3487" s="164" t="str">
        <f ca="1">IFERROR(__xludf.DUMMYFUNCTION("""COMPUTED_VALUE"""),"₱ -")</f>
        <v>₱ -</v>
      </c>
      <c r="F3487" s="164" t="str">
        <f ca="1">IFERROR(__xludf.DUMMYFUNCTION("""COMPUTED_VALUE"""),"2023-04-14-1020SP70-01")</f>
        <v>2023-04-14-1020SP70-01</v>
      </c>
      <c r="G3487" s="164"/>
      <c r="H3487" s="164" t="str">
        <f ca="1">IFERROR(__xludf.DUMMYFUNCTION("""COMPUTED_VALUE"""),"ENGR. JOVY ANN D. CLARO")</f>
        <v>ENGR. JOVY ANN D. CLARO</v>
      </c>
      <c r="I3487" s="164" t="str">
        <f ca="1">IFERROR(__xludf.DUMMYFUNCTION("""COMPUTED_VALUE"""),"DENR/LRA-ROD SURVEY COORDINATOR/ ENGR Ill, LTSP")</f>
        <v>DENR/LRA-ROD SURVEY COORDINATOR/ ENGR Ill, LTSP</v>
      </c>
      <c r="J3487" s="164" t="str">
        <f ca="1">IFERROR(__xludf.DUMMYFUNCTION("""COMPUTED_VALUE"""),"2023-001")</f>
        <v>2023-001</v>
      </c>
      <c r="K3487" s="164" t="str">
        <f ca="1">IFERROR(__xludf.DUMMYFUNCTION("""COMPUTED_VALUE"""),"ENGR. JOVY ANN D. CLARO")</f>
        <v>ENGR. JOVY ANN D. CLARO</v>
      </c>
      <c r="L3487" s="164" t="str">
        <f ca="1">IFERROR(__xludf.DUMMYFUNCTION("""COMPUTED_VALUE"""),"DAR REGIONAL OFFICEX")</f>
        <v>DAR REGIONAL OFFICEX</v>
      </c>
      <c r="M3487" s="164" t="str">
        <f ca="1">IFERROR(__xludf.DUMMYFUNCTION("""COMPUTED_VALUE"""),"SERVICEABLE")</f>
        <v>SERVICEABLE</v>
      </c>
      <c r="N3487" s="164"/>
    </row>
    <row r="3488" spans="1:14" ht="13.2" hidden="1">
      <c r="A3488" s="164" t="str">
        <f ca="1">IFERROR(__xludf.DUMMYFUNCTION("""COMPUTED_VALUE"""),"Region X")</f>
        <v>Region X</v>
      </c>
      <c r="B3488" s="164" t="str">
        <f ca="1">IFERROR(__xludf.DUMMYFUNCTION("""COMPUTED_VALUE"""),"BUKIDNON")</f>
        <v>BUKIDNON</v>
      </c>
      <c r="C3488" s="164" t="str">
        <f ca="1">IFERROR(__xludf.DUMMYFUNCTION("""COMPUTED_VALUE"""),"HANDHELD GPS – MODEL P6")</f>
        <v>HANDHELD GPS – MODEL P6</v>
      </c>
      <c r="D3488" s="164" t="str">
        <f ca="1">IFERROR(__xludf.DUMMYFUNCTION("""COMPUTED_VALUE"""),"₱ 79,000.00")</f>
        <v>₱ 79,000.00</v>
      </c>
      <c r="E3488" s="164" t="str">
        <f ca="1">IFERROR(__xludf.DUMMYFUNCTION("""COMPUTED_VALUE"""),"₱ -")</f>
        <v>₱ -</v>
      </c>
      <c r="F3488" s="164" t="str">
        <f ca="1">IFERROR(__xludf.DUMMYFUNCTION("""COMPUTED_VALUE"""),"2023-04-14-1020SP69-01")</f>
        <v>2023-04-14-1020SP69-01</v>
      </c>
      <c r="G3488" s="164"/>
      <c r="H3488" s="164" t="str">
        <f ca="1">IFERROR(__xludf.DUMMYFUNCTION("""COMPUTED_VALUE"""),"ENGR. JOVY ANN D. CLARO")</f>
        <v>ENGR. JOVY ANN D. CLARO</v>
      </c>
      <c r="I3488" s="164" t="str">
        <f ca="1">IFERROR(__xludf.DUMMYFUNCTION("""COMPUTED_VALUE"""),"DENR/LRA-ROD SURVEY COORDINATOR/ ENGR Ill, LTSP")</f>
        <v>DENR/LRA-ROD SURVEY COORDINATOR/ ENGR Ill, LTSP</v>
      </c>
      <c r="J3488" s="164" t="str">
        <f ca="1">IFERROR(__xludf.DUMMYFUNCTION("""COMPUTED_VALUE"""),"2023-001")</f>
        <v>2023-001</v>
      </c>
      <c r="K3488" s="164" t="str">
        <f ca="1">IFERROR(__xludf.DUMMYFUNCTION("""COMPUTED_VALUE"""),"ENGR. JOVY ANN D. CLARO")</f>
        <v>ENGR. JOVY ANN D. CLARO</v>
      </c>
      <c r="L3488" s="164" t="str">
        <f ca="1">IFERROR(__xludf.DUMMYFUNCTION("""COMPUTED_VALUE"""),"DAR REGIONAL OFFICEX")</f>
        <v>DAR REGIONAL OFFICEX</v>
      </c>
      <c r="M3488" s="164" t="str">
        <f ca="1">IFERROR(__xludf.DUMMYFUNCTION("""COMPUTED_VALUE"""),"SERVICEABLE")</f>
        <v>SERVICEABLE</v>
      </c>
      <c r="N3488" s="164"/>
    </row>
    <row r="3489" spans="1:14" ht="13.2" hidden="1">
      <c r="A3489" s="164" t="str">
        <f ca="1">IFERROR(__xludf.DUMMYFUNCTION("""COMPUTED_VALUE"""),"Region X")</f>
        <v>Region X</v>
      </c>
      <c r="B3489" s="164" t="str">
        <f ca="1">IFERROR(__xludf.DUMMYFUNCTION("""COMPUTED_VALUE"""),"REGIONAL OFFICE")</f>
        <v>REGIONAL OFFICE</v>
      </c>
      <c r="C3489" s="164" t="str">
        <f ca="1">IFERROR(__xludf.DUMMYFUNCTION("""COMPUTED_VALUE"""),"HANDHELD GPS – MODEL P6")</f>
        <v>HANDHELD GPS – MODEL P6</v>
      </c>
      <c r="D3489" s="164" t="str">
        <f ca="1">IFERROR(__xludf.DUMMYFUNCTION("""COMPUTED_VALUE"""),"₱ 79,000.00")</f>
        <v>₱ 79,000.00</v>
      </c>
      <c r="E3489" s="164" t="str">
        <f ca="1">IFERROR(__xludf.DUMMYFUNCTION("""COMPUTED_VALUE"""),"₱ -")</f>
        <v>₱ -</v>
      </c>
      <c r="F3489" s="164" t="str">
        <f ca="1">IFERROR(__xludf.DUMMYFUNCTION("""COMPUTED_VALUE"""),"2023-04-14-1020SP67-01")</f>
        <v>2023-04-14-1020SP67-01</v>
      </c>
      <c r="G3489" s="164"/>
      <c r="H3489" s="164" t="str">
        <f ca="1">IFERROR(__xludf.DUMMYFUNCTION("""COMPUTED_VALUE"""),"ENGR. JOVY ANN D. CLARO")</f>
        <v>ENGR. JOVY ANN D. CLARO</v>
      </c>
      <c r="I3489" s="164" t="str">
        <f ca="1">IFERROR(__xludf.DUMMYFUNCTION("""COMPUTED_VALUE"""),"DENR/LRA-ROD SURVEY COORDINATOR/ ENGR Ill, LTSP")</f>
        <v>DENR/LRA-ROD SURVEY COORDINATOR/ ENGR Ill, LTSP</v>
      </c>
      <c r="J3489" s="164" t="str">
        <f ca="1">IFERROR(__xludf.DUMMYFUNCTION("""COMPUTED_VALUE"""),"2023-001")</f>
        <v>2023-001</v>
      </c>
      <c r="K3489" s="164" t="str">
        <f ca="1">IFERROR(__xludf.DUMMYFUNCTION("""COMPUTED_VALUE"""),"ENGR. JOVY ANN D. CLARO")</f>
        <v>ENGR. JOVY ANN D. CLARO</v>
      </c>
      <c r="L3489" s="164" t="str">
        <f ca="1">IFERROR(__xludf.DUMMYFUNCTION("""COMPUTED_VALUE"""),"DAR REGIONAL OFFICEX")</f>
        <v>DAR REGIONAL OFFICEX</v>
      </c>
      <c r="M3489" s="164" t="str">
        <f ca="1">IFERROR(__xludf.DUMMYFUNCTION("""COMPUTED_VALUE"""),"SERVICEABLE")</f>
        <v>SERVICEABLE</v>
      </c>
      <c r="N3489" s="164"/>
    </row>
    <row r="3490" spans="1:14" ht="13.2" hidden="1">
      <c r="A3490" s="164" t="str">
        <f ca="1">IFERROR(__xludf.DUMMYFUNCTION("""COMPUTED_VALUE"""),"Region X")</f>
        <v>Region X</v>
      </c>
      <c r="B3490" s="164" t="str">
        <f ca="1">IFERROR(__xludf.DUMMYFUNCTION("""COMPUTED_VALUE"""),"REGIONAL OFFICE")</f>
        <v>REGIONAL OFFICE</v>
      </c>
      <c r="C3490" s="164" t="str">
        <f ca="1">IFERROR(__xludf.DUMMYFUNCTION("""COMPUTED_VALUE"""),"HANDHELD GPS – MODEL P6")</f>
        <v>HANDHELD GPS – MODEL P6</v>
      </c>
      <c r="D3490" s="164" t="str">
        <f ca="1">IFERROR(__xludf.DUMMYFUNCTION("""COMPUTED_VALUE"""),"₱ 79,000.00")</f>
        <v>₱ 79,000.00</v>
      </c>
      <c r="E3490" s="164" t="str">
        <f ca="1">IFERROR(__xludf.DUMMYFUNCTION("""COMPUTED_VALUE"""),"₱ -")</f>
        <v>₱ -</v>
      </c>
      <c r="F3490" s="164" t="str">
        <f ca="1">IFERROR(__xludf.DUMMYFUNCTION("""COMPUTED_VALUE"""),"2023-04-14-1020SP72-01")</f>
        <v>2023-04-14-1020SP72-01</v>
      </c>
      <c r="G3490" s="164"/>
      <c r="H3490" s="164" t="str">
        <f ca="1">IFERROR(__xludf.DUMMYFUNCTION("""COMPUTED_VALUE"""),"ENGR. JOVY ANN D. CLARO")</f>
        <v>ENGR. JOVY ANN D. CLARO</v>
      </c>
      <c r="I3490" s="164" t="str">
        <f ca="1">IFERROR(__xludf.DUMMYFUNCTION("""COMPUTED_VALUE"""),"DENR/LRA-ROD SURVEY COORDINATOR/ ENGR Ill, LTSP")</f>
        <v>DENR/LRA-ROD SURVEY COORDINATOR/ ENGR Ill, LTSP</v>
      </c>
      <c r="J3490" s="164" t="str">
        <f ca="1">IFERROR(__xludf.DUMMYFUNCTION("""COMPUTED_VALUE"""),"2023-001")</f>
        <v>2023-001</v>
      </c>
      <c r="K3490" s="164" t="str">
        <f ca="1">IFERROR(__xludf.DUMMYFUNCTION("""COMPUTED_VALUE"""),"ENGR. JOVY ANN D. CLARO")</f>
        <v>ENGR. JOVY ANN D. CLARO</v>
      </c>
      <c r="L3490" s="164" t="str">
        <f ca="1">IFERROR(__xludf.DUMMYFUNCTION("""COMPUTED_VALUE"""),"DAR REGIONAL OFFICEX")</f>
        <v>DAR REGIONAL OFFICEX</v>
      </c>
      <c r="M3490" s="164" t="str">
        <f ca="1">IFERROR(__xludf.DUMMYFUNCTION("""COMPUTED_VALUE"""),"SERVICEABLE")</f>
        <v>SERVICEABLE</v>
      </c>
      <c r="N3490" s="164"/>
    </row>
    <row r="3491" spans="1:14" ht="13.2" hidden="1">
      <c r="A3491" s="164" t="str">
        <f ca="1">IFERROR(__xludf.DUMMYFUNCTION("""COMPUTED_VALUE"""),"Region X")</f>
        <v>Region X</v>
      </c>
      <c r="B3491" s="164" t="str">
        <f ca="1">IFERROR(__xludf.DUMMYFUNCTION("""COMPUTED_VALUE"""),"REGIONAL OFFICE")</f>
        <v>REGIONAL OFFICE</v>
      </c>
      <c r="C3491" s="164" t="str">
        <f ca="1">IFERROR(__xludf.DUMMYFUNCTION("""COMPUTED_VALUE"""),"PLOTTER (3IN1)")</f>
        <v>PLOTTER (3IN1)</v>
      </c>
      <c r="D3491" s="164" t="str">
        <f ca="1">IFERROR(__xludf.DUMMYFUNCTION("""COMPUTED_VALUE"""),"₱ 648,000.00")</f>
        <v>₱ 648,000.00</v>
      </c>
      <c r="E3491" s="164" t="str">
        <f ca="1">IFERROR(__xludf.DUMMYFUNCTION("""COMPUTED_VALUE"""),"₱ -")</f>
        <v>₱ -</v>
      </c>
      <c r="F3491" s="164" t="str">
        <f ca="1">IFERROR(__xludf.DUMMYFUNCTION("""COMPUTED_VALUE"""),"2024-05-13-10204SP13-O1")</f>
        <v>2024-05-13-10204SP13-O1</v>
      </c>
      <c r="G3491" s="164"/>
      <c r="H3491" s="164" t="str">
        <f ca="1">IFERROR(__xludf.DUMMYFUNCTION("""COMPUTED_VALUE"""),"TBD")</f>
        <v>TBD</v>
      </c>
      <c r="I3491" s="164" t="str">
        <f ca="1">IFERROR(__xludf.DUMMYFUNCTION("""COMPUTED_VALUE"""),"TBD")</f>
        <v>TBD</v>
      </c>
      <c r="J3491" s="164" t="str">
        <f ca="1">IFERROR(__xludf.DUMMYFUNCTION("""COMPUTED_VALUE"""),"TBD")</f>
        <v>TBD</v>
      </c>
      <c r="K3491" s="164" t="str">
        <f ca="1">IFERROR(__xludf.DUMMYFUNCTION("""COMPUTED_VALUE"""),"TBD")</f>
        <v>TBD</v>
      </c>
      <c r="L3491" s="164" t="str">
        <f ca="1">IFERROR(__xludf.DUMMYFUNCTION("""COMPUTED_VALUE"""),"TBD")</f>
        <v>TBD</v>
      </c>
      <c r="M3491" s="164" t="str">
        <f ca="1">IFERROR(__xludf.DUMMYFUNCTION("""COMPUTED_VALUE"""),"SERVICEABLE")</f>
        <v>SERVICEABLE</v>
      </c>
      <c r="N3491" s="164"/>
    </row>
    <row r="3492" spans="1:14" ht="13.2" hidden="1">
      <c r="A3492" s="164" t="str">
        <f ca="1">IFERROR(__xludf.DUMMYFUNCTION("""COMPUTED_VALUE"""),"Region X")</f>
        <v>Region X</v>
      </c>
      <c r="B3492" s="164" t="str">
        <f ca="1">IFERROR(__xludf.DUMMYFUNCTION("""COMPUTED_VALUE"""),"REGIONAL OFFICE")</f>
        <v>REGIONAL OFFICE</v>
      </c>
      <c r="C3492" s="164" t="str">
        <f ca="1">IFERROR(__xludf.DUMMYFUNCTION("""COMPUTED_VALUE"""),"A3 PRINTER (BROTHER)")</f>
        <v>A3 PRINTER (BROTHER)</v>
      </c>
      <c r="D3492" s="164" t="str">
        <f ca="1">IFERROR(__xludf.DUMMYFUNCTION("""COMPUTED_VALUE"""),"₱ 33,508.00")</f>
        <v>₱ 33,508.00</v>
      </c>
      <c r="E3492" s="164" t="str">
        <f ca="1">IFERROR(__xludf.DUMMYFUNCTION("""COMPUTED_VALUE"""),"₱ -")</f>
        <v>₱ -</v>
      </c>
      <c r="F3492" s="164" t="str">
        <f ca="1">IFERROR(__xludf.DUMMYFUNCTION("""COMPUTED_VALUE"""),"HV-SPLIT-102-24-05-058")</f>
        <v>HV-SPLIT-102-24-05-058</v>
      </c>
      <c r="G3492" s="164"/>
      <c r="H3492" s="164" t="str">
        <f ca="1">IFERROR(__xludf.DUMMYFUNCTION("""COMPUTED_VALUE"""),"ZORAIDA MACADINDANG")</f>
        <v>ZORAIDA MACADINDANG</v>
      </c>
      <c r="I3492" s="164" t="str">
        <f ca="1">IFERROR(__xludf.DUMMYFUNCTION("""COMPUTED_VALUE"""),"REGIONAL DIRECTOR")</f>
        <v>REGIONAL DIRECTOR</v>
      </c>
      <c r="J3492" s="164" t="str">
        <f ca="1">IFERROR(__xludf.DUMMYFUNCTION("""COMPUTED_VALUE"""),"2024-05-012")</f>
        <v>2024-05-012</v>
      </c>
      <c r="K3492" s="164"/>
      <c r="L3492" s="164" t="str">
        <f ca="1">IFERROR(__xludf.DUMMYFUNCTION("""COMPUTED_VALUE"""),"DARRO X")</f>
        <v>DARRO X</v>
      </c>
      <c r="M3492" s="164" t="str">
        <f ca="1">IFERROR(__xludf.DUMMYFUNCTION("""COMPUTED_VALUE"""),"SERVICEABLE")</f>
        <v>SERVICEABLE</v>
      </c>
      <c r="N3492" s="164"/>
    </row>
    <row r="3493" spans="1:14" ht="13.2" hidden="1">
      <c r="A3493" s="164" t="str">
        <f ca="1">IFERROR(__xludf.DUMMYFUNCTION("""COMPUTED_VALUE"""),"Region X")</f>
        <v>Region X</v>
      </c>
      <c r="B3493" s="164" t="str">
        <f ca="1">IFERROR(__xludf.DUMMYFUNCTION("""COMPUTED_VALUE"""),"REGIONAL OFFICE")</f>
        <v>REGIONAL OFFICE</v>
      </c>
      <c r="C3493" s="164" t="str">
        <f ca="1">IFERROR(__xludf.DUMMYFUNCTION("""COMPUTED_VALUE"""),"ACER TRAVELMATE")</f>
        <v>ACER TRAVELMATE</v>
      </c>
      <c r="D3493" s="164" t="str">
        <f ca="1">IFERROR(__xludf.DUMMYFUNCTION("""COMPUTED_VALUE"""),"₱ 46,580.00")</f>
        <v>₱ 46,580.00</v>
      </c>
      <c r="E3493" s="164" t="str">
        <f ca="1">IFERROR(__xludf.DUMMYFUNCTION("""COMPUTED_VALUE"""),"₱ -")</f>
        <v>₱ -</v>
      </c>
      <c r="F3493" s="164" t="str">
        <f ca="1">IFERROR(__xludf.DUMMYFUNCTION("""COMPUTED_VALUE"""),"2024-05-03-10202SP-316-01")</f>
        <v>2024-05-03-10202SP-316-01</v>
      </c>
      <c r="G3493" s="164"/>
      <c r="H3493" s="164" t="str">
        <f ca="1">IFERROR(__xludf.DUMMYFUNCTION("""COMPUTED_VALUE"""),"WILFREDO P HISONA JR")</f>
        <v>WILFREDO P HISONA JR</v>
      </c>
      <c r="I3493" s="164" t="str">
        <f ca="1">IFERROR(__xludf.DUMMYFUNCTION("""COMPUTED_VALUE"""),"INFO OFFICER III")</f>
        <v>INFO OFFICER III</v>
      </c>
      <c r="J3493" s="164"/>
      <c r="K3493" s="164" t="str">
        <f ca="1">IFERROR(__xludf.DUMMYFUNCTION("""COMPUTED_VALUE"""),"WILFREDO P HISONA JR")</f>
        <v>WILFREDO P HISONA JR</v>
      </c>
      <c r="L3493" s="164" t="str">
        <f ca="1">IFERROR(__xludf.DUMMYFUNCTION("""COMPUTED_VALUE"""),"DAR REGIONAL OFFICEX")</f>
        <v>DAR REGIONAL OFFICEX</v>
      </c>
      <c r="M3493" s="164" t="str">
        <f ca="1">IFERROR(__xludf.DUMMYFUNCTION("""COMPUTED_VALUE"""),"SERVICEABLE")</f>
        <v>SERVICEABLE</v>
      </c>
      <c r="N3493" s="164"/>
    </row>
    <row r="3494" spans="1:14" ht="13.2" hidden="1">
      <c r="A3494" s="164" t="str">
        <f ca="1">IFERROR(__xludf.DUMMYFUNCTION("""COMPUTED_VALUE"""),"Region X")</f>
        <v>Region X</v>
      </c>
      <c r="B3494" s="164" t="str">
        <f ca="1">IFERROR(__xludf.DUMMYFUNCTION("""COMPUTED_VALUE"""),"REGIONAL OFFICE")</f>
        <v>REGIONAL OFFICE</v>
      </c>
      <c r="C3494" s="164" t="str">
        <f ca="1">IFERROR(__xludf.DUMMYFUNCTION("""COMPUTED_VALUE"""),"ACER TRAVELMATE")</f>
        <v>ACER TRAVELMATE</v>
      </c>
      <c r="D3494" s="164" t="str">
        <f ca="1">IFERROR(__xludf.DUMMYFUNCTION("""COMPUTED_VALUE"""),"₱ 46,580.00")</f>
        <v>₱ 46,580.00</v>
      </c>
      <c r="E3494" s="164" t="str">
        <f ca="1">IFERROR(__xludf.DUMMYFUNCTION("""COMPUTED_VALUE"""),"₱ -")</f>
        <v>₱ -</v>
      </c>
      <c r="F3494" s="164" t="str">
        <f ca="1">IFERROR(__xludf.DUMMYFUNCTION("""COMPUTED_VALUE"""),"2024-05-03-10202SP-324-01")</f>
        <v>2024-05-03-10202SP-324-01</v>
      </c>
      <c r="G3494" s="164"/>
      <c r="H3494" s="164" t="str">
        <f ca="1">IFERROR(__xludf.DUMMYFUNCTION("""COMPUTED_VALUE"""),"WILFREDO P HISONA JR")</f>
        <v>WILFREDO P HISONA JR</v>
      </c>
      <c r="I3494" s="164" t="str">
        <f ca="1">IFERROR(__xludf.DUMMYFUNCTION("""COMPUTED_VALUE"""),"INFO OFFICER III")</f>
        <v>INFO OFFICER III</v>
      </c>
      <c r="J3494" s="164"/>
      <c r="K3494" s="164" t="str">
        <f ca="1">IFERROR(__xludf.DUMMYFUNCTION("""COMPUTED_VALUE"""),"WILFREDO P HISONA JR")</f>
        <v>WILFREDO P HISONA JR</v>
      </c>
      <c r="L3494" s="164" t="str">
        <f ca="1">IFERROR(__xludf.DUMMYFUNCTION("""COMPUTED_VALUE"""),"DAR REGIONAL OFFICEX")</f>
        <v>DAR REGIONAL OFFICEX</v>
      </c>
      <c r="M3494" s="164" t="str">
        <f ca="1">IFERROR(__xludf.DUMMYFUNCTION("""COMPUTED_VALUE"""),"SERVICEABLE")</f>
        <v>SERVICEABLE</v>
      </c>
      <c r="N3494" s="164"/>
    </row>
    <row r="3495" spans="1:14" ht="13.2" hidden="1">
      <c r="A3495" s="164" t="str">
        <f ca="1">IFERROR(__xludf.DUMMYFUNCTION("""COMPUTED_VALUE"""),"Region X")</f>
        <v>Region X</v>
      </c>
      <c r="B3495" s="164" t="str">
        <f ca="1">IFERROR(__xludf.DUMMYFUNCTION("""COMPUTED_VALUE"""),"BUKIDNON")</f>
        <v>BUKIDNON</v>
      </c>
      <c r="C3495" s="164" t="str">
        <f ca="1">IFERROR(__xludf.DUMMYFUNCTION("""COMPUTED_VALUE"""),"Laptop – (ACER EXTENSA EX215-55G i7)")</f>
        <v>Laptop – (ACER EXTENSA EX215-55G i7)</v>
      </c>
      <c r="D3495" s="164" t="str">
        <f ca="1">IFERROR(__xludf.DUMMYFUNCTION("""COMPUTED_VALUE"""),"₱ 59,500.00")</f>
        <v>₱ 59,500.00</v>
      </c>
      <c r="E3495" s="164" t="str">
        <f ca="1">IFERROR(__xludf.DUMMYFUNCTION("""COMPUTED_VALUE"""),"₱ -")</f>
        <v>₱ -</v>
      </c>
      <c r="F3495" s="164" t="str">
        <f ca="1">IFERROR(__xludf.DUMMYFUNCTION("""COMPUTED_VALUE"""),"2023-05-03-
 10201SP184-01")</f>
        <v>2023-05-03-
 10201SP184-01</v>
      </c>
      <c r="G3495" s="164"/>
      <c r="H3495" s="164" t="str">
        <f ca="1">IFERROR(__xludf.DUMMYFUNCTION("""COMPUTED_VALUE"""),"JAMMALG. PANGANDAMAN")</f>
        <v>JAMMALG. PANGANDAMAN</v>
      </c>
      <c r="I3495" s="164" t="str">
        <f ca="1">IFERROR(__xludf.DUMMYFUNCTION("""COMPUTED_VALUE"""),"PARPO II")</f>
        <v>PARPO II</v>
      </c>
      <c r="J3495" s="164" t="str">
        <f ca="1">IFERROR(__xludf.DUMMYFUNCTION("""COMPUTED_VALUE"""),"2023-PAR-09-
 01")</f>
        <v>2023-PAR-09-
 01</v>
      </c>
      <c r="K3495" s="164" t="str">
        <f ca="1">IFERROR(__xludf.DUMMYFUNCTION("""COMPUTED_VALUE"""),"JAMMALG. PANGANDAMAN")</f>
        <v>JAMMALG. PANGANDAMAN</v>
      </c>
      <c r="L3495" s="164" t="str">
        <f ca="1">IFERROR(__xludf.DUMMYFUNCTION("""COMPUTED_VALUE"""),"DARPO")</f>
        <v>DARPO</v>
      </c>
      <c r="M3495" s="164" t="str">
        <f ca="1">IFERROR(__xludf.DUMMYFUNCTION("""COMPUTED_VALUE"""),"SERVICEABLE")</f>
        <v>SERVICEABLE</v>
      </c>
      <c r="N3495" s="164"/>
    </row>
    <row r="3496" spans="1:14" ht="13.2" hidden="1">
      <c r="A3496" s="164" t="str">
        <f ca="1">IFERROR(__xludf.DUMMYFUNCTION("""COMPUTED_VALUE"""),"Region X")</f>
        <v>Region X</v>
      </c>
      <c r="B3496" s="164" t="str">
        <f ca="1">IFERROR(__xludf.DUMMYFUNCTION("""COMPUTED_VALUE"""),"BUKIDNON")</f>
        <v>BUKIDNON</v>
      </c>
      <c r="C3496" s="164" t="str">
        <f ca="1">IFERROR(__xludf.DUMMYFUNCTION("""COMPUTED_VALUE"""),"Laptop – (ACER EXTENSA EX215-55G i7)")</f>
        <v>Laptop – (ACER EXTENSA EX215-55G i7)</v>
      </c>
      <c r="D3496" s="164" t="str">
        <f ca="1">IFERROR(__xludf.DUMMYFUNCTION("""COMPUTED_VALUE"""),"₱ 59,500.00")</f>
        <v>₱ 59,500.00</v>
      </c>
      <c r="E3496" s="164" t="str">
        <f ca="1">IFERROR(__xludf.DUMMYFUNCTION("""COMPUTED_VALUE"""),"₱ -")</f>
        <v>₱ -</v>
      </c>
      <c r="F3496" s="164" t="str">
        <f ca="1">IFERROR(__xludf.DUMMYFUNCTION("""COMPUTED_VALUE"""),"2023-05-03-
 10201SP185-01")</f>
        <v>2023-05-03-
 10201SP185-01</v>
      </c>
      <c r="G3496" s="164"/>
      <c r="H3496" s="164" t="str">
        <f ca="1">IFERROR(__xludf.DUMMYFUNCTION("""COMPUTED_VALUE"""),"HAZEL S. ABALORIO")</f>
        <v>HAZEL S. ABALORIO</v>
      </c>
      <c r="I3496" s="164" t="str">
        <f ca="1">IFERROR(__xludf.DUMMYFUNCTION("""COMPUTED_VALUE"""),"AO IV/PROCUREMENT COORDINATOR")</f>
        <v>AO IV/PROCUREMENT COORDINATOR</v>
      </c>
      <c r="J3496" s="164" t="str">
        <f ca="1">IFERROR(__xludf.DUMMYFUNCTION("""COMPUTED_VALUE"""),"2023-PAR-09-
 02")</f>
        <v>2023-PAR-09-
 02</v>
      </c>
      <c r="K3496" s="164" t="str">
        <f ca="1">IFERROR(__xludf.DUMMYFUNCTION("""COMPUTED_VALUE"""),"PARPO ll'S OFFICE")</f>
        <v>PARPO ll'S OFFICE</v>
      </c>
      <c r="L3496" s="164" t="str">
        <f ca="1">IFERROR(__xludf.DUMMYFUNCTION("""COMPUTED_VALUE"""),"DARPO")</f>
        <v>DARPO</v>
      </c>
      <c r="M3496" s="164" t="str">
        <f ca="1">IFERROR(__xludf.DUMMYFUNCTION("""COMPUTED_VALUE"""),"SERVICEABLE")</f>
        <v>SERVICEABLE</v>
      </c>
      <c r="N3496" s="164"/>
    </row>
    <row r="3497" spans="1:14" ht="13.2" hidden="1">
      <c r="A3497" s="164" t="str">
        <f ca="1">IFERROR(__xludf.DUMMYFUNCTION("""COMPUTED_VALUE"""),"Region X")</f>
        <v>Region X</v>
      </c>
      <c r="B3497" s="164" t="str">
        <f ca="1">IFERROR(__xludf.DUMMYFUNCTION("""COMPUTED_VALUE"""),"BUKIDNON")</f>
        <v>BUKIDNON</v>
      </c>
      <c r="C3497" s="164" t="str">
        <f ca="1">IFERROR(__xludf.DUMMYFUNCTION("""COMPUTED_VALUE"""),"Laptop – (ACER EXTENSA EX215-55G i7)")</f>
        <v>Laptop – (ACER EXTENSA EX215-55G i7)</v>
      </c>
      <c r="D3497" s="164" t="str">
        <f ca="1">IFERROR(__xludf.DUMMYFUNCTION("""COMPUTED_VALUE"""),"₱ 59,500.00")</f>
        <v>₱ 59,500.00</v>
      </c>
      <c r="E3497" s="164" t="str">
        <f ca="1">IFERROR(__xludf.DUMMYFUNCTION("""COMPUTED_VALUE"""),"₱ -")</f>
        <v>₱ -</v>
      </c>
      <c r="F3497" s="164" t="str">
        <f ca="1">IFERROR(__xludf.DUMMYFUNCTION("""COMPUTED_VALUE"""),"2023-05-03-
 10202SP73-01")</f>
        <v>2023-05-03-
 10202SP73-01</v>
      </c>
      <c r="G3497" s="164"/>
      <c r="H3497" s="164" t="str">
        <f ca="1">IFERROR(__xludf.DUMMYFUNCTION("""COMPUTED_VALUE"""),"JOY P. GEGATO")</f>
        <v>JOY P. GEGATO</v>
      </c>
      <c r="I3497" s="164" t="str">
        <f ca="1">IFERROR(__xludf.DUMMYFUNCTION("""COMPUTED_VALUE"""),"ARPOII")</f>
        <v>ARPOII</v>
      </c>
      <c r="J3497" s="164" t="str">
        <f ca="1">IFERROR(__xludf.DUMMYFUNCTION("""COMPUTED_VALUE"""),"2023-PAR-09-
 03")</f>
        <v>2023-PAR-09-
 03</v>
      </c>
      <c r="K3497" s="164" t="str">
        <f ca="1">IFERROR(__xludf.DUMMYFUNCTION("""COMPUTED_VALUE"""),"JOY P. GEGATO")</f>
        <v>JOY P. GEGATO</v>
      </c>
      <c r="L3497" s="164" t="str">
        <f ca="1">IFERROR(__xludf.DUMMYFUNCTION("""COMPUTED_VALUE"""),"DARPO")</f>
        <v>DARPO</v>
      </c>
      <c r="M3497" s="164" t="str">
        <f ca="1">IFERROR(__xludf.DUMMYFUNCTION("""COMPUTED_VALUE"""),"SERVICEABLE")</f>
        <v>SERVICEABLE</v>
      </c>
      <c r="N3497" s="164"/>
    </row>
    <row r="3498" spans="1:14" ht="13.2" hidden="1">
      <c r="A3498" s="164" t="str">
        <f ca="1">IFERROR(__xludf.DUMMYFUNCTION("""COMPUTED_VALUE"""),"Region X")</f>
        <v>Region X</v>
      </c>
      <c r="B3498" s="164" t="str">
        <f ca="1">IFERROR(__xludf.DUMMYFUNCTION("""COMPUTED_VALUE"""),"BUKIDNON")</f>
        <v>BUKIDNON</v>
      </c>
      <c r="C3498" s="164" t="str">
        <f ca="1">IFERROR(__xludf.DUMMYFUNCTION("""COMPUTED_VALUE"""),"Desktop Computer – (HP Pro SFF 280G9)")</f>
        <v>Desktop Computer – (HP Pro SFF 280G9)</v>
      </c>
      <c r="D3498" s="164" t="str">
        <f ca="1">IFERROR(__xludf.DUMMYFUNCTION("""COMPUTED_VALUE"""),"₱ 78,898.00")</f>
        <v>₱ 78,898.00</v>
      </c>
      <c r="E3498" s="164" t="str">
        <f ca="1">IFERROR(__xludf.DUMMYFUNCTION("""COMPUTED_VALUE"""),"₱ -")</f>
        <v>₱ -</v>
      </c>
      <c r="F3498" s="164" t="str">
        <f ca="1">IFERROR(__xludf.DUMMYFUNCTION("""COMPUTED_VALUE"""),"2023-05-03-
 10201SP468-01")</f>
        <v>2023-05-03-
 10201SP468-01</v>
      </c>
      <c r="G3498" s="164"/>
      <c r="H3498" s="164" t="str">
        <f ca="1">IFERROR(__xludf.DUMMYFUNCTION("""COMPUTED_VALUE"""),"HAZEL S. ABALORIO")</f>
        <v>HAZEL S. ABALORIO</v>
      </c>
      <c r="I3498" s="164" t="str">
        <f ca="1">IFERROR(__xludf.DUMMYFUNCTION("""COMPUTED_VALUE"""),"AO IV/PROCUREMENT COORDINATOR")</f>
        <v>AO IV/PROCUREMENT COORDINATOR</v>
      </c>
      <c r="J3498" s="164" t="str">
        <f ca="1">IFERROR(__xludf.DUMMYFUNCTION("""COMPUTED_VALUE"""),"2023-PAR-09-
 01")</f>
        <v>2023-PAR-09-
 01</v>
      </c>
      <c r="K3498" s="164" t="str">
        <f ca="1">IFERROR(__xludf.DUMMYFUNCTION("""COMPUTED_VALUE"""),"JADEDA L. GUNTI")</f>
        <v>JADEDA L. GUNTI</v>
      </c>
      <c r="L3498" s="164" t="str">
        <f ca="1">IFERROR(__xludf.DUMMYFUNCTION("""COMPUTED_VALUE"""),"DARPO")</f>
        <v>DARPO</v>
      </c>
      <c r="M3498" s="164" t="str">
        <f ca="1">IFERROR(__xludf.DUMMYFUNCTION("""COMPUTED_VALUE"""),"SERVICEABLE")</f>
        <v>SERVICEABLE</v>
      </c>
      <c r="N3498" s="164"/>
    </row>
    <row r="3499" spans="1:14" ht="13.2" hidden="1">
      <c r="A3499" s="164" t="str">
        <f ca="1">IFERROR(__xludf.DUMMYFUNCTION("""COMPUTED_VALUE"""),"Region X")</f>
        <v>Region X</v>
      </c>
      <c r="B3499" s="164" t="str">
        <f ca="1">IFERROR(__xludf.DUMMYFUNCTION("""COMPUTED_VALUE"""),"BUKIDNON")</f>
        <v>BUKIDNON</v>
      </c>
      <c r="C3499" s="164" t="str">
        <f ca="1">IFERROR(__xludf.DUMMYFUNCTION("""COMPUTED_VALUE"""),"Desktop Computer – (HP Pro SFF 280G9)")</f>
        <v>Desktop Computer – (HP Pro SFF 280G9)</v>
      </c>
      <c r="D3499" s="164" t="str">
        <f ca="1">IFERROR(__xludf.DUMMYFUNCTION("""COMPUTED_VALUE"""),"₱ 78,898.00")</f>
        <v>₱ 78,898.00</v>
      </c>
      <c r="E3499" s="164" t="str">
        <f ca="1">IFERROR(__xludf.DUMMYFUNCTION("""COMPUTED_VALUE"""),"₱ -")</f>
        <v>₱ -</v>
      </c>
      <c r="F3499" s="164" t="str">
        <f ca="1">IFERROR(__xludf.DUMMYFUNCTION("""COMPUTED_VALUE"""),"2023-05-03-
 10201SP469-01")</f>
        <v>2023-05-03-
 10201SP469-01</v>
      </c>
      <c r="G3499" s="164"/>
      <c r="H3499" s="164" t="str">
        <f ca="1">IFERROR(__xludf.DUMMYFUNCTION("""COMPUTED_VALUE"""),"HAZEL S. ABALORIO")</f>
        <v>HAZEL S. ABALORIO</v>
      </c>
      <c r="I3499" s="164" t="str">
        <f ca="1">IFERROR(__xludf.DUMMYFUNCTION("""COMPUTED_VALUE"""),"AO IV/PROCUREMENT COORDINATOR")</f>
        <v>AO IV/PROCUREMENT COORDINATOR</v>
      </c>
      <c r="J3499" s="164" t="str">
        <f ca="1">IFERROR(__xludf.DUMMYFUNCTION("""COMPUTED_VALUE"""),"2023-PAR-09-
 02")</f>
        <v>2023-PAR-09-
 02</v>
      </c>
      <c r="K3499" s="164" t="str">
        <f ca="1">IFERROR(__xludf.DUMMYFUNCTION("""COMPUTED_VALUE"""),"BAIKHAN SARIPADA")</f>
        <v>BAIKHAN SARIPADA</v>
      </c>
      <c r="L3499" s="164" t="str">
        <f ca="1">IFERROR(__xludf.DUMMYFUNCTION("""COMPUTED_VALUE"""),"DARPO")</f>
        <v>DARPO</v>
      </c>
      <c r="M3499" s="164" t="str">
        <f ca="1">IFERROR(__xludf.DUMMYFUNCTION("""COMPUTED_VALUE"""),"SERVICEABLE")</f>
        <v>SERVICEABLE</v>
      </c>
      <c r="N3499" s="164"/>
    </row>
    <row r="3500" spans="1:14" ht="13.2" hidden="1">
      <c r="A3500" s="164" t="str">
        <f ca="1">IFERROR(__xludf.DUMMYFUNCTION("""COMPUTED_VALUE"""),"Region X")</f>
        <v>Region X</v>
      </c>
      <c r="B3500" s="164" t="str">
        <f ca="1">IFERROR(__xludf.DUMMYFUNCTION("""COMPUTED_VALUE"""),"BUKIDNON")</f>
        <v>BUKIDNON</v>
      </c>
      <c r="C3500" s="164" t="str">
        <f ca="1">IFERROR(__xludf.DUMMYFUNCTION("""COMPUTED_VALUE"""),"Desktop Computer – (HP Pro SFF 280G9)")</f>
        <v>Desktop Computer – (HP Pro SFF 280G9)</v>
      </c>
      <c r="D3500" s="164" t="str">
        <f ca="1">IFERROR(__xludf.DUMMYFUNCTION("""COMPUTED_VALUE"""),"₱ 78,898.00")</f>
        <v>₱ 78,898.00</v>
      </c>
      <c r="E3500" s="164" t="str">
        <f ca="1">IFERROR(__xludf.DUMMYFUNCTION("""COMPUTED_VALUE"""),"₱ -")</f>
        <v>₱ -</v>
      </c>
      <c r="F3500" s="164" t="str">
        <f ca="1">IFERROR(__xludf.DUMMYFUNCTION("""COMPUTED_VALUE"""),"2023-05-03-
 10201SP470-01")</f>
        <v>2023-05-03-
 10201SP470-01</v>
      </c>
      <c r="G3500" s="164"/>
      <c r="H3500" s="164" t="str">
        <f ca="1">IFERROR(__xludf.DUMMYFUNCTION("""COMPUTED_VALUE"""),"NAEMA U. PERMITES")</f>
        <v>NAEMA U. PERMITES</v>
      </c>
      <c r="I3500" s="164" t="str">
        <f ca="1">IFERROR(__xludf.DUMMYFUNCTION("""COMPUTED_VALUE"""),"ARPOI")</f>
        <v>ARPOI</v>
      </c>
      <c r="J3500" s="164" t="str">
        <f ca="1">IFERROR(__xludf.DUMMYFUNCTION("""COMPUTED_VALUE"""),"2023-PAR-09-
 03")</f>
        <v>2023-PAR-09-
 03</v>
      </c>
      <c r="K3500" s="164" t="str">
        <f ca="1">IFERROR(__xludf.DUMMYFUNCTION("""COMPUTED_VALUE"""),"NAEMA U. PERMITES")</f>
        <v>NAEMA U. PERMITES</v>
      </c>
      <c r="L3500" s="164" t="str">
        <f ca="1">IFERROR(__xludf.DUMMYFUNCTION("""COMPUTED_VALUE"""),"DARPO")</f>
        <v>DARPO</v>
      </c>
      <c r="M3500" s="164" t="str">
        <f ca="1">IFERROR(__xludf.DUMMYFUNCTION("""COMPUTED_VALUE"""),"SERVICEABLE")</f>
        <v>SERVICEABLE</v>
      </c>
      <c r="N3500" s="164"/>
    </row>
    <row r="3501" spans="1:14" ht="13.2" hidden="1">
      <c r="A3501" s="164" t="str">
        <f ca="1">IFERROR(__xludf.DUMMYFUNCTION("""COMPUTED_VALUE"""),"Region X")</f>
        <v>Region X</v>
      </c>
      <c r="B3501" s="164" t="str">
        <f ca="1">IFERROR(__xludf.DUMMYFUNCTION("""COMPUTED_VALUE"""),"BUKIDNON")</f>
        <v>BUKIDNON</v>
      </c>
      <c r="C3501" s="164" t="str">
        <f ca="1">IFERROR(__xludf.DUMMYFUNCTION("""COMPUTED_VALUE"""),"Desktop Computer – (Lenovo M70T)")</f>
        <v>Desktop Computer – (Lenovo M70T)</v>
      </c>
      <c r="D3501" s="164" t="str">
        <f ca="1">IFERROR(__xludf.DUMMYFUNCTION("""COMPUTED_VALUE"""),"₱ 75,468.00")</f>
        <v>₱ 75,468.00</v>
      </c>
      <c r="E3501" s="164" t="str">
        <f ca="1">IFERROR(__xludf.DUMMYFUNCTION("""COMPUTED_VALUE"""),"₱ -")</f>
        <v>₱ -</v>
      </c>
      <c r="F3501" s="164" t="str">
        <f ca="1">IFERROR(__xludf.DUMMYFUNCTION("""COMPUTED_VALUE"""),"2023-05-03-
 10201SP1482-01")</f>
        <v>2023-05-03-
 10201SP1482-01</v>
      </c>
      <c r="G3501" s="164"/>
      <c r="H3501" s="164" t="str">
        <f ca="1">IFERROR(__xludf.DUMMYFUNCTION("""COMPUTED_VALUE"""),"HAZEL S. ABALORIO")</f>
        <v>HAZEL S. ABALORIO</v>
      </c>
      <c r="I3501" s="164" t="str">
        <f ca="1">IFERROR(__xludf.DUMMYFUNCTION("""COMPUTED_VALUE"""),"AO IV/ PROCUREMENT COORDINATOR")</f>
        <v>AO IV/ PROCUREMENT COORDINATOR</v>
      </c>
      <c r="J3501" s="164" t="str">
        <f ca="1">IFERROR(__xludf.DUMMYFUNCTION("""COMPUTED_VALUE"""),"2023-PAR-05-
 01")</f>
        <v>2023-PAR-05-
 01</v>
      </c>
      <c r="K3501" s="164" t="str">
        <f ca="1">IFERROR(__xludf.DUMMYFUNCTION("""COMPUTED_VALUE"""),"HAZEL S. ABALORIO")</f>
        <v>HAZEL S. ABALORIO</v>
      </c>
      <c r="L3501" s="164" t="str">
        <f ca="1">IFERROR(__xludf.DUMMYFUNCTION("""COMPUTED_VALUE"""),"DARPO")</f>
        <v>DARPO</v>
      </c>
      <c r="M3501" s="164" t="str">
        <f ca="1">IFERROR(__xludf.DUMMYFUNCTION("""COMPUTED_VALUE"""),"SERVICEABLE")</f>
        <v>SERVICEABLE</v>
      </c>
      <c r="N3501" s="164"/>
    </row>
    <row r="3502" spans="1:14" ht="13.2" hidden="1">
      <c r="A3502" s="164" t="str">
        <f ca="1">IFERROR(__xludf.DUMMYFUNCTION("""COMPUTED_VALUE"""),"Region X")</f>
        <v>Region X</v>
      </c>
      <c r="B3502" s="164" t="str">
        <f ca="1">IFERROR(__xludf.DUMMYFUNCTION("""COMPUTED_VALUE"""),"BUKIDNON")</f>
        <v>BUKIDNON</v>
      </c>
      <c r="C3502" s="164" t="str">
        <f ca="1">IFERROR(__xludf.DUMMYFUNCTION("""COMPUTED_VALUE"""),"Desktop Computer – (Lenovo M70T)")</f>
        <v>Desktop Computer – (Lenovo M70T)</v>
      </c>
      <c r="D3502" s="164" t="str">
        <f ca="1">IFERROR(__xludf.DUMMYFUNCTION("""COMPUTED_VALUE"""),"₱ 75,468.00")</f>
        <v>₱ 75,468.00</v>
      </c>
      <c r="E3502" s="164" t="str">
        <f ca="1">IFERROR(__xludf.DUMMYFUNCTION("""COMPUTED_VALUE"""),"₱ -")</f>
        <v>₱ -</v>
      </c>
      <c r="F3502" s="164" t="str">
        <f ca="1">IFERROR(__xludf.DUMMYFUNCTION("""COMPUTED_VALUE"""),"2023-05-03-
 10201SP1483-01")</f>
        <v>2023-05-03-
 10201SP1483-01</v>
      </c>
      <c r="G3502" s="164"/>
      <c r="H3502" s="164" t="str">
        <f ca="1">IFERROR(__xludf.DUMMYFUNCTION("""COMPUTED_VALUE"""),"ENGR. JOCELYN B. VALMORES")</f>
        <v>ENGR. JOCELYN B. VALMORES</v>
      </c>
      <c r="I3502" s="164" t="str">
        <f ca="1">IFERROR(__xludf.DUMMYFUNCTION("""COMPUTED_VALUE"""),"OIC-CARPO, LTSP/ PCV COORDINATOR")</f>
        <v>OIC-CARPO, LTSP/ PCV COORDINATOR</v>
      </c>
      <c r="J3502" s="164" t="str">
        <f ca="1">IFERROR(__xludf.DUMMYFUNCTION("""COMPUTED_VALUE"""),"2023-PAR-05-
 02")</f>
        <v>2023-PAR-05-
 02</v>
      </c>
      <c r="K3502" s="164" t="str">
        <f ca="1">IFERROR(__xludf.DUMMYFUNCTION("""COMPUTED_VALUE"""),"ENGR. KHENN L. BOISER")</f>
        <v>ENGR. KHENN L. BOISER</v>
      </c>
      <c r="L3502" s="164" t="str">
        <f ca="1">IFERROR(__xludf.DUMMYFUNCTION("""COMPUTED_VALUE"""),"DARPO")</f>
        <v>DARPO</v>
      </c>
      <c r="M3502" s="164" t="str">
        <f ca="1">IFERROR(__xludf.DUMMYFUNCTION("""COMPUTED_VALUE"""),"SERVICEABLE")</f>
        <v>SERVICEABLE</v>
      </c>
      <c r="N3502" s="164"/>
    </row>
    <row r="3503" spans="1:14" ht="13.2" hidden="1">
      <c r="A3503" s="164" t="str">
        <f ca="1">IFERROR(__xludf.DUMMYFUNCTION("""COMPUTED_VALUE"""),"Region X")</f>
        <v>Region X</v>
      </c>
      <c r="B3503" s="164" t="str">
        <f ca="1">IFERROR(__xludf.DUMMYFUNCTION("""COMPUTED_VALUE"""),"BUKIDNON")</f>
        <v>BUKIDNON</v>
      </c>
      <c r="C3503" s="164" t="str">
        <f ca="1">IFERROR(__xludf.DUMMYFUNCTION("""COMPUTED_VALUE"""),"Desktop Computer – (Lenovo M70T)")</f>
        <v>Desktop Computer – (Lenovo M70T)</v>
      </c>
      <c r="D3503" s="164" t="str">
        <f ca="1">IFERROR(__xludf.DUMMYFUNCTION("""COMPUTED_VALUE"""),"₱ 75,468.00")</f>
        <v>₱ 75,468.00</v>
      </c>
      <c r="E3503" s="164" t="str">
        <f ca="1">IFERROR(__xludf.DUMMYFUNCTION("""COMPUTED_VALUE"""),"₱ -")</f>
        <v>₱ -</v>
      </c>
      <c r="F3503" s="164" t="str">
        <f ca="1">IFERROR(__xludf.DUMMYFUNCTION("""COMPUTED_VALUE"""),"2023-05-03-
 10201SP1484-01")</f>
        <v>2023-05-03-
 10201SP1484-01</v>
      </c>
      <c r="G3503" s="164"/>
      <c r="H3503" s="164" t="str">
        <f ca="1">IFERROR(__xludf.DUMMYFUNCTION("""COMPUTED_VALUE"""),"ENGR. JOCELYN B. VALMORES")</f>
        <v>ENGR. JOCELYN B. VALMORES</v>
      </c>
      <c r="I3503" s="164" t="str">
        <f ca="1">IFERROR(__xludf.DUMMYFUNCTION("""COMPUTED_VALUE"""),"OIC-CARPO, LTSP/ PCV COORDINATOR")</f>
        <v>OIC-CARPO, LTSP/ PCV COORDINATOR</v>
      </c>
      <c r="J3503" s="164" t="str">
        <f ca="1">IFERROR(__xludf.DUMMYFUNCTION("""COMPUTED_VALUE"""),"2023-PAR-05-
 03")</f>
        <v>2023-PAR-05-
 03</v>
      </c>
      <c r="K3503" s="164" t="str">
        <f ca="1">IFERROR(__xludf.DUMMYFUNCTION("""COMPUTED_VALUE"""),"ENGR. KATHLEEN R. SERONDA")</f>
        <v>ENGR. KATHLEEN R. SERONDA</v>
      </c>
      <c r="L3503" s="164" t="str">
        <f ca="1">IFERROR(__xludf.DUMMYFUNCTION("""COMPUTED_VALUE"""),"DARPO")</f>
        <v>DARPO</v>
      </c>
      <c r="M3503" s="164" t="str">
        <f ca="1">IFERROR(__xludf.DUMMYFUNCTION("""COMPUTED_VALUE"""),"SERVICEABLE")</f>
        <v>SERVICEABLE</v>
      </c>
      <c r="N3503" s="164"/>
    </row>
    <row r="3504" spans="1:14" ht="13.2" hidden="1">
      <c r="A3504" s="164" t="str">
        <f ca="1">IFERROR(__xludf.DUMMYFUNCTION("""COMPUTED_VALUE"""),"Region X")</f>
        <v>Region X</v>
      </c>
      <c r="B3504" s="164" t="str">
        <f ca="1">IFERROR(__xludf.DUMMYFUNCTION("""COMPUTED_VALUE"""),"BUKIDNON")</f>
        <v>BUKIDNON</v>
      </c>
      <c r="C3504" s="164" t="str">
        <f ca="1">IFERROR(__xludf.DUMMYFUNCTION("""COMPUTED_VALUE"""),"Desktop Computer – (Lenovo M70T)")</f>
        <v>Desktop Computer – (Lenovo M70T)</v>
      </c>
      <c r="D3504" s="164" t="str">
        <f ca="1">IFERROR(__xludf.DUMMYFUNCTION("""COMPUTED_VALUE"""),"₱ 75,468.00")</f>
        <v>₱ 75,468.00</v>
      </c>
      <c r="E3504" s="164" t="str">
        <f ca="1">IFERROR(__xludf.DUMMYFUNCTION("""COMPUTED_VALUE"""),"₱ -")</f>
        <v>₱ -</v>
      </c>
      <c r="F3504" s="164" t="str">
        <f ca="1">IFERROR(__xludf.DUMMYFUNCTION("""COMPUTED_VALUE"""),"2023-05-03-
 10201SP1485-01")</f>
        <v>2023-05-03-
 10201SP1485-01</v>
      </c>
      <c r="G3504" s="164"/>
      <c r="H3504" s="164" t="str">
        <f ca="1">IFERROR(__xludf.DUMMYFUNCTION("""COMPUTED_VALUE"""),"HOPER. QUIMPANG")</f>
        <v>HOPER. QUIMPANG</v>
      </c>
      <c r="I3504" s="164" t="str">
        <f ca="1">IFERROR(__xludf.DUMMYFUNCTION("""COMPUTED_VALUE"""),"ARPT")</f>
        <v>ARPT</v>
      </c>
      <c r="J3504" s="164" t="str">
        <f ca="1">IFERROR(__xludf.DUMMYFUNCTION("""COMPUTED_VALUE"""),"2023-PAR-05-
 04")</f>
        <v>2023-PAR-05-
 04</v>
      </c>
      <c r="K3504" s="164" t="str">
        <f ca="1">IFERROR(__xludf.DUMMYFUNCTION("""COMPUTED_VALUE"""),"HOPE R. QUIMPANG")</f>
        <v>HOPE R. QUIMPANG</v>
      </c>
      <c r="L3504" s="164" t="str">
        <f ca="1">IFERROR(__xludf.DUMMYFUNCTION("""COMPUTED_VALUE"""),"DARPO")</f>
        <v>DARPO</v>
      </c>
      <c r="M3504" s="164" t="str">
        <f ca="1">IFERROR(__xludf.DUMMYFUNCTION("""COMPUTED_VALUE"""),"SERVICEABLE")</f>
        <v>SERVICEABLE</v>
      </c>
      <c r="N3504" s="164"/>
    </row>
    <row r="3505" spans="1:14" ht="13.2" hidden="1">
      <c r="A3505" s="164" t="str">
        <f ca="1">IFERROR(__xludf.DUMMYFUNCTION("""COMPUTED_VALUE"""),"Region X")</f>
        <v>Region X</v>
      </c>
      <c r="B3505" s="164" t="str">
        <f ca="1">IFERROR(__xludf.DUMMYFUNCTION("""COMPUTED_VALUE"""),"BUKIDNON")</f>
        <v>BUKIDNON</v>
      </c>
      <c r="C3505" s="164" t="str">
        <f ca="1">IFERROR(__xludf.DUMMYFUNCTION("""COMPUTED_VALUE"""),"Desktop Computer – (Lenovo M70T)")</f>
        <v>Desktop Computer – (Lenovo M70T)</v>
      </c>
      <c r="D3505" s="164" t="str">
        <f ca="1">IFERROR(__xludf.DUMMYFUNCTION("""COMPUTED_VALUE"""),"₱ 75,468.00")</f>
        <v>₱ 75,468.00</v>
      </c>
      <c r="E3505" s="164" t="str">
        <f ca="1">IFERROR(__xludf.DUMMYFUNCTION("""COMPUTED_VALUE"""),"₱ -")</f>
        <v>₱ -</v>
      </c>
      <c r="F3505" s="164" t="str">
        <f ca="1">IFERROR(__xludf.DUMMYFUNCTION("""COMPUTED_VALUE"""),"2023-05-03-
 10201SP1486-01")</f>
        <v>2023-05-03-
 10201SP1486-01</v>
      </c>
      <c r="G3505" s="164"/>
      <c r="H3505" s="164" t="str">
        <f ca="1">IFERROR(__xludf.DUMMYFUNCTION("""COMPUTED_VALUE"""),"ENGR. JOCELYN B. VALMORES")</f>
        <v>ENGR. JOCELYN B. VALMORES</v>
      </c>
      <c r="I3505" s="164" t="str">
        <f ca="1">IFERROR(__xludf.DUMMYFUNCTION("""COMPUTED_VALUE"""),"OIC-CARPO, LTSP/ PCV COORDINATOR")</f>
        <v>OIC-CARPO, LTSP/ PCV COORDINATOR</v>
      </c>
      <c r="J3505" s="164" t="str">
        <f ca="1">IFERROR(__xludf.DUMMYFUNCTION("""COMPUTED_VALUE"""),"2023-PAR-05-
 05")</f>
        <v>2023-PAR-05-
 05</v>
      </c>
      <c r="K3505" s="164" t="str">
        <f ca="1">IFERROR(__xludf.DUMMYFUNCTION("""COMPUTED_VALUE"""),"CAMILLE LORRAINE Z. BULATAO")</f>
        <v>CAMILLE LORRAINE Z. BULATAO</v>
      </c>
      <c r="L3505" s="164" t="str">
        <f ca="1">IFERROR(__xludf.DUMMYFUNCTION("""COMPUTED_VALUE"""),"DARPO")</f>
        <v>DARPO</v>
      </c>
      <c r="M3505" s="164" t="str">
        <f ca="1">IFERROR(__xludf.DUMMYFUNCTION("""COMPUTED_VALUE"""),"SERVICEABLE")</f>
        <v>SERVICEABLE</v>
      </c>
      <c r="N3505" s="164"/>
    </row>
    <row r="3506" spans="1:14" ht="13.2" hidden="1">
      <c r="A3506" s="164" t="str">
        <f ca="1">IFERROR(__xludf.DUMMYFUNCTION("""COMPUTED_VALUE"""),"Region X")</f>
        <v>Region X</v>
      </c>
      <c r="B3506" s="164" t="str">
        <f ca="1">IFERROR(__xludf.DUMMYFUNCTION("""COMPUTED_VALUE"""),"BUKIDNON")</f>
        <v>BUKIDNON</v>
      </c>
      <c r="C3506" s="164" t="str">
        <f ca="1">IFERROR(__xludf.DUMMYFUNCTION("""COMPUTED_VALUE"""),"Desktop Computer – (Lenovo M70T)")</f>
        <v>Desktop Computer – (Lenovo M70T)</v>
      </c>
      <c r="D3506" s="164" t="str">
        <f ca="1">IFERROR(__xludf.DUMMYFUNCTION("""COMPUTED_VALUE"""),"₱ 75,468.00")</f>
        <v>₱ 75,468.00</v>
      </c>
      <c r="E3506" s="164" t="str">
        <f ca="1">IFERROR(__xludf.DUMMYFUNCTION("""COMPUTED_VALUE"""),"₱ -")</f>
        <v>₱ -</v>
      </c>
      <c r="F3506" s="164" t="str">
        <f ca="1">IFERROR(__xludf.DUMMYFUNCTION("""COMPUTED_VALUE"""),"2023-05-03-
 10201SP1487-01")</f>
        <v>2023-05-03-
 10201SP1487-01</v>
      </c>
      <c r="G3506" s="164"/>
      <c r="H3506" s="164" t="str">
        <f ca="1">IFERROR(__xludf.DUMMYFUNCTION("""COMPUTED_VALUE"""),"ENGR. JOCELYN B. VALMORES")</f>
        <v>ENGR. JOCELYN B. VALMORES</v>
      </c>
      <c r="I3506" s="164" t="str">
        <f ca="1">IFERROR(__xludf.DUMMYFUNCTION("""COMPUTED_VALUE"""),"OIC-CARPO, LTSP / PCV COORDINATOR")</f>
        <v>OIC-CARPO, LTSP / PCV COORDINATOR</v>
      </c>
      <c r="J3506" s="164" t="str">
        <f ca="1">IFERROR(__xludf.DUMMYFUNCTION("""COMPUTED_VALUE"""),"2023-PAR-05-
 06")</f>
        <v>2023-PAR-05-
 06</v>
      </c>
      <c r="K3506" s="164" t="str">
        <f ca="1">IFERROR(__xludf.DUMMYFUNCTION("""COMPUTED_VALUE"""),"LAILA MAE G. ROZAL")</f>
        <v>LAILA MAE G. ROZAL</v>
      </c>
      <c r="L3506" s="164" t="str">
        <f ca="1">IFERROR(__xludf.DUMMYFUNCTION("""COMPUTED_VALUE"""),"DARPO")</f>
        <v>DARPO</v>
      </c>
      <c r="M3506" s="164" t="str">
        <f ca="1">IFERROR(__xludf.DUMMYFUNCTION("""COMPUTED_VALUE"""),"SERVICEABLE")</f>
        <v>SERVICEABLE</v>
      </c>
      <c r="N3506" s="164"/>
    </row>
    <row r="3507" spans="1:14" ht="13.2" hidden="1">
      <c r="A3507" s="164" t="str">
        <f ca="1">IFERROR(__xludf.DUMMYFUNCTION("""COMPUTED_VALUE"""),"Region X")</f>
        <v>Region X</v>
      </c>
      <c r="B3507" s="164" t="str">
        <f ca="1">IFERROR(__xludf.DUMMYFUNCTION("""COMPUTED_VALUE"""),"BUKIDNON")</f>
        <v>BUKIDNON</v>
      </c>
      <c r="C3507" s="164" t="str">
        <f ca="1">IFERROR(__xludf.DUMMYFUNCTION("""COMPUTED_VALUE"""),"Desktop Computer – (Lenovo M70T)")</f>
        <v>Desktop Computer – (Lenovo M70T)</v>
      </c>
      <c r="D3507" s="164" t="str">
        <f ca="1">IFERROR(__xludf.DUMMYFUNCTION("""COMPUTED_VALUE"""),"₱ 75,468.00")</f>
        <v>₱ 75,468.00</v>
      </c>
      <c r="E3507" s="164" t="str">
        <f ca="1">IFERROR(__xludf.DUMMYFUNCTION("""COMPUTED_VALUE"""),"₱ -")</f>
        <v>₱ -</v>
      </c>
      <c r="F3507" s="164" t="str">
        <f ca="1">IFERROR(__xludf.DUMMYFUNCTION("""COMPUTED_VALUE"""),"2023-05-03-
 10201SP1488-01")</f>
        <v>2023-05-03-
 10201SP1488-01</v>
      </c>
      <c r="G3507" s="164"/>
      <c r="H3507" s="164" t="str">
        <f ca="1">IFERROR(__xludf.DUMMYFUNCTION("""COMPUTED_VALUE"""),"ENGR. JAQUELINE ESTANIEL")</f>
        <v>ENGR. JAQUELINE ESTANIEL</v>
      </c>
      <c r="I3507" s="164" t="str">
        <f ca="1">IFERROR(__xludf.DUMMYFUNCTION("""COMPUTED_VALUE"""),"SARPT")</f>
        <v>SARPT</v>
      </c>
      <c r="J3507" s="164" t="str">
        <f ca="1">IFERROR(__xludf.DUMMYFUNCTION("""COMPUTED_VALUE"""),"2023-PAR-05-
 07")</f>
        <v>2023-PAR-05-
 07</v>
      </c>
      <c r="K3507" s="164" t="str">
        <f ca="1">IFERROR(__xludf.DUMMYFUNCTION("""COMPUTED_VALUE"""),"ENGR. JAQUELINE ESTANIEL")</f>
        <v>ENGR. JAQUELINE ESTANIEL</v>
      </c>
      <c r="L3507" s="164" t="str">
        <f ca="1">IFERROR(__xludf.DUMMYFUNCTION("""COMPUTED_VALUE"""),"DARPO")</f>
        <v>DARPO</v>
      </c>
      <c r="M3507" s="164" t="str">
        <f ca="1">IFERROR(__xludf.DUMMYFUNCTION("""COMPUTED_VALUE"""),"SERVICEABLE")</f>
        <v>SERVICEABLE</v>
      </c>
      <c r="N3507" s="164"/>
    </row>
    <row r="3508" spans="1:14" ht="13.2" hidden="1">
      <c r="A3508" s="164" t="str">
        <f ca="1">IFERROR(__xludf.DUMMYFUNCTION("""COMPUTED_VALUE"""),"Region X")</f>
        <v>Region X</v>
      </c>
      <c r="B3508" s="164" t="str">
        <f ca="1">IFERROR(__xludf.DUMMYFUNCTION("""COMPUTED_VALUE"""),"BUKIDNON")</f>
        <v>BUKIDNON</v>
      </c>
      <c r="C3508" s="164" t="str">
        <f ca="1">IFERROR(__xludf.DUMMYFUNCTION("""COMPUTED_VALUE"""),"Desktop Computer – (Lenovo M70T)")</f>
        <v>Desktop Computer – (Lenovo M70T)</v>
      </c>
      <c r="D3508" s="164" t="str">
        <f ca="1">IFERROR(__xludf.DUMMYFUNCTION("""COMPUTED_VALUE"""),"₱ 75,468.00")</f>
        <v>₱ 75,468.00</v>
      </c>
      <c r="E3508" s="164" t="str">
        <f ca="1">IFERROR(__xludf.DUMMYFUNCTION("""COMPUTED_VALUE"""),"₱ -")</f>
        <v>₱ -</v>
      </c>
      <c r="F3508" s="164" t="str">
        <f ca="1">IFERROR(__xludf.DUMMYFUNCTION("""COMPUTED_VALUE"""),"2023-05-03-
 10201SP1489-01")</f>
        <v>2023-05-03-
 10201SP1489-01</v>
      </c>
      <c r="G3508" s="164"/>
      <c r="H3508" s="164" t="str">
        <f ca="1">IFERROR(__xludf.DUMMYFUNCTION("""COMPUTED_VALUE"""),"JUREN SOTELO")</f>
        <v>JUREN SOTELO</v>
      </c>
      <c r="I3508" s="164" t="str">
        <f ca="1">IFERROR(__xludf.DUMMYFUNCTION("""COMPUTED_VALUE"""),"ARPT")</f>
        <v>ARPT</v>
      </c>
      <c r="J3508" s="164" t="str">
        <f ca="1">IFERROR(__xludf.DUMMYFUNCTION("""COMPUTED_VALUE"""),"2023-PAR-05-
 08")</f>
        <v>2023-PAR-05-
 08</v>
      </c>
      <c r="K3508" s="164" t="str">
        <f ca="1">IFERROR(__xludf.DUMMYFUNCTION("""COMPUTED_VALUE"""),"JUREN SOTELO")</f>
        <v>JUREN SOTELO</v>
      </c>
      <c r="L3508" s="164" t="str">
        <f ca="1">IFERROR(__xludf.DUMMYFUNCTION("""COMPUTED_VALUE"""),"DARPO")</f>
        <v>DARPO</v>
      </c>
      <c r="M3508" s="164" t="str">
        <f ca="1">IFERROR(__xludf.DUMMYFUNCTION("""COMPUTED_VALUE"""),"SERVICEABLE")</f>
        <v>SERVICEABLE</v>
      </c>
      <c r="N3508" s="164"/>
    </row>
    <row r="3509" spans="1:14" ht="13.2" hidden="1">
      <c r="A3509" s="164" t="str">
        <f ca="1">IFERROR(__xludf.DUMMYFUNCTION("""COMPUTED_VALUE"""),"Region X")</f>
        <v>Region X</v>
      </c>
      <c r="B3509" s="164" t="str">
        <f ca="1">IFERROR(__xludf.DUMMYFUNCTION("""COMPUTED_VALUE"""),"BUKIDNON")</f>
        <v>BUKIDNON</v>
      </c>
      <c r="C3509" s="164" t="str">
        <f ca="1">IFERROR(__xludf.DUMMYFUNCTION("""COMPUTED_VALUE"""),"Desktop Computer – (Lenovo M70T)")</f>
        <v>Desktop Computer – (Lenovo M70T)</v>
      </c>
      <c r="D3509" s="164" t="str">
        <f ca="1">IFERROR(__xludf.DUMMYFUNCTION("""COMPUTED_VALUE"""),"₱ 75,468.00")</f>
        <v>₱ 75,468.00</v>
      </c>
      <c r="E3509" s="164" t="str">
        <f ca="1">IFERROR(__xludf.DUMMYFUNCTION("""COMPUTED_VALUE"""),"₱ -")</f>
        <v>₱ -</v>
      </c>
      <c r="F3509" s="164" t="str">
        <f ca="1">IFERROR(__xludf.DUMMYFUNCTION("""COMPUTED_VALUE"""),"2023-05-03-
 10201SP1490-01")</f>
        <v>2023-05-03-
 10201SP1490-01</v>
      </c>
      <c r="G3509" s="164"/>
      <c r="H3509" s="164" t="str">
        <f ca="1">IFERROR(__xludf.DUMMYFUNCTION("""COMPUTED_VALUE"""),"CHRISTIAN JUN S. MONTEFALCON")</f>
        <v>CHRISTIAN JUN S. MONTEFALCON</v>
      </c>
      <c r="I3509" s="164" t="str">
        <f ca="1">IFERROR(__xludf.DUMMYFUNCTION("""COMPUTED_VALUE"""),"ARPT")</f>
        <v>ARPT</v>
      </c>
      <c r="J3509" s="164" t="str">
        <f ca="1">IFERROR(__xludf.DUMMYFUNCTION("""COMPUTED_VALUE"""),"2023-PAR-05-
 09")</f>
        <v>2023-PAR-05-
 09</v>
      </c>
      <c r="K3509" s="164" t="str">
        <f ca="1">IFERROR(__xludf.DUMMYFUNCTION("""COMPUTED_VALUE"""),"CHRISTIAN JUN S. MONTEFALCON")</f>
        <v>CHRISTIAN JUN S. MONTEFALCON</v>
      </c>
      <c r="L3509" s="164" t="str">
        <f ca="1">IFERROR(__xludf.DUMMYFUNCTION("""COMPUTED_VALUE"""),"DARPO")</f>
        <v>DARPO</v>
      </c>
      <c r="M3509" s="164" t="str">
        <f ca="1">IFERROR(__xludf.DUMMYFUNCTION("""COMPUTED_VALUE"""),"SERVICEABLE")</f>
        <v>SERVICEABLE</v>
      </c>
      <c r="N3509" s="164"/>
    </row>
    <row r="3510" spans="1:14" ht="13.2" hidden="1">
      <c r="A3510" s="164" t="str">
        <f ca="1">IFERROR(__xludf.DUMMYFUNCTION("""COMPUTED_VALUE"""),"Region X")</f>
        <v>Region X</v>
      </c>
      <c r="B3510" s="164" t="str">
        <f ca="1">IFERROR(__xludf.DUMMYFUNCTION("""COMPUTED_VALUE"""),"BUKIDNON")</f>
        <v>BUKIDNON</v>
      </c>
      <c r="C3510" s="164" t="str">
        <f ca="1">IFERROR(__xludf.DUMMYFUNCTION("""COMPUTED_VALUE"""),"Desktop Computer – (Lenovo M70T)")</f>
        <v>Desktop Computer – (Lenovo M70T)</v>
      </c>
      <c r="D3510" s="164" t="str">
        <f ca="1">IFERROR(__xludf.DUMMYFUNCTION("""COMPUTED_VALUE"""),"₱ 75,468.00")</f>
        <v>₱ 75,468.00</v>
      </c>
      <c r="E3510" s="164" t="str">
        <f ca="1">IFERROR(__xludf.DUMMYFUNCTION("""COMPUTED_VALUE"""),"₱ -")</f>
        <v>₱ -</v>
      </c>
      <c r="F3510" s="164" t="str">
        <f ca="1">IFERROR(__xludf.DUMMYFUNCTION("""COMPUTED_VALUE"""),"2023-05-03-
 10201SP1491-01")</f>
        <v>2023-05-03-
 10201SP1491-01</v>
      </c>
      <c r="G3510" s="164"/>
      <c r="H3510" s="164" t="str">
        <f ca="1">IFERROR(__xludf.DUMMYFUNCTION("""COMPUTED_VALUE"""),"KAREN PEARLE. LABIAL")</f>
        <v>KAREN PEARLE. LABIAL</v>
      </c>
      <c r="I3510" s="164" t="str">
        <f ca="1">IFERROR(__xludf.DUMMYFUNCTION("""COMPUTED_VALUE"""),"BUDGET OFFICER II")</f>
        <v>BUDGET OFFICER II</v>
      </c>
      <c r="J3510" s="164" t="str">
        <f ca="1">IFERROR(__xludf.DUMMYFUNCTION("""COMPUTED_VALUE"""),"2023-PAR-05-
 10")</f>
        <v>2023-PAR-05-
 10</v>
      </c>
      <c r="K3510" s="164" t="str">
        <f ca="1">IFERROR(__xludf.DUMMYFUNCTION("""COMPUTED_VALUE"""),"KAREN PEARL E. LABIAL")</f>
        <v>KAREN PEARL E. LABIAL</v>
      </c>
      <c r="L3510" s="164" t="str">
        <f ca="1">IFERROR(__xludf.DUMMYFUNCTION("""COMPUTED_VALUE"""),"DARPO")</f>
        <v>DARPO</v>
      </c>
      <c r="M3510" s="164" t="str">
        <f ca="1">IFERROR(__xludf.DUMMYFUNCTION("""COMPUTED_VALUE"""),"SERVICEABLE")</f>
        <v>SERVICEABLE</v>
      </c>
      <c r="N3510" s="164"/>
    </row>
    <row r="3511" spans="1:14" ht="13.2" hidden="1">
      <c r="A3511" s="164" t="str">
        <f ca="1">IFERROR(__xludf.DUMMYFUNCTION("""COMPUTED_VALUE"""),"Region X")</f>
        <v>Region X</v>
      </c>
      <c r="B3511" s="164" t="str">
        <f ca="1">IFERROR(__xludf.DUMMYFUNCTION("""COMPUTED_VALUE"""),"BUKIDNON")</f>
        <v>BUKIDNON</v>
      </c>
      <c r="C3511" s="164" t="str">
        <f ca="1">IFERROR(__xludf.DUMMYFUNCTION("""COMPUTED_VALUE"""),"Desktop Computer – (Lenovo M70T)")</f>
        <v>Desktop Computer – (Lenovo M70T)</v>
      </c>
      <c r="D3511" s="164" t="str">
        <f ca="1">IFERROR(__xludf.DUMMYFUNCTION("""COMPUTED_VALUE"""),"₱ 75,468.00")</f>
        <v>₱ 75,468.00</v>
      </c>
      <c r="E3511" s="164" t="str">
        <f ca="1">IFERROR(__xludf.DUMMYFUNCTION("""COMPUTED_VALUE"""),"₱ -")</f>
        <v>₱ -</v>
      </c>
      <c r="F3511" s="164" t="str">
        <f ca="1">IFERROR(__xludf.DUMMYFUNCTION("""COMPUTED_VALUE"""),"2023-05-03-
 10201SP1492-01")</f>
        <v>2023-05-03-
 10201SP1492-01</v>
      </c>
      <c r="G3511" s="164"/>
      <c r="H3511" s="164" t="str">
        <f ca="1">IFERROR(__xludf.DUMMYFUNCTION("""COMPUTED_VALUE"""),"ANNA LIZA V. HERNANDEZ")</f>
        <v>ANNA LIZA V. HERNANDEZ</v>
      </c>
      <c r="I3511" s="164" t="str">
        <f ca="1">IFERROR(__xludf.DUMMYFUNCTION("""COMPUTED_VALUE"""),"MARO")</f>
        <v>MARO</v>
      </c>
      <c r="J3511" s="164" t="str">
        <f ca="1">IFERROR(__xludf.DUMMYFUNCTION("""COMPUTED_VALUE"""),"2023-PAR-05-
 11")</f>
        <v>2023-PAR-05-
 11</v>
      </c>
      <c r="K3511" s="164" t="str">
        <f ca="1">IFERROR(__xludf.DUMMYFUNCTION("""COMPUTED_VALUE"""),"ANNA LIZA V. HERNANDEZ")</f>
        <v>ANNA LIZA V. HERNANDEZ</v>
      </c>
      <c r="L3511" s="164" t="str">
        <f ca="1">IFERROR(__xludf.DUMMYFUNCTION("""COMPUTED_VALUE"""),"DARMO BAUNGON")</f>
        <v>DARMO BAUNGON</v>
      </c>
      <c r="M3511" s="164" t="str">
        <f ca="1">IFERROR(__xludf.DUMMYFUNCTION("""COMPUTED_VALUE"""),"SERVICEABLE")</f>
        <v>SERVICEABLE</v>
      </c>
      <c r="N3511" s="164"/>
    </row>
    <row r="3512" spans="1:14" ht="13.2" hidden="1">
      <c r="A3512" s="164" t="str">
        <f ca="1">IFERROR(__xludf.DUMMYFUNCTION("""COMPUTED_VALUE"""),"Region X")</f>
        <v>Region X</v>
      </c>
      <c r="B3512" s="164" t="str">
        <f ca="1">IFERROR(__xludf.DUMMYFUNCTION("""COMPUTED_VALUE"""),"BUKIDNON")</f>
        <v>BUKIDNON</v>
      </c>
      <c r="C3512" s="164" t="str">
        <f ca="1">IFERROR(__xludf.DUMMYFUNCTION("""COMPUTED_VALUE"""),"Desktop Computer – (Lenovo M70T)")</f>
        <v>Desktop Computer – (Lenovo M70T)</v>
      </c>
      <c r="D3512" s="164" t="str">
        <f ca="1">IFERROR(__xludf.DUMMYFUNCTION("""COMPUTED_VALUE"""),"₱ 75,468.00")</f>
        <v>₱ 75,468.00</v>
      </c>
      <c r="E3512" s="164" t="str">
        <f ca="1">IFERROR(__xludf.DUMMYFUNCTION("""COMPUTED_VALUE"""),"₱ -")</f>
        <v>₱ -</v>
      </c>
      <c r="F3512" s="164" t="str">
        <f ca="1">IFERROR(__xludf.DUMMYFUNCTION("""COMPUTED_VALUE"""),"2023-05-03-
 10201SP1493-01")</f>
        <v>2023-05-03-
 10201SP1493-01</v>
      </c>
      <c r="G3512" s="164"/>
      <c r="H3512" s="164" t="str">
        <f ca="1">IFERROR(__xludf.DUMMYFUNCTION("""COMPUTED_VALUE"""),"EDILBERTO R. DEVEZA")</f>
        <v>EDILBERTO R. DEVEZA</v>
      </c>
      <c r="I3512" s="164" t="str">
        <f ca="1">IFERROR(__xludf.DUMMYFUNCTION("""COMPUTED_VALUE"""),"MARO")</f>
        <v>MARO</v>
      </c>
      <c r="J3512" s="164" t="str">
        <f ca="1">IFERROR(__xludf.DUMMYFUNCTION("""COMPUTED_VALUE"""),"2023-PAR-05-
 12")</f>
        <v>2023-PAR-05-
 12</v>
      </c>
      <c r="K3512" s="164" t="str">
        <f ca="1">IFERROR(__xludf.DUMMYFUNCTION("""COMPUTED_VALUE"""),"EDILBERTO R. DEVEZA")</f>
        <v>EDILBERTO R. DEVEZA</v>
      </c>
      <c r="L3512" s="164" t="str">
        <f ca="1">IFERROR(__xludf.DUMMYFUNCTION("""COMPUTED_VALUE"""),"DARMO TALAKAG")</f>
        <v>DARMO TALAKAG</v>
      </c>
      <c r="M3512" s="164" t="str">
        <f ca="1">IFERROR(__xludf.DUMMYFUNCTION("""COMPUTED_VALUE"""),"SERVICEABLE")</f>
        <v>SERVICEABLE</v>
      </c>
      <c r="N3512" s="164"/>
    </row>
    <row r="3513" spans="1:14" ht="13.2" hidden="1">
      <c r="A3513" s="164" t="str">
        <f ca="1">IFERROR(__xludf.DUMMYFUNCTION("""COMPUTED_VALUE"""),"Region X")</f>
        <v>Region X</v>
      </c>
      <c r="B3513" s="164" t="str">
        <f ca="1">IFERROR(__xludf.DUMMYFUNCTION("""COMPUTED_VALUE"""),"BUKIDNON")</f>
        <v>BUKIDNON</v>
      </c>
      <c r="C3513" s="164" t="str">
        <f ca="1">IFERROR(__xludf.DUMMYFUNCTION("""COMPUTED_VALUE"""),"Desktop Computer – (Lenovo M70T)")</f>
        <v>Desktop Computer – (Lenovo M70T)</v>
      </c>
      <c r="D3513" s="164" t="str">
        <f ca="1">IFERROR(__xludf.DUMMYFUNCTION("""COMPUTED_VALUE"""),"₱ 75,468.00")</f>
        <v>₱ 75,468.00</v>
      </c>
      <c r="E3513" s="164" t="str">
        <f ca="1">IFERROR(__xludf.DUMMYFUNCTION("""COMPUTED_VALUE"""),"₱ -")</f>
        <v>₱ -</v>
      </c>
      <c r="F3513" s="164" t="str">
        <f ca="1">IFERROR(__xludf.DUMMYFUNCTION("""COMPUTED_VALUE"""),"2023-05-03-
 10201SP1494-01")</f>
        <v>2023-05-03-
 10201SP1494-01</v>
      </c>
      <c r="G3513" s="164"/>
      <c r="H3513" s="164" t="str">
        <f ca="1">IFERROR(__xludf.DUMMYFUNCTION("""COMPUTED_VALUE"""),"ZARAH 8. LUCMAN")</f>
        <v>ZARAH 8. LUCMAN</v>
      </c>
      <c r="I3513" s="164" t="str">
        <f ca="1">IFERROR(__xludf.DUMMYFUNCTION("""COMPUTED_VALUE"""),"AO IV/ PERSONNEL OFFICER")</f>
        <v>AO IV/ PERSONNEL OFFICER</v>
      </c>
      <c r="J3513" s="164" t="str">
        <f ca="1">IFERROR(__xludf.DUMMYFUNCTION("""COMPUTED_VALUE"""),"2023-PAR-05-
 13")</f>
        <v>2023-PAR-05-
 13</v>
      </c>
      <c r="K3513" s="164" t="str">
        <f ca="1">IFERROR(__xludf.DUMMYFUNCTION("""COMPUTED_VALUE"""),"ZARAH B. LUCMAN")</f>
        <v>ZARAH B. LUCMAN</v>
      </c>
      <c r="L3513" s="164" t="str">
        <f ca="1">IFERROR(__xludf.DUMMYFUNCTION("""COMPUTED_VALUE"""),"DARPO")</f>
        <v>DARPO</v>
      </c>
      <c r="M3513" s="164" t="str">
        <f ca="1">IFERROR(__xludf.DUMMYFUNCTION("""COMPUTED_VALUE"""),"SERVICEABLE")</f>
        <v>SERVICEABLE</v>
      </c>
      <c r="N3513" s="164"/>
    </row>
    <row r="3514" spans="1:14" ht="13.2" hidden="1">
      <c r="A3514" s="164" t="str">
        <f ca="1">IFERROR(__xludf.DUMMYFUNCTION("""COMPUTED_VALUE"""),"Region X")</f>
        <v>Region X</v>
      </c>
      <c r="B3514" s="164" t="str">
        <f ca="1">IFERROR(__xludf.DUMMYFUNCTION("""COMPUTED_VALUE"""),"BUKIDNON")</f>
        <v>BUKIDNON</v>
      </c>
      <c r="C3514" s="164" t="str">
        <f ca="1">IFERROR(__xludf.DUMMYFUNCTION("""COMPUTED_VALUE"""),"Desktop Computer – (Lenovo M70T)")</f>
        <v>Desktop Computer – (Lenovo M70T)</v>
      </c>
      <c r="D3514" s="164" t="str">
        <f ca="1">IFERROR(__xludf.DUMMYFUNCTION("""COMPUTED_VALUE"""),"₱ 75,468.00")</f>
        <v>₱ 75,468.00</v>
      </c>
      <c r="E3514" s="164" t="str">
        <f ca="1">IFERROR(__xludf.DUMMYFUNCTION("""COMPUTED_VALUE"""),"₱ -")</f>
        <v>₱ -</v>
      </c>
      <c r="F3514" s="164" t="str">
        <f ca="1">IFERROR(__xludf.DUMMYFUNCTION("""COMPUTED_VALUE"""),"2023-05-03-
 10201SP1495-01")</f>
        <v>2023-05-03-
 10201SP1495-01</v>
      </c>
      <c r="G3514" s="164"/>
      <c r="H3514" s="164" t="str">
        <f ca="1">IFERROR(__xludf.DUMMYFUNCTION("""COMPUTED_VALUE"""),"MERCIDITA C. CONSOLACION")</f>
        <v>MERCIDITA C. CONSOLACION</v>
      </c>
      <c r="I3514" s="164" t="str">
        <f ca="1">IFERROR(__xludf.DUMMYFUNCTION("""COMPUTED_VALUE"""),"MARO")</f>
        <v>MARO</v>
      </c>
      <c r="J3514" s="164" t="str">
        <f ca="1">IFERROR(__xludf.DUMMYFUNCTION("""COMPUTED_VALUE"""),"2023-PAR-05-
 14")</f>
        <v>2023-PAR-05-
 14</v>
      </c>
      <c r="K3514" s="164" t="str">
        <f ca="1">IFERROR(__xludf.DUMMYFUNCTION("""COMPUTED_VALUE"""),"MERCIDITA C. CONSOLACION")</f>
        <v>MERCIDITA C. CONSOLACION</v>
      </c>
      <c r="L3514" s="164" t="str">
        <f ca="1">IFERROR(__xludf.DUMMYFUNCTION("""COMPUTED_VALUE"""),"DARMO MARAMAG")</f>
        <v>DARMO MARAMAG</v>
      </c>
      <c r="M3514" s="164" t="str">
        <f ca="1">IFERROR(__xludf.DUMMYFUNCTION("""COMPUTED_VALUE"""),"SERVICEABLE")</f>
        <v>SERVICEABLE</v>
      </c>
      <c r="N3514" s="164"/>
    </row>
    <row r="3515" spans="1:14" ht="13.2" hidden="1">
      <c r="A3515" s="164" t="str">
        <f ca="1">IFERROR(__xludf.DUMMYFUNCTION("""COMPUTED_VALUE"""),"Region X")</f>
        <v>Region X</v>
      </c>
      <c r="B3515" s="164" t="str">
        <f ca="1">IFERROR(__xludf.DUMMYFUNCTION("""COMPUTED_VALUE"""),"BUKIDNON")</f>
        <v>BUKIDNON</v>
      </c>
      <c r="C3515" s="164" t="str">
        <f ca="1">IFERROR(__xludf.DUMMYFUNCTION("""COMPUTED_VALUE"""),"Desktop Computer – (Lenovo M70T)")</f>
        <v>Desktop Computer – (Lenovo M70T)</v>
      </c>
      <c r="D3515" s="164" t="str">
        <f ca="1">IFERROR(__xludf.DUMMYFUNCTION("""COMPUTED_VALUE"""),"₱ 75,468.00")</f>
        <v>₱ 75,468.00</v>
      </c>
      <c r="E3515" s="164" t="str">
        <f ca="1">IFERROR(__xludf.DUMMYFUNCTION("""COMPUTED_VALUE"""),"₱ -")</f>
        <v>₱ -</v>
      </c>
      <c r="F3515" s="164" t="str">
        <f ca="1">IFERROR(__xludf.DUMMYFUNCTION("""COMPUTED_VALUE"""),"2023-05-03-
 10201SP1496-01")</f>
        <v>2023-05-03-
 10201SP1496-01</v>
      </c>
      <c r="G3515" s="164"/>
      <c r="H3515" s="164" t="str">
        <f ca="1">IFERROR(__xludf.DUMMYFUNCTION("""COMPUTED_VALUE"""),"CHARITO EDEN PACHO")</f>
        <v>CHARITO EDEN PACHO</v>
      </c>
      <c r="I3515" s="164" t="str">
        <f ca="1">IFERROR(__xludf.DUMMYFUNCTION("""COMPUTED_VALUE"""),"MARO")</f>
        <v>MARO</v>
      </c>
      <c r="J3515" s="164" t="str">
        <f ca="1">IFERROR(__xludf.DUMMYFUNCTION("""COMPUTED_VALUE"""),"2023-PAR-05-
 15")</f>
        <v>2023-PAR-05-
 15</v>
      </c>
      <c r="K3515" s="164" t="str">
        <f ca="1">IFERROR(__xludf.DUMMYFUNCTION("""COMPUTED_VALUE"""),"CHARITO EDEN PACHO")</f>
        <v>CHARITO EDEN PACHO</v>
      </c>
      <c r="L3515" s="164" t="str">
        <f ca="1">IFERROR(__xludf.DUMMYFUNCTION("""COMPUTED_VALUE"""),"DARMO MALITBOG")</f>
        <v>DARMO MALITBOG</v>
      </c>
      <c r="M3515" s="164" t="str">
        <f ca="1">IFERROR(__xludf.DUMMYFUNCTION("""COMPUTED_VALUE"""),"SERVICEABLE")</f>
        <v>SERVICEABLE</v>
      </c>
      <c r="N3515" s="164"/>
    </row>
    <row r="3516" spans="1:14" ht="13.2" hidden="1">
      <c r="A3516" s="164" t="str">
        <f ca="1">IFERROR(__xludf.DUMMYFUNCTION("""COMPUTED_VALUE"""),"Region X")</f>
        <v>Region X</v>
      </c>
      <c r="B3516" s="164" t="str">
        <f ca="1">IFERROR(__xludf.DUMMYFUNCTION("""COMPUTED_VALUE"""),"BUKIDNON")</f>
        <v>BUKIDNON</v>
      </c>
      <c r="C3516" s="164" t="str">
        <f ca="1">IFERROR(__xludf.DUMMYFUNCTION("""COMPUTED_VALUE"""),"Desktop Computer – (Lenovo M70T)")</f>
        <v>Desktop Computer – (Lenovo M70T)</v>
      </c>
      <c r="D3516" s="164" t="str">
        <f ca="1">IFERROR(__xludf.DUMMYFUNCTION("""COMPUTED_VALUE"""),"₱ 75,468.00")</f>
        <v>₱ 75,468.00</v>
      </c>
      <c r="E3516" s="164" t="str">
        <f ca="1">IFERROR(__xludf.DUMMYFUNCTION("""COMPUTED_VALUE"""),"₱ -")</f>
        <v>₱ -</v>
      </c>
      <c r="F3516" s="164" t="str">
        <f ca="1">IFERROR(__xludf.DUMMYFUNCTION("""COMPUTED_VALUE"""),"2023-05-03-
 10201SP1497-01")</f>
        <v>2023-05-03-
 10201SP1497-01</v>
      </c>
      <c r="G3516" s="164"/>
      <c r="H3516" s="164" t="str">
        <f ca="1">IFERROR(__xludf.DUMMYFUNCTION("""COMPUTED_VALUE"""),"PHOEBE I. NOVAL")</f>
        <v>PHOEBE I. NOVAL</v>
      </c>
      <c r="I3516" s="164" t="str">
        <f ca="1">IFERROR(__xludf.DUMMYFUNCTION("""COMPUTED_VALUE"""),"CARPO-ARBDSP")</f>
        <v>CARPO-ARBDSP</v>
      </c>
      <c r="J3516" s="164" t="str">
        <f ca="1">IFERROR(__xludf.DUMMYFUNCTION("""COMPUTED_VALUE"""),"2023-PAR-05-
 16")</f>
        <v>2023-PAR-05-
 16</v>
      </c>
      <c r="K3516" s="164" t="str">
        <f ca="1">IFERROR(__xludf.DUMMYFUNCTION("""COMPUTED_VALUE"""),"PHOEBE I. NOVAL")</f>
        <v>PHOEBE I. NOVAL</v>
      </c>
      <c r="L3516" s="164" t="str">
        <f ca="1">IFERROR(__xludf.DUMMYFUNCTION("""COMPUTED_VALUE"""),"DARPO")</f>
        <v>DARPO</v>
      </c>
      <c r="M3516" s="164" t="str">
        <f ca="1">IFERROR(__xludf.DUMMYFUNCTION("""COMPUTED_VALUE"""),"SERVICEABLE")</f>
        <v>SERVICEABLE</v>
      </c>
      <c r="N3516" s="164"/>
    </row>
    <row r="3517" spans="1:14" ht="13.2" hidden="1">
      <c r="A3517" s="164" t="str">
        <f ca="1">IFERROR(__xludf.DUMMYFUNCTION("""COMPUTED_VALUE"""),"Region X")</f>
        <v>Region X</v>
      </c>
      <c r="B3517" s="164" t="str">
        <f ca="1">IFERROR(__xludf.DUMMYFUNCTION("""COMPUTED_VALUE"""),"BUKIDNON")</f>
        <v>BUKIDNON</v>
      </c>
      <c r="C3517" s="164" t="str">
        <f ca="1">IFERROR(__xludf.DUMMYFUNCTION("""COMPUTED_VALUE"""),"Desktop Computer – (Lenovo M70T)")</f>
        <v>Desktop Computer – (Lenovo M70T)</v>
      </c>
      <c r="D3517" s="164" t="str">
        <f ca="1">IFERROR(__xludf.DUMMYFUNCTION("""COMPUTED_VALUE"""),"₱ 75,468.00")</f>
        <v>₱ 75,468.00</v>
      </c>
      <c r="E3517" s="164" t="str">
        <f ca="1">IFERROR(__xludf.DUMMYFUNCTION("""COMPUTED_VALUE"""),"₱ -")</f>
        <v>₱ -</v>
      </c>
      <c r="F3517" s="164" t="str">
        <f ca="1">IFERROR(__xludf.DUMMYFUNCTION("""COMPUTED_VALUE"""),"2023-05-03-
 10201SP1498-01")</f>
        <v>2023-05-03-
 10201SP1498-01</v>
      </c>
      <c r="G3517" s="164"/>
      <c r="H3517" s="164" t="str">
        <f ca="1">IFERROR(__xludf.DUMMYFUNCTION("""COMPUTED_VALUE"""),"FE Q. TUMAMPOS")</f>
        <v>FE Q. TUMAMPOS</v>
      </c>
      <c r="I3517" s="164" t="str">
        <f ca="1">IFERROR(__xludf.DUMMYFUNCTION("""COMPUTED_VALUE"""),"MARO")</f>
        <v>MARO</v>
      </c>
      <c r="J3517" s="164" t="str">
        <f ca="1">IFERROR(__xludf.DUMMYFUNCTION("""COMPUTED_VALUE"""),"2023-PAR-05-
 17")</f>
        <v>2023-PAR-05-
 17</v>
      </c>
      <c r="K3517" s="164" t="str">
        <f ca="1">IFERROR(__xludf.DUMMYFUNCTION("""COMPUTED_VALUE"""),"FE Q. TUMAMPOS")</f>
        <v>FE Q. TUMAMPOS</v>
      </c>
      <c r="L3517" s="164" t="str">
        <f ca="1">IFERROR(__xludf.DUMMYFUNCTION("""COMPUTED_VALUE"""),"DARMO LANTAPAN")</f>
        <v>DARMO LANTAPAN</v>
      </c>
      <c r="M3517" s="164" t="str">
        <f ca="1">IFERROR(__xludf.DUMMYFUNCTION("""COMPUTED_VALUE"""),"SERVICEABLE")</f>
        <v>SERVICEABLE</v>
      </c>
      <c r="N3517" s="164"/>
    </row>
    <row r="3518" spans="1:14" ht="13.2" hidden="1">
      <c r="A3518" s="164" t="str">
        <f ca="1">IFERROR(__xludf.DUMMYFUNCTION("""COMPUTED_VALUE"""),"Region X")</f>
        <v>Region X</v>
      </c>
      <c r="B3518" s="164" t="str">
        <f ca="1">IFERROR(__xludf.DUMMYFUNCTION("""COMPUTED_VALUE"""),"BUKIDNON")</f>
        <v>BUKIDNON</v>
      </c>
      <c r="C3518" s="164" t="str">
        <f ca="1">IFERROR(__xludf.DUMMYFUNCTION("""COMPUTED_VALUE"""),"Photocopier Machine – Kyocera")</f>
        <v>Photocopier Machine – Kyocera</v>
      </c>
      <c r="D3518" s="164" t="str">
        <f ca="1">IFERROR(__xludf.DUMMYFUNCTION("""COMPUTED_VALUE"""),"₱ 84,500.00")</f>
        <v>₱ 84,500.00</v>
      </c>
      <c r="E3518" s="164" t="str">
        <f ca="1">IFERROR(__xludf.DUMMYFUNCTION("""COMPUTED_VALUE"""),"₱ -")</f>
        <v>₱ -</v>
      </c>
      <c r="F3518" s="164" t="str">
        <f ca="1">IFERROR(__xludf.DUMMYFUNCTION("""COMPUTED_VALUE"""),"2022-05-02-10202SP65-01")</f>
        <v>2022-05-02-10202SP65-01</v>
      </c>
      <c r="G3518" s="164"/>
      <c r="H3518" s="164" t="str">
        <f ca="1">IFERROR(__xludf.DUMMYFUNCTION("""COMPUTED_VALUE"""),"ENGR. JOCELYN B. VALMORES")</f>
        <v>ENGR. JOCELYN B. VALMORES</v>
      </c>
      <c r="I3518" s="164" t="str">
        <f ca="1">IFERROR(__xludf.DUMMYFUNCTION("""COMPUTED_VALUE"""),"OIC-CARPO, LTSP/ PCV COORDINATOR")</f>
        <v>OIC-CARPO, LTSP/ PCV COORDINATOR</v>
      </c>
      <c r="J3518" s="164" t="str">
        <f ca="1">IFERROR(__xludf.DUMMYFUNCTION("""COMPUTED_VALUE"""),"2022-PAR-10-
 01")</f>
        <v>2022-PAR-10-
 01</v>
      </c>
      <c r="K3518" s="164" t="str">
        <f ca="1">IFERROR(__xludf.DUMMYFUNCTION("""COMPUTED_VALUE"""),"ENGR. JOCELYN B. VALMORES")</f>
        <v>ENGR. JOCELYN B. VALMORES</v>
      </c>
      <c r="L3518" s="164" t="str">
        <f ca="1">IFERROR(__xludf.DUMMYFUNCTION("""COMPUTED_VALUE"""),"DARPO")</f>
        <v>DARPO</v>
      </c>
      <c r="M3518" s="164" t="str">
        <f ca="1">IFERROR(__xludf.DUMMYFUNCTION("""COMPUTED_VALUE"""),"SERVICEABLE")</f>
        <v>SERVICEABLE</v>
      </c>
      <c r="N3518" s="164"/>
    </row>
    <row r="3519" spans="1:14" ht="13.2" hidden="1">
      <c r="A3519" s="164" t="str">
        <f ca="1">IFERROR(__xludf.DUMMYFUNCTION("""COMPUTED_VALUE"""),"Region X")</f>
        <v>Region X</v>
      </c>
      <c r="B3519" s="164" t="str">
        <f ca="1">IFERROR(__xludf.DUMMYFUNCTION("""COMPUTED_VALUE"""),"BUKIDNON")</f>
        <v>BUKIDNON</v>
      </c>
      <c r="C3519" s="164" t="str">
        <f ca="1">IFERROR(__xludf.DUMMYFUNCTION("""COMPUTED_VALUE"""),"A3 PRINTER (BROTHER)")</f>
        <v>A3 PRINTER (BROTHER)</v>
      </c>
      <c r="D3519" s="164" t="str">
        <f ca="1">IFERROR(__xludf.DUMMYFUNCTION("""COMPUTED_VALUE"""),"₱ 33,508.00")</f>
        <v>₱ 33,508.00</v>
      </c>
      <c r="E3519" s="164" t="str">
        <f ca="1">IFERROR(__xludf.DUMMYFUNCTION("""COMPUTED_VALUE"""),"₱ -")</f>
        <v>₱ -</v>
      </c>
      <c r="F3519" s="164" t="str">
        <f ca="1">IFERROR(__xludf.DUMMYFUNCTION("""COMPUTED_VALUE"""),"HV-SPLIT-102-24-05-066")</f>
        <v>HV-SPLIT-102-24-05-066</v>
      </c>
      <c r="G3519" s="164"/>
      <c r="H3519" s="164" t="str">
        <f ca="1">IFERROR(__xludf.DUMMYFUNCTION("""COMPUTED_VALUE"""),"ZORAIDA MACADINDANG")</f>
        <v>ZORAIDA MACADINDANG</v>
      </c>
      <c r="I3519" s="164" t="str">
        <f ca="1">IFERROR(__xludf.DUMMYFUNCTION("""COMPUTED_VALUE"""),"REGIONAL DIRECTOR")</f>
        <v>REGIONAL DIRECTOR</v>
      </c>
      <c r="J3519" s="164" t="str">
        <f ca="1">IFERROR(__xludf.DUMMYFUNCTION("""COMPUTED_VALUE"""),"2024-05-012")</f>
        <v>2024-05-012</v>
      </c>
      <c r="K3519" s="164"/>
      <c r="L3519" s="164" t="str">
        <f ca="1">IFERROR(__xludf.DUMMYFUNCTION("""COMPUTED_VALUE"""),"DARPO BUKIDNON")</f>
        <v>DARPO BUKIDNON</v>
      </c>
      <c r="M3519" s="164" t="str">
        <f ca="1">IFERROR(__xludf.DUMMYFUNCTION("""COMPUTED_VALUE"""),"SERVICEABLE")</f>
        <v>SERVICEABLE</v>
      </c>
      <c r="N3519" s="164"/>
    </row>
    <row r="3520" spans="1:14" ht="13.2" hidden="1">
      <c r="A3520" s="164" t="str">
        <f ca="1">IFERROR(__xludf.DUMMYFUNCTION("""COMPUTED_VALUE"""),"Region X")</f>
        <v>Region X</v>
      </c>
      <c r="B3520" s="164" t="str">
        <f ca="1">IFERROR(__xludf.DUMMYFUNCTION("""COMPUTED_VALUE"""),"CAMIGUIN")</f>
        <v>CAMIGUIN</v>
      </c>
      <c r="C3520" s="164" t="str">
        <f ca="1">IFERROR(__xludf.DUMMYFUNCTION("""COMPUTED_VALUE"""),"Desktop Computer – (Lenovo M70T)")</f>
        <v>Desktop Computer – (Lenovo M70T)</v>
      </c>
      <c r="D3520" s="164" t="str">
        <f ca="1">IFERROR(__xludf.DUMMYFUNCTION("""COMPUTED_VALUE"""),"₱ 75,468.00")</f>
        <v>₱ 75,468.00</v>
      </c>
      <c r="E3520" s="164" t="str">
        <f ca="1">IFERROR(__xludf.DUMMYFUNCTION("""COMPUTED_VALUE"""),"₱ -")</f>
        <v>₱ -</v>
      </c>
      <c r="F3520" s="164" t="str">
        <f ca="1">IFERROR(__xludf.DUMMYFUNCTION("""COMPUTED_VALUE"""),"2023-05-03-
 1021SP1516-01")</f>
        <v>2023-05-03-
 1021SP1516-01</v>
      </c>
      <c r="G3520" s="164"/>
      <c r="H3520" s="164" t="str">
        <f ca="1">IFERROR(__xludf.DUMMYFUNCTION("""COMPUTED_VALUE"""),"MARGARITA R. FLORES")</f>
        <v>MARGARITA R. FLORES</v>
      </c>
      <c r="I3520" s="164" t="str">
        <f ca="1">IFERROR(__xludf.DUMMYFUNCTION("""COMPUTED_VALUE"""),"CARPO/FVT COORDINATOR")</f>
        <v>CARPO/FVT COORDINATOR</v>
      </c>
      <c r="J3520" s="164" t="str">
        <f ca="1">IFERROR(__xludf.DUMMYFUNCTION("""COMPUTED_VALUE"""),"2023-04-015")</f>
        <v>2023-04-015</v>
      </c>
      <c r="K3520" s="164" t="str">
        <f ca="1">IFERROR(__xludf.DUMMYFUNCTION("""COMPUTED_VALUE"""),"MARGARITA R. FLORES")</f>
        <v>MARGARITA R. FLORES</v>
      </c>
      <c r="L3520" s="164" t="str">
        <f ca="1">IFERROR(__xludf.DUMMYFUNCTION("""COMPUTED_VALUE"""),"DAR-MIS. OR/CAM")</f>
        <v>DAR-MIS. OR/CAM</v>
      </c>
      <c r="M3520" s="164" t="str">
        <f ca="1">IFERROR(__xludf.DUMMYFUNCTION("""COMPUTED_VALUE"""),"SERVICEABLE")</f>
        <v>SERVICEABLE</v>
      </c>
      <c r="N3520" s="164"/>
    </row>
    <row r="3521" spans="1:14" ht="13.2" hidden="1">
      <c r="A3521" s="164" t="str">
        <f ca="1">IFERROR(__xludf.DUMMYFUNCTION("""COMPUTED_VALUE"""),"Region X")</f>
        <v>Region X</v>
      </c>
      <c r="B3521" s="164" t="str">
        <f ca="1">IFERROR(__xludf.DUMMYFUNCTION("""COMPUTED_VALUE"""),"CAMIGUIN")</f>
        <v>CAMIGUIN</v>
      </c>
      <c r="C3521" s="164" t="str">
        <f ca="1">IFERROR(__xludf.DUMMYFUNCTION("""COMPUTED_VALUE"""),"Desktop Computer – (Lenovo M70T)")</f>
        <v>Desktop Computer – (Lenovo M70T)</v>
      </c>
      <c r="D3521" s="164" t="str">
        <f ca="1">IFERROR(__xludf.DUMMYFUNCTION("""COMPUTED_VALUE"""),"₱ 75,468.00")</f>
        <v>₱ 75,468.00</v>
      </c>
      <c r="E3521" s="164" t="str">
        <f ca="1">IFERROR(__xludf.DUMMYFUNCTION("""COMPUTED_VALUE"""),"₱ -")</f>
        <v>₱ -</v>
      </c>
      <c r="F3521" s="164" t="str">
        <f ca="1">IFERROR(__xludf.DUMMYFUNCTION("""COMPUTED_VALUE"""),"2023-05-03-
 1021SP1517-01")</f>
        <v>2023-05-03-
 1021SP1517-01</v>
      </c>
      <c r="G3521" s="164"/>
      <c r="H3521" s="164" t="str">
        <f ca="1">IFERROR(__xludf.DUMMYFUNCTION("""COMPUTED_VALUE"""),"MARGARITA R. FLORES")</f>
        <v>MARGARITA R. FLORES</v>
      </c>
      <c r="I3521" s="164" t="str">
        <f ca="1">IFERROR(__xludf.DUMMYFUNCTION("""COMPUTED_VALUE"""),"CARPO/FVT COORDINATOR")</f>
        <v>CARPO/FVT COORDINATOR</v>
      </c>
      <c r="J3521" s="164" t="str">
        <f ca="1">IFERROR(__xludf.DUMMYFUNCTION("""COMPUTED_VALUE"""),"2023-04-015")</f>
        <v>2023-04-015</v>
      </c>
      <c r="K3521" s="164" t="str">
        <f ca="1">IFERROR(__xludf.DUMMYFUNCTION("""COMPUTED_VALUE"""),"MARGARITA R. FLORES")</f>
        <v>MARGARITA R. FLORES</v>
      </c>
      <c r="L3521" s="164" t="str">
        <f ca="1">IFERROR(__xludf.DUMMYFUNCTION("""COMPUTED_VALUE"""),"DAR-MIS. OR/CAM")</f>
        <v>DAR-MIS. OR/CAM</v>
      </c>
      <c r="M3521" s="164" t="str">
        <f ca="1">IFERROR(__xludf.DUMMYFUNCTION("""COMPUTED_VALUE"""),"SERVICEABLE")</f>
        <v>SERVICEABLE</v>
      </c>
      <c r="N3521" s="164"/>
    </row>
    <row r="3522" spans="1:14" ht="13.2" hidden="1">
      <c r="A3522" s="164" t="str">
        <f ca="1">IFERROR(__xludf.DUMMYFUNCTION("""COMPUTED_VALUE"""),"Region X")</f>
        <v>Region X</v>
      </c>
      <c r="B3522" s="164" t="str">
        <f ca="1">IFERROR(__xludf.DUMMYFUNCTION("""COMPUTED_VALUE"""),"CAMIGUIN")</f>
        <v>CAMIGUIN</v>
      </c>
      <c r="C3522" s="164" t="str">
        <f ca="1">IFERROR(__xludf.DUMMYFUNCTION("""COMPUTED_VALUE"""),"Desktop Computer – (Lenovo M70T)")</f>
        <v>Desktop Computer – (Lenovo M70T)</v>
      </c>
      <c r="D3522" s="164" t="str">
        <f ca="1">IFERROR(__xludf.DUMMYFUNCTION("""COMPUTED_VALUE"""),"₱ 75,468.00")</f>
        <v>₱ 75,468.00</v>
      </c>
      <c r="E3522" s="164" t="str">
        <f ca="1">IFERROR(__xludf.DUMMYFUNCTION("""COMPUTED_VALUE"""),"₱ -")</f>
        <v>₱ -</v>
      </c>
      <c r="F3522" s="164" t="str">
        <f ca="1">IFERROR(__xludf.DUMMYFUNCTION("""COMPUTED_VALUE"""),"2023-05-03-
 1021SP1514-01")</f>
        <v>2023-05-03-
 1021SP1514-01</v>
      </c>
      <c r="G3522" s="164"/>
      <c r="H3522" s="164" t="str">
        <f ca="1">IFERROR(__xludf.DUMMYFUNCTION("""COMPUTED_VALUE"""),"SHARON A. MAWILE")</f>
        <v>SHARON A. MAWILE</v>
      </c>
      <c r="I3522" s="164" t="str">
        <f ca="1">IFERROR(__xludf.DUMMYFUNCTION("""COMPUTED_VALUE"""),"ARPO 11/ESS COORDINATOR")</f>
        <v>ARPO 11/ESS COORDINATOR</v>
      </c>
      <c r="J3522" s="164" t="str">
        <f ca="1">IFERROR(__xludf.DUMMYFUNCTION("""COMPUTED_VALUE"""),"2023-04-015")</f>
        <v>2023-04-015</v>
      </c>
      <c r="K3522" s="164" t="str">
        <f ca="1">IFERROR(__xludf.DUMMYFUNCTION("""COMPUTED_VALUE"""),"SHARON A. MAWILE")</f>
        <v>SHARON A. MAWILE</v>
      </c>
      <c r="L3522" s="164" t="str">
        <f ca="1">IFERROR(__xludf.DUMMYFUNCTION("""COMPUTED_VALUE"""),"DAR-MIS. OR/CAM")</f>
        <v>DAR-MIS. OR/CAM</v>
      </c>
      <c r="M3522" s="164" t="str">
        <f ca="1">IFERROR(__xludf.DUMMYFUNCTION("""COMPUTED_VALUE"""),"SERVICEABLE")</f>
        <v>SERVICEABLE</v>
      </c>
      <c r="N3522" s="164"/>
    </row>
    <row r="3523" spans="1:14" ht="13.2" hidden="1">
      <c r="A3523" s="164" t="str">
        <f ca="1">IFERROR(__xludf.DUMMYFUNCTION("""COMPUTED_VALUE"""),"Region X")</f>
        <v>Region X</v>
      </c>
      <c r="B3523" s="164" t="str">
        <f ca="1">IFERROR(__xludf.DUMMYFUNCTION("""COMPUTED_VALUE"""),"CAMIGUIN")</f>
        <v>CAMIGUIN</v>
      </c>
      <c r="C3523" s="164" t="str">
        <f ca="1">IFERROR(__xludf.DUMMYFUNCTION("""COMPUTED_VALUE"""),"Desktop Computer – (Lenovo M70T)")</f>
        <v>Desktop Computer – (Lenovo M70T)</v>
      </c>
      <c r="D3523" s="164" t="str">
        <f ca="1">IFERROR(__xludf.DUMMYFUNCTION("""COMPUTED_VALUE"""),"₱ 75,468.00")</f>
        <v>₱ 75,468.00</v>
      </c>
      <c r="E3523" s="164" t="str">
        <f ca="1">IFERROR(__xludf.DUMMYFUNCTION("""COMPUTED_VALUE"""),"₱ -")</f>
        <v>₱ -</v>
      </c>
      <c r="F3523" s="164" t="str">
        <f ca="1">IFERROR(__xludf.DUMMYFUNCTION("""COMPUTED_VALUE"""),"2023-05-03-
 1021SP1515-01")</f>
        <v>2023-05-03-
 1021SP1515-01</v>
      </c>
      <c r="G3523" s="164"/>
      <c r="H3523" s="164" t="str">
        <f ca="1">IFERROR(__xludf.DUMMYFUNCTION("""COMPUTED_VALUE"""),"HAYLY JANE A. ROMANILLOS")</f>
        <v>HAYLY JANE A. ROMANILLOS</v>
      </c>
      <c r="I3523" s="164" t="str">
        <f ca="1">IFERROR(__xludf.DUMMYFUNCTION("""COMPUTED_VALUE"""),"ARPO I/MIS COORDINATOR")</f>
        <v>ARPO I/MIS COORDINATOR</v>
      </c>
      <c r="J3523" s="164" t="str">
        <f ca="1">IFERROR(__xludf.DUMMYFUNCTION("""COMPUTED_VALUE"""),"2023-04-015")</f>
        <v>2023-04-015</v>
      </c>
      <c r="K3523" s="164" t="str">
        <f ca="1">IFERROR(__xludf.DUMMYFUNCTION("""COMPUTED_VALUE"""),"HAYLY JANE A. ROMANILLOS")</f>
        <v>HAYLY JANE A. ROMANILLOS</v>
      </c>
      <c r="L3523" s="164" t="str">
        <f ca="1">IFERROR(__xludf.DUMMYFUNCTION("""COMPUTED_VALUE"""),"DAR-CAMIGUIN")</f>
        <v>DAR-CAMIGUIN</v>
      </c>
      <c r="M3523" s="164" t="str">
        <f ca="1">IFERROR(__xludf.DUMMYFUNCTION("""COMPUTED_VALUE"""),"SERVICEABLE")</f>
        <v>SERVICEABLE</v>
      </c>
      <c r="N3523" s="164"/>
    </row>
    <row r="3524" spans="1:14" ht="13.2" hidden="1">
      <c r="A3524" s="164" t="str">
        <f ca="1">IFERROR(__xludf.DUMMYFUNCTION("""COMPUTED_VALUE"""),"Region X")</f>
        <v>Region X</v>
      </c>
      <c r="B3524" s="164" t="str">
        <f ca="1">IFERROR(__xludf.DUMMYFUNCTION("""COMPUTED_VALUE"""),"CAMIGUIN")</f>
        <v>CAMIGUIN</v>
      </c>
      <c r="C3524" s="164" t="str">
        <f ca="1">IFERROR(__xludf.DUMMYFUNCTION("""COMPUTED_VALUE"""),"Desktop Computer – (HP Pro SFF 280G9)")</f>
        <v>Desktop Computer – (HP Pro SFF 280G9)</v>
      </c>
      <c r="D3524" s="164" t="str">
        <f ca="1">IFERROR(__xludf.DUMMYFUNCTION("""COMPUTED_VALUE"""),"₱ 78,898.00")</f>
        <v>₱ 78,898.00</v>
      </c>
      <c r="E3524" s="164" t="str">
        <f ca="1">IFERROR(__xludf.DUMMYFUNCTION("""COMPUTED_VALUE"""),"₱ -")</f>
        <v>₱ -</v>
      </c>
      <c r="F3524" s="164" t="str">
        <f ca="1">IFERROR(__xludf.DUMMYFUNCTION("""COMPUTED_VALUE"""),"2023-05-03-
 1020SP482-01")</f>
        <v>2023-05-03-
 1020SP482-01</v>
      </c>
      <c r="G3524" s="164"/>
      <c r="H3524" s="164" t="str">
        <f ca="1">IFERROR(__xludf.DUMMYFUNCTION("""COMPUTED_VALUE"""),"RUTH G. CARREON")</f>
        <v>RUTH G. CARREON</v>
      </c>
      <c r="I3524" s="164" t="str">
        <f ca="1">IFERROR(__xludf.DUMMYFUNCTION("""COMPUTED_VALUE"""),"PARPO II")</f>
        <v>PARPO II</v>
      </c>
      <c r="J3524" s="164" t="str">
        <f ca="1">IFERROR(__xludf.DUMMYFUNCTION("""COMPUTED_VALUE"""),"2023-09-007")</f>
        <v>2023-09-007</v>
      </c>
      <c r="K3524" s="164" t="str">
        <f ca="1">IFERROR(__xludf.DUMMYFUNCTION("""COMPUTED_VALUE"""),"RUTH G. CARREON")</f>
        <v>RUTH G. CARREON</v>
      </c>
      <c r="L3524" s="164" t="str">
        <f ca="1">IFERROR(__xludf.DUMMYFUNCTION("""COMPUTED_VALUE"""),"DAR-MIS. OR/CAM")</f>
        <v>DAR-MIS. OR/CAM</v>
      </c>
      <c r="M3524" s="164" t="str">
        <f ca="1">IFERROR(__xludf.DUMMYFUNCTION("""COMPUTED_VALUE"""),"SERVICEABLE")</f>
        <v>SERVICEABLE</v>
      </c>
      <c r="N3524" s="164"/>
    </row>
    <row r="3525" spans="1:14" ht="13.2" hidden="1">
      <c r="A3525" s="164" t="str">
        <f ca="1">IFERROR(__xludf.DUMMYFUNCTION("""COMPUTED_VALUE"""),"Region X")</f>
        <v>Region X</v>
      </c>
      <c r="B3525" s="164" t="str">
        <f ca="1">IFERROR(__xludf.DUMMYFUNCTION("""COMPUTED_VALUE"""),"CAMIGUIN")</f>
        <v>CAMIGUIN</v>
      </c>
      <c r="C3525" s="164" t="str">
        <f ca="1">IFERROR(__xludf.DUMMYFUNCTION("""COMPUTED_VALUE"""),"Photocopier Machine – Kyocera")</f>
        <v>Photocopier Machine – Kyocera</v>
      </c>
      <c r="D3525" s="164" t="str">
        <f ca="1">IFERROR(__xludf.DUMMYFUNCTION("""COMPUTED_VALUE"""),"₱ 84,500.00")</f>
        <v>₱ 84,500.00</v>
      </c>
      <c r="E3525" s="164" t="str">
        <f ca="1">IFERROR(__xludf.DUMMYFUNCTION("""COMPUTED_VALUE"""),"₱ -")</f>
        <v>₱ -</v>
      </c>
      <c r="F3525" s="164" t="str">
        <f ca="1">IFERROR(__xludf.DUMMYFUNCTION("""COMPUTED_VALUE"""),"2022-05-02-10202SP66-01")</f>
        <v>2022-05-02-10202SP66-01</v>
      </c>
      <c r="G3525" s="164"/>
      <c r="H3525" s="164" t="str">
        <f ca="1">IFERROR(__xludf.DUMMYFUNCTION("""COMPUTED_VALUE"""),"MARGARITA R. FLORES")</f>
        <v>MARGARITA R. FLORES</v>
      </c>
      <c r="I3525" s="164" t="str">
        <f ca="1">IFERROR(__xludf.DUMMYFUNCTION("""COMPUTED_VALUE"""),"CARPO/FVT COORDINATOR")</f>
        <v>CARPO/FVT COORDINATOR</v>
      </c>
      <c r="J3525" s="164" t="str">
        <f ca="1">IFERROR(__xludf.DUMMYFUNCTION("""COMPUTED_VALUE"""),"2022-05-001")</f>
        <v>2022-05-001</v>
      </c>
      <c r="K3525" s="164" t="str">
        <f ca="1">IFERROR(__xludf.DUMMYFUNCTION("""COMPUTED_VALUE"""),"MARGARITA R. FLORES")</f>
        <v>MARGARITA R. FLORES</v>
      </c>
      <c r="L3525" s="164" t="str">
        <f ca="1">IFERROR(__xludf.DUMMYFUNCTION("""COMPUTED_VALUE"""),"DAR-MIS. OR./CAM")</f>
        <v>DAR-MIS. OR./CAM</v>
      </c>
      <c r="M3525" s="164" t="str">
        <f ca="1">IFERROR(__xludf.DUMMYFUNCTION("""COMPUTED_VALUE"""),"SERVICEABLE")</f>
        <v>SERVICEABLE</v>
      </c>
      <c r="N3525" s="164"/>
    </row>
    <row r="3526" spans="1:14" ht="13.2" hidden="1">
      <c r="A3526" s="164" t="str">
        <f ca="1">IFERROR(__xludf.DUMMYFUNCTION("""COMPUTED_VALUE"""),"Region X")</f>
        <v>Region X</v>
      </c>
      <c r="B3526" s="164" t="str">
        <f ca="1">IFERROR(__xludf.DUMMYFUNCTION("""COMPUTED_VALUE"""),"CAMIGUIN")</f>
        <v>CAMIGUIN</v>
      </c>
      <c r="C3526" s="164" t="str">
        <f ca="1">IFERROR(__xludf.DUMMYFUNCTION("""COMPUTED_VALUE"""),"Laptop – (ACER EXTENSA EX215-55G i7)")</f>
        <v>Laptop – (ACER EXTENSA EX215-55G i7)</v>
      </c>
      <c r="D3526" s="164" t="str">
        <f ca="1">IFERROR(__xludf.DUMMYFUNCTION("""COMPUTED_VALUE"""),"₱ 59,500.00")</f>
        <v>₱ 59,500.00</v>
      </c>
      <c r="E3526" s="164" t="str">
        <f ca="1">IFERROR(__xludf.DUMMYFUNCTION("""COMPUTED_VALUE"""),"₱ -")</f>
        <v>₱ -</v>
      </c>
      <c r="F3526" s="164" t="str">
        <f ca="1">IFERROR(__xludf.DUMMYFUNCTION("""COMPUTED_VALUE"""),"2023-05-03-
 10202SP176-01")</f>
        <v>2023-05-03-
 10202SP176-01</v>
      </c>
      <c r="G3526" s="164"/>
      <c r="H3526" s="164" t="str">
        <f ca="1">IFERROR(__xludf.DUMMYFUNCTION("""COMPUTED_VALUE"""),"FATIMA ANIQA T. MACARAMBON")</f>
        <v>FATIMA ANIQA T. MACARAMBON</v>
      </c>
      <c r="I3526" s="164" t="str">
        <f ca="1">IFERROR(__xludf.DUMMYFUNCTION("""COMPUTED_VALUE"""),"PARPO 11")</f>
        <v>PARPO 11</v>
      </c>
      <c r="J3526" s="164" t="str">
        <f ca="1">IFERROR(__xludf.DUMMYFUNCTION("""COMPUTED_VALUE"""),"2023-09-007")</f>
        <v>2023-09-007</v>
      </c>
      <c r="K3526" s="164" t="str">
        <f ca="1">IFERROR(__xludf.DUMMYFUNCTION("""COMPUTED_VALUE"""),"FATIMA ANIQA T. MACARAMBON")</f>
        <v>FATIMA ANIQA T. MACARAMBON</v>
      </c>
      <c r="L3526" s="164" t="str">
        <f ca="1">IFERROR(__xludf.DUMMYFUNCTION("""COMPUTED_VALUE"""),"DAR-MIS. OR/CAM")</f>
        <v>DAR-MIS. OR/CAM</v>
      </c>
      <c r="M3526" s="164" t="str">
        <f ca="1">IFERROR(__xludf.DUMMYFUNCTION("""COMPUTED_VALUE"""),"SERVICEABLE")</f>
        <v>SERVICEABLE</v>
      </c>
      <c r="N3526" s="164"/>
    </row>
    <row r="3527" spans="1:14" ht="13.2">
      <c r="A3527" s="164" t="str">
        <f ca="1">IFERROR(__xludf.DUMMYFUNCTION("""COMPUTED_VALUE"""),"Region X")</f>
        <v>Region X</v>
      </c>
      <c r="B3527" s="164" t="str">
        <f ca="1">IFERROR(__xludf.DUMMYFUNCTION("""COMPUTED_VALUE"""),"LANAO DEL NORTE")</f>
        <v>LANAO DEL NORTE</v>
      </c>
      <c r="C3527" s="164" t="str">
        <f ca="1">IFERROR(__xludf.DUMMYFUNCTION("""COMPUTED_VALUE"""),"Desktop Computer – (Lenovo M70T)")</f>
        <v>Desktop Computer – (Lenovo M70T)</v>
      </c>
      <c r="D3527" s="164" t="str">
        <f ca="1">IFERROR(__xludf.DUMMYFUNCTION("""COMPUTED_VALUE"""),"₱ 75,468.00")</f>
        <v>₱ 75,468.00</v>
      </c>
      <c r="E3527" s="164" t="str">
        <f ca="1">IFERROR(__xludf.DUMMYFUNCTION("""COMPUTED_VALUE"""),"₱ -")</f>
        <v>₱ -</v>
      </c>
      <c r="F3527" s="164" t="str">
        <f ca="1">IFERROR(__xludf.DUMMYFUNCTION("""COMPUTED_VALUE"""),"2023-05-03-
 10201SP1499-01")</f>
        <v>2023-05-03-
 10201SP1499-01</v>
      </c>
      <c r="G3527" s="164"/>
      <c r="H3527" s="164" t="str">
        <f ca="1">IFERROR(__xludf.DUMMYFUNCTION("""COMPUTED_VALUE"""),"JAMIEL BELGADO")</f>
        <v>JAMIEL BELGADO</v>
      </c>
      <c r="I3527" s="164" t="str">
        <f ca="1">IFERROR(__xludf.DUMMYFUNCTION("""COMPUTED_VALUE"""),"CHIEF, GEN. SERVICES/ TECH. STAFF 3 PROCUREMENT OFFICER")</f>
        <v>CHIEF, GEN. SERVICES/ TECH. STAFF 3 PROCUREMENT OFFICER</v>
      </c>
      <c r="J3527" s="164" t="str">
        <f ca="1">IFERROR(__xludf.DUMMYFUNCTION("""COMPUTED_VALUE"""),"2023-001")</f>
        <v>2023-001</v>
      </c>
      <c r="K3527" s="164" t="str">
        <f ca="1">IFERROR(__xludf.DUMMYFUNCTION("""COMPUTED_VALUE"""),"MOHAMMAD AL-JIHAD B. DIMAPORO - PROCUREMENT SUPPORT STAFF")</f>
        <v>MOHAMMAD AL-JIHAD B. DIMAPORO - PROCUREMENT SUPPORT STAFF</v>
      </c>
      <c r="L3527" s="164" t="str">
        <f ca="1">IFERROR(__xludf.DUMMYFUNCTION("""COMPUTED_VALUE"""),"DAR
 PROVINCIAL OFFICE")</f>
        <v>DAR
 PROVINCIAL OFFICE</v>
      </c>
      <c r="M3527" s="164" t="str">
        <f ca="1">IFERROR(__xludf.DUMMYFUNCTION("""COMPUTED_VALUE"""),"SERVICEABLE")</f>
        <v>SERVICEABLE</v>
      </c>
      <c r="N3527" s="164"/>
    </row>
    <row r="3528" spans="1:14" ht="13.2">
      <c r="A3528" s="164" t="str">
        <f ca="1">IFERROR(__xludf.DUMMYFUNCTION("""COMPUTED_VALUE"""),"Region X")</f>
        <v>Region X</v>
      </c>
      <c r="B3528" s="164" t="str">
        <f ca="1">IFERROR(__xludf.DUMMYFUNCTION("""COMPUTED_VALUE"""),"LANAO DEL NORTE")</f>
        <v>LANAO DEL NORTE</v>
      </c>
      <c r="C3528" s="164" t="str">
        <f ca="1">IFERROR(__xludf.DUMMYFUNCTION("""COMPUTED_VALUE"""),"Desktop Computer – (Lenovo M70T)")</f>
        <v>Desktop Computer – (Lenovo M70T)</v>
      </c>
      <c r="D3528" s="164" t="str">
        <f ca="1">IFERROR(__xludf.DUMMYFUNCTION("""COMPUTED_VALUE"""),"₱ 75,468.00")</f>
        <v>₱ 75,468.00</v>
      </c>
      <c r="E3528" s="164" t="str">
        <f ca="1">IFERROR(__xludf.DUMMYFUNCTION("""COMPUTED_VALUE"""),"₱ -")</f>
        <v>₱ -</v>
      </c>
      <c r="F3528" s="164" t="str">
        <f ca="1">IFERROR(__xludf.DUMMYFUNCTION("""COMPUTED_VALUE"""),"2023-05-03-
 10201SP1500-01")</f>
        <v>2023-05-03-
 10201SP1500-01</v>
      </c>
      <c r="G3528" s="164"/>
      <c r="H3528" s="164" t="str">
        <f ca="1">IFERROR(__xludf.DUMMYFUNCTION("""COMPUTED_VALUE"""),"FAISAL D. MACABATO")</f>
        <v>FAISAL D. MACABATO</v>
      </c>
      <c r="I3528" s="164" t="str">
        <f ca="1">IFERROR(__xludf.DUMMYFUNCTION("""COMPUTED_VALUE"""),"BUDGET OFFICER/ PROJECT BUDGET OFFICER")</f>
        <v>BUDGET OFFICER/ PROJECT BUDGET OFFICER</v>
      </c>
      <c r="J3528" s="164" t="str">
        <f ca="1">IFERROR(__xludf.DUMMYFUNCTION("""COMPUTED_VALUE"""),"2023-002")</f>
        <v>2023-002</v>
      </c>
      <c r="K3528" s="164" t="str">
        <f ca="1">IFERROR(__xludf.DUMMYFUNCTION("""COMPUTED_VALUE"""),"NORAYA D. MAGUMPARA- ADMIN. SUPPORT STAFF")</f>
        <v>NORAYA D. MAGUMPARA- ADMIN. SUPPORT STAFF</v>
      </c>
      <c r="L3528" s="164" t="str">
        <f ca="1">IFERROR(__xludf.DUMMYFUNCTION("""COMPUTED_VALUE"""),"DAR
 PROVINCIAL OFFICE")</f>
        <v>DAR
 PROVINCIAL OFFICE</v>
      </c>
      <c r="M3528" s="164" t="str">
        <f ca="1">IFERROR(__xludf.DUMMYFUNCTION("""COMPUTED_VALUE"""),"SERVICEABLE")</f>
        <v>SERVICEABLE</v>
      </c>
      <c r="N3528" s="164"/>
    </row>
    <row r="3529" spans="1:14" ht="13.2">
      <c r="A3529" s="164" t="str">
        <f ca="1">IFERROR(__xludf.DUMMYFUNCTION("""COMPUTED_VALUE"""),"Region X")</f>
        <v>Region X</v>
      </c>
      <c r="B3529" s="164" t="str">
        <f ca="1">IFERROR(__xludf.DUMMYFUNCTION("""COMPUTED_VALUE"""),"LANAO DEL NORTE")</f>
        <v>LANAO DEL NORTE</v>
      </c>
      <c r="C3529" s="164" t="str">
        <f ca="1">IFERROR(__xludf.DUMMYFUNCTION("""COMPUTED_VALUE"""),"Desktop Computer – (Lenovo M70T)")</f>
        <v>Desktop Computer – (Lenovo M70T)</v>
      </c>
      <c r="D3529" s="164" t="str">
        <f ca="1">IFERROR(__xludf.DUMMYFUNCTION("""COMPUTED_VALUE"""),"₱ 75,468.00")</f>
        <v>₱ 75,468.00</v>
      </c>
      <c r="E3529" s="164" t="str">
        <f ca="1">IFERROR(__xludf.DUMMYFUNCTION("""COMPUTED_VALUE"""),"₱ -")</f>
        <v>₱ -</v>
      </c>
      <c r="F3529" s="164" t="str">
        <f ca="1">IFERROR(__xludf.DUMMYFUNCTION("""COMPUTED_VALUE"""),"2023-05-03-
 10201SP1501-01")</f>
        <v>2023-05-03-
 10201SP1501-01</v>
      </c>
      <c r="G3529" s="164"/>
      <c r="H3529" s="164" t="str">
        <f ca="1">IFERROR(__xludf.DUMMYFUNCTION("""COMPUTED_VALUE"""),"JOHAIRA H. MINDALANO")</f>
        <v>JOHAIRA H. MINDALANO</v>
      </c>
      <c r="I3529" s="164" t="str">
        <f ca="1">IFERROR(__xludf.DUMMYFUNCTION("""COMPUTED_VALUE"""),"ACCOUNTANT/PROJECT ACCOUNTANT")</f>
        <v>ACCOUNTANT/PROJECT ACCOUNTANT</v>
      </c>
      <c r="J3529" s="164" t="str">
        <f ca="1">IFERROR(__xludf.DUMMYFUNCTION("""COMPUTED_VALUE"""),"2023-003")</f>
        <v>2023-003</v>
      </c>
      <c r="K3529" s="164" t="str">
        <f ca="1">IFERROR(__xludf.DUMMYFUNCTION("""COMPUTED_VALUE"""),"AISA M. MONTE - FINANCE SUPPORT STAFF")</f>
        <v>AISA M. MONTE - FINANCE SUPPORT STAFF</v>
      </c>
      <c r="L3529" s="164" t="str">
        <f ca="1">IFERROR(__xludf.DUMMYFUNCTION("""COMPUTED_VALUE"""),"DAR PROVINCIAL
 OFFICE")</f>
        <v>DAR PROVINCIAL
 OFFICE</v>
      </c>
      <c r="M3529" s="164" t="str">
        <f ca="1">IFERROR(__xludf.DUMMYFUNCTION("""COMPUTED_VALUE"""),"SERVICEABLE")</f>
        <v>SERVICEABLE</v>
      </c>
      <c r="N3529" s="164"/>
    </row>
    <row r="3530" spans="1:14" ht="13.2">
      <c r="A3530" s="164" t="str">
        <f ca="1">IFERROR(__xludf.DUMMYFUNCTION("""COMPUTED_VALUE"""),"Region X")</f>
        <v>Region X</v>
      </c>
      <c r="B3530" s="164" t="str">
        <f ca="1">IFERROR(__xludf.DUMMYFUNCTION("""COMPUTED_VALUE"""),"LANAO DEL NORTE")</f>
        <v>LANAO DEL NORTE</v>
      </c>
      <c r="C3530" s="164" t="str">
        <f ca="1">IFERROR(__xludf.DUMMYFUNCTION("""COMPUTED_VALUE"""),"Desktop Computer – (Lenovo M70T)")</f>
        <v>Desktop Computer – (Lenovo M70T)</v>
      </c>
      <c r="D3530" s="164" t="str">
        <f ca="1">IFERROR(__xludf.DUMMYFUNCTION("""COMPUTED_VALUE"""),"₱ 75,468.00")</f>
        <v>₱ 75,468.00</v>
      </c>
      <c r="E3530" s="164" t="str">
        <f ca="1">IFERROR(__xludf.DUMMYFUNCTION("""COMPUTED_VALUE"""),"₱ -")</f>
        <v>₱ -</v>
      </c>
      <c r="F3530" s="164" t="str">
        <f ca="1">IFERROR(__xludf.DUMMYFUNCTION("""COMPUTED_VALUE"""),"2023-05-03-
 10201SP1502-01")</f>
        <v>2023-05-03-
 10201SP1502-01</v>
      </c>
      <c r="G3530" s="164"/>
      <c r="H3530" s="164" t="str">
        <f ca="1">IFERROR(__xludf.DUMMYFUNCTION("""COMPUTED_VALUE"""),"HONEY GRACE G. CASPE")</f>
        <v>HONEY GRACE G. CASPE</v>
      </c>
      <c r="I3530" s="164" t="str">
        <f ca="1">IFERROR(__xludf.DUMMYFUNCTION("""COMPUTED_VALUE"""),"CARPO FOR LTSP / PARCELIZATION COMPONENT COORDINATOR")</f>
        <v>CARPO FOR LTSP / PARCELIZATION COMPONENT COORDINATOR</v>
      </c>
      <c r="J3530" s="164" t="str">
        <f ca="1">IFERROR(__xludf.DUMMYFUNCTION("""COMPUTED_VALUE"""),"2023-004")</f>
        <v>2023-004</v>
      </c>
      <c r="K3530" s="164" t="str">
        <f ca="1">IFERROR(__xludf.DUMMYFUNCTION("""COMPUTED_VALUE"""),"LAARNE MAE G. LLENOS - VALIDATOR")</f>
        <v>LAARNE MAE G. LLENOS - VALIDATOR</v>
      </c>
      <c r="L3530" s="164" t="str">
        <f ca="1">IFERROR(__xludf.DUMMYFUNCTION("""COMPUTED_VALUE"""),"DAR PROVINCIAL OFFICE")</f>
        <v>DAR PROVINCIAL OFFICE</v>
      </c>
      <c r="M3530" s="164" t="str">
        <f ca="1">IFERROR(__xludf.DUMMYFUNCTION("""COMPUTED_VALUE"""),"SERVICEABLE")</f>
        <v>SERVICEABLE</v>
      </c>
      <c r="N3530" s="164"/>
    </row>
    <row r="3531" spans="1:14" ht="13.2">
      <c r="A3531" s="164" t="str">
        <f ca="1">IFERROR(__xludf.DUMMYFUNCTION("""COMPUTED_VALUE"""),"Region X")</f>
        <v>Region X</v>
      </c>
      <c r="B3531" s="164" t="str">
        <f ca="1">IFERROR(__xludf.DUMMYFUNCTION("""COMPUTED_VALUE"""),"LANAO DEL NORTE")</f>
        <v>LANAO DEL NORTE</v>
      </c>
      <c r="C3531" s="164" t="str">
        <f ca="1">IFERROR(__xludf.DUMMYFUNCTION("""COMPUTED_VALUE"""),"Desktop Computer – (Lenovo M70T)")</f>
        <v>Desktop Computer – (Lenovo M70T)</v>
      </c>
      <c r="D3531" s="164" t="str">
        <f ca="1">IFERROR(__xludf.DUMMYFUNCTION("""COMPUTED_VALUE"""),"₱ 75,468.00")</f>
        <v>₱ 75,468.00</v>
      </c>
      <c r="E3531" s="164" t="str">
        <f ca="1">IFERROR(__xludf.DUMMYFUNCTION("""COMPUTED_VALUE"""),"₱ -")</f>
        <v>₱ -</v>
      </c>
      <c r="F3531" s="164" t="str">
        <f ca="1">IFERROR(__xludf.DUMMYFUNCTION("""COMPUTED_VALUE"""),"2023-05-03-
 10201SP1503-01")</f>
        <v>2023-05-03-
 10201SP1503-01</v>
      </c>
      <c r="G3531" s="164"/>
      <c r="H3531" s="164" t="str">
        <f ca="1">IFERROR(__xludf.DUMMYFUNCTION("""COMPUTED_VALUE"""),"HONEY GRACE G. CASPE")</f>
        <v>HONEY GRACE G. CASPE</v>
      </c>
      <c r="I3531" s="164" t="str">
        <f ca="1">IFERROR(__xludf.DUMMYFUNCTION("""COMPUTED_VALUE"""),"CARPO FOR LTSP /
 PARCELIZATION COMPONENT COORDINATOR")</f>
        <v>CARPO FOR LTSP /
 PARCELIZATION COMPONENT COORDINATOR</v>
      </c>
      <c r="J3531" s="164" t="str">
        <f ca="1">IFERROR(__xludf.DUMMYFUNCTION("""COMPUTED_VALUE"""),"2023-005")</f>
        <v>2023-005</v>
      </c>
      <c r="K3531" s="164" t="str">
        <f ca="1">IFERROR(__xludf.DUMMYFUNCTION("""COMPUTED_VALUE"""),"MOH RASAD L.
 DECAMPONG - TECHNICAL SUPPORT STAFF")</f>
        <v>MOH RASAD L.
 DECAMPONG - TECHNICAL SUPPORT STAFF</v>
      </c>
      <c r="L3531" s="164" t="str">
        <f ca="1">IFERROR(__xludf.DUMMYFUNCTION("""COMPUTED_VALUE"""),"DAR
 PROVINCIAL OFFICE")</f>
        <v>DAR
 PROVINCIAL OFFICE</v>
      </c>
      <c r="M3531" s="164" t="str">
        <f ca="1">IFERROR(__xludf.DUMMYFUNCTION("""COMPUTED_VALUE"""),"SERVICEABLE")</f>
        <v>SERVICEABLE</v>
      </c>
      <c r="N3531" s="164"/>
    </row>
    <row r="3532" spans="1:14" ht="13.2">
      <c r="A3532" s="164" t="str">
        <f ca="1">IFERROR(__xludf.DUMMYFUNCTION("""COMPUTED_VALUE"""),"Region X")</f>
        <v>Region X</v>
      </c>
      <c r="B3532" s="164" t="str">
        <f ca="1">IFERROR(__xludf.DUMMYFUNCTION("""COMPUTED_VALUE"""),"LANAO DEL NORTE")</f>
        <v>LANAO DEL NORTE</v>
      </c>
      <c r="C3532" s="164" t="str">
        <f ca="1">IFERROR(__xludf.DUMMYFUNCTION("""COMPUTED_VALUE"""),"Desktop Computer – (Lenovo M70T)")</f>
        <v>Desktop Computer – (Lenovo M70T)</v>
      </c>
      <c r="D3532" s="164" t="str">
        <f ca="1">IFERROR(__xludf.DUMMYFUNCTION("""COMPUTED_VALUE"""),"₱ 75,468.00")</f>
        <v>₱ 75,468.00</v>
      </c>
      <c r="E3532" s="164" t="str">
        <f ca="1">IFERROR(__xludf.DUMMYFUNCTION("""COMPUTED_VALUE"""),"₱ -")</f>
        <v>₱ -</v>
      </c>
      <c r="F3532" s="164" t="str">
        <f ca="1">IFERROR(__xludf.DUMMYFUNCTION("""COMPUTED_VALUE"""),"2023-05-03-
 10201SP1504-01")</f>
        <v>2023-05-03-
 10201SP1504-01</v>
      </c>
      <c r="G3532" s="164"/>
      <c r="H3532" s="164" t="str">
        <f ca="1">IFERROR(__xludf.DUMMYFUNCTION("""COMPUTED_VALUE"""),"AMINKHAIR BEN AMIN BUALAN")</f>
        <v>AMINKHAIR BEN AMIN BUALAN</v>
      </c>
      <c r="I3532" s="164" t="str">
        <f ca="1">IFERROR(__xludf.DUMMYFUNCTION("""COMPUTED_VALUE"""),"SURVEY COORDINATOR")</f>
        <v>SURVEY COORDINATOR</v>
      </c>
      <c r="J3532" s="164" t="str">
        <f ca="1">IFERROR(__xludf.DUMMYFUNCTION("""COMPUTED_VALUE"""),"2023-006")</f>
        <v>2023-006</v>
      </c>
      <c r="K3532" s="164" t="str">
        <f ca="1">IFERROR(__xludf.DUMMYFUNCTION("""COMPUTED_VALUE"""),"AMINKHAIR M. BEN AMIN BUALAN - SURVEY
 COORDINATOR")</f>
        <v>AMINKHAIR M. BEN AMIN BUALAN - SURVEY
 COORDINATOR</v>
      </c>
      <c r="L3532" s="164" t="str">
        <f ca="1">IFERROR(__xludf.DUMMYFUNCTION("""COMPUTED_VALUE"""),"DAR
 PROVINCIAL OFFICE")</f>
        <v>DAR
 PROVINCIAL OFFICE</v>
      </c>
      <c r="M3532" s="164" t="str">
        <f ca="1">IFERROR(__xludf.DUMMYFUNCTION("""COMPUTED_VALUE"""),"SERVICEABLE")</f>
        <v>SERVICEABLE</v>
      </c>
      <c r="N3532" s="164"/>
    </row>
    <row r="3533" spans="1:14" ht="13.2">
      <c r="A3533" s="164" t="str">
        <f ca="1">IFERROR(__xludf.DUMMYFUNCTION("""COMPUTED_VALUE"""),"Region X")</f>
        <v>Region X</v>
      </c>
      <c r="B3533" s="164" t="str">
        <f ca="1">IFERROR(__xludf.DUMMYFUNCTION("""COMPUTED_VALUE"""),"LANAO DEL NORTE")</f>
        <v>LANAO DEL NORTE</v>
      </c>
      <c r="C3533" s="164" t="str">
        <f ca="1">IFERROR(__xludf.DUMMYFUNCTION("""COMPUTED_VALUE"""),"Desktop Computer – (Lenovo M70T)")</f>
        <v>Desktop Computer – (Lenovo M70T)</v>
      </c>
      <c r="D3533" s="164" t="str">
        <f ca="1">IFERROR(__xludf.DUMMYFUNCTION("""COMPUTED_VALUE"""),"₱ 75,468.00")</f>
        <v>₱ 75,468.00</v>
      </c>
      <c r="E3533" s="164" t="str">
        <f ca="1">IFERROR(__xludf.DUMMYFUNCTION("""COMPUTED_VALUE"""),"₱ -")</f>
        <v>₱ -</v>
      </c>
      <c r="F3533" s="164" t="str">
        <f ca="1">IFERROR(__xludf.DUMMYFUNCTION("""COMPUTED_VALUE"""),"2023-05-03-
 10201SP1505-01")</f>
        <v>2023-05-03-
 10201SP1505-01</v>
      </c>
      <c r="G3533" s="164"/>
      <c r="H3533" s="164" t="str">
        <f ca="1">IFERROR(__xludf.DUMMYFUNCTION("""COMPUTED_VALUE"""),"AIDAH PACASIRANG")</f>
        <v>AIDAH PACASIRANG</v>
      </c>
      <c r="I3533" s="164" t="str">
        <f ca="1">IFERROR(__xludf.DUMMYFUNCTION("""COMPUTED_VALUE"""),"MARPO")</f>
        <v>MARPO</v>
      </c>
      <c r="J3533" s="164" t="str">
        <f ca="1">IFERROR(__xludf.DUMMYFUNCTION("""COMPUTED_VALUE"""),"2023-007")</f>
        <v>2023-007</v>
      </c>
      <c r="K3533" s="164" t="str">
        <f ca="1">IFERROR(__xludf.DUMMYFUNCTION("""COMPUTED_VALUE"""),"AIDAH PACASIRANG - DARMO SAPAD")</f>
        <v>AIDAH PACASIRANG - DARMO SAPAD</v>
      </c>
      <c r="L3533" s="164" t="str">
        <f ca="1">IFERROR(__xludf.DUMMYFUNCTION("""COMPUTED_VALUE"""),"DARMO SAPAD")</f>
        <v>DARMO SAPAD</v>
      </c>
      <c r="M3533" s="164" t="str">
        <f ca="1">IFERROR(__xludf.DUMMYFUNCTION("""COMPUTED_VALUE"""),"SERVICEABLE")</f>
        <v>SERVICEABLE</v>
      </c>
      <c r="N3533" s="164"/>
    </row>
    <row r="3534" spans="1:14" ht="13.2">
      <c r="A3534" s="164" t="str">
        <f ca="1">IFERROR(__xludf.DUMMYFUNCTION("""COMPUTED_VALUE"""),"Region X")</f>
        <v>Region X</v>
      </c>
      <c r="B3534" s="164" t="str">
        <f ca="1">IFERROR(__xludf.DUMMYFUNCTION("""COMPUTED_VALUE"""),"LANAO DEL NORTE")</f>
        <v>LANAO DEL NORTE</v>
      </c>
      <c r="C3534" s="164" t="str">
        <f ca="1">IFERROR(__xludf.DUMMYFUNCTION("""COMPUTED_VALUE"""),"Desktop Computer – (Lenovo M70T)")</f>
        <v>Desktop Computer – (Lenovo M70T)</v>
      </c>
      <c r="D3534" s="164" t="str">
        <f ca="1">IFERROR(__xludf.DUMMYFUNCTION("""COMPUTED_VALUE"""),"₱ 75,468.00")</f>
        <v>₱ 75,468.00</v>
      </c>
      <c r="E3534" s="164" t="str">
        <f ca="1">IFERROR(__xludf.DUMMYFUNCTION("""COMPUTED_VALUE"""),"₱ -")</f>
        <v>₱ -</v>
      </c>
      <c r="F3534" s="164" t="str">
        <f ca="1">IFERROR(__xludf.DUMMYFUNCTION("""COMPUTED_VALUE"""),"2023-05-03-
 10201SP1506-01")</f>
        <v>2023-05-03-
 10201SP1506-01</v>
      </c>
      <c r="G3534" s="164"/>
      <c r="H3534" s="164" t="str">
        <f ca="1">IFERROR(__xludf.DUMMYFUNCTION("""COMPUTED_VALUE"""),"ATTY. NIKKI
 MORSHEDA D. BANTUAS")</f>
        <v>ATTY. NIKKI
 MORSHEDA D. BANTUAS</v>
      </c>
      <c r="I3534" s="164" t="str">
        <f ca="1">IFERROR(__xludf.DUMMYFUNCTION("""COMPUTED_VALUE"""),"CHIEF, LEGAL/ LEGAL COORDINATOR")</f>
        <v>CHIEF, LEGAL/ LEGAL COORDINATOR</v>
      </c>
      <c r="J3534" s="164" t="str">
        <f ca="1">IFERROR(__xludf.DUMMYFUNCTION("""COMPUTED_VALUE"""),"2023-008")</f>
        <v>2023-008</v>
      </c>
      <c r="K3534" s="164" t="str">
        <f ca="1">IFERROR(__xludf.DUMMYFUNCTION("""COMPUTED_VALUE"""),"ATTY. NIKKI MORSHIDA D.
 BANTUAS - CHIEF LEGAL/ LEGAL COORDINATOR")</f>
        <v>ATTY. NIKKI MORSHIDA D.
 BANTUAS - CHIEF LEGAL/ LEGAL COORDINATOR</v>
      </c>
      <c r="L3534" s="164" t="str">
        <f ca="1">IFERROR(__xludf.DUMMYFUNCTION("""COMPUTED_VALUE"""),"DAR
 PROVINCIAL OFFICE")</f>
        <v>DAR
 PROVINCIAL OFFICE</v>
      </c>
      <c r="M3534" s="164" t="str">
        <f ca="1">IFERROR(__xludf.DUMMYFUNCTION("""COMPUTED_VALUE"""),"SERVICEABLE")</f>
        <v>SERVICEABLE</v>
      </c>
      <c r="N3534" s="164"/>
    </row>
    <row r="3535" spans="1:14" ht="13.2">
      <c r="A3535" s="164" t="str">
        <f ca="1">IFERROR(__xludf.DUMMYFUNCTION("""COMPUTED_VALUE"""),"Region X")</f>
        <v>Region X</v>
      </c>
      <c r="B3535" s="164" t="str">
        <f ca="1">IFERROR(__xludf.DUMMYFUNCTION("""COMPUTED_VALUE"""),"LANAO DEL NORTE")</f>
        <v>LANAO DEL NORTE</v>
      </c>
      <c r="C3535" s="164" t="str">
        <f ca="1">IFERROR(__xludf.DUMMYFUNCTION("""COMPUTED_VALUE"""),"Desktop Computer – (Lenovo M70T)")</f>
        <v>Desktop Computer – (Lenovo M70T)</v>
      </c>
      <c r="D3535" s="164" t="str">
        <f ca="1">IFERROR(__xludf.DUMMYFUNCTION("""COMPUTED_VALUE"""),"₱ 75,468.00")</f>
        <v>₱ 75,468.00</v>
      </c>
      <c r="E3535" s="164" t="str">
        <f ca="1">IFERROR(__xludf.DUMMYFUNCTION("""COMPUTED_VALUE"""),"₱ -")</f>
        <v>₱ -</v>
      </c>
      <c r="F3535" s="164" t="str">
        <f ca="1">IFERROR(__xludf.DUMMYFUNCTION("""COMPUTED_VALUE"""),"2023-05-03-
 10201SP1507-01")</f>
        <v>2023-05-03-
 10201SP1507-01</v>
      </c>
      <c r="G3535" s="164"/>
      <c r="H3535" s="164" t="str">
        <f ca="1">IFERROR(__xludf.DUMMYFUNCTION("""COMPUTED_VALUE"""),"STEPHINE L. CHAN")</f>
        <v>STEPHINE L. CHAN</v>
      </c>
      <c r="I3535" s="164" t="str">
        <f ca="1">IFERROR(__xludf.DUMMYFUNCTION("""COMPUTED_VALUE"""),"ARPO I/ M &amp; E COORDINATOR")</f>
        <v>ARPO I/ M &amp; E COORDINATOR</v>
      </c>
      <c r="J3535" s="164"/>
      <c r="K3535" s="164"/>
      <c r="L3535" s="164" t="str">
        <f ca="1">IFERROR(__xludf.DUMMYFUNCTION("""COMPUTED_VALUE"""),"DAR PROVINCIAL
 OFFICE")</f>
        <v>DAR PROVINCIAL
 OFFICE</v>
      </c>
      <c r="M3535" s="164" t="str">
        <f ca="1">IFERROR(__xludf.DUMMYFUNCTION("""COMPUTED_VALUE"""),"SERVICEABLE")</f>
        <v>SERVICEABLE</v>
      </c>
      <c r="N3535" s="164"/>
    </row>
    <row r="3536" spans="1:14" ht="13.2">
      <c r="A3536" s="164" t="str">
        <f ca="1">IFERROR(__xludf.DUMMYFUNCTION("""COMPUTED_VALUE"""),"Region X")</f>
        <v>Region X</v>
      </c>
      <c r="B3536" s="164" t="str">
        <f ca="1">IFERROR(__xludf.DUMMYFUNCTION("""COMPUTED_VALUE"""),"LANAO DEL NORTE")</f>
        <v>LANAO DEL NORTE</v>
      </c>
      <c r="C3536" s="164" t="str">
        <f ca="1">IFERROR(__xludf.DUMMYFUNCTION("""COMPUTED_VALUE"""),"Desktop Computer – (Lenovo M70T)")</f>
        <v>Desktop Computer – (Lenovo M70T)</v>
      </c>
      <c r="D3536" s="164" t="str">
        <f ca="1">IFERROR(__xludf.DUMMYFUNCTION("""COMPUTED_VALUE"""),"₱ 75,468.00")</f>
        <v>₱ 75,468.00</v>
      </c>
      <c r="E3536" s="164" t="str">
        <f ca="1">IFERROR(__xludf.DUMMYFUNCTION("""COMPUTED_VALUE"""),"₱ -")</f>
        <v>₱ -</v>
      </c>
      <c r="F3536" s="164" t="str">
        <f ca="1">IFERROR(__xludf.DUMMYFUNCTION("""COMPUTED_VALUE"""),"2023-05-03-
 10201SP1508-01")</f>
        <v>2023-05-03-
 10201SP1508-01</v>
      </c>
      <c r="G3536" s="164"/>
      <c r="H3536" s="164" t="str">
        <f ca="1">IFERROR(__xludf.DUMMYFUNCTION("""COMPUTED_VALUE"""),"KARL WILFRED A. ECUACION")</f>
        <v>KARL WILFRED A. ECUACION</v>
      </c>
      <c r="I3536" s="164" t="str">
        <f ca="1">IFERROR(__xludf.DUMMYFUNCTION("""COMPUTED_VALUE"""),"ARPT / MIS COORDINATOR")</f>
        <v>ARPT / MIS COORDINATOR</v>
      </c>
      <c r="J3536" s="164"/>
      <c r="K3536" s="164" t="str">
        <f ca="1">IFERROR(__xludf.DUMMYFUNCTION("""COMPUTED_VALUE"""),"JAYLORD CABALLES - MIS STAFF")</f>
        <v>JAYLORD CABALLES - MIS STAFF</v>
      </c>
      <c r="L3536" s="164" t="str">
        <f ca="1">IFERROR(__xludf.DUMMYFUNCTION("""COMPUTED_VALUE"""),"DAR PROVINCIAL OFFICE")</f>
        <v>DAR PROVINCIAL OFFICE</v>
      </c>
      <c r="M3536" s="164" t="str">
        <f ca="1">IFERROR(__xludf.DUMMYFUNCTION("""COMPUTED_VALUE"""),"SERVICEABLE")</f>
        <v>SERVICEABLE</v>
      </c>
      <c r="N3536" s="164"/>
    </row>
    <row r="3537" spans="1:14" ht="13.2">
      <c r="A3537" s="164" t="str">
        <f ca="1">IFERROR(__xludf.DUMMYFUNCTION("""COMPUTED_VALUE"""),"Region X")</f>
        <v>Region X</v>
      </c>
      <c r="B3537" s="164" t="str">
        <f ca="1">IFERROR(__xludf.DUMMYFUNCTION("""COMPUTED_VALUE"""),"LANAO DEL NORTE")</f>
        <v>LANAO DEL NORTE</v>
      </c>
      <c r="C3537" s="164" t="str">
        <f ca="1">IFERROR(__xludf.DUMMYFUNCTION("""COMPUTED_VALUE"""),"Desktop Computer – (Lenovo M70T)")</f>
        <v>Desktop Computer – (Lenovo M70T)</v>
      </c>
      <c r="D3537" s="164" t="str">
        <f ca="1">IFERROR(__xludf.DUMMYFUNCTION("""COMPUTED_VALUE"""),"₱ 75,468.00")</f>
        <v>₱ 75,468.00</v>
      </c>
      <c r="E3537" s="164" t="str">
        <f ca="1">IFERROR(__xludf.DUMMYFUNCTION("""COMPUTED_VALUE"""),"₱ -")</f>
        <v>₱ -</v>
      </c>
      <c r="F3537" s="164" t="str">
        <f ca="1">IFERROR(__xludf.DUMMYFUNCTION("""COMPUTED_VALUE"""),"2023-05-03-
 10201SP1509-01")</f>
        <v>2023-05-03-
 10201SP1509-01</v>
      </c>
      <c r="G3537" s="164"/>
      <c r="H3537" s="164" t="str">
        <f ca="1">IFERROR(__xludf.DUMMYFUNCTION("""COMPUTED_VALUE"""),"JAMIEL BELGADO")</f>
        <v>JAMIEL BELGADO</v>
      </c>
      <c r="I3537" s="164" t="str">
        <f ca="1">IFERROR(__xludf.DUMMYFUNCTION("""COMPUTED_VALUE"""),"CHIEF, GEN. SERVICES/ TECH. STAFF 3
 PROCUREMENT OFFICER")</f>
        <v>CHIEF, GEN. SERVICES/ TECH. STAFF 3
 PROCUREMENT OFFICER</v>
      </c>
      <c r="J3537" s="164"/>
      <c r="K3537" s="164" t="str">
        <f ca="1">IFERROR(__xludf.DUMMYFUNCTION("""COMPUTED_VALUE"""),"NAFISA HAMID - COA")</f>
        <v>NAFISA HAMID - COA</v>
      </c>
      <c r="L3537" s="164" t="str">
        <f ca="1">IFERROR(__xludf.DUMMYFUNCTION("""COMPUTED_VALUE"""),"DAR PROVINCIAL
 OFFICE")</f>
        <v>DAR PROVINCIAL
 OFFICE</v>
      </c>
      <c r="M3537" s="164" t="str">
        <f ca="1">IFERROR(__xludf.DUMMYFUNCTION("""COMPUTED_VALUE"""),"SERVICEABLE")</f>
        <v>SERVICEABLE</v>
      </c>
      <c r="N3537" s="164"/>
    </row>
    <row r="3538" spans="1:14" ht="13.2">
      <c r="A3538" s="164" t="str">
        <f ca="1">IFERROR(__xludf.DUMMYFUNCTION("""COMPUTED_VALUE"""),"Region X")</f>
        <v>Region X</v>
      </c>
      <c r="B3538" s="164" t="str">
        <f ca="1">IFERROR(__xludf.DUMMYFUNCTION("""COMPUTED_VALUE"""),"LANAO DEL NORTE")</f>
        <v>LANAO DEL NORTE</v>
      </c>
      <c r="C3538" s="164" t="str">
        <f ca="1">IFERROR(__xludf.DUMMYFUNCTION("""COMPUTED_VALUE"""),"Desktop Computer – (Lenovo M70T)")</f>
        <v>Desktop Computer – (Lenovo M70T)</v>
      </c>
      <c r="D3538" s="164" t="str">
        <f ca="1">IFERROR(__xludf.DUMMYFUNCTION("""COMPUTED_VALUE"""),"₱ 75,468.00")</f>
        <v>₱ 75,468.00</v>
      </c>
      <c r="E3538" s="164" t="str">
        <f ca="1">IFERROR(__xludf.DUMMYFUNCTION("""COMPUTED_VALUE"""),"₱ -")</f>
        <v>₱ -</v>
      </c>
      <c r="F3538" s="164" t="str">
        <f ca="1">IFERROR(__xludf.DUMMYFUNCTION("""COMPUTED_VALUE"""),"2023-05-03-
 10201SP1510-01")</f>
        <v>2023-05-03-
 10201SP1510-01</v>
      </c>
      <c r="G3538" s="164"/>
      <c r="H3538" s="164" t="str">
        <f ca="1">IFERROR(__xludf.DUMMYFUNCTION("""COMPUTED_VALUE"""),"HONEY GRACE G. CASPE")</f>
        <v>HONEY GRACE G. CASPE</v>
      </c>
      <c r="I3538" s="164" t="str">
        <f ca="1">IFERROR(__xludf.DUMMYFUNCTION("""COMPUTED_VALUE"""),"CARPO FOR LTSP/ PARCELIZATION COMPONENT COORDINATOR")</f>
        <v>CARPO FOR LTSP/ PARCELIZATION COMPONENT COORDINATOR</v>
      </c>
      <c r="J3538" s="164"/>
      <c r="K3538" s="164" t="str">
        <f ca="1">IFERROR(__xludf.DUMMYFUNCTION("""COMPUTED_VALUE"""),"HONEY GRACE G. CASPE - CARPO FOR LTSP/ PARCELIZATION COMPONENT COORDINATOR")</f>
        <v>HONEY GRACE G. CASPE - CARPO FOR LTSP/ PARCELIZATION COMPONENT COORDINATOR</v>
      </c>
      <c r="L3538" s="164" t="str">
        <f ca="1">IFERROR(__xludf.DUMMYFUNCTION("""COMPUTED_VALUE"""),"DAR PROVINCIAL OFFICE")</f>
        <v>DAR PROVINCIAL OFFICE</v>
      </c>
      <c r="M3538" s="164" t="str">
        <f ca="1">IFERROR(__xludf.DUMMYFUNCTION("""COMPUTED_VALUE"""),"SERVICEABLE")</f>
        <v>SERVICEABLE</v>
      </c>
      <c r="N3538" s="164"/>
    </row>
    <row r="3539" spans="1:14" ht="13.2">
      <c r="A3539" s="164" t="str">
        <f ca="1">IFERROR(__xludf.DUMMYFUNCTION("""COMPUTED_VALUE"""),"Region X")</f>
        <v>Region X</v>
      </c>
      <c r="B3539" s="164" t="str">
        <f ca="1">IFERROR(__xludf.DUMMYFUNCTION("""COMPUTED_VALUE"""),"LANAO DEL NORTE")</f>
        <v>LANAO DEL NORTE</v>
      </c>
      <c r="C3539" s="164" t="str">
        <f ca="1">IFERROR(__xludf.DUMMYFUNCTION("""COMPUTED_VALUE"""),"Desktop Computer – (Lenovo M70T)")</f>
        <v>Desktop Computer – (Lenovo M70T)</v>
      </c>
      <c r="D3539" s="164" t="str">
        <f ca="1">IFERROR(__xludf.DUMMYFUNCTION("""COMPUTED_VALUE"""),"₱ 75,468.00")</f>
        <v>₱ 75,468.00</v>
      </c>
      <c r="E3539" s="164" t="str">
        <f ca="1">IFERROR(__xludf.DUMMYFUNCTION("""COMPUTED_VALUE"""),"₱ -")</f>
        <v>₱ -</v>
      </c>
      <c r="F3539" s="164" t="str">
        <f ca="1">IFERROR(__xludf.DUMMYFUNCTION("""COMPUTED_VALUE"""),"2023-05-03-
 10201SP1511-01")</f>
        <v>2023-05-03-
 10201SP1511-01</v>
      </c>
      <c r="G3539" s="164"/>
      <c r="H3539" s="164" t="str">
        <f ca="1">IFERROR(__xludf.DUMMYFUNCTION("""COMPUTED_VALUE"""),"MOHAMMAD NASIM 0.
 TANTAO")</f>
        <v>MOHAMMAD NASIM 0.
 TANTAO</v>
      </c>
      <c r="I3539" s="164" t="str">
        <f ca="1">IFERROR(__xludf.DUMMYFUNCTION("""COMPUTED_VALUE"""),"ARPT / DOCUMENTATION &amp; ESS SUPPORT STAFF")</f>
        <v>ARPT / DOCUMENTATION &amp; ESS SUPPORT STAFF</v>
      </c>
      <c r="J3539" s="164"/>
      <c r="K3539" s="164" t="str">
        <f ca="1">IFERROR(__xludf.DUMMYFUNCTION("""COMPUTED_VALUE"""),"MOHAMMAD NASSIM 0. TANTAO - DOCUMENTATION AND ESS SUPPORT STAFF")</f>
        <v>MOHAMMAD NASSIM 0. TANTAO - DOCUMENTATION AND ESS SUPPORT STAFF</v>
      </c>
      <c r="L3539" s="164" t="str">
        <f ca="1">IFERROR(__xludf.DUMMYFUNCTION("""COMPUTED_VALUE"""),"DAR PROVINCIAL
 OFFICE")</f>
        <v>DAR PROVINCIAL
 OFFICE</v>
      </c>
      <c r="M3539" s="164" t="str">
        <f ca="1">IFERROR(__xludf.DUMMYFUNCTION("""COMPUTED_VALUE"""),"SERVICEABLE")</f>
        <v>SERVICEABLE</v>
      </c>
      <c r="N3539" s="164"/>
    </row>
    <row r="3540" spans="1:14" ht="13.2">
      <c r="A3540" s="164" t="str">
        <f ca="1">IFERROR(__xludf.DUMMYFUNCTION("""COMPUTED_VALUE"""),"Region X")</f>
        <v>Region X</v>
      </c>
      <c r="B3540" s="164" t="str">
        <f ca="1">IFERROR(__xludf.DUMMYFUNCTION("""COMPUTED_VALUE"""),"LANAO DEL NORTE")</f>
        <v>LANAO DEL NORTE</v>
      </c>
      <c r="C3540" s="164" t="str">
        <f ca="1">IFERROR(__xludf.DUMMYFUNCTION("""COMPUTED_VALUE"""),"Desktop Computer – (Lenovo M70T)")</f>
        <v>Desktop Computer – (Lenovo M70T)</v>
      </c>
      <c r="D3540" s="164" t="str">
        <f ca="1">IFERROR(__xludf.DUMMYFUNCTION("""COMPUTED_VALUE"""),"₱ 75,468.00")</f>
        <v>₱ 75,468.00</v>
      </c>
      <c r="E3540" s="164" t="str">
        <f ca="1">IFERROR(__xludf.DUMMYFUNCTION("""COMPUTED_VALUE"""),"₱ -")</f>
        <v>₱ -</v>
      </c>
      <c r="F3540" s="164" t="str">
        <f ca="1">IFERROR(__xludf.DUMMYFUNCTION("""COMPUTED_VALUE"""),"2023-05-03-
 10201SP1512-01")</f>
        <v>2023-05-03-
 10201SP1512-01</v>
      </c>
      <c r="G3540" s="164"/>
      <c r="H3540" s="164" t="str">
        <f ca="1">IFERROR(__xludf.DUMMYFUNCTION("""COMPUTED_VALUE"""),"HONEY GRACE G. CASPE")</f>
        <v>HONEY GRACE G. CASPE</v>
      </c>
      <c r="I3540" s="164" t="str">
        <f ca="1">IFERROR(__xludf.DUMMYFUNCTION("""COMPUTED_VALUE"""),"CARPO FOR LTSP / PARCELIZATION COMPONENT COORDINATOR")</f>
        <v>CARPO FOR LTSP / PARCELIZATION COMPONENT COORDINATOR</v>
      </c>
      <c r="J3540" s="164"/>
      <c r="K3540" s="164" t="str">
        <f ca="1">IFERROR(__xludf.DUMMYFUNCTION("""COMPUTED_VALUE"""),"RACMAH SAiD - PROCESSOR")</f>
        <v>RACMAH SAiD - PROCESSOR</v>
      </c>
      <c r="L3540" s="164" t="str">
        <f ca="1">IFERROR(__xludf.DUMMYFUNCTION("""COMPUTED_VALUE"""),"DAR PROVINCIAL
 OFFICE")</f>
        <v>DAR PROVINCIAL
 OFFICE</v>
      </c>
      <c r="M3540" s="164" t="str">
        <f ca="1">IFERROR(__xludf.DUMMYFUNCTION("""COMPUTED_VALUE"""),"SERVICEABLE")</f>
        <v>SERVICEABLE</v>
      </c>
      <c r="N3540" s="164"/>
    </row>
    <row r="3541" spans="1:14" ht="13.2">
      <c r="A3541" s="164" t="str">
        <f ca="1">IFERROR(__xludf.DUMMYFUNCTION("""COMPUTED_VALUE"""),"Region X")</f>
        <v>Region X</v>
      </c>
      <c r="B3541" s="164" t="str">
        <f ca="1">IFERROR(__xludf.DUMMYFUNCTION("""COMPUTED_VALUE"""),"LANAO DEL NORTE")</f>
        <v>LANAO DEL NORTE</v>
      </c>
      <c r="C3541" s="164" t="str">
        <f ca="1">IFERROR(__xludf.DUMMYFUNCTION("""COMPUTED_VALUE"""),"Desktop Computer – (Lenovo M70T)")</f>
        <v>Desktop Computer – (Lenovo M70T)</v>
      </c>
      <c r="D3541" s="164" t="str">
        <f ca="1">IFERROR(__xludf.DUMMYFUNCTION("""COMPUTED_VALUE"""),"₱ 75,468.00")</f>
        <v>₱ 75,468.00</v>
      </c>
      <c r="E3541" s="164" t="str">
        <f ca="1">IFERROR(__xludf.DUMMYFUNCTION("""COMPUTED_VALUE"""),"₱ -")</f>
        <v>₱ -</v>
      </c>
      <c r="F3541" s="164" t="str">
        <f ca="1">IFERROR(__xludf.DUMMYFUNCTION("""COMPUTED_VALUE"""),"2023-05-03-
 10201SP1513-01")</f>
        <v>2023-05-03-
 10201SP1513-01</v>
      </c>
      <c r="G3541" s="164"/>
      <c r="H3541" s="164" t="str">
        <f ca="1">IFERROR(__xludf.DUMMYFUNCTION("""COMPUTED_VALUE"""),"RAYHANA M. MONTE")</f>
        <v>RAYHANA M. MONTE</v>
      </c>
      <c r="I3541" s="164" t="str">
        <f ca="1">IFERROR(__xludf.DUMMYFUNCTION("""COMPUTED_VALUE"""),"CASHIER/ PROJECT CASHIER")</f>
        <v>CASHIER/ PROJECT CASHIER</v>
      </c>
      <c r="J3541" s="164"/>
      <c r="K3541" s="164" t="str">
        <f ca="1">IFERROR(__xludf.DUMMYFUNCTION("""COMPUTED_VALUE"""),"SOBAIR MINDALANO - CASHIER STAFF")</f>
        <v>SOBAIR MINDALANO - CASHIER STAFF</v>
      </c>
      <c r="L3541" s="164" t="str">
        <f ca="1">IFERROR(__xludf.DUMMYFUNCTION("""COMPUTED_VALUE"""),"DAR PROVINCIAL OFFICE")</f>
        <v>DAR PROVINCIAL OFFICE</v>
      </c>
      <c r="M3541" s="164" t="str">
        <f ca="1">IFERROR(__xludf.DUMMYFUNCTION("""COMPUTED_VALUE"""),"SERVICEABLE")</f>
        <v>SERVICEABLE</v>
      </c>
      <c r="N3541" s="164"/>
    </row>
    <row r="3542" spans="1:14" ht="13.2">
      <c r="A3542" s="164" t="str">
        <f ca="1">IFERROR(__xludf.DUMMYFUNCTION("""COMPUTED_VALUE"""),"Region X")</f>
        <v>Region X</v>
      </c>
      <c r="B3542" s="164" t="str">
        <f ca="1">IFERROR(__xludf.DUMMYFUNCTION("""COMPUTED_VALUE"""),"LANAO DEL NORTE")</f>
        <v>LANAO DEL NORTE</v>
      </c>
      <c r="C3542" s="164" t="str">
        <f ca="1">IFERROR(__xludf.DUMMYFUNCTION("""COMPUTED_VALUE"""),"Desktop Computer – (HP Pro SFF 280G9)")</f>
        <v>Desktop Computer – (HP Pro SFF 280G9)</v>
      </c>
      <c r="D3542" s="164" t="str">
        <f ca="1">IFERROR(__xludf.DUMMYFUNCTION("""COMPUTED_VALUE"""),"₱ 78,898.00")</f>
        <v>₱ 78,898.00</v>
      </c>
      <c r="E3542" s="164" t="str">
        <f ca="1">IFERROR(__xludf.DUMMYFUNCTION("""COMPUTED_VALUE"""),"₱ -")</f>
        <v>₱ -</v>
      </c>
      <c r="F3542" s="164" t="str">
        <f ca="1">IFERROR(__xludf.DUMMYFUNCTION("""COMPUTED_VALUE"""),"2023-05-03-
 10201SP473-01")</f>
        <v>2023-05-03-
 10201SP473-01</v>
      </c>
      <c r="G3542" s="164"/>
      <c r="H3542" s="164" t="str">
        <f ca="1">IFERROR(__xludf.DUMMYFUNCTION("""COMPUTED_VALUE"""),"NOROLHAYA H. AMINODDEN")</f>
        <v>NOROLHAYA H. AMINODDEN</v>
      </c>
      <c r="I3542" s="164" t="str">
        <f ca="1">IFERROR(__xludf.DUMMYFUNCTION("""COMPUTED_VALUE"""),"OIC-HRMO")</f>
        <v>OIC-HRMO</v>
      </c>
      <c r="J3542" s="164" t="str">
        <f ca="1">IFERROR(__xludf.DUMMYFUNCTION("""COMPUTED_VALUE"""),"2023-029")</f>
        <v>2023-029</v>
      </c>
      <c r="K3542" s="164" t="str">
        <f ca="1">IFERROR(__xludf.DUMMYFUNCTION("""COMPUTED_VALUE"""),"NOROLHAYA H. AMINODDEN")</f>
        <v>NOROLHAYA H. AMINODDEN</v>
      </c>
      <c r="L3542" s="164" t="str">
        <f ca="1">IFERROR(__xludf.DUMMYFUNCTION("""COMPUTED_VALUE"""),"DAR PROVINCIAL
 OFFICE")</f>
        <v>DAR PROVINCIAL
 OFFICE</v>
      </c>
      <c r="M3542" s="164" t="str">
        <f ca="1">IFERROR(__xludf.DUMMYFUNCTION("""COMPUTED_VALUE"""),"SERVICEABLE")</f>
        <v>SERVICEABLE</v>
      </c>
      <c r="N3542" s="164"/>
    </row>
    <row r="3543" spans="1:14" ht="13.2">
      <c r="A3543" s="164" t="str">
        <f ca="1">IFERROR(__xludf.DUMMYFUNCTION("""COMPUTED_VALUE"""),"Region X")</f>
        <v>Region X</v>
      </c>
      <c r="B3543" s="164" t="str">
        <f ca="1">IFERROR(__xludf.DUMMYFUNCTION("""COMPUTED_VALUE"""),"LANAO DEL NORTE")</f>
        <v>LANAO DEL NORTE</v>
      </c>
      <c r="C3543" s="164" t="str">
        <f ca="1">IFERROR(__xludf.DUMMYFUNCTION("""COMPUTED_VALUE"""),"Desktop Computer – (HP Pro SFF 280G9)")</f>
        <v>Desktop Computer – (HP Pro SFF 280G9)</v>
      </c>
      <c r="D3543" s="164" t="str">
        <f ca="1">IFERROR(__xludf.DUMMYFUNCTION("""COMPUTED_VALUE"""),"₱ 78,898.00")</f>
        <v>₱ 78,898.00</v>
      </c>
      <c r="E3543" s="164" t="str">
        <f ca="1">IFERROR(__xludf.DUMMYFUNCTION("""COMPUTED_VALUE"""),"₱ -")</f>
        <v>₱ -</v>
      </c>
      <c r="F3543" s="164" t="str">
        <f ca="1">IFERROR(__xludf.DUMMYFUNCTION("""COMPUTED_VALUE"""),"2023-05-03-
 10201SP474-01")</f>
        <v>2023-05-03-
 10201SP474-01</v>
      </c>
      <c r="G3543" s="164"/>
      <c r="H3543" s="164" t="str">
        <f ca="1">IFERROR(__xludf.DUMMYFUNCTION("""COMPUTED_VALUE"""),"HONEY GRACE G. CASPE")</f>
        <v>HONEY GRACE G. CASPE</v>
      </c>
      <c r="I3543" s="164" t="str">
        <f ca="1">IFERROR(__xludf.DUMMYFUNCTION("""COMPUTED_VALUE"""),"CARPO FOR LTSP / PARCELIZATION COMPONENT COORDINATOR")</f>
        <v>CARPO FOR LTSP / PARCELIZATION COMPONENT COORDINATOR</v>
      </c>
      <c r="J3543" s="164" t="str">
        <f ca="1">IFERROR(__xludf.DUMMYFUNCTION("""COMPUTED_VALUE"""),"2023-030")</f>
        <v>2023-030</v>
      </c>
      <c r="K3543" s="164" t="str">
        <f ca="1">IFERROR(__xludf.DUMMYFUNCTION("""COMPUTED_VALUE"""),"AMERHUSSEIN AMENODIN
 - PROCESSOR")</f>
        <v>AMERHUSSEIN AMENODIN
 - PROCESSOR</v>
      </c>
      <c r="L3543" s="164" t="str">
        <f ca="1">IFERROR(__xludf.DUMMYFUNCTION("""COMPUTED_VALUE"""),"DAR PROVINCIAL OFFICE")</f>
        <v>DAR PROVINCIAL OFFICE</v>
      </c>
      <c r="M3543" s="164" t="str">
        <f ca="1">IFERROR(__xludf.DUMMYFUNCTION("""COMPUTED_VALUE"""),"SERVICEABLE")</f>
        <v>SERVICEABLE</v>
      </c>
      <c r="N3543" s="164"/>
    </row>
    <row r="3544" spans="1:14" ht="13.2">
      <c r="A3544" s="164" t="str">
        <f ca="1">IFERROR(__xludf.DUMMYFUNCTION("""COMPUTED_VALUE"""),"Region X")</f>
        <v>Region X</v>
      </c>
      <c r="B3544" s="164" t="str">
        <f ca="1">IFERROR(__xludf.DUMMYFUNCTION("""COMPUTED_VALUE"""),"LANAO DEL NORTE")</f>
        <v>LANAO DEL NORTE</v>
      </c>
      <c r="C3544" s="164" t="str">
        <f ca="1">IFERROR(__xludf.DUMMYFUNCTION("""COMPUTED_VALUE"""),"Desktop Computer – (HP Pro SFF 280G9)")</f>
        <v>Desktop Computer – (HP Pro SFF 280G9)</v>
      </c>
      <c r="D3544" s="164" t="str">
        <f ca="1">IFERROR(__xludf.DUMMYFUNCTION("""COMPUTED_VALUE"""),"₱ 78,898.00")</f>
        <v>₱ 78,898.00</v>
      </c>
      <c r="E3544" s="164" t="str">
        <f ca="1">IFERROR(__xludf.DUMMYFUNCTION("""COMPUTED_VALUE"""),"₱ -")</f>
        <v>₱ -</v>
      </c>
      <c r="F3544" s="164" t="str">
        <f ca="1">IFERROR(__xludf.DUMMYFUNCTION("""COMPUTED_VALUE"""),"2023-05-03-
 10201SP475-01")</f>
        <v>2023-05-03-
 10201SP475-01</v>
      </c>
      <c r="G3544" s="164"/>
      <c r="H3544" s="164" t="str">
        <f ca="1">IFERROR(__xludf.DUMMYFUNCTION("""COMPUTED_VALUE"""),"HONEY GRACE G. CASPE")</f>
        <v>HONEY GRACE G. CASPE</v>
      </c>
      <c r="I3544" s="164" t="str">
        <f ca="1">IFERROR(__xludf.DUMMYFUNCTION("""COMPUTED_VALUE"""),"CARPO FOR LTSP / PARCELIZATION COMPONENT COORDINATOR")</f>
        <v>CARPO FOR LTSP / PARCELIZATION COMPONENT COORDINATOR</v>
      </c>
      <c r="J3544" s="164" t="str">
        <f ca="1">IFERROR(__xludf.DUMMYFUNCTION("""COMPUTED_VALUE"""),"2023-031")</f>
        <v>2023-031</v>
      </c>
      <c r="K3544" s="164" t="str">
        <f ca="1">IFERROR(__xludf.DUMMYFUNCTION("""COMPUTED_VALUE"""),"MOHAMMAD SIDIC DIMANA
 -PROCESSOR")</f>
        <v>MOHAMMAD SIDIC DIMANA
 -PROCESSOR</v>
      </c>
      <c r="L3544" s="164" t="str">
        <f ca="1">IFERROR(__xludf.DUMMYFUNCTION("""COMPUTED_VALUE"""),"DAR PROVINCIAL OFFICE")</f>
        <v>DAR PROVINCIAL OFFICE</v>
      </c>
      <c r="M3544" s="164" t="str">
        <f ca="1">IFERROR(__xludf.DUMMYFUNCTION("""COMPUTED_VALUE"""),"SERVICEABLE")</f>
        <v>SERVICEABLE</v>
      </c>
      <c r="N3544" s="164"/>
    </row>
    <row r="3545" spans="1:14" ht="13.2">
      <c r="A3545" s="164" t="str">
        <f ca="1">IFERROR(__xludf.DUMMYFUNCTION("""COMPUTED_VALUE"""),"Region X")</f>
        <v>Region X</v>
      </c>
      <c r="B3545" s="164" t="str">
        <f ca="1">IFERROR(__xludf.DUMMYFUNCTION("""COMPUTED_VALUE"""),"LANAO DEL NORTE")</f>
        <v>LANAO DEL NORTE</v>
      </c>
      <c r="C3545" s="164" t="str">
        <f ca="1">IFERROR(__xludf.DUMMYFUNCTION("""COMPUTED_VALUE"""),"Laptop – (ACER EXTENSA EX215-55G i7)")</f>
        <v>Laptop – (ACER EXTENSA EX215-55G i7)</v>
      </c>
      <c r="D3545" s="164" t="str">
        <f ca="1">IFERROR(__xludf.DUMMYFUNCTION("""COMPUTED_VALUE"""),"₱ 59,500.00")</f>
        <v>₱ 59,500.00</v>
      </c>
      <c r="E3545" s="164" t="str">
        <f ca="1">IFERROR(__xludf.DUMMYFUNCTION("""COMPUTED_VALUE"""),"₱ -")</f>
        <v>₱ -</v>
      </c>
      <c r="F3545" s="164" t="str">
        <f ca="1">IFERROR(__xludf.DUMMYFUNCTION("""COMPUTED_VALUE"""),"2023-05-03-
 10201SP186-01")</f>
        <v>2023-05-03-
 10201SP186-01</v>
      </c>
      <c r="G3545" s="164"/>
      <c r="H3545" s="164" t="str">
        <f ca="1">IFERROR(__xludf.DUMMYFUNCTION("""COMPUTED_VALUE"""),"BEVERLY FAITH T. TANGGOL")</f>
        <v>BEVERLY FAITH T. TANGGOL</v>
      </c>
      <c r="I3545" s="164" t="str">
        <f ca="1">IFERROR(__xludf.DUMMYFUNCTION("""COMPUTED_VALUE"""),"CHIEF, ADMIN. /TECH.STAFF 2 ADMIN. &amp; FINANCE OFFICER")</f>
        <v>CHIEF, ADMIN. /TECH.STAFF 2 ADMIN. &amp; FINANCE OFFICER</v>
      </c>
      <c r="J3545" s="164" t="str">
        <f ca="1">IFERROR(__xludf.DUMMYFUNCTION("""COMPUTED_VALUE"""),"2023-032")</f>
        <v>2023-032</v>
      </c>
      <c r="K3545" s="164" t="str">
        <f ca="1">IFERROR(__xludf.DUMMYFUNCTION("""COMPUTED_VALUE"""),"BEVERLY FAITH T. TANGGOL PCAO / TECHNICAL STAFF 2 ADMINISTRATIVE AND FINANCE OFFICER")</f>
        <v>BEVERLY FAITH T. TANGGOL PCAO / TECHNICAL STAFF 2 ADMINISTRATIVE AND FINANCE OFFICER</v>
      </c>
      <c r="L3545" s="164" t="str">
        <f ca="1">IFERROR(__xludf.DUMMYFUNCTION("""COMPUTED_VALUE"""),"DAR PROVINCIAL OFFICE")</f>
        <v>DAR PROVINCIAL OFFICE</v>
      </c>
      <c r="M3545" s="164" t="str">
        <f ca="1">IFERROR(__xludf.DUMMYFUNCTION("""COMPUTED_VALUE"""),"SERVICEABLE")</f>
        <v>SERVICEABLE</v>
      </c>
      <c r="N3545" s="164"/>
    </row>
    <row r="3546" spans="1:14" ht="13.2">
      <c r="A3546" s="164" t="str">
        <f ca="1">IFERROR(__xludf.DUMMYFUNCTION("""COMPUTED_VALUE"""),"Region X")</f>
        <v>Region X</v>
      </c>
      <c r="B3546" s="164" t="str">
        <f ca="1">IFERROR(__xludf.DUMMYFUNCTION("""COMPUTED_VALUE"""),"LANAO DEL NORTE")</f>
        <v>LANAO DEL NORTE</v>
      </c>
      <c r="C3546" s="164" t="str">
        <f ca="1">IFERROR(__xludf.DUMMYFUNCTION("""COMPUTED_VALUE"""),"Laptop – (ACER EXTENSA EX215-55G i7)")</f>
        <v>Laptop – (ACER EXTENSA EX215-55G i7)</v>
      </c>
      <c r="D3546" s="164" t="str">
        <f ca="1">IFERROR(__xludf.DUMMYFUNCTION("""COMPUTED_VALUE"""),"₱ 59,500.00")</f>
        <v>₱ 59,500.00</v>
      </c>
      <c r="E3546" s="164" t="str">
        <f ca="1">IFERROR(__xludf.DUMMYFUNCTION("""COMPUTED_VALUE"""),"₱ -")</f>
        <v>₱ -</v>
      </c>
      <c r="F3546" s="164" t="str">
        <f ca="1">IFERROR(__xludf.DUMMYFUNCTION("""COMPUTED_VALUE"""),"2023-05-03-
 10201SP187-01")</f>
        <v>2023-05-03-
 10201SP187-01</v>
      </c>
      <c r="G3546" s="164"/>
      <c r="H3546" s="164" t="str">
        <f ca="1">IFERROR(__xludf.DUMMYFUNCTION("""COMPUTED_VALUE"""),"MARIE VIL M. CODILLA, JD")</f>
        <v>MARIE VIL M. CODILLA, JD</v>
      </c>
      <c r="I3546" s="164" t="str">
        <f ca="1">IFERROR(__xludf.DUMMYFUNCTION("""COMPUTED_VALUE"""),"PARPO II / PROJECT MANAGER")</f>
        <v>PARPO II / PROJECT MANAGER</v>
      </c>
      <c r="J3546" s="164" t="str">
        <f ca="1">IFERROR(__xludf.DUMMYFUNCTION("""COMPUTED_VALUE"""),"2023-033")</f>
        <v>2023-033</v>
      </c>
      <c r="K3546" s="164" t="str">
        <f ca="1">IFERROR(__xludf.DUMMYFUNCTION("""COMPUTED_VALUE"""),"MARIE VIL M. CODILLA, JD PARPO II / PROJECT
 MANAGER")</f>
        <v>MARIE VIL M. CODILLA, JD PARPO II / PROJECT
 MANAGER</v>
      </c>
      <c r="L3546" s="164" t="str">
        <f ca="1">IFERROR(__xludf.DUMMYFUNCTION("""COMPUTED_VALUE"""),"DAR PROVINCIAL
 OFFICE")</f>
        <v>DAR PROVINCIAL
 OFFICE</v>
      </c>
      <c r="M3546" s="164" t="str">
        <f ca="1">IFERROR(__xludf.DUMMYFUNCTION("""COMPUTED_VALUE"""),"SERVICEABLE")</f>
        <v>SERVICEABLE</v>
      </c>
      <c r="N3546" s="164"/>
    </row>
    <row r="3547" spans="1:14" ht="13.2">
      <c r="A3547" s="164" t="str">
        <f ca="1">IFERROR(__xludf.DUMMYFUNCTION("""COMPUTED_VALUE"""),"Region X")</f>
        <v>Region X</v>
      </c>
      <c r="B3547" s="164" t="str">
        <f ca="1">IFERROR(__xludf.DUMMYFUNCTION("""COMPUTED_VALUE"""),"LANAO DEL NORTE")</f>
        <v>LANAO DEL NORTE</v>
      </c>
      <c r="C3547" s="164" t="str">
        <f ca="1">IFERROR(__xludf.DUMMYFUNCTION("""COMPUTED_VALUE"""),"Laptop – (ACER EXTENSA EX215-55G i7)")</f>
        <v>Laptop – (ACER EXTENSA EX215-55G i7)</v>
      </c>
      <c r="D3547" s="164" t="str">
        <f ca="1">IFERROR(__xludf.DUMMYFUNCTION("""COMPUTED_VALUE"""),"₱ 59,500.00")</f>
        <v>₱ 59,500.00</v>
      </c>
      <c r="E3547" s="164" t="str">
        <f ca="1">IFERROR(__xludf.DUMMYFUNCTION("""COMPUTED_VALUE"""),"₱ -")</f>
        <v>₱ -</v>
      </c>
      <c r="F3547" s="164" t="str">
        <f ca="1">IFERROR(__xludf.DUMMYFUNCTION("""COMPUTED_VALUE"""),"2023-05-
 10202SP74-01")</f>
        <v>2023-05-
 10202SP74-01</v>
      </c>
      <c r="G3547" s="164"/>
      <c r="H3547" s="164" t="str">
        <f ca="1">IFERROR(__xludf.DUMMYFUNCTION("""COMPUTED_VALUE"""),"ELINOR JUDYFIND ABRAGAN")</f>
        <v>ELINOR JUDYFIND ABRAGAN</v>
      </c>
      <c r="I3547" s="164" t="str">
        <f ca="1">IFERROR(__xludf.DUMMYFUNCTION("""COMPUTED_VALUE"""),"PIO")</f>
        <v>PIO</v>
      </c>
      <c r="J3547" s="164"/>
      <c r="K3547" s="164" t="str">
        <f ca="1">IFERROR(__xludf.DUMMYFUNCTION("""COMPUTED_VALUE"""),"ELINOR JUDYFIND ABRAGAN - PIO")</f>
        <v>ELINOR JUDYFIND ABRAGAN - PIO</v>
      </c>
      <c r="L3547" s="164" t="str">
        <f ca="1">IFERROR(__xludf.DUMMYFUNCTION("""COMPUTED_VALUE"""),"DAR PROVINCIAL
 OFFICE")</f>
        <v>DAR PROVINCIAL
 OFFICE</v>
      </c>
      <c r="M3547" s="164" t="str">
        <f ca="1">IFERROR(__xludf.DUMMYFUNCTION("""COMPUTED_VALUE"""),"SERVICEABLE")</f>
        <v>SERVICEABLE</v>
      </c>
      <c r="N3547" s="164"/>
    </row>
    <row r="3548" spans="1:14" ht="13.2">
      <c r="A3548" s="164" t="str">
        <f ca="1">IFERROR(__xludf.DUMMYFUNCTION("""COMPUTED_VALUE"""),"Region X")</f>
        <v>Region X</v>
      </c>
      <c r="B3548" s="164" t="str">
        <f ca="1">IFERROR(__xludf.DUMMYFUNCTION("""COMPUTED_VALUE"""),"LANAO DEL NORTE")</f>
        <v>LANAO DEL NORTE</v>
      </c>
      <c r="C3548" s="164" t="str">
        <f ca="1">IFERROR(__xludf.DUMMYFUNCTION("""COMPUTED_VALUE"""),"Photocopier Machine – Kyocera")</f>
        <v>Photocopier Machine – Kyocera</v>
      </c>
      <c r="D3548" s="164" t="str">
        <f ca="1">IFERROR(__xludf.DUMMYFUNCTION("""COMPUTED_VALUE"""),"₱ 84,500.00")</f>
        <v>₱ 84,500.00</v>
      </c>
      <c r="E3548" s="164" t="str">
        <f ca="1">IFERROR(__xludf.DUMMYFUNCTION("""COMPUTED_VALUE"""),"₱ -")</f>
        <v>₱ -</v>
      </c>
      <c r="F3548" s="164" t="str">
        <f ca="1">IFERROR(__xludf.DUMMYFUNCTION("""COMPUTED_VALUE"""),"2022-05-02-10202SP67-01")</f>
        <v>2022-05-02-10202SP67-01</v>
      </c>
      <c r="G3548" s="164"/>
      <c r="H3548" s="164" t="str">
        <f ca="1">IFERROR(__xludf.DUMMYFUNCTION("""COMPUTED_VALUE"""),"HONEY GRACE G. CASPE")</f>
        <v>HONEY GRACE G. CASPE</v>
      </c>
      <c r="I3548" s="164" t="str">
        <f ca="1">IFERROR(__xludf.DUMMYFUNCTION("""COMPUTED_VALUE"""),"CARPO FOR LTSP / PARCELIZA TION COMPONENT COORDINATOR")</f>
        <v>CARPO FOR LTSP / PARCELIZA TION COMPONENT COORDINATOR</v>
      </c>
      <c r="J3548" s="164"/>
      <c r="K3548" s="164" t="str">
        <f ca="1">IFERROR(__xludf.DUMMYFUNCTION("""COMPUTED_VALUE"""),"SPLIT PROJECT HIRED SUPPORT STAFFS AND FVTS")</f>
        <v>SPLIT PROJECT HIRED SUPPORT STAFFS AND FVTS</v>
      </c>
      <c r="L3548" s="164" t="str">
        <f ca="1">IFERROR(__xludf.DUMMYFUNCTION("""COMPUTED_VALUE"""),"DAR PROVINCIAL OFFICE")</f>
        <v>DAR PROVINCIAL OFFICE</v>
      </c>
      <c r="M3548" s="164" t="str">
        <f ca="1">IFERROR(__xludf.DUMMYFUNCTION("""COMPUTED_VALUE"""),"SERVICEABLE")</f>
        <v>SERVICEABLE</v>
      </c>
      <c r="N3548" s="164"/>
    </row>
    <row r="3549" spans="1:14" ht="13.2">
      <c r="A3549" s="164" t="str">
        <f ca="1">IFERROR(__xludf.DUMMYFUNCTION("""COMPUTED_VALUE"""),"Region X")</f>
        <v>Region X</v>
      </c>
      <c r="B3549" s="164" t="str">
        <f ca="1">IFERROR(__xludf.DUMMYFUNCTION("""COMPUTED_VALUE"""),"LANAO DEL NORTE")</f>
        <v>LANAO DEL NORTE</v>
      </c>
      <c r="C3549" s="164" t="str">
        <f ca="1">IFERROR(__xludf.DUMMYFUNCTION("""COMPUTED_VALUE"""),"A3 PRINTER (BROTHER)")</f>
        <v>A3 PRINTER (BROTHER)</v>
      </c>
      <c r="D3549" s="164" t="str">
        <f ca="1">IFERROR(__xludf.DUMMYFUNCTION("""COMPUTED_VALUE"""),"₱ 33,508.00")</f>
        <v>₱ 33,508.00</v>
      </c>
      <c r="E3549" s="164" t="str">
        <f ca="1">IFERROR(__xludf.DUMMYFUNCTION("""COMPUTED_VALUE"""),"₱ -")</f>
        <v>₱ -</v>
      </c>
      <c r="F3549" s="164" t="str">
        <f ca="1">IFERROR(__xludf.DUMMYFUNCTION("""COMPUTED_VALUE"""),"HV-SPLIT-102-24-05-078")</f>
        <v>HV-SPLIT-102-24-05-078</v>
      </c>
      <c r="G3549" s="164"/>
      <c r="H3549" s="164" t="str">
        <f ca="1">IFERROR(__xludf.DUMMYFUNCTION("""COMPUTED_VALUE"""),"ZORAIDA MACADINDANG")</f>
        <v>ZORAIDA MACADINDANG</v>
      </c>
      <c r="I3549" s="164" t="str">
        <f ca="1">IFERROR(__xludf.DUMMYFUNCTION("""COMPUTED_VALUE"""),"REGIONAL DIRECTOR")</f>
        <v>REGIONAL DIRECTOR</v>
      </c>
      <c r="J3549" s="164" t="str">
        <f ca="1">IFERROR(__xludf.DUMMYFUNCTION("""COMPUTED_VALUE"""),"2024-05-012")</f>
        <v>2024-05-012</v>
      </c>
      <c r="K3549" s="164"/>
      <c r="L3549" s="164" t="str">
        <f ca="1">IFERROR(__xludf.DUMMYFUNCTION("""COMPUTED_VALUE"""),"DARPO LANAO NORTE")</f>
        <v>DARPO LANAO NORTE</v>
      </c>
      <c r="M3549" s="164" t="str">
        <f ca="1">IFERROR(__xludf.DUMMYFUNCTION("""COMPUTED_VALUE"""),"SERVICEABLE")</f>
        <v>SERVICEABLE</v>
      </c>
      <c r="N3549" s="164"/>
    </row>
    <row r="3550" spans="1:14" ht="13.2" hidden="1">
      <c r="A3550" s="164" t="str">
        <f ca="1">IFERROR(__xludf.DUMMYFUNCTION("""COMPUTED_VALUE"""),"Region X")</f>
        <v>Region X</v>
      </c>
      <c r="B3550" s="164" t="str">
        <f ca="1">IFERROR(__xludf.DUMMYFUNCTION("""COMPUTED_VALUE"""),"MISAMIS OCCIDENTAL")</f>
        <v>MISAMIS OCCIDENTAL</v>
      </c>
      <c r="C3550" s="164" t="str">
        <f ca="1">IFERROR(__xludf.DUMMYFUNCTION("""COMPUTED_VALUE"""),"Desktop Computer – (Lenovo M70T)")</f>
        <v>Desktop Computer – (Lenovo M70T)</v>
      </c>
      <c r="D3550" s="164" t="str">
        <f ca="1">IFERROR(__xludf.DUMMYFUNCTION("""COMPUTED_VALUE"""),"₱ 75,468.00")</f>
        <v>₱ 75,468.00</v>
      </c>
      <c r="E3550" s="164" t="str">
        <f ca="1">IFERROR(__xludf.DUMMYFUNCTION("""COMPUTED_VALUE"""),"₱ -")</f>
        <v>₱ -</v>
      </c>
      <c r="F3550" s="164" t="str">
        <f ca="1">IFERROR(__xludf.DUMMYFUNCTION("""COMPUTED_VALUE"""),"2023-05-01-
 10201SP1523-01")</f>
        <v>2023-05-01-
 10201SP1523-01</v>
      </c>
      <c r="G3550" s="164"/>
      <c r="H3550" s="164" t="str">
        <f ca="1">IFERROR(__xludf.DUMMYFUNCTION("""COMPUTED_VALUE"""),"MAYBELE T. ALCALA")</f>
        <v>MAYBELE T. ALCALA</v>
      </c>
      <c r="I3550" s="164" t="str">
        <f ca="1">IFERROR(__xludf.DUMMYFUNCTION("""COMPUTED_VALUE"""),"PARPO I")</f>
        <v>PARPO I</v>
      </c>
      <c r="J3550" s="164"/>
      <c r="K3550" s="164" t="str">
        <f ca="1">IFERROR(__xludf.DUMMYFUNCTION("""COMPUTED_VALUE"""),"MAYBELE T. ALCALA")</f>
        <v>MAYBELE T. ALCALA</v>
      </c>
      <c r="L3550" s="164" t="str">
        <f ca="1">IFERROR(__xludf.DUMMYFUNCTION("""COMPUTED_VALUE"""),"DARRO-ARBDSP")</f>
        <v>DARRO-ARBDSP</v>
      </c>
      <c r="M3550" s="164" t="str">
        <f ca="1">IFERROR(__xludf.DUMMYFUNCTION("""COMPUTED_VALUE"""),"SERVICEABLE")</f>
        <v>SERVICEABLE</v>
      </c>
      <c r="N3550" s="164"/>
    </row>
    <row r="3551" spans="1:14" ht="13.2" hidden="1">
      <c r="A3551" s="164" t="str">
        <f ca="1">IFERROR(__xludf.DUMMYFUNCTION("""COMPUTED_VALUE"""),"Region X")</f>
        <v>Region X</v>
      </c>
      <c r="B3551" s="164" t="str">
        <f ca="1">IFERROR(__xludf.DUMMYFUNCTION("""COMPUTED_VALUE"""),"MISAMIS OCCIDENTAL")</f>
        <v>MISAMIS OCCIDENTAL</v>
      </c>
      <c r="C3551" s="164" t="str">
        <f ca="1">IFERROR(__xludf.DUMMYFUNCTION("""COMPUTED_VALUE"""),"Desktop Computer – (Lenovo M70T)")</f>
        <v>Desktop Computer – (Lenovo M70T)</v>
      </c>
      <c r="D3551" s="164" t="str">
        <f ca="1">IFERROR(__xludf.DUMMYFUNCTION("""COMPUTED_VALUE"""),"₱ 75,468.00")</f>
        <v>₱ 75,468.00</v>
      </c>
      <c r="E3551" s="164" t="str">
        <f ca="1">IFERROR(__xludf.DUMMYFUNCTION("""COMPUTED_VALUE"""),"₱ -")</f>
        <v>₱ -</v>
      </c>
      <c r="F3551" s="164" t="str">
        <f ca="1">IFERROR(__xludf.DUMMYFUNCTION("""COMPUTED_VALUE"""),"2023-05-03-
 10201SP1530-01")</f>
        <v>2023-05-03-
 10201SP1530-01</v>
      </c>
      <c r="G3551" s="164"/>
      <c r="H3551" s="164" t="str">
        <f ca="1">IFERROR(__xludf.DUMMYFUNCTION("""COMPUTED_VALUE"""),"ATTY.SHARA- MYELLAH S. SAMPACO")</f>
        <v>ATTY.SHARA- MYELLAH S. SAMPACO</v>
      </c>
      <c r="I3551" s="164" t="str">
        <f ca="1">IFERROR(__xludf.DUMMYFUNCTION("""COMPUTED_VALUE"""),"ARPT")</f>
        <v>ARPT</v>
      </c>
      <c r="J3551" s="164"/>
      <c r="K3551" s="164" t="str">
        <f ca="1">IFERROR(__xludf.DUMMYFUNCTION("""COMPUTED_VALUE"""),"ATTY. ADRIANO G. BAHIAN")</f>
        <v>ATTY. ADRIANO G. BAHIAN</v>
      </c>
      <c r="L3551" s="164" t="str">
        <f ca="1">IFERROR(__xludf.DUMMYFUNCTION("""COMPUTED_VALUE"""),"PARPO II OFFICE")</f>
        <v>PARPO II OFFICE</v>
      </c>
      <c r="M3551" s="164" t="str">
        <f ca="1">IFERROR(__xludf.DUMMYFUNCTION("""COMPUTED_VALUE"""),"SERVICEABLE")</f>
        <v>SERVICEABLE</v>
      </c>
      <c r="N3551" s="164"/>
    </row>
    <row r="3552" spans="1:14" ht="13.2" hidden="1">
      <c r="A3552" s="164" t="str">
        <f ca="1">IFERROR(__xludf.DUMMYFUNCTION("""COMPUTED_VALUE"""),"Region X")</f>
        <v>Region X</v>
      </c>
      <c r="B3552" s="164" t="str">
        <f ca="1">IFERROR(__xludf.DUMMYFUNCTION("""COMPUTED_VALUE"""),"MISAMIS OCCIDENTAL")</f>
        <v>MISAMIS OCCIDENTAL</v>
      </c>
      <c r="C3552" s="164" t="str">
        <f ca="1">IFERROR(__xludf.DUMMYFUNCTION("""COMPUTED_VALUE"""),"Desktop Computer – (Lenovo M70T)")</f>
        <v>Desktop Computer – (Lenovo M70T)</v>
      </c>
      <c r="D3552" s="164" t="str">
        <f ca="1">IFERROR(__xludf.DUMMYFUNCTION("""COMPUTED_VALUE"""),"₱ 75,468.00")</f>
        <v>₱ 75,468.00</v>
      </c>
      <c r="E3552" s="164" t="str">
        <f ca="1">IFERROR(__xludf.DUMMYFUNCTION("""COMPUTED_VALUE"""),"₱ -")</f>
        <v>₱ -</v>
      </c>
      <c r="F3552" s="164" t="str">
        <f ca="1">IFERROR(__xludf.DUMMYFUNCTION("""COMPUTED_VALUE"""),"2023-05-03-
 10201SP1525-01")</f>
        <v>2023-05-03-
 10201SP1525-01</v>
      </c>
      <c r="G3552" s="164"/>
      <c r="H3552" s="164" t="str">
        <f ca="1">IFERROR(__xludf.DUMMYFUNCTION("""COMPUTED_VALUE"""),"LITA T. TORRES")</f>
        <v>LITA T. TORRES</v>
      </c>
      <c r="I3552" s="164" t="str">
        <f ca="1">IFERROR(__xludf.DUMMYFUNCTION("""COMPUTED_VALUE"""),"PCAO")</f>
        <v>PCAO</v>
      </c>
      <c r="J3552" s="164" t="str">
        <f ca="1">IFERROR(__xludf.DUMMYFUNCTION("""COMPUTED_VALUE"""),"DAR-SPLIT- 2023-011")</f>
        <v>DAR-SPLIT- 2023-011</v>
      </c>
      <c r="K3552" s="164" t="str">
        <f ca="1">IFERROR(__xludf.DUMMYFUNCTION("""COMPUTED_VALUE"""),"LITA T. TORRES")</f>
        <v>LITA T. TORRES</v>
      </c>
      <c r="L3552" s="164" t="str">
        <f ca="1">IFERROR(__xludf.DUMMYFUNCTION("""COMPUTED_VALUE"""),"DARPO-STOD")</f>
        <v>DARPO-STOD</v>
      </c>
      <c r="M3552" s="164" t="str">
        <f ca="1">IFERROR(__xludf.DUMMYFUNCTION("""COMPUTED_VALUE"""),"SERVICEABLE")</f>
        <v>SERVICEABLE</v>
      </c>
      <c r="N3552" s="164"/>
    </row>
    <row r="3553" spans="1:14" ht="13.2" hidden="1">
      <c r="A3553" s="164" t="str">
        <f ca="1">IFERROR(__xludf.DUMMYFUNCTION("""COMPUTED_VALUE"""),"Region X")</f>
        <v>Region X</v>
      </c>
      <c r="B3553" s="164" t="str">
        <f ca="1">IFERROR(__xludf.DUMMYFUNCTION("""COMPUTED_VALUE"""),"MISAMIS OCCIDENTAL")</f>
        <v>MISAMIS OCCIDENTAL</v>
      </c>
      <c r="C3553" s="164" t="str">
        <f ca="1">IFERROR(__xludf.DUMMYFUNCTION("""COMPUTED_VALUE"""),"Desktop Computer – (Lenovo M70T)")</f>
        <v>Desktop Computer – (Lenovo M70T)</v>
      </c>
      <c r="D3553" s="164" t="str">
        <f ca="1">IFERROR(__xludf.DUMMYFUNCTION("""COMPUTED_VALUE"""),"₱ 75,468.00")</f>
        <v>₱ 75,468.00</v>
      </c>
      <c r="E3553" s="164" t="str">
        <f ca="1">IFERROR(__xludf.DUMMYFUNCTION("""COMPUTED_VALUE"""),"₱ -")</f>
        <v>₱ -</v>
      </c>
      <c r="F3553" s="164" t="str">
        <f ca="1">IFERROR(__xludf.DUMMYFUNCTION("""COMPUTED_VALUE"""),"2023-05-03-
 10201SP1526-01")</f>
        <v>2023-05-03-
 10201SP1526-01</v>
      </c>
      <c r="G3553" s="164"/>
      <c r="H3553" s="164" t="str">
        <f ca="1">IFERROR(__xludf.DUMMYFUNCTION("""COMPUTED_VALUE"""),"LITA T. TORRES")</f>
        <v>LITA T. TORRES</v>
      </c>
      <c r="I3553" s="164" t="str">
        <f ca="1">IFERROR(__xludf.DUMMYFUNCTION("""COMPUTED_VALUE"""),"PCAO")</f>
        <v>PCAO</v>
      </c>
      <c r="J3553" s="164" t="str">
        <f ca="1">IFERROR(__xludf.DUMMYFUNCTION("""COMPUTED_VALUE"""),"DAR-SPLIT- 2023-012")</f>
        <v>DAR-SPLIT- 2023-012</v>
      </c>
      <c r="K3553" s="164" t="str">
        <f ca="1">IFERROR(__xludf.DUMMYFUNCTION("""COMPUTED_VALUE"""),"JOHN PETER REMULTA")</f>
        <v>JOHN PETER REMULTA</v>
      </c>
      <c r="L3553" s="164" t="str">
        <f ca="1">IFERROR(__xludf.DUMMYFUNCTION("""COMPUTED_VALUE"""),"DARPO-STOD")</f>
        <v>DARPO-STOD</v>
      </c>
      <c r="M3553" s="164" t="str">
        <f ca="1">IFERROR(__xludf.DUMMYFUNCTION("""COMPUTED_VALUE"""),"SERVICEABLE")</f>
        <v>SERVICEABLE</v>
      </c>
      <c r="N3553" s="164"/>
    </row>
    <row r="3554" spans="1:14" ht="13.2" hidden="1">
      <c r="A3554" s="164" t="str">
        <f ca="1">IFERROR(__xludf.DUMMYFUNCTION("""COMPUTED_VALUE"""),"Region X")</f>
        <v>Region X</v>
      </c>
      <c r="B3554" s="164" t="str">
        <f ca="1">IFERROR(__xludf.DUMMYFUNCTION("""COMPUTED_VALUE"""),"MISAMIS OCCIDENTAL")</f>
        <v>MISAMIS OCCIDENTAL</v>
      </c>
      <c r="C3554" s="164" t="str">
        <f ca="1">IFERROR(__xludf.DUMMYFUNCTION("""COMPUTED_VALUE"""),"Desktop Computer – (Lenovo M70T)")</f>
        <v>Desktop Computer – (Lenovo M70T)</v>
      </c>
      <c r="D3554" s="164" t="str">
        <f ca="1">IFERROR(__xludf.DUMMYFUNCTION("""COMPUTED_VALUE"""),"₱ 75,468.00")</f>
        <v>₱ 75,468.00</v>
      </c>
      <c r="E3554" s="164" t="str">
        <f ca="1">IFERROR(__xludf.DUMMYFUNCTION("""COMPUTED_VALUE"""),"₱ -")</f>
        <v>₱ -</v>
      </c>
      <c r="F3554" s="164" t="str">
        <f ca="1">IFERROR(__xludf.DUMMYFUNCTION("""COMPUTED_VALUE"""),"2023-05-03-
 10201SP1518-01")</f>
        <v>2023-05-03-
 10201SP1518-01</v>
      </c>
      <c r="G3554" s="164"/>
      <c r="H3554" s="164" t="str">
        <f ca="1">IFERROR(__xludf.DUMMYFUNCTION("""COMPUTED_VALUE"""),"KAREEN MAE M. ESPIGA")</f>
        <v>KAREEN MAE M. ESPIGA</v>
      </c>
      <c r="I3554" s="164" t="str">
        <f ca="1">IFERROR(__xludf.DUMMYFUNCTION("""COMPUTED_VALUE"""),"CARPO ARBDSP")</f>
        <v>CARPO ARBDSP</v>
      </c>
      <c r="J3554" s="164" t="str">
        <f ca="1">IFERROR(__xludf.DUMMYFUNCTION("""COMPUTED_VALUE"""),"DAR-SPLIT- 2023-013")</f>
        <v>DAR-SPLIT- 2023-013</v>
      </c>
      <c r="K3554" s="164" t="str">
        <f ca="1">IFERROR(__xludf.DUMMYFUNCTION("""COMPUTED_VALUE"""),"KAREEN MAE M. ESPIGA")</f>
        <v>KAREEN MAE M. ESPIGA</v>
      </c>
      <c r="L3554" s="164" t="str">
        <f ca="1">IFERROR(__xludf.DUMMYFUNCTION("""COMPUTED_VALUE"""),"DARPO-ARBDSP")</f>
        <v>DARPO-ARBDSP</v>
      </c>
      <c r="M3554" s="164" t="str">
        <f ca="1">IFERROR(__xludf.DUMMYFUNCTION("""COMPUTED_VALUE"""),"SERVICEABLE")</f>
        <v>SERVICEABLE</v>
      </c>
      <c r="N3554" s="164"/>
    </row>
    <row r="3555" spans="1:14" ht="13.2" hidden="1">
      <c r="A3555" s="164" t="str">
        <f ca="1">IFERROR(__xludf.DUMMYFUNCTION("""COMPUTED_VALUE"""),"Region X")</f>
        <v>Region X</v>
      </c>
      <c r="B3555" s="164" t="str">
        <f ca="1">IFERROR(__xludf.DUMMYFUNCTION("""COMPUTED_VALUE"""),"MISAMIS OCCIDENTAL")</f>
        <v>MISAMIS OCCIDENTAL</v>
      </c>
      <c r="C3555" s="164" t="str">
        <f ca="1">IFERROR(__xludf.DUMMYFUNCTION("""COMPUTED_VALUE"""),"Desktop Computer – (Lenovo M70T)")</f>
        <v>Desktop Computer – (Lenovo M70T)</v>
      </c>
      <c r="D3555" s="164" t="str">
        <f ca="1">IFERROR(__xludf.DUMMYFUNCTION("""COMPUTED_VALUE"""),"₱ 75,468.00")</f>
        <v>₱ 75,468.00</v>
      </c>
      <c r="E3555" s="164" t="str">
        <f ca="1">IFERROR(__xludf.DUMMYFUNCTION("""COMPUTED_VALUE"""),"₱ -")</f>
        <v>₱ -</v>
      </c>
      <c r="F3555" s="164" t="str">
        <f ca="1">IFERROR(__xludf.DUMMYFUNCTION("""COMPUTED_VALUE"""),"2023-05-03-
 10201SP1521-01")</f>
        <v>2023-05-03-
 10201SP1521-01</v>
      </c>
      <c r="G3555" s="164"/>
      <c r="H3555" s="164" t="str">
        <f ca="1">IFERROR(__xludf.DUMMYFUNCTION("""COMPUTED_VALUE"""),"DANILO M. PILAR")</f>
        <v>DANILO M. PILAR</v>
      </c>
      <c r="I3555" s="164" t="str">
        <f ca="1">IFERROR(__xludf.DUMMYFUNCTION("""COMPUTED_VALUE"""),"CARPO LTSP")</f>
        <v>CARPO LTSP</v>
      </c>
      <c r="J3555" s="164" t="str">
        <f ca="1">IFERROR(__xludf.DUMMYFUNCTION("""COMPUTED_VALUE"""),"DAR-SPLIT- 2023-014")</f>
        <v>DAR-SPLIT- 2023-014</v>
      </c>
      <c r="K3555" s="164" t="str">
        <f ca="1">IFERROR(__xludf.DUMMYFUNCTION("""COMPUTED_VALUE"""),"DANILO M. PILAR")</f>
        <v>DANILO M. PILAR</v>
      </c>
      <c r="L3555" s="164" t="str">
        <f ca="1">IFERROR(__xludf.DUMMYFUNCTION("""COMPUTED_VALUE"""),"DARPO-LTSP")</f>
        <v>DARPO-LTSP</v>
      </c>
      <c r="M3555" s="164" t="str">
        <f ca="1">IFERROR(__xludf.DUMMYFUNCTION("""COMPUTED_VALUE"""),"SERVICEABLE")</f>
        <v>SERVICEABLE</v>
      </c>
      <c r="N3555" s="164"/>
    </row>
    <row r="3556" spans="1:14" ht="13.2" hidden="1">
      <c r="A3556" s="164" t="str">
        <f ca="1">IFERROR(__xludf.DUMMYFUNCTION("""COMPUTED_VALUE"""),"Region X")</f>
        <v>Region X</v>
      </c>
      <c r="B3556" s="164" t="str">
        <f ca="1">IFERROR(__xludf.DUMMYFUNCTION("""COMPUTED_VALUE"""),"MISAMIS OCCIDENTAL")</f>
        <v>MISAMIS OCCIDENTAL</v>
      </c>
      <c r="C3556" s="164" t="str">
        <f ca="1">IFERROR(__xludf.DUMMYFUNCTION("""COMPUTED_VALUE"""),"Desktop Computer – (Lenovo M70T)")</f>
        <v>Desktop Computer – (Lenovo M70T)</v>
      </c>
      <c r="D3556" s="164" t="str">
        <f ca="1">IFERROR(__xludf.DUMMYFUNCTION("""COMPUTED_VALUE"""),"₱ 75,468.00")</f>
        <v>₱ 75,468.00</v>
      </c>
      <c r="E3556" s="164" t="str">
        <f ca="1">IFERROR(__xludf.DUMMYFUNCTION("""COMPUTED_VALUE"""),"₱ -")</f>
        <v>₱ -</v>
      </c>
      <c r="F3556" s="164" t="str">
        <f ca="1">IFERROR(__xludf.DUMMYFUNCTION("""COMPUTED_VALUE"""),"2023-05-03-
 10201SP1527-01")</f>
        <v>2023-05-03-
 10201SP1527-01</v>
      </c>
      <c r="G3556" s="164"/>
      <c r="H3556" s="164" t="str">
        <f ca="1">IFERROR(__xludf.DUMMYFUNCTION("""COMPUTED_VALUE"""),"GERAH LOREN P.MORENO")</f>
        <v>GERAH LOREN P.MORENO</v>
      </c>
      <c r="I3556" s="164" t="str">
        <f ca="1">IFERROR(__xludf.DUMMYFUNCTION("""COMPUTED_VALUE"""),"ARPOI")</f>
        <v>ARPOI</v>
      </c>
      <c r="J3556" s="164" t="str">
        <f ca="1">IFERROR(__xludf.DUMMYFUNCTION("""COMPUTED_VALUE"""),"DAR-SPLIT- 2023-015")</f>
        <v>DAR-SPLIT- 2023-015</v>
      </c>
      <c r="K3556" s="164" t="str">
        <f ca="1">IFERROR(__xludf.DUMMYFUNCTION("""COMPUTED_VALUE"""),"CHERYLC.BERNALDO")</f>
        <v>CHERYLC.BERNALDO</v>
      </c>
      <c r="L3556" s="164" t="str">
        <f ca="1">IFERROR(__xludf.DUMMYFUNCTION("""COMPUTED_VALUE"""),"DARPO-STOD")</f>
        <v>DARPO-STOD</v>
      </c>
      <c r="M3556" s="164" t="str">
        <f ca="1">IFERROR(__xludf.DUMMYFUNCTION("""COMPUTED_VALUE"""),"SERVICEABLE")</f>
        <v>SERVICEABLE</v>
      </c>
      <c r="N3556" s="164"/>
    </row>
    <row r="3557" spans="1:14" ht="13.2" hidden="1">
      <c r="A3557" s="164" t="str">
        <f ca="1">IFERROR(__xludf.DUMMYFUNCTION("""COMPUTED_VALUE"""),"Region X")</f>
        <v>Region X</v>
      </c>
      <c r="B3557" s="164" t="str">
        <f ca="1">IFERROR(__xludf.DUMMYFUNCTION("""COMPUTED_VALUE"""),"MISAMIS OCCIDENTAL")</f>
        <v>MISAMIS OCCIDENTAL</v>
      </c>
      <c r="C3557" s="164" t="str">
        <f ca="1">IFERROR(__xludf.DUMMYFUNCTION("""COMPUTED_VALUE"""),"Desktop Computer – (Lenovo M70T)")</f>
        <v>Desktop Computer – (Lenovo M70T)</v>
      </c>
      <c r="D3557" s="164" t="str">
        <f ca="1">IFERROR(__xludf.DUMMYFUNCTION("""COMPUTED_VALUE"""),"₱ 75,468.00")</f>
        <v>₱ 75,468.00</v>
      </c>
      <c r="E3557" s="164" t="str">
        <f ca="1">IFERROR(__xludf.DUMMYFUNCTION("""COMPUTED_VALUE"""),"₱ -")</f>
        <v>₱ -</v>
      </c>
      <c r="F3557" s="164" t="str">
        <f ca="1">IFERROR(__xludf.DUMMYFUNCTION("""COMPUTED_VALUE"""),"2023-05-03-
 10201SP1528-01")</f>
        <v>2023-05-03-
 10201SP1528-01</v>
      </c>
      <c r="G3557" s="164"/>
      <c r="H3557" s="164" t="str">
        <f ca="1">IFERROR(__xludf.DUMMYFUNCTION("""COMPUTED_VALUE"""),"MERLYN P. SALAC")</f>
        <v>MERLYN P. SALAC</v>
      </c>
      <c r="I3557" s="164" t="str">
        <f ca="1">IFERROR(__xludf.DUMMYFUNCTION("""COMPUTED_VALUE"""),"BUDGET OFFICER")</f>
        <v>BUDGET OFFICER</v>
      </c>
      <c r="J3557" s="164" t="str">
        <f ca="1">IFERROR(__xludf.DUMMYFUNCTION("""COMPUTED_VALUE"""),"DAR-SPLIT- 2023-016")</f>
        <v>DAR-SPLIT- 2023-016</v>
      </c>
      <c r="K3557" s="164" t="str">
        <f ca="1">IFERROR(__xludf.DUMMYFUNCTION("""COMPUTED_VALUE"""),"MERLYN P. SALAC")</f>
        <v>MERLYN P. SALAC</v>
      </c>
      <c r="L3557" s="164" t="str">
        <f ca="1">IFERROR(__xludf.DUMMYFUNCTION("""COMPUTED_VALUE"""),"DARPO-STOD")</f>
        <v>DARPO-STOD</v>
      </c>
      <c r="M3557" s="164" t="str">
        <f ca="1">IFERROR(__xludf.DUMMYFUNCTION("""COMPUTED_VALUE"""),"SERVICEABLE")</f>
        <v>SERVICEABLE</v>
      </c>
      <c r="N3557" s="164"/>
    </row>
    <row r="3558" spans="1:14" ht="13.2" hidden="1">
      <c r="A3558" s="164" t="str">
        <f ca="1">IFERROR(__xludf.DUMMYFUNCTION("""COMPUTED_VALUE"""),"Region X")</f>
        <v>Region X</v>
      </c>
      <c r="B3558" s="164" t="str">
        <f ca="1">IFERROR(__xludf.DUMMYFUNCTION("""COMPUTED_VALUE"""),"MISAMIS OCCIDENTAL")</f>
        <v>MISAMIS OCCIDENTAL</v>
      </c>
      <c r="C3558" s="164" t="str">
        <f ca="1">IFERROR(__xludf.DUMMYFUNCTION("""COMPUTED_VALUE"""),"Desktop Computer – (Lenovo M70T)")</f>
        <v>Desktop Computer – (Lenovo M70T)</v>
      </c>
      <c r="D3558" s="164" t="str">
        <f ca="1">IFERROR(__xludf.DUMMYFUNCTION("""COMPUTED_VALUE"""),"₱ 75,468.00")</f>
        <v>₱ 75,468.00</v>
      </c>
      <c r="E3558" s="164" t="str">
        <f ca="1">IFERROR(__xludf.DUMMYFUNCTION("""COMPUTED_VALUE"""),"₱ -")</f>
        <v>₱ -</v>
      </c>
      <c r="F3558" s="164" t="str">
        <f ca="1">IFERROR(__xludf.DUMMYFUNCTION("""COMPUTED_VALUE"""),"2023-05-03-
 10201SP1524-01")</f>
        <v>2023-05-03-
 10201SP1524-01</v>
      </c>
      <c r="G3558" s="164"/>
      <c r="H3558" s="164" t="str">
        <f ca="1">IFERROR(__xludf.DUMMYFUNCTION("""COMPUTED_VALUE"""),"AlDA F. JALALON")</f>
        <v>AlDA F. JALALON</v>
      </c>
      <c r="I3558" s="164" t="str">
        <f ca="1">IFERROR(__xludf.DUMMYFUNCTION("""COMPUTED_VALUE"""),"SARPT")</f>
        <v>SARPT</v>
      </c>
      <c r="J3558" s="164" t="str">
        <f ca="1">IFERROR(__xludf.DUMMYFUNCTION("""COMPUTED_VALUE"""),"DAR-SPLIT- 2023-017")</f>
        <v>DAR-SPLIT- 2023-017</v>
      </c>
      <c r="K3558" s="164" t="str">
        <f ca="1">IFERROR(__xludf.DUMMYFUNCTION("""COMPUTED_VALUE"""),"AIDA F. JALALON")</f>
        <v>AIDA F. JALALON</v>
      </c>
      <c r="L3558" s="164" t="str">
        <f ca="1">IFERROR(__xludf.DUMMYFUNCTION("""COMPUTED_VALUE"""),"DARPO-LTSP")</f>
        <v>DARPO-LTSP</v>
      </c>
      <c r="M3558" s="164" t="str">
        <f ca="1">IFERROR(__xludf.DUMMYFUNCTION("""COMPUTED_VALUE"""),"SERVICEABLE")</f>
        <v>SERVICEABLE</v>
      </c>
      <c r="N3558" s="164"/>
    </row>
    <row r="3559" spans="1:14" ht="13.2" hidden="1">
      <c r="A3559" s="164" t="str">
        <f ca="1">IFERROR(__xludf.DUMMYFUNCTION("""COMPUTED_VALUE"""),"Region X")</f>
        <v>Region X</v>
      </c>
      <c r="B3559" s="164" t="str">
        <f ca="1">IFERROR(__xludf.DUMMYFUNCTION("""COMPUTED_VALUE"""),"MISAMIS OCCIDENTAL")</f>
        <v>MISAMIS OCCIDENTAL</v>
      </c>
      <c r="C3559" s="164" t="str">
        <f ca="1">IFERROR(__xludf.DUMMYFUNCTION("""COMPUTED_VALUE"""),"Desktop Computer – (Lenovo M70T)")</f>
        <v>Desktop Computer – (Lenovo M70T)</v>
      </c>
      <c r="D3559" s="164" t="str">
        <f ca="1">IFERROR(__xludf.DUMMYFUNCTION("""COMPUTED_VALUE"""),"₱ 75,468.00")</f>
        <v>₱ 75,468.00</v>
      </c>
      <c r="E3559" s="164" t="str">
        <f ca="1">IFERROR(__xludf.DUMMYFUNCTION("""COMPUTED_VALUE"""),"₱ -")</f>
        <v>₱ -</v>
      </c>
      <c r="F3559" s="164" t="str">
        <f ca="1">IFERROR(__xludf.DUMMYFUNCTION("""COMPUTED_VALUE"""),"2023-05-03-
 10201SP1529-01")</f>
        <v>2023-05-03-
 10201SP1529-01</v>
      </c>
      <c r="G3559" s="164"/>
      <c r="H3559" s="164" t="str">
        <f ca="1">IFERROR(__xludf.DUMMYFUNCTION("""COMPUTED_VALUE"""),"DANILO M. PILAR")</f>
        <v>DANILO M. PILAR</v>
      </c>
      <c r="I3559" s="164" t="str">
        <f ca="1">IFERROR(__xludf.DUMMYFUNCTION("""COMPUTED_VALUE"""),"CARPO LTSP")</f>
        <v>CARPO LTSP</v>
      </c>
      <c r="J3559" s="164" t="str">
        <f ca="1">IFERROR(__xludf.DUMMYFUNCTION("""COMPUTED_VALUE"""),"DAR-SPLIT- 2023-018")</f>
        <v>DAR-SPLIT- 2023-018</v>
      </c>
      <c r="K3559" s="164" t="str">
        <f ca="1">IFERROR(__xludf.DUMMYFUNCTION("""COMPUTED_VALUE"""),"GERALD RICONALLA")</f>
        <v>GERALD RICONALLA</v>
      </c>
      <c r="L3559" s="164" t="str">
        <f ca="1">IFERROR(__xludf.DUMMYFUNCTION("""COMPUTED_VALUE"""),"DARPO-LTSP")</f>
        <v>DARPO-LTSP</v>
      </c>
      <c r="M3559" s="164" t="str">
        <f ca="1">IFERROR(__xludf.DUMMYFUNCTION("""COMPUTED_VALUE"""),"SERVICEABLE")</f>
        <v>SERVICEABLE</v>
      </c>
      <c r="N3559" s="164"/>
    </row>
    <row r="3560" spans="1:14" ht="13.2" hidden="1">
      <c r="A3560" s="164" t="str">
        <f ca="1">IFERROR(__xludf.DUMMYFUNCTION("""COMPUTED_VALUE"""),"Region X")</f>
        <v>Region X</v>
      </c>
      <c r="B3560" s="164" t="str">
        <f ca="1">IFERROR(__xludf.DUMMYFUNCTION("""COMPUTED_VALUE"""),"MISAMIS OCCIDENTAL")</f>
        <v>MISAMIS OCCIDENTAL</v>
      </c>
      <c r="C3560" s="164" t="str">
        <f ca="1">IFERROR(__xludf.DUMMYFUNCTION("""COMPUTED_VALUE"""),"Desktop Computer – (Lenovo M70T)")</f>
        <v>Desktop Computer – (Lenovo M70T)</v>
      </c>
      <c r="D3560" s="164" t="str">
        <f ca="1">IFERROR(__xludf.DUMMYFUNCTION("""COMPUTED_VALUE"""),"₱ 75,468.00")</f>
        <v>₱ 75,468.00</v>
      </c>
      <c r="E3560" s="164" t="str">
        <f ca="1">IFERROR(__xludf.DUMMYFUNCTION("""COMPUTED_VALUE"""),"₱ -")</f>
        <v>₱ -</v>
      </c>
      <c r="F3560" s="164" t="str">
        <f ca="1">IFERROR(__xludf.DUMMYFUNCTION("""COMPUTED_VALUE"""),"2023-05-03-
 10201SP1522-01")</f>
        <v>2023-05-03-
 10201SP1522-01</v>
      </c>
      <c r="G3560" s="164"/>
      <c r="H3560" s="164" t="str">
        <f ca="1">IFERROR(__xludf.DUMMYFUNCTION("""COMPUTED_VALUE"""),"DANILO M. PILAR")</f>
        <v>DANILO M. PILAR</v>
      </c>
      <c r="I3560" s="164" t="str">
        <f ca="1">IFERROR(__xludf.DUMMYFUNCTION("""COMPUTED_VALUE"""),"CARPO LTSP")</f>
        <v>CARPO LTSP</v>
      </c>
      <c r="J3560" s="164" t="str">
        <f ca="1">IFERROR(__xludf.DUMMYFUNCTION("""COMPUTED_VALUE"""),"DAR-SPLIT- 2023-019")</f>
        <v>DAR-SPLIT- 2023-019</v>
      </c>
      <c r="K3560" s="164" t="str">
        <f ca="1">IFERROR(__xludf.DUMMYFUNCTION("""COMPUTED_VALUE"""),"EDEN EROY")</f>
        <v>EDEN EROY</v>
      </c>
      <c r="L3560" s="164" t="str">
        <f ca="1">IFERROR(__xludf.DUMMYFUNCTION("""COMPUTED_VALUE"""),"DARPO-LTSP")</f>
        <v>DARPO-LTSP</v>
      </c>
      <c r="M3560" s="164" t="str">
        <f ca="1">IFERROR(__xludf.DUMMYFUNCTION("""COMPUTED_VALUE"""),"SERVICEABLE")</f>
        <v>SERVICEABLE</v>
      </c>
      <c r="N3560" s="164"/>
    </row>
    <row r="3561" spans="1:14" ht="13.2" hidden="1">
      <c r="A3561" s="164" t="str">
        <f ca="1">IFERROR(__xludf.DUMMYFUNCTION("""COMPUTED_VALUE"""),"Region X")</f>
        <v>Region X</v>
      </c>
      <c r="B3561" s="164" t="str">
        <f ca="1">IFERROR(__xludf.DUMMYFUNCTION("""COMPUTED_VALUE"""),"MISAMIS OCCIDENTAL")</f>
        <v>MISAMIS OCCIDENTAL</v>
      </c>
      <c r="C3561" s="164" t="str">
        <f ca="1">IFERROR(__xludf.DUMMYFUNCTION("""COMPUTED_VALUE"""),"Desktop Computer – (Lenovo M70T)")</f>
        <v>Desktop Computer – (Lenovo M70T)</v>
      </c>
      <c r="D3561" s="164" t="str">
        <f ca="1">IFERROR(__xludf.DUMMYFUNCTION("""COMPUTED_VALUE"""),"₱ 75,468.00")</f>
        <v>₱ 75,468.00</v>
      </c>
      <c r="E3561" s="164" t="str">
        <f ca="1">IFERROR(__xludf.DUMMYFUNCTION("""COMPUTED_VALUE"""),"₱ -")</f>
        <v>₱ -</v>
      </c>
      <c r="F3561" s="164" t="str">
        <f ca="1">IFERROR(__xludf.DUMMYFUNCTION("""COMPUTED_VALUE"""),"2023-05-03-
 10201SP1520-01")</f>
        <v>2023-05-03-
 10201SP1520-01</v>
      </c>
      <c r="G3561" s="164"/>
      <c r="H3561" s="164" t="str">
        <f ca="1">IFERROR(__xludf.DUMMYFUNCTION("""COMPUTED_VALUE"""),"DANILO M. PILAR")</f>
        <v>DANILO M. PILAR</v>
      </c>
      <c r="I3561" s="164" t="str">
        <f ca="1">IFERROR(__xludf.DUMMYFUNCTION("""COMPUTED_VALUE"""),"CARPO LTSP")</f>
        <v>CARPO LTSP</v>
      </c>
      <c r="J3561" s="164" t="str">
        <f ca="1">IFERROR(__xludf.DUMMYFUNCTION("""COMPUTED_VALUE"""),"DAR-SPLIT- 2023-020")</f>
        <v>DAR-SPLIT- 2023-020</v>
      </c>
      <c r="K3561" s="164" t="str">
        <f ca="1">IFERROR(__xludf.DUMMYFUNCTION("""COMPUTED_VALUE"""),"ALDRICH RICABORDA")</f>
        <v>ALDRICH RICABORDA</v>
      </c>
      <c r="L3561" s="164" t="str">
        <f ca="1">IFERROR(__xludf.DUMMYFUNCTION("""COMPUTED_VALUE"""),"DARPO-LTSP")</f>
        <v>DARPO-LTSP</v>
      </c>
      <c r="M3561" s="164" t="str">
        <f ca="1">IFERROR(__xludf.DUMMYFUNCTION("""COMPUTED_VALUE"""),"SERVICEABLE")</f>
        <v>SERVICEABLE</v>
      </c>
      <c r="N3561" s="164"/>
    </row>
    <row r="3562" spans="1:14" ht="13.2" hidden="1">
      <c r="A3562" s="164" t="str">
        <f ca="1">IFERROR(__xludf.DUMMYFUNCTION("""COMPUTED_VALUE"""),"Region X")</f>
        <v>Region X</v>
      </c>
      <c r="B3562" s="164" t="str">
        <f ca="1">IFERROR(__xludf.DUMMYFUNCTION("""COMPUTED_VALUE"""),"MISAMIS OCCIDENTAL")</f>
        <v>MISAMIS OCCIDENTAL</v>
      </c>
      <c r="C3562" s="164" t="str">
        <f ca="1">IFERROR(__xludf.DUMMYFUNCTION("""COMPUTED_VALUE"""),"Desktop Computer – (Lenovo M70T)")</f>
        <v>Desktop Computer – (Lenovo M70T)</v>
      </c>
      <c r="D3562" s="164" t="str">
        <f ca="1">IFERROR(__xludf.DUMMYFUNCTION("""COMPUTED_VALUE"""),"₱ 75,468.00")</f>
        <v>₱ 75,468.00</v>
      </c>
      <c r="E3562" s="164" t="str">
        <f ca="1">IFERROR(__xludf.DUMMYFUNCTION("""COMPUTED_VALUE"""),"₱ -")</f>
        <v>₱ -</v>
      </c>
      <c r="F3562" s="164" t="str">
        <f ca="1">IFERROR(__xludf.DUMMYFUNCTION("""COMPUTED_VALUE"""),"2023-05-03-
 10201SP1519-01")</f>
        <v>2023-05-03-
 10201SP1519-01</v>
      </c>
      <c r="G3562" s="164"/>
      <c r="H3562" s="164" t="str">
        <f ca="1">IFERROR(__xludf.DUMMYFUNCTION("""COMPUTED_VALUE"""),"DANILO M. PILAR")</f>
        <v>DANILO M. PILAR</v>
      </c>
      <c r="I3562" s="164" t="str">
        <f ca="1">IFERROR(__xludf.DUMMYFUNCTION("""COMPUTED_VALUE"""),"CARPO LTSP")</f>
        <v>CARPO LTSP</v>
      </c>
      <c r="J3562" s="164" t="str">
        <f ca="1">IFERROR(__xludf.DUMMYFUNCTION("""COMPUTED_VALUE"""),"DAR-SPLIT- 2023-021")</f>
        <v>DAR-SPLIT- 2023-021</v>
      </c>
      <c r="K3562" s="164" t="str">
        <f ca="1">IFERROR(__xludf.DUMMYFUNCTION("""COMPUTED_VALUE"""),"FELYFLOR DECENA")</f>
        <v>FELYFLOR DECENA</v>
      </c>
      <c r="L3562" s="164" t="str">
        <f ca="1">IFERROR(__xludf.DUMMYFUNCTION("""COMPUTED_VALUE"""),"DARPO-LTSP")</f>
        <v>DARPO-LTSP</v>
      </c>
      <c r="M3562" s="164" t="str">
        <f ca="1">IFERROR(__xludf.DUMMYFUNCTION("""COMPUTED_VALUE"""),"SERVICEABLE")</f>
        <v>SERVICEABLE</v>
      </c>
      <c r="N3562" s="164"/>
    </row>
    <row r="3563" spans="1:14" ht="13.2" hidden="1">
      <c r="A3563" s="164" t="str">
        <f ca="1">IFERROR(__xludf.DUMMYFUNCTION("""COMPUTED_VALUE"""),"Region X")</f>
        <v>Region X</v>
      </c>
      <c r="B3563" s="164" t="str">
        <f ca="1">IFERROR(__xludf.DUMMYFUNCTION("""COMPUTED_VALUE"""),"MISAMIS OCCIDENTAL")</f>
        <v>MISAMIS OCCIDENTAL</v>
      </c>
      <c r="C3563" s="164" t="str">
        <f ca="1">IFERROR(__xludf.DUMMYFUNCTION("""COMPUTED_VALUE"""),"Photocopier Machine – Kyocera")</f>
        <v>Photocopier Machine – Kyocera</v>
      </c>
      <c r="D3563" s="164" t="str">
        <f ca="1">IFERROR(__xludf.DUMMYFUNCTION("""COMPUTED_VALUE"""),"₱ 84,500.00")</f>
        <v>₱ 84,500.00</v>
      </c>
      <c r="E3563" s="164" t="str">
        <f ca="1">IFERROR(__xludf.DUMMYFUNCTION("""COMPUTED_VALUE"""),"₱ -")</f>
        <v>₱ -</v>
      </c>
      <c r="F3563" s="164" t="str">
        <f ca="1">IFERROR(__xludf.DUMMYFUNCTION("""COMPUTED_VALUE"""),"2022-05-02-10202SP68-01")</f>
        <v>2022-05-02-10202SP68-01</v>
      </c>
      <c r="G3563" s="164"/>
      <c r="H3563" s="164" t="str">
        <f ca="1">IFERROR(__xludf.DUMMYFUNCTION("""COMPUTED_VALUE"""),"DANILO M. PILAR")</f>
        <v>DANILO M. PILAR</v>
      </c>
      <c r="I3563" s="164" t="str">
        <f ca="1">IFERROR(__xludf.DUMMYFUNCTION("""COMPUTED_VALUE"""),"CARPO LTSP")</f>
        <v>CARPO LTSP</v>
      </c>
      <c r="J3563" s="164" t="str">
        <f ca="1">IFERROR(__xludf.DUMMYFUNCTION("""COMPUTED_VALUE"""),"DAR-SPLIT- 2023-022")</f>
        <v>DAR-SPLIT- 2023-022</v>
      </c>
      <c r="K3563" s="164" t="str">
        <f ca="1">IFERROR(__xludf.DUMMYFUNCTION("""COMPUTED_VALUE"""),"DANILO M. PILAR")</f>
        <v>DANILO M. PILAR</v>
      </c>
      <c r="L3563" s="164" t="str">
        <f ca="1">IFERROR(__xludf.DUMMYFUNCTION("""COMPUTED_VALUE"""),"DARPO-LTSP")</f>
        <v>DARPO-LTSP</v>
      </c>
      <c r="M3563" s="164" t="str">
        <f ca="1">IFERROR(__xludf.DUMMYFUNCTION("""COMPUTED_VALUE"""),"SERVICEABLE")</f>
        <v>SERVICEABLE</v>
      </c>
      <c r="N3563" s="164"/>
    </row>
    <row r="3564" spans="1:14" ht="13.2" hidden="1">
      <c r="A3564" s="164" t="str">
        <f ca="1">IFERROR(__xludf.DUMMYFUNCTION("""COMPUTED_VALUE"""),"Region X")</f>
        <v>Region X</v>
      </c>
      <c r="B3564" s="164" t="str">
        <f ca="1">IFERROR(__xludf.DUMMYFUNCTION("""COMPUTED_VALUE"""),"MISAMIS OCCIDENTAL")</f>
        <v>MISAMIS OCCIDENTAL</v>
      </c>
      <c r="C3564" s="164" t="str">
        <f ca="1">IFERROR(__xludf.DUMMYFUNCTION("""COMPUTED_VALUE"""),"Laptop – (ACER EXTENSA EX215-55G i7)")</f>
        <v>Laptop – (ACER EXTENSA EX215-55G i7)</v>
      </c>
      <c r="D3564" s="164" t="str">
        <f ca="1">IFERROR(__xludf.DUMMYFUNCTION("""COMPUTED_VALUE"""),"₱ 59,500.00")</f>
        <v>₱ 59,500.00</v>
      </c>
      <c r="E3564" s="164" t="str">
        <f ca="1">IFERROR(__xludf.DUMMYFUNCTION("""COMPUTED_VALUE"""),"₱ -")</f>
        <v>₱ -</v>
      </c>
      <c r="F3564" s="164" t="str">
        <f ca="1">IFERROR(__xludf.DUMMYFUNCTION("""COMPUTED_VALUE"""),"2023-05-03-
 10201SP188-01")</f>
        <v>2023-05-03-
 10201SP188-01</v>
      </c>
      <c r="G3564" s="164"/>
      <c r="H3564" s="164" t="str">
        <f ca="1">IFERROR(__xludf.DUMMYFUNCTION("""COMPUTED_VALUE"""),"DANILO M. PILAR")</f>
        <v>DANILO M. PILAR</v>
      </c>
      <c r="I3564" s="164" t="str">
        <f ca="1">IFERROR(__xludf.DUMMYFUNCTION("""COMPUTED_VALUE"""),"CARPO LTSP")</f>
        <v>CARPO LTSP</v>
      </c>
      <c r="J3564" s="164" t="str">
        <f ca="1">IFERROR(__xludf.DUMMYFUNCTION("""COMPUTED_VALUE"""),"DAR-SPLIT- 2023-024")</f>
        <v>DAR-SPLIT- 2023-024</v>
      </c>
      <c r="K3564" s="164" t="str">
        <f ca="1">IFERROR(__xludf.DUMMYFUNCTION("""COMPUTED_VALUE"""),"AINIL FERNANDEZ")</f>
        <v>AINIL FERNANDEZ</v>
      </c>
      <c r="L3564" s="164" t="str">
        <f ca="1">IFERROR(__xludf.DUMMYFUNCTION("""COMPUTED_VALUE"""),"DARPO-LTSP")</f>
        <v>DARPO-LTSP</v>
      </c>
      <c r="M3564" s="164" t="str">
        <f ca="1">IFERROR(__xludf.DUMMYFUNCTION("""COMPUTED_VALUE"""),"SERVICEABLE")</f>
        <v>SERVICEABLE</v>
      </c>
      <c r="N3564" s="164"/>
    </row>
    <row r="3565" spans="1:14" ht="13.2" hidden="1">
      <c r="A3565" s="164" t="str">
        <f ca="1">IFERROR(__xludf.DUMMYFUNCTION("""COMPUTED_VALUE"""),"Region X")</f>
        <v>Region X</v>
      </c>
      <c r="B3565" s="164" t="str">
        <f ca="1">IFERROR(__xludf.DUMMYFUNCTION("""COMPUTED_VALUE"""),"MISAMIS OCCIDENTAL")</f>
        <v>MISAMIS OCCIDENTAL</v>
      </c>
      <c r="C3565" s="164" t="str">
        <f ca="1">IFERROR(__xludf.DUMMYFUNCTION("""COMPUTED_VALUE"""),"Laptop – (ACER EXTENSA EX215-55G i7)")</f>
        <v>Laptop – (ACER EXTENSA EX215-55G i7)</v>
      </c>
      <c r="D3565" s="164" t="str">
        <f ca="1">IFERROR(__xludf.DUMMYFUNCTION("""COMPUTED_VALUE"""),"₱ 59,500.00")</f>
        <v>₱ 59,500.00</v>
      </c>
      <c r="E3565" s="164" t="str">
        <f ca="1">IFERROR(__xludf.DUMMYFUNCTION("""COMPUTED_VALUE"""),"₱ -")</f>
        <v>₱ -</v>
      </c>
      <c r="F3565" s="164" t="str">
        <f ca="1">IFERROR(__xludf.DUMMYFUNCTION("""COMPUTED_VALUE"""),"2023-05-03-
 10201SP189-01")</f>
        <v>2023-05-03-
 10201SP189-01</v>
      </c>
      <c r="G3565" s="164"/>
      <c r="H3565" s="164" t="str">
        <f ca="1">IFERROR(__xludf.DUMMYFUNCTION("""COMPUTED_VALUE"""),"DANILO M. PILAR")</f>
        <v>DANILO M. PILAR</v>
      </c>
      <c r="I3565" s="164" t="str">
        <f ca="1">IFERROR(__xludf.DUMMYFUNCTION("""COMPUTED_VALUE"""),"CARPO LTSP")</f>
        <v>CARPO LTSP</v>
      </c>
      <c r="J3565" s="164" t="str">
        <f ca="1">IFERROR(__xludf.DUMMYFUNCTION("""COMPUTED_VALUE"""),"DAR-SPLIT- 2023-025")</f>
        <v>DAR-SPLIT- 2023-025</v>
      </c>
      <c r="K3565" s="164" t="str">
        <f ca="1">IFERROR(__xludf.DUMMYFUNCTION("""COMPUTED_VALUE"""),"DANILO M. PILAR")</f>
        <v>DANILO M. PILAR</v>
      </c>
      <c r="L3565" s="164" t="str">
        <f ca="1">IFERROR(__xludf.DUMMYFUNCTION("""COMPUTED_VALUE"""),"DARPO-LTSP")</f>
        <v>DARPO-LTSP</v>
      </c>
      <c r="M3565" s="164" t="str">
        <f ca="1">IFERROR(__xludf.DUMMYFUNCTION("""COMPUTED_VALUE"""),"SERVICEABLE")</f>
        <v>SERVICEABLE</v>
      </c>
      <c r="N3565" s="164"/>
    </row>
    <row r="3566" spans="1:14" ht="13.2" hidden="1">
      <c r="A3566" s="164" t="str">
        <f ca="1">IFERROR(__xludf.DUMMYFUNCTION("""COMPUTED_VALUE"""),"Region X")</f>
        <v>Region X</v>
      </c>
      <c r="B3566" s="164" t="str">
        <f ca="1">IFERROR(__xludf.DUMMYFUNCTION("""COMPUTED_VALUE"""),"MISAMIS OCCIDENTAL")</f>
        <v>MISAMIS OCCIDENTAL</v>
      </c>
      <c r="C3566" s="164" t="str">
        <f ca="1">IFERROR(__xludf.DUMMYFUNCTION("""COMPUTED_VALUE"""),"Desktop Computer – (HP Pro SFF 280G9)")</f>
        <v>Desktop Computer – (HP Pro SFF 280G9)</v>
      </c>
      <c r="D3566" s="164" t="str">
        <f ca="1">IFERROR(__xludf.DUMMYFUNCTION("""COMPUTED_VALUE"""),"₱ 78,898.00")</f>
        <v>₱ 78,898.00</v>
      </c>
      <c r="E3566" s="164" t="str">
        <f ca="1">IFERROR(__xludf.DUMMYFUNCTION("""COMPUTED_VALUE"""),"₱ -")</f>
        <v>₱ -</v>
      </c>
      <c r="F3566" s="164" t="str">
        <f ca="1">IFERROR(__xludf.DUMMYFUNCTION("""COMPUTED_VALUE"""),"2023-05-03-
 10201SP471-01")</f>
        <v>2023-05-03-
 10201SP471-01</v>
      </c>
      <c r="G3566" s="164"/>
      <c r="H3566" s="164" t="str">
        <f ca="1">IFERROR(__xludf.DUMMYFUNCTION("""COMPUTED_VALUE"""),"DANILO M. PILAR")</f>
        <v>DANILO M. PILAR</v>
      </c>
      <c r="I3566" s="164" t="str">
        <f ca="1">IFERROR(__xludf.DUMMYFUNCTION("""COMPUTED_VALUE"""),"CARPO LTSP")</f>
        <v>CARPO LTSP</v>
      </c>
      <c r="J3566" s="164" t="str">
        <f ca="1">IFERROR(__xludf.DUMMYFUNCTION("""COMPUTED_VALUE"""),"DAR-SPLIT- 2023-026")</f>
        <v>DAR-SPLIT- 2023-026</v>
      </c>
      <c r="K3566" s="164" t="str">
        <f ca="1">IFERROR(__xludf.DUMMYFUNCTION("""COMPUTED_VALUE"""),"DANILO M. PILAR")</f>
        <v>DANILO M. PILAR</v>
      </c>
      <c r="L3566" s="164" t="str">
        <f ca="1">IFERROR(__xludf.DUMMYFUNCTION("""COMPUTED_VALUE"""),"DARPO-LTSP")</f>
        <v>DARPO-LTSP</v>
      </c>
      <c r="M3566" s="164" t="str">
        <f ca="1">IFERROR(__xludf.DUMMYFUNCTION("""COMPUTED_VALUE"""),"SERVICEABLE")</f>
        <v>SERVICEABLE</v>
      </c>
      <c r="N3566" s="164"/>
    </row>
    <row r="3567" spans="1:14" ht="13.2" hidden="1">
      <c r="A3567" s="164" t="str">
        <f ca="1">IFERROR(__xludf.DUMMYFUNCTION("""COMPUTED_VALUE"""),"Region X")</f>
        <v>Region X</v>
      </c>
      <c r="B3567" s="164" t="str">
        <f ca="1">IFERROR(__xludf.DUMMYFUNCTION("""COMPUTED_VALUE"""),"MISAMIS OCCIDENTAL")</f>
        <v>MISAMIS OCCIDENTAL</v>
      </c>
      <c r="C3567" s="164" t="str">
        <f ca="1">IFERROR(__xludf.DUMMYFUNCTION("""COMPUTED_VALUE"""),"Desktop Computer – (HP Pro SFF 280G9)")</f>
        <v>Desktop Computer – (HP Pro SFF 280G9)</v>
      </c>
      <c r="D3567" s="164" t="str">
        <f ca="1">IFERROR(__xludf.DUMMYFUNCTION("""COMPUTED_VALUE"""),"₱ 78,898.00")</f>
        <v>₱ 78,898.00</v>
      </c>
      <c r="E3567" s="164" t="str">
        <f ca="1">IFERROR(__xludf.DUMMYFUNCTION("""COMPUTED_VALUE"""),"₱ -")</f>
        <v>₱ -</v>
      </c>
      <c r="F3567" s="164" t="str">
        <f ca="1">IFERROR(__xludf.DUMMYFUNCTION("""COMPUTED_VALUE"""),"2023-05-03-
 10201SP477-01")</f>
        <v>2023-05-03-
 10201SP477-01</v>
      </c>
      <c r="G3567" s="164"/>
      <c r="H3567" s="164" t="str">
        <f ca="1">IFERROR(__xludf.DUMMYFUNCTION("""COMPUTED_VALUE"""),"LITA T. TORRES")</f>
        <v>LITA T. TORRES</v>
      </c>
      <c r="I3567" s="164" t="str">
        <f ca="1">IFERROR(__xludf.DUMMYFUNCTION("""COMPUTED_VALUE"""),"PCAO")</f>
        <v>PCAO</v>
      </c>
      <c r="J3567" s="164" t="str">
        <f ca="1">IFERROR(__xludf.DUMMYFUNCTION("""COMPUTED_VALUE"""),"DAR-SPLIT- 2023-027")</f>
        <v>DAR-SPLIT- 2023-027</v>
      </c>
      <c r="K3567" s="164" t="str">
        <f ca="1">IFERROR(__xludf.DUMMYFUNCTION("""COMPUTED_VALUE"""),"LITA T. TORRES")</f>
        <v>LITA T. TORRES</v>
      </c>
      <c r="L3567" s="164" t="str">
        <f ca="1">IFERROR(__xludf.DUMMYFUNCTION("""COMPUTED_VALUE"""),"DARPO-STOD")</f>
        <v>DARPO-STOD</v>
      </c>
      <c r="M3567" s="164" t="str">
        <f ca="1">IFERROR(__xludf.DUMMYFUNCTION("""COMPUTED_VALUE"""),"SERVICEABLE")</f>
        <v>SERVICEABLE</v>
      </c>
      <c r="N3567" s="164"/>
    </row>
    <row r="3568" spans="1:14" ht="13.2" hidden="1">
      <c r="A3568" s="164" t="str">
        <f ca="1">IFERROR(__xludf.DUMMYFUNCTION("""COMPUTED_VALUE"""),"Region X")</f>
        <v>Region X</v>
      </c>
      <c r="B3568" s="164" t="str">
        <f ca="1">IFERROR(__xludf.DUMMYFUNCTION("""COMPUTED_VALUE"""),"MISAMIS OCCIDENTAL")</f>
        <v>MISAMIS OCCIDENTAL</v>
      </c>
      <c r="C3568" s="164" t="str">
        <f ca="1">IFERROR(__xludf.DUMMYFUNCTION("""COMPUTED_VALUE"""),"Laptop – (ACER EXTENSA EX215-55G i7)")</f>
        <v>Laptop – (ACER EXTENSA EX215-55G i7)</v>
      </c>
      <c r="D3568" s="164" t="str">
        <f ca="1">IFERROR(__xludf.DUMMYFUNCTION("""COMPUTED_VALUE"""),"₱ 59,500.00")</f>
        <v>₱ 59,500.00</v>
      </c>
      <c r="E3568" s="164" t="str">
        <f ca="1">IFERROR(__xludf.DUMMYFUNCTION("""COMPUTED_VALUE"""),"₱ -")</f>
        <v>₱ -</v>
      </c>
      <c r="F3568" s="164" t="str">
        <f ca="1">IFERROR(__xludf.DUMMYFUNCTION("""COMPUTED_VALUE"""),"2023-05-03-
 10202SP76-01")</f>
        <v>2023-05-03-
 10202SP76-01</v>
      </c>
      <c r="G3568" s="164"/>
      <c r="H3568" s="164" t="str">
        <f ca="1">IFERROR(__xludf.DUMMYFUNCTION("""COMPUTED_VALUE"""),"GERAH LOREN P.MORENO")</f>
        <v>GERAH LOREN P.MORENO</v>
      </c>
      <c r="I3568" s="164" t="str">
        <f ca="1">IFERROR(__xludf.DUMMYFUNCTION("""COMPUTED_VALUE"""),"ARPOI")</f>
        <v>ARPOI</v>
      </c>
      <c r="J3568" s="164" t="str">
        <f ca="1">IFERROR(__xludf.DUMMYFUNCTION("""COMPUTED_VALUE"""),"DAR-SPLIT- 2023-028")</f>
        <v>DAR-SPLIT- 2023-028</v>
      </c>
      <c r="K3568" s="164" t="str">
        <f ca="1">IFERROR(__xludf.DUMMYFUNCTION("""COMPUTED_VALUE"""),"GERAH LOREN P.MORENO")</f>
        <v>GERAH LOREN P.MORENO</v>
      </c>
      <c r="L3568" s="164" t="str">
        <f ca="1">IFERROR(__xludf.DUMMYFUNCTION("""COMPUTED_VALUE"""),"DARPO-STOD")</f>
        <v>DARPO-STOD</v>
      </c>
      <c r="M3568" s="164" t="str">
        <f ca="1">IFERROR(__xludf.DUMMYFUNCTION("""COMPUTED_VALUE"""),"SERVICEABLE")</f>
        <v>SERVICEABLE</v>
      </c>
      <c r="N3568" s="164"/>
    </row>
    <row r="3569" spans="1:14" ht="13.2" hidden="1">
      <c r="A3569" s="164" t="str">
        <f ca="1">IFERROR(__xludf.DUMMYFUNCTION("""COMPUTED_VALUE"""),"Region X")</f>
        <v>Region X</v>
      </c>
      <c r="B3569" s="164" t="str">
        <f ca="1">IFERROR(__xludf.DUMMYFUNCTION("""COMPUTED_VALUE"""),"MISAMIS OCCIDENTAL")</f>
        <v>MISAMIS OCCIDENTAL</v>
      </c>
      <c r="C3569" s="164" t="str">
        <f ca="1">IFERROR(__xludf.DUMMYFUNCTION("""COMPUTED_VALUE"""),"A3 PRINTER (BROTHER)")</f>
        <v>A3 PRINTER (BROTHER)</v>
      </c>
      <c r="D3569" s="164" t="str">
        <f ca="1">IFERROR(__xludf.DUMMYFUNCTION("""COMPUTED_VALUE"""),"₱ 33,508.00")</f>
        <v>₱ 33,508.00</v>
      </c>
      <c r="E3569" s="164" t="str">
        <f ca="1">IFERROR(__xludf.DUMMYFUNCTION("""COMPUTED_VALUE"""),"₱ -")</f>
        <v>₱ -</v>
      </c>
      <c r="F3569" s="164" t="str">
        <f ca="1">IFERROR(__xludf.DUMMYFUNCTION("""COMPUTED_VALUE"""),"HV-SPLIT-102-24-05-082")</f>
        <v>HV-SPLIT-102-24-05-082</v>
      </c>
      <c r="G3569" s="164"/>
      <c r="H3569" s="164" t="str">
        <f ca="1">IFERROR(__xludf.DUMMYFUNCTION("""COMPUTED_VALUE"""),"ZORAIDA MACADINDANG")</f>
        <v>ZORAIDA MACADINDANG</v>
      </c>
      <c r="I3569" s="164" t="str">
        <f ca="1">IFERROR(__xludf.DUMMYFUNCTION("""COMPUTED_VALUE"""),"REGIONAL DIRECTOR")</f>
        <v>REGIONAL DIRECTOR</v>
      </c>
      <c r="J3569" s="164" t="str">
        <f ca="1">IFERROR(__xludf.DUMMYFUNCTION("""COMPUTED_VALUE"""),"2024-05-012")</f>
        <v>2024-05-012</v>
      </c>
      <c r="K3569" s="164"/>
      <c r="L3569" s="164" t="str">
        <f ca="1">IFERROR(__xludf.DUMMYFUNCTION("""COMPUTED_VALUE"""),"DARPO MIS OCC")</f>
        <v>DARPO MIS OCC</v>
      </c>
      <c r="M3569" s="164" t="str">
        <f ca="1">IFERROR(__xludf.DUMMYFUNCTION("""COMPUTED_VALUE"""),"SERVICEABLE")</f>
        <v>SERVICEABLE</v>
      </c>
      <c r="N3569" s="164"/>
    </row>
    <row r="3570" spans="1:14" ht="13.2" hidden="1">
      <c r="A3570" s="164" t="str">
        <f ca="1">IFERROR(__xludf.DUMMYFUNCTION("""COMPUTED_VALUE"""),"Region X")</f>
        <v>Region X</v>
      </c>
      <c r="B3570" s="164" t="str">
        <f ca="1">IFERROR(__xludf.DUMMYFUNCTION("""COMPUTED_VALUE"""),"MISAMIS ORIENTAL")</f>
        <v>MISAMIS ORIENTAL</v>
      </c>
      <c r="C3570" s="164" t="str">
        <f ca="1">IFERROR(__xludf.DUMMYFUNCTION("""COMPUTED_VALUE"""),"Desktop Computer – (Lenovo M70T)")</f>
        <v>Desktop Computer – (Lenovo M70T)</v>
      </c>
      <c r="D3570" s="164" t="str">
        <f ca="1">IFERROR(__xludf.DUMMYFUNCTION("""COMPUTED_VALUE"""),"₱ 75,468.00")</f>
        <v>₱ 75,468.00</v>
      </c>
      <c r="E3570" s="164" t="str">
        <f ca="1">IFERROR(__xludf.DUMMYFUNCTION("""COMPUTED_VALUE"""),"₱ -")</f>
        <v>₱ -</v>
      </c>
      <c r="F3570" s="164" t="str">
        <f ca="1">IFERROR(__xludf.DUMMYFUNCTION("""COMPUTED_VALUE"""),"2023-ICTE-SP-05-
 0007-06")</f>
        <v>2023-ICTE-SP-05-
 0007-06</v>
      </c>
      <c r="G3570" s="164"/>
      <c r="H3570" s="164" t="str">
        <f ca="1">IFERROR(__xludf.DUMMYFUNCTION("""COMPUTED_VALUE"""),"ELEANOR A. RAAGAS")</f>
        <v>ELEANOR A. RAAGAS</v>
      </c>
      <c r="I3570" s="164" t="str">
        <f ca="1">IFERROR(__xludf.DUMMYFUNCTION("""COMPUTED_VALUE"""),"PCAO")</f>
        <v>PCAO</v>
      </c>
      <c r="J3570" s="164" t="str">
        <f ca="1">IFERROR(__xludf.DUMMYFUNCTION("""COMPUTED_VALUE"""),"2023-PAR-05-
 0002")</f>
        <v>2023-PAR-05-
 0002</v>
      </c>
      <c r="K3570" s="164" t="str">
        <f ca="1">IFERROR(__xludf.DUMMYFUNCTION("""COMPUTED_VALUE"""),"ELEANOR A. RAAGAS")</f>
        <v>ELEANOR A. RAAGAS</v>
      </c>
      <c r="L3570" s="164" t="str">
        <f ca="1">IFERROR(__xludf.DUMMYFUNCTION("""COMPUTED_VALUE"""),"DARPO-STOD")</f>
        <v>DARPO-STOD</v>
      </c>
      <c r="M3570" s="164" t="str">
        <f ca="1">IFERROR(__xludf.DUMMYFUNCTION("""COMPUTED_VALUE"""),"SERVICEABLE")</f>
        <v>SERVICEABLE</v>
      </c>
      <c r="N3570" s="164"/>
    </row>
    <row r="3571" spans="1:14" ht="13.2" hidden="1">
      <c r="A3571" s="164" t="str">
        <f ca="1">IFERROR(__xludf.DUMMYFUNCTION("""COMPUTED_VALUE"""),"Region X")</f>
        <v>Region X</v>
      </c>
      <c r="B3571" s="164" t="str">
        <f ca="1">IFERROR(__xludf.DUMMYFUNCTION("""COMPUTED_VALUE"""),"MISAMIS ORIENTAL")</f>
        <v>MISAMIS ORIENTAL</v>
      </c>
      <c r="C3571" s="164" t="str">
        <f ca="1">IFERROR(__xludf.DUMMYFUNCTION("""COMPUTED_VALUE"""),"Desktop Computer – (Lenovo M70T)")</f>
        <v>Desktop Computer – (Lenovo M70T)</v>
      </c>
      <c r="D3571" s="164" t="str">
        <f ca="1">IFERROR(__xludf.DUMMYFUNCTION("""COMPUTED_VALUE"""),"₱ 75,468.00")</f>
        <v>₱ 75,468.00</v>
      </c>
      <c r="E3571" s="164" t="str">
        <f ca="1">IFERROR(__xludf.DUMMYFUNCTION("""COMPUTED_VALUE"""),"₱ -")</f>
        <v>₱ -</v>
      </c>
      <c r="F3571" s="164" t="str">
        <f ca="1">IFERROR(__xludf.DUMMYFUNCTION("""COMPUTED_VALUE"""),"2023-ICTE-SP-05-
 0008-06")</f>
        <v>2023-ICTE-SP-05-
 0008-06</v>
      </c>
      <c r="G3571" s="164"/>
      <c r="H3571" s="164" t="str">
        <f ca="1">IFERROR(__xludf.DUMMYFUNCTION("""COMPUTED_VALUE"""),"FRANZ PHILIP DOBLUIS")</f>
        <v>FRANZ PHILIP DOBLUIS</v>
      </c>
      <c r="I3571" s="164" t="str">
        <f ca="1">IFERROR(__xludf.DUMMYFUNCTION("""COMPUTED_VALUE"""),"SAIi")</f>
        <v>SAIi</v>
      </c>
      <c r="J3571" s="164" t="str">
        <f ca="1">IFERROR(__xludf.DUMMYFUNCTION("""COMPUTED_VALUE"""),"2023-PAR-10-
 0006")</f>
        <v>2023-PAR-10-
 0006</v>
      </c>
      <c r="K3571" s="164" t="str">
        <f ca="1">IFERROR(__xludf.DUMMYFUNCTION("""COMPUTED_VALUE"""),"FRANZ PHILIP DOBLUIS")</f>
        <v>FRANZ PHILIP DOBLUIS</v>
      </c>
      <c r="L3571" s="164" t="str">
        <f ca="1">IFERROR(__xludf.DUMMYFUNCTION("""COMPUTED_VALUE"""),"DARPO-COA")</f>
        <v>DARPO-COA</v>
      </c>
      <c r="M3571" s="164" t="str">
        <f ca="1">IFERROR(__xludf.DUMMYFUNCTION("""COMPUTED_VALUE"""),"SERVICEABLE")</f>
        <v>SERVICEABLE</v>
      </c>
      <c r="N3571" s="164"/>
    </row>
    <row r="3572" spans="1:14" ht="13.2" hidden="1">
      <c r="A3572" s="164" t="str">
        <f ca="1">IFERROR(__xludf.DUMMYFUNCTION("""COMPUTED_VALUE"""),"Region X")</f>
        <v>Region X</v>
      </c>
      <c r="B3572" s="164" t="str">
        <f ca="1">IFERROR(__xludf.DUMMYFUNCTION("""COMPUTED_VALUE"""),"MISAMIS ORIENTAL")</f>
        <v>MISAMIS ORIENTAL</v>
      </c>
      <c r="C3572" s="164" t="str">
        <f ca="1">IFERROR(__xludf.DUMMYFUNCTION("""COMPUTED_VALUE"""),"Desktop Computer – (Lenovo M70T)")</f>
        <v>Desktop Computer – (Lenovo M70T)</v>
      </c>
      <c r="D3572" s="164" t="str">
        <f ca="1">IFERROR(__xludf.DUMMYFUNCTION("""COMPUTED_VALUE"""),"₱ 75,468.00")</f>
        <v>₱ 75,468.00</v>
      </c>
      <c r="E3572" s="164" t="str">
        <f ca="1">IFERROR(__xludf.DUMMYFUNCTION("""COMPUTED_VALUE"""),"₱ -")</f>
        <v>₱ -</v>
      </c>
      <c r="F3572" s="164" t="str">
        <f ca="1">IFERROR(__xludf.DUMMYFUNCTION("""COMPUTED_VALUE"""),"2023-ICTE-SP-05-
 0009-06")</f>
        <v>2023-ICTE-SP-05-
 0009-06</v>
      </c>
      <c r="G3572" s="164"/>
      <c r="H3572" s="164" t="str">
        <f ca="1">IFERROR(__xludf.DUMMYFUNCTION("""COMPUTED_VALUE"""),"MA. CLEOFE A. MANTICAHON")</f>
        <v>MA. CLEOFE A. MANTICAHON</v>
      </c>
      <c r="I3572" s="164" t="str">
        <f ca="1">IFERROR(__xludf.DUMMYFUNCTION("""COMPUTED_VALUE"""),"SARPO")</f>
        <v>SARPO</v>
      </c>
      <c r="J3572" s="164" t="str">
        <f ca="1">IFERROR(__xludf.DUMMYFUNCTION("""COMPUTED_VALUE"""),"2023-PAR-05-
 0005")</f>
        <v>2023-PAR-05-
 0005</v>
      </c>
      <c r="K3572" s="164" t="str">
        <f ca="1">IFERROR(__xludf.DUMMYFUNCTION("""COMPUTED_VALUE"""),"SARAH MOSQUEDA")</f>
        <v>SARAH MOSQUEDA</v>
      </c>
      <c r="L3572" s="164" t="str">
        <f ca="1">IFERROR(__xludf.DUMMYFUNCTION("""COMPUTED_VALUE"""),"DARPO-LTID")</f>
        <v>DARPO-LTID</v>
      </c>
      <c r="M3572" s="164" t="str">
        <f ca="1">IFERROR(__xludf.DUMMYFUNCTION("""COMPUTED_VALUE"""),"SERVICEABLE")</f>
        <v>SERVICEABLE</v>
      </c>
      <c r="N3572" s="164"/>
    </row>
    <row r="3573" spans="1:14" ht="13.2" hidden="1">
      <c r="A3573" s="164" t="str">
        <f ca="1">IFERROR(__xludf.DUMMYFUNCTION("""COMPUTED_VALUE"""),"Region X")</f>
        <v>Region X</v>
      </c>
      <c r="B3573" s="164" t="str">
        <f ca="1">IFERROR(__xludf.DUMMYFUNCTION("""COMPUTED_VALUE"""),"MISAMIS ORIENTAL")</f>
        <v>MISAMIS ORIENTAL</v>
      </c>
      <c r="C3573" s="164" t="str">
        <f ca="1">IFERROR(__xludf.DUMMYFUNCTION("""COMPUTED_VALUE"""),"Desktop Computer – (Lenovo M70T)")</f>
        <v>Desktop Computer – (Lenovo M70T)</v>
      </c>
      <c r="D3573" s="164" t="str">
        <f ca="1">IFERROR(__xludf.DUMMYFUNCTION("""COMPUTED_VALUE"""),"₱ 75,468.00")</f>
        <v>₱ 75,468.00</v>
      </c>
      <c r="E3573" s="164" t="str">
        <f ca="1">IFERROR(__xludf.DUMMYFUNCTION("""COMPUTED_VALUE"""),"₱ -")</f>
        <v>₱ -</v>
      </c>
      <c r="F3573" s="164" t="str">
        <f ca="1">IFERROR(__xludf.DUMMYFUNCTION("""COMPUTED_VALUE"""),"2023-ICTE-SP-05-
 0010-06")</f>
        <v>2023-ICTE-SP-05-
 0010-06</v>
      </c>
      <c r="G3573" s="164"/>
      <c r="H3573" s="164" t="str">
        <f ca="1">IFERROR(__xludf.DUMMYFUNCTION("""COMPUTED_VALUE"""),"MA. CLEOFE A. MANTICAHON")</f>
        <v>MA. CLEOFE A. MANTICAHON</v>
      </c>
      <c r="I3573" s="164" t="str">
        <f ca="1">IFERROR(__xludf.DUMMYFUNCTION("""COMPUTED_VALUE"""),"SARPO")</f>
        <v>SARPO</v>
      </c>
      <c r="J3573" s="164" t="str">
        <f ca="1">IFERROR(__xludf.DUMMYFUNCTION("""COMPUTED_VALUE"""),"2023-PAR-05-
 0004")</f>
        <v>2023-PAR-05-
 0004</v>
      </c>
      <c r="K3573" s="164" t="str">
        <f ca="1">IFERROR(__xludf.DUMMYFUNCTION("""COMPUTED_VALUE"""),"MA. CLEOFE A. MANTICAHON")</f>
        <v>MA. CLEOFE A. MANTICAHON</v>
      </c>
      <c r="L3573" s="164" t="str">
        <f ca="1">IFERROR(__xludf.DUMMYFUNCTION("""COMPUTED_VALUE"""),"DARPO-LTID")</f>
        <v>DARPO-LTID</v>
      </c>
      <c r="M3573" s="164" t="str">
        <f ca="1">IFERROR(__xludf.DUMMYFUNCTION("""COMPUTED_VALUE"""),"SERVICEABLE")</f>
        <v>SERVICEABLE</v>
      </c>
      <c r="N3573" s="164"/>
    </row>
    <row r="3574" spans="1:14" ht="13.2" hidden="1">
      <c r="A3574" s="164" t="str">
        <f ca="1">IFERROR(__xludf.DUMMYFUNCTION("""COMPUTED_VALUE"""),"Region X")</f>
        <v>Region X</v>
      </c>
      <c r="B3574" s="164" t="str">
        <f ca="1">IFERROR(__xludf.DUMMYFUNCTION("""COMPUTED_VALUE"""),"MISAMIS ORIENTAL")</f>
        <v>MISAMIS ORIENTAL</v>
      </c>
      <c r="C3574" s="164" t="str">
        <f ca="1">IFERROR(__xludf.DUMMYFUNCTION("""COMPUTED_VALUE"""),"Desktop Computer – (Lenovo M70T)")</f>
        <v>Desktop Computer – (Lenovo M70T)</v>
      </c>
      <c r="D3574" s="164" t="str">
        <f ca="1">IFERROR(__xludf.DUMMYFUNCTION("""COMPUTED_VALUE"""),"₱ 75,468.00")</f>
        <v>₱ 75,468.00</v>
      </c>
      <c r="E3574" s="164" t="str">
        <f ca="1">IFERROR(__xludf.DUMMYFUNCTION("""COMPUTED_VALUE"""),"₱ -")</f>
        <v>₱ -</v>
      </c>
      <c r="F3574" s="164" t="str">
        <f ca="1">IFERROR(__xludf.DUMMYFUNCTION("""COMPUTED_VALUE"""),"2023-ICTE-SP-05-
 0011-06")</f>
        <v>2023-ICTE-SP-05-
 0011-06</v>
      </c>
      <c r="G3574" s="164"/>
      <c r="H3574" s="164" t="str">
        <f ca="1">IFERROR(__xludf.DUMMYFUNCTION("""COMPUTED_VALUE"""),"NOEL P. SUPREMO")</f>
        <v>NOEL P. SUPREMO</v>
      </c>
      <c r="I3574" s="164" t="str">
        <f ca="1">IFERROR(__xludf.DUMMYFUNCTION("""COMPUTED_VALUE"""),"CARPO")</f>
        <v>CARPO</v>
      </c>
      <c r="J3574" s="164" t="str">
        <f ca="1">IFERROR(__xludf.DUMMYFUNCTION("""COMPUTED_VALUE"""),"2023-PAR-05-
 0007")</f>
        <v>2023-PAR-05-
 0007</v>
      </c>
      <c r="K3574" s="164" t="str">
        <f ca="1">IFERROR(__xludf.DUMMYFUNCTION("""COMPUTED_VALUE"""),"WALID MAPANDI")</f>
        <v>WALID MAPANDI</v>
      </c>
      <c r="L3574" s="164" t="str">
        <f ca="1">IFERROR(__xludf.DUMMYFUNCTION("""COMPUTED_VALUE"""),"DARPO-LTID")</f>
        <v>DARPO-LTID</v>
      </c>
      <c r="M3574" s="164" t="str">
        <f ca="1">IFERROR(__xludf.DUMMYFUNCTION("""COMPUTED_VALUE"""),"SERVICEABLE")</f>
        <v>SERVICEABLE</v>
      </c>
      <c r="N3574" s="164"/>
    </row>
    <row r="3575" spans="1:14" ht="13.2" hidden="1">
      <c r="A3575" s="164" t="str">
        <f ca="1">IFERROR(__xludf.DUMMYFUNCTION("""COMPUTED_VALUE"""),"Region X")</f>
        <v>Region X</v>
      </c>
      <c r="B3575" s="164" t="str">
        <f ca="1">IFERROR(__xludf.DUMMYFUNCTION("""COMPUTED_VALUE"""),"MISAMIS ORIENTAL")</f>
        <v>MISAMIS ORIENTAL</v>
      </c>
      <c r="C3575" s="164" t="str">
        <f ca="1">IFERROR(__xludf.DUMMYFUNCTION("""COMPUTED_VALUE"""),"Desktop Computer – (Lenovo M70T)")</f>
        <v>Desktop Computer – (Lenovo M70T)</v>
      </c>
      <c r="D3575" s="164" t="str">
        <f ca="1">IFERROR(__xludf.DUMMYFUNCTION("""COMPUTED_VALUE"""),"₱ 75,468.00")</f>
        <v>₱ 75,468.00</v>
      </c>
      <c r="E3575" s="164" t="str">
        <f ca="1">IFERROR(__xludf.DUMMYFUNCTION("""COMPUTED_VALUE"""),"₱ -")</f>
        <v>₱ -</v>
      </c>
      <c r="F3575" s="164" t="str">
        <f ca="1">IFERROR(__xludf.DUMMYFUNCTION("""COMPUTED_VALUE"""),"2023-ICTE-SP-05-
 0012-06")</f>
        <v>2023-ICTE-SP-05-
 0012-06</v>
      </c>
      <c r="G3575" s="164"/>
      <c r="H3575" s="164" t="str">
        <f ca="1">IFERROR(__xludf.DUMMYFUNCTION("""COMPUTED_VALUE"""),"NOEL P. SUPREMO")</f>
        <v>NOEL P. SUPREMO</v>
      </c>
      <c r="I3575" s="164" t="str">
        <f ca="1">IFERROR(__xludf.DUMMYFUNCTION("""COMPUTED_VALUE"""),"CARPO")</f>
        <v>CARPO</v>
      </c>
      <c r="J3575" s="164" t="str">
        <f ca="1">IFERROR(__xludf.DUMMYFUNCTION("""COMPUTED_VALUE"""),"2023-PAR-05-
 0006")</f>
        <v>2023-PAR-05-
 0006</v>
      </c>
      <c r="K3575" s="164" t="str">
        <f ca="1">IFERROR(__xludf.DUMMYFUNCTION("""COMPUTED_VALUE"""),"OMAR MAPANDI")</f>
        <v>OMAR MAPANDI</v>
      </c>
      <c r="L3575" s="164" t="str">
        <f ca="1">IFERROR(__xludf.DUMMYFUNCTION("""COMPUTED_VALUE"""),"DARPO-LTID")</f>
        <v>DARPO-LTID</v>
      </c>
      <c r="M3575" s="164" t="str">
        <f ca="1">IFERROR(__xludf.DUMMYFUNCTION("""COMPUTED_VALUE"""),"SERVICEABLE")</f>
        <v>SERVICEABLE</v>
      </c>
      <c r="N3575" s="164"/>
    </row>
    <row r="3576" spans="1:14" ht="13.2" hidden="1">
      <c r="A3576" s="164" t="str">
        <f ca="1">IFERROR(__xludf.DUMMYFUNCTION("""COMPUTED_VALUE"""),"Region X")</f>
        <v>Region X</v>
      </c>
      <c r="B3576" s="164" t="str">
        <f ca="1">IFERROR(__xludf.DUMMYFUNCTION("""COMPUTED_VALUE"""),"MISAMIS ORIENTAL")</f>
        <v>MISAMIS ORIENTAL</v>
      </c>
      <c r="C3576" s="164" t="str">
        <f ca="1">IFERROR(__xludf.DUMMYFUNCTION("""COMPUTED_VALUE"""),"Desktop Computer – (Lenovo M70T)")</f>
        <v>Desktop Computer – (Lenovo M70T)</v>
      </c>
      <c r="D3576" s="164" t="str">
        <f ca="1">IFERROR(__xludf.DUMMYFUNCTION("""COMPUTED_VALUE"""),"₱ 75,468.00")</f>
        <v>₱ 75,468.00</v>
      </c>
      <c r="E3576" s="164" t="str">
        <f ca="1">IFERROR(__xludf.DUMMYFUNCTION("""COMPUTED_VALUE"""),"₱ -")</f>
        <v>₱ -</v>
      </c>
      <c r="F3576" s="164" t="str">
        <f ca="1">IFERROR(__xludf.DUMMYFUNCTION("""COMPUTED_VALUE"""),"2023-ICTE-SP-05-
 0013-06")</f>
        <v>2023-ICTE-SP-05-
 0013-06</v>
      </c>
      <c r="G3576" s="164"/>
      <c r="H3576" s="164" t="str">
        <f ca="1">IFERROR(__xludf.DUMMYFUNCTION("""COMPUTED_VALUE"""),"NOEL P. SUPREMO")</f>
        <v>NOEL P. SUPREMO</v>
      </c>
      <c r="I3576" s="164" t="str">
        <f ca="1">IFERROR(__xludf.DUMMYFUNCTION("""COMPUTED_VALUE"""),"CARPO")</f>
        <v>CARPO</v>
      </c>
      <c r="J3576" s="164" t="str">
        <f ca="1">IFERROR(__xludf.DUMMYFUNCTION("""COMPUTED_VALUE"""),"2023-PAR-05-
 0008")</f>
        <v>2023-PAR-05-
 0008</v>
      </c>
      <c r="K3576" s="164" t="str">
        <f ca="1">IFERROR(__xludf.DUMMYFUNCTION("""COMPUTED_VALUE"""),"ROBERTO LICARDO, JR.")</f>
        <v>ROBERTO LICARDO, JR.</v>
      </c>
      <c r="L3576" s="164" t="str">
        <f ca="1">IFERROR(__xludf.DUMMYFUNCTION("""COMPUTED_VALUE"""),"DARPO-LTID")</f>
        <v>DARPO-LTID</v>
      </c>
      <c r="M3576" s="164" t="str">
        <f ca="1">IFERROR(__xludf.DUMMYFUNCTION("""COMPUTED_VALUE"""),"SERVICEABLE")</f>
        <v>SERVICEABLE</v>
      </c>
      <c r="N3576" s="164"/>
    </row>
    <row r="3577" spans="1:14" ht="13.2" hidden="1">
      <c r="A3577" s="164" t="str">
        <f ca="1">IFERROR(__xludf.DUMMYFUNCTION("""COMPUTED_VALUE"""),"Region X")</f>
        <v>Region X</v>
      </c>
      <c r="B3577" s="164" t="str">
        <f ca="1">IFERROR(__xludf.DUMMYFUNCTION("""COMPUTED_VALUE"""),"MISAMIS ORIENTAL")</f>
        <v>MISAMIS ORIENTAL</v>
      </c>
      <c r="C3577" s="164" t="str">
        <f ca="1">IFERROR(__xludf.DUMMYFUNCTION("""COMPUTED_VALUE"""),"Desktop Computer – (Lenovo M70T)")</f>
        <v>Desktop Computer – (Lenovo M70T)</v>
      </c>
      <c r="D3577" s="164" t="str">
        <f ca="1">IFERROR(__xludf.DUMMYFUNCTION("""COMPUTED_VALUE"""),"₱ 75,468.00")</f>
        <v>₱ 75,468.00</v>
      </c>
      <c r="E3577" s="164" t="str">
        <f ca="1">IFERROR(__xludf.DUMMYFUNCTION("""COMPUTED_VALUE"""),"₱ -")</f>
        <v>₱ -</v>
      </c>
      <c r="F3577" s="164" t="str">
        <f ca="1">IFERROR(__xludf.DUMMYFUNCTION("""COMPUTED_VALUE"""),"2023-ICTE-SP-05-
 0014-06")</f>
        <v>2023-ICTE-SP-05-
 0014-06</v>
      </c>
      <c r="G3577" s="164"/>
      <c r="H3577" s="164" t="str">
        <f ca="1">IFERROR(__xludf.DUMMYFUNCTION("""COMPUTED_VALUE"""),"MARIE JURENA N. LAPUZ")</f>
        <v>MARIE JURENA N. LAPUZ</v>
      </c>
      <c r="I3577" s="164" t="str">
        <f ca="1">IFERROR(__xludf.DUMMYFUNCTION("""COMPUTED_VALUE"""),"ACCOUNTANT II")</f>
        <v>ACCOUNTANT II</v>
      </c>
      <c r="J3577" s="164" t="str">
        <f ca="1">IFERROR(__xludf.DUMMYFUNCTION("""COMPUTED_VALUE"""),"2023-PAR-10-
 0002")</f>
        <v>2023-PAR-10-
 0002</v>
      </c>
      <c r="K3577" s="164" t="str">
        <f ca="1">IFERROR(__xludf.DUMMYFUNCTION("""COMPUTED_VALUE"""),"JEREMYL CASIL")</f>
        <v>JEREMYL CASIL</v>
      </c>
      <c r="L3577" s="164" t="str">
        <f ca="1">IFERROR(__xludf.DUMMYFUNCTION("""COMPUTED_VALUE"""),"DARPO-STOD")</f>
        <v>DARPO-STOD</v>
      </c>
      <c r="M3577" s="164" t="str">
        <f ca="1">IFERROR(__xludf.DUMMYFUNCTION("""COMPUTED_VALUE"""),"SERVICEABLE")</f>
        <v>SERVICEABLE</v>
      </c>
      <c r="N3577" s="164"/>
    </row>
    <row r="3578" spans="1:14" ht="13.2" hidden="1">
      <c r="A3578" s="164" t="str">
        <f ca="1">IFERROR(__xludf.DUMMYFUNCTION("""COMPUTED_VALUE"""),"Region X")</f>
        <v>Region X</v>
      </c>
      <c r="B3578" s="164" t="str">
        <f ca="1">IFERROR(__xludf.DUMMYFUNCTION("""COMPUTED_VALUE"""),"MISAMIS ORIENTAL")</f>
        <v>MISAMIS ORIENTAL</v>
      </c>
      <c r="C3578" s="164" t="str">
        <f ca="1">IFERROR(__xludf.DUMMYFUNCTION("""COMPUTED_VALUE"""),"Desktop Computer – (Lenovo M70T)")</f>
        <v>Desktop Computer – (Lenovo M70T)</v>
      </c>
      <c r="D3578" s="164" t="str">
        <f ca="1">IFERROR(__xludf.DUMMYFUNCTION("""COMPUTED_VALUE"""),"₱ 75,468.00")</f>
        <v>₱ 75,468.00</v>
      </c>
      <c r="E3578" s="164" t="str">
        <f ca="1">IFERROR(__xludf.DUMMYFUNCTION("""COMPUTED_VALUE"""),"₱ -")</f>
        <v>₱ -</v>
      </c>
      <c r="F3578" s="164" t="str">
        <f ca="1">IFERROR(__xludf.DUMMYFUNCTION("""COMPUTED_VALUE"""),"2023-ICTE-SP-05-
 0015-06")</f>
        <v>2023-ICTE-SP-05-
 0015-06</v>
      </c>
      <c r="G3578" s="164"/>
      <c r="H3578" s="164" t="str">
        <f ca="1">IFERROR(__xludf.DUMMYFUNCTION("""COMPUTED_VALUE"""),"EDEN B. ALOJACIN")</f>
        <v>EDEN B. ALOJACIN</v>
      </c>
      <c r="I3578" s="164" t="str">
        <f ca="1">IFERROR(__xludf.DUMMYFUNCTION("""COMPUTED_VALUE"""),"BUDGET OFFICER II")</f>
        <v>BUDGET OFFICER II</v>
      </c>
      <c r="J3578" s="164" t="str">
        <f ca="1">IFERROR(__xludf.DUMMYFUNCTION("""COMPUTED_VALUE"""),"2023-PAR-05-
 0011")</f>
        <v>2023-PAR-05-
 0011</v>
      </c>
      <c r="K3578" s="164" t="str">
        <f ca="1">IFERROR(__xludf.DUMMYFUNCTION("""COMPUTED_VALUE"""),"EDEN B. ALOJACIN")</f>
        <v>EDEN B. ALOJACIN</v>
      </c>
      <c r="L3578" s="164" t="str">
        <f ca="1">IFERROR(__xludf.DUMMYFUNCTION("""COMPUTED_VALUE"""),"DARPO-STOD")</f>
        <v>DARPO-STOD</v>
      </c>
      <c r="M3578" s="164" t="str">
        <f ca="1">IFERROR(__xludf.DUMMYFUNCTION("""COMPUTED_VALUE"""),"SERVICEABLE")</f>
        <v>SERVICEABLE</v>
      </c>
      <c r="N3578" s="164"/>
    </row>
    <row r="3579" spans="1:14" ht="13.2" hidden="1">
      <c r="A3579" s="164" t="str">
        <f ca="1">IFERROR(__xludf.DUMMYFUNCTION("""COMPUTED_VALUE"""),"Region X")</f>
        <v>Region X</v>
      </c>
      <c r="B3579" s="164" t="str">
        <f ca="1">IFERROR(__xludf.DUMMYFUNCTION("""COMPUTED_VALUE"""),"MISAMIS ORIENTAL")</f>
        <v>MISAMIS ORIENTAL</v>
      </c>
      <c r="C3579" s="164" t="str">
        <f ca="1">IFERROR(__xludf.DUMMYFUNCTION("""COMPUTED_VALUE"""),"Desktop Computer – (Lenovo M70T)")</f>
        <v>Desktop Computer – (Lenovo M70T)</v>
      </c>
      <c r="D3579" s="164" t="str">
        <f ca="1">IFERROR(__xludf.DUMMYFUNCTION("""COMPUTED_VALUE"""),"₱ 75,468.00")</f>
        <v>₱ 75,468.00</v>
      </c>
      <c r="E3579" s="164" t="str">
        <f ca="1">IFERROR(__xludf.DUMMYFUNCTION("""COMPUTED_VALUE"""),"₱ -")</f>
        <v>₱ -</v>
      </c>
      <c r="F3579" s="164" t="str">
        <f ca="1">IFERROR(__xludf.DUMMYFUNCTION("""COMPUTED_VALUE"""),"2023-ICTE-SP-05-
 0016-06")</f>
        <v>2023-ICTE-SP-05-
 0016-06</v>
      </c>
      <c r="G3579" s="164"/>
      <c r="H3579" s="164" t="str">
        <f ca="1">IFERROR(__xludf.DUMMYFUNCTION("""COMPUTED_VALUE"""),"EDEN B. ALOJACIN")</f>
        <v>EDEN B. ALOJACIN</v>
      </c>
      <c r="I3579" s="164" t="str">
        <f ca="1">IFERROR(__xludf.DUMMYFUNCTION("""COMPUTED_VALUE"""),"BUDGET OFFICER 11")</f>
        <v>BUDGET OFFICER 11</v>
      </c>
      <c r="J3579" s="164" t="str">
        <f ca="1">IFERROR(__xludf.DUMMYFUNCTION("""COMPUTED_VALUE"""),"2023-PAR-05-
 0010")</f>
        <v>2023-PAR-05-
 0010</v>
      </c>
      <c r="K3579" s="164" t="str">
        <f ca="1">IFERROR(__xludf.DUMMYFUNCTION("""COMPUTED_VALUE"""),"JOYCE GAJARDO")</f>
        <v>JOYCE GAJARDO</v>
      </c>
      <c r="L3579" s="164" t="str">
        <f ca="1">IFERROR(__xludf.DUMMYFUNCTION("""COMPUTED_VALUE"""),"DARPO-STOD")</f>
        <v>DARPO-STOD</v>
      </c>
      <c r="M3579" s="164" t="str">
        <f ca="1">IFERROR(__xludf.DUMMYFUNCTION("""COMPUTED_VALUE"""),"SERVICEABLE")</f>
        <v>SERVICEABLE</v>
      </c>
      <c r="N3579" s="164"/>
    </row>
    <row r="3580" spans="1:14" ht="13.2" hidden="1">
      <c r="A3580" s="164" t="str">
        <f ca="1">IFERROR(__xludf.DUMMYFUNCTION("""COMPUTED_VALUE"""),"Region X")</f>
        <v>Region X</v>
      </c>
      <c r="B3580" s="164" t="str">
        <f ca="1">IFERROR(__xludf.DUMMYFUNCTION("""COMPUTED_VALUE"""),"MISAMIS ORIENTAL")</f>
        <v>MISAMIS ORIENTAL</v>
      </c>
      <c r="C3580" s="164" t="str">
        <f ca="1">IFERROR(__xludf.DUMMYFUNCTION("""COMPUTED_VALUE"""),"Desktop Computer – (HP Pro SFF 280G9)")</f>
        <v>Desktop Computer – (HP Pro SFF 280G9)</v>
      </c>
      <c r="D3580" s="164" t="str">
        <f ca="1">IFERROR(__xludf.DUMMYFUNCTION("""COMPUTED_VALUE"""),"₱ 78,898.00")</f>
        <v>₱ 78,898.00</v>
      </c>
      <c r="E3580" s="164" t="str">
        <f ca="1">IFERROR(__xludf.DUMMYFUNCTION("""COMPUTED_VALUE"""),"₱ -")</f>
        <v>₱ -</v>
      </c>
      <c r="F3580" s="164" t="str">
        <f ca="1">IFERROR(__xludf.DUMMYFUNCTION("""COMPUTED_VALUE"""),"2023-05-03-
 10201SP480-01")</f>
        <v>2023-05-03-
 10201SP480-01</v>
      </c>
      <c r="G3580" s="164"/>
      <c r="H3580" s="164" t="str">
        <f ca="1">IFERROR(__xludf.DUMMYFUNCTION("""COMPUTED_VALUE"""),"FATIMA ANIQA T. MACARAMBON")</f>
        <v>FATIMA ANIQA T. MACARAMBON</v>
      </c>
      <c r="I3580" s="164" t="str">
        <f ca="1">IFERROR(__xludf.DUMMYFUNCTION("""COMPUTED_VALUE"""),"PARPO II")</f>
        <v>PARPO II</v>
      </c>
      <c r="J3580" s="164" t="str">
        <f ca="1">IFERROR(__xludf.DUMMYFUNCTION("""COMPUTED_VALUE"""),"2023-PAR-10-
 0003")</f>
        <v>2023-PAR-10-
 0003</v>
      </c>
      <c r="K3580" s="164" t="str">
        <f ca="1">IFERROR(__xludf.DUMMYFUNCTION("""COMPUTED_VALUE"""),"FATIMAANIQA T.
 MACARAMBON")</f>
        <v>FATIMAANIQA T.
 MACARAMBON</v>
      </c>
      <c r="L3580" s="164" t="str">
        <f ca="1">IFERROR(__xludf.DUMMYFUNCTION("""COMPUTED_VALUE"""),"PARO'S OFFICE")</f>
        <v>PARO'S OFFICE</v>
      </c>
      <c r="M3580" s="164" t="str">
        <f ca="1">IFERROR(__xludf.DUMMYFUNCTION("""COMPUTED_VALUE"""),"SERVICEABLE")</f>
        <v>SERVICEABLE</v>
      </c>
      <c r="N3580" s="164"/>
    </row>
    <row r="3581" spans="1:14" ht="13.2" hidden="1">
      <c r="A3581" s="164" t="str">
        <f ca="1">IFERROR(__xludf.DUMMYFUNCTION("""COMPUTED_VALUE"""),"Region X")</f>
        <v>Region X</v>
      </c>
      <c r="B3581" s="164" t="str">
        <f ca="1">IFERROR(__xludf.DUMMYFUNCTION("""COMPUTED_VALUE"""),"MISAMIS ORIENTAL")</f>
        <v>MISAMIS ORIENTAL</v>
      </c>
      <c r="C3581" s="164" t="str">
        <f ca="1">IFERROR(__xludf.DUMMYFUNCTION("""COMPUTED_VALUE"""),"Desktop Computer – (HP Pro SFF 280G9)")</f>
        <v>Desktop Computer – (HP Pro SFF 280G9)</v>
      </c>
      <c r="D3581" s="164" t="str">
        <f ca="1">IFERROR(__xludf.DUMMYFUNCTION("""COMPUTED_VALUE"""),"₱ 78,898.00")</f>
        <v>₱ 78,898.00</v>
      </c>
      <c r="E3581" s="164" t="str">
        <f ca="1">IFERROR(__xludf.DUMMYFUNCTION("""COMPUTED_VALUE"""),"₱ -")</f>
        <v>₱ -</v>
      </c>
      <c r="F3581" s="164" t="str">
        <f ca="1">IFERROR(__xludf.DUMMYFUNCTION("""COMPUTED_VALUE"""),"2023-05-03-
 10201SP481-01")</f>
        <v>2023-05-03-
 10201SP481-01</v>
      </c>
      <c r="G3581" s="164"/>
      <c r="H3581" s="164" t="str">
        <f ca="1">IFERROR(__xludf.DUMMYFUNCTION("""COMPUTED_VALUE"""),"BENEDICT ALAIN BARBA")</f>
        <v>BENEDICT ALAIN BARBA</v>
      </c>
      <c r="I3581" s="164" t="str">
        <f ca="1">IFERROR(__xludf.DUMMYFUNCTION("""COMPUTED_VALUE"""),"ARPOII")</f>
        <v>ARPOII</v>
      </c>
      <c r="J3581" s="164" t="str">
        <f ca="1">IFERROR(__xludf.DUMMYFUNCTION("""COMPUTED_VALUE"""),"2023-PAR-10-
 0004")</f>
        <v>2023-PAR-10-
 0004</v>
      </c>
      <c r="K3581" s="164" t="str">
        <f ca="1">IFERROR(__xludf.DUMMYFUNCTION("""COMPUTED_VALUE"""),"BENEDICT ALAIN BARBA")</f>
        <v>BENEDICT ALAIN BARBA</v>
      </c>
      <c r="L3581" s="164" t="str">
        <f ca="1">IFERROR(__xludf.DUMMYFUNCTION("""COMPUTED_VALUE"""),"DARPO-LEGAL")</f>
        <v>DARPO-LEGAL</v>
      </c>
      <c r="M3581" s="164" t="str">
        <f ca="1">IFERROR(__xludf.DUMMYFUNCTION("""COMPUTED_VALUE"""),"SERVICEABLE")</f>
        <v>SERVICEABLE</v>
      </c>
      <c r="N3581" s="164"/>
    </row>
    <row r="3582" spans="1:14" ht="13.2" hidden="1">
      <c r="A3582" s="164" t="str">
        <f ca="1">IFERROR(__xludf.DUMMYFUNCTION("""COMPUTED_VALUE"""),"Region X")</f>
        <v>Region X</v>
      </c>
      <c r="B3582" s="164" t="str">
        <f ca="1">IFERROR(__xludf.DUMMYFUNCTION("""COMPUTED_VALUE"""),"MISAMIS ORIENTAL")</f>
        <v>MISAMIS ORIENTAL</v>
      </c>
      <c r="C3582" s="164" t="str">
        <f ca="1">IFERROR(__xludf.DUMMYFUNCTION("""COMPUTED_VALUE"""),"Photocopier Machine – Kyocera")</f>
        <v>Photocopier Machine – Kyocera</v>
      </c>
      <c r="D3582" s="164" t="str">
        <f ca="1">IFERROR(__xludf.DUMMYFUNCTION("""COMPUTED_VALUE"""),"₱ 84,500.00")</f>
        <v>₱ 84,500.00</v>
      </c>
      <c r="E3582" s="164" t="str">
        <f ca="1">IFERROR(__xludf.DUMMYFUNCTION("""COMPUTED_VALUE"""),"₱ -")</f>
        <v>₱ -</v>
      </c>
      <c r="F3582" s="164" t="str">
        <f ca="1">IFERROR(__xludf.DUMMYFUNCTION("""COMPUTED_VALUE"""),"2022-05-02-10202SP69-01")</f>
        <v>2022-05-02-10202SP69-01</v>
      </c>
      <c r="G3582" s="164"/>
      <c r="H3582" s="164" t="str">
        <f ca="1">IFERROR(__xludf.DUMMYFUNCTION("""COMPUTED_VALUE"""),"NOEL P. SUPREMO")</f>
        <v>NOEL P. SUPREMO</v>
      </c>
      <c r="I3582" s="164" t="str">
        <f ca="1">IFERROR(__xludf.DUMMYFUNCTION("""COMPUTED_VALUE"""),"CARPO")</f>
        <v>CARPO</v>
      </c>
      <c r="J3582" s="164" t="str">
        <f ca="1">IFERROR(__xludf.DUMMYFUNCTION("""COMPUTED_VALUE"""),"2023-PAR-05-
 0001")</f>
        <v>2023-PAR-05-
 0001</v>
      </c>
      <c r="K3582" s="164" t="str">
        <f ca="1">IFERROR(__xludf.DUMMYFUNCTION("""COMPUTED_VALUE"""),"NOEL P. SUPREMO")</f>
        <v>NOEL P. SUPREMO</v>
      </c>
      <c r="L3582" s="164" t="str">
        <f ca="1">IFERROR(__xludf.DUMMYFUNCTION("""COMPUTED_VALUE"""),"DARPO-LTID")</f>
        <v>DARPO-LTID</v>
      </c>
      <c r="M3582" s="164" t="str">
        <f ca="1">IFERROR(__xludf.DUMMYFUNCTION("""COMPUTED_VALUE"""),"SERVICEABLE")</f>
        <v>SERVICEABLE</v>
      </c>
      <c r="N3582" s="164"/>
    </row>
    <row r="3583" spans="1:14" ht="13.2" hidden="1">
      <c r="A3583" s="164" t="str">
        <f ca="1">IFERROR(__xludf.DUMMYFUNCTION("""COMPUTED_VALUE"""),"Region X")</f>
        <v>Region X</v>
      </c>
      <c r="B3583" s="164" t="str">
        <f ca="1">IFERROR(__xludf.DUMMYFUNCTION("""COMPUTED_VALUE"""),"MISAMIS ORIENTAL")</f>
        <v>MISAMIS ORIENTAL</v>
      </c>
      <c r="C3583" s="164" t="str">
        <f ca="1">IFERROR(__xludf.DUMMYFUNCTION("""COMPUTED_VALUE"""),"Laptop – (ACER EXTENSA EX215-55G i7)")</f>
        <v>Laptop – (ACER EXTENSA EX215-55G i7)</v>
      </c>
      <c r="D3583" s="164" t="str">
        <f ca="1">IFERROR(__xludf.DUMMYFUNCTION("""COMPUTED_VALUE"""),"₱ 59,500.00")</f>
        <v>₱ 59,500.00</v>
      </c>
      <c r="E3583" s="164" t="str">
        <f ca="1">IFERROR(__xludf.DUMMYFUNCTION("""COMPUTED_VALUE"""),"₱ -")</f>
        <v>₱ -</v>
      </c>
      <c r="F3583" s="164" t="str">
        <f ca="1">IFERROR(__xludf.DUMMYFUNCTION("""COMPUTED_VALUE"""),"2023-05-03-
 10202SP175-01")</f>
        <v>2023-05-03-
 10202SP175-01</v>
      </c>
      <c r="G3583" s="164"/>
      <c r="H3583" s="164" t="str">
        <f ca="1">IFERROR(__xludf.DUMMYFUNCTION("""COMPUTED_VALUE"""),"FATIMAANIQA T. MACARAMBON")</f>
        <v>FATIMAANIQA T. MACARAMBON</v>
      </c>
      <c r="I3583" s="164" t="str">
        <f ca="1">IFERROR(__xludf.DUMMYFUNCTION("""COMPUTED_VALUE"""),"PARPO II")</f>
        <v>PARPO II</v>
      </c>
      <c r="J3583" s="164" t="str">
        <f ca="1">IFERROR(__xludf.DUMMYFUNCTION("""COMPUTED_VALUE"""),"2023-PAR-09-
 0002")</f>
        <v>2023-PAR-09-
 0002</v>
      </c>
      <c r="K3583" s="164" t="str">
        <f ca="1">IFERROR(__xludf.DUMMYFUNCTION("""COMPUTED_VALUE"""),"FATIMA ANIQA T. MACARAMBON")</f>
        <v>FATIMA ANIQA T. MACARAMBON</v>
      </c>
      <c r="L3583" s="164" t="str">
        <f ca="1">IFERROR(__xludf.DUMMYFUNCTION("""COMPUTED_VALUE"""),"PARO'S OFFICE")</f>
        <v>PARO'S OFFICE</v>
      </c>
      <c r="M3583" s="164" t="str">
        <f ca="1">IFERROR(__xludf.DUMMYFUNCTION("""COMPUTED_VALUE"""),"SERVICEABLE")</f>
        <v>SERVICEABLE</v>
      </c>
      <c r="N3583" s="164"/>
    </row>
    <row r="3584" spans="1:14" ht="13.2" hidden="1">
      <c r="A3584" s="164" t="str">
        <f ca="1">IFERROR(__xludf.DUMMYFUNCTION("""COMPUTED_VALUE"""),"Region X")</f>
        <v>Region X</v>
      </c>
      <c r="B3584" s="164" t="str">
        <f ca="1">IFERROR(__xludf.DUMMYFUNCTION("""COMPUTED_VALUE"""),"MISAMIS ORIENTAL")</f>
        <v>MISAMIS ORIENTAL</v>
      </c>
      <c r="C3584" s="164" t="str">
        <f ca="1">IFERROR(__xludf.DUMMYFUNCTION("""COMPUTED_VALUE"""),"Laptop – (ACER EXTENSA EX215-55G i7)")</f>
        <v>Laptop – (ACER EXTENSA EX215-55G i7)</v>
      </c>
      <c r="D3584" s="164" t="str">
        <f ca="1">IFERROR(__xludf.DUMMYFUNCTION("""COMPUTED_VALUE"""),"₱ 59,500.00")</f>
        <v>₱ 59,500.00</v>
      </c>
      <c r="E3584" s="164" t="str">
        <f ca="1">IFERROR(__xludf.DUMMYFUNCTION("""COMPUTED_VALUE"""),"₱ -")</f>
        <v>₱ -</v>
      </c>
      <c r="F3584" s="164" t="str">
        <f ca="1">IFERROR(__xludf.DUMMYFUNCTION("""COMPUTED_VALUE"""),"2023-05-03-
 10202SP176-01")</f>
        <v>2023-05-03-
 10202SP176-01</v>
      </c>
      <c r="G3584" s="164"/>
      <c r="H3584" s="164" t="str">
        <f ca="1">IFERROR(__xludf.DUMMYFUNCTION("""COMPUTED_VALUE"""),"JHON MARK NEL BADARAN")</f>
        <v>JHON MARK NEL BADARAN</v>
      </c>
      <c r="I3584" s="164" t="str">
        <f ca="1">IFERROR(__xludf.DUMMYFUNCTION("""COMPUTED_VALUE"""),"ENGINEER II")</f>
        <v>ENGINEER II</v>
      </c>
      <c r="J3584" s="164" t="str">
        <f ca="1">IFERROR(__xludf.DUMMYFUNCTION("""COMPUTED_VALUE"""),"2023-PAR-10-
 0001")</f>
        <v>2023-PAR-10-
 0001</v>
      </c>
      <c r="K3584" s="164" t="str">
        <f ca="1">IFERROR(__xludf.DUMMYFUNCTION("""COMPUTED_VALUE"""),"JHON MARK NEL BADARAN")</f>
        <v>JHON MARK NEL BADARAN</v>
      </c>
      <c r="L3584" s="164" t="str">
        <f ca="1">IFERROR(__xludf.DUMMYFUNCTION("""COMPUTED_VALUE"""),"DARPO-LTID")</f>
        <v>DARPO-LTID</v>
      </c>
      <c r="M3584" s="164" t="str">
        <f ca="1">IFERROR(__xludf.DUMMYFUNCTION("""COMPUTED_VALUE"""),"SERVICEABLE")</f>
        <v>SERVICEABLE</v>
      </c>
      <c r="N3584" s="164"/>
    </row>
    <row r="3585" spans="1:14" ht="13.2" hidden="1">
      <c r="A3585" s="164" t="str">
        <f ca="1">IFERROR(__xludf.DUMMYFUNCTION("""COMPUTED_VALUE"""),"Region X")</f>
        <v>Region X</v>
      </c>
      <c r="B3585" s="164" t="str">
        <f ca="1">IFERROR(__xludf.DUMMYFUNCTION("""COMPUTED_VALUE"""),"MISAMIS ORIENTAL")</f>
        <v>MISAMIS ORIENTAL</v>
      </c>
      <c r="C3585" s="164" t="str">
        <f ca="1">IFERROR(__xludf.DUMMYFUNCTION("""COMPUTED_VALUE"""),"Laptop – (ACER EXTENSA EX215-55G i7)")</f>
        <v>Laptop – (ACER EXTENSA EX215-55G i7)</v>
      </c>
      <c r="D3585" s="164" t="str">
        <f ca="1">IFERROR(__xludf.DUMMYFUNCTION("""COMPUTED_VALUE"""),"₱ 59,500.00")</f>
        <v>₱ 59,500.00</v>
      </c>
      <c r="E3585" s="164" t="str">
        <f ca="1">IFERROR(__xludf.DUMMYFUNCTION("""COMPUTED_VALUE"""),"₱ -")</f>
        <v>₱ -</v>
      </c>
      <c r="F3585" s="164" t="str">
        <f ca="1">IFERROR(__xludf.DUMMYFUNCTION("""COMPUTED_VALUE"""),"2023-05-03-
 10202SP174-01")</f>
        <v>2023-05-03-
 10202SP174-01</v>
      </c>
      <c r="G3585" s="164"/>
      <c r="H3585" s="164" t="str">
        <f ca="1">IFERROR(__xludf.DUMMYFUNCTION("""COMPUTED_VALUE"""),"NORBERTO G. MUNSAYAC")</f>
        <v>NORBERTO G. MUNSAYAC</v>
      </c>
      <c r="I3585" s="164" t="str">
        <f ca="1">IFERROR(__xludf.DUMMYFUNCTION("""COMPUTED_VALUE"""),"PLANNING OFFICER II")</f>
        <v>PLANNING OFFICER II</v>
      </c>
      <c r="J3585" s="164" t="str">
        <f ca="1">IFERROR(__xludf.DUMMYFUNCTION("""COMPUTED_VALUE"""),"2023-PAR-09-
 0004")</f>
        <v>2023-PAR-09-
 0004</v>
      </c>
      <c r="K3585" s="164" t="str">
        <f ca="1">IFERROR(__xludf.DUMMYFUNCTION("""COMPUTED_VALUE"""),"NORBERTO G. MUNSAYAC")</f>
        <v>NORBERTO G. MUNSAYAC</v>
      </c>
      <c r="L3585" s="164" t="str">
        <f ca="1">IFERROR(__xludf.DUMMYFUNCTION("""COMPUTED_VALUE"""),"DARPO-STOD")</f>
        <v>DARPO-STOD</v>
      </c>
      <c r="M3585" s="164" t="str">
        <f ca="1">IFERROR(__xludf.DUMMYFUNCTION("""COMPUTED_VALUE"""),"SERVICEABLE")</f>
        <v>SERVICEABLE</v>
      </c>
      <c r="N3585" s="164"/>
    </row>
    <row r="3586" spans="1:14" ht="13.2" hidden="1">
      <c r="A3586" s="164" t="str">
        <f ca="1">IFERROR(__xludf.DUMMYFUNCTION("""COMPUTED_VALUE"""),"Region X")</f>
        <v>Region X</v>
      </c>
      <c r="B3586" s="164" t="str">
        <f ca="1">IFERROR(__xludf.DUMMYFUNCTION("""COMPUTED_VALUE"""),"MISAMIS ORIENTAL")</f>
        <v>MISAMIS ORIENTAL</v>
      </c>
      <c r="C3586" s="164" t="str">
        <f ca="1">IFERROR(__xludf.DUMMYFUNCTION("""COMPUTED_VALUE"""),"A3 PRINTER (BROTHER)")</f>
        <v>A3 PRINTER (BROTHER)</v>
      </c>
      <c r="D3586" s="164" t="str">
        <f ca="1">IFERROR(__xludf.DUMMYFUNCTION("""COMPUTED_VALUE"""),"₱ 33,508.00")</f>
        <v>₱ 33,508.00</v>
      </c>
      <c r="E3586" s="164" t="str">
        <f ca="1">IFERROR(__xludf.DUMMYFUNCTION("""COMPUTED_VALUE"""),"₱ -")</f>
        <v>₱ -</v>
      </c>
      <c r="F3586" s="164" t="str">
        <f ca="1">IFERROR(__xludf.DUMMYFUNCTION("""COMPUTED_VALUE"""),"HV-SPLIT-102-24-05-091")</f>
        <v>HV-SPLIT-102-24-05-091</v>
      </c>
      <c r="G3586" s="164"/>
      <c r="H3586" s="164" t="str">
        <f ca="1">IFERROR(__xludf.DUMMYFUNCTION("""COMPUTED_VALUE"""),"ZORAIDA MACADINDANG")</f>
        <v>ZORAIDA MACADINDANG</v>
      </c>
      <c r="I3586" s="164" t="str">
        <f ca="1">IFERROR(__xludf.DUMMYFUNCTION("""COMPUTED_VALUE"""),"REGIONAL DIRECTOR")</f>
        <v>REGIONAL DIRECTOR</v>
      </c>
      <c r="J3586" s="164" t="str">
        <f ca="1">IFERROR(__xludf.DUMMYFUNCTION("""COMPUTED_VALUE"""),"2024-05-012")</f>
        <v>2024-05-012</v>
      </c>
      <c r="K3586" s="164"/>
      <c r="L3586" s="164" t="str">
        <f ca="1">IFERROR(__xludf.DUMMYFUNCTION("""COMPUTED_VALUE"""),"DARPO MIS ORIENTAL")</f>
        <v>DARPO MIS ORIENTAL</v>
      </c>
      <c r="M3586" s="164" t="str">
        <f ca="1">IFERROR(__xludf.DUMMYFUNCTION("""COMPUTED_VALUE"""),"SERVICEABLE")</f>
        <v>SERVICEABLE</v>
      </c>
      <c r="N3586" s="164"/>
    </row>
    <row r="3587" spans="1:14" ht="13.2" hidden="1">
      <c r="A3587" s="164" t="str">
        <f ca="1">IFERROR(__xludf.DUMMYFUNCTION("""COMPUTED_VALUE"""),"Region X")</f>
        <v>Region X</v>
      </c>
      <c r="B3587" s="164" t="str">
        <f ca="1">IFERROR(__xludf.DUMMYFUNCTION("""COMPUTED_VALUE"""),"REGIONAL OFFICE")</f>
        <v>REGIONAL OFFICE</v>
      </c>
      <c r="C3587" s="164" t="str">
        <f ca="1">IFERROR(__xludf.DUMMYFUNCTION("""COMPUTED_VALUE"""),"TOTAL STATION – GEOMAX TOTAL STATION ZOOM 50")</f>
        <v>TOTAL STATION – GEOMAX TOTAL STATION ZOOM 50</v>
      </c>
      <c r="D3587" s="164" t="str">
        <f ca="1">IFERROR(__xludf.DUMMYFUNCTION("""COMPUTED_VALUE"""),"₱ 648,000.00")</f>
        <v>₱ 648,000.00</v>
      </c>
      <c r="E3587" s="164" t="str">
        <f ca="1">IFERROR(__xludf.DUMMYFUNCTION("""COMPUTED_VALUE"""),"₱ -")</f>
        <v>₱ -</v>
      </c>
      <c r="F3587" s="164" t="str">
        <f ca="1">IFERROR(__xludf.DUMMYFUNCTION("""COMPUTED_VALUE"""),"2023-05-14-10201SP15-01")</f>
        <v>2023-05-14-10201SP15-01</v>
      </c>
      <c r="G3587" s="164"/>
      <c r="H3587" s="164" t="str">
        <f ca="1">IFERROR(__xludf.DUMMYFUNCTION("""COMPUTED_VALUE"""),"ENGR. JOVY ANN D. CLARO")</f>
        <v>ENGR. JOVY ANN D. CLARO</v>
      </c>
      <c r="I3587" s="164" t="str">
        <f ca="1">IFERROR(__xludf.DUMMYFUNCTION("""COMPUTED_VALUE"""),"DENR/LRA-ROD SURVEY COORDINATOR/ ENGR Ill, LTSP")</f>
        <v>DENR/LRA-ROD SURVEY COORDINATOR/ ENGR Ill, LTSP</v>
      </c>
      <c r="J3587" s="164" t="str">
        <f ca="1">IFERROR(__xludf.DUMMYFUNCTION("""COMPUTED_VALUE"""),"2023-001")</f>
        <v>2023-001</v>
      </c>
      <c r="K3587" s="164" t="str">
        <f ca="1">IFERROR(__xludf.DUMMYFUNCTION("""COMPUTED_VALUE"""),"ENGR. JOVY ANN D. CLARO")</f>
        <v>ENGR. JOVY ANN D. CLARO</v>
      </c>
      <c r="L3587" s="164" t="str">
        <f ca="1">IFERROR(__xludf.DUMMYFUNCTION("""COMPUTED_VALUE"""),"DAR REGIONAL OFFICEX")</f>
        <v>DAR REGIONAL OFFICEX</v>
      </c>
      <c r="M3587" s="164" t="str">
        <f ca="1">IFERROR(__xludf.DUMMYFUNCTION("""COMPUTED_VALUE"""),"SERVICEABLE")</f>
        <v>SERVICEABLE</v>
      </c>
      <c r="N3587" s="164"/>
    </row>
    <row r="3588" spans="1:14" ht="13.2">
      <c r="A3588" s="164" t="str">
        <f ca="1">IFERROR(__xludf.DUMMYFUNCTION("""COMPUTED_VALUE"""),"Region X")</f>
        <v>Region X</v>
      </c>
      <c r="B3588" s="164" t="str">
        <f ca="1">IFERROR(__xludf.DUMMYFUNCTION("""COMPUTED_VALUE"""),"LANAO DEL NORTE")</f>
        <v>LANAO DEL NORTE</v>
      </c>
      <c r="C3588" s="164" t="str">
        <f ca="1">IFERROR(__xludf.DUMMYFUNCTION("""COMPUTED_VALUE"""),"TOTAL STATION – GEOMAX TOTAL STATION ZOOM 50")</f>
        <v>TOTAL STATION – GEOMAX TOTAL STATION ZOOM 50</v>
      </c>
      <c r="D3588" s="164" t="str">
        <f ca="1">IFERROR(__xludf.DUMMYFUNCTION("""COMPUTED_VALUE"""),"₱ 648,000.00")</f>
        <v>₱ 648,000.00</v>
      </c>
      <c r="E3588" s="164" t="str">
        <f ca="1">IFERROR(__xludf.DUMMYFUNCTION("""COMPUTED_VALUE"""),"₱ -")</f>
        <v>₱ -</v>
      </c>
      <c r="F3588" s="164" t="str">
        <f ca="1">IFERROR(__xludf.DUMMYFUNCTION("""COMPUTED_VALUE"""),"2023-05-14-10201SP14-01")</f>
        <v>2023-05-14-10201SP14-01</v>
      </c>
      <c r="G3588" s="164"/>
      <c r="H3588" s="164" t="str">
        <f ca="1">IFERROR(__xludf.DUMMYFUNCTION("""COMPUTED_VALUE"""),"ENGR. JOVY ANN D. CLARO")</f>
        <v>ENGR. JOVY ANN D. CLARO</v>
      </c>
      <c r="I3588" s="164" t="str">
        <f ca="1">IFERROR(__xludf.DUMMYFUNCTION("""COMPUTED_VALUE"""),"DENR/LRA-ROD SURVEY COORDINATOR/ ENGR Ill, LTSP")</f>
        <v>DENR/LRA-ROD SURVEY COORDINATOR/ ENGR Ill, LTSP</v>
      </c>
      <c r="J3588" s="164" t="str">
        <f ca="1">IFERROR(__xludf.DUMMYFUNCTION("""COMPUTED_VALUE"""),"2023-001")</f>
        <v>2023-001</v>
      </c>
      <c r="K3588" s="164" t="str">
        <f ca="1">IFERROR(__xludf.DUMMYFUNCTION("""COMPUTED_VALUE"""),"ENGR. JOVY ANN D. CLARO")</f>
        <v>ENGR. JOVY ANN D. CLARO</v>
      </c>
      <c r="L3588" s="164" t="str">
        <f ca="1">IFERROR(__xludf.DUMMYFUNCTION("""COMPUTED_VALUE"""),"DAR REGIONAL OFFICEX")</f>
        <v>DAR REGIONAL OFFICEX</v>
      </c>
      <c r="M3588" s="164" t="str">
        <f ca="1">IFERROR(__xludf.DUMMYFUNCTION("""COMPUTED_VALUE"""),"SERVICEABLE")</f>
        <v>SERVICEABLE</v>
      </c>
      <c r="N3588" s="164"/>
    </row>
    <row r="3589" spans="1:14" ht="13.2" hidden="1">
      <c r="A3589" s="164" t="str">
        <f ca="1">IFERROR(__xludf.DUMMYFUNCTION("""COMPUTED_VALUE"""),"Region X")</f>
        <v>Region X</v>
      </c>
      <c r="B3589" s="164" t="str">
        <f ca="1">IFERROR(__xludf.DUMMYFUNCTION("""COMPUTED_VALUE"""),"REGIONAL OFFICE")</f>
        <v>REGIONAL OFFICE</v>
      </c>
      <c r="C3589" s="164" t="str">
        <f ca="1">IFERROR(__xludf.DUMMYFUNCTION("""COMPUTED_VALUE"""),"REAL-TIME KINEMATIC – GEOMAX ZENITH60")</f>
        <v>REAL-TIME KINEMATIC – GEOMAX ZENITH60</v>
      </c>
      <c r="D3589" s="164" t="str">
        <f ca="1">IFERROR(__xludf.DUMMYFUNCTION("""COMPUTED_VALUE"""),"₱ 1,849,000.00")</f>
        <v>₱ 1,849,000.00</v>
      </c>
      <c r="E3589" s="164" t="str">
        <f ca="1">IFERROR(__xludf.DUMMYFUNCTION("""COMPUTED_VALUE"""),"₱ -")</f>
        <v>₱ -</v>
      </c>
      <c r="F3589" s="164" t="str">
        <f ca="1">IFERROR(__xludf.DUMMYFUNCTION("""COMPUTED_VALUE"""),"2023-05-14-10201SP15-01")</f>
        <v>2023-05-14-10201SP15-01</v>
      </c>
      <c r="G3589" s="164"/>
      <c r="H3589" s="164" t="str">
        <f ca="1">IFERROR(__xludf.DUMMYFUNCTION("""COMPUTED_VALUE"""),"ENGR. JOVY ANN D. CLARO")</f>
        <v>ENGR. JOVY ANN D. CLARO</v>
      </c>
      <c r="I3589" s="164" t="str">
        <f ca="1">IFERROR(__xludf.DUMMYFUNCTION("""COMPUTED_VALUE"""),"DENR/LRA-ROD SURVEY COORDINATOR/ ENGR Ill, LTSP")</f>
        <v>DENR/LRA-ROD SURVEY COORDINATOR/ ENGR Ill, LTSP</v>
      </c>
      <c r="J3589" s="164" t="str">
        <f ca="1">IFERROR(__xludf.DUMMYFUNCTION("""COMPUTED_VALUE"""),"2023-001")</f>
        <v>2023-001</v>
      </c>
      <c r="K3589" s="164" t="str">
        <f ca="1">IFERROR(__xludf.DUMMYFUNCTION("""COMPUTED_VALUE"""),"ENGR. JOVY ANN D. CLARO")</f>
        <v>ENGR. JOVY ANN D. CLARO</v>
      </c>
      <c r="L3589" s="164" t="str">
        <f ca="1">IFERROR(__xludf.DUMMYFUNCTION("""COMPUTED_VALUE"""),"DAR REGIONAL OFFICEX")</f>
        <v>DAR REGIONAL OFFICEX</v>
      </c>
      <c r="M3589" s="164" t="str">
        <f ca="1">IFERROR(__xludf.DUMMYFUNCTION("""COMPUTED_VALUE"""),"SERVICEABLE")</f>
        <v>SERVICEABLE</v>
      </c>
      <c r="N3589" s="164"/>
    </row>
    <row r="3590" spans="1:14" ht="13.2" hidden="1">
      <c r="A3590" s="164"/>
      <c r="B3590" s="164" t="str">
        <f ca="1">IFERROR(__xludf.DUMMYFUNCTION("""COMPUTED_VALUE"""),"BUKIDNON")</f>
        <v>BUKIDNON</v>
      </c>
      <c r="C3590" s="164" t="str">
        <f ca="1">IFERROR(__xludf.DUMMYFUNCTION("""COMPUTED_VALUE"""),"REAL-TIME KINEMATIC – GEOMAX ZENITH60")</f>
        <v>REAL-TIME KINEMATIC – GEOMAX ZENITH60</v>
      </c>
      <c r="D3590" s="164" t="str">
        <f ca="1">IFERROR(__xludf.DUMMYFUNCTION("""COMPUTED_VALUE"""),"₱ 1,849,000.00")</f>
        <v>₱ 1,849,000.00</v>
      </c>
      <c r="E3590" s="164" t="str">
        <f ca="1">IFERROR(__xludf.DUMMYFUNCTION("""COMPUTED_VALUE"""),"₱ -")</f>
        <v>₱ -</v>
      </c>
      <c r="F3590" s="164" t="str">
        <f ca="1">IFERROR(__xludf.DUMMYFUNCTION("""COMPUTED_VALUE"""),"2023-05-14-10201SP14-01")</f>
        <v>2023-05-14-10201SP14-01</v>
      </c>
      <c r="G3590" s="164"/>
      <c r="H3590" s="164" t="str">
        <f ca="1">IFERROR(__xludf.DUMMYFUNCTION("""COMPUTED_VALUE"""),"ENGR. JOVY ANN D. CLARO")</f>
        <v>ENGR. JOVY ANN D. CLARO</v>
      </c>
      <c r="I3590" s="164" t="str">
        <f ca="1">IFERROR(__xludf.DUMMYFUNCTION("""COMPUTED_VALUE"""),"DENR/LRA-ROD SURVEY COORDINATOR/ ENGR Ill, LTSP")</f>
        <v>DENR/LRA-ROD SURVEY COORDINATOR/ ENGR Ill, LTSP</v>
      </c>
      <c r="J3590" s="164" t="str">
        <f ca="1">IFERROR(__xludf.DUMMYFUNCTION("""COMPUTED_VALUE"""),"2023-001")</f>
        <v>2023-001</v>
      </c>
      <c r="K3590" s="164" t="str">
        <f ca="1">IFERROR(__xludf.DUMMYFUNCTION("""COMPUTED_VALUE"""),"ENGR. JOVY ANN D. CLARO")</f>
        <v>ENGR. JOVY ANN D. CLARO</v>
      </c>
      <c r="L3590" s="164" t="str">
        <f ca="1">IFERROR(__xludf.DUMMYFUNCTION("""COMPUTED_VALUE"""),"DAR REGIONAL OFFICEX")</f>
        <v>DAR REGIONAL OFFICEX</v>
      </c>
      <c r="M3590" s="164" t="str">
        <f ca="1">IFERROR(__xludf.DUMMYFUNCTION("""COMPUTED_VALUE"""),"SERVICEABLE")</f>
        <v>SERVICEABLE</v>
      </c>
      <c r="N3590" s="164"/>
    </row>
    <row r="3591" spans="1:14" ht="13.2" hidden="1">
      <c r="A3591" s="164" t="str">
        <f ca="1">IFERROR(__xludf.DUMMYFUNCTION("""COMPUTED_VALUE"""),"Region X")</f>
        <v>Region X</v>
      </c>
      <c r="B3591" s="164" t="str">
        <f ca="1">IFERROR(__xludf.DUMMYFUNCTION("""COMPUTED_VALUE"""),"REGIONAL OFFICE")</f>
        <v>REGIONAL OFFICE</v>
      </c>
      <c r="C3591" s="164" t="str">
        <f ca="1">IFERROR(__xludf.DUMMYFUNCTION("""COMPUTED_VALUE"""),"Desktop Computer – (MSI PRO DP180)")</f>
        <v>Desktop Computer – (MSI PRO DP180)</v>
      </c>
      <c r="D3591" s="164" t="str">
        <f ca="1">IFERROR(__xludf.DUMMYFUNCTION("""COMPUTED_VALUE"""),"₱ 49,300.00")</f>
        <v>₱ 49,300.00</v>
      </c>
      <c r="E3591" s="164" t="str">
        <f ca="1">IFERROR(__xludf.DUMMYFUNCTION("""COMPUTED_VALUE"""),"₱ -")</f>
        <v>₱ -</v>
      </c>
      <c r="F3591" s="164" t="str">
        <f ca="1">IFERROR(__xludf.DUMMYFUNCTION("""COMPUTED_VALUE"""),"HVSPLIT-102-24-05-01-178")</f>
        <v>HVSPLIT-102-24-05-01-178</v>
      </c>
      <c r="G3591" s="164"/>
      <c r="H3591" s="164" t="str">
        <f ca="1">IFERROR(__xludf.DUMMYFUNCTION("""COMPUTED_VALUE"""),"JOCELYN A. CHUA")</f>
        <v>JOCELYN A. CHUA</v>
      </c>
      <c r="I3591" s="164" t="str">
        <f ca="1">IFERROR(__xludf.DUMMYFUNCTION("""COMPUTED_VALUE"""),"REGIONAL INFORMATION OFFICER")</f>
        <v>REGIONAL INFORMATION OFFICER</v>
      </c>
      <c r="J3591" s="164" t="str">
        <f ca="1">IFERROR(__xludf.DUMMYFUNCTION("""COMPUTED_VALUE"""),"2023-001")</f>
        <v>2023-001</v>
      </c>
      <c r="K3591" s="164" t="str">
        <f ca="1">IFERROR(__xludf.DUMMYFUNCTION("""COMPUTED_VALUE"""),"JOCELYN A. CHUA")</f>
        <v>JOCELYN A. CHUA</v>
      </c>
      <c r="L3591" s="164" t="str">
        <f ca="1">IFERROR(__xludf.DUMMYFUNCTION("""COMPUTED_VALUE"""),"DAR REGIONAL OFFICEX")</f>
        <v>DAR REGIONAL OFFICEX</v>
      </c>
      <c r="M3591" s="164" t="str">
        <f ca="1">IFERROR(__xludf.DUMMYFUNCTION("""COMPUTED_VALUE"""),"SERVICEABLE")</f>
        <v>SERVICEABLE</v>
      </c>
      <c r="N3591" s="164"/>
    </row>
    <row r="3592" spans="1:14" ht="13.2" hidden="1">
      <c r="A3592" s="164" t="str">
        <f ca="1">IFERROR(__xludf.DUMMYFUNCTION("""COMPUTED_VALUE"""),"Region X")</f>
        <v>Region X</v>
      </c>
      <c r="B3592" s="164" t="str">
        <f ca="1">IFERROR(__xludf.DUMMYFUNCTION("""COMPUTED_VALUE"""),"REGIONAL OFFICE")</f>
        <v>REGIONAL OFFICE</v>
      </c>
      <c r="C3592" s="164" t="str">
        <f ca="1">IFERROR(__xludf.DUMMYFUNCTION("""COMPUTED_VALUE"""),"Desktop Computer – (MSI PRO DP180)")</f>
        <v>Desktop Computer – (MSI PRO DP180)</v>
      </c>
      <c r="D3592" s="164" t="str">
        <f ca="1">IFERROR(__xludf.DUMMYFUNCTION("""COMPUTED_VALUE"""),"₱ 49,300.00")</f>
        <v>₱ 49,300.00</v>
      </c>
      <c r="E3592" s="164" t="str">
        <f ca="1">IFERROR(__xludf.DUMMYFUNCTION("""COMPUTED_VALUE"""),"₱ -")</f>
        <v>₱ -</v>
      </c>
      <c r="F3592" s="164" t="str">
        <f ca="1">IFERROR(__xludf.DUMMYFUNCTION("""COMPUTED_VALUE"""),"HVSPLIT-102-24-05-01-291")</f>
        <v>HVSPLIT-102-24-05-01-291</v>
      </c>
      <c r="G3592" s="164"/>
      <c r="H3592" s="164" t="str">
        <f ca="1">IFERROR(__xludf.DUMMYFUNCTION("""COMPUTED_VALUE"""),"JOCELYN A. CHUA")</f>
        <v>JOCELYN A. CHUA</v>
      </c>
      <c r="I3592" s="164" t="str">
        <f ca="1">IFERROR(__xludf.DUMMYFUNCTION("""COMPUTED_VALUE"""),"REGIONAL INFORMATION OFFICER")</f>
        <v>REGIONAL INFORMATION OFFICER</v>
      </c>
      <c r="J3592" s="164" t="str">
        <f ca="1">IFERROR(__xludf.DUMMYFUNCTION("""COMPUTED_VALUE"""),"2023-001")</f>
        <v>2023-001</v>
      </c>
      <c r="K3592" s="164" t="str">
        <f ca="1">IFERROR(__xludf.DUMMYFUNCTION("""COMPUTED_VALUE"""),"JOCELYN A. CHUA")</f>
        <v>JOCELYN A. CHUA</v>
      </c>
      <c r="L3592" s="164" t="str">
        <f ca="1">IFERROR(__xludf.DUMMYFUNCTION("""COMPUTED_VALUE"""),"DAR REGIONAL OFFICEX")</f>
        <v>DAR REGIONAL OFFICEX</v>
      </c>
      <c r="M3592" s="164" t="str">
        <f ca="1">IFERROR(__xludf.DUMMYFUNCTION("""COMPUTED_VALUE"""),"SERVICEABLE")</f>
        <v>SERVICEABLE</v>
      </c>
      <c r="N3592" s="164"/>
    </row>
    <row r="3593" spans="1:14" ht="13.2" hidden="1">
      <c r="A3593" s="164" t="str">
        <f ca="1">IFERROR(__xludf.DUMMYFUNCTION("""COMPUTED_VALUE"""),"Region X")</f>
        <v>Region X</v>
      </c>
      <c r="B3593" s="164" t="str">
        <f ca="1">IFERROR(__xludf.DUMMYFUNCTION("""COMPUTED_VALUE"""),"REGIONAL OFFICE")</f>
        <v>REGIONAL OFFICE</v>
      </c>
      <c r="C3593" s="164" t="str">
        <f ca="1">IFERROR(__xludf.DUMMYFUNCTION("""COMPUTED_VALUE"""),"Desktop Computer – (MSI PRO DP180)")</f>
        <v>Desktop Computer – (MSI PRO DP180)</v>
      </c>
      <c r="D3593" s="164" t="str">
        <f ca="1">IFERROR(__xludf.DUMMYFUNCTION("""COMPUTED_VALUE"""),"₱ 49,300.00")</f>
        <v>₱ 49,300.00</v>
      </c>
      <c r="E3593" s="164" t="str">
        <f ca="1">IFERROR(__xludf.DUMMYFUNCTION("""COMPUTED_VALUE"""),"₱ -")</f>
        <v>₱ -</v>
      </c>
      <c r="F3593" s="164" t="str">
        <f ca="1">IFERROR(__xludf.DUMMYFUNCTION("""COMPUTED_VALUE"""),"HVSPLIT-102-24-05-01-292")</f>
        <v>HVSPLIT-102-24-05-01-292</v>
      </c>
      <c r="G3593" s="164"/>
      <c r="H3593" s="164" t="str">
        <f ca="1">IFERROR(__xludf.DUMMYFUNCTION("""COMPUTED_VALUE"""),"JOCELYN A. CHUA")</f>
        <v>JOCELYN A. CHUA</v>
      </c>
      <c r="I3593" s="164" t="str">
        <f ca="1">IFERROR(__xludf.DUMMYFUNCTION("""COMPUTED_VALUE"""),"REGIONAL INFORMATION OFFICER")</f>
        <v>REGIONAL INFORMATION OFFICER</v>
      </c>
      <c r="J3593" s="164" t="str">
        <f ca="1">IFERROR(__xludf.DUMMYFUNCTION("""COMPUTED_VALUE"""),"2023-001")</f>
        <v>2023-001</v>
      </c>
      <c r="K3593" s="164" t="str">
        <f ca="1">IFERROR(__xludf.DUMMYFUNCTION("""COMPUTED_VALUE"""),"JOCELYN A. CHUA")</f>
        <v>JOCELYN A. CHUA</v>
      </c>
      <c r="L3593" s="164" t="str">
        <f ca="1">IFERROR(__xludf.DUMMYFUNCTION("""COMPUTED_VALUE"""),"DAR REGIONAL OFFICEX")</f>
        <v>DAR REGIONAL OFFICEX</v>
      </c>
      <c r="M3593" s="164" t="str">
        <f ca="1">IFERROR(__xludf.DUMMYFUNCTION("""COMPUTED_VALUE"""),"SERVICEABLE")</f>
        <v>SERVICEABLE</v>
      </c>
      <c r="N3593" s="164"/>
    </row>
    <row r="3594" spans="1:14" ht="13.2" hidden="1">
      <c r="A3594" s="164" t="str">
        <f ca="1">IFERROR(__xludf.DUMMYFUNCTION("""COMPUTED_VALUE"""),"Region X")</f>
        <v>Region X</v>
      </c>
      <c r="B3594" s="164" t="str">
        <f ca="1">IFERROR(__xludf.DUMMYFUNCTION("""COMPUTED_VALUE"""),"REGIONAL OFFICE")</f>
        <v>REGIONAL OFFICE</v>
      </c>
      <c r="C3594" s="164" t="str">
        <f ca="1">IFERROR(__xludf.DUMMYFUNCTION("""COMPUTED_VALUE"""),"Desktop Computer – (MSI PRO DP180)")</f>
        <v>Desktop Computer – (MSI PRO DP180)</v>
      </c>
      <c r="D3594" s="164" t="str">
        <f ca="1">IFERROR(__xludf.DUMMYFUNCTION("""COMPUTED_VALUE"""),"₱ 49,300.00")</f>
        <v>₱ 49,300.00</v>
      </c>
      <c r="E3594" s="164" t="str">
        <f ca="1">IFERROR(__xludf.DUMMYFUNCTION("""COMPUTED_VALUE"""),"₱ -")</f>
        <v>₱ -</v>
      </c>
      <c r="F3594" s="164" t="str">
        <f ca="1">IFERROR(__xludf.DUMMYFUNCTION("""COMPUTED_VALUE"""),"HVSPLIT-102-24-05-01-293")</f>
        <v>HVSPLIT-102-24-05-01-293</v>
      </c>
      <c r="G3594" s="164"/>
      <c r="H3594" s="164" t="str">
        <f ca="1">IFERROR(__xludf.DUMMYFUNCTION("""COMPUTED_VALUE"""),"JOCELYN A. CHUA")</f>
        <v>JOCELYN A. CHUA</v>
      </c>
      <c r="I3594" s="164" t="str">
        <f ca="1">IFERROR(__xludf.DUMMYFUNCTION("""COMPUTED_VALUE"""),"REGIONAL INFORMATION OFFICER")</f>
        <v>REGIONAL INFORMATION OFFICER</v>
      </c>
      <c r="J3594" s="164" t="str">
        <f ca="1">IFERROR(__xludf.DUMMYFUNCTION("""COMPUTED_VALUE"""),"2023-001")</f>
        <v>2023-001</v>
      </c>
      <c r="K3594" s="164" t="str">
        <f ca="1">IFERROR(__xludf.DUMMYFUNCTION("""COMPUTED_VALUE"""),"JOCELYN A. CHUA")</f>
        <v>JOCELYN A. CHUA</v>
      </c>
      <c r="L3594" s="164" t="str">
        <f ca="1">IFERROR(__xludf.DUMMYFUNCTION("""COMPUTED_VALUE"""),"DAR REGIONAL OFFICEX")</f>
        <v>DAR REGIONAL OFFICEX</v>
      </c>
      <c r="M3594" s="164" t="str">
        <f ca="1">IFERROR(__xludf.DUMMYFUNCTION("""COMPUTED_VALUE"""),"SERVICEABLE")</f>
        <v>SERVICEABLE</v>
      </c>
      <c r="N3594" s="164"/>
    </row>
    <row r="3595" spans="1:14" ht="13.2" hidden="1">
      <c r="A3595" s="164" t="str">
        <f ca="1">IFERROR(__xludf.DUMMYFUNCTION("""COMPUTED_VALUE"""),"Region X")</f>
        <v>Region X</v>
      </c>
      <c r="B3595" s="164" t="str">
        <f ca="1">IFERROR(__xludf.DUMMYFUNCTION("""COMPUTED_VALUE"""),"REGIONAL OFFICE")</f>
        <v>REGIONAL OFFICE</v>
      </c>
      <c r="C3595" s="164" t="str">
        <f ca="1">IFERROR(__xludf.DUMMYFUNCTION("""COMPUTED_VALUE"""),"Desktop Computer – (MSI PRO DP180)")</f>
        <v>Desktop Computer – (MSI PRO DP180)</v>
      </c>
      <c r="D3595" s="164" t="str">
        <f ca="1">IFERROR(__xludf.DUMMYFUNCTION("""COMPUTED_VALUE"""),"₱ 49,300.00")</f>
        <v>₱ 49,300.00</v>
      </c>
      <c r="E3595" s="164" t="str">
        <f ca="1">IFERROR(__xludf.DUMMYFUNCTION("""COMPUTED_VALUE"""),"₱ -")</f>
        <v>₱ -</v>
      </c>
      <c r="F3595" s="164" t="str">
        <f ca="1">IFERROR(__xludf.DUMMYFUNCTION("""COMPUTED_VALUE"""),"HVSPLIT-102-24-05-01-294")</f>
        <v>HVSPLIT-102-24-05-01-294</v>
      </c>
      <c r="G3595" s="164"/>
      <c r="H3595" s="164" t="str">
        <f ca="1">IFERROR(__xludf.DUMMYFUNCTION("""COMPUTED_VALUE"""),"JOCELYN A. CHUA")</f>
        <v>JOCELYN A. CHUA</v>
      </c>
      <c r="I3595" s="164" t="str">
        <f ca="1">IFERROR(__xludf.DUMMYFUNCTION("""COMPUTED_VALUE"""),"REGIONAL INFORMATION OFFICER")</f>
        <v>REGIONAL INFORMATION OFFICER</v>
      </c>
      <c r="J3595" s="164" t="str">
        <f ca="1">IFERROR(__xludf.DUMMYFUNCTION("""COMPUTED_VALUE"""),"2023-001")</f>
        <v>2023-001</v>
      </c>
      <c r="K3595" s="164" t="str">
        <f ca="1">IFERROR(__xludf.DUMMYFUNCTION("""COMPUTED_VALUE"""),"JOCELYN A. CHUA")</f>
        <v>JOCELYN A. CHUA</v>
      </c>
      <c r="L3595" s="164" t="str">
        <f ca="1">IFERROR(__xludf.DUMMYFUNCTION("""COMPUTED_VALUE"""),"DAR REGIONAL OFFICEX")</f>
        <v>DAR REGIONAL OFFICEX</v>
      </c>
      <c r="M3595" s="164" t="str">
        <f ca="1">IFERROR(__xludf.DUMMYFUNCTION("""COMPUTED_VALUE"""),"SERVICEABLE")</f>
        <v>SERVICEABLE</v>
      </c>
      <c r="N3595" s="164"/>
    </row>
    <row r="3596" spans="1:14" ht="13.2" hidden="1">
      <c r="A3596" s="164" t="str">
        <f ca="1">IFERROR(__xludf.DUMMYFUNCTION("""COMPUTED_VALUE"""),"Region X")</f>
        <v>Region X</v>
      </c>
      <c r="B3596" s="164" t="str">
        <f ca="1">IFERROR(__xludf.DUMMYFUNCTION("""COMPUTED_VALUE"""),"REGIONAL OFFICE")</f>
        <v>REGIONAL OFFICE</v>
      </c>
      <c r="C3596" s="164" t="str">
        <f ca="1">IFERROR(__xludf.DUMMYFUNCTION("""COMPUTED_VALUE"""),"Desktop Computer – (MSI PRO DP180)")</f>
        <v>Desktop Computer – (MSI PRO DP180)</v>
      </c>
      <c r="D3596" s="164" t="str">
        <f ca="1">IFERROR(__xludf.DUMMYFUNCTION("""COMPUTED_VALUE"""),"₱ 49,300.00")</f>
        <v>₱ 49,300.00</v>
      </c>
      <c r="E3596" s="164" t="str">
        <f ca="1">IFERROR(__xludf.DUMMYFUNCTION("""COMPUTED_VALUE"""),"₱ -")</f>
        <v>₱ -</v>
      </c>
      <c r="F3596" s="164" t="str">
        <f ca="1">IFERROR(__xludf.DUMMYFUNCTION("""COMPUTED_VALUE"""),"HVSPLIT-102-24-05-01-295")</f>
        <v>HVSPLIT-102-24-05-01-295</v>
      </c>
      <c r="G3596" s="164"/>
      <c r="H3596" s="164" t="str">
        <f ca="1">IFERROR(__xludf.DUMMYFUNCTION("""COMPUTED_VALUE"""),"JOCELYN A. CHUA")</f>
        <v>JOCELYN A. CHUA</v>
      </c>
      <c r="I3596" s="164" t="str">
        <f ca="1">IFERROR(__xludf.DUMMYFUNCTION("""COMPUTED_VALUE"""),"REGIONAL INFORMATION OFFICER")</f>
        <v>REGIONAL INFORMATION OFFICER</v>
      </c>
      <c r="J3596" s="164" t="str">
        <f ca="1">IFERROR(__xludf.DUMMYFUNCTION("""COMPUTED_VALUE"""),"2023-001")</f>
        <v>2023-001</v>
      </c>
      <c r="K3596" s="164" t="str">
        <f ca="1">IFERROR(__xludf.DUMMYFUNCTION("""COMPUTED_VALUE"""),"JOCELYN A. CHUA")</f>
        <v>JOCELYN A. CHUA</v>
      </c>
      <c r="L3596" s="164" t="str">
        <f ca="1">IFERROR(__xludf.DUMMYFUNCTION("""COMPUTED_VALUE"""),"DAR REGIONAL OFFICEX")</f>
        <v>DAR REGIONAL OFFICEX</v>
      </c>
      <c r="M3596" s="164" t="str">
        <f ca="1">IFERROR(__xludf.DUMMYFUNCTION("""COMPUTED_VALUE"""),"SERVICEABLE")</f>
        <v>SERVICEABLE</v>
      </c>
      <c r="N3596" s="164"/>
    </row>
    <row r="3597" spans="1:14" ht="13.2" hidden="1">
      <c r="A3597" s="164" t="str">
        <f ca="1">IFERROR(__xludf.DUMMYFUNCTION("""COMPUTED_VALUE"""),"Region X")</f>
        <v>Region X</v>
      </c>
      <c r="B3597" s="164" t="str">
        <f ca="1">IFERROR(__xludf.DUMMYFUNCTION("""COMPUTED_VALUE"""),"REGIONAL OFFICE")</f>
        <v>REGIONAL OFFICE</v>
      </c>
      <c r="C3597" s="164" t="str">
        <f ca="1">IFERROR(__xludf.DUMMYFUNCTION("""COMPUTED_VALUE"""),"Desktop Computer – (MSI PRO DP180)")</f>
        <v>Desktop Computer – (MSI PRO DP180)</v>
      </c>
      <c r="D3597" s="164" t="str">
        <f ca="1">IFERROR(__xludf.DUMMYFUNCTION("""COMPUTED_VALUE"""),"₱ 49,300.00")</f>
        <v>₱ 49,300.00</v>
      </c>
      <c r="E3597" s="164" t="str">
        <f ca="1">IFERROR(__xludf.DUMMYFUNCTION("""COMPUTED_VALUE"""),"₱ -")</f>
        <v>₱ -</v>
      </c>
      <c r="F3597" s="164" t="str">
        <f ca="1">IFERROR(__xludf.DUMMYFUNCTION("""COMPUTED_VALUE"""),"HVSPLIT-102-24-05-01-296")</f>
        <v>HVSPLIT-102-24-05-01-296</v>
      </c>
      <c r="G3597" s="164"/>
      <c r="H3597" s="164" t="str">
        <f ca="1">IFERROR(__xludf.DUMMYFUNCTION("""COMPUTED_VALUE"""),"JOCELYN A. CHUA")</f>
        <v>JOCELYN A. CHUA</v>
      </c>
      <c r="I3597" s="164" t="str">
        <f ca="1">IFERROR(__xludf.DUMMYFUNCTION("""COMPUTED_VALUE"""),"REGIONAL INFORMATION OFFICER")</f>
        <v>REGIONAL INFORMATION OFFICER</v>
      </c>
      <c r="J3597" s="164" t="str">
        <f ca="1">IFERROR(__xludf.DUMMYFUNCTION("""COMPUTED_VALUE"""),"2023-001")</f>
        <v>2023-001</v>
      </c>
      <c r="K3597" s="164" t="str">
        <f ca="1">IFERROR(__xludf.DUMMYFUNCTION("""COMPUTED_VALUE"""),"JOCELYN A. CHUA")</f>
        <v>JOCELYN A. CHUA</v>
      </c>
      <c r="L3597" s="164" t="str">
        <f ca="1">IFERROR(__xludf.DUMMYFUNCTION("""COMPUTED_VALUE"""),"DAR REGIONAL OFFICEX")</f>
        <v>DAR REGIONAL OFFICEX</v>
      </c>
      <c r="M3597" s="164" t="str">
        <f ca="1">IFERROR(__xludf.DUMMYFUNCTION("""COMPUTED_VALUE"""),"SERVICEABLE")</f>
        <v>SERVICEABLE</v>
      </c>
      <c r="N3597" s="164"/>
    </row>
    <row r="3598" spans="1:14" ht="13.2" hidden="1">
      <c r="A3598" s="164" t="str">
        <f ca="1">IFERROR(__xludf.DUMMYFUNCTION("""COMPUTED_VALUE"""),"Region X")</f>
        <v>Region X</v>
      </c>
      <c r="B3598" s="164" t="str">
        <f ca="1">IFERROR(__xludf.DUMMYFUNCTION("""COMPUTED_VALUE"""),"REGIONAL OFFICE")</f>
        <v>REGIONAL OFFICE</v>
      </c>
      <c r="C3598" s="164" t="str">
        <f ca="1">IFERROR(__xludf.DUMMYFUNCTION("""COMPUTED_VALUE"""),"Desktop Computer – (MSI PRO DP180)")</f>
        <v>Desktop Computer – (MSI PRO DP180)</v>
      </c>
      <c r="D3598" s="164" t="str">
        <f ca="1">IFERROR(__xludf.DUMMYFUNCTION("""COMPUTED_VALUE"""),"₱ 49,300.00")</f>
        <v>₱ 49,300.00</v>
      </c>
      <c r="E3598" s="164" t="str">
        <f ca="1">IFERROR(__xludf.DUMMYFUNCTION("""COMPUTED_VALUE"""),"₱ -")</f>
        <v>₱ -</v>
      </c>
      <c r="F3598" s="164" t="str">
        <f ca="1">IFERROR(__xludf.DUMMYFUNCTION("""COMPUTED_VALUE"""),"HVSPLIT-102-24-05-01-297")</f>
        <v>HVSPLIT-102-24-05-01-297</v>
      </c>
      <c r="G3598" s="164"/>
      <c r="H3598" s="164" t="str">
        <f ca="1">IFERROR(__xludf.DUMMYFUNCTION("""COMPUTED_VALUE"""),"JOCELYN A. CHUA")</f>
        <v>JOCELYN A. CHUA</v>
      </c>
      <c r="I3598" s="164" t="str">
        <f ca="1">IFERROR(__xludf.DUMMYFUNCTION("""COMPUTED_VALUE"""),"REGIONAL INFORMATION OFFICER")</f>
        <v>REGIONAL INFORMATION OFFICER</v>
      </c>
      <c r="J3598" s="164" t="str">
        <f ca="1">IFERROR(__xludf.DUMMYFUNCTION("""COMPUTED_VALUE"""),"2023-001")</f>
        <v>2023-001</v>
      </c>
      <c r="K3598" s="164" t="str">
        <f ca="1">IFERROR(__xludf.DUMMYFUNCTION("""COMPUTED_VALUE"""),"JOCELYN A. CHUA")</f>
        <v>JOCELYN A. CHUA</v>
      </c>
      <c r="L3598" s="164" t="str">
        <f ca="1">IFERROR(__xludf.DUMMYFUNCTION("""COMPUTED_VALUE"""),"DAR REGIONAL OFFICEX")</f>
        <v>DAR REGIONAL OFFICEX</v>
      </c>
      <c r="M3598" s="164" t="str">
        <f ca="1">IFERROR(__xludf.DUMMYFUNCTION("""COMPUTED_VALUE"""),"SERVICEABLE")</f>
        <v>SERVICEABLE</v>
      </c>
      <c r="N3598" s="164"/>
    </row>
    <row r="3599" spans="1:14" ht="13.2" hidden="1">
      <c r="A3599" s="164" t="str">
        <f ca="1">IFERROR(__xludf.DUMMYFUNCTION("""COMPUTED_VALUE"""),"Region X")</f>
        <v>Region X</v>
      </c>
      <c r="B3599" s="164" t="str">
        <f ca="1">IFERROR(__xludf.DUMMYFUNCTION("""COMPUTED_VALUE"""),"REGIONAL OFFICE")</f>
        <v>REGIONAL OFFICE</v>
      </c>
      <c r="C3599" s="164" t="str">
        <f ca="1">IFERROR(__xludf.DUMMYFUNCTION("""COMPUTED_VALUE"""),"Desktop Computer – (MSI PRO DP180)")</f>
        <v>Desktop Computer – (MSI PRO DP180)</v>
      </c>
      <c r="D3599" s="164" t="str">
        <f ca="1">IFERROR(__xludf.DUMMYFUNCTION("""COMPUTED_VALUE"""),"₱ 49,300.00")</f>
        <v>₱ 49,300.00</v>
      </c>
      <c r="E3599" s="164" t="str">
        <f ca="1">IFERROR(__xludf.DUMMYFUNCTION("""COMPUTED_VALUE"""),"₱ -")</f>
        <v>₱ -</v>
      </c>
      <c r="F3599" s="164" t="str">
        <f ca="1">IFERROR(__xludf.DUMMYFUNCTION("""COMPUTED_VALUE"""),"HVSPLIT-102-24-05-01-298")</f>
        <v>HVSPLIT-102-24-05-01-298</v>
      </c>
      <c r="G3599" s="164"/>
      <c r="H3599" s="164" t="str">
        <f ca="1">IFERROR(__xludf.DUMMYFUNCTION("""COMPUTED_VALUE"""),"JOCELYN A. CHUA")</f>
        <v>JOCELYN A. CHUA</v>
      </c>
      <c r="I3599" s="164" t="str">
        <f ca="1">IFERROR(__xludf.DUMMYFUNCTION("""COMPUTED_VALUE"""),"REGIONAL INFORMATION OFFICER")</f>
        <v>REGIONAL INFORMATION OFFICER</v>
      </c>
      <c r="J3599" s="164" t="str">
        <f ca="1">IFERROR(__xludf.DUMMYFUNCTION("""COMPUTED_VALUE"""),"2023-001")</f>
        <v>2023-001</v>
      </c>
      <c r="K3599" s="164" t="str">
        <f ca="1">IFERROR(__xludf.DUMMYFUNCTION("""COMPUTED_VALUE"""),"JOCELYN A. CHUA")</f>
        <v>JOCELYN A. CHUA</v>
      </c>
      <c r="L3599" s="164" t="str">
        <f ca="1">IFERROR(__xludf.DUMMYFUNCTION("""COMPUTED_VALUE"""),"DAR REGIONAL OFFICEX")</f>
        <v>DAR REGIONAL OFFICEX</v>
      </c>
      <c r="M3599" s="164" t="str">
        <f ca="1">IFERROR(__xludf.DUMMYFUNCTION("""COMPUTED_VALUE"""),"SERVICEABLE")</f>
        <v>SERVICEABLE</v>
      </c>
      <c r="N3599" s="164"/>
    </row>
    <row r="3600" spans="1:14" ht="13.2" hidden="1">
      <c r="A3600" s="164" t="str">
        <f ca="1">IFERROR(__xludf.DUMMYFUNCTION("""COMPUTED_VALUE"""),"Region X")</f>
        <v>Region X</v>
      </c>
      <c r="B3600" s="164" t="str">
        <f ca="1">IFERROR(__xludf.DUMMYFUNCTION("""COMPUTED_VALUE"""),"REGIONAL OFFICE")</f>
        <v>REGIONAL OFFICE</v>
      </c>
      <c r="C3600" s="164" t="str">
        <f ca="1">IFERROR(__xludf.DUMMYFUNCTION("""COMPUTED_VALUE"""),"Desktop Computer – (MSI PRO DP180)")</f>
        <v>Desktop Computer – (MSI PRO DP180)</v>
      </c>
      <c r="D3600" s="164" t="str">
        <f ca="1">IFERROR(__xludf.DUMMYFUNCTION("""COMPUTED_VALUE"""),"₱ 49,300.00")</f>
        <v>₱ 49,300.00</v>
      </c>
      <c r="E3600" s="164" t="str">
        <f ca="1">IFERROR(__xludf.DUMMYFUNCTION("""COMPUTED_VALUE"""),"₱ -")</f>
        <v>₱ -</v>
      </c>
      <c r="F3600" s="164" t="str">
        <f ca="1">IFERROR(__xludf.DUMMYFUNCTION("""COMPUTED_VALUE"""),"HVSPLIT-102-24-05-01-299")</f>
        <v>HVSPLIT-102-24-05-01-299</v>
      </c>
      <c r="G3600" s="164"/>
      <c r="H3600" s="164" t="str">
        <f ca="1">IFERROR(__xludf.DUMMYFUNCTION("""COMPUTED_VALUE"""),"JOCELYN A. CHUA")</f>
        <v>JOCELYN A. CHUA</v>
      </c>
      <c r="I3600" s="164" t="str">
        <f ca="1">IFERROR(__xludf.DUMMYFUNCTION("""COMPUTED_VALUE"""),"REGIONAL INFORMATION OFFICER")</f>
        <v>REGIONAL INFORMATION OFFICER</v>
      </c>
      <c r="J3600" s="164" t="str">
        <f ca="1">IFERROR(__xludf.DUMMYFUNCTION("""COMPUTED_VALUE"""),"2023-001")</f>
        <v>2023-001</v>
      </c>
      <c r="K3600" s="164" t="str">
        <f ca="1">IFERROR(__xludf.DUMMYFUNCTION("""COMPUTED_VALUE"""),"JOCELYN A. CHUA")</f>
        <v>JOCELYN A. CHUA</v>
      </c>
      <c r="L3600" s="164" t="str">
        <f ca="1">IFERROR(__xludf.DUMMYFUNCTION("""COMPUTED_VALUE"""),"DAR REGIONAL OFFICEX")</f>
        <v>DAR REGIONAL OFFICEX</v>
      </c>
      <c r="M3600" s="164" t="str">
        <f ca="1">IFERROR(__xludf.DUMMYFUNCTION("""COMPUTED_VALUE"""),"SERVICEABLE")</f>
        <v>SERVICEABLE</v>
      </c>
      <c r="N3600" s="164"/>
    </row>
    <row r="3601" spans="1:14" ht="13.2" hidden="1">
      <c r="A3601" s="164" t="str">
        <f ca="1">IFERROR(__xludf.DUMMYFUNCTION("""COMPUTED_VALUE"""),"Region X")</f>
        <v>Region X</v>
      </c>
      <c r="B3601" s="164" t="str">
        <f ca="1">IFERROR(__xludf.DUMMYFUNCTION("""COMPUTED_VALUE"""),"REGIONAL OFFICE")</f>
        <v>REGIONAL OFFICE</v>
      </c>
      <c r="C3601" s="164" t="str">
        <f ca="1">IFERROR(__xludf.DUMMYFUNCTION("""COMPUTED_VALUE"""),"Desktop Computer – (MSI PRO DP180)")</f>
        <v>Desktop Computer – (MSI PRO DP180)</v>
      </c>
      <c r="D3601" s="164" t="str">
        <f ca="1">IFERROR(__xludf.DUMMYFUNCTION("""COMPUTED_VALUE"""),"₱ 49,300.00")</f>
        <v>₱ 49,300.00</v>
      </c>
      <c r="E3601" s="164" t="str">
        <f ca="1">IFERROR(__xludf.DUMMYFUNCTION("""COMPUTED_VALUE"""),"₱ -")</f>
        <v>₱ -</v>
      </c>
      <c r="F3601" s="164" t="str">
        <f ca="1">IFERROR(__xludf.DUMMYFUNCTION("""COMPUTED_VALUE"""),"HVSPLIT-102-24-05-01-300")</f>
        <v>HVSPLIT-102-24-05-01-300</v>
      </c>
      <c r="G3601" s="164"/>
      <c r="H3601" s="164" t="str">
        <f ca="1">IFERROR(__xludf.DUMMYFUNCTION("""COMPUTED_VALUE"""),"JOCELYN A. CHUA")</f>
        <v>JOCELYN A. CHUA</v>
      </c>
      <c r="I3601" s="164" t="str">
        <f ca="1">IFERROR(__xludf.DUMMYFUNCTION("""COMPUTED_VALUE"""),"REGIONAL INFORMATION OFFICER")</f>
        <v>REGIONAL INFORMATION OFFICER</v>
      </c>
      <c r="J3601" s="164" t="str">
        <f ca="1">IFERROR(__xludf.DUMMYFUNCTION("""COMPUTED_VALUE"""),"2023-001")</f>
        <v>2023-001</v>
      </c>
      <c r="K3601" s="164" t="str">
        <f ca="1">IFERROR(__xludf.DUMMYFUNCTION("""COMPUTED_VALUE"""),"JOCELYN A. CHUA")</f>
        <v>JOCELYN A. CHUA</v>
      </c>
      <c r="L3601" s="164" t="str">
        <f ca="1">IFERROR(__xludf.DUMMYFUNCTION("""COMPUTED_VALUE"""),"DAR REGIONAL OFFICEX")</f>
        <v>DAR REGIONAL OFFICEX</v>
      </c>
      <c r="M3601" s="164" t="str">
        <f ca="1">IFERROR(__xludf.DUMMYFUNCTION("""COMPUTED_VALUE"""),"SERVICEABLE")</f>
        <v>SERVICEABLE</v>
      </c>
      <c r="N3601" s="164"/>
    </row>
    <row r="3602" spans="1:14" ht="13.2" hidden="1">
      <c r="A3602" s="164" t="str">
        <f ca="1">IFERROR(__xludf.DUMMYFUNCTION("""COMPUTED_VALUE"""),"Region X")</f>
        <v>Region X</v>
      </c>
      <c r="B3602" s="164" t="str">
        <f ca="1">IFERROR(__xludf.DUMMYFUNCTION("""COMPUTED_VALUE"""),"REGIONAL OFFICE")</f>
        <v>REGIONAL OFFICE</v>
      </c>
      <c r="C3602" s="164" t="str">
        <f ca="1">IFERROR(__xludf.DUMMYFUNCTION("""COMPUTED_VALUE"""),"Desktop Computer – (MSI PRO DP180)")</f>
        <v>Desktop Computer – (MSI PRO DP180)</v>
      </c>
      <c r="D3602" s="164" t="str">
        <f ca="1">IFERROR(__xludf.DUMMYFUNCTION("""COMPUTED_VALUE"""),"₱ 49,300.00")</f>
        <v>₱ 49,300.00</v>
      </c>
      <c r="E3602" s="164" t="str">
        <f ca="1">IFERROR(__xludf.DUMMYFUNCTION("""COMPUTED_VALUE"""),"₱ -")</f>
        <v>₱ -</v>
      </c>
      <c r="F3602" s="164" t="str">
        <f ca="1">IFERROR(__xludf.DUMMYFUNCTION("""COMPUTED_VALUE"""),"HVSPLIT-102-24-05-01-301")</f>
        <v>HVSPLIT-102-24-05-01-301</v>
      </c>
      <c r="G3602" s="164"/>
      <c r="H3602" s="164" t="str">
        <f ca="1">IFERROR(__xludf.DUMMYFUNCTION("""COMPUTED_VALUE"""),"JOCELYN A. CHUA")</f>
        <v>JOCELYN A. CHUA</v>
      </c>
      <c r="I3602" s="164" t="str">
        <f ca="1">IFERROR(__xludf.DUMMYFUNCTION("""COMPUTED_VALUE"""),"REGIONAL INFORMATION OFFICER")</f>
        <v>REGIONAL INFORMATION OFFICER</v>
      </c>
      <c r="J3602" s="164" t="str">
        <f ca="1">IFERROR(__xludf.DUMMYFUNCTION("""COMPUTED_VALUE"""),"2023-001")</f>
        <v>2023-001</v>
      </c>
      <c r="K3602" s="164" t="str">
        <f ca="1">IFERROR(__xludf.DUMMYFUNCTION("""COMPUTED_VALUE"""),"JOCELYN A. CHUA")</f>
        <v>JOCELYN A. CHUA</v>
      </c>
      <c r="L3602" s="164" t="str">
        <f ca="1">IFERROR(__xludf.DUMMYFUNCTION("""COMPUTED_VALUE"""),"DAR REGIONAL OFFICEX")</f>
        <v>DAR REGIONAL OFFICEX</v>
      </c>
      <c r="M3602" s="164" t="str">
        <f ca="1">IFERROR(__xludf.DUMMYFUNCTION("""COMPUTED_VALUE"""),"SERVICEABLE")</f>
        <v>SERVICEABLE</v>
      </c>
      <c r="N3602" s="164"/>
    </row>
    <row r="3603" spans="1:14" ht="13.2" hidden="1">
      <c r="A3603" s="164" t="str">
        <f ca="1">IFERROR(__xludf.DUMMYFUNCTION("""COMPUTED_VALUE"""),"Region X")</f>
        <v>Region X</v>
      </c>
      <c r="B3603" s="164" t="str">
        <f ca="1">IFERROR(__xludf.DUMMYFUNCTION("""COMPUTED_VALUE"""),"REGIONAL OFFICE")</f>
        <v>REGIONAL OFFICE</v>
      </c>
      <c r="C3603" s="164" t="str">
        <f ca="1">IFERROR(__xludf.DUMMYFUNCTION("""COMPUTED_VALUE"""),"Desktop Computer – (MSI PRO DP180)")</f>
        <v>Desktop Computer – (MSI PRO DP180)</v>
      </c>
      <c r="D3603" s="164" t="str">
        <f ca="1">IFERROR(__xludf.DUMMYFUNCTION("""COMPUTED_VALUE"""),"₱ 49,300.00")</f>
        <v>₱ 49,300.00</v>
      </c>
      <c r="E3603" s="164" t="str">
        <f ca="1">IFERROR(__xludf.DUMMYFUNCTION("""COMPUTED_VALUE"""),"₱ -")</f>
        <v>₱ -</v>
      </c>
      <c r="F3603" s="164" t="str">
        <f ca="1">IFERROR(__xludf.DUMMYFUNCTION("""COMPUTED_VALUE"""),"HVSPLIT-102-24-05-01-302")</f>
        <v>HVSPLIT-102-24-05-01-302</v>
      </c>
      <c r="G3603" s="164"/>
      <c r="H3603" s="164" t="str">
        <f ca="1">IFERROR(__xludf.DUMMYFUNCTION("""COMPUTED_VALUE"""),"JOCELYN A. CHUA")</f>
        <v>JOCELYN A. CHUA</v>
      </c>
      <c r="I3603" s="164" t="str">
        <f ca="1">IFERROR(__xludf.DUMMYFUNCTION("""COMPUTED_VALUE"""),"REGIONAL INFORMATION OFFICER")</f>
        <v>REGIONAL INFORMATION OFFICER</v>
      </c>
      <c r="J3603" s="164" t="str">
        <f ca="1">IFERROR(__xludf.DUMMYFUNCTION("""COMPUTED_VALUE"""),"2023-001")</f>
        <v>2023-001</v>
      </c>
      <c r="K3603" s="164" t="str">
        <f ca="1">IFERROR(__xludf.DUMMYFUNCTION("""COMPUTED_VALUE"""),"JOCELYN A. CHUA")</f>
        <v>JOCELYN A. CHUA</v>
      </c>
      <c r="L3603" s="164" t="str">
        <f ca="1">IFERROR(__xludf.DUMMYFUNCTION("""COMPUTED_VALUE"""),"DAR REGIONAL OFFICEX")</f>
        <v>DAR REGIONAL OFFICEX</v>
      </c>
      <c r="M3603" s="164" t="str">
        <f ca="1">IFERROR(__xludf.DUMMYFUNCTION("""COMPUTED_VALUE"""),"SERVICEABLE")</f>
        <v>SERVICEABLE</v>
      </c>
      <c r="N3603" s="164"/>
    </row>
    <row r="3604" spans="1:14" ht="13.2" hidden="1">
      <c r="A3604" s="164" t="str">
        <f ca="1">IFERROR(__xludf.DUMMYFUNCTION("""COMPUTED_VALUE"""),"Region X")</f>
        <v>Region X</v>
      </c>
      <c r="B3604" s="164" t="str">
        <f ca="1">IFERROR(__xludf.DUMMYFUNCTION("""COMPUTED_VALUE"""),"REGIONAL OFFICE")</f>
        <v>REGIONAL OFFICE</v>
      </c>
      <c r="C3604" s="164" t="str">
        <f ca="1">IFERROR(__xludf.DUMMYFUNCTION("""COMPUTED_VALUE"""),"Desktop Computer – (MSI PRO DP180)")</f>
        <v>Desktop Computer – (MSI PRO DP180)</v>
      </c>
      <c r="D3604" s="164" t="str">
        <f ca="1">IFERROR(__xludf.DUMMYFUNCTION("""COMPUTED_VALUE"""),"₱ 49,300.00")</f>
        <v>₱ 49,300.00</v>
      </c>
      <c r="E3604" s="164" t="str">
        <f ca="1">IFERROR(__xludf.DUMMYFUNCTION("""COMPUTED_VALUE"""),"₱ -")</f>
        <v>₱ -</v>
      </c>
      <c r="F3604" s="164" t="str">
        <f ca="1">IFERROR(__xludf.DUMMYFUNCTION("""COMPUTED_VALUE"""),"HVSPLIT-102-24-05-01-303")</f>
        <v>HVSPLIT-102-24-05-01-303</v>
      </c>
      <c r="G3604" s="164"/>
      <c r="H3604" s="164" t="str">
        <f ca="1">IFERROR(__xludf.DUMMYFUNCTION("""COMPUTED_VALUE"""),"JOCELYN A. CHUA")</f>
        <v>JOCELYN A. CHUA</v>
      </c>
      <c r="I3604" s="164" t="str">
        <f ca="1">IFERROR(__xludf.DUMMYFUNCTION("""COMPUTED_VALUE"""),"REGIONAL INFORMATION OFFICER")</f>
        <v>REGIONAL INFORMATION OFFICER</v>
      </c>
      <c r="J3604" s="164" t="str">
        <f ca="1">IFERROR(__xludf.DUMMYFUNCTION("""COMPUTED_VALUE"""),"2023-001")</f>
        <v>2023-001</v>
      </c>
      <c r="K3604" s="164" t="str">
        <f ca="1">IFERROR(__xludf.DUMMYFUNCTION("""COMPUTED_VALUE"""),"JOCELYN A. CHUA")</f>
        <v>JOCELYN A. CHUA</v>
      </c>
      <c r="L3604" s="164" t="str">
        <f ca="1">IFERROR(__xludf.DUMMYFUNCTION("""COMPUTED_VALUE"""),"DAR REGIONAL OFFICEX")</f>
        <v>DAR REGIONAL OFFICEX</v>
      </c>
      <c r="M3604" s="164" t="str">
        <f ca="1">IFERROR(__xludf.DUMMYFUNCTION("""COMPUTED_VALUE"""),"SERVICEABLE")</f>
        <v>SERVICEABLE</v>
      </c>
      <c r="N3604" s="164"/>
    </row>
    <row r="3605" spans="1:14" ht="13.2" hidden="1">
      <c r="A3605" s="164" t="str">
        <f ca="1">IFERROR(__xludf.DUMMYFUNCTION("""COMPUTED_VALUE"""),"Region X")</f>
        <v>Region X</v>
      </c>
      <c r="B3605" s="164" t="str">
        <f ca="1">IFERROR(__xludf.DUMMYFUNCTION("""COMPUTED_VALUE"""),"REGIONAL OFFICE")</f>
        <v>REGIONAL OFFICE</v>
      </c>
      <c r="C3605" s="164" t="str">
        <f ca="1">IFERROR(__xludf.DUMMYFUNCTION("""COMPUTED_VALUE"""),"Desktop Computer – (MSI PRO DP180)")</f>
        <v>Desktop Computer – (MSI PRO DP180)</v>
      </c>
      <c r="D3605" s="164" t="str">
        <f ca="1">IFERROR(__xludf.DUMMYFUNCTION("""COMPUTED_VALUE"""),"₱ 49,300.00")</f>
        <v>₱ 49,300.00</v>
      </c>
      <c r="E3605" s="164" t="str">
        <f ca="1">IFERROR(__xludf.DUMMYFUNCTION("""COMPUTED_VALUE"""),"₱ -")</f>
        <v>₱ -</v>
      </c>
      <c r="F3605" s="164" t="str">
        <f ca="1">IFERROR(__xludf.DUMMYFUNCTION("""COMPUTED_VALUE"""),"HVSPLIT-102-24-05-01-304")</f>
        <v>HVSPLIT-102-24-05-01-304</v>
      </c>
      <c r="G3605" s="164"/>
      <c r="H3605" s="164" t="str">
        <f ca="1">IFERROR(__xludf.DUMMYFUNCTION("""COMPUTED_VALUE"""),"JOCELYN A. CHUA")</f>
        <v>JOCELYN A. CHUA</v>
      </c>
      <c r="I3605" s="164" t="str">
        <f ca="1">IFERROR(__xludf.DUMMYFUNCTION("""COMPUTED_VALUE"""),"REGIONAL INFORMATION OFFICER")</f>
        <v>REGIONAL INFORMATION OFFICER</v>
      </c>
      <c r="J3605" s="164" t="str">
        <f ca="1">IFERROR(__xludf.DUMMYFUNCTION("""COMPUTED_VALUE"""),"2023-001")</f>
        <v>2023-001</v>
      </c>
      <c r="K3605" s="164" t="str">
        <f ca="1">IFERROR(__xludf.DUMMYFUNCTION("""COMPUTED_VALUE"""),"JOCELYN A. CHUA")</f>
        <v>JOCELYN A. CHUA</v>
      </c>
      <c r="L3605" s="164" t="str">
        <f ca="1">IFERROR(__xludf.DUMMYFUNCTION("""COMPUTED_VALUE"""),"DAR REGIONAL OFFICEX")</f>
        <v>DAR REGIONAL OFFICEX</v>
      </c>
      <c r="M3605" s="164" t="str">
        <f ca="1">IFERROR(__xludf.DUMMYFUNCTION("""COMPUTED_VALUE"""),"SERVICEABLE")</f>
        <v>SERVICEABLE</v>
      </c>
      <c r="N3605" s="164"/>
    </row>
    <row r="3606" spans="1:14" ht="13.2" hidden="1">
      <c r="A3606" s="164" t="str">
        <f ca="1">IFERROR(__xludf.DUMMYFUNCTION("""COMPUTED_VALUE"""),"Region X")</f>
        <v>Region X</v>
      </c>
      <c r="B3606" s="164" t="str">
        <f ca="1">IFERROR(__xludf.DUMMYFUNCTION("""COMPUTED_VALUE"""),"REGIONAL OFFICE")</f>
        <v>REGIONAL OFFICE</v>
      </c>
      <c r="C3606" s="164" t="str">
        <f ca="1">IFERROR(__xludf.DUMMYFUNCTION("""COMPUTED_VALUE"""),"Desktop Computer – (MSI PRO DP180)")</f>
        <v>Desktop Computer – (MSI PRO DP180)</v>
      </c>
      <c r="D3606" s="164" t="str">
        <f ca="1">IFERROR(__xludf.DUMMYFUNCTION("""COMPUTED_VALUE"""),"₱ 49,300.00")</f>
        <v>₱ 49,300.00</v>
      </c>
      <c r="E3606" s="164" t="str">
        <f ca="1">IFERROR(__xludf.DUMMYFUNCTION("""COMPUTED_VALUE"""),"₱ -")</f>
        <v>₱ -</v>
      </c>
      <c r="F3606" s="164" t="str">
        <f ca="1">IFERROR(__xludf.DUMMYFUNCTION("""COMPUTED_VALUE"""),"HVSPLIT-102-24-05-01-305")</f>
        <v>HVSPLIT-102-24-05-01-305</v>
      </c>
      <c r="G3606" s="164"/>
      <c r="H3606" s="164" t="str">
        <f ca="1">IFERROR(__xludf.DUMMYFUNCTION("""COMPUTED_VALUE"""),"JOCELYN A. CHUA")</f>
        <v>JOCELYN A. CHUA</v>
      </c>
      <c r="I3606" s="164" t="str">
        <f ca="1">IFERROR(__xludf.DUMMYFUNCTION("""COMPUTED_VALUE"""),"REGIONAL INFORMATION OFFICER")</f>
        <v>REGIONAL INFORMATION OFFICER</v>
      </c>
      <c r="J3606" s="164" t="str">
        <f ca="1">IFERROR(__xludf.DUMMYFUNCTION("""COMPUTED_VALUE"""),"2023-001")</f>
        <v>2023-001</v>
      </c>
      <c r="K3606" s="164" t="str">
        <f ca="1">IFERROR(__xludf.DUMMYFUNCTION("""COMPUTED_VALUE"""),"JOCELYN A. CHUA")</f>
        <v>JOCELYN A. CHUA</v>
      </c>
      <c r="L3606" s="164" t="str">
        <f ca="1">IFERROR(__xludf.DUMMYFUNCTION("""COMPUTED_VALUE"""),"DAR REGIONAL OFFICEX")</f>
        <v>DAR REGIONAL OFFICEX</v>
      </c>
      <c r="M3606" s="164" t="str">
        <f ca="1">IFERROR(__xludf.DUMMYFUNCTION("""COMPUTED_VALUE"""),"SERVICEABLE")</f>
        <v>SERVICEABLE</v>
      </c>
      <c r="N3606" s="164"/>
    </row>
    <row r="3607" spans="1:14" ht="13.2" hidden="1">
      <c r="A3607" s="164" t="str">
        <f ca="1">IFERROR(__xludf.DUMMYFUNCTION("""COMPUTED_VALUE"""),"Region X")</f>
        <v>Region X</v>
      </c>
      <c r="B3607" s="164" t="str">
        <f ca="1">IFERROR(__xludf.DUMMYFUNCTION("""COMPUTED_VALUE"""),"REGIONAL OFFICE")</f>
        <v>REGIONAL OFFICE</v>
      </c>
      <c r="C3607" s="164" t="str">
        <f ca="1">IFERROR(__xludf.DUMMYFUNCTION("""COMPUTED_VALUE"""),"Desktop Computer – (MSI PRO DP180)")</f>
        <v>Desktop Computer – (MSI PRO DP180)</v>
      </c>
      <c r="D3607" s="164" t="str">
        <f ca="1">IFERROR(__xludf.DUMMYFUNCTION("""COMPUTED_VALUE"""),"₱ 49,300.00")</f>
        <v>₱ 49,300.00</v>
      </c>
      <c r="E3607" s="164" t="str">
        <f ca="1">IFERROR(__xludf.DUMMYFUNCTION("""COMPUTED_VALUE"""),"₱ -")</f>
        <v>₱ -</v>
      </c>
      <c r="F3607" s="164" t="str">
        <f ca="1">IFERROR(__xludf.DUMMYFUNCTION("""COMPUTED_VALUE"""),"HVSPLIT-102-24-05-01-306")</f>
        <v>HVSPLIT-102-24-05-01-306</v>
      </c>
      <c r="G3607" s="164"/>
      <c r="H3607" s="164" t="str">
        <f ca="1">IFERROR(__xludf.DUMMYFUNCTION("""COMPUTED_VALUE"""),"JOCELYN A. CHUA")</f>
        <v>JOCELYN A. CHUA</v>
      </c>
      <c r="I3607" s="164" t="str">
        <f ca="1">IFERROR(__xludf.DUMMYFUNCTION("""COMPUTED_VALUE"""),"REGIONAL INFORMATION OFFICER")</f>
        <v>REGIONAL INFORMATION OFFICER</v>
      </c>
      <c r="J3607" s="164" t="str">
        <f ca="1">IFERROR(__xludf.DUMMYFUNCTION("""COMPUTED_VALUE"""),"2023-001")</f>
        <v>2023-001</v>
      </c>
      <c r="K3607" s="164" t="str">
        <f ca="1">IFERROR(__xludf.DUMMYFUNCTION("""COMPUTED_VALUE"""),"JOCELYN A. CHUA")</f>
        <v>JOCELYN A. CHUA</v>
      </c>
      <c r="L3607" s="164" t="str">
        <f ca="1">IFERROR(__xludf.DUMMYFUNCTION("""COMPUTED_VALUE"""),"DAR REGIONAL OFFICEX")</f>
        <v>DAR REGIONAL OFFICEX</v>
      </c>
      <c r="M3607" s="164" t="str">
        <f ca="1">IFERROR(__xludf.DUMMYFUNCTION("""COMPUTED_VALUE"""),"SERVICEABLE")</f>
        <v>SERVICEABLE</v>
      </c>
      <c r="N3607" s="164"/>
    </row>
    <row r="3608" spans="1:14" ht="13.2" hidden="1">
      <c r="A3608" s="164" t="str">
        <f ca="1">IFERROR(__xludf.DUMMYFUNCTION("""COMPUTED_VALUE"""),"Region X")</f>
        <v>Region X</v>
      </c>
      <c r="B3608" s="164" t="str">
        <f ca="1">IFERROR(__xludf.DUMMYFUNCTION("""COMPUTED_VALUE"""),"REGIONAL OFFICE")</f>
        <v>REGIONAL OFFICE</v>
      </c>
      <c r="C3608" s="164" t="str">
        <f ca="1">IFERROR(__xludf.DUMMYFUNCTION("""COMPUTED_VALUE"""),"Desktop Computer – (MSI PRO DP180)")</f>
        <v>Desktop Computer – (MSI PRO DP180)</v>
      </c>
      <c r="D3608" s="164" t="str">
        <f ca="1">IFERROR(__xludf.DUMMYFUNCTION("""COMPUTED_VALUE"""),"₱ 49,300.00")</f>
        <v>₱ 49,300.00</v>
      </c>
      <c r="E3608" s="164" t="str">
        <f ca="1">IFERROR(__xludf.DUMMYFUNCTION("""COMPUTED_VALUE"""),"₱ -")</f>
        <v>₱ -</v>
      </c>
      <c r="F3608" s="164" t="str">
        <f ca="1">IFERROR(__xludf.DUMMYFUNCTION("""COMPUTED_VALUE"""),"HVSPLIT-102-24-05-01-307")</f>
        <v>HVSPLIT-102-24-05-01-307</v>
      </c>
      <c r="G3608" s="164"/>
      <c r="H3608" s="164" t="str">
        <f ca="1">IFERROR(__xludf.DUMMYFUNCTION("""COMPUTED_VALUE"""),"JOCELYN A. CHUA")</f>
        <v>JOCELYN A. CHUA</v>
      </c>
      <c r="I3608" s="164" t="str">
        <f ca="1">IFERROR(__xludf.DUMMYFUNCTION("""COMPUTED_VALUE"""),"REGIONAL INFORMATION OFFICER")</f>
        <v>REGIONAL INFORMATION OFFICER</v>
      </c>
      <c r="J3608" s="164" t="str">
        <f ca="1">IFERROR(__xludf.DUMMYFUNCTION("""COMPUTED_VALUE"""),"2023-001")</f>
        <v>2023-001</v>
      </c>
      <c r="K3608" s="164" t="str">
        <f ca="1">IFERROR(__xludf.DUMMYFUNCTION("""COMPUTED_VALUE"""),"JOCELYN A. CHUA")</f>
        <v>JOCELYN A. CHUA</v>
      </c>
      <c r="L3608" s="164" t="str">
        <f ca="1">IFERROR(__xludf.DUMMYFUNCTION("""COMPUTED_VALUE"""),"DAR REGIONAL OFFICEX")</f>
        <v>DAR REGIONAL OFFICEX</v>
      </c>
      <c r="M3608" s="164" t="str">
        <f ca="1">IFERROR(__xludf.DUMMYFUNCTION("""COMPUTED_VALUE"""),"SERVICEABLE")</f>
        <v>SERVICEABLE</v>
      </c>
      <c r="N3608" s="164"/>
    </row>
    <row r="3609" spans="1:14" ht="13.2" hidden="1">
      <c r="A3609" s="164" t="str">
        <f ca="1">IFERROR(__xludf.DUMMYFUNCTION("""COMPUTED_VALUE"""),"Region X")</f>
        <v>Region X</v>
      </c>
      <c r="B3609" s="164" t="str">
        <f ca="1">IFERROR(__xludf.DUMMYFUNCTION("""COMPUTED_VALUE"""),"REGIONAL OFFICE")</f>
        <v>REGIONAL OFFICE</v>
      </c>
      <c r="C3609" s="164" t="str">
        <f ca="1">IFERROR(__xludf.DUMMYFUNCTION("""COMPUTED_VALUE"""),"Desktop Computer – (MSI PRO DP180)")</f>
        <v>Desktop Computer – (MSI PRO DP180)</v>
      </c>
      <c r="D3609" s="164" t="str">
        <f ca="1">IFERROR(__xludf.DUMMYFUNCTION("""COMPUTED_VALUE"""),"₱ 49,300.00")</f>
        <v>₱ 49,300.00</v>
      </c>
      <c r="E3609" s="164" t="str">
        <f ca="1">IFERROR(__xludf.DUMMYFUNCTION("""COMPUTED_VALUE"""),"₱ -")</f>
        <v>₱ -</v>
      </c>
      <c r="F3609" s="164" t="str">
        <f ca="1">IFERROR(__xludf.DUMMYFUNCTION("""COMPUTED_VALUE"""),"HVSPLIT-102-24-05-01-308")</f>
        <v>HVSPLIT-102-24-05-01-308</v>
      </c>
      <c r="G3609" s="164"/>
      <c r="H3609" s="164" t="str">
        <f ca="1">IFERROR(__xludf.DUMMYFUNCTION("""COMPUTED_VALUE"""),"JOCELYN A. CHUA")</f>
        <v>JOCELYN A. CHUA</v>
      </c>
      <c r="I3609" s="164" t="str">
        <f ca="1">IFERROR(__xludf.DUMMYFUNCTION("""COMPUTED_VALUE"""),"REGIONAL INFORMATION OFFICER")</f>
        <v>REGIONAL INFORMATION OFFICER</v>
      </c>
      <c r="J3609" s="164" t="str">
        <f ca="1">IFERROR(__xludf.DUMMYFUNCTION("""COMPUTED_VALUE"""),"2023-001")</f>
        <v>2023-001</v>
      </c>
      <c r="K3609" s="164" t="str">
        <f ca="1">IFERROR(__xludf.DUMMYFUNCTION("""COMPUTED_VALUE"""),"JOCELYN A. CHUA")</f>
        <v>JOCELYN A. CHUA</v>
      </c>
      <c r="L3609" s="164" t="str">
        <f ca="1">IFERROR(__xludf.DUMMYFUNCTION("""COMPUTED_VALUE"""),"DAR REGIONAL OFFICEX")</f>
        <v>DAR REGIONAL OFFICEX</v>
      </c>
      <c r="M3609" s="164" t="str">
        <f ca="1">IFERROR(__xludf.DUMMYFUNCTION("""COMPUTED_VALUE"""),"SERVICEABLE")</f>
        <v>SERVICEABLE</v>
      </c>
      <c r="N3609" s="164"/>
    </row>
    <row r="3610" spans="1:14" ht="13.2" hidden="1">
      <c r="A3610" s="164" t="str">
        <f ca="1">IFERROR(__xludf.DUMMYFUNCTION("""COMPUTED_VALUE"""),"Region X")</f>
        <v>Region X</v>
      </c>
      <c r="B3610" s="164" t="str">
        <f ca="1">IFERROR(__xludf.DUMMYFUNCTION("""COMPUTED_VALUE"""),"REGIONAL OFFICE")</f>
        <v>REGIONAL OFFICE</v>
      </c>
      <c r="C3610" s="164" t="str">
        <f ca="1">IFERROR(__xludf.DUMMYFUNCTION("""COMPUTED_VALUE"""),"Desktop Computer – (MSI PRO DP180)")</f>
        <v>Desktop Computer – (MSI PRO DP180)</v>
      </c>
      <c r="D3610" s="164" t="str">
        <f ca="1">IFERROR(__xludf.DUMMYFUNCTION("""COMPUTED_VALUE"""),"₱ 49,300.00")</f>
        <v>₱ 49,300.00</v>
      </c>
      <c r="E3610" s="164" t="str">
        <f ca="1">IFERROR(__xludf.DUMMYFUNCTION("""COMPUTED_VALUE"""),"₱ -")</f>
        <v>₱ -</v>
      </c>
      <c r="F3610" s="164" t="str">
        <f ca="1">IFERROR(__xludf.DUMMYFUNCTION("""COMPUTED_VALUE"""),"HVSPLIT-102-24-05-01-309")</f>
        <v>HVSPLIT-102-24-05-01-309</v>
      </c>
      <c r="G3610" s="164"/>
      <c r="H3610" s="164" t="str">
        <f ca="1">IFERROR(__xludf.DUMMYFUNCTION("""COMPUTED_VALUE"""),"JOCELYN A. CHUA")</f>
        <v>JOCELYN A. CHUA</v>
      </c>
      <c r="I3610" s="164" t="str">
        <f ca="1">IFERROR(__xludf.DUMMYFUNCTION("""COMPUTED_VALUE"""),"REGIONAL INFORMATION OFFICER")</f>
        <v>REGIONAL INFORMATION OFFICER</v>
      </c>
      <c r="J3610" s="164" t="str">
        <f ca="1">IFERROR(__xludf.DUMMYFUNCTION("""COMPUTED_VALUE"""),"2023-001")</f>
        <v>2023-001</v>
      </c>
      <c r="K3610" s="164" t="str">
        <f ca="1">IFERROR(__xludf.DUMMYFUNCTION("""COMPUTED_VALUE"""),"JOCELYN A. CHUA")</f>
        <v>JOCELYN A. CHUA</v>
      </c>
      <c r="L3610" s="164" t="str">
        <f ca="1">IFERROR(__xludf.DUMMYFUNCTION("""COMPUTED_VALUE"""),"DAR REGIONAL OFFICEX")</f>
        <v>DAR REGIONAL OFFICEX</v>
      </c>
      <c r="M3610" s="164" t="str">
        <f ca="1">IFERROR(__xludf.DUMMYFUNCTION("""COMPUTED_VALUE"""),"SERVICEABLE")</f>
        <v>SERVICEABLE</v>
      </c>
      <c r="N3610" s="164"/>
    </row>
    <row r="3611" spans="1:14" ht="13.2" hidden="1">
      <c r="A3611" s="164" t="str">
        <f ca="1">IFERROR(__xludf.DUMMYFUNCTION("""COMPUTED_VALUE"""),"Region X")</f>
        <v>Region X</v>
      </c>
      <c r="B3611" s="164" t="str">
        <f ca="1">IFERROR(__xludf.DUMMYFUNCTION("""COMPUTED_VALUE"""),"REGIONAL OFFICE")</f>
        <v>REGIONAL OFFICE</v>
      </c>
      <c r="C3611" s="164" t="str">
        <f ca="1">IFERROR(__xludf.DUMMYFUNCTION("""COMPUTED_VALUE"""),"Desktop Computer – (MSI PRO DP180)")</f>
        <v>Desktop Computer – (MSI PRO DP180)</v>
      </c>
      <c r="D3611" s="164" t="str">
        <f ca="1">IFERROR(__xludf.DUMMYFUNCTION("""COMPUTED_VALUE"""),"₱ 49,300.00")</f>
        <v>₱ 49,300.00</v>
      </c>
      <c r="E3611" s="164" t="str">
        <f ca="1">IFERROR(__xludf.DUMMYFUNCTION("""COMPUTED_VALUE"""),"₱ -")</f>
        <v>₱ -</v>
      </c>
      <c r="F3611" s="164" t="str">
        <f ca="1">IFERROR(__xludf.DUMMYFUNCTION("""COMPUTED_VALUE"""),"HVSPLIT-102-24-05-01-310")</f>
        <v>HVSPLIT-102-24-05-01-310</v>
      </c>
      <c r="G3611" s="164"/>
      <c r="H3611" s="164" t="str">
        <f ca="1">IFERROR(__xludf.DUMMYFUNCTION("""COMPUTED_VALUE"""),"JOCELYN A. CHUA")</f>
        <v>JOCELYN A. CHUA</v>
      </c>
      <c r="I3611" s="164" t="str">
        <f ca="1">IFERROR(__xludf.DUMMYFUNCTION("""COMPUTED_VALUE"""),"REGIONAL INFORMATION OFFICER")</f>
        <v>REGIONAL INFORMATION OFFICER</v>
      </c>
      <c r="J3611" s="164" t="str">
        <f ca="1">IFERROR(__xludf.DUMMYFUNCTION("""COMPUTED_VALUE"""),"2023-001")</f>
        <v>2023-001</v>
      </c>
      <c r="K3611" s="164" t="str">
        <f ca="1">IFERROR(__xludf.DUMMYFUNCTION("""COMPUTED_VALUE"""),"JOCELYN A. CHUA")</f>
        <v>JOCELYN A. CHUA</v>
      </c>
      <c r="L3611" s="164" t="str">
        <f ca="1">IFERROR(__xludf.DUMMYFUNCTION("""COMPUTED_VALUE"""),"DAR REGIONAL OFFICEX")</f>
        <v>DAR REGIONAL OFFICEX</v>
      </c>
      <c r="M3611" s="164" t="str">
        <f ca="1">IFERROR(__xludf.DUMMYFUNCTION("""COMPUTED_VALUE"""),"SERVICEABLE")</f>
        <v>SERVICEABLE</v>
      </c>
      <c r="N3611" s="164"/>
    </row>
    <row r="3612" spans="1:14" ht="13.2" hidden="1">
      <c r="A3612" s="164" t="str">
        <f ca="1">IFERROR(__xludf.DUMMYFUNCTION("""COMPUTED_VALUE"""),"Region X")</f>
        <v>Region X</v>
      </c>
      <c r="B3612" s="164" t="str">
        <f ca="1">IFERROR(__xludf.DUMMYFUNCTION("""COMPUTED_VALUE"""),"REGIONAL OFFICE")</f>
        <v>REGIONAL OFFICE</v>
      </c>
      <c r="C3612" s="164" t="str">
        <f ca="1">IFERROR(__xludf.DUMMYFUNCTION("""COMPUTED_VALUE"""),"Double Cabin Pick-up Vehicles – Mitsubishi Strada")</f>
        <v>Double Cabin Pick-up Vehicles – Mitsubishi Strada</v>
      </c>
      <c r="D3612" s="164" t="str">
        <f ca="1">IFERROR(__xludf.DUMMYFUNCTION("""COMPUTED_VALUE"""),"₱ 1,752,400.00")</f>
        <v>₱ 1,752,400.00</v>
      </c>
      <c r="E3612" s="164"/>
      <c r="F3612" s="164" t="str">
        <f ca="1">IFERROR(__xludf.DUMMYFUNCTION("""COMPUTED_VALUE"""),"2023-06-01-10201SP116-01")</f>
        <v>2023-06-01-10201SP116-01</v>
      </c>
      <c r="G3612" s="164" t="str">
        <f ca="1">IFERROR(__xludf.DUMMYFUNCTION("""COMPUTED_VALUE"""),"SNC 1132")</f>
        <v>SNC 1132</v>
      </c>
      <c r="H3612" s="164" t="str">
        <f ca="1">IFERROR(__xludf.DUMMYFUNCTION("""COMPUTED_VALUE"""),"ZORAIDA 0. MACADINDANG, AL HADJ, JD")</f>
        <v>ZORAIDA 0. MACADINDANG, AL HADJ, JD</v>
      </c>
      <c r="I3612" s="164" t="str">
        <f ca="1">IFERROR(__xludf.DUMMYFUNCTION("""COMPUTED_VALUE"""),"PROJECT MANAGER/ REGIONAL DIRECTOR")</f>
        <v>PROJECT MANAGER/ REGIONAL DIRECTOR</v>
      </c>
      <c r="J3612" s="164" t="str">
        <f ca="1">IFERROR(__xludf.DUMMYFUNCTION("""COMPUTED_VALUE"""),"2023-001")</f>
        <v>2023-001</v>
      </c>
      <c r="K3612" s="164" t="str">
        <f ca="1">IFERROR(__xludf.DUMMYFUNCTION("""COMPUTED_VALUE"""),"ZORAIDA 0. MACADINDANG, AL-HADJ, JD")</f>
        <v>ZORAIDA 0. MACADINDANG, AL-HADJ, JD</v>
      </c>
      <c r="L3612" s="164" t="str">
        <f ca="1">IFERROR(__xludf.DUMMYFUNCTION("""COMPUTED_VALUE"""),"DAR REGIONAL OFFICEX")</f>
        <v>DAR REGIONAL OFFICEX</v>
      </c>
      <c r="M3612" s="164" t="str">
        <f ca="1">IFERROR(__xludf.DUMMYFUNCTION("""COMPUTED_VALUE"""),"SERVICEABLE")</f>
        <v>SERVICEABLE</v>
      </c>
      <c r="N3612" s="164"/>
    </row>
    <row r="3613" spans="1:14" ht="13.2" hidden="1">
      <c r="A3613" s="164" t="str">
        <f ca="1">IFERROR(__xludf.DUMMYFUNCTION("""COMPUTED_VALUE"""),"Region X")</f>
        <v>Region X</v>
      </c>
      <c r="B3613" s="164" t="str">
        <f ca="1">IFERROR(__xludf.DUMMYFUNCTION("""COMPUTED_VALUE"""),"REGIONAL OFFICE")</f>
        <v>REGIONAL OFFICE</v>
      </c>
      <c r="C3613" s="164" t="str">
        <f ca="1">IFERROR(__xludf.DUMMYFUNCTION("""COMPUTED_VALUE"""),"Double Cabin Pick-up Vehicles – Mitsubishi Strada")</f>
        <v>Double Cabin Pick-up Vehicles – Mitsubishi Strada</v>
      </c>
      <c r="D3613" s="164" t="str">
        <f ca="1">IFERROR(__xludf.DUMMYFUNCTION("""COMPUTED_VALUE"""),"₱ 1,752,400.00")</f>
        <v>₱ 1,752,400.00</v>
      </c>
      <c r="E3613" s="164"/>
      <c r="F3613" s="164" t="str">
        <f ca="1">IFERROR(__xludf.DUMMYFUNCTION("""COMPUTED_VALUE"""),"2023-06-01-10201SP117-01")</f>
        <v>2023-06-01-10201SP117-01</v>
      </c>
      <c r="G3613" s="164" t="str">
        <f ca="1">IFERROR(__xludf.DUMMYFUNCTION("""COMPUTED_VALUE"""),"SNC 1172")</f>
        <v>SNC 1172</v>
      </c>
      <c r="H3613" s="164" t="str">
        <f ca="1">IFERROR(__xludf.DUMMYFUNCTION("""COMPUTED_VALUE"""),"SENY FE B. FABE")</f>
        <v>SENY FE B. FABE</v>
      </c>
      <c r="I3613" s="164" t="str">
        <f ca="1">IFERROR(__xludf.DUMMYFUNCTION("""COMPUTED_VALUE"""),"PROJECT MANAGER - ADMINISTRATION/GRM COORDINATOR (TYPE 1 AND TYPE
 2A)/ ARDA")</f>
        <v>PROJECT MANAGER - ADMINISTRATION/GRM COORDINATOR (TYPE 1 AND TYPE
 2A)/ ARDA</v>
      </c>
      <c r="J3613" s="164" t="str">
        <f ca="1">IFERROR(__xludf.DUMMYFUNCTION("""COMPUTED_VALUE"""),"2023-002")</f>
        <v>2023-002</v>
      </c>
      <c r="K3613" s="164" t="str">
        <f ca="1">IFERROR(__xludf.DUMMYFUNCTION("""COMPUTED_VALUE"""),"SENY FE B. FABE")</f>
        <v>SENY FE B. FABE</v>
      </c>
      <c r="L3613" s="164" t="str">
        <f ca="1">IFERROR(__xludf.DUMMYFUNCTION("""COMPUTED_VALUE"""),"DAR REGIONAL OFFICEX")</f>
        <v>DAR REGIONAL OFFICEX</v>
      </c>
      <c r="M3613" s="164" t="str">
        <f ca="1">IFERROR(__xludf.DUMMYFUNCTION("""COMPUTED_VALUE"""),"SERVICEABLE")</f>
        <v>SERVICEABLE</v>
      </c>
      <c r="N3613" s="164"/>
    </row>
    <row r="3614" spans="1:14" ht="13.2" hidden="1">
      <c r="A3614" s="164" t="str">
        <f ca="1">IFERROR(__xludf.DUMMYFUNCTION("""COMPUTED_VALUE"""),"Region X")</f>
        <v>Region X</v>
      </c>
      <c r="B3614" s="164" t="str">
        <f ca="1">IFERROR(__xludf.DUMMYFUNCTION("""COMPUTED_VALUE"""),"REGIONAL OFFICE")</f>
        <v>REGIONAL OFFICE</v>
      </c>
      <c r="C3614" s="164" t="str">
        <f ca="1">IFERROR(__xludf.DUMMYFUNCTION("""COMPUTED_VALUE"""),"Motorcycle – (Honda XRL 150)")</f>
        <v>Motorcycle – (Honda XRL 150)</v>
      </c>
      <c r="D3614" s="164" t="str">
        <f ca="1">IFERROR(__xludf.DUMMYFUNCTION("""COMPUTED_VALUE"""),"₱ 124,900.00")</f>
        <v>₱ 124,900.00</v>
      </c>
      <c r="E3614" s="164"/>
      <c r="F3614" s="164" t="str">
        <f ca="1">IFERROR(__xludf.DUMMYFUNCTION("""COMPUTED_VALUE"""),"2023-06-01-
 10202SP608-01")</f>
        <v>2023-06-01-
 10202SP608-01</v>
      </c>
      <c r="G3614" s="164"/>
      <c r="H3614" s="164" t="str">
        <f ca="1">IFERROR(__xludf.DUMMYFUNCTION("""COMPUTED_VALUE"""),"ENGR. JOVY ANN D. CLARO")</f>
        <v>ENGR. JOVY ANN D. CLARO</v>
      </c>
      <c r="I3614" s="164" t="str">
        <f ca="1">IFERROR(__xludf.DUMMYFUNCTION("""COMPUTED_VALUE"""),"DENR/LRA-ROD SURVEY
 COORDINATOR/ ENGR Ill, LTSP")</f>
        <v>DENR/LRA-ROD SURVEY
 COORDINATOR/ ENGR Ill, LTSP</v>
      </c>
      <c r="J3614" s="164" t="str">
        <f ca="1">IFERROR(__xludf.DUMMYFUNCTION("""COMPUTED_VALUE"""),"2023-001")</f>
        <v>2023-001</v>
      </c>
      <c r="K3614" s="164" t="str">
        <f ca="1">IFERROR(__xludf.DUMMYFUNCTION("""COMPUTED_VALUE"""),"ENGR. JOVY ANN D. CLARO")</f>
        <v>ENGR. JOVY ANN D. CLARO</v>
      </c>
      <c r="L3614" s="164" t="str">
        <f ca="1">IFERROR(__xludf.DUMMYFUNCTION("""COMPUTED_VALUE"""),"DAR REGIONAL OFFICE X")</f>
        <v>DAR REGIONAL OFFICE X</v>
      </c>
      <c r="M3614" s="164" t="str">
        <f ca="1">IFERROR(__xludf.DUMMYFUNCTION("""COMPUTED_VALUE"""),"SERVICEABLE")</f>
        <v>SERVICEABLE</v>
      </c>
      <c r="N3614" s="164"/>
    </row>
    <row r="3615" spans="1:14" ht="13.2" hidden="1">
      <c r="A3615" s="164" t="str">
        <f ca="1">IFERROR(__xludf.DUMMYFUNCTION("""COMPUTED_VALUE"""),"Region X")</f>
        <v>Region X</v>
      </c>
      <c r="B3615" s="164" t="str">
        <f ca="1">IFERROR(__xludf.DUMMYFUNCTION("""COMPUTED_VALUE"""),"REGIONAL OFFICE")</f>
        <v>REGIONAL OFFICE</v>
      </c>
      <c r="C3615" s="164" t="str">
        <f ca="1">IFERROR(__xludf.DUMMYFUNCTION("""COMPUTED_VALUE"""),"Motorcycle – (Honda XRL 150)")</f>
        <v>Motorcycle – (Honda XRL 150)</v>
      </c>
      <c r="D3615" s="164" t="str">
        <f ca="1">IFERROR(__xludf.DUMMYFUNCTION("""COMPUTED_VALUE"""),"₱ 124,900.00")</f>
        <v>₱ 124,900.00</v>
      </c>
      <c r="E3615" s="164"/>
      <c r="F3615" s="164" t="str">
        <f ca="1">IFERROR(__xludf.DUMMYFUNCTION("""COMPUTED_VALUE"""),"2023-06-01-
 10202SP606-01")</f>
        <v>2023-06-01-
 10202SP606-01</v>
      </c>
      <c r="G3615" s="164"/>
      <c r="H3615" s="164" t="str">
        <f ca="1">IFERROR(__xludf.DUMMYFUNCTION("""COMPUTED_VALUE"""),"JOEL ANGELO M. PALER")</f>
        <v>JOEL ANGELO M. PALER</v>
      </c>
      <c r="I3615" s="164" t="str">
        <f ca="1">IFERROR(__xludf.DUMMYFUNCTION("""COMPUTED_VALUE"""),"TECHNICAL STAFF 2- ADMINISTRATIVE AND FINANCE OFFICER/ RCAO")</f>
        <v>TECHNICAL STAFF 2- ADMINISTRATIVE AND FINANCE OFFICER/ RCAO</v>
      </c>
      <c r="J3615" s="164" t="str">
        <f ca="1">IFERROR(__xludf.DUMMYFUNCTION("""COMPUTED_VALUE"""),"2023-002")</f>
        <v>2023-002</v>
      </c>
      <c r="K3615" s="164" t="str">
        <f ca="1">IFERROR(__xludf.DUMMYFUNCTION("""COMPUTED_VALUE"""),"ENGR. LEONARD Z. CASILLO")</f>
        <v>ENGR. LEONARD Z. CASILLO</v>
      </c>
      <c r="L3615" s="164" t="str">
        <f ca="1">IFERROR(__xludf.DUMMYFUNCTION("""COMPUTED_VALUE"""),"DAR REGIONAL OFFICEX")</f>
        <v>DAR REGIONAL OFFICEX</v>
      </c>
      <c r="M3615" s="164" t="str">
        <f ca="1">IFERROR(__xludf.DUMMYFUNCTION("""COMPUTED_VALUE"""),"SERVICEABLE")</f>
        <v>SERVICEABLE</v>
      </c>
      <c r="N3615" s="164"/>
    </row>
    <row r="3616" spans="1:14" ht="13.2" hidden="1">
      <c r="A3616" s="164" t="str">
        <f ca="1">IFERROR(__xludf.DUMMYFUNCTION("""COMPUTED_VALUE"""),"Region X")</f>
        <v>Region X</v>
      </c>
      <c r="B3616" s="164" t="str">
        <f ca="1">IFERROR(__xludf.DUMMYFUNCTION("""COMPUTED_VALUE"""),"REGIONAL OFFICE")</f>
        <v>REGIONAL OFFICE</v>
      </c>
      <c r="C3616" s="164" t="str">
        <f ca="1">IFERROR(__xludf.DUMMYFUNCTION("""COMPUTED_VALUE"""),"Motorcycle – (Honda XRL 150)")</f>
        <v>Motorcycle – (Honda XRL 150)</v>
      </c>
      <c r="D3616" s="164" t="str">
        <f ca="1">IFERROR(__xludf.DUMMYFUNCTION("""COMPUTED_VALUE"""),"₱ 124,900.00")</f>
        <v>₱ 124,900.00</v>
      </c>
      <c r="E3616" s="164"/>
      <c r="F3616" s="164" t="str">
        <f ca="1">IFERROR(__xludf.DUMMYFUNCTION("""COMPUTED_VALUE"""),"2023-06-01-
 10202SP607-01")</f>
        <v>2023-06-01-
 10202SP607-01</v>
      </c>
      <c r="G3616" s="164"/>
      <c r="H3616" s="164" t="str">
        <f ca="1">IFERROR(__xludf.DUMMYFUNCTION("""COMPUTED_VALUE"""),"JOEL ANGELO M. PALER")</f>
        <v>JOEL ANGELO M. PALER</v>
      </c>
      <c r="I3616" s="164" t="str">
        <f ca="1">IFERROR(__xludf.DUMMYFUNCTION("""COMPUTED_VALUE"""),"TECHNICAL STAFF 2- ADMINISTRATIVE AND FINANCE OFFICER/ RCAO")</f>
        <v>TECHNICAL STAFF 2- ADMINISTRATIVE AND FINANCE OFFICER/ RCAO</v>
      </c>
      <c r="J3616" s="164" t="str">
        <f ca="1">IFERROR(__xludf.DUMMYFUNCTION("""COMPUTED_VALUE"""),"2023-003")</f>
        <v>2023-003</v>
      </c>
      <c r="K3616" s="164" t="str">
        <f ca="1">IFERROR(__xludf.DUMMYFUNCTION("""COMPUTED_VALUE"""),"JOMARID.PAPANDAYAN")</f>
        <v>JOMARID.PAPANDAYAN</v>
      </c>
      <c r="L3616" s="164" t="str">
        <f ca="1">IFERROR(__xludf.DUMMYFUNCTION("""COMPUTED_VALUE"""),"DAR REGIONAL OFFICE X")</f>
        <v>DAR REGIONAL OFFICE X</v>
      </c>
      <c r="M3616" s="164" t="str">
        <f ca="1">IFERROR(__xludf.DUMMYFUNCTION("""COMPUTED_VALUE"""),"SERVICEABLE")</f>
        <v>SERVICEABLE</v>
      </c>
      <c r="N3616" s="164"/>
    </row>
    <row r="3617" spans="1:14" ht="13.2" hidden="1">
      <c r="A3617" s="164" t="str">
        <f ca="1">IFERROR(__xludf.DUMMYFUNCTION("""COMPUTED_VALUE"""),"Region X")</f>
        <v>Region X</v>
      </c>
      <c r="B3617" s="164" t="str">
        <f ca="1">IFERROR(__xludf.DUMMYFUNCTION("""COMPUTED_VALUE"""),"REGIONAL OFFICE")</f>
        <v>REGIONAL OFFICE</v>
      </c>
      <c r="C3617" s="164" t="str">
        <f ca="1">IFERROR(__xludf.DUMMYFUNCTION("""COMPUTED_VALUE"""),"Motorcycle – (Honda XRL 150)")</f>
        <v>Motorcycle – (Honda XRL 150)</v>
      </c>
      <c r="D3617" s="164" t="str">
        <f ca="1">IFERROR(__xludf.DUMMYFUNCTION("""COMPUTED_VALUE"""),"₱ 124,900.00")</f>
        <v>₱ 124,900.00</v>
      </c>
      <c r="E3617" s="164"/>
      <c r="F3617" s="164" t="str">
        <f ca="1">IFERROR(__xludf.DUMMYFUNCTION("""COMPUTED_VALUE"""),"2023-06-01-
 10202SP609-01")</f>
        <v>2023-06-01-
 10202SP609-01</v>
      </c>
      <c r="G3617" s="164"/>
      <c r="H3617" s="164" t="str">
        <f ca="1">IFERROR(__xludf.DUMMYFUNCTION("""COMPUTED_VALUE"""),"MAYBELLE T. ALCALA")</f>
        <v>MAYBELLE T. ALCALA</v>
      </c>
      <c r="I3617" s="164" t="str">
        <f ca="1">IFERROR(__xludf.DUMMYFUNCTION("""COMPUTED_VALUE"""),"TECHNICAL STAFF 1 - CBTA FOR IMPLEMENTERS/ESS, PARO I")</f>
        <v>TECHNICAL STAFF 1 - CBTA FOR IMPLEMENTERS/ESS, PARO I</v>
      </c>
      <c r="J3617" s="164" t="str">
        <f ca="1">IFERROR(__xludf.DUMMYFUNCTION("""COMPUTED_VALUE"""),"2023-004")</f>
        <v>2023-004</v>
      </c>
      <c r="K3617" s="164" t="str">
        <f ca="1">IFERROR(__xludf.DUMMYFUNCTION("""COMPUTED_VALUE"""),"ENGR. ROLAND ALCANTARA")</f>
        <v>ENGR. ROLAND ALCANTARA</v>
      </c>
      <c r="L3617" s="164" t="str">
        <f ca="1">IFERROR(__xludf.DUMMYFUNCTION("""COMPUTED_VALUE"""),"DAR REGIONAL OFFICEX")</f>
        <v>DAR REGIONAL OFFICEX</v>
      </c>
      <c r="M3617" s="164" t="str">
        <f ca="1">IFERROR(__xludf.DUMMYFUNCTION("""COMPUTED_VALUE"""),"SERVICEABLE")</f>
        <v>SERVICEABLE</v>
      </c>
      <c r="N3617" s="164"/>
    </row>
    <row r="3618" spans="1:14" ht="13.2" hidden="1">
      <c r="A3618" s="164" t="str">
        <f ca="1">IFERROR(__xludf.DUMMYFUNCTION("""COMPUTED_VALUE"""),"Region X")</f>
        <v>Region X</v>
      </c>
      <c r="B3618" s="164" t="str">
        <f ca="1">IFERROR(__xludf.DUMMYFUNCTION("""COMPUTED_VALUE"""),"REGIONAL OFFICE")</f>
        <v>REGIONAL OFFICE</v>
      </c>
      <c r="C3618" s="164" t="str">
        <f ca="1">IFERROR(__xludf.DUMMYFUNCTION("""COMPUTED_VALUE"""),"Motorcycle – (Honda XRL 150)")</f>
        <v>Motorcycle – (Honda XRL 150)</v>
      </c>
      <c r="D3618" s="164" t="str">
        <f ca="1">IFERROR(__xludf.DUMMYFUNCTION("""COMPUTED_VALUE"""),"₱ 124,900.00")</f>
        <v>₱ 124,900.00</v>
      </c>
      <c r="E3618" s="164"/>
      <c r="F3618" s="164" t="str">
        <f ca="1">IFERROR(__xludf.DUMMYFUNCTION("""COMPUTED_VALUE"""),"2023-06-01-
 10202SP610-01")</f>
        <v>2023-06-01-
 10202SP610-01</v>
      </c>
      <c r="G3618" s="164"/>
      <c r="H3618" s="164" t="str">
        <f ca="1">IFERROR(__xludf.DUMMYFUNCTION("""COMPUTED_VALUE"""),"ALVIN V. PIOLO")</f>
        <v>ALVIN V. PIOLO</v>
      </c>
      <c r="I3618" s="164" t="str">
        <f ca="1">IFERROR(__xludf.DUMMYFUNCTION("""COMPUTED_VALUE"""),"MIS COORDINATOR/ CARTO II, LTSP")</f>
        <v>MIS COORDINATOR/ CARTO II, LTSP</v>
      </c>
      <c r="J3618" s="164" t="str">
        <f ca="1">IFERROR(__xludf.DUMMYFUNCTION("""COMPUTED_VALUE"""),"2023-005")</f>
        <v>2023-005</v>
      </c>
      <c r="K3618" s="164" t="str">
        <f ca="1">IFERROR(__xludf.DUMMYFUNCTION("""COMPUTED_VALUE"""),"ALVIN V. PIOLO")</f>
        <v>ALVIN V. PIOLO</v>
      </c>
      <c r="L3618" s="164" t="str">
        <f ca="1">IFERROR(__xludf.DUMMYFUNCTION("""COMPUTED_VALUE"""),"DAR REGIONAL OFFICEX")</f>
        <v>DAR REGIONAL OFFICEX</v>
      </c>
      <c r="M3618" s="164" t="str">
        <f ca="1">IFERROR(__xludf.DUMMYFUNCTION("""COMPUTED_VALUE"""),"SERVICEABLE")</f>
        <v>SERVICEABLE</v>
      </c>
      <c r="N3618" s="164"/>
    </row>
    <row r="3619" spans="1:14" ht="13.2" hidden="1">
      <c r="A3619" s="164" t="str">
        <f ca="1">IFERROR(__xludf.DUMMYFUNCTION("""COMPUTED_VALUE"""),"Region X")</f>
        <v>Region X</v>
      </c>
      <c r="B3619" s="164" t="str">
        <f ca="1">IFERROR(__xludf.DUMMYFUNCTION("""COMPUTED_VALUE"""),"REGIONAL OFFICE")</f>
        <v>REGIONAL OFFICE</v>
      </c>
      <c r="C3619" s="164" t="str">
        <f ca="1">IFERROR(__xludf.DUMMYFUNCTION("""COMPUTED_VALUE"""),"Motorcycle – (Honda XRL 150)")</f>
        <v>Motorcycle – (Honda XRL 150)</v>
      </c>
      <c r="D3619" s="164" t="str">
        <f ca="1">IFERROR(__xludf.DUMMYFUNCTION("""COMPUTED_VALUE"""),"₱ 124,900.00")</f>
        <v>₱ 124,900.00</v>
      </c>
      <c r="E3619" s="164"/>
      <c r="F3619" s="164" t="str">
        <f ca="1">IFERROR(__xludf.DUMMYFUNCTION("""COMPUTED_VALUE"""),"2023-06-01-
 10202SP573-01")</f>
        <v>2023-06-01-
 10202SP573-01</v>
      </c>
      <c r="G3619" s="164"/>
      <c r="H3619" s="164" t="str">
        <f ca="1">IFERROR(__xludf.DUMMYFUNCTION("""COMPUTED_VALUE"""),"JOEL ANGELO M. PALER")</f>
        <v>JOEL ANGELO M. PALER</v>
      </c>
      <c r="I3619" s="164" t="str">
        <f ca="1">IFERROR(__xludf.DUMMYFUNCTION("""COMPUTED_VALUE"""),"TECHNICAL STAFF 2- ADMINISTRATIVE AND FINANCE OFFICER/ RCAO")</f>
        <v>TECHNICAL STAFF 2- ADMINISTRATIVE AND FINANCE OFFICER/ RCAO</v>
      </c>
      <c r="J3619" s="164" t="str">
        <f ca="1">IFERROR(__xludf.DUMMYFUNCTION("""COMPUTED_VALUE"""),"2023-006")</f>
        <v>2023-006</v>
      </c>
      <c r="K3619" s="164" t="str">
        <f ca="1">IFERROR(__xludf.DUMMYFUNCTION("""COMPUTED_VALUE"""),"JOEL ANGELO M. PALER")</f>
        <v>JOEL ANGELO M. PALER</v>
      </c>
      <c r="L3619" s="164" t="str">
        <f ca="1">IFERROR(__xludf.DUMMYFUNCTION("""COMPUTED_VALUE"""),"DAR REGIONAL OFFICEX")</f>
        <v>DAR REGIONAL OFFICEX</v>
      </c>
      <c r="M3619" s="164" t="str">
        <f ca="1">IFERROR(__xludf.DUMMYFUNCTION("""COMPUTED_VALUE"""),"SERVICEABLE")</f>
        <v>SERVICEABLE</v>
      </c>
      <c r="N3619" s="164"/>
    </row>
    <row r="3620" spans="1:14" ht="13.2" hidden="1">
      <c r="A3620" s="164" t="str">
        <f ca="1">IFERROR(__xludf.DUMMYFUNCTION("""COMPUTED_VALUE"""),"Region X")</f>
        <v>Region X</v>
      </c>
      <c r="B3620" s="164" t="str">
        <f ca="1">IFERROR(__xludf.DUMMYFUNCTION("""COMPUTED_VALUE"""),"BUKIDNON")</f>
        <v>BUKIDNON</v>
      </c>
      <c r="C3620" s="164" t="str">
        <f ca="1">IFERROR(__xludf.DUMMYFUNCTION("""COMPUTED_VALUE"""),"Motorcycle – (Honda XRL 150)")</f>
        <v>Motorcycle – (Honda XRL 150)</v>
      </c>
      <c r="D3620" s="164" t="str">
        <f ca="1">IFERROR(__xludf.DUMMYFUNCTION("""COMPUTED_VALUE"""),"₱ 124,900.00")</f>
        <v>₱ 124,900.00</v>
      </c>
      <c r="E3620" s="164"/>
      <c r="F3620" s="164" t="str">
        <f ca="1">IFERROR(__xludf.DUMMYFUNCTION("""COMPUTED_VALUE"""),"2023-06-01-
 10202SP552-01")</f>
        <v>2023-06-01-
 10202SP552-01</v>
      </c>
      <c r="G3620" s="164"/>
      <c r="H3620" s="164" t="str">
        <f ca="1">IFERROR(__xludf.DUMMYFUNCTION("""COMPUTED_VALUE"""),"JOFEL M. BELETA")</f>
        <v>JOFEL M. BELETA</v>
      </c>
      <c r="I3620" s="164" t="str">
        <f ca="1">IFERROR(__xludf.DUMMYFUNCTION("""COMPUTED_VALUE"""),"ARPT")</f>
        <v>ARPT</v>
      </c>
      <c r="J3620" s="164" t="str">
        <f ca="1">IFERROR(__xludf.DUMMYFUNCTION("""COMPUTED_VALUE"""),"2023-PAR-08-
 01")</f>
        <v>2023-PAR-08-
 01</v>
      </c>
      <c r="K3620" s="164" t="str">
        <f ca="1">IFERROR(__xludf.DUMMYFUNCTION("""COMPUTED_VALUE"""),"JOFEL M. BELETA")</f>
        <v>JOFEL M. BELETA</v>
      </c>
      <c r="L3620" s="164" t="str">
        <f ca="1">IFERROR(__xludf.DUMMYFUNCTION("""COMPUTED_VALUE"""),"DARMO
 KALILANGAN")</f>
        <v>DARMO
 KALILANGAN</v>
      </c>
      <c r="M3620" s="164" t="str">
        <f ca="1">IFERROR(__xludf.DUMMYFUNCTION("""COMPUTED_VALUE"""),"SERVICEABLE")</f>
        <v>SERVICEABLE</v>
      </c>
      <c r="N3620" s="164"/>
    </row>
    <row r="3621" spans="1:14" ht="13.2" hidden="1">
      <c r="A3621" s="164" t="str">
        <f ca="1">IFERROR(__xludf.DUMMYFUNCTION("""COMPUTED_VALUE"""),"Region X")</f>
        <v>Region X</v>
      </c>
      <c r="B3621" s="164" t="str">
        <f ca="1">IFERROR(__xludf.DUMMYFUNCTION("""COMPUTED_VALUE"""),"BUKIDNON")</f>
        <v>BUKIDNON</v>
      </c>
      <c r="C3621" s="164" t="str">
        <f ca="1">IFERROR(__xludf.DUMMYFUNCTION("""COMPUTED_VALUE"""),"Motorcycle – (Honda XRL 150)")</f>
        <v>Motorcycle – (Honda XRL 150)</v>
      </c>
      <c r="D3621" s="164" t="str">
        <f ca="1">IFERROR(__xludf.DUMMYFUNCTION("""COMPUTED_VALUE"""),"₱ 124,900.00")</f>
        <v>₱ 124,900.00</v>
      </c>
      <c r="E3621" s="164"/>
      <c r="F3621" s="164" t="str">
        <f ca="1">IFERROR(__xludf.DUMMYFUNCTION("""COMPUTED_VALUE"""),"2023-06-01-
 10202SP553-01")</f>
        <v>2023-06-01-
 10202SP553-01</v>
      </c>
      <c r="G3621" s="164"/>
      <c r="H3621" s="164" t="str">
        <f ca="1">IFERROR(__xludf.DUMMYFUNCTION("""COMPUTED_VALUE"""),"CLARENCE MARKE.
 RAMIREZ")</f>
        <v>CLARENCE MARKE.
 RAMIREZ</v>
      </c>
      <c r="I3621" s="164" t="str">
        <f ca="1">IFERROR(__xludf.DUMMYFUNCTION("""COMPUTED_VALUE"""),"ARPT")</f>
        <v>ARPT</v>
      </c>
      <c r="J3621" s="164" t="str">
        <f ca="1">IFERROR(__xludf.DUMMYFUNCTION("""COMPUTED_VALUE"""),"2023-PAR-08-
 02")</f>
        <v>2023-PAR-08-
 02</v>
      </c>
      <c r="K3621" s="164" t="str">
        <f ca="1">IFERROR(__xludf.DUMMYFUNCTION("""COMPUTED_VALUE"""),"CLARENCE MARK E. RAMIREZ")</f>
        <v>CLARENCE MARK E. RAMIREZ</v>
      </c>
      <c r="L3621" s="164" t="str">
        <f ca="1">IFERROR(__xludf.DUMMYFUNCTION("""COMPUTED_VALUE"""),"DARMO
 CABANGLASAN")</f>
        <v>DARMO
 CABANGLASAN</v>
      </c>
      <c r="M3621" s="164" t="str">
        <f ca="1">IFERROR(__xludf.DUMMYFUNCTION("""COMPUTED_VALUE"""),"SERVICEABLE")</f>
        <v>SERVICEABLE</v>
      </c>
      <c r="N3621" s="164"/>
    </row>
    <row r="3622" spans="1:14" ht="13.2" hidden="1">
      <c r="A3622" s="164" t="str">
        <f ca="1">IFERROR(__xludf.DUMMYFUNCTION("""COMPUTED_VALUE"""),"Region X")</f>
        <v>Region X</v>
      </c>
      <c r="B3622" s="164" t="str">
        <f ca="1">IFERROR(__xludf.DUMMYFUNCTION("""COMPUTED_VALUE"""),"BUKIDNON")</f>
        <v>BUKIDNON</v>
      </c>
      <c r="C3622" s="164" t="str">
        <f ca="1">IFERROR(__xludf.DUMMYFUNCTION("""COMPUTED_VALUE"""),"Motorcycle – (Honda XRL 150)")</f>
        <v>Motorcycle – (Honda XRL 150)</v>
      </c>
      <c r="D3622" s="164" t="str">
        <f ca="1">IFERROR(__xludf.DUMMYFUNCTION("""COMPUTED_VALUE"""),"₱ 124,900.00")</f>
        <v>₱ 124,900.00</v>
      </c>
      <c r="E3622" s="164"/>
      <c r="F3622" s="164" t="str">
        <f ca="1">IFERROR(__xludf.DUMMYFUNCTION("""COMPUTED_VALUE"""),"2023-06-01-
 10202SP554-01")</f>
        <v>2023-06-01-
 10202SP554-01</v>
      </c>
      <c r="G3622" s="164"/>
      <c r="H3622" s="164" t="str">
        <f ca="1">IFERROR(__xludf.DUMMYFUNCTION("""COMPUTED_VALUE"""),"NESTOR C. CAILING")</f>
        <v>NESTOR C. CAILING</v>
      </c>
      <c r="I3622" s="164" t="str">
        <f ca="1">IFERROR(__xludf.DUMMYFUNCTION("""COMPUTED_VALUE"""),"MARO")</f>
        <v>MARO</v>
      </c>
      <c r="J3622" s="164" t="str">
        <f ca="1">IFERROR(__xludf.DUMMYFUNCTION("""COMPUTED_VALUE"""),"2023-PAR-08-
 03")</f>
        <v>2023-PAR-08-
 03</v>
      </c>
      <c r="K3622" s="164" t="str">
        <f ca="1">IFERROR(__xludf.DUMMYFUNCTION("""COMPUTED_VALUE"""),"NESTOR C. CAILING")</f>
        <v>NESTOR C. CAILING</v>
      </c>
      <c r="L3622" s="164" t="str">
        <f ca="1">IFERROR(__xludf.DUMMYFUNCTION("""COMPUTED_VALUE"""),"DARMO
 DAMULOG")</f>
        <v>DARMO
 DAMULOG</v>
      </c>
      <c r="M3622" s="164" t="str">
        <f ca="1">IFERROR(__xludf.DUMMYFUNCTION("""COMPUTED_VALUE"""),"SERVICEABLE")</f>
        <v>SERVICEABLE</v>
      </c>
      <c r="N3622" s="164"/>
    </row>
    <row r="3623" spans="1:14" ht="13.2" hidden="1">
      <c r="A3623" s="164" t="str">
        <f ca="1">IFERROR(__xludf.DUMMYFUNCTION("""COMPUTED_VALUE"""),"Region X")</f>
        <v>Region X</v>
      </c>
      <c r="B3623" s="164" t="str">
        <f ca="1">IFERROR(__xludf.DUMMYFUNCTION("""COMPUTED_VALUE"""),"BUKIDNON")</f>
        <v>BUKIDNON</v>
      </c>
      <c r="C3623" s="164" t="str">
        <f ca="1">IFERROR(__xludf.DUMMYFUNCTION("""COMPUTED_VALUE"""),"Motorcycle – (Honda XRL 150)")</f>
        <v>Motorcycle – (Honda XRL 150)</v>
      </c>
      <c r="D3623" s="164" t="str">
        <f ca="1">IFERROR(__xludf.DUMMYFUNCTION("""COMPUTED_VALUE"""),"₱ 124,900.00")</f>
        <v>₱ 124,900.00</v>
      </c>
      <c r="E3623" s="164"/>
      <c r="F3623" s="164" t="str">
        <f ca="1">IFERROR(__xludf.DUMMYFUNCTION("""COMPUTED_VALUE"""),"2023-06-01-
 10202SP555-01")</f>
        <v>2023-06-01-
 10202SP555-01</v>
      </c>
      <c r="G3623" s="164"/>
      <c r="H3623" s="164" t="str">
        <f ca="1">IFERROR(__xludf.DUMMYFUNCTION("""COMPUTED_VALUE"""),"EDGARJ.
 EDULLANTES")</f>
        <v>EDGARJ.
 EDULLANTES</v>
      </c>
      <c r="I3623" s="164" t="str">
        <f ca="1">IFERROR(__xludf.DUMMYFUNCTION("""COMPUTED_VALUE"""),"MARO")</f>
        <v>MARO</v>
      </c>
      <c r="J3623" s="164" t="str">
        <f ca="1">IFERROR(__xludf.DUMMYFUNCTION("""COMPUTED_VALUE"""),"2023-PAR-08-
 04")</f>
        <v>2023-PAR-08-
 04</v>
      </c>
      <c r="K3623" s="164" t="str">
        <f ca="1">IFERROR(__xludf.DUMMYFUNCTION("""COMPUTED_VALUE"""),"EDGAR J. EDULLANTES")</f>
        <v>EDGAR J. EDULLANTES</v>
      </c>
      <c r="L3623" s="164" t="str">
        <f ca="1">IFERROR(__xludf.DUMMYFUNCTION("""COMPUTED_VALUE"""),"DARMO
 PANGANTUCAN")</f>
        <v>DARMO
 PANGANTUCAN</v>
      </c>
      <c r="M3623" s="164" t="str">
        <f ca="1">IFERROR(__xludf.DUMMYFUNCTION("""COMPUTED_VALUE"""),"SERVICEABLE")</f>
        <v>SERVICEABLE</v>
      </c>
      <c r="N3623" s="164"/>
    </row>
    <row r="3624" spans="1:14" ht="13.2" hidden="1">
      <c r="A3624" s="164" t="str">
        <f ca="1">IFERROR(__xludf.DUMMYFUNCTION("""COMPUTED_VALUE"""),"Region X")</f>
        <v>Region X</v>
      </c>
      <c r="B3624" s="164" t="str">
        <f ca="1">IFERROR(__xludf.DUMMYFUNCTION("""COMPUTED_VALUE"""),"BUKIDNON")</f>
        <v>BUKIDNON</v>
      </c>
      <c r="C3624" s="164" t="str">
        <f ca="1">IFERROR(__xludf.DUMMYFUNCTION("""COMPUTED_VALUE"""),"Motorcycle – (Honda XRL 150)")</f>
        <v>Motorcycle – (Honda XRL 150)</v>
      </c>
      <c r="D3624" s="164" t="str">
        <f ca="1">IFERROR(__xludf.DUMMYFUNCTION("""COMPUTED_VALUE"""),"₱ 124,900.00")</f>
        <v>₱ 124,900.00</v>
      </c>
      <c r="E3624" s="164"/>
      <c r="F3624" s="164" t="str">
        <f ca="1">IFERROR(__xludf.DUMMYFUNCTION("""COMPUTED_VALUE"""),"2023-06-01-
 10202SP556-01")</f>
        <v>2023-06-01-
 10202SP556-01</v>
      </c>
      <c r="G3624" s="164"/>
      <c r="H3624" s="164" t="str">
        <f ca="1">IFERROR(__xludf.DUMMYFUNCTION("""COMPUTED_VALUE"""),"MOHAMMAD 0.
 PANDAPATAN")</f>
        <v>MOHAMMAD 0.
 PANDAPATAN</v>
      </c>
      <c r="I3624" s="164" t="str">
        <f ca="1">IFERROR(__xludf.DUMMYFUNCTION("""COMPUTED_VALUE"""),"ARPT")</f>
        <v>ARPT</v>
      </c>
      <c r="J3624" s="164" t="str">
        <f ca="1">IFERROR(__xludf.DUMMYFUNCTION("""COMPUTED_VALUE"""),"2023-PAR-08-
 05")</f>
        <v>2023-PAR-08-
 05</v>
      </c>
      <c r="K3624" s="164" t="str">
        <f ca="1">IFERROR(__xludf.DUMMYFUNCTION("""COMPUTED_VALUE"""),"MOHAMMAD 0.
 PANDAPATAN")</f>
        <v>MOHAMMAD 0.
 PANDAPATAN</v>
      </c>
      <c r="L3624" s="164" t="str">
        <f ca="1">IFERROR(__xludf.DUMMYFUNCTION("""COMPUTED_VALUE"""),"DARMO
 MALAYBALAY")</f>
        <v>DARMO
 MALAYBALAY</v>
      </c>
      <c r="M3624" s="164" t="str">
        <f ca="1">IFERROR(__xludf.DUMMYFUNCTION("""COMPUTED_VALUE"""),"SERVICEABLE")</f>
        <v>SERVICEABLE</v>
      </c>
      <c r="N3624" s="164"/>
    </row>
    <row r="3625" spans="1:14" ht="13.2" hidden="1">
      <c r="A3625" s="164" t="str">
        <f ca="1">IFERROR(__xludf.DUMMYFUNCTION("""COMPUTED_VALUE"""),"Region X")</f>
        <v>Region X</v>
      </c>
      <c r="B3625" s="164" t="str">
        <f ca="1">IFERROR(__xludf.DUMMYFUNCTION("""COMPUTED_VALUE"""),"BUKIDNON")</f>
        <v>BUKIDNON</v>
      </c>
      <c r="C3625" s="164" t="str">
        <f ca="1">IFERROR(__xludf.DUMMYFUNCTION("""COMPUTED_VALUE"""),"Motorcycle – (Honda XRL 150)")</f>
        <v>Motorcycle – (Honda XRL 150)</v>
      </c>
      <c r="D3625" s="164" t="str">
        <f ca="1">IFERROR(__xludf.DUMMYFUNCTION("""COMPUTED_VALUE"""),"₱ 124,900.00")</f>
        <v>₱ 124,900.00</v>
      </c>
      <c r="E3625" s="164"/>
      <c r="F3625" s="164" t="str">
        <f ca="1">IFERROR(__xludf.DUMMYFUNCTION("""COMPUTED_VALUE"""),"2023-06-01-
 10202SP557-01")</f>
        <v>2023-06-01-
 10202SP557-01</v>
      </c>
      <c r="G3625" s="164"/>
      <c r="H3625" s="164" t="str">
        <f ca="1">IFERROR(__xludf.DUMMYFUNCTION("""COMPUTED_VALUE"""),"RONIEGLENN C.
 GENITA")</f>
        <v>RONIEGLENN C.
 GENITA</v>
      </c>
      <c r="I3625" s="164" t="str">
        <f ca="1">IFERROR(__xludf.DUMMYFUNCTION("""COMPUTED_VALUE"""),"ARPT")</f>
        <v>ARPT</v>
      </c>
      <c r="J3625" s="164" t="str">
        <f ca="1">IFERROR(__xludf.DUMMYFUNCTION("""COMPUTED_VALUE"""),"2023-PAR-08-
 06")</f>
        <v>2023-PAR-08-
 06</v>
      </c>
      <c r="K3625" s="164" t="str">
        <f ca="1">IFERROR(__xludf.DUMMYFUNCTION("""COMPUTED_VALUE"""),"RONIEGLENN C. GENITA")</f>
        <v>RONIEGLENN C. GENITA</v>
      </c>
      <c r="L3625" s="164" t="str">
        <f ca="1">IFERROR(__xludf.DUMMYFUNCTION("""COMPUTED_VALUE"""),"DARMO
 SUMILAO")</f>
        <v>DARMO
 SUMILAO</v>
      </c>
      <c r="M3625" s="164" t="str">
        <f ca="1">IFERROR(__xludf.DUMMYFUNCTION("""COMPUTED_VALUE"""),"SERVICEABLE")</f>
        <v>SERVICEABLE</v>
      </c>
      <c r="N3625" s="164"/>
    </row>
    <row r="3626" spans="1:14" ht="13.2" hidden="1">
      <c r="A3626" s="164" t="str">
        <f ca="1">IFERROR(__xludf.DUMMYFUNCTION("""COMPUTED_VALUE"""),"Region X")</f>
        <v>Region X</v>
      </c>
      <c r="B3626" s="164" t="str">
        <f ca="1">IFERROR(__xludf.DUMMYFUNCTION("""COMPUTED_VALUE"""),"BUKIDNON")</f>
        <v>BUKIDNON</v>
      </c>
      <c r="C3626" s="164" t="str">
        <f ca="1">IFERROR(__xludf.DUMMYFUNCTION("""COMPUTED_VALUE"""),"Motorcycle – (Honda XRL 150)")</f>
        <v>Motorcycle – (Honda XRL 150)</v>
      </c>
      <c r="D3626" s="164" t="str">
        <f ca="1">IFERROR(__xludf.DUMMYFUNCTION("""COMPUTED_VALUE"""),"₱ 124,900.00")</f>
        <v>₱ 124,900.00</v>
      </c>
      <c r="E3626" s="164"/>
      <c r="F3626" s="164" t="str">
        <f ca="1">IFERROR(__xludf.DUMMYFUNCTION("""COMPUTED_VALUE"""),"2023-06-01-
 10202SP558-01")</f>
        <v>2023-06-01-
 10202SP558-01</v>
      </c>
      <c r="G3626" s="164"/>
      <c r="H3626" s="164" t="str">
        <f ca="1">IFERROR(__xludf.DUMMYFUNCTION("""COMPUTED_VALUE"""),"CLAUDE GREGOR A.
 IGTOS")</f>
        <v>CLAUDE GREGOR A.
 IGTOS</v>
      </c>
      <c r="I3626" s="164" t="str">
        <f ca="1">IFERROR(__xludf.DUMMYFUNCTION("""COMPUTED_VALUE"""),"ARPT")</f>
        <v>ARPT</v>
      </c>
      <c r="J3626" s="164" t="str">
        <f ca="1">IFERROR(__xludf.DUMMYFUNCTION("""COMPUTED_VALUE"""),"2023-PAR-08-
 07")</f>
        <v>2023-PAR-08-
 07</v>
      </c>
      <c r="K3626" s="164" t="str">
        <f ca="1">IFERROR(__xludf.DUMMYFUNCTION("""COMPUTED_VALUE"""),"CLAUDE GREGOR A. IGTOS")</f>
        <v>CLAUDE GREGOR A. IGTOS</v>
      </c>
      <c r="L3626" s="164" t="str">
        <f ca="1">IFERROR(__xludf.DUMMYFUNCTION("""COMPUTED_VALUE"""),"DARMO
 MARAMAG")</f>
        <v>DARMO
 MARAMAG</v>
      </c>
      <c r="M3626" s="164" t="str">
        <f ca="1">IFERROR(__xludf.DUMMYFUNCTION("""COMPUTED_VALUE"""),"SERVICEABLE")</f>
        <v>SERVICEABLE</v>
      </c>
      <c r="N3626" s="164"/>
    </row>
    <row r="3627" spans="1:14" ht="13.2" hidden="1">
      <c r="A3627" s="164" t="str">
        <f ca="1">IFERROR(__xludf.DUMMYFUNCTION("""COMPUTED_VALUE"""),"Region X")</f>
        <v>Region X</v>
      </c>
      <c r="B3627" s="164" t="str">
        <f ca="1">IFERROR(__xludf.DUMMYFUNCTION("""COMPUTED_VALUE"""),"BUKIDNON")</f>
        <v>BUKIDNON</v>
      </c>
      <c r="C3627" s="164" t="str">
        <f ca="1">IFERROR(__xludf.DUMMYFUNCTION("""COMPUTED_VALUE"""),"Motorcycle – (Honda XRL 150)")</f>
        <v>Motorcycle – (Honda XRL 150)</v>
      </c>
      <c r="D3627" s="164" t="str">
        <f ca="1">IFERROR(__xludf.DUMMYFUNCTION("""COMPUTED_VALUE"""),"₱ 124,900.00")</f>
        <v>₱ 124,900.00</v>
      </c>
      <c r="E3627" s="164"/>
      <c r="F3627" s="164" t="str">
        <f ca="1">IFERROR(__xludf.DUMMYFUNCTION("""COMPUTED_VALUE"""),"2023-06-01-
 10202SP559-01")</f>
        <v>2023-06-01-
 10202SP559-01</v>
      </c>
      <c r="G3627" s="164"/>
      <c r="H3627" s="164" t="str">
        <f ca="1">IFERROR(__xludf.DUMMYFUNCTION("""COMPUTED_VALUE"""),"DOMINADOR P. PALMA
 JR.")</f>
        <v>DOMINADOR P. PALMA
 JR.</v>
      </c>
      <c r="I3627" s="164" t="str">
        <f ca="1">IFERROR(__xludf.DUMMYFUNCTION("""COMPUTED_VALUE"""),"ARPT")</f>
        <v>ARPT</v>
      </c>
      <c r="J3627" s="164" t="str">
        <f ca="1">IFERROR(__xludf.DUMMYFUNCTION("""COMPUTED_VALUE"""),"2023-PAR-08-
 08")</f>
        <v>2023-PAR-08-
 08</v>
      </c>
      <c r="K3627" s="164" t="str">
        <f ca="1">IFERROR(__xludf.DUMMYFUNCTION("""COMPUTED_VALUE"""),"DOMINADOR P. PALMA JR.")</f>
        <v>DOMINADOR P. PALMA JR.</v>
      </c>
      <c r="L3627" s="164" t="str">
        <f ca="1">IFERROR(__xludf.DUMMYFUNCTION("""COMPUTED_VALUE"""),"DARMO SAN
 FERNANDO")</f>
        <v>DARMO SAN
 FERNANDO</v>
      </c>
      <c r="M3627" s="164" t="str">
        <f ca="1">IFERROR(__xludf.DUMMYFUNCTION("""COMPUTED_VALUE"""),"SERVICEABLE")</f>
        <v>SERVICEABLE</v>
      </c>
      <c r="N3627" s="164"/>
    </row>
    <row r="3628" spans="1:14" ht="13.2" hidden="1">
      <c r="A3628" s="164" t="str">
        <f ca="1">IFERROR(__xludf.DUMMYFUNCTION("""COMPUTED_VALUE"""),"Region X")</f>
        <v>Region X</v>
      </c>
      <c r="B3628" s="164" t="str">
        <f ca="1">IFERROR(__xludf.DUMMYFUNCTION("""COMPUTED_VALUE"""),"BUKIDNON")</f>
        <v>BUKIDNON</v>
      </c>
      <c r="C3628" s="164" t="str">
        <f ca="1">IFERROR(__xludf.DUMMYFUNCTION("""COMPUTED_VALUE"""),"Motorcycle – (Honda XRL 150)")</f>
        <v>Motorcycle – (Honda XRL 150)</v>
      </c>
      <c r="D3628" s="164" t="str">
        <f ca="1">IFERROR(__xludf.DUMMYFUNCTION("""COMPUTED_VALUE"""),"₱ 124,900.00")</f>
        <v>₱ 124,900.00</v>
      </c>
      <c r="E3628" s="164"/>
      <c r="F3628" s="164" t="str">
        <f ca="1">IFERROR(__xludf.DUMMYFUNCTION("""COMPUTED_VALUE"""),"2023-06-01-
 10202SP560-01")</f>
        <v>2023-06-01-
 10202SP560-01</v>
      </c>
      <c r="G3628" s="164"/>
      <c r="H3628" s="164" t="str">
        <f ca="1">IFERROR(__xludf.DUMMYFUNCTION("""COMPUTED_VALUE"""),"ESMAEL G.
 CONTRERAS")</f>
        <v>ESMAEL G.
 CONTRERAS</v>
      </c>
      <c r="I3628" s="164" t="str">
        <f ca="1">IFERROR(__xludf.DUMMYFUNCTION("""COMPUTED_VALUE"""),"ARPT")</f>
        <v>ARPT</v>
      </c>
      <c r="J3628" s="164" t="str">
        <f ca="1">IFERROR(__xludf.DUMMYFUNCTION("""COMPUTED_VALUE"""),"2023-PAR-08-
 09")</f>
        <v>2023-PAR-08-
 09</v>
      </c>
      <c r="K3628" s="164" t="str">
        <f ca="1">IFERROR(__xludf.DUMMYFUNCTION("""COMPUTED_VALUE"""),"ESMAELG.CONTRERAS")</f>
        <v>ESMAELG.CONTRERAS</v>
      </c>
      <c r="L3628" s="164" t="str">
        <f ca="1">IFERROR(__xludf.DUMMYFUNCTION("""COMPUTED_VALUE"""),"DARMO
 QUEZON")</f>
        <v>DARMO
 QUEZON</v>
      </c>
      <c r="M3628" s="164" t="str">
        <f ca="1">IFERROR(__xludf.DUMMYFUNCTION("""COMPUTED_VALUE"""),"SERVICEABLE")</f>
        <v>SERVICEABLE</v>
      </c>
      <c r="N3628" s="164"/>
    </row>
    <row r="3629" spans="1:14" ht="13.2" hidden="1">
      <c r="A3629" s="164" t="str">
        <f ca="1">IFERROR(__xludf.DUMMYFUNCTION("""COMPUTED_VALUE"""),"Region X")</f>
        <v>Region X</v>
      </c>
      <c r="B3629" s="164" t="str">
        <f ca="1">IFERROR(__xludf.DUMMYFUNCTION("""COMPUTED_VALUE"""),"BUKIDNON")</f>
        <v>BUKIDNON</v>
      </c>
      <c r="C3629" s="164" t="str">
        <f ca="1">IFERROR(__xludf.DUMMYFUNCTION("""COMPUTED_VALUE"""),"Motorcycle – (Honda XRL 150)")</f>
        <v>Motorcycle – (Honda XRL 150)</v>
      </c>
      <c r="D3629" s="164" t="str">
        <f ca="1">IFERROR(__xludf.DUMMYFUNCTION("""COMPUTED_VALUE"""),"₱ 124,900.00")</f>
        <v>₱ 124,900.00</v>
      </c>
      <c r="E3629" s="164"/>
      <c r="F3629" s="164" t="str">
        <f ca="1">IFERROR(__xludf.DUMMYFUNCTION("""COMPUTED_VALUE"""),"2023-06-01-
 10202SP561-01")</f>
        <v>2023-06-01-
 10202SP561-01</v>
      </c>
      <c r="G3629" s="164"/>
      <c r="H3629" s="164" t="str">
        <f ca="1">IFERROR(__xludf.DUMMYFUNCTION("""COMPUTED_VALUE"""),"EUTIQUIO L. SEVILLA")</f>
        <v>EUTIQUIO L. SEVILLA</v>
      </c>
      <c r="I3629" s="164" t="str">
        <f ca="1">IFERROR(__xludf.DUMMYFUNCTION("""COMPUTED_VALUE"""),"ENGINEERING AIDE")</f>
        <v>ENGINEERING AIDE</v>
      </c>
      <c r="J3629" s="164" t="str">
        <f ca="1">IFERROR(__xludf.DUMMYFUNCTION("""COMPUTED_VALUE"""),"2023-PAR-08-
 10")</f>
        <v>2023-PAR-08-
 10</v>
      </c>
      <c r="K3629" s="164" t="str">
        <f ca="1">IFERROR(__xludf.DUMMYFUNCTION("""COMPUTED_VALUE"""),"EUTIQUIO L. SEVILLA")</f>
        <v>EUTIQUIO L. SEVILLA</v>
      </c>
      <c r="L3629" s="164" t="str">
        <f ca="1">IFERROR(__xludf.DUMMYFUNCTION("""COMPUTED_VALUE"""),"DARPO-LTSP")</f>
        <v>DARPO-LTSP</v>
      </c>
      <c r="M3629" s="164" t="str">
        <f ca="1">IFERROR(__xludf.DUMMYFUNCTION("""COMPUTED_VALUE"""),"SERVICEABLE")</f>
        <v>SERVICEABLE</v>
      </c>
      <c r="N3629" s="164"/>
    </row>
    <row r="3630" spans="1:14" ht="13.2" hidden="1">
      <c r="A3630" s="164" t="str">
        <f ca="1">IFERROR(__xludf.DUMMYFUNCTION("""COMPUTED_VALUE"""),"Region X")</f>
        <v>Region X</v>
      </c>
      <c r="B3630" s="164" t="str">
        <f ca="1">IFERROR(__xludf.DUMMYFUNCTION("""COMPUTED_VALUE"""),"BUKIDNON")</f>
        <v>BUKIDNON</v>
      </c>
      <c r="C3630" s="164" t="str">
        <f ca="1">IFERROR(__xludf.DUMMYFUNCTION("""COMPUTED_VALUE"""),"Motorcycle – (Honda XRL 150)")</f>
        <v>Motorcycle – (Honda XRL 150)</v>
      </c>
      <c r="D3630" s="164" t="str">
        <f ca="1">IFERROR(__xludf.DUMMYFUNCTION("""COMPUTED_VALUE"""),"₱ 124,900.00")</f>
        <v>₱ 124,900.00</v>
      </c>
      <c r="E3630" s="164"/>
      <c r="F3630" s="164" t="str">
        <f ca="1">IFERROR(__xludf.DUMMYFUNCTION("""COMPUTED_VALUE"""),"2023-06-01-
 10202SP562-01")</f>
        <v>2023-06-01-
 10202SP562-01</v>
      </c>
      <c r="G3630" s="164"/>
      <c r="H3630" s="164" t="str">
        <f ca="1">IFERROR(__xludf.DUMMYFUNCTION("""COMPUTED_VALUE"""),"HASMEN C. DIMAGIBA")</f>
        <v>HASMEN C. DIMAGIBA</v>
      </c>
      <c r="I3630" s="164" t="str">
        <f ca="1">IFERROR(__xludf.DUMMYFUNCTION("""COMPUTED_VALUE"""),"ARPT")</f>
        <v>ARPT</v>
      </c>
      <c r="J3630" s="164" t="str">
        <f ca="1">IFERROR(__xludf.DUMMYFUNCTION("""COMPUTED_VALUE"""),"2023-PAR-08-
 11")</f>
        <v>2023-PAR-08-
 11</v>
      </c>
      <c r="K3630" s="164" t="str">
        <f ca="1">IFERROR(__xludf.DUMMYFUNCTION("""COMPUTED_VALUE"""),"HASMEN C. DIMAGIBA")</f>
        <v>HASMEN C. DIMAGIBA</v>
      </c>
      <c r="L3630" s="164" t="str">
        <f ca="1">IFERROR(__xludf.DUMMYFUNCTION("""COMPUTED_VALUE"""),"DARMO
 LANTAPAN")</f>
        <v>DARMO
 LANTAPAN</v>
      </c>
      <c r="M3630" s="164" t="str">
        <f ca="1">IFERROR(__xludf.DUMMYFUNCTION("""COMPUTED_VALUE"""),"SERVICEABLE")</f>
        <v>SERVICEABLE</v>
      </c>
      <c r="N3630" s="164"/>
    </row>
    <row r="3631" spans="1:14" ht="13.2" hidden="1">
      <c r="A3631" s="164" t="str">
        <f ca="1">IFERROR(__xludf.DUMMYFUNCTION("""COMPUTED_VALUE"""),"Region X")</f>
        <v>Region X</v>
      </c>
      <c r="B3631" s="164" t="str">
        <f ca="1">IFERROR(__xludf.DUMMYFUNCTION("""COMPUTED_VALUE"""),"BUKIDNON")</f>
        <v>BUKIDNON</v>
      </c>
      <c r="C3631" s="164" t="str">
        <f ca="1">IFERROR(__xludf.DUMMYFUNCTION("""COMPUTED_VALUE"""),"Motorcycle – (Honda XRL 150)")</f>
        <v>Motorcycle – (Honda XRL 150)</v>
      </c>
      <c r="D3631" s="164" t="str">
        <f ca="1">IFERROR(__xludf.DUMMYFUNCTION("""COMPUTED_VALUE"""),"₱ 124,900.00")</f>
        <v>₱ 124,900.00</v>
      </c>
      <c r="E3631" s="164"/>
      <c r="F3631" s="164" t="str">
        <f ca="1">IFERROR(__xludf.DUMMYFUNCTION("""COMPUTED_VALUE"""),"2023-06-01-
 10202SP563-01")</f>
        <v>2023-06-01-
 10202SP563-01</v>
      </c>
      <c r="G3631" s="164"/>
      <c r="H3631" s="164" t="str">
        <f ca="1">IFERROR(__xludf.DUMMYFUNCTION("""COMPUTED_VALUE"""),"EUNICE CRISTA B.
 LINA")</f>
        <v>EUNICE CRISTA B.
 LINA</v>
      </c>
      <c r="I3631" s="164" t="str">
        <f ca="1">IFERROR(__xludf.DUMMYFUNCTION("""COMPUTED_VALUE"""),"ARPT")</f>
        <v>ARPT</v>
      </c>
      <c r="J3631" s="164" t="str">
        <f ca="1">IFERROR(__xludf.DUMMYFUNCTION("""COMPUTED_VALUE"""),"2023-PAR-08-
 12")</f>
        <v>2023-PAR-08-
 12</v>
      </c>
      <c r="K3631" s="164" t="str">
        <f ca="1">IFERROR(__xludf.DUMMYFUNCTION("""COMPUTED_VALUE"""),"EUNICE CRISTA B. LINA")</f>
        <v>EUNICE CRISTA B. LINA</v>
      </c>
      <c r="L3631" s="164" t="str">
        <f ca="1">IFERROR(__xludf.DUMMYFUNCTION("""COMPUTED_VALUE"""),"DARMO KIBAWE")</f>
        <v>DARMO KIBAWE</v>
      </c>
      <c r="M3631" s="164" t="str">
        <f ca="1">IFERROR(__xludf.DUMMYFUNCTION("""COMPUTED_VALUE"""),"SERVICEABLE")</f>
        <v>SERVICEABLE</v>
      </c>
      <c r="N3631" s="164"/>
    </row>
    <row r="3632" spans="1:14" ht="13.2" hidden="1">
      <c r="A3632" s="164" t="str">
        <f ca="1">IFERROR(__xludf.DUMMYFUNCTION("""COMPUTED_VALUE"""),"Region X")</f>
        <v>Region X</v>
      </c>
      <c r="B3632" s="164" t="str">
        <f ca="1">IFERROR(__xludf.DUMMYFUNCTION("""COMPUTED_VALUE"""),"BUKIDNON")</f>
        <v>BUKIDNON</v>
      </c>
      <c r="C3632" s="164" t="str">
        <f ca="1">IFERROR(__xludf.DUMMYFUNCTION("""COMPUTED_VALUE"""),"Motorcycle – (Honda XRL 150)")</f>
        <v>Motorcycle – (Honda XRL 150)</v>
      </c>
      <c r="D3632" s="164" t="str">
        <f ca="1">IFERROR(__xludf.DUMMYFUNCTION("""COMPUTED_VALUE"""),"₱ 124,900.00")</f>
        <v>₱ 124,900.00</v>
      </c>
      <c r="E3632" s="164"/>
      <c r="F3632" s="164" t="str">
        <f ca="1">IFERROR(__xludf.DUMMYFUNCTION("""COMPUTED_VALUE"""),"2023-06-01-
 10202SP564-01")</f>
        <v>2023-06-01-
 10202SP564-01</v>
      </c>
      <c r="G3632" s="164"/>
      <c r="H3632" s="164" t="str">
        <f ca="1">IFERROR(__xludf.DUMMYFUNCTION("""COMPUTED_VALUE"""),"MANUEL JADE P.
 ARRIOLA")</f>
        <v>MANUEL JADE P.
 ARRIOLA</v>
      </c>
      <c r="I3632" s="164" t="str">
        <f ca="1">IFERROR(__xludf.DUMMYFUNCTION("""COMPUTED_VALUE"""),"SARPT")</f>
        <v>SARPT</v>
      </c>
      <c r="J3632" s="164" t="str">
        <f ca="1">IFERROR(__xludf.DUMMYFUNCTION("""COMPUTED_VALUE"""),"2023-PAR-08-
 13")</f>
        <v>2023-PAR-08-
 13</v>
      </c>
      <c r="K3632" s="164" t="str">
        <f ca="1">IFERROR(__xludf.DUMMYFUNCTION("""COMPUTED_VALUE"""),"MANUEL JADE P. ARRIOLA")</f>
        <v>MANUEL JADE P. ARRIOLA</v>
      </c>
      <c r="L3632" s="164" t="str">
        <f ca="1">IFERROR(__xludf.DUMMYFUNCTION("""COMPUTED_VALUE"""),"DARMO
 MALITBOG")</f>
        <v>DARMO
 MALITBOG</v>
      </c>
      <c r="M3632" s="164" t="str">
        <f ca="1">IFERROR(__xludf.DUMMYFUNCTION("""COMPUTED_VALUE"""),"SERVICEABLE")</f>
        <v>SERVICEABLE</v>
      </c>
      <c r="N3632" s="164"/>
    </row>
    <row r="3633" spans="1:14" ht="13.2" hidden="1">
      <c r="A3633" s="164" t="str">
        <f ca="1">IFERROR(__xludf.DUMMYFUNCTION("""COMPUTED_VALUE"""),"Region X")</f>
        <v>Region X</v>
      </c>
      <c r="B3633" s="164" t="str">
        <f ca="1">IFERROR(__xludf.DUMMYFUNCTION("""COMPUTED_VALUE"""),"BUKIDNON")</f>
        <v>BUKIDNON</v>
      </c>
      <c r="C3633" s="164" t="str">
        <f ca="1">IFERROR(__xludf.DUMMYFUNCTION("""COMPUTED_VALUE"""),"Motorcycle – (Honda XRL 150)")</f>
        <v>Motorcycle – (Honda XRL 150)</v>
      </c>
      <c r="D3633" s="164" t="str">
        <f ca="1">IFERROR(__xludf.DUMMYFUNCTION("""COMPUTED_VALUE"""),"₱ 124,900.00")</f>
        <v>₱ 124,900.00</v>
      </c>
      <c r="E3633" s="164"/>
      <c r="F3633" s="164" t="str">
        <f ca="1">IFERROR(__xludf.DUMMYFUNCTION("""COMPUTED_VALUE"""),"2023-06-01-
 10202SP565-01")</f>
        <v>2023-06-01-
 10202SP565-01</v>
      </c>
      <c r="G3633" s="164"/>
      <c r="H3633" s="164" t="str">
        <f ca="1">IFERROR(__xludf.DUMMYFUNCTION("""COMPUTED_VALUE"""),"EPHRAIM T. PAILDEN")</f>
        <v>EPHRAIM T. PAILDEN</v>
      </c>
      <c r="I3633" s="164" t="str">
        <f ca="1">IFERROR(__xludf.DUMMYFUNCTION("""COMPUTED_VALUE"""),"SARPT")</f>
        <v>SARPT</v>
      </c>
      <c r="J3633" s="164" t="str">
        <f ca="1">IFERROR(__xludf.DUMMYFUNCTION("""COMPUTED_VALUE"""),"2023-PAR-08-
 14")</f>
        <v>2023-PAR-08-
 14</v>
      </c>
      <c r="K3633" s="164" t="str">
        <f ca="1">IFERROR(__xludf.DUMMYFUNCTION("""COMPUTED_VALUE"""),"EPHRAIM T. PAILDEN")</f>
        <v>EPHRAIM T. PAILDEN</v>
      </c>
      <c r="L3633" s="164" t="str">
        <f ca="1">IFERROR(__xludf.DUMMYFUNCTION("""COMPUTED_VALUE"""),"DARMO
 MANOLO")</f>
        <v>DARMO
 MANOLO</v>
      </c>
      <c r="M3633" s="164" t="str">
        <f ca="1">IFERROR(__xludf.DUMMYFUNCTION("""COMPUTED_VALUE"""),"SERVICEABLE")</f>
        <v>SERVICEABLE</v>
      </c>
      <c r="N3633" s="164"/>
    </row>
    <row r="3634" spans="1:14" ht="13.2" hidden="1">
      <c r="A3634" s="164" t="str">
        <f ca="1">IFERROR(__xludf.DUMMYFUNCTION("""COMPUTED_VALUE"""),"Region X")</f>
        <v>Region X</v>
      </c>
      <c r="B3634" s="164" t="str">
        <f ca="1">IFERROR(__xludf.DUMMYFUNCTION("""COMPUTED_VALUE"""),"BUKIDNON")</f>
        <v>BUKIDNON</v>
      </c>
      <c r="C3634" s="164" t="str">
        <f ca="1">IFERROR(__xludf.DUMMYFUNCTION("""COMPUTED_VALUE"""),"Motorcycle – (Honda XRL 150)")</f>
        <v>Motorcycle – (Honda XRL 150)</v>
      </c>
      <c r="D3634" s="164" t="str">
        <f ca="1">IFERROR(__xludf.DUMMYFUNCTION("""COMPUTED_VALUE"""),"₱ 124,900.00")</f>
        <v>₱ 124,900.00</v>
      </c>
      <c r="E3634" s="164"/>
      <c r="F3634" s="164" t="str">
        <f ca="1">IFERROR(__xludf.DUMMYFUNCTION("""COMPUTED_VALUE"""),"2023-06-01-
 10202SP566-01")</f>
        <v>2023-06-01-
 10202SP566-01</v>
      </c>
      <c r="G3634" s="164"/>
      <c r="H3634" s="164" t="str">
        <f ca="1">IFERROR(__xludf.DUMMYFUNCTION("""COMPUTED_VALUE"""),"JEROME M. RANARA")</f>
        <v>JEROME M. RANARA</v>
      </c>
      <c r="I3634" s="164" t="str">
        <f ca="1">IFERROR(__xludf.DUMMYFUNCTION("""COMPUTED_VALUE"""),"ARPT")</f>
        <v>ARPT</v>
      </c>
      <c r="J3634" s="164" t="str">
        <f ca="1">IFERROR(__xludf.DUMMYFUNCTION("""COMPUTED_VALUE"""),"2023-PAR-08-
 15")</f>
        <v>2023-PAR-08-
 15</v>
      </c>
      <c r="K3634" s="164" t="str">
        <f ca="1">IFERROR(__xludf.DUMMYFUNCTION("""COMPUTED_VALUE"""),"JEROME M. RANARA")</f>
        <v>JEROME M. RANARA</v>
      </c>
      <c r="L3634" s="164" t="str">
        <f ca="1">IFERROR(__xludf.DUMMYFUNCTION("""COMPUTED_VALUE"""),"DARMO
 TALAKAG")</f>
        <v>DARMO
 TALAKAG</v>
      </c>
      <c r="M3634" s="164" t="str">
        <f ca="1">IFERROR(__xludf.DUMMYFUNCTION("""COMPUTED_VALUE"""),"SERVICEABLE")</f>
        <v>SERVICEABLE</v>
      </c>
      <c r="N3634" s="164"/>
    </row>
    <row r="3635" spans="1:14" ht="13.2" hidden="1">
      <c r="A3635" s="164" t="str">
        <f ca="1">IFERROR(__xludf.DUMMYFUNCTION("""COMPUTED_VALUE"""),"Region X")</f>
        <v>Region X</v>
      </c>
      <c r="B3635" s="164" t="str">
        <f ca="1">IFERROR(__xludf.DUMMYFUNCTION("""COMPUTED_VALUE"""),"BUKIDNON")</f>
        <v>BUKIDNON</v>
      </c>
      <c r="C3635" s="164" t="str">
        <f ca="1">IFERROR(__xludf.DUMMYFUNCTION("""COMPUTED_VALUE"""),"Motorcycle – (Honda XRL 150)")</f>
        <v>Motorcycle – (Honda XRL 150)</v>
      </c>
      <c r="D3635" s="164" t="str">
        <f ca="1">IFERROR(__xludf.DUMMYFUNCTION("""COMPUTED_VALUE"""),"₱ 124,900.00")</f>
        <v>₱ 124,900.00</v>
      </c>
      <c r="E3635" s="164"/>
      <c r="F3635" s="164" t="str">
        <f ca="1">IFERROR(__xludf.DUMMYFUNCTION("""COMPUTED_VALUE"""),"2023-06-01-
 10202SP567-01")</f>
        <v>2023-06-01-
 10202SP567-01</v>
      </c>
      <c r="G3635" s="164"/>
      <c r="H3635" s="164" t="str">
        <f ca="1">IFERROR(__xludf.DUMMYFUNCTION("""COMPUTED_VALUE"""),"EFREN L. PAYPA")</f>
        <v>EFREN L. PAYPA</v>
      </c>
      <c r="I3635" s="164" t="str">
        <f ca="1">IFERROR(__xludf.DUMMYFUNCTION("""COMPUTED_VALUE"""),"SHERIFF")</f>
        <v>SHERIFF</v>
      </c>
      <c r="J3635" s="164" t="str">
        <f ca="1">IFERROR(__xludf.DUMMYFUNCTION("""COMPUTED_VALUE"""),"2023-PAR-08-
 16")</f>
        <v>2023-PAR-08-
 16</v>
      </c>
      <c r="K3635" s="164" t="str">
        <f ca="1">IFERROR(__xludf.DUMMYFUNCTION("""COMPUTED_VALUE"""),"EFREN L. PAYPA")</f>
        <v>EFREN L. PAYPA</v>
      </c>
      <c r="L3635" s="164" t="str">
        <f ca="1">IFERROR(__xludf.DUMMYFUNCTION("""COMPUTED_VALUE"""),"DARAB")</f>
        <v>DARAB</v>
      </c>
      <c r="M3635" s="164" t="str">
        <f ca="1">IFERROR(__xludf.DUMMYFUNCTION("""COMPUTED_VALUE"""),"SERVICEABLE")</f>
        <v>SERVICEABLE</v>
      </c>
      <c r="N3635" s="164"/>
    </row>
    <row r="3636" spans="1:14" ht="13.2" hidden="1">
      <c r="A3636" s="164" t="str">
        <f ca="1">IFERROR(__xludf.DUMMYFUNCTION("""COMPUTED_VALUE"""),"Region X")</f>
        <v>Region X</v>
      </c>
      <c r="B3636" s="164" t="str">
        <f ca="1">IFERROR(__xludf.DUMMYFUNCTION("""COMPUTED_VALUE"""),"BUKIDNON")</f>
        <v>BUKIDNON</v>
      </c>
      <c r="C3636" s="164" t="str">
        <f ca="1">IFERROR(__xludf.DUMMYFUNCTION("""COMPUTED_VALUE"""),"Motorcycle – (Honda XRL 150)")</f>
        <v>Motorcycle – (Honda XRL 150)</v>
      </c>
      <c r="D3636" s="164" t="str">
        <f ca="1">IFERROR(__xludf.DUMMYFUNCTION("""COMPUTED_VALUE"""),"₱ 124,900.00")</f>
        <v>₱ 124,900.00</v>
      </c>
      <c r="E3636" s="164"/>
      <c r="F3636" s="164" t="str">
        <f ca="1">IFERROR(__xludf.DUMMYFUNCTION("""COMPUTED_VALUE"""),"2023-06-01-
 10202SP568-01")</f>
        <v>2023-06-01-
 10202SP568-01</v>
      </c>
      <c r="G3636" s="164"/>
      <c r="H3636" s="164" t="str">
        <f ca="1">IFERROR(__xludf.DUMMYFUNCTION("""COMPUTED_VALUE"""),"RODEL G. CAMBARE")</f>
        <v>RODEL G. CAMBARE</v>
      </c>
      <c r="I3636" s="164" t="str">
        <f ca="1">IFERROR(__xludf.DUMMYFUNCTION("""COMPUTED_VALUE"""),"ARPT")</f>
        <v>ARPT</v>
      </c>
      <c r="J3636" s="164" t="str">
        <f ca="1">IFERROR(__xludf.DUMMYFUNCTION("""COMPUTED_VALUE"""),"2023-PAR-08-
 17")</f>
        <v>2023-PAR-08-
 17</v>
      </c>
      <c r="K3636" s="164" t="str">
        <f ca="1">IFERROR(__xludf.DUMMYFUNCTION("""COMPUTED_VALUE"""),"RODEL G. CAMBARE")</f>
        <v>RODEL G. CAMBARE</v>
      </c>
      <c r="L3636" s="164" t="str">
        <f ca="1">IFERROR(__xludf.DUMMYFUNCTION("""COMPUTED_VALUE"""),"DARMO VALENCIA")</f>
        <v>DARMO VALENCIA</v>
      </c>
      <c r="M3636" s="164" t="str">
        <f ca="1">IFERROR(__xludf.DUMMYFUNCTION("""COMPUTED_VALUE"""),"SERVICEABLE")</f>
        <v>SERVICEABLE</v>
      </c>
      <c r="N3636" s="164"/>
    </row>
    <row r="3637" spans="1:14" ht="13.2" hidden="1">
      <c r="A3637" s="164" t="str">
        <f ca="1">IFERROR(__xludf.DUMMYFUNCTION("""COMPUTED_VALUE"""),"Region X")</f>
        <v>Region X</v>
      </c>
      <c r="B3637" s="164" t="str">
        <f ca="1">IFERROR(__xludf.DUMMYFUNCTION("""COMPUTED_VALUE"""),"BUKIDNON")</f>
        <v>BUKIDNON</v>
      </c>
      <c r="C3637" s="164" t="str">
        <f ca="1">IFERROR(__xludf.DUMMYFUNCTION("""COMPUTED_VALUE"""),"Motorcycle – (Honda XRL 150)")</f>
        <v>Motorcycle – (Honda XRL 150)</v>
      </c>
      <c r="D3637" s="164" t="str">
        <f ca="1">IFERROR(__xludf.DUMMYFUNCTION("""COMPUTED_VALUE"""),"₱ 124,900.00")</f>
        <v>₱ 124,900.00</v>
      </c>
      <c r="E3637" s="164"/>
      <c r="F3637" s="164" t="str">
        <f ca="1">IFERROR(__xludf.DUMMYFUNCTION("""COMPUTED_VALUE"""),"2023-06-01-
 10202SP569-01")</f>
        <v>2023-06-01-
 10202SP569-01</v>
      </c>
      <c r="G3637" s="164"/>
      <c r="H3637" s="164" t="str">
        <f ca="1">IFERROR(__xludf.DUMMYFUNCTION("""COMPUTED_VALUE"""),"DENNIS L.
 MANSALADEZ")</f>
        <v>DENNIS L.
 MANSALADEZ</v>
      </c>
      <c r="I3637" s="164" t="str">
        <f ca="1">IFERROR(__xludf.DUMMYFUNCTION("""COMPUTED_VALUE"""),"SURVEYMAN")</f>
        <v>SURVEYMAN</v>
      </c>
      <c r="J3637" s="164" t="str">
        <f ca="1">IFERROR(__xludf.DUMMYFUNCTION("""COMPUTED_VALUE"""),"2023-PAR-08-
 18")</f>
        <v>2023-PAR-08-
 18</v>
      </c>
      <c r="K3637" s="164" t="str">
        <f ca="1">IFERROR(__xludf.DUMMYFUNCTION("""COMPUTED_VALUE"""),"DENNIS L. MANSALADEZ")</f>
        <v>DENNIS L. MANSALADEZ</v>
      </c>
      <c r="L3637" s="164" t="str">
        <f ca="1">IFERROR(__xludf.DUMMYFUNCTION("""COMPUTED_VALUE"""),"DARPO- LTSP")</f>
        <v>DARPO- LTSP</v>
      </c>
      <c r="M3637" s="164" t="str">
        <f ca="1">IFERROR(__xludf.DUMMYFUNCTION("""COMPUTED_VALUE"""),"SERVICEABLE")</f>
        <v>SERVICEABLE</v>
      </c>
      <c r="N3637" s="164"/>
    </row>
    <row r="3638" spans="1:14" ht="13.2" hidden="1">
      <c r="A3638" s="164" t="str">
        <f ca="1">IFERROR(__xludf.DUMMYFUNCTION("""COMPUTED_VALUE"""),"Region X")</f>
        <v>Region X</v>
      </c>
      <c r="B3638" s="164" t="str">
        <f ca="1">IFERROR(__xludf.DUMMYFUNCTION("""COMPUTED_VALUE"""),"BUKIDNON")</f>
        <v>BUKIDNON</v>
      </c>
      <c r="C3638" s="164" t="str">
        <f ca="1">IFERROR(__xludf.DUMMYFUNCTION("""COMPUTED_VALUE"""),"Motorcycle – (Honda XRL 150)")</f>
        <v>Motorcycle – (Honda XRL 150)</v>
      </c>
      <c r="D3638" s="164" t="str">
        <f ca="1">IFERROR(__xludf.DUMMYFUNCTION("""COMPUTED_VALUE"""),"₱ 124,900.00")</f>
        <v>₱ 124,900.00</v>
      </c>
      <c r="E3638" s="164"/>
      <c r="F3638" s="164" t="str">
        <f ca="1">IFERROR(__xludf.DUMMYFUNCTION("""COMPUTED_VALUE"""),"2023-06-01-
 10202SP570-01")</f>
        <v>2023-06-01-
 10202SP570-01</v>
      </c>
      <c r="G3638" s="164"/>
      <c r="H3638" s="164" t="str">
        <f ca="1">IFERROR(__xludf.DUMMYFUNCTION("""COMPUTED_VALUE"""),"JONATHAN C.
 CELESTIANO")</f>
        <v>JONATHAN C.
 CELESTIANO</v>
      </c>
      <c r="I3638" s="164" t="str">
        <f ca="1">IFERROR(__xludf.DUMMYFUNCTION("""COMPUTED_VALUE"""),"ENGINEER II")</f>
        <v>ENGINEER II</v>
      </c>
      <c r="J3638" s="164" t="str">
        <f ca="1">IFERROR(__xludf.DUMMYFUNCTION("""COMPUTED_VALUE"""),"2023-PAR-08-
 19")</f>
        <v>2023-PAR-08-
 19</v>
      </c>
      <c r="K3638" s="164" t="str">
        <f ca="1">IFERROR(__xludf.DUMMYFUNCTION("""COMPUTED_VALUE"""),"JONATHAN C. CELESTIANO")</f>
        <v>JONATHAN C. CELESTIANO</v>
      </c>
      <c r="L3638" s="164" t="str">
        <f ca="1">IFERROR(__xludf.DUMMYFUNCTION("""COMPUTED_VALUE"""),"DARPO")</f>
        <v>DARPO</v>
      </c>
      <c r="M3638" s="164" t="str">
        <f ca="1">IFERROR(__xludf.DUMMYFUNCTION("""COMPUTED_VALUE"""),"SERVICEABLE")</f>
        <v>SERVICEABLE</v>
      </c>
      <c r="N3638" s="164"/>
    </row>
    <row r="3639" spans="1:14" ht="13.2" hidden="1">
      <c r="A3639" s="164" t="str">
        <f ca="1">IFERROR(__xludf.DUMMYFUNCTION("""COMPUTED_VALUE"""),"Region X")</f>
        <v>Region X</v>
      </c>
      <c r="B3639" s="164" t="str">
        <f ca="1">IFERROR(__xludf.DUMMYFUNCTION("""COMPUTED_VALUE"""),"BUKIDNON")</f>
        <v>BUKIDNON</v>
      </c>
      <c r="C3639" s="164" t="str">
        <f ca="1">IFERROR(__xludf.DUMMYFUNCTION("""COMPUTED_VALUE"""),"Motorcycle – (Honda XRL 150)")</f>
        <v>Motorcycle – (Honda XRL 150)</v>
      </c>
      <c r="D3639" s="164" t="str">
        <f ca="1">IFERROR(__xludf.DUMMYFUNCTION("""COMPUTED_VALUE"""),"₱ 124,900.00")</f>
        <v>₱ 124,900.00</v>
      </c>
      <c r="E3639" s="164"/>
      <c r="F3639" s="164" t="str">
        <f ca="1">IFERROR(__xludf.DUMMYFUNCTION("""COMPUTED_VALUE"""),"2023-06-01-
 10202SP571-01")</f>
        <v>2023-06-01-
 10202SP571-01</v>
      </c>
      <c r="G3639" s="164"/>
      <c r="H3639" s="164" t="str">
        <f ca="1">IFERROR(__xludf.DUMMYFUNCTION("""COMPUTED_VALUE"""),"JAQUELINE R.
 ESTANIEL")</f>
        <v>JAQUELINE R.
 ESTANIEL</v>
      </c>
      <c r="I3639" s="164" t="str">
        <f ca="1">IFERROR(__xludf.DUMMYFUNCTION("""COMPUTED_VALUE"""),"SARPT")</f>
        <v>SARPT</v>
      </c>
      <c r="J3639" s="164" t="str">
        <f ca="1">IFERROR(__xludf.DUMMYFUNCTION("""COMPUTED_VALUE"""),"2023-PAR-08-
 20")</f>
        <v>2023-PAR-08-
 20</v>
      </c>
      <c r="K3639" s="164" t="str">
        <f ca="1">IFERROR(__xludf.DUMMYFUNCTION("""COMPUTED_VALUE"""),"JAQUELINE R. ESTANIEL")</f>
        <v>JAQUELINE R. ESTANIEL</v>
      </c>
      <c r="L3639" s="164" t="str">
        <f ca="1">IFERROR(__xludf.DUMMYFUNCTION("""COMPUTED_VALUE"""),"DARPO")</f>
        <v>DARPO</v>
      </c>
      <c r="M3639" s="164" t="str">
        <f ca="1">IFERROR(__xludf.DUMMYFUNCTION("""COMPUTED_VALUE"""),"SERVICEABLE")</f>
        <v>SERVICEABLE</v>
      </c>
      <c r="N3639" s="164"/>
    </row>
    <row r="3640" spans="1:14" ht="13.2" hidden="1">
      <c r="A3640" s="164" t="str">
        <f ca="1">IFERROR(__xludf.DUMMYFUNCTION("""COMPUTED_VALUE"""),"Region X")</f>
        <v>Region X</v>
      </c>
      <c r="B3640" s="164" t="str">
        <f ca="1">IFERROR(__xludf.DUMMYFUNCTION("""COMPUTED_VALUE"""),"BUKIDNON")</f>
        <v>BUKIDNON</v>
      </c>
      <c r="C3640" s="164" t="str">
        <f ca="1">IFERROR(__xludf.DUMMYFUNCTION("""COMPUTED_VALUE"""),"Motorcycle – (Honda XRL 150)")</f>
        <v>Motorcycle – (Honda XRL 150)</v>
      </c>
      <c r="D3640" s="164" t="str">
        <f ca="1">IFERROR(__xludf.DUMMYFUNCTION("""COMPUTED_VALUE"""),"₱ 124,900.00")</f>
        <v>₱ 124,900.00</v>
      </c>
      <c r="E3640" s="164"/>
      <c r="F3640" s="164" t="str">
        <f ca="1">IFERROR(__xludf.DUMMYFUNCTION("""COMPUTED_VALUE"""),"2023-06-01-
 10202SP572-01")</f>
        <v>2023-06-01-
 10202SP572-01</v>
      </c>
      <c r="G3640" s="164"/>
      <c r="H3640" s="164" t="str">
        <f ca="1">IFERROR(__xludf.DUMMYFUNCTION("""COMPUTED_VALUE"""),"JOY P. GEGATO")</f>
        <v>JOY P. GEGATO</v>
      </c>
      <c r="I3640" s="164" t="str">
        <f ca="1">IFERROR(__xludf.DUMMYFUNCTION("""COMPUTED_VALUE"""),"ARPO II")</f>
        <v>ARPO II</v>
      </c>
      <c r="J3640" s="164" t="str">
        <f ca="1">IFERROR(__xludf.DUMMYFUNCTION("""COMPUTED_VALUE"""),"2023-PAR-08-
 21")</f>
        <v>2023-PAR-08-
 21</v>
      </c>
      <c r="K3640" s="164" t="str">
        <f ca="1">IFERROR(__xludf.DUMMYFUNCTION("""COMPUTED_VALUE"""),"JOY P. GEGATO")</f>
        <v>JOY P. GEGATO</v>
      </c>
      <c r="L3640" s="164" t="str">
        <f ca="1">IFERROR(__xludf.DUMMYFUNCTION("""COMPUTED_VALUE"""),"DARPO")</f>
        <v>DARPO</v>
      </c>
      <c r="M3640" s="164" t="str">
        <f ca="1">IFERROR(__xludf.DUMMYFUNCTION("""COMPUTED_VALUE"""),"SERVICEABLE")</f>
        <v>SERVICEABLE</v>
      </c>
      <c r="N3640" s="164"/>
    </row>
    <row r="3641" spans="1:14" ht="13.2" hidden="1">
      <c r="A3641" s="164" t="str">
        <f ca="1">IFERROR(__xludf.DUMMYFUNCTION("""COMPUTED_VALUE"""),"Region X")</f>
        <v>Region X</v>
      </c>
      <c r="B3641" s="164" t="str">
        <f ca="1">IFERROR(__xludf.DUMMYFUNCTION("""COMPUTED_VALUE"""),"BUKIDNON")</f>
        <v>BUKIDNON</v>
      </c>
      <c r="C3641" s="164" t="str">
        <f ca="1">IFERROR(__xludf.DUMMYFUNCTION("""COMPUTED_VALUE"""),"Double Cabin Pick-up Vehicles – Mitsubishi Strada")</f>
        <v>Double Cabin Pick-up Vehicles – Mitsubishi Strada</v>
      </c>
      <c r="D3641" s="164" t="str">
        <f ca="1">IFERROR(__xludf.DUMMYFUNCTION("""COMPUTED_VALUE"""),"₱ 1,752,400.00")</f>
        <v>₱ 1,752,400.00</v>
      </c>
      <c r="E3641" s="164"/>
      <c r="F3641" s="164" t="str">
        <f ca="1">IFERROR(__xludf.DUMMYFUNCTION("""COMPUTED_VALUE"""),"2023-06-01-10201SP113-01")</f>
        <v>2023-06-01-10201SP113-01</v>
      </c>
      <c r="G3641" s="164" t="str">
        <f ca="1">IFERROR(__xludf.DUMMYFUNCTION("""COMPUTED_VALUE"""),"SNC 1132")</f>
        <v>SNC 1132</v>
      </c>
      <c r="H3641" s="164" t="str">
        <f ca="1">IFERROR(__xludf.DUMMYFUNCTION("""COMPUTED_VALUE"""),"JAMMAL G. PANGANDAMAN")</f>
        <v>JAMMAL G. PANGANDAMAN</v>
      </c>
      <c r="I3641" s="164" t="str">
        <f ca="1">IFERROR(__xludf.DUMMYFUNCTION("""COMPUTED_VALUE"""),"PARPO II")</f>
        <v>PARPO II</v>
      </c>
      <c r="J3641" s="164" t="str">
        <f ca="1">IFERROR(__xludf.DUMMYFUNCTION("""COMPUTED_VALUE"""),"2023-PAR-10-
 01")</f>
        <v>2023-PAR-10-
 01</v>
      </c>
      <c r="K3641" s="164" t="str">
        <f ca="1">IFERROR(__xludf.DUMMYFUNCTION("""COMPUTED_VALUE"""),"JAMMALG. PANGANDAMAN")</f>
        <v>JAMMALG. PANGANDAMAN</v>
      </c>
      <c r="L3641" s="164" t="str">
        <f ca="1">IFERROR(__xludf.DUMMYFUNCTION("""COMPUTED_VALUE"""),"DARPO")</f>
        <v>DARPO</v>
      </c>
      <c r="M3641" s="164" t="str">
        <f ca="1">IFERROR(__xludf.DUMMYFUNCTION("""COMPUTED_VALUE"""),"SERVICEABLE")</f>
        <v>SERVICEABLE</v>
      </c>
      <c r="N3641" s="164"/>
    </row>
    <row r="3642" spans="1:14" ht="13.2" hidden="1">
      <c r="A3642" s="164" t="str">
        <f ca="1">IFERROR(__xludf.DUMMYFUNCTION("""COMPUTED_VALUE"""),"Region X")</f>
        <v>Region X</v>
      </c>
      <c r="B3642" s="164" t="str">
        <f ca="1">IFERROR(__xludf.DUMMYFUNCTION("""COMPUTED_VALUE"""),"BUKIDNON")</f>
        <v>BUKIDNON</v>
      </c>
      <c r="C3642" s="164" t="str">
        <f ca="1">IFERROR(__xludf.DUMMYFUNCTION("""COMPUTED_VALUE"""),"Double Cabin Pick-up Vehicles – Mitsubishi Strada")</f>
        <v>Double Cabin Pick-up Vehicles – Mitsubishi Strada</v>
      </c>
      <c r="D3642" s="164" t="str">
        <f ca="1">IFERROR(__xludf.DUMMYFUNCTION("""COMPUTED_VALUE"""),"₱ 1,752,400.00")</f>
        <v>₱ 1,752,400.00</v>
      </c>
      <c r="E3642" s="164"/>
      <c r="F3642" s="164" t="str">
        <f ca="1">IFERROR(__xludf.DUMMYFUNCTION("""COMPUTED_VALUE"""),"2023-06-01-10201SP114-01")</f>
        <v>2023-06-01-10201SP114-01</v>
      </c>
      <c r="G3642" s="164" t="str">
        <f ca="1">IFERROR(__xludf.DUMMYFUNCTION("""COMPUTED_VALUE"""),"SNC 1307")</f>
        <v>SNC 1307</v>
      </c>
      <c r="H3642" s="164" t="str">
        <f ca="1">IFERROR(__xludf.DUMMYFUNCTION("""COMPUTED_VALUE"""),"JAMMAL G. PANGANDAMAN")</f>
        <v>JAMMAL G. PANGANDAMAN</v>
      </c>
      <c r="I3642" s="164" t="str">
        <f ca="1">IFERROR(__xludf.DUMMYFUNCTION("""COMPUTED_VALUE"""),"PARPO II")</f>
        <v>PARPO II</v>
      </c>
      <c r="J3642" s="164" t="str">
        <f ca="1">IFERROR(__xludf.DUMMYFUNCTION("""COMPUTED_VALUE"""),"2023-PAR-10-
 02")</f>
        <v>2023-PAR-10-
 02</v>
      </c>
      <c r="K3642" s="164" t="str">
        <f ca="1">IFERROR(__xludf.DUMMYFUNCTION("""COMPUTED_VALUE"""),"JAMMAL G. PANGANDAMAN")</f>
        <v>JAMMAL G. PANGANDAMAN</v>
      </c>
      <c r="L3642" s="164" t="str">
        <f ca="1">IFERROR(__xludf.DUMMYFUNCTION("""COMPUTED_VALUE"""),"DARPO")</f>
        <v>DARPO</v>
      </c>
      <c r="M3642" s="164" t="str">
        <f ca="1">IFERROR(__xludf.DUMMYFUNCTION("""COMPUTED_VALUE"""),"SERVICEABLE")</f>
        <v>SERVICEABLE</v>
      </c>
      <c r="N3642" s="164"/>
    </row>
    <row r="3643" spans="1:14" ht="13.2" hidden="1">
      <c r="A3643" s="164" t="str">
        <f ca="1">IFERROR(__xludf.DUMMYFUNCTION("""COMPUTED_VALUE"""),"Region X")</f>
        <v>Region X</v>
      </c>
      <c r="B3643" s="164" t="str">
        <f ca="1">IFERROR(__xludf.DUMMYFUNCTION("""COMPUTED_VALUE"""),"CAMIGUIN")</f>
        <v>CAMIGUIN</v>
      </c>
      <c r="C3643" s="164" t="str">
        <f ca="1">IFERROR(__xludf.DUMMYFUNCTION("""COMPUTED_VALUE"""),"Motorcycle – (Honda XRL 150)")</f>
        <v>Motorcycle – (Honda XRL 150)</v>
      </c>
      <c r="D3643" s="164" t="str">
        <f ca="1">IFERROR(__xludf.DUMMYFUNCTION("""COMPUTED_VALUE"""),"₱ 124,900.00")</f>
        <v>₱ 124,900.00</v>
      </c>
      <c r="E3643" s="164"/>
      <c r="F3643" s="164" t="str">
        <f ca="1">IFERROR(__xludf.DUMMYFUNCTION("""COMPUTED_VALUE"""),"2022-MV-06-0004
 01")</f>
        <v>2022-MV-06-0004
 01</v>
      </c>
      <c r="G3643" s="164"/>
      <c r="H3643" s="164" t="str">
        <f ca="1">IFERROR(__xludf.DUMMYFUNCTION("""COMPUTED_VALUE"""),"RUTH G. CARREON")</f>
        <v>RUTH G. CARREON</v>
      </c>
      <c r="I3643" s="164" t="str">
        <f ca="1">IFERROR(__xludf.DUMMYFUNCTION("""COMPUTED_VALUE"""),"ASST. STAT./M &amp; E
 COORDINATOR")</f>
        <v>ASST. STAT./M &amp; E
 COORDINATOR</v>
      </c>
      <c r="J3643" s="164" t="str">
        <f ca="1">IFERROR(__xludf.DUMMYFUNCTION("""COMPUTED_VALUE"""),"2023-08-008")</f>
        <v>2023-08-008</v>
      </c>
      <c r="K3643" s="164" t="str">
        <f ca="1">IFERROR(__xludf.DUMMYFUNCTION("""COMPUTED_VALUE"""),"RUTH G. CARREON")</f>
        <v>RUTH G. CARREON</v>
      </c>
      <c r="L3643" s="164" t="str">
        <f ca="1">IFERROR(__xludf.DUMMYFUNCTION("""COMPUTED_VALUE"""),"DAR- MIS.
 OR./CAM")</f>
        <v>DAR- MIS.
 OR./CAM</v>
      </c>
      <c r="M3643" s="164" t="str">
        <f ca="1">IFERROR(__xludf.DUMMYFUNCTION("""COMPUTED_VALUE"""),"SERVICEABLE")</f>
        <v>SERVICEABLE</v>
      </c>
      <c r="N3643" s="164"/>
    </row>
    <row r="3644" spans="1:14" ht="13.2" hidden="1">
      <c r="A3644" s="164" t="str">
        <f ca="1">IFERROR(__xludf.DUMMYFUNCTION("""COMPUTED_VALUE"""),"Region X")</f>
        <v>Region X</v>
      </c>
      <c r="B3644" s="164" t="str">
        <f ca="1">IFERROR(__xludf.DUMMYFUNCTION("""COMPUTED_VALUE"""),"CAMIGUIN")</f>
        <v>CAMIGUIN</v>
      </c>
      <c r="C3644" s="164" t="str">
        <f ca="1">IFERROR(__xludf.DUMMYFUNCTION("""COMPUTED_VALUE"""),"Motorcycle – (Honda XRL 150)")</f>
        <v>Motorcycle – (Honda XRL 150)</v>
      </c>
      <c r="D3644" s="164" t="str">
        <f ca="1">IFERROR(__xludf.DUMMYFUNCTION("""COMPUTED_VALUE"""),"₱ 124,900.00")</f>
        <v>₱ 124,900.00</v>
      </c>
      <c r="E3644" s="164"/>
      <c r="F3644" s="164" t="str">
        <f ca="1">IFERROR(__xludf.DUMMYFUNCTION("""COMPUTED_VALUE"""),"2022-MV-06-0004-
 02")</f>
        <v>2022-MV-06-0004-
 02</v>
      </c>
      <c r="G3644" s="164"/>
      <c r="H3644" s="164" t="str">
        <f ca="1">IFERROR(__xludf.DUMMYFUNCTION("""COMPUTED_VALUE"""),"HAYLY JANE A. ROMANILLOS")</f>
        <v>HAYLY JANE A. ROMANILLOS</v>
      </c>
      <c r="I3644" s="164" t="str">
        <f ca="1">IFERROR(__xludf.DUMMYFUNCTION("""COMPUTED_VALUE"""),"ARPO I/MIS COORDINATOR")</f>
        <v>ARPO I/MIS COORDINATOR</v>
      </c>
      <c r="J3644" s="164" t="str">
        <f ca="1">IFERROR(__xludf.DUMMYFUNCTION("""COMPUTED_VALUE"""),"2023-08-008")</f>
        <v>2023-08-008</v>
      </c>
      <c r="K3644" s="164" t="str">
        <f ca="1">IFERROR(__xludf.DUMMYFUNCTION("""COMPUTED_VALUE"""),"HAYLY JANE A. ROMANILLOS")</f>
        <v>HAYLY JANE A. ROMANILLOS</v>
      </c>
      <c r="L3644" s="164" t="str">
        <f ca="1">IFERROR(__xludf.DUMMYFUNCTION("""COMPUTED_VALUE"""),"DAR-MIS. OR./CAM")</f>
        <v>DAR-MIS. OR./CAM</v>
      </c>
      <c r="M3644" s="164" t="str">
        <f ca="1">IFERROR(__xludf.DUMMYFUNCTION("""COMPUTED_VALUE"""),"SERVICEABLE")</f>
        <v>SERVICEABLE</v>
      </c>
      <c r="N3644" s="164"/>
    </row>
    <row r="3645" spans="1:14" ht="13.2">
      <c r="A3645" s="164" t="str">
        <f ca="1">IFERROR(__xludf.DUMMYFUNCTION("""COMPUTED_VALUE"""),"Region X")</f>
        <v>Region X</v>
      </c>
      <c r="B3645" s="164" t="str">
        <f ca="1">IFERROR(__xludf.DUMMYFUNCTION("""COMPUTED_VALUE"""),"LANAO DEL NORTE")</f>
        <v>LANAO DEL NORTE</v>
      </c>
      <c r="C3645" s="164" t="str">
        <f ca="1">IFERROR(__xludf.DUMMYFUNCTION("""COMPUTED_VALUE"""),"Motorcycle – (Honda XRL 150)")</f>
        <v>Motorcycle – (Honda XRL 150)</v>
      </c>
      <c r="D3645" s="164" t="str">
        <f ca="1">IFERROR(__xludf.DUMMYFUNCTION("""COMPUTED_VALUE"""),"₱ 124,900.00")</f>
        <v>₱ 124,900.00</v>
      </c>
      <c r="E3645" s="164"/>
      <c r="F3645" s="164" t="str">
        <f ca="1">IFERROR(__xludf.DUMMYFUNCTION("""COMPUTED_VALUE"""),"2023-06-01-
 10202SP575-01")</f>
        <v>2023-06-01-
 10202SP575-01</v>
      </c>
      <c r="G3645" s="164"/>
      <c r="H3645" s="164" t="str">
        <f ca="1">IFERROR(__xludf.DUMMYFUNCTION("""COMPUTED_VALUE"""),"JAMIEL BELGADO")</f>
        <v>JAMIEL BELGADO</v>
      </c>
      <c r="I3645" s="164" t="str">
        <f ca="1">IFERROR(__xludf.DUMMYFUNCTION("""COMPUTED_VALUE"""),"CHIEF, GEN. SERVICES/ TECH. STAFF 3 PROCUREMENT OFFICER")</f>
        <v>CHIEF, GEN. SERVICES/ TECH. STAFF 3 PROCUREMENT OFFICER</v>
      </c>
      <c r="J3645" s="164"/>
      <c r="K3645" s="164" t="str">
        <f ca="1">IFERROR(__xludf.DUMMYFUNCTION("""COMPUTED_VALUE"""),"MOHAMMAD AL-JIHAD B. DIMAPORO- PROCUREMENT STAFF")</f>
        <v>MOHAMMAD AL-JIHAD B. DIMAPORO- PROCUREMENT STAFF</v>
      </c>
      <c r="L3645" s="164" t="str">
        <f ca="1">IFERROR(__xludf.DUMMYFUNCTION("""COMPUTED_VALUE"""),"DAR PROVINCIAL OFFICE")</f>
        <v>DAR PROVINCIAL OFFICE</v>
      </c>
      <c r="M3645" s="164" t="str">
        <f ca="1">IFERROR(__xludf.DUMMYFUNCTION("""COMPUTED_VALUE"""),"SERVICEABLE")</f>
        <v>SERVICEABLE</v>
      </c>
      <c r="N3645" s="164"/>
    </row>
    <row r="3646" spans="1:14" ht="13.2">
      <c r="A3646" s="164" t="str">
        <f ca="1">IFERROR(__xludf.DUMMYFUNCTION("""COMPUTED_VALUE"""),"Region X")</f>
        <v>Region X</v>
      </c>
      <c r="B3646" s="164" t="str">
        <f ca="1">IFERROR(__xludf.DUMMYFUNCTION("""COMPUTED_VALUE"""),"LANAO DEL NORTE")</f>
        <v>LANAO DEL NORTE</v>
      </c>
      <c r="C3646" s="164" t="str">
        <f ca="1">IFERROR(__xludf.DUMMYFUNCTION("""COMPUTED_VALUE"""),"Motorcycle – (Honda XRL 150)")</f>
        <v>Motorcycle – (Honda XRL 150)</v>
      </c>
      <c r="D3646" s="164" t="str">
        <f ca="1">IFERROR(__xludf.DUMMYFUNCTION("""COMPUTED_VALUE"""),"₱ 124,900.00")</f>
        <v>₱ 124,900.00</v>
      </c>
      <c r="E3646" s="164"/>
      <c r="F3646" s="164" t="str">
        <f ca="1">IFERROR(__xludf.DUMMYFUNCTION("""COMPUTED_VALUE"""),"2023-06-01-
 10202SP576-01")</f>
        <v>2023-06-01-
 10202SP576-01</v>
      </c>
      <c r="G3646" s="164"/>
      <c r="H3646" s="164" t="str">
        <f ca="1">IFERROR(__xludf.DUMMYFUNCTION("""COMPUTED_VALUE"""),"ENGR. JOHNIEL VILLEJO")</f>
        <v>ENGR. JOHNIEL VILLEJO</v>
      </c>
      <c r="I3646" s="164" t="str">
        <f ca="1">IFERROR(__xludf.DUMMYFUNCTION("""COMPUTED_VALUE"""),"ENGINEER II")</f>
        <v>ENGINEER II</v>
      </c>
      <c r="J3646" s="164"/>
      <c r="K3646" s="164" t="str">
        <f ca="1">IFERROR(__xludf.DUMMYFUNCTION("""COMPUTED_VALUE"""),"SPLIT PROJECT HIRED FVTS")</f>
        <v>SPLIT PROJECT HIRED FVTS</v>
      </c>
      <c r="L3646" s="164" t="str">
        <f ca="1">IFERROR(__xludf.DUMMYFUNCTION("""COMPUTED_VALUE"""),"DAR
 PROVINCIAL OFFICE")</f>
        <v>DAR
 PROVINCIAL OFFICE</v>
      </c>
      <c r="M3646" s="164" t="str">
        <f ca="1">IFERROR(__xludf.DUMMYFUNCTION("""COMPUTED_VALUE"""),"SERVICEABLE")</f>
        <v>SERVICEABLE</v>
      </c>
      <c r="N3646" s="164"/>
    </row>
    <row r="3647" spans="1:14" ht="13.2">
      <c r="A3647" s="164" t="str">
        <f ca="1">IFERROR(__xludf.DUMMYFUNCTION("""COMPUTED_VALUE"""),"Region X")</f>
        <v>Region X</v>
      </c>
      <c r="B3647" s="164" t="str">
        <f ca="1">IFERROR(__xludf.DUMMYFUNCTION("""COMPUTED_VALUE"""),"LANAO DEL NORTE")</f>
        <v>LANAO DEL NORTE</v>
      </c>
      <c r="C3647" s="164" t="str">
        <f ca="1">IFERROR(__xludf.DUMMYFUNCTION("""COMPUTED_VALUE"""),"Motorcycle – (Honda XRL 150)")</f>
        <v>Motorcycle – (Honda XRL 150)</v>
      </c>
      <c r="D3647" s="164" t="str">
        <f ca="1">IFERROR(__xludf.DUMMYFUNCTION("""COMPUTED_VALUE"""),"₱ 124,900.00")</f>
        <v>₱ 124,900.00</v>
      </c>
      <c r="E3647" s="164"/>
      <c r="F3647" s="164" t="str">
        <f ca="1">IFERROR(__xludf.DUMMYFUNCTION("""COMPUTED_VALUE"""),"2023-06-01-
 10202SP577-01")</f>
        <v>2023-06-01-
 10202SP577-01</v>
      </c>
      <c r="G3647" s="164"/>
      <c r="H3647" s="164" t="str">
        <f ca="1">IFERROR(__xludf.DUMMYFUNCTION("""COMPUTED_VALUE"""),"AHMED MIONDAS")</f>
        <v>AHMED MIONDAS</v>
      </c>
      <c r="I3647" s="164" t="str">
        <f ca="1">IFERROR(__xludf.DUMMYFUNCTION("""COMPUTED_VALUE"""),"ARPT")</f>
        <v>ARPT</v>
      </c>
      <c r="J3647" s="164"/>
      <c r="K3647" s="164" t="str">
        <f ca="1">IFERROR(__xludf.DUMMYFUNCTION("""COMPUTED_VALUE"""),"SPLIT PROJECT HIRED FVTS")</f>
        <v>SPLIT PROJECT HIRED FVTS</v>
      </c>
      <c r="L3647" s="164" t="str">
        <f ca="1">IFERROR(__xludf.DUMMYFUNCTION("""COMPUTED_VALUE"""),"DAR
 PROVINCIAL OFFICE")</f>
        <v>DAR
 PROVINCIAL OFFICE</v>
      </c>
      <c r="M3647" s="164" t="str">
        <f ca="1">IFERROR(__xludf.DUMMYFUNCTION("""COMPUTED_VALUE"""),"SERVICEABLE")</f>
        <v>SERVICEABLE</v>
      </c>
      <c r="N3647" s="164"/>
    </row>
    <row r="3648" spans="1:14" ht="13.2">
      <c r="A3648" s="164" t="str">
        <f ca="1">IFERROR(__xludf.DUMMYFUNCTION("""COMPUTED_VALUE"""),"Region X")</f>
        <v>Region X</v>
      </c>
      <c r="B3648" s="164" t="str">
        <f ca="1">IFERROR(__xludf.DUMMYFUNCTION("""COMPUTED_VALUE"""),"LANAO DEL NORTE")</f>
        <v>LANAO DEL NORTE</v>
      </c>
      <c r="C3648" s="164" t="str">
        <f ca="1">IFERROR(__xludf.DUMMYFUNCTION("""COMPUTED_VALUE"""),"Motorcycle – (Honda XRL 150)")</f>
        <v>Motorcycle – (Honda XRL 150)</v>
      </c>
      <c r="D3648" s="164" t="str">
        <f ca="1">IFERROR(__xludf.DUMMYFUNCTION("""COMPUTED_VALUE"""),"₱ 124,900.00")</f>
        <v>₱ 124,900.00</v>
      </c>
      <c r="E3648" s="164"/>
      <c r="F3648" s="164" t="str">
        <f ca="1">IFERROR(__xludf.DUMMYFUNCTION("""COMPUTED_VALUE"""),"2023-06-01-
 10202SP578-01")</f>
        <v>2023-06-01-
 10202SP578-01</v>
      </c>
      <c r="G3648" s="164"/>
      <c r="H3648" s="164" t="str">
        <f ca="1">IFERROR(__xludf.DUMMYFUNCTION("""COMPUTED_VALUE"""),"WITHOUT MR YET")</f>
        <v>WITHOUT MR YET</v>
      </c>
      <c r="I3648" s="164"/>
      <c r="J3648" s="164"/>
      <c r="K3648" s="164" t="str">
        <f ca="1">IFERROR(__xludf.DUMMYFUNCTION("""COMPUTED_VALUE"""),"WITHOUT MR YET")</f>
        <v>WITHOUT MR YET</v>
      </c>
      <c r="L3648" s="164" t="str">
        <f ca="1">IFERROR(__xludf.DUMMYFUNCTION("""COMPUTED_VALUE"""),"DAR")</f>
        <v>DAR</v>
      </c>
      <c r="M3648" s="164" t="str">
        <f ca="1">IFERROR(__xludf.DUMMYFUNCTION("""COMPUTED_VALUE"""),"SERVICEABLE")</f>
        <v>SERVICEABLE</v>
      </c>
      <c r="N3648" s="164"/>
    </row>
    <row r="3649" spans="1:14" ht="13.2">
      <c r="A3649" s="164" t="str">
        <f ca="1">IFERROR(__xludf.DUMMYFUNCTION("""COMPUTED_VALUE"""),"Region X")</f>
        <v>Region X</v>
      </c>
      <c r="B3649" s="164" t="str">
        <f ca="1">IFERROR(__xludf.DUMMYFUNCTION("""COMPUTED_VALUE"""),"LANAO DEL NORTE")</f>
        <v>LANAO DEL NORTE</v>
      </c>
      <c r="C3649" s="164" t="str">
        <f ca="1">IFERROR(__xludf.DUMMYFUNCTION("""COMPUTED_VALUE"""),"Motorcycle – (Honda XRL 150)")</f>
        <v>Motorcycle – (Honda XRL 150)</v>
      </c>
      <c r="D3649" s="164" t="str">
        <f ca="1">IFERROR(__xludf.DUMMYFUNCTION("""COMPUTED_VALUE"""),"₱ 124,900.00")</f>
        <v>₱ 124,900.00</v>
      </c>
      <c r="E3649" s="164"/>
      <c r="F3649" s="164" t="str">
        <f ca="1">IFERROR(__xludf.DUMMYFUNCTION("""COMPUTED_VALUE"""),"2023-06-01-
 10202SP579-01")</f>
        <v>2023-06-01-
 10202SP579-01</v>
      </c>
      <c r="G3649" s="164"/>
      <c r="H3649" s="164" t="str">
        <f ca="1">IFERROR(__xludf.DUMMYFUNCTION("""COMPUTED_VALUE"""),"AMINKHAIR BEN AMIN BUALAN")</f>
        <v>AMINKHAIR BEN AMIN BUALAN</v>
      </c>
      <c r="I3649" s="164" t="str">
        <f ca="1">IFERROR(__xludf.DUMMYFUNCTION("""COMPUTED_VALUE"""),"SURVEY COORDINATOR")</f>
        <v>SURVEY COORDINATOR</v>
      </c>
      <c r="J3649" s="164"/>
      <c r="K3649" s="164" t="str">
        <f ca="1">IFERROR(__xludf.DUMMYFUNCTION("""COMPUTED_VALUE"""),"AMINKHAIR BEN AMIN BUALAN")</f>
        <v>AMINKHAIR BEN AMIN BUALAN</v>
      </c>
      <c r="L3649" s="164" t="str">
        <f ca="1">IFERROR(__xludf.DUMMYFUNCTION("""COMPUTED_VALUE"""),"DAR
 PROVINCIAL")</f>
        <v>DAR
 PROVINCIAL</v>
      </c>
      <c r="M3649" s="164" t="str">
        <f ca="1">IFERROR(__xludf.DUMMYFUNCTION("""COMPUTED_VALUE"""),"SERVICEABLE")</f>
        <v>SERVICEABLE</v>
      </c>
      <c r="N3649" s="164"/>
    </row>
    <row r="3650" spans="1:14" ht="13.2">
      <c r="A3650" s="164" t="str">
        <f ca="1">IFERROR(__xludf.DUMMYFUNCTION("""COMPUTED_VALUE"""),"Region X")</f>
        <v>Region X</v>
      </c>
      <c r="B3650" s="164" t="str">
        <f ca="1">IFERROR(__xludf.DUMMYFUNCTION("""COMPUTED_VALUE"""),"LANAO DEL NORTE")</f>
        <v>LANAO DEL NORTE</v>
      </c>
      <c r="C3650" s="164" t="str">
        <f ca="1">IFERROR(__xludf.DUMMYFUNCTION("""COMPUTED_VALUE"""),"Motorcycle – (Honda XRL 150)")</f>
        <v>Motorcycle – (Honda XRL 150)</v>
      </c>
      <c r="D3650" s="164" t="str">
        <f ca="1">IFERROR(__xludf.DUMMYFUNCTION("""COMPUTED_VALUE"""),"₱ 124,900.00")</f>
        <v>₱ 124,900.00</v>
      </c>
      <c r="E3650" s="164"/>
      <c r="F3650" s="164" t="str">
        <f ca="1">IFERROR(__xludf.DUMMYFUNCTION("""COMPUTED_VALUE"""),"2023-06-01-
 10202SP580-01")</f>
        <v>2023-06-01-
 10202SP580-01</v>
      </c>
      <c r="G3650" s="164"/>
      <c r="H3650" s="164" t="str">
        <f ca="1">IFERROR(__xludf.DUMMYFUNCTION("""COMPUTED_VALUE"""),"HAMDAN! S. MAKABINTA")</f>
        <v>HAMDAN! S. MAKABINTA</v>
      </c>
      <c r="I3650" s="164" t="str">
        <f ca="1">IFERROR(__xludf.DUMMYFUNCTION("""COMPUTED_VALUE"""),"SARPT")</f>
        <v>SARPT</v>
      </c>
      <c r="J3650" s="164"/>
      <c r="K3650" s="164" t="str">
        <f ca="1">IFERROR(__xludf.DUMMYFUNCTION("""COMPUTED_VALUE"""),"HAMDAN! S. MAKABINTA")</f>
        <v>HAMDAN! S. MAKABINTA</v>
      </c>
      <c r="L3650" s="164" t="str">
        <f ca="1">IFERROR(__xludf.DUMMYFUNCTION("""COMPUTED_VALUE"""),"DAR
 PROVINCIAL")</f>
        <v>DAR
 PROVINCIAL</v>
      </c>
      <c r="M3650" s="164" t="str">
        <f ca="1">IFERROR(__xludf.DUMMYFUNCTION("""COMPUTED_VALUE"""),"SERVICEABLE")</f>
        <v>SERVICEABLE</v>
      </c>
      <c r="N3650" s="164"/>
    </row>
    <row r="3651" spans="1:14" ht="13.2">
      <c r="A3651" s="164" t="str">
        <f ca="1">IFERROR(__xludf.DUMMYFUNCTION("""COMPUTED_VALUE"""),"Region X")</f>
        <v>Region X</v>
      </c>
      <c r="B3651" s="164" t="str">
        <f ca="1">IFERROR(__xludf.DUMMYFUNCTION("""COMPUTED_VALUE"""),"LANAO DEL NORTE")</f>
        <v>LANAO DEL NORTE</v>
      </c>
      <c r="C3651" s="164" t="str">
        <f ca="1">IFERROR(__xludf.DUMMYFUNCTION("""COMPUTED_VALUE"""),"Motorcycle – (Honda XRL 150)")</f>
        <v>Motorcycle – (Honda XRL 150)</v>
      </c>
      <c r="D3651" s="164" t="str">
        <f ca="1">IFERROR(__xludf.DUMMYFUNCTION("""COMPUTED_VALUE"""),"₱ 124,900.00")</f>
        <v>₱ 124,900.00</v>
      </c>
      <c r="E3651" s="164"/>
      <c r="F3651" s="164" t="str">
        <f ca="1">IFERROR(__xludf.DUMMYFUNCTION("""COMPUTED_VALUE"""),"2023-06-01-
 10202SP581-01")</f>
        <v>2023-06-01-
 10202SP581-01</v>
      </c>
      <c r="G3651" s="164"/>
      <c r="H3651" s="164" t="str">
        <f ca="1">IFERROR(__xludf.DUMMYFUNCTION("""COMPUTED_VALUE"""),"AYOB L. SOMADING")</f>
        <v>AYOB L. SOMADING</v>
      </c>
      <c r="I3651" s="164" t="str">
        <f ca="1">IFERROR(__xludf.DUMMYFUNCTION("""COMPUTED_VALUE"""),"ARPT")</f>
        <v>ARPT</v>
      </c>
      <c r="J3651" s="164" t="str">
        <f ca="1">IFERROR(__xludf.DUMMYFUNCTION("""COMPUTED_VALUE"""),"2023-022")</f>
        <v>2023-022</v>
      </c>
      <c r="K3651" s="164" t="str">
        <f ca="1">IFERROR(__xludf.DUMMYFUNCTION("""COMPUTED_VALUE"""),"SPLIT PROJECT HIRED FVTS")</f>
        <v>SPLIT PROJECT HIRED FVTS</v>
      </c>
      <c r="L3651" s="164" t="str">
        <f ca="1">IFERROR(__xludf.DUMMYFUNCTION("""COMPUTED_VALUE"""),"DAR PROVINCIAL
 OFFICE")</f>
        <v>DAR PROVINCIAL
 OFFICE</v>
      </c>
      <c r="M3651" s="164" t="str">
        <f ca="1">IFERROR(__xludf.DUMMYFUNCTION("""COMPUTED_VALUE"""),"SERVICEABLE")</f>
        <v>SERVICEABLE</v>
      </c>
      <c r="N3651" s="164"/>
    </row>
    <row r="3652" spans="1:14" ht="13.2">
      <c r="A3652" s="164" t="str">
        <f ca="1">IFERROR(__xludf.DUMMYFUNCTION("""COMPUTED_VALUE"""),"Region X")</f>
        <v>Region X</v>
      </c>
      <c r="B3652" s="164" t="str">
        <f ca="1">IFERROR(__xludf.DUMMYFUNCTION("""COMPUTED_VALUE"""),"LANAO DEL NORTE")</f>
        <v>LANAO DEL NORTE</v>
      </c>
      <c r="C3652" s="164" t="str">
        <f ca="1">IFERROR(__xludf.DUMMYFUNCTION("""COMPUTED_VALUE"""),"Motorcycle – (Honda XRL 150)")</f>
        <v>Motorcycle – (Honda XRL 150)</v>
      </c>
      <c r="D3652" s="164" t="str">
        <f ca="1">IFERROR(__xludf.DUMMYFUNCTION("""COMPUTED_VALUE"""),"₱ 124,900.00")</f>
        <v>₱ 124,900.00</v>
      </c>
      <c r="E3652" s="164"/>
      <c r="F3652" s="164" t="str">
        <f ca="1">IFERROR(__xludf.DUMMYFUNCTION("""COMPUTED_VALUE"""),"2023-06-01-
 10202SP582-01")</f>
        <v>2023-06-01-
 10202SP582-01</v>
      </c>
      <c r="G3652" s="164"/>
      <c r="H3652" s="164" t="str">
        <f ca="1">IFERROR(__xludf.DUMMYFUNCTION("""COMPUTED_VALUE"""),"JEHANE NAYSSAH M. PACOTE")</f>
        <v>JEHANE NAYSSAH M. PACOTE</v>
      </c>
      <c r="I3652" s="164" t="str">
        <f ca="1">IFERROR(__xludf.DUMMYFUNCTION("""COMPUTED_VALUE"""),"SURVEYMAN")</f>
        <v>SURVEYMAN</v>
      </c>
      <c r="J3652" s="164" t="str">
        <f ca="1">IFERROR(__xludf.DUMMYFUNCTION("""COMPUTED_VALUE"""),"2023-023")</f>
        <v>2023-023</v>
      </c>
      <c r="K3652" s="164" t="str">
        <f ca="1">IFERROR(__xludf.DUMMYFUNCTION("""COMPUTED_VALUE"""),"SPLIT PROJECT HIRED FVTS")</f>
        <v>SPLIT PROJECT HIRED FVTS</v>
      </c>
      <c r="L3652" s="164" t="str">
        <f ca="1">IFERROR(__xludf.DUMMYFUNCTION("""COMPUTED_VALUE"""),"DAR
 PROVINCIAL OFFICE")</f>
        <v>DAR
 PROVINCIAL OFFICE</v>
      </c>
      <c r="M3652" s="164" t="str">
        <f ca="1">IFERROR(__xludf.DUMMYFUNCTION("""COMPUTED_VALUE"""),"SERVICEABLE")</f>
        <v>SERVICEABLE</v>
      </c>
      <c r="N3652" s="164"/>
    </row>
    <row r="3653" spans="1:14" ht="13.2">
      <c r="A3653" s="164" t="str">
        <f ca="1">IFERROR(__xludf.DUMMYFUNCTION("""COMPUTED_VALUE"""),"Region X")</f>
        <v>Region X</v>
      </c>
      <c r="B3653" s="164" t="str">
        <f ca="1">IFERROR(__xludf.DUMMYFUNCTION("""COMPUTED_VALUE"""),"LANAO DEL NORTE")</f>
        <v>LANAO DEL NORTE</v>
      </c>
      <c r="C3653" s="164" t="str">
        <f ca="1">IFERROR(__xludf.DUMMYFUNCTION("""COMPUTED_VALUE"""),"Motorcycle – (Honda XRL 150)")</f>
        <v>Motorcycle – (Honda XRL 150)</v>
      </c>
      <c r="D3653" s="164" t="str">
        <f ca="1">IFERROR(__xludf.DUMMYFUNCTION("""COMPUTED_VALUE"""),"₱ 124,900.00")</f>
        <v>₱ 124,900.00</v>
      </c>
      <c r="E3653" s="164"/>
      <c r="F3653" s="164" t="str">
        <f ca="1">IFERROR(__xludf.DUMMYFUNCTION("""COMPUTED_VALUE"""),"2023-06-01-
 10202SP583-01")</f>
        <v>2023-06-01-
 10202SP583-01</v>
      </c>
      <c r="G3653" s="164"/>
      <c r="H3653" s="164" t="str">
        <f ca="1">IFERROR(__xludf.DUMMYFUNCTION("""COMPUTED_VALUE"""),"RAYHANA M. MONTE")</f>
        <v>RAYHANA M. MONTE</v>
      </c>
      <c r="I3653" s="164" t="str">
        <f ca="1">IFERROR(__xludf.DUMMYFUNCTION("""COMPUTED_VALUE"""),"CASHIER/ PROJECT CASHIER")</f>
        <v>CASHIER/ PROJECT CASHIER</v>
      </c>
      <c r="J3653" s="164" t="str">
        <f ca="1">IFERROR(__xludf.DUMMYFUNCTION("""COMPUTED_VALUE"""),"2023-024")</f>
        <v>2023-024</v>
      </c>
      <c r="K3653" s="164" t="str">
        <f ca="1">IFERROR(__xludf.DUMMYFUNCTION("""COMPUTED_VALUE"""),"SOBAIR MINDALANO - CASHIER STAFF")</f>
        <v>SOBAIR MINDALANO - CASHIER STAFF</v>
      </c>
      <c r="L3653" s="164" t="str">
        <f ca="1">IFERROR(__xludf.DUMMYFUNCTION("""COMPUTED_VALUE"""),"DAR PROVINCIAL
 OFFICE")</f>
        <v>DAR PROVINCIAL
 OFFICE</v>
      </c>
      <c r="M3653" s="164" t="str">
        <f ca="1">IFERROR(__xludf.DUMMYFUNCTION("""COMPUTED_VALUE"""),"SERVICEABLE")</f>
        <v>SERVICEABLE</v>
      </c>
      <c r="N3653" s="164"/>
    </row>
    <row r="3654" spans="1:14" ht="13.2">
      <c r="A3654" s="164" t="str">
        <f ca="1">IFERROR(__xludf.DUMMYFUNCTION("""COMPUTED_VALUE"""),"Region X")</f>
        <v>Region X</v>
      </c>
      <c r="B3654" s="164" t="str">
        <f ca="1">IFERROR(__xludf.DUMMYFUNCTION("""COMPUTED_VALUE"""),"LANAO DEL NORTE")</f>
        <v>LANAO DEL NORTE</v>
      </c>
      <c r="C3654" s="164" t="str">
        <f ca="1">IFERROR(__xludf.DUMMYFUNCTION("""COMPUTED_VALUE"""),"Motorcycle – (Honda XRL 150)")</f>
        <v>Motorcycle – (Honda XRL 150)</v>
      </c>
      <c r="D3654" s="164" t="str">
        <f ca="1">IFERROR(__xludf.DUMMYFUNCTION("""COMPUTED_VALUE"""),"₱ 124,900.00")</f>
        <v>₱ 124,900.00</v>
      </c>
      <c r="E3654" s="164"/>
      <c r="F3654" s="164" t="str">
        <f ca="1">IFERROR(__xludf.DUMMYFUNCTION("""COMPUTED_VALUE"""),"2023-06-01-
 10202SP584-01")</f>
        <v>2023-06-01-
 10202SP584-01</v>
      </c>
      <c r="G3654" s="164"/>
      <c r="H3654" s="164" t="str">
        <f ca="1">IFERROR(__xludf.DUMMYFUNCTION("""COMPUTED_VALUE"""),"ABDULBASHET AROBINTO")</f>
        <v>ABDULBASHET AROBINTO</v>
      </c>
      <c r="I3654" s="164" t="str">
        <f ca="1">IFERROR(__xludf.DUMMYFUNCTION("""COMPUTED_VALUE"""),"ARPT / LEGAL OFFICER")</f>
        <v>ARPT / LEGAL OFFICER</v>
      </c>
      <c r="J3654" s="164" t="str">
        <f ca="1">IFERROR(__xludf.DUMMYFUNCTION("""COMPUTED_VALUE"""),"2023-025")</f>
        <v>2023-025</v>
      </c>
      <c r="K3654" s="164" t="str">
        <f ca="1">IFERROR(__xludf.DUMMYFUNCTION("""COMPUTED_VALUE"""),"ABDUL BASHET AROBINTO")</f>
        <v>ABDUL BASHET AROBINTO</v>
      </c>
      <c r="L3654" s="164" t="str">
        <f ca="1">IFERROR(__xludf.DUMMYFUNCTION("""COMPUTED_VALUE"""),"DAR
 PROVINCIAL OFFICE")</f>
        <v>DAR
 PROVINCIAL OFFICE</v>
      </c>
      <c r="M3654" s="164" t="str">
        <f ca="1">IFERROR(__xludf.DUMMYFUNCTION("""COMPUTED_VALUE"""),"SERVICEABLE")</f>
        <v>SERVICEABLE</v>
      </c>
      <c r="N3654" s="164"/>
    </row>
    <row r="3655" spans="1:14" ht="13.2">
      <c r="A3655" s="164" t="str">
        <f ca="1">IFERROR(__xludf.DUMMYFUNCTION("""COMPUTED_VALUE"""),"Region X")</f>
        <v>Region X</v>
      </c>
      <c r="B3655" s="164" t="str">
        <f ca="1">IFERROR(__xludf.DUMMYFUNCTION("""COMPUTED_VALUE"""),"LANAO DEL NORTE")</f>
        <v>LANAO DEL NORTE</v>
      </c>
      <c r="C3655" s="164" t="str">
        <f ca="1">IFERROR(__xludf.DUMMYFUNCTION("""COMPUTED_VALUE"""),"Motorcycle – (Honda XRL 150)")</f>
        <v>Motorcycle – (Honda XRL 150)</v>
      </c>
      <c r="D3655" s="164" t="str">
        <f ca="1">IFERROR(__xludf.DUMMYFUNCTION("""COMPUTED_VALUE"""),"₱ 124,900.00")</f>
        <v>₱ 124,900.00</v>
      </c>
      <c r="E3655" s="164"/>
      <c r="F3655" s="164" t="str">
        <f ca="1">IFERROR(__xludf.DUMMYFUNCTION("""COMPUTED_VALUE"""),"2023-06-01-
 10202SP585-01")</f>
        <v>2023-06-01-
 10202SP585-01</v>
      </c>
      <c r="G3655" s="164"/>
      <c r="H3655" s="164" t="str">
        <f ca="1">IFERROR(__xludf.DUMMYFUNCTION("""COMPUTED_VALUE"""),"ABULKHAYR A. ISMAEL")</f>
        <v>ABULKHAYR A. ISMAEL</v>
      </c>
      <c r="I3655" s="164" t="str">
        <f ca="1">IFERROR(__xludf.DUMMYFUNCTION("""COMPUTED_VALUE"""),"SARPO")</f>
        <v>SARPO</v>
      </c>
      <c r="J3655" s="164" t="str">
        <f ca="1">IFERROR(__xludf.DUMMYFUNCTION("""COMPUTED_VALUE"""),"2023-026")</f>
        <v>2023-026</v>
      </c>
      <c r="K3655" s="164" t="str">
        <f ca="1">IFERROR(__xludf.DUMMYFUNCTION("""COMPUTED_VALUE"""),"ABULKHAYR A. ISMAEL")</f>
        <v>ABULKHAYR A. ISMAEL</v>
      </c>
      <c r="L3655" s="164" t="str">
        <f ca="1">IFERROR(__xludf.DUMMYFUNCTION("""COMPUTED_VALUE"""),"DAR PROVINCIAL OFFICE")</f>
        <v>DAR PROVINCIAL OFFICE</v>
      </c>
      <c r="M3655" s="164" t="str">
        <f ca="1">IFERROR(__xludf.DUMMYFUNCTION("""COMPUTED_VALUE"""),"SERVICEABLE")</f>
        <v>SERVICEABLE</v>
      </c>
      <c r="N3655" s="164"/>
    </row>
    <row r="3656" spans="1:14" ht="13.2">
      <c r="A3656" s="164" t="str">
        <f ca="1">IFERROR(__xludf.DUMMYFUNCTION("""COMPUTED_VALUE"""),"Region X")</f>
        <v>Region X</v>
      </c>
      <c r="B3656" s="164" t="str">
        <f ca="1">IFERROR(__xludf.DUMMYFUNCTION("""COMPUTED_VALUE"""),"LANAO DEL NORTE")</f>
        <v>LANAO DEL NORTE</v>
      </c>
      <c r="C3656" s="164" t="str">
        <f ca="1">IFERROR(__xludf.DUMMYFUNCTION("""COMPUTED_VALUE"""),"Motorcycle – (Honda XRL 150)")</f>
        <v>Motorcycle – (Honda XRL 150)</v>
      </c>
      <c r="D3656" s="164" t="str">
        <f ca="1">IFERROR(__xludf.DUMMYFUNCTION("""COMPUTED_VALUE"""),"₱ 124,900.00")</f>
        <v>₱ 124,900.00</v>
      </c>
      <c r="E3656" s="164"/>
      <c r="F3656" s="164" t="str">
        <f ca="1">IFERROR(__xludf.DUMMYFUNCTION("""COMPUTED_VALUE"""),"2023-06-01-
 10202SP586-01")</f>
        <v>2023-06-01-
 10202SP586-01</v>
      </c>
      <c r="G3656" s="164"/>
      <c r="H3656" s="164" t="str">
        <f ca="1">IFERROR(__xludf.DUMMYFUNCTION("""COMPUTED_VALUE"""),"VASHER A. MACAAYAN")</f>
        <v>VASHER A. MACAAYAN</v>
      </c>
      <c r="I3656" s="164" t="str">
        <f ca="1">IFERROR(__xludf.DUMMYFUNCTION("""COMPUTED_VALUE"""),"ARPT")</f>
        <v>ARPT</v>
      </c>
      <c r="J3656" s="164" t="str">
        <f ca="1">IFERROR(__xludf.DUMMYFUNCTION("""COMPUTED_VALUE"""),"2023-027")</f>
        <v>2023-027</v>
      </c>
      <c r="K3656" s="164" t="str">
        <f ca="1">IFERROR(__xludf.DUMMYFUNCTION("""COMPUTED_VALUE"""),"VASHER A. MACAAYAN")</f>
        <v>VASHER A. MACAAYAN</v>
      </c>
      <c r="L3656" s="164" t="str">
        <f ca="1">IFERROR(__xludf.DUMMYFUNCTION("""COMPUTED_VALUE"""),"DAR
 PROVINCIAL OFFICE")</f>
        <v>DAR
 PROVINCIAL OFFICE</v>
      </c>
      <c r="M3656" s="164" t="str">
        <f ca="1">IFERROR(__xludf.DUMMYFUNCTION("""COMPUTED_VALUE"""),"SERVICEABLE")</f>
        <v>SERVICEABLE</v>
      </c>
      <c r="N3656" s="164"/>
    </row>
    <row r="3657" spans="1:14" ht="13.2">
      <c r="A3657" s="164" t="str">
        <f ca="1">IFERROR(__xludf.DUMMYFUNCTION("""COMPUTED_VALUE"""),"Region X")</f>
        <v>Region X</v>
      </c>
      <c r="B3657" s="164" t="str">
        <f ca="1">IFERROR(__xludf.DUMMYFUNCTION("""COMPUTED_VALUE"""),"LANAO DEL NORTE")</f>
        <v>LANAO DEL NORTE</v>
      </c>
      <c r="C3657" s="164" t="str">
        <f ca="1">IFERROR(__xludf.DUMMYFUNCTION("""COMPUTED_VALUE"""),"Motorcycle – (Honda XRL 150)")</f>
        <v>Motorcycle – (Honda XRL 150)</v>
      </c>
      <c r="D3657" s="164" t="str">
        <f ca="1">IFERROR(__xludf.DUMMYFUNCTION("""COMPUTED_VALUE"""),"₱ 124,900.00")</f>
        <v>₱ 124,900.00</v>
      </c>
      <c r="E3657" s="164"/>
      <c r="F3657" s="164" t="str">
        <f ca="1">IFERROR(__xludf.DUMMYFUNCTION("""COMPUTED_VALUE"""),"2023-06-01-
 10202SP587-01")</f>
        <v>2023-06-01-
 10202SP587-01</v>
      </c>
      <c r="G3657" s="164"/>
      <c r="H3657" s="164" t="str">
        <f ca="1">IFERROR(__xludf.DUMMYFUNCTION("""COMPUTED_VALUE"""),"STEPHINE L. CHAN")</f>
        <v>STEPHINE L. CHAN</v>
      </c>
      <c r="I3657" s="164" t="str">
        <f ca="1">IFERROR(__xludf.DUMMYFUNCTION("""COMPUTED_VALUE"""),"M &amp; E COORDINATOR")</f>
        <v>M &amp; E COORDINATOR</v>
      </c>
      <c r="J3657" s="164" t="str">
        <f ca="1">IFERROR(__xludf.DUMMYFUNCTION("""COMPUTED_VALUE"""),"2023-028")</f>
        <v>2023-028</v>
      </c>
      <c r="K3657" s="164" t="str">
        <f ca="1">IFERROR(__xludf.DUMMYFUNCTION("""COMPUTED_VALUE"""),"SPLIT PROJECT HIRED FVTS")</f>
        <v>SPLIT PROJECT HIRED FVTS</v>
      </c>
      <c r="L3657" s="164" t="str">
        <f ca="1">IFERROR(__xludf.DUMMYFUNCTION("""COMPUTED_VALUE"""),"DAR PROVINCIAL OFFICE")</f>
        <v>DAR PROVINCIAL OFFICE</v>
      </c>
      <c r="M3657" s="164" t="str">
        <f ca="1">IFERROR(__xludf.DUMMYFUNCTION("""COMPUTED_VALUE"""),"SERVICEABLE")</f>
        <v>SERVICEABLE</v>
      </c>
      <c r="N3657" s="164"/>
    </row>
    <row r="3658" spans="1:14" ht="13.2">
      <c r="A3658" s="164" t="str">
        <f ca="1">IFERROR(__xludf.DUMMYFUNCTION("""COMPUTED_VALUE"""),"Region X")</f>
        <v>Region X</v>
      </c>
      <c r="B3658" s="164" t="str">
        <f ca="1">IFERROR(__xludf.DUMMYFUNCTION("""COMPUTED_VALUE"""),"LANAO DEL NORTE")</f>
        <v>LANAO DEL NORTE</v>
      </c>
      <c r="C3658" s="164" t="str">
        <f ca="1">IFERROR(__xludf.DUMMYFUNCTION("""COMPUTED_VALUE"""),"Double Cabin Pick-up Vehicles – Mitsubishi Strada")</f>
        <v>Double Cabin Pick-up Vehicles – Mitsubishi Strada</v>
      </c>
      <c r="D3658" s="164" t="str">
        <f ca="1">IFERROR(__xludf.DUMMYFUNCTION("""COMPUTED_VALUE"""),"₱ 1,752,400.00")</f>
        <v>₱ 1,752,400.00</v>
      </c>
      <c r="E3658" s="164"/>
      <c r="F3658" s="164" t="str">
        <f ca="1">IFERROR(__xludf.DUMMYFUNCTION("""COMPUTED_VALUE"""),"2023-06-01-10201SP115-01")</f>
        <v>2023-06-01-10201SP115-01</v>
      </c>
      <c r="G3658" s="164" t="str">
        <f ca="1">IFERROR(__xludf.DUMMYFUNCTION("""COMPUTED_VALUE"""),"SNC 1143")</f>
        <v>SNC 1143</v>
      </c>
      <c r="H3658" s="164" t="str">
        <f ca="1">IFERROR(__xludf.DUMMYFUNCTION("""COMPUTED_VALUE"""),"JAMIEL BELGADO")</f>
        <v>JAMIEL BELGADO</v>
      </c>
      <c r="I3658" s="164" t="str">
        <f ca="1">IFERROR(__xludf.DUMMYFUNCTION("""COMPUTED_VALUE"""),"CHIEF, GEN. SERVICES/
 TECH. STAFF 3 PROCUREMENT OFFICER")</f>
        <v>CHIEF, GEN. SERVICES/
 TECH. STAFF 3 PROCUREMENT OFFICER</v>
      </c>
      <c r="J3658" s="164"/>
      <c r="K3658" s="164" t="str">
        <f ca="1">IFERROR(__xludf.DUMMYFUNCTION("""COMPUTED_VALUE"""),"MARIE VIL M. CODILLA, JD PARPO II / PROJECT MANAGER")</f>
        <v>MARIE VIL M. CODILLA, JD PARPO II / PROJECT MANAGER</v>
      </c>
      <c r="L3658" s="164" t="str">
        <f ca="1">IFERROR(__xludf.DUMMYFUNCTION("""COMPUTED_VALUE"""),"DAR PROVINCIAL OFFICE")</f>
        <v>DAR PROVINCIAL OFFICE</v>
      </c>
      <c r="M3658" s="164" t="str">
        <f ca="1">IFERROR(__xludf.DUMMYFUNCTION("""COMPUTED_VALUE"""),"SERVICEABLE")</f>
        <v>SERVICEABLE</v>
      </c>
      <c r="N3658" s="164"/>
    </row>
    <row r="3659" spans="1:14" ht="13.2" hidden="1">
      <c r="A3659" s="164" t="str">
        <f ca="1">IFERROR(__xludf.DUMMYFUNCTION("""COMPUTED_VALUE"""),"Region X")</f>
        <v>Region X</v>
      </c>
      <c r="B3659" s="164" t="str">
        <f ca="1">IFERROR(__xludf.DUMMYFUNCTION("""COMPUTED_VALUE"""),"MISAMIS OCCIDENTAL")</f>
        <v>MISAMIS OCCIDENTAL</v>
      </c>
      <c r="C3659" s="164" t="str">
        <f ca="1">IFERROR(__xludf.DUMMYFUNCTION("""COMPUTED_VALUE"""),"Motorcycle – (Honda XRL 150)")</f>
        <v>Motorcycle – (Honda XRL 150)</v>
      </c>
      <c r="D3659" s="164" t="str">
        <f ca="1">IFERROR(__xludf.DUMMYFUNCTION("""COMPUTED_VALUE"""),"₱ 124,900.00")</f>
        <v>₱ 124,900.00</v>
      </c>
      <c r="E3659" s="164"/>
      <c r="F3659" s="164" t="str">
        <f ca="1">IFERROR(__xludf.DUMMYFUNCTION("""COMPUTED_VALUE"""),"2023-06-01-
 1202SP594-01")</f>
        <v>2023-06-01-
 1202SP594-01</v>
      </c>
      <c r="G3659" s="164"/>
      <c r="H3659" s="164" t="str">
        <f ca="1">IFERROR(__xludf.DUMMYFUNCTION("""COMPUTED_VALUE"""),"KAREEN MAE M. ESPIGA")</f>
        <v>KAREEN MAE M. ESPIGA</v>
      </c>
      <c r="I3659" s="164" t="str">
        <f ca="1">IFERROR(__xludf.DUMMYFUNCTION("""COMPUTED_VALUE"""),"CARPO ARBDSP")</f>
        <v>CARPO ARBDSP</v>
      </c>
      <c r="J3659" s="164"/>
      <c r="K3659" s="164" t="str">
        <f ca="1">IFERROR(__xludf.DUMMYFUNCTION("""COMPUTED_VALUE"""),"KAREEN MAE M. ESPIGA")</f>
        <v>KAREEN MAE M. ESPIGA</v>
      </c>
      <c r="L3659" s="164" t="str">
        <f ca="1">IFERROR(__xludf.DUMMYFUNCTION("""COMPUTED_VALUE"""),"DARPO-ARBDSP")</f>
        <v>DARPO-ARBDSP</v>
      </c>
      <c r="M3659" s="164" t="str">
        <f ca="1">IFERROR(__xludf.DUMMYFUNCTION("""COMPUTED_VALUE"""),"SERVICEABLE")</f>
        <v>SERVICEABLE</v>
      </c>
      <c r="N3659" s="164"/>
    </row>
    <row r="3660" spans="1:14" ht="13.2" hidden="1">
      <c r="A3660" s="164" t="str">
        <f ca="1">IFERROR(__xludf.DUMMYFUNCTION("""COMPUTED_VALUE"""),"Region X")</f>
        <v>Region X</v>
      </c>
      <c r="B3660" s="164" t="str">
        <f ca="1">IFERROR(__xludf.DUMMYFUNCTION("""COMPUTED_VALUE"""),"MISAMIS OCCIDENTAL")</f>
        <v>MISAMIS OCCIDENTAL</v>
      </c>
      <c r="C3660" s="164" t="str">
        <f ca="1">IFERROR(__xludf.DUMMYFUNCTION("""COMPUTED_VALUE"""),"Motorcycle – (Honda XRL 150)")</f>
        <v>Motorcycle – (Honda XRL 150)</v>
      </c>
      <c r="D3660" s="164" t="str">
        <f ca="1">IFERROR(__xludf.DUMMYFUNCTION("""COMPUTED_VALUE"""),"₱ 124,900.00")</f>
        <v>₱ 124,900.00</v>
      </c>
      <c r="E3660" s="164"/>
      <c r="F3660" s="164" t="str">
        <f ca="1">IFERROR(__xludf.DUMMYFUNCTION("""COMPUTED_VALUE"""),"2023-06-01-
 102025SP591-01")</f>
        <v>2023-06-01-
 102025SP591-01</v>
      </c>
      <c r="G3660" s="164"/>
      <c r="H3660" s="164" t="str">
        <f ca="1">IFERROR(__xludf.DUMMYFUNCTION("""COMPUTED_VALUE"""),"MERLE A. GEPAYO")</f>
        <v>MERLE A. GEPAYO</v>
      </c>
      <c r="I3660" s="164" t="str">
        <f ca="1">IFERROR(__xludf.DUMMYFUNCTION("""COMPUTED_VALUE"""),"ARPO II")</f>
        <v>ARPO II</v>
      </c>
      <c r="J3660" s="164"/>
      <c r="K3660" s="164" t="str">
        <f ca="1">IFERROR(__xludf.DUMMYFUNCTION("""COMPUTED_VALUE"""),"MERLE A. GEPAYO")</f>
        <v>MERLE A. GEPAYO</v>
      </c>
      <c r="L3660" s="164" t="str">
        <f ca="1">IFERROR(__xludf.DUMMYFUNCTION("""COMPUTED_VALUE"""),"DARPO-LEGAL")</f>
        <v>DARPO-LEGAL</v>
      </c>
      <c r="M3660" s="164" t="str">
        <f ca="1">IFERROR(__xludf.DUMMYFUNCTION("""COMPUTED_VALUE"""),"SERVICEABLE")</f>
        <v>SERVICEABLE</v>
      </c>
      <c r="N3660" s="164"/>
    </row>
    <row r="3661" spans="1:14" ht="13.2" hidden="1">
      <c r="A3661" s="164" t="str">
        <f ca="1">IFERROR(__xludf.DUMMYFUNCTION("""COMPUTED_VALUE"""),"Region X")</f>
        <v>Region X</v>
      </c>
      <c r="B3661" s="164" t="str">
        <f ca="1">IFERROR(__xludf.DUMMYFUNCTION("""COMPUTED_VALUE"""),"MISAMIS OCCIDENTAL")</f>
        <v>MISAMIS OCCIDENTAL</v>
      </c>
      <c r="C3661" s="164" t="str">
        <f ca="1">IFERROR(__xludf.DUMMYFUNCTION("""COMPUTED_VALUE"""),"Motorcycle – (Honda XRL 150)")</f>
        <v>Motorcycle – (Honda XRL 150)</v>
      </c>
      <c r="D3661" s="164" t="str">
        <f ca="1">IFERROR(__xludf.DUMMYFUNCTION("""COMPUTED_VALUE"""),"₱ 124,900.00")</f>
        <v>₱ 124,900.00</v>
      </c>
      <c r="E3661" s="164"/>
      <c r="F3661" s="164" t="str">
        <f ca="1">IFERROR(__xludf.DUMMYFUNCTION("""COMPUTED_VALUE"""),"2023-06-01-
 1202SP595-01")</f>
        <v>2023-06-01-
 1202SP595-01</v>
      </c>
      <c r="G3661" s="164"/>
      <c r="H3661" s="164" t="str">
        <f ca="1">IFERROR(__xludf.DUMMYFUNCTION("""COMPUTED_VALUE"""),"CHERYLC.BERNALDO")</f>
        <v>CHERYLC.BERNALDO</v>
      </c>
      <c r="I3661" s="164" t="str">
        <f ca="1">IFERROR(__xludf.DUMMYFUNCTION("""COMPUTED_VALUE"""),"AOIV")</f>
        <v>AOIV</v>
      </c>
      <c r="J3661" s="164"/>
      <c r="K3661" s="164" t="str">
        <f ca="1">IFERROR(__xludf.DUMMYFUNCTION("""COMPUTED_VALUE"""),"CHERYLC.BERNALDO")</f>
        <v>CHERYLC.BERNALDO</v>
      </c>
      <c r="L3661" s="164" t="str">
        <f ca="1">IFERROR(__xludf.DUMMYFUNCTION("""COMPUTED_VALUE"""),"DARPO-STOD")</f>
        <v>DARPO-STOD</v>
      </c>
      <c r="M3661" s="164" t="str">
        <f ca="1">IFERROR(__xludf.DUMMYFUNCTION("""COMPUTED_VALUE"""),"SERVICEABLE")</f>
        <v>SERVICEABLE</v>
      </c>
      <c r="N3661" s="164"/>
    </row>
    <row r="3662" spans="1:14" ht="13.2" hidden="1">
      <c r="A3662" s="164" t="str">
        <f ca="1">IFERROR(__xludf.DUMMYFUNCTION("""COMPUTED_VALUE"""),"Region X")</f>
        <v>Region X</v>
      </c>
      <c r="B3662" s="164" t="str">
        <f ca="1">IFERROR(__xludf.DUMMYFUNCTION("""COMPUTED_VALUE"""),"MISAMIS OCCIDENTAL")</f>
        <v>MISAMIS OCCIDENTAL</v>
      </c>
      <c r="C3662" s="164" t="str">
        <f ca="1">IFERROR(__xludf.DUMMYFUNCTION("""COMPUTED_VALUE"""),"Motorcycle – (Honda XRL 150)")</f>
        <v>Motorcycle – (Honda XRL 150)</v>
      </c>
      <c r="D3662" s="164" t="str">
        <f ca="1">IFERROR(__xludf.DUMMYFUNCTION("""COMPUTED_VALUE"""),"₱ 124,900.00")</f>
        <v>₱ 124,900.00</v>
      </c>
      <c r="E3662" s="164"/>
      <c r="F3662" s="164" t="str">
        <f ca="1">IFERROR(__xludf.DUMMYFUNCTION("""COMPUTED_VALUE"""),"2023-06-01-
 1202SP589-01")</f>
        <v>2023-06-01-
 1202SP589-01</v>
      </c>
      <c r="G3662" s="164"/>
      <c r="H3662" s="164" t="str">
        <f ca="1">IFERROR(__xludf.DUMMYFUNCTION("""COMPUTED_VALUE"""),"DANILO M. PILAR")</f>
        <v>DANILO M. PILAR</v>
      </c>
      <c r="I3662" s="164" t="str">
        <f ca="1">IFERROR(__xludf.DUMMYFUNCTION("""COMPUTED_VALUE"""),"CARPO LTSP")</f>
        <v>CARPO LTSP</v>
      </c>
      <c r="J3662" s="164"/>
      <c r="K3662" s="164" t="str">
        <f ca="1">IFERROR(__xludf.DUMMYFUNCTION("""COMPUTED_VALUE"""),"DANILO M. PILAR")</f>
        <v>DANILO M. PILAR</v>
      </c>
      <c r="L3662" s="164" t="str">
        <f ca="1">IFERROR(__xludf.DUMMYFUNCTION("""COMPUTED_VALUE"""),"DARPO-LTSP")</f>
        <v>DARPO-LTSP</v>
      </c>
      <c r="M3662" s="164" t="str">
        <f ca="1">IFERROR(__xludf.DUMMYFUNCTION("""COMPUTED_VALUE"""),"SERVICEABLE")</f>
        <v>SERVICEABLE</v>
      </c>
      <c r="N3662" s="164"/>
    </row>
    <row r="3663" spans="1:14" ht="13.2" hidden="1">
      <c r="A3663" s="164" t="str">
        <f ca="1">IFERROR(__xludf.DUMMYFUNCTION("""COMPUTED_VALUE"""),"Region X")</f>
        <v>Region X</v>
      </c>
      <c r="B3663" s="164" t="str">
        <f ca="1">IFERROR(__xludf.DUMMYFUNCTION("""COMPUTED_VALUE"""),"MISAMIS OCCIDENTAL")</f>
        <v>MISAMIS OCCIDENTAL</v>
      </c>
      <c r="C3663" s="164" t="str">
        <f ca="1">IFERROR(__xludf.DUMMYFUNCTION("""COMPUTED_VALUE"""),"Motorcycle – (Honda XRL 150)")</f>
        <v>Motorcycle – (Honda XRL 150)</v>
      </c>
      <c r="D3663" s="164" t="str">
        <f ca="1">IFERROR(__xludf.DUMMYFUNCTION("""COMPUTED_VALUE"""),"₱ 124,900.00")</f>
        <v>₱ 124,900.00</v>
      </c>
      <c r="E3663" s="164"/>
      <c r="F3663" s="164" t="str">
        <f ca="1">IFERROR(__xludf.DUMMYFUNCTION("""COMPUTED_VALUE"""),"2023-06-01-
 1202SP590-01")</f>
        <v>2023-06-01-
 1202SP590-01</v>
      </c>
      <c r="G3663" s="164"/>
      <c r="H3663" s="164" t="str">
        <f ca="1">IFERROR(__xludf.DUMMYFUNCTION("""COMPUTED_VALUE"""),"DANILO M. PILAR")</f>
        <v>DANILO M. PILAR</v>
      </c>
      <c r="I3663" s="164" t="str">
        <f ca="1">IFERROR(__xludf.DUMMYFUNCTION("""COMPUTED_VALUE"""),"CARPO LTSP")</f>
        <v>CARPO LTSP</v>
      </c>
      <c r="J3663" s="164"/>
      <c r="K3663" s="164" t="str">
        <f ca="1">IFERROR(__xludf.DUMMYFUNCTION("""COMPUTED_VALUE"""),"DANILO M. PILAR")</f>
        <v>DANILO M. PILAR</v>
      </c>
      <c r="L3663" s="164" t="str">
        <f ca="1">IFERROR(__xludf.DUMMYFUNCTION("""COMPUTED_VALUE"""),"DARPO-LTSP")</f>
        <v>DARPO-LTSP</v>
      </c>
      <c r="M3663" s="164" t="str">
        <f ca="1">IFERROR(__xludf.DUMMYFUNCTION("""COMPUTED_VALUE"""),"SERVICEABLE")</f>
        <v>SERVICEABLE</v>
      </c>
      <c r="N3663" s="164"/>
    </row>
    <row r="3664" spans="1:14" ht="13.2" hidden="1">
      <c r="A3664" s="164" t="str">
        <f ca="1">IFERROR(__xludf.DUMMYFUNCTION("""COMPUTED_VALUE"""),"Region X")</f>
        <v>Region X</v>
      </c>
      <c r="B3664" s="164" t="str">
        <f ca="1">IFERROR(__xludf.DUMMYFUNCTION("""COMPUTED_VALUE"""),"MISAMIS OCCIDENTAL")</f>
        <v>MISAMIS OCCIDENTAL</v>
      </c>
      <c r="C3664" s="164" t="str">
        <f ca="1">IFERROR(__xludf.DUMMYFUNCTION("""COMPUTED_VALUE"""),"Motorcycle – (Honda XRL 150)")</f>
        <v>Motorcycle – (Honda XRL 150)</v>
      </c>
      <c r="D3664" s="164" t="str">
        <f ca="1">IFERROR(__xludf.DUMMYFUNCTION("""COMPUTED_VALUE"""),"₱ 124,900.00")</f>
        <v>₱ 124,900.00</v>
      </c>
      <c r="E3664" s="164"/>
      <c r="F3664" s="164" t="str">
        <f ca="1">IFERROR(__xludf.DUMMYFUNCTION("""COMPUTED_VALUE"""),"2023-06-01-
 1202SP588-01")</f>
        <v>2023-06-01-
 1202SP588-01</v>
      </c>
      <c r="G3664" s="164"/>
      <c r="H3664" s="164" t="str">
        <f ca="1">IFERROR(__xludf.DUMMYFUNCTION("""COMPUTED_VALUE"""),"DANILO M. PILAR")</f>
        <v>DANILO M. PILAR</v>
      </c>
      <c r="I3664" s="164" t="str">
        <f ca="1">IFERROR(__xludf.DUMMYFUNCTION("""COMPUTED_VALUE"""),"CARPO LTSP")</f>
        <v>CARPO LTSP</v>
      </c>
      <c r="J3664" s="164"/>
      <c r="K3664" s="164" t="str">
        <f ca="1">IFERROR(__xludf.DUMMYFUNCTION("""COMPUTED_VALUE"""),"DANILO M. PILAR")</f>
        <v>DANILO M. PILAR</v>
      </c>
      <c r="L3664" s="164" t="str">
        <f ca="1">IFERROR(__xludf.DUMMYFUNCTION("""COMPUTED_VALUE"""),"DARPO-LTSP")</f>
        <v>DARPO-LTSP</v>
      </c>
      <c r="M3664" s="164" t="str">
        <f ca="1">IFERROR(__xludf.DUMMYFUNCTION("""COMPUTED_VALUE"""),"SERVICEABLE")</f>
        <v>SERVICEABLE</v>
      </c>
      <c r="N3664" s="164"/>
    </row>
    <row r="3665" spans="1:14" ht="13.2" hidden="1">
      <c r="A3665" s="164" t="str">
        <f ca="1">IFERROR(__xludf.DUMMYFUNCTION("""COMPUTED_VALUE"""),"Region X")</f>
        <v>Region X</v>
      </c>
      <c r="B3665" s="164" t="str">
        <f ca="1">IFERROR(__xludf.DUMMYFUNCTION("""COMPUTED_VALUE"""),"MISAMIS OCCIDENTAL")</f>
        <v>MISAMIS OCCIDENTAL</v>
      </c>
      <c r="C3665" s="164" t="str">
        <f ca="1">IFERROR(__xludf.DUMMYFUNCTION("""COMPUTED_VALUE"""),"Motorcycle – (Honda XRL 150)")</f>
        <v>Motorcycle – (Honda XRL 150)</v>
      </c>
      <c r="D3665" s="164" t="str">
        <f ca="1">IFERROR(__xludf.DUMMYFUNCTION("""COMPUTED_VALUE"""),"₱ 124,900.00")</f>
        <v>₱ 124,900.00</v>
      </c>
      <c r="E3665" s="164"/>
      <c r="F3665" s="164" t="str">
        <f ca="1">IFERROR(__xludf.DUMMYFUNCTION("""COMPUTED_VALUE"""),"2023-06-01-
 1202SP593-01")</f>
        <v>2023-06-01-
 1202SP593-01</v>
      </c>
      <c r="G3665" s="164"/>
      <c r="H3665" s="164" t="str">
        <f ca="1">IFERROR(__xludf.DUMMYFUNCTION("""COMPUTED_VALUE"""),"DANILO M. PILAR")</f>
        <v>DANILO M. PILAR</v>
      </c>
      <c r="I3665" s="164" t="str">
        <f ca="1">IFERROR(__xludf.DUMMYFUNCTION("""COMPUTED_VALUE"""),"CARPO LTSP")</f>
        <v>CARPO LTSP</v>
      </c>
      <c r="J3665" s="164"/>
      <c r="K3665" s="164" t="str">
        <f ca="1">IFERROR(__xludf.DUMMYFUNCTION("""COMPUTED_VALUE"""),"DANILO M. PILAR")</f>
        <v>DANILO M. PILAR</v>
      </c>
      <c r="L3665" s="164" t="str">
        <f ca="1">IFERROR(__xludf.DUMMYFUNCTION("""COMPUTED_VALUE"""),"DARPO-LTSP")</f>
        <v>DARPO-LTSP</v>
      </c>
      <c r="M3665" s="164" t="str">
        <f ca="1">IFERROR(__xludf.DUMMYFUNCTION("""COMPUTED_VALUE"""),"SERVICEABLE")</f>
        <v>SERVICEABLE</v>
      </c>
      <c r="N3665" s="164"/>
    </row>
    <row r="3666" spans="1:14" ht="13.2" hidden="1">
      <c r="A3666" s="164" t="str">
        <f ca="1">IFERROR(__xludf.DUMMYFUNCTION("""COMPUTED_VALUE"""),"Region X")</f>
        <v>Region X</v>
      </c>
      <c r="B3666" s="164" t="str">
        <f ca="1">IFERROR(__xludf.DUMMYFUNCTION("""COMPUTED_VALUE"""),"MISAMIS OCCIDENTAL")</f>
        <v>MISAMIS OCCIDENTAL</v>
      </c>
      <c r="C3666" s="164" t="str">
        <f ca="1">IFERROR(__xludf.DUMMYFUNCTION("""COMPUTED_VALUE"""),"Motorcycle – (Honda XRL 150)")</f>
        <v>Motorcycle – (Honda XRL 150)</v>
      </c>
      <c r="D3666" s="164" t="str">
        <f ca="1">IFERROR(__xludf.DUMMYFUNCTION("""COMPUTED_VALUE"""),"₱ 124,900.00")</f>
        <v>₱ 124,900.00</v>
      </c>
      <c r="E3666" s="164"/>
      <c r="F3666" s="164" t="str">
        <f ca="1">IFERROR(__xludf.DUMMYFUNCTION("""COMPUTED_VALUE"""),"2023-06-01-
 1202SP592-01")</f>
        <v>2023-06-01-
 1202SP592-01</v>
      </c>
      <c r="G3666" s="164"/>
      <c r="H3666" s="164" t="str">
        <f ca="1">IFERROR(__xludf.DUMMYFUNCTION("""COMPUTED_VALUE"""),"MOHAMMAD ABDUL
 JABBARM. PANDAPATAN,DPA")</f>
        <v>MOHAMMAD ABDUL
 JABBARM. PANDAPATAN,DPA</v>
      </c>
      <c r="I3666" s="164" t="str">
        <f ca="1">IFERROR(__xludf.DUMMYFUNCTION("""COMPUTED_VALUE"""),"PARPO II")</f>
        <v>PARPO II</v>
      </c>
      <c r="J3666" s="164"/>
      <c r="K3666" s="164" t="str">
        <f ca="1">IFERROR(__xludf.DUMMYFUNCTION("""COMPUTED_VALUE"""),"MOHAMMAD ABDUL JABBARM. PANDAPATAN, DPA")</f>
        <v>MOHAMMAD ABDUL JABBARM. PANDAPATAN, DPA</v>
      </c>
      <c r="L3666" s="164" t="str">
        <f ca="1">IFERROR(__xludf.DUMMYFUNCTION("""COMPUTED_VALUE"""),"PARPO II OFFICE")</f>
        <v>PARPO II OFFICE</v>
      </c>
      <c r="M3666" s="164" t="str">
        <f ca="1">IFERROR(__xludf.DUMMYFUNCTION("""COMPUTED_VALUE"""),"SERVICEABLE")</f>
        <v>SERVICEABLE</v>
      </c>
      <c r="N3666" s="164"/>
    </row>
    <row r="3667" spans="1:14" ht="13.2" hidden="1">
      <c r="A3667" s="164" t="str">
        <f ca="1">IFERROR(__xludf.DUMMYFUNCTION("""COMPUTED_VALUE"""),"Region X")</f>
        <v>Region X</v>
      </c>
      <c r="B3667" s="164" t="str">
        <f ca="1">IFERROR(__xludf.DUMMYFUNCTION("""COMPUTED_VALUE"""),"MISAMIS OCCIDENTAL")</f>
        <v>MISAMIS OCCIDENTAL</v>
      </c>
      <c r="C3667" s="164" t="str">
        <f ca="1">IFERROR(__xludf.DUMMYFUNCTION("""COMPUTED_VALUE"""),"Double Cabin Pick-up Vehicles – Mitsubishi Strada")</f>
        <v>Double Cabin Pick-up Vehicles – Mitsubishi Strada</v>
      </c>
      <c r="D3667" s="164" t="str">
        <f ca="1">IFERROR(__xludf.DUMMYFUNCTION("""COMPUTED_VALUE"""),"₱ 1,752,400.00")</f>
        <v>₱ 1,752,400.00</v>
      </c>
      <c r="E3667" s="164"/>
      <c r="F3667" s="164" t="str">
        <f ca="1">IFERROR(__xludf.DUMMYFUNCTION("""COMPUTED_VALUE"""),"2023-06-01-10201SP118-01")</f>
        <v>2023-06-01-10201SP118-01</v>
      </c>
      <c r="G3667" s="164" t="str">
        <f ca="1">IFERROR(__xludf.DUMMYFUNCTION("""COMPUTED_VALUE"""),"SNC 1313")</f>
        <v>SNC 1313</v>
      </c>
      <c r="H3667" s="164" t="str">
        <f ca="1">IFERROR(__xludf.DUMMYFUNCTION("""COMPUTED_VALUE"""),"MOHAMMAD ABDUL
 JABBARM. PANDAPATAN,DPA")</f>
        <v>MOHAMMAD ABDUL
 JABBARM. PANDAPATAN,DPA</v>
      </c>
      <c r="I3667" s="164" t="str">
        <f ca="1">IFERROR(__xludf.DUMMYFUNCTION("""COMPUTED_VALUE"""),"PARPO II")</f>
        <v>PARPO II</v>
      </c>
      <c r="J3667" s="164" t="str">
        <f ca="1">IFERROR(__xludf.DUMMYFUNCTION("""COMPUTED_VALUE"""),"DAR-SPLIT- 2023-023")</f>
        <v>DAR-SPLIT- 2023-023</v>
      </c>
      <c r="K3667" s="164" t="str">
        <f ca="1">IFERROR(__xludf.DUMMYFUNCTION("""COMPUTED_VALUE"""),"MOHAMMAD ABDUL JABBARM. PANDAPATAN, DPA")</f>
        <v>MOHAMMAD ABDUL JABBARM. PANDAPATAN, DPA</v>
      </c>
      <c r="L3667" s="164" t="str">
        <f ca="1">IFERROR(__xludf.DUMMYFUNCTION("""COMPUTED_VALUE"""),"PARPO II OFFICE")</f>
        <v>PARPO II OFFICE</v>
      </c>
      <c r="M3667" s="164" t="str">
        <f ca="1">IFERROR(__xludf.DUMMYFUNCTION("""COMPUTED_VALUE"""),"SERVICEABLE")</f>
        <v>SERVICEABLE</v>
      </c>
      <c r="N3667" s="164"/>
    </row>
    <row r="3668" spans="1:14" ht="13.2" hidden="1">
      <c r="A3668" s="164" t="str">
        <f ca="1">IFERROR(__xludf.DUMMYFUNCTION("""COMPUTED_VALUE"""),"Region X")</f>
        <v>Region X</v>
      </c>
      <c r="B3668" s="164" t="str">
        <f ca="1">IFERROR(__xludf.DUMMYFUNCTION("""COMPUTED_VALUE"""),"MISAMIS ORIENTAL")</f>
        <v>MISAMIS ORIENTAL</v>
      </c>
      <c r="C3668" s="164" t="str">
        <f ca="1">IFERROR(__xludf.DUMMYFUNCTION("""COMPUTED_VALUE"""),"Motorcycle – (Honda XRL 150)")</f>
        <v>Motorcycle – (Honda XRL 150)</v>
      </c>
      <c r="D3668" s="164" t="str">
        <f ca="1">IFERROR(__xludf.DUMMYFUNCTION("""COMPUTED_VALUE"""),"₱ 124,900.00")</f>
        <v>₱ 124,900.00</v>
      </c>
      <c r="E3668" s="164"/>
      <c r="F3668" s="164" t="str">
        <f ca="1">IFERROR(__xludf.DUMMYFUNCTION("""COMPUTED_VALUE"""),"2023-06-01-
 10202SP596-01")</f>
        <v>2023-06-01-
 10202SP596-01</v>
      </c>
      <c r="G3668" s="164"/>
      <c r="H3668" s="164" t="str">
        <f ca="1">IFERROR(__xludf.DUMMYFUNCTION("""COMPUTED_VALUE"""),"ALAIN BENEDICT BARBA")</f>
        <v>ALAIN BENEDICT BARBA</v>
      </c>
      <c r="I3668" s="164" t="str">
        <f ca="1">IFERROR(__xludf.DUMMYFUNCTION("""COMPUTED_VALUE"""),"ARPO II")</f>
        <v>ARPO II</v>
      </c>
      <c r="J3668" s="164" t="str">
        <f ca="1">IFERROR(__xludf.DUMMYFUNCTION("""COMPUTED_VALUE"""),"2023-PAR-08-
 0001")</f>
        <v>2023-PAR-08-
 0001</v>
      </c>
      <c r="K3668" s="164" t="str">
        <f ca="1">IFERROR(__xludf.DUMMYFUNCTION("""COMPUTED_VALUE"""),"ALAIN BENEDICT BARBA")</f>
        <v>ALAIN BENEDICT BARBA</v>
      </c>
      <c r="L3668" s="164" t="str">
        <f ca="1">IFERROR(__xludf.DUMMYFUNCTION("""COMPUTED_VALUE"""),"DARPO-LEGAL")</f>
        <v>DARPO-LEGAL</v>
      </c>
      <c r="M3668" s="164" t="str">
        <f ca="1">IFERROR(__xludf.DUMMYFUNCTION("""COMPUTED_VALUE"""),"SERVICEABLE")</f>
        <v>SERVICEABLE</v>
      </c>
      <c r="N3668" s="164"/>
    </row>
    <row r="3669" spans="1:14" ht="13.2" hidden="1">
      <c r="A3669" s="164" t="str">
        <f ca="1">IFERROR(__xludf.DUMMYFUNCTION("""COMPUTED_VALUE"""),"Region X")</f>
        <v>Region X</v>
      </c>
      <c r="B3669" s="164" t="str">
        <f ca="1">IFERROR(__xludf.DUMMYFUNCTION("""COMPUTED_VALUE"""),"MISAMIS ORIENTAL")</f>
        <v>MISAMIS ORIENTAL</v>
      </c>
      <c r="C3669" s="164" t="str">
        <f ca="1">IFERROR(__xludf.DUMMYFUNCTION("""COMPUTED_VALUE"""),"Motorcycle – (Honda XRL 150)")</f>
        <v>Motorcycle – (Honda XRL 150)</v>
      </c>
      <c r="D3669" s="164" t="str">
        <f ca="1">IFERROR(__xludf.DUMMYFUNCTION("""COMPUTED_VALUE"""),"₱ 124,900.00")</f>
        <v>₱ 124,900.00</v>
      </c>
      <c r="E3669" s="164"/>
      <c r="F3669" s="164" t="str">
        <f ca="1">IFERROR(__xludf.DUMMYFUNCTION("""COMPUTED_VALUE"""),"2023-06-01-
 10202SP602-01")</f>
        <v>2023-06-01-
 10202SP602-01</v>
      </c>
      <c r="G3669" s="164"/>
      <c r="H3669" s="164" t="str">
        <f ca="1">IFERROR(__xludf.DUMMYFUNCTION("""COMPUTED_VALUE"""),"ARGELSALISE")</f>
        <v>ARGELSALISE</v>
      </c>
      <c r="I3669" s="164" t="str">
        <f ca="1">IFERROR(__xludf.DUMMYFUNCTION("""COMPUTED_VALUE"""),"SARPT")</f>
        <v>SARPT</v>
      </c>
      <c r="J3669" s="164" t="str">
        <f ca="1">IFERROR(__xludf.DUMMYFUNCTION("""COMPUTED_VALUE"""),"2023-PAR-08-
 0004")</f>
        <v>2023-PAR-08-
 0004</v>
      </c>
      <c r="K3669" s="164" t="str">
        <f ca="1">IFERROR(__xludf.DUMMYFUNCTION("""COMPUTED_VALUE"""),"ARGEL SAUSE")</f>
        <v>ARGEL SAUSE</v>
      </c>
      <c r="L3669" s="164" t="str">
        <f ca="1">IFERROR(__xludf.DUMMYFUNCTION("""COMPUTED_VALUE"""),"CLUSTER 1 MARO")</f>
        <v>CLUSTER 1 MARO</v>
      </c>
      <c r="M3669" s="164" t="str">
        <f ca="1">IFERROR(__xludf.DUMMYFUNCTION("""COMPUTED_VALUE"""),"SERVICEABLE")</f>
        <v>SERVICEABLE</v>
      </c>
      <c r="N3669" s="164"/>
    </row>
    <row r="3670" spans="1:14" ht="13.2" hidden="1">
      <c r="A3670" s="164" t="str">
        <f ca="1">IFERROR(__xludf.DUMMYFUNCTION("""COMPUTED_VALUE"""),"Region X")</f>
        <v>Region X</v>
      </c>
      <c r="B3670" s="164" t="str">
        <f ca="1">IFERROR(__xludf.DUMMYFUNCTION("""COMPUTED_VALUE"""),"MISAMIS ORIENTAL")</f>
        <v>MISAMIS ORIENTAL</v>
      </c>
      <c r="C3670" s="164" t="str">
        <f ca="1">IFERROR(__xludf.DUMMYFUNCTION("""COMPUTED_VALUE"""),"Motorcycle – (Honda XRL 150)")</f>
        <v>Motorcycle – (Honda XRL 150)</v>
      </c>
      <c r="D3670" s="164" t="str">
        <f ca="1">IFERROR(__xludf.DUMMYFUNCTION("""COMPUTED_VALUE"""),"₱ 124,900.00")</f>
        <v>₱ 124,900.00</v>
      </c>
      <c r="E3670" s="164"/>
      <c r="F3670" s="164" t="str">
        <f ca="1">IFERROR(__xludf.DUMMYFUNCTION("""COMPUTED_VALUE"""),"2023-06-01-
 10202SP599-01")</f>
        <v>2023-06-01-
 10202SP599-01</v>
      </c>
      <c r="G3670" s="164"/>
      <c r="H3670" s="164" t="str">
        <f ca="1">IFERROR(__xludf.DUMMYFUNCTION("""COMPUTED_VALUE"""),"CERILO PALONGPALONG")</f>
        <v>CERILO PALONGPALONG</v>
      </c>
      <c r="I3670" s="164" t="str">
        <f ca="1">IFERROR(__xludf.DUMMYFUNCTION("""COMPUTED_VALUE"""),"ASST. STAT.")</f>
        <v>ASST. STAT.</v>
      </c>
      <c r="J3670" s="164" t="str">
        <f ca="1">IFERROR(__xludf.DUMMYFUNCTION("""COMPUTED_VALUE"""),"2023-PAR-08-
 0006")</f>
        <v>2023-PAR-08-
 0006</v>
      </c>
      <c r="K3670" s="164" t="str">
        <f ca="1">IFERROR(__xludf.DUMMYFUNCTION("""COMPUTED_VALUE"""),"CERILO PALONGPALONG")</f>
        <v>CERILO PALONGPALONG</v>
      </c>
      <c r="L3670" s="164" t="str">
        <f ca="1">IFERROR(__xludf.DUMMYFUNCTION("""COMPUTED_VALUE"""),"CLUSTER 3 MARO")</f>
        <v>CLUSTER 3 MARO</v>
      </c>
      <c r="M3670" s="164" t="str">
        <f ca="1">IFERROR(__xludf.DUMMYFUNCTION("""COMPUTED_VALUE"""),"SERVICEABLE")</f>
        <v>SERVICEABLE</v>
      </c>
      <c r="N3670" s="164"/>
    </row>
    <row r="3671" spans="1:14" ht="13.2" hidden="1">
      <c r="A3671" s="164" t="str">
        <f ca="1">IFERROR(__xludf.DUMMYFUNCTION("""COMPUTED_VALUE"""),"Region X")</f>
        <v>Region X</v>
      </c>
      <c r="B3671" s="164" t="str">
        <f ca="1">IFERROR(__xludf.DUMMYFUNCTION("""COMPUTED_VALUE"""),"MISAMIS ORIENTAL")</f>
        <v>MISAMIS ORIENTAL</v>
      </c>
      <c r="C3671" s="164" t="str">
        <f ca="1">IFERROR(__xludf.DUMMYFUNCTION("""COMPUTED_VALUE"""),"Motorcycle – (Honda XRL 150)")</f>
        <v>Motorcycle – (Honda XRL 150)</v>
      </c>
      <c r="D3671" s="164" t="str">
        <f ca="1">IFERROR(__xludf.DUMMYFUNCTION("""COMPUTED_VALUE"""),"₱ 124,900.00")</f>
        <v>₱ 124,900.00</v>
      </c>
      <c r="E3671" s="164"/>
      <c r="F3671" s="164" t="str">
        <f ca="1">IFERROR(__xludf.DUMMYFUNCTION("""COMPUTED_VALUE"""),"2023-06-01-
 10202SP605-01")</f>
        <v>2023-06-01-
 10202SP605-01</v>
      </c>
      <c r="G3671" s="164"/>
      <c r="H3671" s="164" t="str">
        <f ca="1">IFERROR(__xludf.DUMMYFUNCTION("""COMPUTED_VALUE"""),"FRANCIS PADILLA")</f>
        <v>FRANCIS PADILLA</v>
      </c>
      <c r="I3671" s="164" t="str">
        <f ca="1">IFERROR(__xludf.DUMMYFUNCTION("""COMPUTED_VALUE"""),"MARO")</f>
        <v>MARO</v>
      </c>
      <c r="J3671" s="164" t="str">
        <f ca="1">IFERROR(__xludf.DUMMYFUNCTION("""COMPUTED_VALUE"""),"2023-PAR-08-
 0023")</f>
        <v>2023-PAR-08-
 0023</v>
      </c>
      <c r="K3671" s="164" t="str">
        <f ca="1">IFERROR(__xludf.DUMMYFUNCTION("""COMPUTED_VALUE"""),"FRANCIS PADILLA")</f>
        <v>FRANCIS PADILLA</v>
      </c>
      <c r="L3671" s="164" t="str">
        <f ca="1">IFERROR(__xludf.DUMMYFUNCTION("""COMPUTED_VALUE"""),"CLUSTER4 MARO")</f>
        <v>CLUSTER4 MARO</v>
      </c>
      <c r="M3671" s="164" t="str">
        <f ca="1">IFERROR(__xludf.DUMMYFUNCTION("""COMPUTED_VALUE"""),"SERVICEABLE")</f>
        <v>SERVICEABLE</v>
      </c>
      <c r="N3671" s="164"/>
    </row>
    <row r="3672" spans="1:14" ht="13.2" hidden="1">
      <c r="A3672" s="164" t="str">
        <f ca="1">IFERROR(__xludf.DUMMYFUNCTION("""COMPUTED_VALUE"""),"Region X")</f>
        <v>Region X</v>
      </c>
      <c r="B3672" s="164" t="str">
        <f ca="1">IFERROR(__xludf.DUMMYFUNCTION("""COMPUTED_VALUE"""),"MISAMIS ORIENTAL")</f>
        <v>MISAMIS ORIENTAL</v>
      </c>
      <c r="C3672" s="164" t="str">
        <f ca="1">IFERROR(__xludf.DUMMYFUNCTION("""COMPUTED_VALUE"""),"Motorcycle – (Honda XRL 150)")</f>
        <v>Motorcycle – (Honda XRL 150)</v>
      </c>
      <c r="D3672" s="164" t="str">
        <f ca="1">IFERROR(__xludf.DUMMYFUNCTION("""COMPUTED_VALUE"""),"₱ 124,900.00")</f>
        <v>₱ 124,900.00</v>
      </c>
      <c r="E3672" s="164"/>
      <c r="F3672" s="164" t="str">
        <f ca="1">IFERROR(__xludf.DUMMYFUNCTION("""COMPUTED_VALUE"""),"2023-06-01-
 10202SP604-01")</f>
        <v>2023-06-01-
 10202SP604-01</v>
      </c>
      <c r="G3672" s="164"/>
      <c r="H3672" s="164" t="str">
        <f ca="1">IFERROR(__xludf.DUMMYFUNCTION("""COMPUTED_VALUE"""),"AUDIE SACLOTE")</f>
        <v>AUDIE SACLOTE</v>
      </c>
      <c r="I3672" s="164" t="str">
        <f ca="1">IFERROR(__xludf.DUMMYFUNCTION("""COMPUTED_VALUE"""),"MARO")</f>
        <v>MARO</v>
      </c>
      <c r="J3672" s="164" t="str">
        <f ca="1">IFERROR(__xludf.DUMMYFUNCTION("""COMPUTED_VALUE"""),"2023-PAR-08-
 0002")</f>
        <v>2023-PAR-08-
 0002</v>
      </c>
      <c r="K3672" s="164" t="str">
        <f ca="1">IFERROR(__xludf.DUMMYFUNCTION("""COMPUTED_VALUE"""),"AUDIE SACLOTE")</f>
        <v>AUDIE SACLOTE</v>
      </c>
      <c r="L3672" s="164" t="str">
        <f ca="1">IFERROR(__xludf.DUMMYFUNCTION("""COMPUTED_VALUE"""),"CLUSTER 5 MARO")</f>
        <v>CLUSTER 5 MARO</v>
      </c>
      <c r="M3672" s="164" t="str">
        <f ca="1">IFERROR(__xludf.DUMMYFUNCTION("""COMPUTED_VALUE"""),"SERVICEABLE")</f>
        <v>SERVICEABLE</v>
      </c>
      <c r="N3672" s="164"/>
    </row>
    <row r="3673" spans="1:14" ht="13.2" hidden="1">
      <c r="A3673" s="164" t="str">
        <f ca="1">IFERROR(__xludf.DUMMYFUNCTION("""COMPUTED_VALUE"""),"Region X")</f>
        <v>Region X</v>
      </c>
      <c r="B3673" s="164" t="str">
        <f ca="1">IFERROR(__xludf.DUMMYFUNCTION("""COMPUTED_VALUE"""),"MISAMIS ORIENTAL")</f>
        <v>MISAMIS ORIENTAL</v>
      </c>
      <c r="C3673" s="164" t="str">
        <f ca="1">IFERROR(__xludf.DUMMYFUNCTION("""COMPUTED_VALUE"""),"Motorcycle – (Honda XRL 150)")</f>
        <v>Motorcycle – (Honda XRL 150)</v>
      </c>
      <c r="D3673" s="164" t="str">
        <f ca="1">IFERROR(__xludf.DUMMYFUNCTION("""COMPUTED_VALUE"""),"₱ 124,900.00")</f>
        <v>₱ 124,900.00</v>
      </c>
      <c r="E3673" s="164"/>
      <c r="F3673" s="164" t="str">
        <f ca="1">IFERROR(__xludf.DUMMYFUNCTION("""COMPUTED_VALUE"""),"2023-06-01-
 10202SP597-01")</f>
        <v>2023-06-01-
 10202SP597-01</v>
      </c>
      <c r="G3673" s="164"/>
      <c r="H3673" s="164" t="str">
        <f ca="1">IFERROR(__xludf.DUMMYFUNCTION("""COMPUTED_VALUE"""),"NOEL SUPREMO")</f>
        <v>NOEL SUPREMO</v>
      </c>
      <c r="I3673" s="164" t="str">
        <f ca="1">IFERROR(__xludf.DUMMYFUNCTION("""COMPUTED_VALUE"""),"CARPO")</f>
        <v>CARPO</v>
      </c>
      <c r="J3673" s="164" t="str">
        <f ca="1">IFERROR(__xludf.DUMMYFUNCTION("""COMPUTED_VALUE"""),"2023-PAR-08-
 0009")</f>
        <v>2023-PAR-08-
 0009</v>
      </c>
      <c r="K3673" s="164" t="str">
        <f ca="1">IFERROR(__xludf.DUMMYFUNCTION("""COMPUTED_VALUE"""),"JAYSON ABENIS")</f>
        <v>JAYSON ABENIS</v>
      </c>
      <c r="L3673" s="164" t="str">
        <f ca="1">IFERROR(__xludf.DUMMYFUNCTION("""COMPUTED_VALUE"""),"DARPO-LTID")</f>
        <v>DARPO-LTID</v>
      </c>
      <c r="M3673" s="164" t="str">
        <f ca="1">IFERROR(__xludf.DUMMYFUNCTION("""COMPUTED_VALUE"""),"SERVICEABLE")</f>
        <v>SERVICEABLE</v>
      </c>
      <c r="N3673" s="164"/>
    </row>
    <row r="3674" spans="1:14" ht="13.2" hidden="1">
      <c r="A3674" s="164" t="str">
        <f ca="1">IFERROR(__xludf.DUMMYFUNCTION("""COMPUTED_VALUE"""),"Region X")</f>
        <v>Region X</v>
      </c>
      <c r="B3674" s="164" t="str">
        <f ca="1">IFERROR(__xludf.DUMMYFUNCTION("""COMPUTED_VALUE"""),"MISAMIS ORIENTAL")</f>
        <v>MISAMIS ORIENTAL</v>
      </c>
      <c r="C3674" s="164" t="str">
        <f ca="1">IFERROR(__xludf.DUMMYFUNCTION("""COMPUTED_VALUE"""),"Motorcycle – (Honda XRL 150)")</f>
        <v>Motorcycle – (Honda XRL 150)</v>
      </c>
      <c r="D3674" s="164" t="str">
        <f ca="1">IFERROR(__xludf.DUMMYFUNCTION("""COMPUTED_VALUE"""),"₱ 124,900.00")</f>
        <v>₱ 124,900.00</v>
      </c>
      <c r="E3674" s="164"/>
      <c r="F3674" s="164" t="str">
        <f ca="1">IFERROR(__xludf.DUMMYFUNCTION("""COMPUTED_VALUE"""),"2023-06-01-
 10202SP598-01")</f>
        <v>2023-06-01-
 10202SP598-01</v>
      </c>
      <c r="G3674" s="164"/>
      <c r="H3674" s="164" t="str">
        <f ca="1">IFERROR(__xludf.DUMMYFUNCTION("""COMPUTED_VALUE"""),"NOEL SUPREMO")</f>
        <v>NOEL SUPREMO</v>
      </c>
      <c r="I3674" s="164" t="str">
        <f ca="1">IFERROR(__xludf.DUMMYFUNCTION("""COMPUTED_VALUE"""),"CARPO")</f>
        <v>CARPO</v>
      </c>
      <c r="J3674" s="164" t="str">
        <f ca="1">IFERROR(__xludf.DUMMYFUNCTION("""COMPUTED_VALUE"""),"2023-PAR-08-
 0008")</f>
        <v>2023-PAR-08-
 0008</v>
      </c>
      <c r="K3674" s="164" t="str">
        <f ca="1">IFERROR(__xludf.DUMMYFUNCTION("""COMPUTED_VALUE"""),"JOHN ELEAZAR PACANA")</f>
        <v>JOHN ELEAZAR PACANA</v>
      </c>
      <c r="L3674" s="164" t="str">
        <f ca="1">IFERROR(__xludf.DUMMYFUNCTION("""COMPUTED_VALUE"""),"DARPO-LTID")</f>
        <v>DARPO-LTID</v>
      </c>
      <c r="M3674" s="164" t="str">
        <f ca="1">IFERROR(__xludf.DUMMYFUNCTION("""COMPUTED_VALUE"""),"SERVICEABLE")</f>
        <v>SERVICEABLE</v>
      </c>
      <c r="N3674" s="164"/>
    </row>
    <row r="3675" spans="1:14" ht="13.2" hidden="1">
      <c r="A3675" s="164" t="str">
        <f ca="1">IFERROR(__xludf.DUMMYFUNCTION("""COMPUTED_VALUE"""),"Region X")</f>
        <v>Region X</v>
      </c>
      <c r="B3675" s="164" t="str">
        <f ca="1">IFERROR(__xludf.DUMMYFUNCTION("""COMPUTED_VALUE"""),"MISAMIS ORIENTAL")</f>
        <v>MISAMIS ORIENTAL</v>
      </c>
      <c r="C3675" s="164" t="str">
        <f ca="1">IFERROR(__xludf.DUMMYFUNCTION("""COMPUTED_VALUE"""),"Motorcycle – (Honda XRL 150)")</f>
        <v>Motorcycle – (Honda XRL 150)</v>
      </c>
      <c r="D3675" s="164" t="str">
        <f ca="1">IFERROR(__xludf.DUMMYFUNCTION("""COMPUTED_VALUE"""),"₱ 124,900.00")</f>
        <v>₱ 124,900.00</v>
      </c>
      <c r="E3675" s="164"/>
      <c r="F3675" s="164" t="str">
        <f ca="1">IFERROR(__xludf.DUMMYFUNCTION("""COMPUTED_VALUE"""),"2023-06-01-
 10202SP601-01")</f>
        <v>2023-06-01-
 10202SP601-01</v>
      </c>
      <c r="G3675" s="164"/>
      <c r="H3675" s="164" t="str">
        <f ca="1">IFERROR(__xludf.DUMMYFUNCTION("""COMPUTED_VALUE"""),"NOEL SUPREMO")</f>
        <v>NOEL SUPREMO</v>
      </c>
      <c r="I3675" s="164" t="str">
        <f ca="1">IFERROR(__xludf.DUMMYFUNCTION("""COMPUTED_VALUE"""),"CARPO")</f>
        <v>CARPO</v>
      </c>
      <c r="J3675" s="164" t="str">
        <f ca="1">IFERROR(__xludf.DUMMYFUNCTION("""COMPUTED_VALUE"""),"2023-PAR-08-
 0010")</f>
        <v>2023-PAR-08-
 0010</v>
      </c>
      <c r="K3675" s="164" t="str">
        <f ca="1">IFERROR(__xludf.DUMMYFUNCTION("""COMPUTED_VALUE"""),"JOHN MARK BADARAN")</f>
        <v>JOHN MARK BADARAN</v>
      </c>
      <c r="L3675" s="164" t="str">
        <f ca="1">IFERROR(__xludf.DUMMYFUNCTION("""COMPUTED_VALUE"""),"DARPO-LTID")</f>
        <v>DARPO-LTID</v>
      </c>
      <c r="M3675" s="164" t="str">
        <f ca="1">IFERROR(__xludf.DUMMYFUNCTION("""COMPUTED_VALUE"""),"SERVICEABLE")</f>
        <v>SERVICEABLE</v>
      </c>
      <c r="N3675" s="164"/>
    </row>
    <row r="3676" spans="1:14" ht="13.2" hidden="1">
      <c r="A3676" s="164" t="str">
        <f ca="1">IFERROR(__xludf.DUMMYFUNCTION("""COMPUTED_VALUE"""),"Region X")</f>
        <v>Region X</v>
      </c>
      <c r="B3676" s="164" t="str">
        <f ca="1">IFERROR(__xludf.DUMMYFUNCTION("""COMPUTED_VALUE"""),"MISAMIS ORIENTAL")</f>
        <v>MISAMIS ORIENTAL</v>
      </c>
      <c r="C3676" s="164" t="str">
        <f ca="1">IFERROR(__xludf.DUMMYFUNCTION("""COMPUTED_VALUE"""),"Motorcycle – (Honda XRL 150)")</f>
        <v>Motorcycle – (Honda XRL 150)</v>
      </c>
      <c r="D3676" s="164" t="str">
        <f ca="1">IFERROR(__xludf.DUMMYFUNCTION("""COMPUTED_VALUE"""),"₱ 124,900.00")</f>
        <v>₱ 124,900.00</v>
      </c>
      <c r="E3676" s="164"/>
      <c r="F3676" s="164" t="str">
        <f ca="1">IFERROR(__xludf.DUMMYFUNCTION("""COMPUTED_VALUE"""),"2023-06-01-
 10202SP600-01")</f>
        <v>2023-06-01-
 10202SP600-01</v>
      </c>
      <c r="G3676" s="164"/>
      <c r="H3676" s="164" t="str">
        <f ca="1">IFERROR(__xludf.DUMMYFUNCTION("""COMPUTED_VALUE"""),"ABDUL RAHMAN TAMPI")</f>
        <v>ABDUL RAHMAN TAMPI</v>
      </c>
      <c r="I3676" s="164" t="str">
        <f ca="1">IFERROR(__xludf.DUMMYFUNCTION("""COMPUTED_VALUE"""),"ARPT")</f>
        <v>ARPT</v>
      </c>
      <c r="J3676" s="164" t="str">
        <f ca="1">IFERROR(__xludf.DUMMYFUNCTION("""COMPUTED_VALUE"""),"2023-PAR-08-
 0007")</f>
        <v>2023-PAR-08-
 0007</v>
      </c>
      <c r="K3676" s="164" t="str">
        <f ca="1">IFERROR(__xludf.DUMMYFUNCTION("""COMPUTED_VALUE"""),"ABDUL RAHMAN TAMPI")</f>
        <v>ABDUL RAHMAN TAMPI</v>
      </c>
      <c r="L3676" s="164" t="str">
        <f ca="1">IFERROR(__xludf.DUMMYFUNCTION("""COMPUTED_VALUE"""),"CLUSTER 2 MARO")</f>
        <v>CLUSTER 2 MARO</v>
      </c>
      <c r="M3676" s="164" t="str">
        <f ca="1">IFERROR(__xludf.DUMMYFUNCTION("""COMPUTED_VALUE"""),"SERVICEABLE")</f>
        <v>SERVICEABLE</v>
      </c>
      <c r="N3676" s="164"/>
    </row>
    <row r="3677" spans="1:14" ht="13.2" hidden="1">
      <c r="A3677" s="164" t="str">
        <f ca="1">IFERROR(__xludf.DUMMYFUNCTION("""COMPUTED_VALUE"""),"Region X")</f>
        <v>Region X</v>
      </c>
      <c r="B3677" s="164" t="str">
        <f ca="1">IFERROR(__xludf.DUMMYFUNCTION("""COMPUTED_VALUE"""),"MISAMIS ORIENTAL")</f>
        <v>MISAMIS ORIENTAL</v>
      </c>
      <c r="C3677" s="164" t="str">
        <f ca="1">IFERROR(__xludf.DUMMYFUNCTION("""COMPUTED_VALUE"""),"Motorcycle – (Honda XRL 150)")</f>
        <v>Motorcycle – (Honda XRL 150)</v>
      </c>
      <c r="D3677" s="164" t="str">
        <f ca="1">IFERROR(__xludf.DUMMYFUNCTION("""COMPUTED_VALUE"""),"₱ 124,900.00")</f>
        <v>₱ 124,900.00</v>
      </c>
      <c r="E3677" s="164"/>
      <c r="F3677" s="164" t="str">
        <f ca="1">IFERROR(__xludf.DUMMYFUNCTION("""COMPUTED_VALUE"""),"2023-06-01-
 10202SP600-01")</f>
        <v>2023-06-01-
 10202SP600-01</v>
      </c>
      <c r="G3677" s="164"/>
      <c r="H3677" s="164" t="str">
        <f ca="1">IFERROR(__xludf.DUMMYFUNCTION("""COMPUTED_VALUE"""),"KERNEL CLETUS PATROCINIO")</f>
        <v>KERNEL CLETUS PATROCINIO</v>
      </c>
      <c r="I3677" s="164" t="str">
        <f ca="1">IFERROR(__xludf.DUMMYFUNCTION("""COMPUTED_VALUE"""),"ARPT")</f>
        <v>ARPT</v>
      </c>
      <c r="J3677" s="164" t="str">
        <f ca="1">IFERROR(__xludf.DUMMYFUNCTION("""COMPUTED_VALUE"""),"2023-PAR-08-
 0003")</f>
        <v>2023-PAR-08-
 0003</v>
      </c>
      <c r="K3677" s="164" t="str">
        <f ca="1">IFERROR(__xludf.DUMMYFUNCTION("""COMPUTED_VALUE"""),"KERNEL CLETUS PATROCINIO")</f>
        <v>KERNEL CLETUS PATROCINIO</v>
      </c>
      <c r="L3677" s="164" t="str">
        <f ca="1">IFERROR(__xludf.DUMMYFUNCTION("""COMPUTED_VALUE"""),"DARPO-PBD")</f>
        <v>DARPO-PBD</v>
      </c>
      <c r="M3677" s="164" t="str">
        <f ca="1">IFERROR(__xludf.DUMMYFUNCTION("""COMPUTED_VALUE"""),"SERVICEABLE")</f>
        <v>SERVICEABLE</v>
      </c>
      <c r="N3677" s="164"/>
    </row>
    <row r="3678" spans="1:14" ht="13.2" hidden="1">
      <c r="A3678" s="164" t="str">
        <f ca="1">IFERROR(__xludf.DUMMYFUNCTION("""COMPUTED_VALUE"""),"Region X")</f>
        <v>Region X</v>
      </c>
      <c r="B3678" s="164" t="str">
        <f ca="1">IFERROR(__xludf.DUMMYFUNCTION("""COMPUTED_VALUE"""),"MISAMIS ORIENTAL")</f>
        <v>MISAMIS ORIENTAL</v>
      </c>
      <c r="C3678" s="164" t="str">
        <f ca="1">IFERROR(__xludf.DUMMYFUNCTION("""COMPUTED_VALUE"""),"Double Cabin Pick-up Vehicles – Mitsubishi Strada")</f>
        <v>Double Cabin Pick-up Vehicles – Mitsubishi Strada</v>
      </c>
      <c r="D3678" s="164" t="str">
        <f ca="1">IFERROR(__xludf.DUMMYFUNCTION("""COMPUTED_VALUE"""),"₱ 1,752,400.00")</f>
        <v>₱ 1,752,400.00</v>
      </c>
      <c r="E3678" s="164"/>
      <c r="F3678" s="164" t="str">
        <f ca="1">IFERROR(__xludf.DUMMYFUNCTION("""COMPUTED_VALUE"""),"2023-06-01-10201SP119-01")</f>
        <v>2023-06-01-10201SP119-01</v>
      </c>
      <c r="G3678" s="164" t="str">
        <f ca="1">IFERROR(__xludf.DUMMYFUNCTION("""COMPUTED_VALUE"""),"SNC 1211")</f>
        <v>SNC 1211</v>
      </c>
      <c r="H3678" s="164" t="str">
        <f ca="1">IFERROR(__xludf.DUMMYFUNCTION("""COMPUTED_VALUE"""),"ELEANOR A. RAAGAS")</f>
        <v>ELEANOR A. RAAGAS</v>
      </c>
      <c r="I3678" s="164" t="str">
        <f ca="1">IFERROR(__xludf.DUMMYFUNCTION("""COMPUTED_VALUE"""),"PARPO II")</f>
        <v>PARPO II</v>
      </c>
      <c r="J3678" s="164" t="str">
        <f ca="1">IFERROR(__xludf.DUMMYFUNCTION("""COMPUTED_VALUE"""),"2023-PAR-10-
 0008")</f>
        <v>2023-PAR-10-
 0008</v>
      </c>
      <c r="K3678" s="164" t="str">
        <f ca="1">IFERROR(__xludf.DUMMYFUNCTION("""COMPUTED_VALUE"""),"FATIMA ANIQA T. MACARAMBON")</f>
        <v>FATIMA ANIQA T. MACARAMBON</v>
      </c>
      <c r="L3678" s="164" t="str">
        <f ca="1">IFERROR(__xludf.DUMMYFUNCTION("""COMPUTED_VALUE"""),"DARPO-STOD")</f>
        <v>DARPO-STOD</v>
      </c>
      <c r="M3678" s="164" t="str">
        <f ca="1">IFERROR(__xludf.DUMMYFUNCTION("""COMPUTED_VALUE"""),"SERVICEABLE")</f>
        <v>SERVICEABLE</v>
      </c>
      <c r="N3678" s="164"/>
    </row>
    <row r="3679" spans="1:14" ht="13.2" hidden="1">
      <c r="A3679" s="164" t="str">
        <f ca="1">IFERROR(__xludf.DUMMYFUNCTION("""COMPUTED_VALUE"""),"Region X")</f>
        <v>Region X</v>
      </c>
      <c r="B3679" s="164"/>
      <c r="C3679" s="164" t="str">
        <f ca="1">IFERROR(__xludf.DUMMYFUNCTION("""COMPUTED_VALUE"""),"LAPTOP MSI KATANA")</f>
        <v>LAPTOP MSI KATANA</v>
      </c>
      <c r="D3679" s="164" t="str">
        <f ca="1">IFERROR(__xludf.DUMMYFUNCTION("""COMPUTED_VALUE"""),"₱ 142,100.00")</f>
        <v>₱ 142,100.00</v>
      </c>
      <c r="E3679" s="164"/>
      <c r="F3679" s="164" t="str">
        <f ca="1">IFERROR(__xludf.DUMMYFUNCTION("""COMPUTED_VALUE"""),"2024-05-03-10202SPO56-01")</f>
        <v>2024-05-03-10202SPO56-01</v>
      </c>
      <c r="G3679" s="164"/>
      <c r="H3679" s="164"/>
      <c r="I3679" s="164"/>
      <c r="J3679" s="164"/>
      <c r="K3679" s="164"/>
      <c r="L3679" s="164"/>
      <c r="M3679" s="164"/>
      <c r="N3679" s="164"/>
    </row>
    <row r="3680" spans="1:14" ht="13.2" hidden="1">
      <c r="A3680" s="164" t="str">
        <f ca="1">IFERROR(__xludf.DUMMYFUNCTION("""COMPUTED_VALUE"""),"Region X")</f>
        <v>Region X</v>
      </c>
      <c r="B3680" s="164" t="str">
        <f ca="1">IFERROR(__xludf.DUMMYFUNCTION("""COMPUTED_VALUE"""),"REGIONAL OFFICE")</f>
        <v>REGIONAL OFFICE</v>
      </c>
      <c r="C3680" s="164" t="str">
        <f ca="1">IFERROR(__xludf.DUMMYFUNCTION("""COMPUTED_VALUE"""),"Double Cabin Pick-up Vehicles – Mitsubishi Strada")</f>
        <v>Double Cabin Pick-up Vehicles – Mitsubishi Strada</v>
      </c>
      <c r="D3680" s="164"/>
      <c r="E3680" s="164"/>
      <c r="F3680" s="164" t="str">
        <f ca="1">IFERROR(__xludf.DUMMYFUNCTION("""COMPUTED_VALUE"""),"2023-06-01-10201SP154-01")</f>
        <v>2023-06-01-10201SP154-01</v>
      </c>
      <c r="G3680" s="164" t="str">
        <f ca="1">IFERROR(__xludf.DUMMYFUNCTION("""COMPUTED_VALUE""")," Y3-B164/SNC-1156/NFX-1711")</f>
        <v xml:space="preserve"> Y3-B164/SNC-1156/NFX-1711</v>
      </c>
      <c r="H3680" s="164" t="str">
        <f ca="1">IFERROR(__xludf.DUMMYFUNCTION("""COMPUTED_VALUE"""),"ABDULLAH LINOG")</f>
        <v>ABDULLAH LINOG</v>
      </c>
      <c r="I3680" s="164" t="str">
        <f ca="1">IFERROR(__xludf.DUMMYFUNCTION("""COMPUTED_VALUE"""),"ARDO")</f>
        <v>ARDO</v>
      </c>
      <c r="J3680" s="164" t="str">
        <f ca="1">IFERROR(__xludf.DUMMYFUNCTION("""COMPUTED_VALUE"""),"2024-01-002MV")</f>
        <v>2024-01-002MV</v>
      </c>
      <c r="K3680" s="164"/>
      <c r="L3680" s="164"/>
      <c r="M3680" s="164" t="str">
        <f ca="1">IFERROR(__xludf.DUMMYFUNCTION("""COMPUTED_VALUE"""),"SERVICEABLE")</f>
        <v>SERVICEABLE</v>
      </c>
      <c r="N3680" s="164"/>
    </row>
    <row r="3681" spans="1:14" ht="13.2" hidden="1">
      <c r="A3681" s="164" t="str">
        <f ca="1">IFERROR(__xludf.DUMMYFUNCTION("""COMPUTED_VALUE"""),"Region XI")</f>
        <v>Region XI</v>
      </c>
      <c r="B3681" s="164" t="str">
        <f ca="1">IFERROR(__xludf.DUMMYFUNCTION("""COMPUTED_VALUE"""),"Regional Office")</f>
        <v>Regional Office</v>
      </c>
      <c r="C3681" s="164" t="str">
        <f ca="1">IFERROR(__xludf.DUMMYFUNCTION("""COMPUTED_VALUE"""),"Desktop Computer – (Lenovo M70T)")</f>
        <v>Desktop Computer – (Lenovo M70T)</v>
      </c>
      <c r="D3681" s="164" t="str">
        <f ca="1">IFERROR(__xludf.DUMMYFUNCTION("""COMPUTED_VALUE"""),"₱ 75,468.00")</f>
        <v>₱ 75,468.00</v>
      </c>
      <c r="E3681" s="164"/>
      <c r="F3681" s="164" t="str">
        <f ca="1">IFERROR(__xludf.DUMMYFUNCTION("""COMPUTED_VALUE"""),"2023-05-03-10201SP1579-01")</f>
        <v>2023-05-03-10201SP1579-01</v>
      </c>
      <c r="G3681" s="164" t="str">
        <f ca="1">IFERROR(__xludf.DUMMYFUNCTION("""COMPUTED_VALUE"""),"1S11T5S16200GM0418LL")</f>
        <v>1S11T5S16200GM0418LL</v>
      </c>
      <c r="H3681" s="164" t="str">
        <f ca="1">IFERROR(__xludf.DUMMYFUNCTION("""COMPUTED_VALUE"""),"GAY L. LABAD")</f>
        <v>GAY L. LABAD</v>
      </c>
      <c r="I3681" s="164" t="str">
        <f ca="1">IFERROR(__xludf.DUMMYFUNCTION("""COMPUTED_VALUE"""),"DIRECTOR III")</f>
        <v>DIRECTOR III</v>
      </c>
      <c r="J3681" s="164" t="str">
        <f ca="1">IFERROR(__xludf.DUMMYFUNCTION("""COMPUTED_VALUE"""),"2023-04-001")</f>
        <v>2023-04-001</v>
      </c>
      <c r="K3681" s="164" t="str">
        <f ca="1">IFERROR(__xludf.DUMMYFUNCTION("""COMPUTED_VALUE"""),"CHARLOTTE H. SISON")</f>
        <v>CHARLOTTE H. SISON</v>
      </c>
      <c r="L3681" s="164" t="str">
        <f ca="1">IFERROR(__xludf.DUMMYFUNCTION("""COMPUTED_VALUE"""),"OARDO")</f>
        <v>OARDO</v>
      </c>
      <c r="M3681" s="164" t="str">
        <f ca="1">IFERROR(__xludf.DUMMYFUNCTION("""COMPUTED_VALUE"""),"SERVICEABLE")</f>
        <v>SERVICEABLE</v>
      </c>
      <c r="N3681" s="164"/>
    </row>
    <row r="3682" spans="1:14" ht="13.2" hidden="1">
      <c r="A3682" s="164" t="str">
        <f ca="1">IFERROR(__xludf.DUMMYFUNCTION("""COMPUTED_VALUE"""),"Region XI")</f>
        <v>Region XI</v>
      </c>
      <c r="B3682" s="164" t="str">
        <f ca="1">IFERROR(__xludf.DUMMYFUNCTION("""COMPUTED_VALUE"""),"Regional Office")</f>
        <v>Regional Office</v>
      </c>
      <c r="C3682" s="164" t="str">
        <f ca="1">IFERROR(__xludf.DUMMYFUNCTION("""COMPUTED_VALUE"""),"Desktop Computer – (Lenovo M70T)")</f>
        <v>Desktop Computer – (Lenovo M70T)</v>
      </c>
      <c r="D3682" s="164" t="str">
        <f ca="1">IFERROR(__xludf.DUMMYFUNCTION("""COMPUTED_VALUE"""),"₱ 75,468.00")</f>
        <v>₱ 75,468.00</v>
      </c>
      <c r="E3682" s="164"/>
      <c r="F3682" s="164" t="str">
        <f ca="1">IFERROR(__xludf.DUMMYFUNCTION("""COMPUTED_VALUE"""),"2023-05-03-10201SP1577-01")</f>
        <v>2023-05-03-10201SP1577-01</v>
      </c>
      <c r="G3682" s="164" t="str">
        <f ca="1">IFERROR(__xludf.DUMMYFUNCTION("""COMPUTED_VALUE"""),"1S11T5S16200GM0418K5")</f>
        <v>1S11T5S16200GM0418K5</v>
      </c>
      <c r="H3682" s="164" t="str">
        <f ca="1">IFERROR(__xludf.DUMMYFUNCTION("""COMPUTED_VALUE"""),"ROSARIO MAALA")</f>
        <v>ROSARIO MAALA</v>
      </c>
      <c r="I3682" s="164" t="str">
        <f ca="1">IFERROR(__xludf.DUMMYFUNCTION("""COMPUTED_VALUE"""),"CARPO")</f>
        <v>CARPO</v>
      </c>
      <c r="J3682" s="164" t="str">
        <f ca="1">IFERROR(__xludf.DUMMYFUNCTION("""COMPUTED_VALUE"""),"2023-04-002")</f>
        <v>2023-04-002</v>
      </c>
      <c r="K3682" s="164" t="str">
        <f ca="1">IFERROR(__xludf.DUMMYFUNCTION("""COMPUTED_VALUE"""),"ROSARIO MAALA")</f>
        <v>ROSARIO MAALA</v>
      </c>
      <c r="L3682" s="164" t="str">
        <f ca="1">IFERROR(__xludf.DUMMYFUNCTION("""COMPUTED_VALUE"""),"LTID")</f>
        <v>LTID</v>
      </c>
      <c r="M3682" s="164" t="str">
        <f ca="1">IFERROR(__xludf.DUMMYFUNCTION("""COMPUTED_VALUE"""),"SERVICEABLE")</f>
        <v>SERVICEABLE</v>
      </c>
      <c r="N3682" s="164"/>
    </row>
    <row r="3683" spans="1:14" ht="13.2" hidden="1">
      <c r="A3683" s="164" t="str">
        <f ca="1">IFERROR(__xludf.DUMMYFUNCTION("""COMPUTED_VALUE"""),"Region XI")</f>
        <v>Region XI</v>
      </c>
      <c r="B3683" s="164" t="str">
        <f ca="1">IFERROR(__xludf.DUMMYFUNCTION("""COMPUTED_VALUE"""),"Regional Office")</f>
        <v>Regional Office</v>
      </c>
      <c r="C3683" s="164" t="str">
        <f ca="1">IFERROR(__xludf.DUMMYFUNCTION("""COMPUTED_VALUE"""),"Desktop Computer – (Lenovo M70T)")</f>
        <v>Desktop Computer – (Lenovo M70T)</v>
      </c>
      <c r="D3683" s="164" t="str">
        <f ca="1">IFERROR(__xludf.DUMMYFUNCTION("""COMPUTED_VALUE"""),"₱ 75,468.00")</f>
        <v>₱ 75,468.00</v>
      </c>
      <c r="E3683" s="164"/>
      <c r="F3683" s="164" t="str">
        <f ca="1">IFERROR(__xludf.DUMMYFUNCTION("""COMPUTED_VALUE"""),"2023-05-03-10201SP1578-01")</f>
        <v>2023-05-03-10201SP1578-01</v>
      </c>
      <c r="G3683" s="164" t="str">
        <f ca="1">IFERROR(__xludf.DUMMYFUNCTION("""COMPUTED_VALUE"""),"1S11T5S16200GM04160C")</f>
        <v>1S11T5S16200GM04160C</v>
      </c>
      <c r="H3683" s="164" t="str">
        <f ca="1">IFERROR(__xludf.DUMMYFUNCTION("""COMPUTED_VALUE"""),"ROSARIO MAALA")</f>
        <v>ROSARIO MAALA</v>
      </c>
      <c r="I3683" s="164" t="str">
        <f ca="1">IFERROR(__xludf.DUMMYFUNCTION("""COMPUTED_VALUE"""),"CARPO")</f>
        <v>CARPO</v>
      </c>
      <c r="J3683" s="164" t="str">
        <f ca="1">IFERROR(__xludf.DUMMYFUNCTION("""COMPUTED_VALUE"""),"2023-04-003")</f>
        <v>2023-04-003</v>
      </c>
      <c r="K3683" s="164" t="str">
        <f ca="1">IFERROR(__xludf.DUMMYFUNCTION("""COMPUTED_VALUE"""),"ROSARIO MAALA")</f>
        <v>ROSARIO MAALA</v>
      </c>
      <c r="L3683" s="164" t="str">
        <f ca="1">IFERROR(__xludf.DUMMYFUNCTION("""COMPUTED_VALUE"""),"LTID")</f>
        <v>LTID</v>
      </c>
      <c r="M3683" s="164" t="str">
        <f ca="1">IFERROR(__xludf.DUMMYFUNCTION("""COMPUTED_VALUE"""),"SERVICEABLE")</f>
        <v>SERVICEABLE</v>
      </c>
      <c r="N3683" s="164"/>
    </row>
    <row r="3684" spans="1:14" ht="13.2" hidden="1">
      <c r="A3684" s="164" t="str">
        <f ca="1">IFERROR(__xludf.DUMMYFUNCTION("""COMPUTED_VALUE"""),"Region XI")</f>
        <v>Region XI</v>
      </c>
      <c r="B3684" s="164" t="str">
        <f ca="1">IFERROR(__xludf.DUMMYFUNCTION("""COMPUTED_VALUE"""),"Regional Office")</f>
        <v>Regional Office</v>
      </c>
      <c r="C3684" s="164" t="str">
        <f ca="1">IFERROR(__xludf.DUMMYFUNCTION("""COMPUTED_VALUE"""),"Desktop Computer – (Lenovo M70T)")</f>
        <v>Desktop Computer – (Lenovo M70T)</v>
      </c>
      <c r="D3684" s="164" t="str">
        <f ca="1">IFERROR(__xludf.DUMMYFUNCTION("""COMPUTED_VALUE"""),"₱ 75,468.00")</f>
        <v>₱ 75,468.00</v>
      </c>
      <c r="E3684" s="164"/>
      <c r="F3684" s="164" t="str">
        <f ca="1">IFERROR(__xludf.DUMMYFUNCTION("""COMPUTED_VALUE"""),"2023-05-03-10201SP1576-01")</f>
        <v>2023-05-03-10201SP1576-01</v>
      </c>
      <c r="G3684" s="164" t="str">
        <f ca="1">IFERROR(__xludf.DUMMYFUNCTION("""COMPUTED_VALUE"""),"1S11T5S16200GM0418FF")</f>
        <v>1S11T5S16200GM0418FF</v>
      </c>
      <c r="H3684" s="164" t="str">
        <f ca="1">IFERROR(__xludf.DUMMYFUNCTION("""COMPUTED_VALUE"""),"CALIXTO BALLOS")</f>
        <v>CALIXTO BALLOS</v>
      </c>
      <c r="I3684" s="164" t="str">
        <f ca="1">IFERROR(__xludf.DUMMYFUNCTION("""COMPUTED_VALUE"""),"ENGINEER IIII")</f>
        <v>ENGINEER IIII</v>
      </c>
      <c r="J3684" s="164" t="str">
        <f ca="1">IFERROR(__xludf.DUMMYFUNCTION("""COMPUTED_VALUE"""),"2023-04-003")</f>
        <v>2023-04-003</v>
      </c>
      <c r="K3684" s="164" t="str">
        <f ca="1">IFERROR(__xludf.DUMMYFUNCTION("""COMPUTED_VALUE"""),"CALIXTO BALLOS")</f>
        <v>CALIXTO BALLOS</v>
      </c>
      <c r="L3684" s="164" t="str">
        <f ca="1">IFERROR(__xludf.DUMMYFUNCTION("""COMPUTED_VALUE"""),"LTID")</f>
        <v>LTID</v>
      </c>
      <c r="M3684" s="164" t="str">
        <f ca="1">IFERROR(__xludf.DUMMYFUNCTION("""COMPUTED_VALUE"""),"SERVICEABLE")</f>
        <v>SERVICEABLE</v>
      </c>
      <c r="N3684" s="164"/>
    </row>
    <row r="3685" spans="1:14" ht="13.2" hidden="1">
      <c r="A3685" s="164" t="str">
        <f ca="1">IFERROR(__xludf.DUMMYFUNCTION("""COMPUTED_VALUE"""),"Region XI")</f>
        <v>Region XI</v>
      </c>
      <c r="B3685" s="164" t="str">
        <f ca="1">IFERROR(__xludf.DUMMYFUNCTION("""COMPUTED_VALUE"""),"Regional Office")</f>
        <v>Regional Office</v>
      </c>
      <c r="C3685" s="164" t="str">
        <f ca="1">IFERROR(__xludf.DUMMYFUNCTION("""COMPUTED_VALUE"""),"Desktop Computer – (Lenovo M70T)")</f>
        <v>Desktop Computer – (Lenovo M70T)</v>
      </c>
      <c r="D3685" s="164" t="str">
        <f ca="1">IFERROR(__xludf.DUMMYFUNCTION("""COMPUTED_VALUE"""),"₱ 75,468.00")</f>
        <v>₱ 75,468.00</v>
      </c>
      <c r="E3685" s="164"/>
      <c r="F3685" s="164" t="str">
        <f ca="1">IFERROR(__xludf.DUMMYFUNCTION("""COMPUTED_VALUE"""),"2023-05-03-10201SP1575-01")</f>
        <v>2023-05-03-10201SP1575-01</v>
      </c>
      <c r="G3685" s="164" t="str">
        <f ca="1">IFERROR(__xludf.DUMMYFUNCTION("""COMPUTED_VALUE"""),"1S11T5S16200GM0418EN")</f>
        <v>1S11T5S16200GM0418EN</v>
      </c>
      <c r="H3685" s="164" t="str">
        <f ca="1">IFERROR(__xludf.DUMMYFUNCTION("""COMPUTED_VALUE"""),"ATTY. JUANCHO P. CALUD")</f>
        <v>ATTY. JUANCHO P. CALUD</v>
      </c>
      <c r="I3685" s="164" t="str">
        <f ca="1">IFERROR(__xludf.DUMMYFUNCTION("""COMPUTED_VALUE"""),"ATTORNEY V")</f>
        <v>ATTORNEY V</v>
      </c>
      <c r="J3685" s="164" t="str">
        <f ca="1">IFERROR(__xludf.DUMMYFUNCTION("""COMPUTED_VALUE"""),"2023-04-004")</f>
        <v>2023-04-004</v>
      </c>
      <c r="K3685" s="164" t="str">
        <f ca="1">IFERROR(__xludf.DUMMYFUNCTION("""COMPUTED_VALUE"""),"ATTY. JUANCHO P. CALUD")</f>
        <v>ATTY. JUANCHO P. CALUD</v>
      </c>
      <c r="L3685" s="164" t="str">
        <f ca="1">IFERROR(__xludf.DUMMYFUNCTION("""COMPUTED_VALUE"""),"LEGAL")</f>
        <v>LEGAL</v>
      </c>
      <c r="M3685" s="164" t="str">
        <f ca="1">IFERROR(__xludf.DUMMYFUNCTION("""COMPUTED_VALUE"""),"SERVICEABLE")</f>
        <v>SERVICEABLE</v>
      </c>
      <c r="N3685" s="164"/>
    </row>
    <row r="3686" spans="1:14" ht="13.2" hidden="1">
      <c r="A3686" s="164" t="str">
        <f ca="1">IFERROR(__xludf.DUMMYFUNCTION("""COMPUTED_VALUE"""),"Region XI")</f>
        <v>Region XI</v>
      </c>
      <c r="B3686" s="164" t="str">
        <f ca="1">IFERROR(__xludf.DUMMYFUNCTION("""COMPUTED_VALUE"""),"Regional Office")</f>
        <v>Regional Office</v>
      </c>
      <c r="C3686" s="164" t="str">
        <f ca="1">IFERROR(__xludf.DUMMYFUNCTION("""COMPUTED_VALUE"""),"Desktop Computer – (Lenovo M70T)")</f>
        <v>Desktop Computer – (Lenovo M70T)</v>
      </c>
      <c r="D3686" s="164" t="str">
        <f ca="1">IFERROR(__xludf.DUMMYFUNCTION("""COMPUTED_VALUE"""),"₱ 75,468.00")</f>
        <v>₱ 75,468.00</v>
      </c>
      <c r="E3686" s="164"/>
      <c r="F3686" s="164" t="str">
        <f ca="1">IFERROR(__xludf.DUMMYFUNCTION("""COMPUTED_VALUE"""),"2023-05-03-10201SP1572-01")</f>
        <v>2023-05-03-10201SP1572-01</v>
      </c>
      <c r="G3686" s="164" t="str">
        <f ca="1">IFERROR(__xludf.DUMMYFUNCTION("""COMPUTED_VALUE"""),"1S11T5S16200GM041B5B")</f>
        <v>1S11T5S16200GM041B5B</v>
      </c>
      <c r="H3686" s="164" t="str">
        <f ca="1">IFERROR(__xludf.DUMMYFUNCTION("""COMPUTED_VALUE"""),"CLAUDIO YBAÑEZ")</f>
        <v>CLAUDIO YBAÑEZ</v>
      </c>
      <c r="I3686" s="164" t="str">
        <f ca="1">IFERROR(__xludf.DUMMYFUNCTION("""COMPUTED_VALUE"""),"DIRECTOR III")</f>
        <v>DIRECTOR III</v>
      </c>
      <c r="J3686" s="164" t="str">
        <f ca="1">IFERROR(__xludf.DUMMYFUNCTION("""COMPUTED_VALUE"""),"2023-04-005")</f>
        <v>2023-04-005</v>
      </c>
      <c r="K3686" s="164" t="str">
        <f ca="1">IFERROR(__xludf.DUMMYFUNCTION("""COMPUTED_VALUE"""),"CLAUDIO YBAÑEZ")</f>
        <v>CLAUDIO YBAÑEZ</v>
      </c>
      <c r="L3686" s="164" t="str">
        <f ca="1">IFERROR(__xludf.DUMMYFUNCTION("""COMPUTED_VALUE"""),"OARDA")</f>
        <v>OARDA</v>
      </c>
      <c r="M3686" s="164" t="str">
        <f ca="1">IFERROR(__xludf.DUMMYFUNCTION("""COMPUTED_VALUE"""),"SERVICEABLE")</f>
        <v>SERVICEABLE</v>
      </c>
      <c r="N3686" s="164"/>
    </row>
    <row r="3687" spans="1:14" ht="13.2" hidden="1">
      <c r="A3687" s="164" t="str">
        <f ca="1">IFERROR(__xludf.DUMMYFUNCTION("""COMPUTED_VALUE"""),"Region XI")</f>
        <v>Region XI</v>
      </c>
      <c r="B3687" s="164" t="str">
        <f ca="1">IFERROR(__xludf.DUMMYFUNCTION("""COMPUTED_VALUE"""),"Regional Office")</f>
        <v>Regional Office</v>
      </c>
      <c r="C3687" s="164" t="str">
        <f ca="1">IFERROR(__xludf.DUMMYFUNCTION("""COMPUTED_VALUE"""),"Desktop Computer – (Lenovo M70T)")</f>
        <v>Desktop Computer – (Lenovo M70T)</v>
      </c>
      <c r="D3687" s="164" t="str">
        <f ca="1">IFERROR(__xludf.DUMMYFUNCTION("""COMPUTED_VALUE"""),"₱ 75,468.00")</f>
        <v>₱ 75,468.00</v>
      </c>
      <c r="E3687" s="164"/>
      <c r="F3687" s="164" t="str">
        <f ca="1">IFERROR(__xludf.DUMMYFUNCTION("""COMPUTED_VALUE"""),"2023-05-03-10201SP1573-01")</f>
        <v>2023-05-03-10201SP1573-01</v>
      </c>
      <c r="G3687" s="164" t="str">
        <f ca="1">IFERROR(__xludf.DUMMYFUNCTION("""COMPUTED_VALUE"""),"1S11T5S16200GM03S3Q3")</f>
        <v>1S11T5S16200GM03S3Q3</v>
      </c>
      <c r="H3687" s="164" t="str">
        <f ca="1">IFERROR(__xludf.DUMMYFUNCTION("""COMPUTED_VALUE"""),"MARY JACQUILINE C. ELID")</f>
        <v>MARY JACQUILINE C. ELID</v>
      </c>
      <c r="I3687" s="164" t="str">
        <f ca="1">IFERROR(__xludf.DUMMYFUNCTION("""COMPUTED_VALUE"""),"RCAO")</f>
        <v>RCAO</v>
      </c>
      <c r="J3687" s="164" t="str">
        <f ca="1">IFERROR(__xludf.DUMMYFUNCTION("""COMPUTED_VALUE"""),"2023-04-006")</f>
        <v>2023-04-006</v>
      </c>
      <c r="K3687" s="164" t="str">
        <f ca="1">IFERROR(__xludf.DUMMYFUNCTION("""COMPUTED_VALUE"""),"NESSIL GALANG")</f>
        <v>NESSIL GALANG</v>
      </c>
      <c r="L3687" s="164" t="str">
        <f ca="1">IFERROR(__xludf.DUMMYFUNCTION("""COMPUTED_VALUE"""),"STOD")</f>
        <v>STOD</v>
      </c>
      <c r="M3687" s="164" t="str">
        <f ca="1">IFERROR(__xludf.DUMMYFUNCTION("""COMPUTED_VALUE"""),"SERVICEABLE")</f>
        <v>SERVICEABLE</v>
      </c>
      <c r="N3687" s="164"/>
    </row>
    <row r="3688" spans="1:14" ht="13.2" hidden="1">
      <c r="A3688" s="164" t="str">
        <f ca="1">IFERROR(__xludf.DUMMYFUNCTION("""COMPUTED_VALUE"""),"Region XI")</f>
        <v>Region XI</v>
      </c>
      <c r="B3688" s="164" t="str">
        <f ca="1">IFERROR(__xludf.DUMMYFUNCTION("""COMPUTED_VALUE"""),"Regional Office")</f>
        <v>Regional Office</v>
      </c>
      <c r="C3688" s="164" t="str">
        <f ca="1">IFERROR(__xludf.DUMMYFUNCTION("""COMPUTED_VALUE"""),"Desktop Computer – (Lenovo M70T)")</f>
        <v>Desktop Computer – (Lenovo M70T)</v>
      </c>
      <c r="D3688" s="164" t="str">
        <f ca="1">IFERROR(__xludf.DUMMYFUNCTION("""COMPUTED_VALUE"""),"₱ 75,468.00")</f>
        <v>₱ 75,468.00</v>
      </c>
      <c r="E3688" s="164"/>
      <c r="F3688" s="164" t="str">
        <f ca="1">IFERROR(__xludf.DUMMYFUNCTION("""COMPUTED_VALUE"""),"2023-05-03-10201SP1567-01")</f>
        <v>2023-05-03-10201SP1567-01</v>
      </c>
      <c r="G3688" s="164" t="str">
        <f ca="1">IFERROR(__xludf.DUMMYFUNCTION("""COMPUTED_VALUE"""),"1S11T5S16200GM0418JF")</f>
        <v>1S11T5S16200GM0418JF</v>
      </c>
      <c r="H3688" s="164" t="str">
        <f ca="1">IFERROR(__xludf.DUMMYFUNCTION("""COMPUTED_VALUE"""),"GENEVIEVE I. ORTIZ")</f>
        <v>GENEVIEVE I. ORTIZ</v>
      </c>
      <c r="I3688" s="164" t="str">
        <f ca="1">IFERROR(__xludf.DUMMYFUNCTION("""COMPUTED_VALUE"""),"PO IV")</f>
        <v>PO IV</v>
      </c>
      <c r="J3688" s="164" t="str">
        <f ca="1">IFERROR(__xludf.DUMMYFUNCTION("""COMPUTED_VALUE"""),"2023-04-007")</f>
        <v>2023-04-007</v>
      </c>
      <c r="K3688" s="164" t="str">
        <f ca="1">IFERROR(__xludf.DUMMYFUNCTION("""COMPUTED_VALUE"""),"JACK ANTOINETTE ELID")</f>
        <v>JACK ANTOINETTE ELID</v>
      </c>
      <c r="L3688" s="164" t="str">
        <f ca="1">IFERROR(__xludf.DUMMYFUNCTION("""COMPUTED_VALUE"""),"STOD")</f>
        <v>STOD</v>
      </c>
      <c r="M3688" s="164" t="str">
        <f ca="1">IFERROR(__xludf.DUMMYFUNCTION("""COMPUTED_VALUE"""),"SERVICEABLE")</f>
        <v>SERVICEABLE</v>
      </c>
      <c r="N3688" s="164"/>
    </row>
    <row r="3689" spans="1:14" ht="13.2" hidden="1">
      <c r="A3689" s="164" t="str">
        <f ca="1">IFERROR(__xludf.DUMMYFUNCTION("""COMPUTED_VALUE"""),"Region XI")</f>
        <v>Region XI</v>
      </c>
      <c r="B3689" s="164" t="str">
        <f ca="1">IFERROR(__xludf.DUMMYFUNCTION("""COMPUTED_VALUE"""),"Regional Office")</f>
        <v>Regional Office</v>
      </c>
      <c r="C3689" s="164" t="str">
        <f ca="1">IFERROR(__xludf.DUMMYFUNCTION("""COMPUTED_VALUE"""),"Desktop Computer – (Lenovo M70T)")</f>
        <v>Desktop Computer – (Lenovo M70T)</v>
      </c>
      <c r="D3689" s="164" t="str">
        <f ca="1">IFERROR(__xludf.DUMMYFUNCTION("""COMPUTED_VALUE"""),"₱ 75,468.00")</f>
        <v>₱ 75,468.00</v>
      </c>
      <c r="E3689" s="164"/>
      <c r="F3689" s="164" t="str">
        <f ca="1">IFERROR(__xludf.DUMMYFUNCTION("""COMPUTED_VALUE"""),"2023-05-03-10201SP1568-01")</f>
        <v>2023-05-03-10201SP1568-01</v>
      </c>
      <c r="G3689" s="164" t="str">
        <f ca="1">IFERROR(__xludf.DUMMYFUNCTION("""COMPUTED_VALUE"""),"1S11T5S16200GM041B0J")</f>
        <v>1S11T5S16200GM041B0J</v>
      </c>
      <c r="H3689" s="164" t="str">
        <f ca="1">IFERROR(__xludf.DUMMYFUNCTION("""COMPUTED_VALUE"""),"MARIDEL S. DUQUE")</f>
        <v>MARIDEL S. DUQUE</v>
      </c>
      <c r="I3689" s="164" t="str">
        <f ca="1">IFERROR(__xludf.DUMMYFUNCTION("""COMPUTED_VALUE"""),"PO III")</f>
        <v>PO III</v>
      </c>
      <c r="J3689" s="164" t="str">
        <f ca="1">IFERROR(__xludf.DUMMYFUNCTION("""COMPUTED_VALUE"""),"2023-04-008")</f>
        <v>2023-04-008</v>
      </c>
      <c r="K3689" s="164" t="str">
        <f ca="1">IFERROR(__xludf.DUMMYFUNCTION("""COMPUTED_VALUE"""),"JESSIE ARANAS")</f>
        <v>JESSIE ARANAS</v>
      </c>
      <c r="L3689" s="164" t="str">
        <f ca="1">IFERROR(__xludf.DUMMYFUNCTION("""COMPUTED_VALUE"""),"STOD")</f>
        <v>STOD</v>
      </c>
      <c r="M3689" s="164" t="str">
        <f ca="1">IFERROR(__xludf.DUMMYFUNCTION("""COMPUTED_VALUE"""),"SERVICEABLE")</f>
        <v>SERVICEABLE</v>
      </c>
      <c r="N3689" s="164"/>
    </row>
    <row r="3690" spans="1:14" ht="13.2" hidden="1">
      <c r="A3690" s="164" t="str">
        <f ca="1">IFERROR(__xludf.DUMMYFUNCTION("""COMPUTED_VALUE"""),"Region XI")</f>
        <v>Region XI</v>
      </c>
      <c r="B3690" s="164" t="str">
        <f ca="1">IFERROR(__xludf.DUMMYFUNCTION("""COMPUTED_VALUE"""),"Regional Office")</f>
        <v>Regional Office</v>
      </c>
      <c r="C3690" s="164" t="str">
        <f ca="1">IFERROR(__xludf.DUMMYFUNCTION("""COMPUTED_VALUE"""),"Desktop Computer – (Lenovo M70T)")</f>
        <v>Desktop Computer – (Lenovo M70T)</v>
      </c>
      <c r="D3690" s="164" t="str">
        <f ca="1">IFERROR(__xludf.DUMMYFUNCTION("""COMPUTED_VALUE"""),"₱ 75,468.00")</f>
        <v>₱ 75,468.00</v>
      </c>
      <c r="E3690" s="164"/>
      <c r="F3690" s="164" t="str">
        <f ca="1">IFERROR(__xludf.DUMMYFUNCTION("""COMPUTED_VALUE"""),"2023-05-03-10201SP1569-01")</f>
        <v>2023-05-03-10201SP1569-01</v>
      </c>
      <c r="G3690" s="164" t="str">
        <f ca="1">IFERROR(__xludf.DUMMYFUNCTION("""COMPUTED_VALUE"""),"1S11T5S16200GM041B5D")</f>
        <v>1S11T5S16200GM041B5D</v>
      </c>
      <c r="H3690" s="164" t="str">
        <f ca="1">IFERROR(__xludf.DUMMYFUNCTION("""COMPUTED_VALUE"""),"REYNANTE B. DE GUZMAN")</f>
        <v>REYNANTE B. DE GUZMAN</v>
      </c>
      <c r="I3690" s="164" t="str">
        <f ca="1">IFERROR(__xludf.DUMMYFUNCTION("""COMPUTED_VALUE"""),"ACCOUNTANT III")</f>
        <v>ACCOUNTANT III</v>
      </c>
      <c r="J3690" s="164" t="str">
        <f ca="1">IFERROR(__xludf.DUMMYFUNCTION("""COMPUTED_VALUE"""),"2023-04-009")</f>
        <v>2023-04-009</v>
      </c>
      <c r="K3690" s="164" t="str">
        <f ca="1">IFERROR(__xludf.DUMMYFUNCTION("""COMPUTED_VALUE"""),"REYNANTE B. DE GUZMAN")</f>
        <v>REYNANTE B. DE GUZMAN</v>
      </c>
      <c r="L3690" s="164" t="str">
        <f ca="1">IFERROR(__xludf.DUMMYFUNCTION("""COMPUTED_VALUE"""),"STOD")</f>
        <v>STOD</v>
      </c>
      <c r="M3690" s="164" t="str">
        <f ca="1">IFERROR(__xludf.DUMMYFUNCTION("""COMPUTED_VALUE"""),"SERVICEABLE")</f>
        <v>SERVICEABLE</v>
      </c>
      <c r="N3690" s="164"/>
    </row>
    <row r="3691" spans="1:14" ht="13.2" hidden="1">
      <c r="A3691" s="164" t="str">
        <f ca="1">IFERROR(__xludf.DUMMYFUNCTION("""COMPUTED_VALUE"""),"Region XI")</f>
        <v>Region XI</v>
      </c>
      <c r="B3691" s="164" t="str">
        <f ca="1">IFERROR(__xludf.DUMMYFUNCTION("""COMPUTED_VALUE"""),"Regional Office")</f>
        <v>Regional Office</v>
      </c>
      <c r="C3691" s="164" t="str">
        <f ca="1">IFERROR(__xludf.DUMMYFUNCTION("""COMPUTED_VALUE"""),"Desktop Computer – (Lenovo M70T)")</f>
        <v>Desktop Computer – (Lenovo M70T)</v>
      </c>
      <c r="D3691" s="164" t="str">
        <f ca="1">IFERROR(__xludf.DUMMYFUNCTION("""COMPUTED_VALUE"""),"₱ 75,468.00")</f>
        <v>₱ 75,468.00</v>
      </c>
      <c r="E3691" s="164"/>
      <c r="F3691" s="164" t="str">
        <f ca="1">IFERROR(__xludf.DUMMYFUNCTION("""COMPUTED_VALUE"""),"2023-05-03-10201SP1571-01")</f>
        <v>2023-05-03-10201SP1571-01</v>
      </c>
      <c r="G3691" s="164" t="str">
        <f ca="1">IFERROR(__xludf.DUMMYFUNCTION("""COMPUTED_VALUE"""),"1S11T5S16200GM0418L8")</f>
        <v>1S11T5S16200GM0418L8</v>
      </c>
      <c r="H3691" s="164" t="str">
        <f ca="1">IFERROR(__xludf.DUMMYFUNCTION("""COMPUTED_VALUE"""),"ROSEMARIE F. REMOLADOR")</f>
        <v>ROSEMARIE F. REMOLADOR</v>
      </c>
      <c r="I3691" s="164" t="str">
        <f ca="1">IFERROR(__xludf.DUMMYFUNCTION("""COMPUTED_VALUE"""),"BUDGET OFFICER")</f>
        <v>BUDGET OFFICER</v>
      </c>
      <c r="J3691" s="164" t="str">
        <f ca="1">IFERROR(__xludf.DUMMYFUNCTION("""COMPUTED_VALUE"""),"2023-04-010")</f>
        <v>2023-04-010</v>
      </c>
      <c r="K3691" s="164" t="str">
        <f ca="1">IFERROR(__xludf.DUMMYFUNCTION("""COMPUTED_VALUE"""),"ROSEMARIE F. REMOLADOR")</f>
        <v>ROSEMARIE F. REMOLADOR</v>
      </c>
      <c r="L3691" s="164" t="str">
        <f ca="1">IFERROR(__xludf.DUMMYFUNCTION("""COMPUTED_VALUE"""),"STOD")</f>
        <v>STOD</v>
      </c>
      <c r="M3691" s="164" t="str">
        <f ca="1">IFERROR(__xludf.DUMMYFUNCTION("""COMPUTED_VALUE"""),"SERVICEABLE")</f>
        <v>SERVICEABLE</v>
      </c>
      <c r="N3691" s="164"/>
    </row>
    <row r="3692" spans="1:14" ht="13.2" hidden="1">
      <c r="A3692" s="164" t="str">
        <f ca="1">IFERROR(__xludf.DUMMYFUNCTION("""COMPUTED_VALUE"""),"Region XI")</f>
        <v>Region XI</v>
      </c>
      <c r="B3692" s="164" t="str">
        <f ca="1">IFERROR(__xludf.DUMMYFUNCTION("""COMPUTED_VALUE"""),"Regional Office")</f>
        <v>Regional Office</v>
      </c>
      <c r="C3692" s="164" t="str">
        <f ca="1">IFERROR(__xludf.DUMMYFUNCTION("""COMPUTED_VALUE"""),"Desktop Computer – (Lenovo M70T)")</f>
        <v>Desktop Computer – (Lenovo M70T)</v>
      </c>
      <c r="D3692" s="164" t="str">
        <f ca="1">IFERROR(__xludf.DUMMYFUNCTION("""COMPUTED_VALUE"""),"₱ 75,468.00")</f>
        <v>₱ 75,468.00</v>
      </c>
      <c r="E3692" s="164"/>
      <c r="F3692" s="164" t="str">
        <f ca="1">IFERROR(__xludf.DUMMYFUNCTION("""COMPUTED_VALUE"""),"2023-05-03-10201SP1574-01")</f>
        <v>2023-05-03-10201SP1574-01</v>
      </c>
      <c r="G3692" s="164" t="str">
        <f ca="1">IFERROR(__xludf.DUMMYFUNCTION("""COMPUTED_VALUE"""),"1S11T5S16200GM041B3Y")</f>
        <v>1S11T5S16200GM041B3Y</v>
      </c>
      <c r="H3692" s="164" t="str">
        <f ca="1">IFERROR(__xludf.DUMMYFUNCTION("""COMPUTED_VALUE"""),"MARK BRIAN ALBIT")</f>
        <v>MARK BRIAN ALBIT</v>
      </c>
      <c r="I3692" s="164" t="str">
        <f ca="1">IFERROR(__xludf.DUMMYFUNCTION("""COMPUTED_VALUE"""),"ARPO I")</f>
        <v>ARPO I</v>
      </c>
      <c r="J3692" s="164" t="str">
        <f ca="1">IFERROR(__xludf.DUMMYFUNCTION("""COMPUTED_VALUE"""),"2023-04-011")</f>
        <v>2023-04-011</v>
      </c>
      <c r="K3692" s="164" t="str">
        <f ca="1">IFERROR(__xludf.DUMMYFUNCTION("""COMPUTED_VALUE"""),"MARK BRIAN ALBIT")</f>
        <v>MARK BRIAN ALBIT</v>
      </c>
      <c r="L3692" s="164" t="str">
        <f ca="1">IFERROR(__xludf.DUMMYFUNCTION("""COMPUTED_VALUE"""),"PBD")</f>
        <v>PBD</v>
      </c>
      <c r="M3692" s="164" t="str">
        <f ca="1">IFERROR(__xludf.DUMMYFUNCTION("""COMPUTED_VALUE"""),"SERVICEABLE")</f>
        <v>SERVICEABLE</v>
      </c>
      <c r="N3692" s="164"/>
    </row>
    <row r="3693" spans="1:14" ht="13.2" hidden="1">
      <c r="A3693" s="164" t="str">
        <f ca="1">IFERROR(__xludf.DUMMYFUNCTION("""COMPUTED_VALUE"""),"Region XI")</f>
        <v>Region XI</v>
      </c>
      <c r="B3693" s="164" t="str">
        <f ca="1">IFERROR(__xludf.DUMMYFUNCTION("""COMPUTED_VALUE"""),"Regional Office")</f>
        <v>Regional Office</v>
      </c>
      <c r="C3693" s="164" t="str">
        <f ca="1">IFERROR(__xludf.DUMMYFUNCTION("""COMPUTED_VALUE"""),"Desktop Computer – (Lenovo M70T)")</f>
        <v>Desktop Computer – (Lenovo M70T)</v>
      </c>
      <c r="D3693" s="164" t="str">
        <f ca="1">IFERROR(__xludf.DUMMYFUNCTION("""COMPUTED_VALUE"""),"₱ 75,468.00")</f>
        <v>₱ 75,468.00</v>
      </c>
      <c r="E3693" s="164"/>
      <c r="F3693" s="164" t="str">
        <f ca="1">IFERROR(__xludf.DUMMYFUNCTION("""COMPUTED_VALUE"""),"2023-05-03-10201SP1570-01")</f>
        <v>2023-05-03-10201SP1570-01</v>
      </c>
      <c r="G3693" s="164" t="str">
        <f ca="1">IFERROR(__xludf.DUMMYFUNCTION("""COMPUTED_VALUE"""),"1S11T5S16200GM041AZB")</f>
        <v>1S11T5S16200GM041AZB</v>
      </c>
      <c r="H3693" s="164" t="str">
        <f ca="1">IFERROR(__xludf.DUMMYFUNCTION("""COMPUTED_VALUE"""),"ZARAH P. ONG")</f>
        <v>ZARAH P. ONG</v>
      </c>
      <c r="I3693" s="164" t="str">
        <f ca="1">IFERROR(__xludf.DUMMYFUNCTION("""COMPUTED_VALUE"""),"AO III")</f>
        <v>AO III</v>
      </c>
      <c r="J3693" s="164" t="str">
        <f ca="1">IFERROR(__xludf.DUMMYFUNCTION("""COMPUTED_VALUE"""),"2023-04-012")</f>
        <v>2023-04-012</v>
      </c>
      <c r="K3693" s="164" t="str">
        <f ca="1">IFERROR(__xludf.DUMMYFUNCTION("""COMPUTED_VALUE"""),"JASPER LOPEZ")</f>
        <v>JASPER LOPEZ</v>
      </c>
      <c r="L3693" s="164" t="str">
        <f ca="1">IFERROR(__xludf.DUMMYFUNCTION("""COMPUTED_VALUE"""),"STOD")</f>
        <v>STOD</v>
      </c>
      <c r="M3693" s="164" t="str">
        <f ca="1">IFERROR(__xludf.DUMMYFUNCTION("""COMPUTED_VALUE"""),"SERVICEABLE")</f>
        <v>SERVICEABLE</v>
      </c>
      <c r="N3693" s="164"/>
    </row>
    <row r="3694" spans="1:14" ht="13.2" hidden="1">
      <c r="A3694" s="164" t="str">
        <f ca="1">IFERROR(__xludf.DUMMYFUNCTION("""COMPUTED_VALUE"""),"Region XI")</f>
        <v>Region XI</v>
      </c>
      <c r="B3694" s="164" t="str">
        <f ca="1">IFERROR(__xludf.DUMMYFUNCTION("""COMPUTED_VALUE"""),"Regional Office")</f>
        <v>Regional Office</v>
      </c>
      <c r="C3694" s="164" t="str">
        <f ca="1">IFERROR(__xludf.DUMMYFUNCTION("""COMPUTED_VALUE"""),"Desktop Computer – (HP Pro SFF 280G9)")</f>
        <v>Desktop Computer – (HP Pro SFF 280G9)</v>
      </c>
      <c r="D3694" s="164" t="str">
        <f ca="1">IFERROR(__xludf.DUMMYFUNCTION("""COMPUTED_VALUE"""),"₱ 78,898.00")</f>
        <v>₱ 78,898.00</v>
      </c>
      <c r="E3694" s="164"/>
      <c r="F3694" s="164" t="str">
        <f ca="1">IFERROR(__xludf.DUMMYFUNCTION("""COMPUTED_VALUE"""),"2023-05-03-10201SP211-01")</f>
        <v>2023-05-03-10201SP211-01</v>
      </c>
      <c r="G3694" s="164"/>
      <c r="H3694" s="164" t="str">
        <f ca="1">IFERROR(__xludf.DUMMYFUNCTION("""COMPUTED_VALUE"""),"GAY L. LABAD")</f>
        <v>GAY L. LABAD</v>
      </c>
      <c r="I3694" s="164" t="str">
        <f ca="1">IFERROR(__xludf.DUMMYFUNCTION("""COMPUTED_VALUE"""),"DIRECTOR III")</f>
        <v>DIRECTOR III</v>
      </c>
      <c r="J3694" s="164" t="str">
        <f ca="1">IFERROR(__xludf.DUMMYFUNCTION("""COMPUTED_VALUE"""),"2023-10-019")</f>
        <v>2023-10-019</v>
      </c>
      <c r="K3694" s="164" t="str">
        <f ca="1">IFERROR(__xludf.DUMMYFUNCTION("""COMPUTED_VALUE"""),"CHARLOTTE H. SISON")</f>
        <v>CHARLOTTE H. SISON</v>
      </c>
      <c r="L3694" s="164" t="str">
        <f ca="1">IFERROR(__xludf.DUMMYFUNCTION("""COMPUTED_VALUE"""),"OARDO")</f>
        <v>OARDO</v>
      </c>
      <c r="M3694" s="164" t="str">
        <f ca="1">IFERROR(__xludf.DUMMYFUNCTION("""COMPUTED_VALUE"""),"SERVICEABLE")</f>
        <v>SERVICEABLE</v>
      </c>
      <c r="N3694" s="164"/>
    </row>
    <row r="3695" spans="1:14" ht="13.2" hidden="1">
      <c r="A3695" s="164" t="str">
        <f ca="1">IFERROR(__xludf.DUMMYFUNCTION("""COMPUTED_VALUE"""),"Region XI")</f>
        <v>Region XI</v>
      </c>
      <c r="B3695" s="164" t="str">
        <f ca="1">IFERROR(__xludf.DUMMYFUNCTION("""COMPUTED_VALUE"""),"Regional Office")</f>
        <v>Regional Office</v>
      </c>
      <c r="C3695" s="164" t="str">
        <f ca="1">IFERROR(__xludf.DUMMYFUNCTION("""COMPUTED_VALUE"""),"Desktop Computer – (HP Pro SFF 280G9)")</f>
        <v>Desktop Computer – (HP Pro SFF 280G9)</v>
      </c>
      <c r="D3695" s="164" t="str">
        <f ca="1">IFERROR(__xludf.DUMMYFUNCTION("""COMPUTED_VALUE"""),"₱ 78,898.00")</f>
        <v>₱ 78,898.00</v>
      </c>
      <c r="E3695" s="164"/>
      <c r="F3695" s="164" t="str">
        <f ca="1">IFERROR(__xludf.DUMMYFUNCTION("""COMPUTED_VALUE"""),"2023-05-03-10201SP213-01")</f>
        <v>2023-05-03-10201SP213-01</v>
      </c>
      <c r="G3695" s="164"/>
      <c r="H3695" s="164" t="str">
        <f ca="1">IFERROR(__xludf.DUMMYFUNCTION("""COMPUTED_VALUE"""),"GAY L. LABAD")</f>
        <v>GAY L. LABAD</v>
      </c>
      <c r="I3695" s="164" t="str">
        <f ca="1">IFERROR(__xludf.DUMMYFUNCTION("""COMPUTED_VALUE"""),"DIRECTOR III")</f>
        <v>DIRECTOR III</v>
      </c>
      <c r="J3695" s="164" t="str">
        <f ca="1">IFERROR(__xludf.DUMMYFUNCTION("""COMPUTED_VALUE"""),"2023-10-019")</f>
        <v>2023-10-019</v>
      </c>
      <c r="K3695" s="164" t="str">
        <f ca="1">IFERROR(__xludf.DUMMYFUNCTION("""COMPUTED_VALUE"""),"CHARLOTTE H. SISON")</f>
        <v>CHARLOTTE H. SISON</v>
      </c>
      <c r="L3695" s="164" t="str">
        <f ca="1">IFERROR(__xludf.DUMMYFUNCTION("""COMPUTED_VALUE"""),"OARDO")</f>
        <v>OARDO</v>
      </c>
      <c r="M3695" s="164" t="str">
        <f ca="1">IFERROR(__xludf.DUMMYFUNCTION("""COMPUTED_VALUE"""),"SERVICEABLE")</f>
        <v>SERVICEABLE</v>
      </c>
      <c r="N3695" s="164"/>
    </row>
    <row r="3696" spans="1:14" ht="13.2" hidden="1">
      <c r="A3696" s="164" t="str">
        <f ca="1">IFERROR(__xludf.DUMMYFUNCTION("""COMPUTED_VALUE"""),"Region XI")</f>
        <v>Region XI</v>
      </c>
      <c r="B3696" s="164" t="str">
        <f ca="1">IFERROR(__xludf.DUMMYFUNCTION("""COMPUTED_VALUE"""),"Regional Office")</f>
        <v>Regional Office</v>
      </c>
      <c r="C3696" s="164" t="str">
        <f ca="1">IFERROR(__xludf.DUMMYFUNCTION("""COMPUTED_VALUE"""),"Desktop Computer – (HP Pro SFF 280G9)")</f>
        <v>Desktop Computer – (HP Pro SFF 280G9)</v>
      </c>
      <c r="D3696" s="164" t="str">
        <f ca="1">IFERROR(__xludf.DUMMYFUNCTION("""COMPUTED_VALUE"""),"₱ 78,898.00")</f>
        <v>₱ 78,898.00</v>
      </c>
      <c r="E3696" s="164"/>
      <c r="F3696" s="164" t="str">
        <f ca="1">IFERROR(__xludf.DUMMYFUNCTION("""COMPUTED_VALUE"""),"2023-05-03-10201SP209-01")</f>
        <v>2023-05-03-10201SP209-01</v>
      </c>
      <c r="G3696" s="164"/>
      <c r="H3696" s="164" t="str">
        <f ca="1">IFERROR(__xludf.DUMMYFUNCTION("""COMPUTED_VALUE"""),"JOSEPH H. ORILLA")</f>
        <v>JOSEPH H. ORILLA</v>
      </c>
      <c r="I3696" s="164" t="str">
        <f ca="1">IFERROR(__xludf.DUMMYFUNCTION("""COMPUTED_VALUE"""),"DIRECTOR IV")</f>
        <v>DIRECTOR IV</v>
      </c>
      <c r="J3696" s="164" t="str">
        <f ca="1">IFERROR(__xludf.DUMMYFUNCTION("""COMPUTED_VALUE"""),"2023-10-020")</f>
        <v>2023-10-020</v>
      </c>
      <c r="K3696" s="164" t="str">
        <f ca="1">IFERROR(__xludf.DUMMYFUNCTION("""COMPUTED_VALUE"""),"JOSEPH H. ORILLA")</f>
        <v>JOSEPH H. ORILLA</v>
      </c>
      <c r="L3696" s="164" t="str">
        <f ca="1">IFERROR(__xludf.DUMMYFUNCTION("""COMPUTED_VALUE"""),"ORD")</f>
        <v>ORD</v>
      </c>
      <c r="M3696" s="164" t="str">
        <f ca="1">IFERROR(__xludf.DUMMYFUNCTION("""COMPUTED_VALUE"""),"SERVICEABLE")</f>
        <v>SERVICEABLE</v>
      </c>
      <c r="N3696" s="164"/>
    </row>
    <row r="3697" spans="1:14" ht="13.2" hidden="1">
      <c r="A3697" s="164" t="str">
        <f ca="1">IFERROR(__xludf.DUMMYFUNCTION("""COMPUTED_VALUE"""),"Region XI")</f>
        <v>Region XI</v>
      </c>
      <c r="B3697" s="164" t="str">
        <f ca="1">IFERROR(__xludf.DUMMYFUNCTION("""COMPUTED_VALUE"""),"Regional Office")</f>
        <v>Regional Office</v>
      </c>
      <c r="C3697" s="164" t="str">
        <f ca="1">IFERROR(__xludf.DUMMYFUNCTION("""COMPUTED_VALUE"""),"Desktop Computer – (HP Pro SFF 280G9)")</f>
        <v>Desktop Computer – (HP Pro SFF 280G9)</v>
      </c>
      <c r="D3697" s="164" t="str">
        <f ca="1">IFERROR(__xludf.DUMMYFUNCTION("""COMPUTED_VALUE"""),"₱ 78,898.00")</f>
        <v>₱ 78,898.00</v>
      </c>
      <c r="E3697" s="164"/>
      <c r="F3697" s="164" t="str">
        <f ca="1">IFERROR(__xludf.DUMMYFUNCTION("""COMPUTED_VALUE"""),"2023-05-03-10201SP210-01")</f>
        <v>2023-05-03-10201SP210-01</v>
      </c>
      <c r="G3697" s="164"/>
      <c r="H3697" s="164" t="str">
        <f ca="1">IFERROR(__xludf.DUMMYFUNCTION("""COMPUTED_VALUE"""),"JOSEPH H. ORILLA")</f>
        <v>JOSEPH H. ORILLA</v>
      </c>
      <c r="I3697" s="164" t="str">
        <f ca="1">IFERROR(__xludf.DUMMYFUNCTION("""COMPUTED_VALUE"""),"DIRECTOR IV")</f>
        <v>DIRECTOR IV</v>
      </c>
      <c r="J3697" s="164" t="str">
        <f ca="1">IFERROR(__xludf.DUMMYFUNCTION("""COMPUTED_VALUE"""),"2023-10-021")</f>
        <v>2023-10-021</v>
      </c>
      <c r="K3697" s="164" t="str">
        <f ca="1">IFERROR(__xludf.DUMMYFUNCTION("""COMPUTED_VALUE"""),"JOSEPH H. ORILLA")</f>
        <v>JOSEPH H. ORILLA</v>
      </c>
      <c r="L3697" s="164" t="str">
        <f ca="1">IFERROR(__xludf.DUMMYFUNCTION("""COMPUTED_VALUE"""),"ORD")</f>
        <v>ORD</v>
      </c>
      <c r="M3697" s="164" t="str">
        <f ca="1">IFERROR(__xludf.DUMMYFUNCTION("""COMPUTED_VALUE"""),"SERVICEABLE")</f>
        <v>SERVICEABLE</v>
      </c>
      <c r="N3697" s="164"/>
    </row>
    <row r="3698" spans="1:14" ht="13.2" hidden="1">
      <c r="A3698" s="164" t="str">
        <f ca="1">IFERROR(__xludf.DUMMYFUNCTION("""COMPUTED_VALUE"""),"Region XI")</f>
        <v>Region XI</v>
      </c>
      <c r="B3698" s="164" t="str">
        <f ca="1">IFERROR(__xludf.DUMMYFUNCTION("""COMPUTED_VALUE"""),"Regional Office")</f>
        <v>Regional Office</v>
      </c>
      <c r="C3698" s="164" t="str">
        <f ca="1">IFERROR(__xludf.DUMMYFUNCTION("""COMPUTED_VALUE"""),"Desktop Computer – (HP Pro SFF 280G9)")</f>
        <v>Desktop Computer – (HP Pro SFF 280G9)</v>
      </c>
      <c r="D3698" s="164" t="str">
        <f ca="1">IFERROR(__xludf.DUMMYFUNCTION("""COMPUTED_VALUE"""),"₱ 78,898.00")</f>
        <v>₱ 78,898.00</v>
      </c>
      <c r="E3698" s="164"/>
      <c r="F3698" s="164" t="str">
        <f ca="1">IFERROR(__xludf.DUMMYFUNCTION("""COMPUTED_VALUE"""),"2023-05-03-10201SP208-01")</f>
        <v>2023-05-03-10201SP208-01</v>
      </c>
      <c r="G3698" s="164"/>
      <c r="H3698" s="164" t="str">
        <f ca="1">IFERROR(__xludf.DUMMYFUNCTION("""COMPUTED_VALUE"""),"CLAUDIO A. YBAÑEZ")</f>
        <v>CLAUDIO A. YBAÑEZ</v>
      </c>
      <c r="I3698" s="164" t="str">
        <f ca="1">IFERROR(__xludf.DUMMYFUNCTION("""COMPUTED_VALUE"""),"DIRECTOR III")</f>
        <v>DIRECTOR III</v>
      </c>
      <c r="J3698" s="164" t="str">
        <f ca="1">IFERROR(__xludf.DUMMYFUNCTION("""COMPUTED_VALUE"""),"2023-10-022")</f>
        <v>2023-10-022</v>
      </c>
      <c r="K3698" s="164" t="str">
        <f ca="1">IFERROR(__xludf.DUMMYFUNCTION("""COMPUTED_VALUE"""),"CLAUDIO A. YBAÑEZ")</f>
        <v>CLAUDIO A. YBAÑEZ</v>
      </c>
      <c r="L3698" s="164" t="str">
        <f ca="1">IFERROR(__xludf.DUMMYFUNCTION("""COMPUTED_VALUE"""),"OARDA")</f>
        <v>OARDA</v>
      </c>
      <c r="M3698" s="164" t="str">
        <f ca="1">IFERROR(__xludf.DUMMYFUNCTION("""COMPUTED_VALUE"""),"SERVICEABLE")</f>
        <v>SERVICEABLE</v>
      </c>
      <c r="N3698" s="164"/>
    </row>
    <row r="3699" spans="1:14" ht="13.2" hidden="1">
      <c r="A3699" s="164" t="str">
        <f ca="1">IFERROR(__xludf.DUMMYFUNCTION("""COMPUTED_VALUE"""),"Region XI")</f>
        <v>Region XI</v>
      </c>
      <c r="B3699" s="164" t="str">
        <f ca="1">IFERROR(__xludf.DUMMYFUNCTION("""COMPUTED_VALUE"""),"Regional Office")</f>
        <v>Regional Office</v>
      </c>
      <c r="C3699" s="164" t="str">
        <f ca="1">IFERROR(__xludf.DUMMYFUNCTION("""COMPUTED_VALUE"""),"Desktop Computer – (HP Pro SFF 280G9)")</f>
        <v>Desktop Computer – (HP Pro SFF 280G9)</v>
      </c>
      <c r="D3699" s="164" t="str">
        <f ca="1">IFERROR(__xludf.DUMMYFUNCTION("""COMPUTED_VALUE"""),"₱ 78,898.00")</f>
        <v>₱ 78,898.00</v>
      </c>
      <c r="E3699" s="164"/>
      <c r="F3699" s="164" t="str">
        <f ca="1">IFERROR(__xludf.DUMMYFUNCTION("""COMPUTED_VALUE"""),"2023-05-03-10201SP207-01")</f>
        <v>2023-05-03-10201SP207-01</v>
      </c>
      <c r="G3699" s="164"/>
      <c r="H3699" s="164" t="str">
        <f ca="1">IFERROR(__xludf.DUMMYFUNCTION("""COMPUTED_VALUE"""),"MICHAEL ANGELO A. JAMORA")</f>
        <v>MICHAEL ANGELO A. JAMORA</v>
      </c>
      <c r="I3699" s="164" t="str">
        <f ca="1">IFERROR(__xludf.DUMMYFUNCTION("""COMPUTED_VALUE"""),"ARPT")</f>
        <v>ARPT</v>
      </c>
      <c r="J3699" s="164" t="str">
        <f ca="1">IFERROR(__xludf.DUMMYFUNCTION("""COMPUTED_VALUE"""),"2023-10-023")</f>
        <v>2023-10-023</v>
      </c>
      <c r="K3699" s="164" t="str">
        <f ca="1">IFERROR(__xludf.DUMMYFUNCTION("""COMPUTED_VALUE"""),"MICHAEL ANGELO A. JAMORA")</f>
        <v>MICHAEL ANGELO A. JAMORA</v>
      </c>
      <c r="L3699" s="164" t="str">
        <f ca="1">IFERROR(__xludf.DUMMYFUNCTION("""COMPUTED_VALUE"""),"STOD")</f>
        <v>STOD</v>
      </c>
      <c r="M3699" s="164" t="str">
        <f ca="1">IFERROR(__xludf.DUMMYFUNCTION("""COMPUTED_VALUE"""),"SERVICEABLE")</f>
        <v>SERVICEABLE</v>
      </c>
      <c r="N3699" s="164"/>
    </row>
    <row r="3700" spans="1:14" ht="13.2" hidden="1">
      <c r="A3700" s="164" t="str">
        <f ca="1">IFERROR(__xludf.DUMMYFUNCTION("""COMPUTED_VALUE"""),"Region XI")</f>
        <v>Region XI</v>
      </c>
      <c r="B3700" s="164" t="str">
        <f ca="1">IFERROR(__xludf.DUMMYFUNCTION("""COMPUTED_VALUE"""),"Regional Office")</f>
        <v>Regional Office</v>
      </c>
      <c r="C3700" s="164" t="str">
        <f ca="1">IFERROR(__xludf.DUMMYFUNCTION("""COMPUTED_VALUE"""),"Desktop Computer – (HP Pro SFF 280G9)")</f>
        <v>Desktop Computer – (HP Pro SFF 280G9)</v>
      </c>
      <c r="D3700" s="164" t="str">
        <f ca="1">IFERROR(__xludf.DUMMYFUNCTION("""COMPUTED_VALUE"""),"₱ 78,898.00")</f>
        <v>₱ 78,898.00</v>
      </c>
      <c r="E3700" s="164"/>
      <c r="F3700" s="164" t="str">
        <f ca="1">IFERROR(__xludf.DUMMYFUNCTION("""COMPUTED_VALUE"""),"2023-05-03-10201SP206-01")</f>
        <v>2023-05-03-10201SP206-01</v>
      </c>
      <c r="G3700" s="164"/>
      <c r="H3700" s="164" t="str">
        <f ca="1">IFERROR(__xludf.DUMMYFUNCTION("""COMPUTED_VALUE"""),"ATTY. JUANCHO P. CALUD")</f>
        <v>ATTY. JUANCHO P. CALUD</v>
      </c>
      <c r="I3700" s="164" t="str">
        <f ca="1">IFERROR(__xludf.DUMMYFUNCTION("""COMPUTED_VALUE"""),"ATTORNEY V")</f>
        <v>ATTORNEY V</v>
      </c>
      <c r="J3700" s="164" t="str">
        <f ca="1">IFERROR(__xludf.DUMMYFUNCTION("""COMPUTED_VALUE"""),"2023-10-024")</f>
        <v>2023-10-024</v>
      </c>
      <c r="K3700" s="164" t="str">
        <f ca="1">IFERROR(__xludf.DUMMYFUNCTION("""COMPUTED_VALUE"""),"ATTY. JUANCHO P. CALUD")</f>
        <v>ATTY. JUANCHO P. CALUD</v>
      </c>
      <c r="L3700" s="164" t="str">
        <f ca="1">IFERROR(__xludf.DUMMYFUNCTION("""COMPUTED_VALUE"""),"LEGAL")</f>
        <v>LEGAL</v>
      </c>
      <c r="M3700" s="164" t="str">
        <f ca="1">IFERROR(__xludf.DUMMYFUNCTION("""COMPUTED_VALUE"""),"SERVICEABLE")</f>
        <v>SERVICEABLE</v>
      </c>
      <c r="N3700" s="164"/>
    </row>
    <row r="3701" spans="1:14" ht="13.2" hidden="1">
      <c r="A3701" s="164" t="str">
        <f ca="1">IFERROR(__xludf.DUMMYFUNCTION("""COMPUTED_VALUE"""),"Region XI")</f>
        <v>Region XI</v>
      </c>
      <c r="B3701" s="164" t="str">
        <f ca="1">IFERROR(__xludf.DUMMYFUNCTION("""COMPUTED_VALUE"""),"Regional Office")</f>
        <v>Regional Office</v>
      </c>
      <c r="C3701" s="164" t="str">
        <f ca="1">IFERROR(__xludf.DUMMYFUNCTION("""COMPUTED_VALUE"""),"Laptop – (ACER EXTENSA EX215-55G i7)")</f>
        <v>Laptop – (ACER EXTENSA EX215-55G i7)</v>
      </c>
      <c r="D3701" s="164" t="str">
        <f ca="1">IFERROR(__xludf.DUMMYFUNCTION("""COMPUTED_VALUE"""),"₱ 59,500.00")</f>
        <v>₱ 59,500.00</v>
      </c>
      <c r="E3701" s="164"/>
      <c r="F3701" s="164" t="str">
        <f ca="1">IFERROR(__xludf.DUMMYFUNCTION("""COMPUTED_VALUE"""),"2023-05-03-10202SP280-01")</f>
        <v>2023-05-03-10202SP280-01</v>
      </c>
      <c r="G3701" s="164" t="str">
        <f ca="1">IFERROR(__xludf.DUMMYFUNCTION("""COMPUTED_VALUE"""),"NXEGZSP00330801EC23400")</f>
        <v>NXEGZSP00330801EC23400</v>
      </c>
      <c r="H3701" s="164" t="str">
        <f ca="1">IFERROR(__xludf.DUMMYFUNCTION("""COMPUTED_VALUE"""),"MARY JACQUILINE C. ELID")</f>
        <v>MARY JACQUILINE C. ELID</v>
      </c>
      <c r="I3701" s="164" t="str">
        <f ca="1">IFERROR(__xludf.DUMMYFUNCTION("""COMPUTED_VALUE"""),"RCAO")</f>
        <v>RCAO</v>
      </c>
      <c r="J3701" s="164" t="str">
        <f ca="1">IFERROR(__xludf.DUMMYFUNCTION("""COMPUTED_VALUE"""),"2023-10-016")</f>
        <v>2023-10-016</v>
      </c>
      <c r="K3701" s="164" t="str">
        <f ca="1">IFERROR(__xludf.DUMMYFUNCTION("""COMPUTED_VALUE"""),"MARY JACQUILINE C. ELID")</f>
        <v>MARY JACQUILINE C. ELID</v>
      </c>
      <c r="L3701" s="164" t="str">
        <f ca="1">IFERROR(__xludf.DUMMYFUNCTION("""COMPUTED_VALUE"""),"STOD")</f>
        <v>STOD</v>
      </c>
      <c r="M3701" s="164" t="str">
        <f ca="1">IFERROR(__xludf.DUMMYFUNCTION("""COMPUTED_VALUE"""),"SERVICEABLE")</f>
        <v>SERVICEABLE</v>
      </c>
      <c r="N3701" s="164"/>
    </row>
    <row r="3702" spans="1:14" ht="13.2" hidden="1">
      <c r="A3702" s="164" t="str">
        <f ca="1">IFERROR(__xludf.DUMMYFUNCTION("""COMPUTED_VALUE"""),"Region XI")</f>
        <v>Region XI</v>
      </c>
      <c r="B3702" s="164" t="str">
        <f ca="1">IFERROR(__xludf.DUMMYFUNCTION("""COMPUTED_VALUE"""),"Regional Office")</f>
        <v>Regional Office</v>
      </c>
      <c r="C3702" s="164" t="str">
        <f ca="1">IFERROR(__xludf.DUMMYFUNCTION("""COMPUTED_VALUE"""),"Laptop – (ACER EXTENSA EX215-55G i7)")</f>
        <v>Laptop – (ACER EXTENSA EX215-55G i7)</v>
      </c>
      <c r="D3702" s="164" t="str">
        <f ca="1">IFERROR(__xludf.DUMMYFUNCTION("""COMPUTED_VALUE"""),"₱ 59,500.00")</f>
        <v>₱ 59,500.00</v>
      </c>
      <c r="E3702" s="164"/>
      <c r="F3702" s="164" t="str">
        <f ca="1">IFERROR(__xludf.DUMMYFUNCTION("""COMPUTED_VALUE"""),"2023-05-03-10202SP281-01")</f>
        <v>2023-05-03-10202SP281-01</v>
      </c>
      <c r="G3702" s="164" t="str">
        <f ca="1">IFERROR(__xludf.DUMMYFUNCTION("""COMPUTED_VALUE"""),"NXEGZSP00330801C553400")</f>
        <v>NXEGZSP00330801C553400</v>
      </c>
      <c r="H3702" s="164" t="str">
        <f ca="1">IFERROR(__xludf.DUMMYFUNCTION("""COMPUTED_VALUE"""),"GENEVIEVE I. ORTIZ")</f>
        <v>GENEVIEVE I. ORTIZ</v>
      </c>
      <c r="I3702" s="164" t="str">
        <f ca="1">IFERROR(__xludf.DUMMYFUNCTION("""COMPUTED_VALUE"""),"PO IV")</f>
        <v>PO IV</v>
      </c>
      <c r="J3702" s="164" t="str">
        <f ca="1">IFERROR(__xludf.DUMMYFUNCTION("""COMPUTED_VALUE"""),"2023-10-016")</f>
        <v>2023-10-016</v>
      </c>
      <c r="K3702" s="164" t="str">
        <f ca="1">IFERROR(__xludf.DUMMYFUNCTION("""COMPUTED_VALUE"""),"GENEVIEVE I. ORTIZ")</f>
        <v>GENEVIEVE I. ORTIZ</v>
      </c>
      <c r="L3702" s="164" t="str">
        <f ca="1">IFERROR(__xludf.DUMMYFUNCTION("""COMPUTED_VALUE"""),"STOD")</f>
        <v>STOD</v>
      </c>
      <c r="M3702" s="164" t="str">
        <f ca="1">IFERROR(__xludf.DUMMYFUNCTION("""COMPUTED_VALUE"""),"SERVICEABLE")</f>
        <v>SERVICEABLE</v>
      </c>
      <c r="N3702" s="164"/>
    </row>
    <row r="3703" spans="1:14" ht="13.2" hidden="1">
      <c r="A3703" s="164" t="str">
        <f ca="1">IFERROR(__xludf.DUMMYFUNCTION("""COMPUTED_VALUE"""),"Region XI")</f>
        <v>Region XI</v>
      </c>
      <c r="B3703" s="164" t="str">
        <f ca="1">IFERROR(__xludf.DUMMYFUNCTION("""COMPUTED_VALUE"""),"Regional Office")</f>
        <v>Regional Office</v>
      </c>
      <c r="C3703" s="164" t="str">
        <f ca="1">IFERROR(__xludf.DUMMYFUNCTION("""COMPUTED_VALUE"""),"Laptop – (ACER EXTENSA EX215-55G i7)")</f>
        <v>Laptop – (ACER EXTENSA EX215-55G i7)</v>
      </c>
      <c r="D3703" s="164" t="str">
        <f ca="1">IFERROR(__xludf.DUMMYFUNCTION("""COMPUTED_VALUE"""),"₱ 59,500.00")</f>
        <v>₱ 59,500.00</v>
      </c>
      <c r="E3703" s="164"/>
      <c r="F3703" s="164" t="str">
        <f ca="1">IFERROR(__xludf.DUMMYFUNCTION("""COMPUTED_VALUE"""),"2023-05-03-10202SP282-01")</f>
        <v>2023-05-03-10202SP282-01</v>
      </c>
      <c r="G3703" s="164" t="str">
        <f ca="1">IFERROR(__xludf.DUMMYFUNCTION("""COMPUTED_VALUE"""),"NXEGZSP00330801AA33400")</f>
        <v>NXEGZSP00330801AA33400</v>
      </c>
      <c r="H3703" s="164" t="str">
        <f ca="1">IFERROR(__xludf.DUMMYFUNCTION("""COMPUTED_VALUE"""),"CLAUDIO YBAÑEZ")</f>
        <v>CLAUDIO YBAÑEZ</v>
      </c>
      <c r="I3703" s="164" t="str">
        <f ca="1">IFERROR(__xludf.DUMMYFUNCTION("""COMPUTED_VALUE"""),"DIRECTOR III")</f>
        <v>DIRECTOR III</v>
      </c>
      <c r="J3703" s="164" t="str">
        <f ca="1">IFERROR(__xludf.DUMMYFUNCTION("""COMPUTED_VALUE"""),"2023-10-016")</f>
        <v>2023-10-016</v>
      </c>
      <c r="K3703" s="164" t="str">
        <f ca="1">IFERROR(__xludf.DUMMYFUNCTION("""COMPUTED_VALUE"""),"CLAUDIO YBAÑEZ")</f>
        <v>CLAUDIO YBAÑEZ</v>
      </c>
      <c r="L3703" s="164" t="str">
        <f ca="1">IFERROR(__xludf.DUMMYFUNCTION("""COMPUTED_VALUE"""),"OARDA")</f>
        <v>OARDA</v>
      </c>
      <c r="M3703" s="164" t="str">
        <f ca="1">IFERROR(__xludf.DUMMYFUNCTION("""COMPUTED_VALUE"""),"SERVICEABLE")</f>
        <v>SERVICEABLE</v>
      </c>
      <c r="N3703" s="164"/>
    </row>
    <row r="3704" spans="1:14" ht="13.2" hidden="1">
      <c r="A3704" s="164" t="str">
        <f ca="1">IFERROR(__xludf.DUMMYFUNCTION("""COMPUTED_VALUE"""),"Region XI")</f>
        <v>Region XI</v>
      </c>
      <c r="B3704" s="164" t="str">
        <f ca="1">IFERROR(__xludf.DUMMYFUNCTION("""COMPUTED_VALUE"""),"Regional Office")</f>
        <v>Regional Office</v>
      </c>
      <c r="C3704" s="164" t="str">
        <f ca="1">IFERROR(__xludf.DUMMYFUNCTION("""COMPUTED_VALUE"""),"HANDHELD GPS – MODEL P6")</f>
        <v>HANDHELD GPS – MODEL P6</v>
      </c>
      <c r="D3704" s="164" t="str">
        <f ca="1">IFERROR(__xludf.DUMMYFUNCTION("""COMPUTED_VALUE"""),"₱ 79,000.00")</f>
        <v>₱ 79,000.00</v>
      </c>
      <c r="E3704" s="164"/>
      <c r="F3704" s="164" t="str">
        <f ca="1">IFERROR(__xludf.DUMMYFUNCTION("""COMPUTED_VALUE"""),"2023-05-14-10202SP52-01")</f>
        <v>2023-05-14-10202SP52-01</v>
      </c>
      <c r="G3704" s="164"/>
      <c r="H3704" s="164" t="str">
        <f ca="1">IFERROR(__xludf.DUMMYFUNCTION("""COMPUTED_VALUE"""),"CALIXTO BALLOS")</f>
        <v>CALIXTO BALLOS</v>
      </c>
      <c r="I3704" s="164" t="str">
        <f ca="1">IFERROR(__xludf.DUMMYFUNCTION("""COMPUTED_VALUE"""),"ENGINEER IIII")</f>
        <v>ENGINEER IIII</v>
      </c>
      <c r="J3704" s="164" t="str">
        <f ca="1">IFERROR(__xludf.DUMMYFUNCTION("""COMPUTED_VALUE"""),"2023-04-013")</f>
        <v>2023-04-013</v>
      </c>
      <c r="K3704" s="164" t="str">
        <f ca="1">IFERROR(__xludf.DUMMYFUNCTION("""COMPUTED_VALUE"""),"CALIXTO BALLOS")</f>
        <v>CALIXTO BALLOS</v>
      </c>
      <c r="L3704" s="164" t="str">
        <f ca="1">IFERROR(__xludf.DUMMYFUNCTION("""COMPUTED_VALUE"""),"LTID")</f>
        <v>LTID</v>
      </c>
      <c r="M3704" s="164" t="str">
        <f ca="1">IFERROR(__xludf.DUMMYFUNCTION("""COMPUTED_VALUE"""),"SERVICEABLE")</f>
        <v>SERVICEABLE</v>
      </c>
      <c r="N3704" s="164"/>
    </row>
    <row r="3705" spans="1:14" ht="13.2" hidden="1">
      <c r="A3705" s="164" t="str">
        <f ca="1">IFERROR(__xludf.DUMMYFUNCTION("""COMPUTED_VALUE"""),"Region XI")</f>
        <v>Region XI</v>
      </c>
      <c r="B3705" s="164" t="str">
        <f ca="1">IFERROR(__xludf.DUMMYFUNCTION("""COMPUTED_VALUE"""),"Regional Office")</f>
        <v>Regional Office</v>
      </c>
      <c r="C3705" s="164" t="str">
        <f ca="1">IFERROR(__xludf.DUMMYFUNCTION("""COMPUTED_VALUE"""),"HANDHELD GPS – MODEL P6")</f>
        <v>HANDHELD GPS – MODEL P6</v>
      </c>
      <c r="D3705" s="164" t="str">
        <f ca="1">IFERROR(__xludf.DUMMYFUNCTION("""COMPUTED_VALUE"""),"₱ 79,000.00")</f>
        <v>₱ 79,000.00</v>
      </c>
      <c r="E3705" s="164"/>
      <c r="F3705" s="164" t="str">
        <f ca="1">IFERROR(__xludf.DUMMYFUNCTION("""COMPUTED_VALUE"""),"2023-05-14-10202SP53-01")</f>
        <v>2023-05-14-10202SP53-01</v>
      </c>
      <c r="G3705" s="164"/>
      <c r="H3705" s="164" t="str">
        <f ca="1">IFERROR(__xludf.DUMMYFUNCTION("""COMPUTED_VALUE"""),"CALIXTO BALLOS")</f>
        <v>CALIXTO BALLOS</v>
      </c>
      <c r="I3705" s="164" t="str">
        <f ca="1">IFERROR(__xludf.DUMMYFUNCTION("""COMPUTED_VALUE"""),"ENGINEER IIII")</f>
        <v>ENGINEER IIII</v>
      </c>
      <c r="J3705" s="164" t="str">
        <f ca="1">IFERROR(__xludf.DUMMYFUNCTION("""COMPUTED_VALUE"""),"2023-04-013")</f>
        <v>2023-04-013</v>
      </c>
      <c r="K3705" s="164" t="str">
        <f ca="1">IFERROR(__xludf.DUMMYFUNCTION("""COMPUTED_VALUE"""),"CALIXTO BALLOS")</f>
        <v>CALIXTO BALLOS</v>
      </c>
      <c r="L3705" s="164" t="str">
        <f ca="1">IFERROR(__xludf.DUMMYFUNCTION("""COMPUTED_VALUE"""),"LTID")</f>
        <v>LTID</v>
      </c>
      <c r="M3705" s="164" t="str">
        <f ca="1">IFERROR(__xludf.DUMMYFUNCTION("""COMPUTED_VALUE"""),"SERVICEABLE")</f>
        <v>SERVICEABLE</v>
      </c>
      <c r="N3705" s="164"/>
    </row>
    <row r="3706" spans="1:14" ht="13.2" hidden="1">
      <c r="A3706" s="164" t="str">
        <f ca="1">IFERROR(__xludf.DUMMYFUNCTION("""COMPUTED_VALUE"""),"Region XI")</f>
        <v>Region XI</v>
      </c>
      <c r="B3706" s="164" t="str">
        <f ca="1">IFERROR(__xludf.DUMMYFUNCTION("""COMPUTED_VALUE"""),"Regional Office")</f>
        <v>Regional Office</v>
      </c>
      <c r="C3706" s="164" t="str">
        <f ca="1">IFERROR(__xludf.DUMMYFUNCTION("""COMPUTED_VALUE"""),"HANDHELD GPS – MODEL P6")</f>
        <v>HANDHELD GPS – MODEL P6</v>
      </c>
      <c r="D3706" s="164" t="str">
        <f ca="1">IFERROR(__xludf.DUMMYFUNCTION("""COMPUTED_VALUE"""),"₱ 79,000.00")</f>
        <v>₱ 79,000.00</v>
      </c>
      <c r="E3706" s="164"/>
      <c r="F3706" s="164" t="str">
        <f ca="1">IFERROR(__xludf.DUMMYFUNCTION("""COMPUTED_VALUE"""),"2023-05-14-10202SP54-01")</f>
        <v>2023-05-14-10202SP54-01</v>
      </c>
      <c r="G3706" s="164"/>
      <c r="H3706" s="164" t="str">
        <f ca="1">IFERROR(__xludf.DUMMYFUNCTION("""COMPUTED_VALUE"""),"CALIXTO BALLOS")</f>
        <v>CALIXTO BALLOS</v>
      </c>
      <c r="I3706" s="164" t="str">
        <f ca="1">IFERROR(__xludf.DUMMYFUNCTION("""COMPUTED_VALUE"""),"ENGINEER IIII")</f>
        <v>ENGINEER IIII</v>
      </c>
      <c r="J3706" s="164" t="str">
        <f ca="1">IFERROR(__xludf.DUMMYFUNCTION("""COMPUTED_VALUE"""),"2023-04-013")</f>
        <v>2023-04-013</v>
      </c>
      <c r="K3706" s="164" t="str">
        <f ca="1">IFERROR(__xludf.DUMMYFUNCTION("""COMPUTED_VALUE"""),"CALIXTO BALLOS")</f>
        <v>CALIXTO BALLOS</v>
      </c>
      <c r="L3706" s="164" t="str">
        <f ca="1">IFERROR(__xludf.DUMMYFUNCTION("""COMPUTED_VALUE"""),"LTID")</f>
        <v>LTID</v>
      </c>
      <c r="M3706" s="164" t="str">
        <f ca="1">IFERROR(__xludf.DUMMYFUNCTION("""COMPUTED_VALUE"""),"SERVICEABLE")</f>
        <v>SERVICEABLE</v>
      </c>
      <c r="N3706" s="164"/>
    </row>
    <row r="3707" spans="1:14" ht="13.2" hidden="1">
      <c r="A3707" s="164" t="str">
        <f ca="1">IFERROR(__xludf.DUMMYFUNCTION("""COMPUTED_VALUE"""),"Region XI")</f>
        <v>Region XI</v>
      </c>
      <c r="B3707" s="164" t="str">
        <f ca="1">IFERROR(__xludf.DUMMYFUNCTION("""COMPUTED_VALUE"""),"Regional Office")</f>
        <v>Regional Office</v>
      </c>
      <c r="C3707" s="164" t="str">
        <f ca="1">IFERROR(__xludf.DUMMYFUNCTION("""COMPUTED_VALUE"""),"REAL-TIME KINEMATIC – GEOMAX ZENITH60")</f>
        <v>REAL-TIME KINEMATIC – GEOMAX ZENITH60</v>
      </c>
      <c r="D3707" s="164" t="str">
        <f ca="1">IFERROR(__xludf.DUMMYFUNCTION("""COMPUTED_VALUE"""),"₱ 1,849,000.00")</f>
        <v>₱ 1,849,000.00</v>
      </c>
      <c r="E3707" s="164"/>
      <c r="F3707" s="164" t="str">
        <f ca="1">IFERROR(__xludf.DUMMYFUNCTION("""COMPUTED_VALUE"""),"2023-05-14-1021S945-01")</f>
        <v>2023-05-14-1021S945-01</v>
      </c>
      <c r="G3707" s="164" t="str">
        <f ca="1">IFERROR(__xludf.DUMMYFUNCTION("""COMPUTED_VALUE"""),"Z60SN272200101")</f>
        <v>Z60SN272200101</v>
      </c>
      <c r="H3707" s="164" t="str">
        <f ca="1">IFERROR(__xludf.DUMMYFUNCTION("""COMPUTED_VALUE"""),"WYNDELLE ALFORQUE")</f>
        <v>WYNDELLE ALFORQUE</v>
      </c>
      <c r="I3707" s="164" t="str">
        <f ca="1">IFERROR(__xludf.DUMMYFUNCTION("""COMPUTED_VALUE"""),"ENGINEER II")</f>
        <v>ENGINEER II</v>
      </c>
      <c r="J3707" s="164" t="str">
        <f ca="1">IFERROR(__xludf.DUMMYFUNCTION("""COMPUTED_VALUE"""),"2023-04-014")</f>
        <v>2023-04-014</v>
      </c>
      <c r="K3707" s="164" t="str">
        <f ca="1">IFERROR(__xludf.DUMMYFUNCTION("""COMPUTED_VALUE"""),"WYNDELLE ALFORQUE")</f>
        <v>WYNDELLE ALFORQUE</v>
      </c>
      <c r="L3707" s="164" t="str">
        <f ca="1">IFERROR(__xludf.DUMMYFUNCTION("""COMPUTED_VALUE"""),"LTID")</f>
        <v>LTID</v>
      </c>
      <c r="M3707" s="164" t="str">
        <f ca="1">IFERROR(__xludf.DUMMYFUNCTION("""COMPUTED_VALUE"""),"SERVICEABLE")</f>
        <v>SERVICEABLE</v>
      </c>
      <c r="N3707" s="164"/>
    </row>
    <row r="3708" spans="1:14" ht="13.2" hidden="1">
      <c r="A3708" s="164" t="str">
        <f ca="1">IFERROR(__xludf.DUMMYFUNCTION("""COMPUTED_VALUE"""),"Region XI")</f>
        <v>Region XI</v>
      </c>
      <c r="B3708" s="164" t="str">
        <f ca="1">IFERROR(__xludf.DUMMYFUNCTION("""COMPUTED_VALUE"""),"Regional Office")</f>
        <v>Regional Office</v>
      </c>
      <c r="C3708" s="164" t="str">
        <f ca="1">IFERROR(__xludf.DUMMYFUNCTION("""COMPUTED_VALUE"""),"TOTAL STATION – GEOMAX TOTAL STATION ZOOM 50")</f>
        <v>TOTAL STATION – GEOMAX TOTAL STATION ZOOM 50</v>
      </c>
      <c r="D3708" s="164" t="str">
        <f ca="1">IFERROR(__xludf.DUMMYFUNCTION("""COMPUTED_VALUE"""),"₱ 648,000.00")</f>
        <v>₱ 648,000.00</v>
      </c>
      <c r="E3708" s="164"/>
      <c r="F3708" s="164" t="str">
        <f ca="1">IFERROR(__xludf.DUMMYFUNCTION("""COMPUTED_VALUE"""),"2023-05-14-1021SP45-01")</f>
        <v>2023-05-14-1021SP45-01</v>
      </c>
      <c r="G3708" s="164" t="str">
        <f ca="1">IFERROR(__xludf.DUMMYFUNCTION("""COMPUTED_VALUE"""),"2839984")</f>
        <v>2839984</v>
      </c>
      <c r="H3708" s="164" t="str">
        <f ca="1">IFERROR(__xludf.DUMMYFUNCTION("""COMPUTED_VALUE"""),"WYNDELLE ALFORQUE")</f>
        <v>WYNDELLE ALFORQUE</v>
      </c>
      <c r="I3708" s="164" t="str">
        <f ca="1">IFERROR(__xludf.DUMMYFUNCTION("""COMPUTED_VALUE"""),"ENGINEER II")</f>
        <v>ENGINEER II</v>
      </c>
      <c r="J3708" s="164" t="str">
        <f ca="1">IFERROR(__xludf.DUMMYFUNCTION("""COMPUTED_VALUE"""),"2023-04-014A")</f>
        <v>2023-04-014A</v>
      </c>
      <c r="K3708" s="164" t="str">
        <f ca="1">IFERROR(__xludf.DUMMYFUNCTION("""COMPUTED_VALUE"""),"WYNDELLE ALFORQUE")</f>
        <v>WYNDELLE ALFORQUE</v>
      </c>
      <c r="L3708" s="164" t="str">
        <f ca="1">IFERROR(__xludf.DUMMYFUNCTION("""COMPUTED_VALUE"""),"LTID")</f>
        <v>LTID</v>
      </c>
      <c r="M3708" s="164" t="str">
        <f ca="1">IFERROR(__xludf.DUMMYFUNCTION("""COMPUTED_VALUE"""),"SERVICEABLE")</f>
        <v>SERVICEABLE</v>
      </c>
      <c r="N3708" s="164"/>
    </row>
    <row r="3709" spans="1:14" ht="13.2" hidden="1">
      <c r="A3709" s="164" t="str">
        <f ca="1">IFERROR(__xludf.DUMMYFUNCTION("""COMPUTED_VALUE"""),"Region XI")</f>
        <v>Region XI</v>
      </c>
      <c r="B3709" s="164" t="str">
        <f ca="1">IFERROR(__xludf.DUMMYFUNCTION("""COMPUTED_VALUE"""),"Regional Office")</f>
        <v>Regional Office</v>
      </c>
      <c r="C3709" s="164" t="str">
        <f ca="1">IFERROR(__xludf.DUMMYFUNCTION("""COMPUTED_VALUE"""),"HANDHELD GPS – MODEL P6")</f>
        <v>HANDHELD GPS – MODEL P6</v>
      </c>
      <c r="D3709" s="164" t="str">
        <f ca="1">IFERROR(__xludf.DUMMYFUNCTION("""COMPUTED_VALUE"""),"₱ 79,000.00")</f>
        <v>₱ 79,000.00</v>
      </c>
      <c r="E3709" s="164"/>
      <c r="F3709" s="164" t="str">
        <f ca="1">IFERROR(__xludf.DUMMYFUNCTION("""COMPUTED_VALUE"""),"2023-05-14-10202SP27-01")</f>
        <v>2023-05-14-10202SP27-01</v>
      </c>
      <c r="G3709" s="164"/>
      <c r="H3709" s="164" t="str">
        <f ca="1">IFERROR(__xludf.DUMMYFUNCTION("""COMPUTED_VALUE"""),"WYNDELLE ALFORQUE")</f>
        <v>WYNDELLE ALFORQUE</v>
      </c>
      <c r="I3709" s="164" t="str">
        <f ca="1">IFERROR(__xludf.DUMMYFUNCTION("""COMPUTED_VALUE"""),"ENGINEER II")</f>
        <v>ENGINEER II</v>
      </c>
      <c r="J3709" s="164" t="str">
        <f ca="1">IFERROR(__xludf.DUMMYFUNCTION("""COMPUTED_VALUE"""),"2023-04-015")</f>
        <v>2023-04-015</v>
      </c>
      <c r="K3709" s="164" t="str">
        <f ca="1">IFERROR(__xludf.DUMMYFUNCTION("""COMPUTED_VALUE"""),"WYNDELLE ALFORQUE")</f>
        <v>WYNDELLE ALFORQUE</v>
      </c>
      <c r="L3709" s="164" t="str">
        <f ca="1">IFERROR(__xludf.DUMMYFUNCTION("""COMPUTED_VALUE"""),"LTID")</f>
        <v>LTID</v>
      </c>
      <c r="M3709" s="164" t="str">
        <f ca="1">IFERROR(__xludf.DUMMYFUNCTION("""COMPUTED_VALUE"""),"SERVICEABLE")</f>
        <v>SERVICEABLE</v>
      </c>
      <c r="N3709" s="164"/>
    </row>
    <row r="3710" spans="1:14" ht="13.2" hidden="1">
      <c r="A3710" s="164" t="str">
        <f ca="1">IFERROR(__xludf.DUMMYFUNCTION("""COMPUTED_VALUE"""),"Region XI")</f>
        <v>Region XI</v>
      </c>
      <c r="B3710" s="164" t="str">
        <f ca="1">IFERROR(__xludf.DUMMYFUNCTION("""COMPUTED_VALUE"""),"Regional Office")</f>
        <v>Regional Office</v>
      </c>
      <c r="C3710" s="164" t="str">
        <f ca="1">IFERROR(__xludf.DUMMYFUNCTION("""COMPUTED_VALUE"""),"PLOTTER (3IN1)")</f>
        <v>PLOTTER (3IN1)</v>
      </c>
      <c r="D3710" s="164" t="str">
        <f ca="1">IFERROR(__xludf.DUMMYFUNCTION("""COMPUTED_VALUE"""),"₱ 49,300.00")</f>
        <v>₱ 49,300.00</v>
      </c>
      <c r="E3710" s="164"/>
      <c r="F3710" s="164" t="str">
        <f ca="1">IFERROR(__xludf.DUMMYFUNCTION("""COMPUTED_VALUE"""),"2024-05-14-10201SP13-01")</f>
        <v>2024-05-14-10201SP13-01</v>
      </c>
      <c r="G3710" s="164" t="str">
        <f ca="1">IFERROR(__xludf.DUMMYFUNCTION("""COMPUTED_VALUE"""),"BBAK00032")</f>
        <v>BBAK00032</v>
      </c>
      <c r="H3710" s="164" t="str">
        <f ca="1">IFERROR(__xludf.DUMMYFUNCTION("""COMPUTED_VALUE"""),"ENGR. WYNDELLE ALFORQUE")</f>
        <v>ENGR. WYNDELLE ALFORQUE</v>
      </c>
      <c r="I3710" s="164" t="str">
        <f ca="1">IFERROR(__xludf.DUMMYFUNCTION("""COMPUTED_VALUE"""),"ENGINEER II")</f>
        <v>ENGINEER II</v>
      </c>
      <c r="J3710" s="164" t="str">
        <f ca="1">IFERROR(__xludf.DUMMYFUNCTION("""COMPUTED_VALUE"""),"DARCO PTR 2024-05-010PL / PAR 2024-07-002")</f>
        <v>DARCO PTR 2024-05-010PL / PAR 2024-07-002</v>
      </c>
      <c r="K3710" s="164" t="str">
        <f ca="1">IFERROR(__xludf.DUMMYFUNCTION("""COMPUTED_VALUE"""),"ENGR. WYNDELLE ALFORQUE")</f>
        <v>ENGR. WYNDELLE ALFORQUE</v>
      </c>
      <c r="L3710" s="164" t="str">
        <f ca="1">IFERROR(__xludf.DUMMYFUNCTION("""COMPUTED_VALUE"""),"LTID")</f>
        <v>LTID</v>
      </c>
      <c r="M3710" s="164" t="str">
        <f ca="1">IFERROR(__xludf.DUMMYFUNCTION("""COMPUTED_VALUE"""),"SERVICEABLE")</f>
        <v>SERVICEABLE</v>
      </c>
      <c r="N3710" s="164"/>
    </row>
    <row r="3711" spans="1:14" ht="13.2" hidden="1">
      <c r="A3711" s="164" t="str">
        <f ca="1">IFERROR(__xludf.DUMMYFUNCTION("""COMPUTED_VALUE"""),"Region XI")</f>
        <v>Region XI</v>
      </c>
      <c r="B3711" s="164" t="str">
        <f ca="1">IFERROR(__xludf.DUMMYFUNCTION("""COMPUTED_VALUE"""),"Regional Office")</f>
        <v>Regional Office</v>
      </c>
      <c r="C3711" s="164" t="str">
        <f ca="1">IFERROR(__xludf.DUMMYFUNCTION("""COMPUTED_VALUE"""),"A3 PRINTER (BROTHER)")</f>
        <v>A3 PRINTER (BROTHER)</v>
      </c>
      <c r="D3711" s="164" t="str">
        <f ca="1">IFERROR(__xludf.DUMMYFUNCTION("""COMPUTED_VALUE"""),"₱ 33,508.00")</f>
        <v>₱ 33,508.00</v>
      </c>
      <c r="E3711" s="164"/>
      <c r="F3711" s="164" t="str">
        <f ca="1">IFERROR(__xludf.DUMMYFUNCTION("""COMPUTED_VALUE"""),"HV-SPLIT-102-24-05-61")</f>
        <v>HV-SPLIT-102-24-05-61</v>
      </c>
      <c r="G3711" s="164"/>
      <c r="H3711" s="164" t="str">
        <f ca="1">IFERROR(__xludf.DUMMYFUNCTION("""COMPUTED_VALUE"""),"CHARLOTTE H SISON")</f>
        <v>CHARLOTTE H SISON</v>
      </c>
      <c r="I3711" s="164" t="str">
        <f ca="1">IFERROR(__xludf.DUMMYFUNCTION("""COMPUTED_VALUE"""),"ARPO")</f>
        <v>ARPO</v>
      </c>
      <c r="J3711" s="164" t="str">
        <f ca="1">IFERROR(__xludf.DUMMYFUNCTION("""COMPUTED_VALUE"""),"2024-05-013")</f>
        <v>2024-05-013</v>
      </c>
      <c r="K3711" s="164"/>
      <c r="L3711" s="164" t="str">
        <f ca="1">IFERROR(__xludf.DUMMYFUNCTION("""COMPUTED_VALUE"""),"DARRO XI")</f>
        <v>DARRO XI</v>
      </c>
      <c r="M3711" s="164" t="str">
        <f ca="1">IFERROR(__xludf.DUMMYFUNCTION("""COMPUTED_VALUE"""),"SERVICEABLE")</f>
        <v>SERVICEABLE</v>
      </c>
      <c r="N3711" s="164"/>
    </row>
    <row r="3712" spans="1:14" ht="13.2" hidden="1">
      <c r="A3712" s="164" t="str">
        <f ca="1">IFERROR(__xludf.DUMMYFUNCTION("""COMPUTED_VALUE"""),"Region XI")</f>
        <v>Region XI</v>
      </c>
      <c r="B3712" s="164" t="str">
        <f ca="1">IFERROR(__xludf.DUMMYFUNCTION("""COMPUTED_VALUE"""),"Regional Office")</f>
        <v>Regional Office</v>
      </c>
      <c r="C3712" s="164" t="str">
        <f ca="1">IFERROR(__xludf.DUMMYFUNCTION("""COMPUTED_VALUE"""),"ACER TRAVELMATE")</f>
        <v>ACER TRAVELMATE</v>
      </c>
      <c r="D3712" s="164" t="str">
        <f ca="1">IFERROR(__xludf.DUMMYFUNCTION("""COMPUTED_VALUE"""),"₱ 46,580.00")</f>
        <v>₱ 46,580.00</v>
      </c>
      <c r="E3712" s="164" t="str">
        <f ca="1">IFERROR(__xludf.DUMMYFUNCTION("""COMPUTED_VALUE"""),"₱ -")</f>
        <v>₱ -</v>
      </c>
      <c r="F3712" s="164" t="str">
        <f ca="1">IFERROR(__xludf.DUMMYFUNCTION("""COMPUTED_VALUE"""),"2024-05-03-10202SP-317-01")</f>
        <v>2024-05-03-10202SP-317-01</v>
      </c>
      <c r="G3712" s="164"/>
      <c r="H3712" s="164" t="str">
        <f ca="1">IFERROR(__xludf.DUMMYFUNCTION("""COMPUTED_VALUE"""),"LADYH APRIL V ARANGCON")</f>
        <v>LADYH APRIL V ARANGCON</v>
      </c>
      <c r="I3712" s="164" t="str">
        <f ca="1">IFERROR(__xludf.DUMMYFUNCTION("""COMPUTED_VALUE"""),"OIC SARPO/INFO OFFICER")</f>
        <v>OIC SARPO/INFO OFFICER</v>
      </c>
      <c r="J3712" s="164"/>
      <c r="K3712" s="164" t="str">
        <f ca="1">IFERROR(__xludf.DUMMYFUNCTION("""COMPUTED_VALUE"""),"LADYH APRIL V ARANGCON")</f>
        <v>LADYH APRIL V ARANGCON</v>
      </c>
      <c r="L3712" s="164" t="str">
        <f ca="1">IFERROR(__xludf.DUMMYFUNCTION("""COMPUTED_VALUE"""),"DARRO XI")</f>
        <v>DARRO XI</v>
      </c>
      <c r="M3712" s="164" t="str">
        <f ca="1">IFERROR(__xludf.DUMMYFUNCTION("""COMPUTED_VALUE"""),"SERVICEABLE")</f>
        <v>SERVICEABLE</v>
      </c>
      <c r="N3712" s="164"/>
    </row>
    <row r="3713" spans="1:14" ht="13.2" hidden="1">
      <c r="A3713" s="164" t="str">
        <f ca="1">IFERROR(__xludf.DUMMYFUNCTION("""COMPUTED_VALUE"""),"Region XI")</f>
        <v>Region XI</v>
      </c>
      <c r="B3713" s="164" t="str">
        <f ca="1">IFERROR(__xludf.DUMMYFUNCTION("""COMPUTED_VALUE"""),"Regional Office")</f>
        <v>Regional Office</v>
      </c>
      <c r="C3713" s="164" t="str">
        <f ca="1">IFERROR(__xludf.DUMMYFUNCTION("""COMPUTED_VALUE"""),"ACER TRAVELMATE")</f>
        <v>ACER TRAVELMATE</v>
      </c>
      <c r="D3713" s="164" t="str">
        <f ca="1">IFERROR(__xludf.DUMMYFUNCTION("""COMPUTED_VALUE"""),"₱ 46,580.00")</f>
        <v>₱ 46,580.00</v>
      </c>
      <c r="E3713" s="164" t="str">
        <f ca="1">IFERROR(__xludf.DUMMYFUNCTION("""COMPUTED_VALUE"""),"₱ -")</f>
        <v>₱ -</v>
      </c>
      <c r="F3713" s="164" t="str">
        <f ca="1">IFERROR(__xludf.DUMMYFUNCTION("""COMPUTED_VALUE"""),"2024-05-03-10202SP-244-01")</f>
        <v>2024-05-03-10202SP-244-01</v>
      </c>
      <c r="G3713" s="164"/>
      <c r="H3713" s="164" t="str">
        <f ca="1">IFERROR(__xludf.DUMMYFUNCTION("""COMPUTED_VALUE"""),"CATHY O CADUSALE")</f>
        <v>CATHY O CADUSALE</v>
      </c>
      <c r="I3713" s="164" t="str">
        <f ca="1">IFERROR(__xludf.DUMMYFUNCTION("""COMPUTED_VALUE"""),"ESS COORDIINATOR")</f>
        <v>ESS COORDIINATOR</v>
      </c>
      <c r="J3713" s="164"/>
      <c r="K3713" s="164" t="str">
        <f ca="1">IFERROR(__xludf.DUMMYFUNCTION("""COMPUTED_VALUE"""),"CATHY O CADUSALE")</f>
        <v>CATHY O CADUSALE</v>
      </c>
      <c r="L3713" s="164" t="str">
        <f ca="1">IFERROR(__xludf.DUMMYFUNCTION("""COMPUTED_VALUE"""),"DARRO XI")</f>
        <v>DARRO XI</v>
      </c>
      <c r="M3713" s="164" t="str">
        <f ca="1">IFERROR(__xludf.DUMMYFUNCTION("""COMPUTED_VALUE"""),"SERVICEABLE")</f>
        <v>SERVICEABLE</v>
      </c>
      <c r="N3713" s="164"/>
    </row>
    <row r="3714" spans="1:14" ht="13.2" hidden="1">
      <c r="A3714" s="164" t="str">
        <f ca="1">IFERROR(__xludf.DUMMYFUNCTION("""COMPUTED_VALUE"""),"Region XI")</f>
        <v>Region XI</v>
      </c>
      <c r="B3714" s="164" t="str">
        <f ca="1">IFERROR(__xludf.DUMMYFUNCTION("""COMPUTED_VALUE"""),"Davao City")</f>
        <v>Davao City</v>
      </c>
      <c r="C3714" s="164" t="str">
        <f ca="1">IFERROR(__xludf.DUMMYFUNCTION("""COMPUTED_VALUE"""),"Photocopier Machine – Kyocera")</f>
        <v>Photocopier Machine – Kyocera</v>
      </c>
      <c r="D3714" s="164" t="str">
        <f ca="1">IFERROR(__xludf.DUMMYFUNCTION("""COMPUTED_VALUE"""),"₱ 84,500.00")</f>
        <v>₱ 84,500.00</v>
      </c>
      <c r="E3714" s="164"/>
      <c r="F3714" s="164" t="str">
        <f ca="1">IFERROR(__xludf.DUMMYFUNCTION("""COMPUTED_VALUE"""),"2022-05-02-10202SP73-01")</f>
        <v>2022-05-02-10202SP73-01</v>
      </c>
      <c r="G3714" s="164"/>
      <c r="H3714" s="164" t="str">
        <f ca="1">IFERROR(__xludf.DUMMYFUNCTION("""COMPUTED_VALUE"""),"FERIAL V. SANTILLAN")</f>
        <v>FERIAL V. SANTILLAN</v>
      </c>
      <c r="I3714" s="164" t="str">
        <f ca="1">IFERROR(__xludf.DUMMYFUNCTION("""COMPUTED_VALUE"""),"CARPO-LTID")</f>
        <v>CARPO-LTID</v>
      </c>
      <c r="J3714" s="164" t="str">
        <f ca="1">IFERROR(__xludf.DUMMYFUNCTION("""COMPUTED_VALUE"""),"PAR 2022-12-0001SP")</f>
        <v>PAR 2022-12-0001SP</v>
      </c>
      <c r="K3714" s="164" t="str">
        <f ca="1">IFERROR(__xludf.DUMMYFUNCTION("""COMPUTED_VALUE"""),"FERIAL V. SANTILLAN")</f>
        <v>FERIAL V. SANTILLAN</v>
      </c>
      <c r="L3714" s="164" t="str">
        <f ca="1">IFERROR(__xludf.DUMMYFUNCTION("""COMPUTED_VALUE"""),"LTID")</f>
        <v>LTID</v>
      </c>
      <c r="M3714" s="164" t="str">
        <f ca="1">IFERROR(__xludf.DUMMYFUNCTION("""COMPUTED_VALUE"""),"SERVICEABLE")</f>
        <v>SERVICEABLE</v>
      </c>
      <c r="N3714" s="164"/>
    </row>
    <row r="3715" spans="1:14" ht="13.2" hidden="1">
      <c r="A3715" s="164" t="str">
        <f ca="1">IFERROR(__xludf.DUMMYFUNCTION("""COMPUTED_VALUE"""),"Region XI")</f>
        <v>Region XI</v>
      </c>
      <c r="B3715" s="164" t="str">
        <f ca="1">IFERROR(__xludf.DUMMYFUNCTION("""COMPUTED_VALUE"""),"Davao City")</f>
        <v>Davao City</v>
      </c>
      <c r="C3715" s="164" t="str">
        <f ca="1">IFERROR(__xludf.DUMMYFUNCTION("""COMPUTED_VALUE"""),"REAL-TIME KINEMATIC – GEOMAX ZENITH60")</f>
        <v>REAL-TIME KINEMATIC – GEOMAX ZENITH60</v>
      </c>
      <c r="D3715" s="164" t="str">
        <f ca="1">IFERROR(__xludf.DUMMYFUNCTION("""COMPUTED_VALUE"""),"₱ 1,849,000.00")</f>
        <v>₱ 1,849,000.00</v>
      </c>
      <c r="E3715" s="164"/>
      <c r="F3715" s="164" t="str">
        <f ca="1">IFERROR(__xludf.DUMMYFUNCTION("""COMPUTED_VALUE"""),"2023-05-14-1021SP42-01")</f>
        <v>2023-05-14-1021SP42-01</v>
      </c>
      <c r="G3715" s="164" t="str">
        <f ca="1">IFERROR(__xludf.DUMMYFUNCTION("""COMPUTED_VALUE"""),"Z60SN272200121")</f>
        <v>Z60SN272200121</v>
      </c>
      <c r="H3715" s="164" t="str">
        <f ca="1">IFERROR(__xludf.DUMMYFUNCTION("""COMPUTED_VALUE"""),"GABRIEL Y. ILIGAN")</f>
        <v>GABRIEL Y. ILIGAN</v>
      </c>
      <c r="I3715" s="164" t="str">
        <f ca="1">IFERROR(__xludf.DUMMYFUNCTION("""COMPUTED_VALUE"""),"ENGINEER II")</f>
        <v>ENGINEER II</v>
      </c>
      <c r="J3715" s="164" t="str">
        <f ca="1">IFERROR(__xludf.DUMMYFUNCTION("""COMPUTED_VALUE"""),"PAR# 2023-04-0018SP")</f>
        <v>PAR# 2023-04-0018SP</v>
      </c>
      <c r="K3715" s="164" t="str">
        <f ca="1">IFERROR(__xludf.DUMMYFUNCTION("""COMPUTED_VALUE"""),"GABRIEL Y. ILIGAN")</f>
        <v>GABRIEL Y. ILIGAN</v>
      </c>
      <c r="L3715" s="164" t="str">
        <f ca="1">IFERROR(__xludf.DUMMYFUNCTION("""COMPUTED_VALUE"""),"LTID")</f>
        <v>LTID</v>
      </c>
      <c r="M3715" s="164" t="str">
        <f ca="1">IFERROR(__xludf.DUMMYFUNCTION("""COMPUTED_VALUE"""),"SERVICEABLE")</f>
        <v>SERVICEABLE</v>
      </c>
      <c r="N3715" s="164"/>
    </row>
    <row r="3716" spans="1:14" ht="13.2" hidden="1">
      <c r="A3716" s="164" t="str">
        <f ca="1">IFERROR(__xludf.DUMMYFUNCTION("""COMPUTED_VALUE"""),"Region XI")</f>
        <v>Region XI</v>
      </c>
      <c r="B3716" s="164" t="str">
        <f ca="1">IFERROR(__xludf.DUMMYFUNCTION("""COMPUTED_VALUE"""),"Davao City")</f>
        <v>Davao City</v>
      </c>
      <c r="C3716" s="164" t="str">
        <f ca="1">IFERROR(__xludf.DUMMYFUNCTION("""COMPUTED_VALUE"""),"HANDHELD GPS – MODEL P6")</f>
        <v>HANDHELD GPS – MODEL P6</v>
      </c>
      <c r="D3716" s="164" t="str">
        <f ca="1">IFERROR(__xludf.DUMMYFUNCTION("""COMPUTED_VALUE"""),"₱ 79,000.00")</f>
        <v>₱ 79,000.00</v>
      </c>
      <c r="E3716" s="164"/>
      <c r="F3716" s="164" t="str">
        <f ca="1">IFERROR(__xludf.DUMMYFUNCTION("""COMPUTED_VALUE"""),"2023-05-14-1021SP24-01")</f>
        <v>2023-05-14-1021SP24-01</v>
      </c>
      <c r="G3716" s="164"/>
      <c r="H3716" s="164" t="str">
        <f ca="1">IFERROR(__xludf.DUMMYFUNCTION("""COMPUTED_VALUE"""),"GABRIEL Y. ILIGAN")</f>
        <v>GABRIEL Y. ILIGAN</v>
      </c>
      <c r="I3716" s="164" t="str">
        <f ca="1">IFERROR(__xludf.DUMMYFUNCTION("""COMPUTED_VALUE"""),"ENGINEER II")</f>
        <v>ENGINEER II</v>
      </c>
      <c r="J3716" s="164" t="str">
        <f ca="1">IFERROR(__xludf.DUMMYFUNCTION("""COMPUTED_VALUE"""),"PAR# 2023-04-0019SP")</f>
        <v>PAR# 2023-04-0019SP</v>
      </c>
      <c r="K3716" s="164" t="str">
        <f ca="1">IFERROR(__xludf.DUMMYFUNCTION("""COMPUTED_VALUE"""),"GABRIEL Y. ILIGAN")</f>
        <v>GABRIEL Y. ILIGAN</v>
      </c>
      <c r="L3716" s="164" t="str">
        <f ca="1">IFERROR(__xludf.DUMMYFUNCTION("""COMPUTED_VALUE"""),"LTID")</f>
        <v>LTID</v>
      </c>
      <c r="M3716" s="164" t="str">
        <f ca="1">IFERROR(__xludf.DUMMYFUNCTION("""COMPUTED_VALUE"""),"SERVICEABLE")</f>
        <v>SERVICEABLE</v>
      </c>
      <c r="N3716" s="164"/>
    </row>
    <row r="3717" spans="1:14" ht="13.2" hidden="1">
      <c r="A3717" s="164" t="str">
        <f ca="1">IFERROR(__xludf.DUMMYFUNCTION("""COMPUTED_VALUE"""),"Region XI")</f>
        <v>Region XI</v>
      </c>
      <c r="B3717" s="164" t="str">
        <f ca="1">IFERROR(__xludf.DUMMYFUNCTION("""COMPUTED_VALUE"""),"Davao City")</f>
        <v>Davao City</v>
      </c>
      <c r="C3717" s="164" t="str">
        <f ca="1">IFERROR(__xludf.DUMMYFUNCTION("""COMPUTED_VALUE"""),"TOTAL STATION – GEOMAX TOTAL STATION ZOOM 50")</f>
        <v>TOTAL STATION – GEOMAX TOTAL STATION ZOOM 50</v>
      </c>
      <c r="D3717" s="164" t="str">
        <f ca="1">IFERROR(__xludf.DUMMYFUNCTION("""COMPUTED_VALUE"""),"₱ 648,000.00")</f>
        <v>₱ 648,000.00</v>
      </c>
      <c r="E3717" s="164"/>
      <c r="F3717" s="164" t="str">
        <f ca="1">IFERROR(__xludf.DUMMYFUNCTION("""COMPUTED_VALUE"""),"2023-05-14-1021SP42-01")</f>
        <v>2023-05-14-1021SP42-01</v>
      </c>
      <c r="G3717" s="164" t="str">
        <f ca="1">IFERROR(__xludf.DUMMYFUNCTION("""COMPUTED_VALUE"""),"2839972")</f>
        <v>2839972</v>
      </c>
      <c r="H3717" s="164" t="str">
        <f ca="1">IFERROR(__xludf.DUMMYFUNCTION("""COMPUTED_VALUE"""),"GABRIEL Y. ILIGAN")</f>
        <v>GABRIEL Y. ILIGAN</v>
      </c>
      <c r="I3717" s="164" t="str">
        <f ca="1">IFERROR(__xludf.DUMMYFUNCTION("""COMPUTED_VALUE"""),"ENGINEER II")</f>
        <v>ENGINEER II</v>
      </c>
      <c r="J3717" s="164" t="str">
        <f ca="1">IFERROR(__xludf.DUMMYFUNCTION("""COMPUTED_VALUE"""),"PAR# 2023-04-0020SP")</f>
        <v>PAR# 2023-04-0020SP</v>
      </c>
      <c r="K3717" s="164" t="str">
        <f ca="1">IFERROR(__xludf.DUMMYFUNCTION("""COMPUTED_VALUE"""),"GABRIEL Y. ILIGAN")</f>
        <v>GABRIEL Y. ILIGAN</v>
      </c>
      <c r="L3717" s="164" t="str">
        <f ca="1">IFERROR(__xludf.DUMMYFUNCTION("""COMPUTED_VALUE"""),"LTID")</f>
        <v>LTID</v>
      </c>
      <c r="M3717" s="164" t="str">
        <f ca="1">IFERROR(__xludf.DUMMYFUNCTION("""COMPUTED_VALUE"""),"SERVICEABLE")</f>
        <v>SERVICEABLE</v>
      </c>
      <c r="N3717" s="164"/>
    </row>
    <row r="3718" spans="1:14" ht="13.2" hidden="1">
      <c r="A3718" s="164" t="str">
        <f ca="1">IFERROR(__xludf.DUMMYFUNCTION("""COMPUTED_VALUE"""),"Region XI")</f>
        <v>Region XI</v>
      </c>
      <c r="B3718" s="164" t="str">
        <f ca="1">IFERROR(__xludf.DUMMYFUNCTION("""COMPUTED_VALUE"""),"Davao City")</f>
        <v>Davao City</v>
      </c>
      <c r="C3718" s="164" t="str">
        <f ca="1">IFERROR(__xludf.DUMMYFUNCTION("""COMPUTED_VALUE"""),"Desktop Computer – (Lenovo M70T)")</f>
        <v>Desktop Computer – (Lenovo M70T)</v>
      </c>
      <c r="D3718" s="164" t="str">
        <f ca="1">IFERROR(__xludf.DUMMYFUNCTION("""COMPUTED_VALUE"""),"₱ 75,468.00")</f>
        <v>₱ 75,468.00</v>
      </c>
      <c r="E3718" s="164"/>
      <c r="F3718" s="164" t="str">
        <f ca="1">IFERROR(__xludf.DUMMYFUNCTION("""COMPUTED_VALUE"""),"2023-05-03-10201SP1580-01")</f>
        <v>2023-05-03-10201SP1580-01</v>
      </c>
      <c r="G3718" s="164" t="str">
        <f ca="1">IFERROR(__xludf.DUMMYFUNCTION("""COMPUTED_VALUE"""),"1S11T5S16200GM041B3Z")</f>
        <v>1S11T5S16200GM041B3Z</v>
      </c>
      <c r="H3718" s="164" t="str">
        <f ca="1">IFERROR(__xludf.DUMMYFUNCTION("""COMPUTED_VALUE"""),"BRENNA MAE T. CONCEPCION")</f>
        <v>BRENNA MAE T. CONCEPCION</v>
      </c>
      <c r="I3718" s="164" t="str">
        <f ca="1">IFERROR(__xludf.DUMMYFUNCTION("""COMPUTED_VALUE"""),"PLANNING OFFICER II")</f>
        <v>PLANNING OFFICER II</v>
      </c>
      <c r="J3718" s="164" t="str">
        <f ca="1">IFERROR(__xludf.DUMMYFUNCTION("""COMPUTED_VALUE"""),"PAR# 2023-04-0006SP")</f>
        <v>PAR# 2023-04-0006SP</v>
      </c>
      <c r="K3718" s="164" t="str">
        <f ca="1">IFERROR(__xludf.DUMMYFUNCTION("""COMPUTED_VALUE"""),"BRENNA MAE T. CONCEPCION")</f>
        <v>BRENNA MAE T. CONCEPCION</v>
      </c>
      <c r="L3718" s="164" t="str">
        <f ca="1">IFERROR(__xludf.DUMMYFUNCTION("""COMPUTED_VALUE"""),"STOD")</f>
        <v>STOD</v>
      </c>
      <c r="M3718" s="164" t="str">
        <f ca="1">IFERROR(__xludf.DUMMYFUNCTION("""COMPUTED_VALUE"""),"SERVICEABLE")</f>
        <v>SERVICEABLE</v>
      </c>
      <c r="N3718" s="164"/>
    </row>
    <row r="3719" spans="1:14" ht="13.2" hidden="1">
      <c r="A3719" s="164" t="str">
        <f ca="1">IFERROR(__xludf.DUMMYFUNCTION("""COMPUTED_VALUE"""),"Region XI")</f>
        <v>Region XI</v>
      </c>
      <c r="B3719" s="164" t="str">
        <f ca="1">IFERROR(__xludf.DUMMYFUNCTION("""COMPUTED_VALUE"""),"Davao City")</f>
        <v>Davao City</v>
      </c>
      <c r="C3719" s="164" t="str">
        <f ca="1">IFERROR(__xludf.DUMMYFUNCTION("""COMPUTED_VALUE"""),"Desktop Computer – (Lenovo M70T)")</f>
        <v>Desktop Computer – (Lenovo M70T)</v>
      </c>
      <c r="D3719" s="164" t="str">
        <f ca="1">IFERROR(__xludf.DUMMYFUNCTION("""COMPUTED_VALUE"""),"₱ 75,468.00")</f>
        <v>₱ 75,468.00</v>
      </c>
      <c r="E3719" s="164"/>
      <c r="F3719" s="164" t="str">
        <f ca="1">IFERROR(__xludf.DUMMYFUNCTION("""COMPUTED_VALUE"""),"2023-05-03-10201SP1581-01")</f>
        <v>2023-05-03-10201SP1581-01</v>
      </c>
      <c r="G3719" s="164" t="str">
        <f ca="1">IFERROR(__xludf.DUMMYFUNCTION("""COMPUTED_VALUE"""),"1S11T5S16200GM0415W2")</f>
        <v>1S11T5S16200GM0415W2</v>
      </c>
      <c r="H3719" s="164" t="str">
        <f ca="1">IFERROR(__xludf.DUMMYFUNCTION("""COMPUTED_VALUE"""),"AIVEY DIANNE V. DIMAANO")</f>
        <v>AIVEY DIANNE V. DIMAANO</v>
      </c>
      <c r="I3719" s="164" t="str">
        <f ca="1">IFERROR(__xludf.DUMMYFUNCTION("""COMPUTED_VALUE"""),"AO IV")</f>
        <v>AO IV</v>
      </c>
      <c r="J3719" s="164" t="str">
        <f ca="1">IFERROR(__xludf.DUMMYFUNCTION("""COMPUTED_VALUE"""),"PAR# 2023-04-0007SP")</f>
        <v>PAR# 2023-04-0007SP</v>
      </c>
      <c r="K3719" s="164" t="str">
        <f ca="1">IFERROR(__xludf.DUMMYFUNCTION("""COMPUTED_VALUE"""),"AIVEY DIANNE V. DIMAANO")</f>
        <v>AIVEY DIANNE V. DIMAANO</v>
      </c>
      <c r="L3719" s="164" t="str">
        <f ca="1">IFERROR(__xludf.DUMMYFUNCTION("""COMPUTED_VALUE"""),"STOD")</f>
        <v>STOD</v>
      </c>
      <c r="M3719" s="164" t="str">
        <f ca="1">IFERROR(__xludf.DUMMYFUNCTION("""COMPUTED_VALUE"""),"SERVICEABLE")</f>
        <v>SERVICEABLE</v>
      </c>
      <c r="N3719" s="164"/>
    </row>
    <row r="3720" spans="1:14" ht="13.2" hidden="1">
      <c r="A3720" s="164" t="str">
        <f ca="1">IFERROR(__xludf.DUMMYFUNCTION("""COMPUTED_VALUE"""),"Region XI")</f>
        <v>Region XI</v>
      </c>
      <c r="B3720" s="164" t="str">
        <f ca="1">IFERROR(__xludf.DUMMYFUNCTION("""COMPUTED_VALUE"""),"Davao City")</f>
        <v>Davao City</v>
      </c>
      <c r="C3720" s="164" t="str">
        <f ca="1">IFERROR(__xludf.DUMMYFUNCTION("""COMPUTED_VALUE"""),"Desktop Computer – (Lenovo M70T)")</f>
        <v>Desktop Computer – (Lenovo M70T)</v>
      </c>
      <c r="D3720" s="164" t="str">
        <f ca="1">IFERROR(__xludf.DUMMYFUNCTION("""COMPUTED_VALUE"""),"₱ 75,468.00")</f>
        <v>₱ 75,468.00</v>
      </c>
      <c r="E3720" s="164"/>
      <c r="F3720" s="164" t="str">
        <f ca="1">IFERROR(__xludf.DUMMYFUNCTION("""COMPUTED_VALUE"""),"2023-05-03-10201SP1582-01")</f>
        <v>2023-05-03-10201SP1582-01</v>
      </c>
      <c r="G3720" s="164" t="str">
        <f ca="1">IFERROR(__xludf.DUMMYFUNCTION("""COMPUTED_VALUE"""),"1S11T5S16200GM04160K")</f>
        <v>1S11T5S16200GM04160K</v>
      </c>
      <c r="H3720" s="164" t="str">
        <f ca="1">IFERROR(__xludf.DUMMYFUNCTION("""COMPUTED_VALUE"""),"RODA O. SARTE")</f>
        <v>RODA O. SARTE</v>
      </c>
      <c r="I3720" s="164" t="str">
        <f ca="1">IFERROR(__xludf.DUMMYFUNCTION("""COMPUTED_VALUE"""),"AO III")</f>
        <v>AO III</v>
      </c>
      <c r="J3720" s="164" t="str">
        <f ca="1">IFERROR(__xludf.DUMMYFUNCTION("""COMPUTED_VALUE"""),"PAR# 2023-04-0008SP")</f>
        <v>PAR# 2023-04-0008SP</v>
      </c>
      <c r="K3720" s="164" t="str">
        <f ca="1">IFERROR(__xludf.DUMMYFUNCTION("""COMPUTED_VALUE"""),"DAVE CRISTOPHER F. CAÑEZAL")</f>
        <v>DAVE CRISTOPHER F. CAÑEZAL</v>
      </c>
      <c r="L3720" s="164" t="str">
        <f ca="1">IFERROR(__xludf.DUMMYFUNCTION("""COMPUTED_VALUE"""),"STOD")</f>
        <v>STOD</v>
      </c>
      <c r="M3720" s="164" t="str">
        <f ca="1">IFERROR(__xludf.DUMMYFUNCTION("""COMPUTED_VALUE"""),"SERVICEABLE")</f>
        <v>SERVICEABLE</v>
      </c>
      <c r="N3720" s="164"/>
    </row>
    <row r="3721" spans="1:14" ht="13.2" hidden="1">
      <c r="A3721" s="164" t="str">
        <f ca="1">IFERROR(__xludf.DUMMYFUNCTION("""COMPUTED_VALUE"""),"Region XI")</f>
        <v>Region XI</v>
      </c>
      <c r="B3721" s="164" t="str">
        <f ca="1">IFERROR(__xludf.DUMMYFUNCTION("""COMPUTED_VALUE"""),"Davao City")</f>
        <v>Davao City</v>
      </c>
      <c r="C3721" s="164" t="str">
        <f ca="1">IFERROR(__xludf.DUMMYFUNCTION("""COMPUTED_VALUE"""),"Desktop Computer – (Lenovo M70T)")</f>
        <v>Desktop Computer – (Lenovo M70T)</v>
      </c>
      <c r="D3721" s="164" t="str">
        <f ca="1">IFERROR(__xludf.DUMMYFUNCTION("""COMPUTED_VALUE"""),"₱ 75,468.00")</f>
        <v>₱ 75,468.00</v>
      </c>
      <c r="E3721" s="164"/>
      <c r="F3721" s="164" t="str">
        <f ca="1">IFERROR(__xludf.DUMMYFUNCTION("""COMPUTED_VALUE"""),"2023-05-03-10201SP1583-01")</f>
        <v>2023-05-03-10201SP1583-01</v>
      </c>
      <c r="G3721" s="164" t="str">
        <f ca="1">IFERROR(__xludf.DUMMYFUNCTION("""COMPUTED_VALUE"""),"1S11T5S16200GM0418FH")</f>
        <v>1S11T5S16200GM0418FH</v>
      </c>
      <c r="H3721" s="164" t="str">
        <f ca="1">IFERROR(__xludf.DUMMYFUNCTION("""COMPUTED_VALUE"""),"ABEGAIL T. MANUTA")</f>
        <v>ABEGAIL T. MANUTA</v>
      </c>
      <c r="I3721" s="164" t="str">
        <f ca="1">IFERROR(__xludf.DUMMYFUNCTION("""COMPUTED_VALUE"""),"ACCOUNTANT II")</f>
        <v>ACCOUNTANT II</v>
      </c>
      <c r="J3721" s="164" t="str">
        <f ca="1">IFERROR(__xludf.DUMMYFUNCTION("""COMPUTED_VALUE"""),"PAR# 2023-04-0009SP")</f>
        <v>PAR# 2023-04-0009SP</v>
      </c>
      <c r="K3721" s="164" t="str">
        <f ca="1">IFERROR(__xludf.DUMMYFUNCTION("""COMPUTED_VALUE"""),"ABEGAIL T. MANUTA")</f>
        <v>ABEGAIL T. MANUTA</v>
      </c>
      <c r="L3721" s="164" t="str">
        <f ca="1">IFERROR(__xludf.DUMMYFUNCTION("""COMPUTED_VALUE"""),"STOD")</f>
        <v>STOD</v>
      </c>
      <c r="M3721" s="164" t="str">
        <f ca="1">IFERROR(__xludf.DUMMYFUNCTION("""COMPUTED_VALUE"""),"SERVICEABLE")</f>
        <v>SERVICEABLE</v>
      </c>
      <c r="N3721" s="164"/>
    </row>
    <row r="3722" spans="1:14" ht="13.2" hidden="1">
      <c r="A3722" s="164" t="str">
        <f ca="1">IFERROR(__xludf.DUMMYFUNCTION("""COMPUTED_VALUE"""),"Region XI")</f>
        <v>Region XI</v>
      </c>
      <c r="B3722" s="164" t="str">
        <f ca="1">IFERROR(__xludf.DUMMYFUNCTION("""COMPUTED_VALUE"""),"Davao City")</f>
        <v>Davao City</v>
      </c>
      <c r="C3722" s="164" t="str">
        <f ca="1">IFERROR(__xludf.DUMMYFUNCTION("""COMPUTED_VALUE"""),"Desktop Computer – (Lenovo M70T)")</f>
        <v>Desktop Computer – (Lenovo M70T)</v>
      </c>
      <c r="D3722" s="164" t="str">
        <f ca="1">IFERROR(__xludf.DUMMYFUNCTION("""COMPUTED_VALUE"""),"₱ 75,468.00")</f>
        <v>₱ 75,468.00</v>
      </c>
      <c r="E3722" s="164"/>
      <c r="F3722" s="164" t="str">
        <f ca="1">IFERROR(__xludf.DUMMYFUNCTION("""COMPUTED_VALUE"""),"2023-05-03-10201SP1584-01")</f>
        <v>2023-05-03-10201SP1584-01</v>
      </c>
      <c r="G3722" s="164" t="str">
        <f ca="1">IFERROR(__xludf.DUMMYFUNCTION("""COMPUTED_VALUE"""),"1S11T5S16200GM041B3R")</f>
        <v>1S11T5S16200GM041B3R</v>
      </c>
      <c r="H3722" s="164" t="str">
        <f ca="1">IFERROR(__xludf.DUMMYFUNCTION("""COMPUTED_VALUE"""),"RUEL D. LAROSA")</f>
        <v>RUEL D. LAROSA</v>
      </c>
      <c r="I3722" s="164" t="str">
        <f ca="1">IFERROR(__xludf.DUMMYFUNCTION("""COMPUTED_VALUE"""),"CARPO-PBDD")</f>
        <v>CARPO-PBDD</v>
      </c>
      <c r="J3722" s="164" t="str">
        <f ca="1">IFERROR(__xludf.DUMMYFUNCTION("""COMPUTED_VALUE"""),"PAR# 2023-04-0010SP")</f>
        <v>PAR# 2023-04-0010SP</v>
      </c>
      <c r="K3722" s="164" t="str">
        <f ca="1">IFERROR(__xludf.DUMMYFUNCTION("""COMPUTED_VALUE"""),"RUEL D. LAROSA")</f>
        <v>RUEL D. LAROSA</v>
      </c>
      <c r="L3722" s="164" t="str">
        <f ca="1">IFERROR(__xludf.DUMMYFUNCTION("""COMPUTED_VALUE"""),"PBDD")</f>
        <v>PBDD</v>
      </c>
      <c r="M3722" s="164" t="str">
        <f ca="1">IFERROR(__xludf.DUMMYFUNCTION("""COMPUTED_VALUE"""),"SERVICEABLE")</f>
        <v>SERVICEABLE</v>
      </c>
      <c r="N3722" s="164"/>
    </row>
    <row r="3723" spans="1:14" ht="13.2" hidden="1">
      <c r="A3723" s="164" t="str">
        <f ca="1">IFERROR(__xludf.DUMMYFUNCTION("""COMPUTED_VALUE"""),"Region XI")</f>
        <v>Region XI</v>
      </c>
      <c r="B3723" s="164" t="str">
        <f ca="1">IFERROR(__xludf.DUMMYFUNCTION("""COMPUTED_VALUE"""),"Davao City")</f>
        <v>Davao City</v>
      </c>
      <c r="C3723" s="164" t="str">
        <f ca="1">IFERROR(__xludf.DUMMYFUNCTION("""COMPUTED_VALUE"""),"Desktop Computer – (Lenovo M70T)")</f>
        <v>Desktop Computer – (Lenovo M70T)</v>
      </c>
      <c r="D3723" s="164" t="str">
        <f ca="1">IFERROR(__xludf.DUMMYFUNCTION("""COMPUTED_VALUE"""),"₱ 75,468.00")</f>
        <v>₱ 75,468.00</v>
      </c>
      <c r="E3723" s="164"/>
      <c r="F3723" s="164" t="str">
        <f ca="1">IFERROR(__xludf.DUMMYFUNCTION("""COMPUTED_VALUE"""),"2023-05-03-10201SP1585-01")</f>
        <v>2023-05-03-10201SP1585-01</v>
      </c>
      <c r="G3723" s="164" t="str">
        <f ca="1">IFERROR(__xludf.DUMMYFUNCTION("""COMPUTED_VALUE"""),"1S11T5S16200GM0418EL")</f>
        <v>1S11T5S16200GM0418EL</v>
      </c>
      <c r="H3723" s="164" t="str">
        <f ca="1">IFERROR(__xludf.DUMMYFUNCTION("""COMPUTED_VALUE"""),"GABRIEL Y. ILIGAN")</f>
        <v>GABRIEL Y. ILIGAN</v>
      </c>
      <c r="I3723" s="164" t="str">
        <f ca="1">IFERROR(__xludf.DUMMYFUNCTION("""COMPUTED_VALUE"""),"ENGINEER II")</f>
        <v>ENGINEER II</v>
      </c>
      <c r="J3723" s="164" t="str">
        <f ca="1">IFERROR(__xludf.DUMMYFUNCTION("""COMPUTED_VALUE"""),"PAR# 2023-04-0011SP")</f>
        <v>PAR# 2023-04-0011SP</v>
      </c>
      <c r="K3723" s="164" t="str">
        <f ca="1">IFERROR(__xludf.DUMMYFUNCTION("""COMPUTED_VALUE"""),"GABRIEL Y. ILIGAN")</f>
        <v>GABRIEL Y. ILIGAN</v>
      </c>
      <c r="L3723" s="164" t="str">
        <f ca="1">IFERROR(__xludf.DUMMYFUNCTION("""COMPUTED_VALUE"""),"LTID")</f>
        <v>LTID</v>
      </c>
      <c r="M3723" s="164" t="str">
        <f ca="1">IFERROR(__xludf.DUMMYFUNCTION("""COMPUTED_VALUE"""),"SERVICEABLE")</f>
        <v>SERVICEABLE</v>
      </c>
      <c r="N3723" s="164"/>
    </row>
    <row r="3724" spans="1:14" ht="13.2" hidden="1">
      <c r="A3724" s="164" t="str">
        <f ca="1">IFERROR(__xludf.DUMMYFUNCTION("""COMPUTED_VALUE"""),"Region XI")</f>
        <v>Region XI</v>
      </c>
      <c r="B3724" s="164" t="str">
        <f ca="1">IFERROR(__xludf.DUMMYFUNCTION("""COMPUTED_VALUE"""),"Davao City")</f>
        <v>Davao City</v>
      </c>
      <c r="C3724" s="164" t="str">
        <f ca="1">IFERROR(__xludf.DUMMYFUNCTION("""COMPUTED_VALUE"""),"Desktop Computer – (Lenovo M70T)")</f>
        <v>Desktop Computer – (Lenovo M70T)</v>
      </c>
      <c r="D3724" s="164" t="str">
        <f ca="1">IFERROR(__xludf.DUMMYFUNCTION("""COMPUTED_VALUE"""),"₱ 75,468.00")</f>
        <v>₱ 75,468.00</v>
      </c>
      <c r="E3724" s="164"/>
      <c r="F3724" s="164" t="str">
        <f ca="1">IFERROR(__xludf.DUMMYFUNCTION("""COMPUTED_VALUE"""),"2023-05-03-10201SP1586-01")</f>
        <v>2023-05-03-10201SP1586-01</v>
      </c>
      <c r="G3724" s="164" t="str">
        <f ca="1">IFERROR(__xludf.DUMMYFUNCTION("""COMPUTED_VALUE"""),"1S11T5S16200GM041AZN")</f>
        <v>1S11T5S16200GM041AZN</v>
      </c>
      <c r="H3724" s="164" t="str">
        <f ca="1">IFERROR(__xludf.DUMMYFUNCTION("""COMPUTED_VALUE"""),"GRETCHEN S. PAZON")</f>
        <v>GRETCHEN S. PAZON</v>
      </c>
      <c r="I3724" s="164" t="str">
        <f ca="1">IFERROR(__xludf.DUMMYFUNCTION("""COMPUTED_VALUE"""),"ARPO I")</f>
        <v>ARPO I</v>
      </c>
      <c r="J3724" s="164" t="str">
        <f ca="1">IFERROR(__xludf.DUMMYFUNCTION("""COMPUTED_VALUE"""),"PAR# 2023-04-0012SP")</f>
        <v>PAR# 2023-04-0012SP</v>
      </c>
      <c r="K3724" s="164" t="str">
        <f ca="1">IFERROR(__xludf.DUMMYFUNCTION("""COMPUTED_VALUE"""),"MARJUN OBEREZ")</f>
        <v>MARJUN OBEREZ</v>
      </c>
      <c r="L3724" s="164" t="str">
        <f ca="1">IFERROR(__xludf.DUMMYFUNCTION("""COMPUTED_VALUE"""),"LTID")</f>
        <v>LTID</v>
      </c>
      <c r="M3724" s="164" t="str">
        <f ca="1">IFERROR(__xludf.DUMMYFUNCTION("""COMPUTED_VALUE"""),"SERVICEABLE")</f>
        <v>SERVICEABLE</v>
      </c>
      <c r="N3724" s="164"/>
    </row>
    <row r="3725" spans="1:14" ht="13.2" hidden="1">
      <c r="A3725" s="164" t="str">
        <f ca="1">IFERROR(__xludf.DUMMYFUNCTION("""COMPUTED_VALUE"""),"Region XI")</f>
        <v>Region XI</v>
      </c>
      <c r="B3725" s="164" t="str">
        <f ca="1">IFERROR(__xludf.DUMMYFUNCTION("""COMPUTED_VALUE"""),"Davao City")</f>
        <v>Davao City</v>
      </c>
      <c r="C3725" s="164" t="str">
        <f ca="1">IFERROR(__xludf.DUMMYFUNCTION("""COMPUTED_VALUE"""),"Desktop Computer – (Lenovo M70T)")</f>
        <v>Desktop Computer – (Lenovo M70T)</v>
      </c>
      <c r="D3725" s="164" t="str">
        <f ca="1">IFERROR(__xludf.DUMMYFUNCTION("""COMPUTED_VALUE"""),"₱ 75,468.00")</f>
        <v>₱ 75,468.00</v>
      </c>
      <c r="E3725" s="164"/>
      <c r="F3725" s="164" t="str">
        <f ca="1">IFERROR(__xludf.DUMMYFUNCTION("""COMPUTED_VALUE"""),"2023-05-03-10201SP1587-01")</f>
        <v>2023-05-03-10201SP1587-01</v>
      </c>
      <c r="G3725" s="164" t="str">
        <f ca="1">IFERROR(__xludf.DUMMYFUNCTION("""COMPUTED_VALUE"""),"1S62AFKAR2WWVNA99PMB")</f>
        <v>1S62AFKAR2WWVNA99PMB</v>
      </c>
      <c r="H3725" s="164" t="str">
        <f ca="1">IFERROR(__xludf.DUMMYFUNCTION("""COMPUTED_VALUE"""),"EMMANUEL M. LUIS")</f>
        <v>EMMANUEL M. LUIS</v>
      </c>
      <c r="I3725" s="164" t="str">
        <f ca="1">IFERROR(__xludf.DUMMYFUNCTION("""COMPUTED_VALUE"""),"OIC MARPO")</f>
        <v>OIC MARPO</v>
      </c>
      <c r="J3725" s="164" t="str">
        <f ca="1">IFERROR(__xludf.DUMMYFUNCTION("""COMPUTED_VALUE"""),"PAR# 2023-04-0013SP")</f>
        <v>PAR# 2023-04-0013SP</v>
      </c>
      <c r="K3725" s="164" t="str">
        <f ca="1">IFERROR(__xludf.DUMMYFUNCTION("""COMPUTED_VALUE"""),"EMMANUEL M. LUIS")</f>
        <v>EMMANUEL M. LUIS</v>
      </c>
      <c r="L3725" s="164" t="str">
        <f ca="1">IFERROR(__xludf.DUMMYFUNCTION("""COMPUTED_VALUE"""),"DARMO BUBUNPAQ")</f>
        <v>DARMO BUBUNPAQ</v>
      </c>
      <c r="M3725" s="164" t="str">
        <f ca="1">IFERROR(__xludf.DUMMYFUNCTION("""COMPUTED_VALUE"""),"SERVICEABLE")</f>
        <v>SERVICEABLE</v>
      </c>
      <c r="N3725" s="164"/>
    </row>
    <row r="3726" spans="1:14" ht="13.2" hidden="1">
      <c r="A3726" s="164" t="str">
        <f ca="1">IFERROR(__xludf.DUMMYFUNCTION("""COMPUTED_VALUE"""),"Region XI")</f>
        <v>Region XI</v>
      </c>
      <c r="B3726" s="164" t="str">
        <f ca="1">IFERROR(__xludf.DUMMYFUNCTION("""COMPUTED_VALUE"""),"Davao City")</f>
        <v>Davao City</v>
      </c>
      <c r="C3726" s="164" t="str">
        <f ca="1">IFERROR(__xludf.DUMMYFUNCTION("""COMPUTED_VALUE"""),"Desktop Computer – (Lenovo M70T)")</f>
        <v>Desktop Computer – (Lenovo M70T)</v>
      </c>
      <c r="D3726" s="164" t="str">
        <f ca="1">IFERROR(__xludf.DUMMYFUNCTION("""COMPUTED_VALUE"""),"₱ 75,468.00")</f>
        <v>₱ 75,468.00</v>
      </c>
      <c r="E3726" s="164"/>
      <c r="F3726" s="164" t="str">
        <f ca="1">IFERROR(__xludf.DUMMYFUNCTION("""COMPUTED_VALUE"""),"2023-05-03-10201SP1588-01")</f>
        <v>2023-05-03-10201SP1588-01</v>
      </c>
      <c r="G3726" s="164" t="str">
        <f ca="1">IFERROR(__xludf.DUMMYFUNCTION("""COMPUTED_VALUE"""),"1S11T5S16200GM041AYF")</f>
        <v>1S11T5S16200GM041AYF</v>
      </c>
      <c r="H3726" s="164" t="str">
        <f ca="1">IFERROR(__xludf.DUMMYFUNCTION("""COMPUTED_VALUE"""),"LEXAÑO J. MAALA")</f>
        <v>LEXAÑO J. MAALA</v>
      </c>
      <c r="I3726" s="164" t="str">
        <f ca="1">IFERROR(__xludf.DUMMYFUNCTION("""COMPUTED_VALUE"""),"MARPO")</f>
        <v>MARPO</v>
      </c>
      <c r="J3726" s="164" t="str">
        <f ca="1">IFERROR(__xludf.DUMMYFUNCTION("""COMPUTED_VALUE"""),"PAR# 2023-04-0014SP")</f>
        <v>PAR# 2023-04-0014SP</v>
      </c>
      <c r="K3726" s="164" t="str">
        <f ca="1">IFERROR(__xludf.DUMMYFUNCTION("""COMPUTED_VALUE"""),"LEXAÑO J. MAALA")</f>
        <v>LEXAÑO J. MAALA</v>
      </c>
      <c r="L3726" s="164" t="str">
        <f ca="1">IFERROR(__xludf.DUMMYFUNCTION("""COMPUTED_VALUE"""),"DARMO TUGBOK")</f>
        <v>DARMO TUGBOK</v>
      </c>
      <c r="M3726" s="164" t="str">
        <f ca="1">IFERROR(__xludf.DUMMYFUNCTION("""COMPUTED_VALUE"""),"SERVICEABLE")</f>
        <v>SERVICEABLE</v>
      </c>
      <c r="N3726" s="164"/>
    </row>
    <row r="3727" spans="1:14" ht="13.2" hidden="1">
      <c r="A3727" s="164" t="str">
        <f ca="1">IFERROR(__xludf.DUMMYFUNCTION("""COMPUTED_VALUE"""),"Region XI")</f>
        <v>Region XI</v>
      </c>
      <c r="B3727" s="164" t="str">
        <f ca="1">IFERROR(__xludf.DUMMYFUNCTION("""COMPUTED_VALUE"""),"Davao City")</f>
        <v>Davao City</v>
      </c>
      <c r="C3727" s="164" t="str">
        <f ca="1">IFERROR(__xludf.DUMMYFUNCTION("""COMPUTED_VALUE"""),"Desktop Computer – (Lenovo M70T)")</f>
        <v>Desktop Computer – (Lenovo M70T)</v>
      </c>
      <c r="D3727" s="164" t="str">
        <f ca="1">IFERROR(__xludf.DUMMYFUNCTION("""COMPUTED_VALUE"""),"₱ 75,468.00")</f>
        <v>₱ 75,468.00</v>
      </c>
      <c r="E3727" s="164"/>
      <c r="F3727" s="164" t="str">
        <f ca="1">IFERROR(__xludf.DUMMYFUNCTION("""COMPUTED_VALUE"""),"2023-05-03-10201SP1589-01")</f>
        <v>2023-05-03-10201SP1589-01</v>
      </c>
      <c r="G3727" s="164" t="str">
        <f ca="1">IFERROR(__xludf.DUMMYFUNCTION("""COMPUTED_VALUE"""),"1S11T5S16200GM0418EJ")</f>
        <v>1S11T5S16200GM0418EJ</v>
      </c>
      <c r="H3727" s="164" t="str">
        <f ca="1">IFERROR(__xludf.DUMMYFUNCTION("""COMPUTED_VALUE"""),"ANGELITA A. DEIPARINE")</f>
        <v>ANGELITA A. DEIPARINE</v>
      </c>
      <c r="I3727" s="164" t="str">
        <f ca="1">IFERROR(__xludf.DUMMYFUNCTION("""COMPUTED_VALUE"""),"OIC MARPO")</f>
        <v>OIC MARPO</v>
      </c>
      <c r="J3727" s="164" t="str">
        <f ca="1">IFERROR(__xludf.DUMMYFUNCTION("""COMPUTED_VALUE"""),"PAR# 2023-04-0015SP")</f>
        <v>PAR# 2023-04-0015SP</v>
      </c>
      <c r="K3727" s="164" t="str">
        <f ca="1">IFERROR(__xludf.DUMMYFUNCTION("""COMPUTED_VALUE"""),"ANGELITA A. DEIPARINE")</f>
        <v>ANGELITA A. DEIPARINE</v>
      </c>
      <c r="L3727" s="164" t="str">
        <f ca="1">IFERROR(__xludf.DUMMYFUNCTION("""COMPUTED_VALUE"""),"DARMO BAGMAR")</f>
        <v>DARMO BAGMAR</v>
      </c>
      <c r="M3727" s="164" t="str">
        <f ca="1">IFERROR(__xludf.DUMMYFUNCTION("""COMPUTED_VALUE"""),"SERVICEABLE")</f>
        <v>SERVICEABLE</v>
      </c>
      <c r="N3727" s="164"/>
    </row>
    <row r="3728" spans="1:14" ht="13.2" hidden="1">
      <c r="A3728" s="164" t="str">
        <f ca="1">IFERROR(__xludf.DUMMYFUNCTION("""COMPUTED_VALUE"""),"Region XI")</f>
        <v>Region XI</v>
      </c>
      <c r="B3728" s="164" t="str">
        <f ca="1">IFERROR(__xludf.DUMMYFUNCTION("""COMPUTED_VALUE"""),"Davao City")</f>
        <v>Davao City</v>
      </c>
      <c r="C3728" s="164" t="str">
        <f ca="1">IFERROR(__xludf.DUMMYFUNCTION("""COMPUTED_VALUE"""),"Desktop Computer – (Lenovo M70T)")</f>
        <v>Desktop Computer – (Lenovo M70T)</v>
      </c>
      <c r="D3728" s="164" t="str">
        <f ca="1">IFERROR(__xludf.DUMMYFUNCTION("""COMPUTED_VALUE"""),"₱ 75,468.00")</f>
        <v>₱ 75,468.00</v>
      </c>
      <c r="E3728" s="164"/>
      <c r="F3728" s="164" t="str">
        <f ca="1">IFERROR(__xludf.DUMMYFUNCTION("""COMPUTED_VALUE"""),"2023-05-03-10201SP1590-01")</f>
        <v>2023-05-03-10201SP1590-01</v>
      </c>
      <c r="G3728" s="164" t="str">
        <f ca="1">IFERROR(__xludf.DUMMYFUNCTION("""COMPUTED_VALUE"""),"1S11T5S16200GM0415TM")</f>
        <v>1S11T5S16200GM0415TM</v>
      </c>
      <c r="H3728" s="164" t="str">
        <f ca="1">IFERROR(__xludf.DUMMYFUNCTION("""COMPUTED_VALUE"""),"JOCELYN I. BACHINICHA")</f>
        <v>JOCELYN I. BACHINICHA</v>
      </c>
      <c r="I3728" s="164" t="str">
        <f ca="1">IFERROR(__xludf.DUMMYFUNCTION("""COMPUTED_VALUE"""),"MARPO")</f>
        <v>MARPO</v>
      </c>
      <c r="J3728" s="164" t="str">
        <f ca="1">IFERROR(__xludf.DUMMYFUNCTION("""COMPUTED_VALUE"""),"PAR# 2023-04-0016SP")</f>
        <v>PAR# 2023-04-0016SP</v>
      </c>
      <c r="K3728" s="164" t="str">
        <f ca="1">IFERROR(__xludf.DUMMYFUNCTION("""COMPUTED_VALUE"""),"JOCELYN I. BACHINICHA")</f>
        <v>JOCELYN I. BACHINICHA</v>
      </c>
      <c r="L3728" s="164" t="str">
        <f ca="1">IFERROR(__xludf.DUMMYFUNCTION("""COMPUTED_VALUE"""),"DARMO CALINAN")</f>
        <v>DARMO CALINAN</v>
      </c>
      <c r="M3728" s="164" t="str">
        <f ca="1">IFERROR(__xludf.DUMMYFUNCTION("""COMPUTED_VALUE"""),"SERVICEABLE")</f>
        <v>SERVICEABLE</v>
      </c>
      <c r="N3728" s="164"/>
    </row>
    <row r="3729" spans="1:14" ht="13.2" hidden="1">
      <c r="A3729" s="164" t="str">
        <f ca="1">IFERROR(__xludf.DUMMYFUNCTION("""COMPUTED_VALUE"""),"Region XI")</f>
        <v>Region XI</v>
      </c>
      <c r="B3729" s="164" t="str">
        <f ca="1">IFERROR(__xludf.DUMMYFUNCTION("""COMPUTED_VALUE"""),"Davao City")</f>
        <v>Davao City</v>
      </c>
      <c r="C3729" s="164" t="str">
        <f ca="1">IFERROR(__xludf.DUMMYFUNCTION("""COMPUTED_VALUE"""),"Desktop Computer – (Lenovo M70T)")</f>
        <v>Desktop Computer – (Lenovo M70T)</v>
      </c>
      <c r="D3729" s="164" t="str">
        <f ca="1">IFERROR(__xludf.DUMMYFUNCTION("""COMPUTED_VALUE"""),"₱ 75,468.00")</f>
        <v>₱ 75,468.00</v>
      </c>
      <c r="E3729" s="164"/>
      <c r="F3729" s="164" t="str">
        <f ca="1">IFERROR(__xludf.DUMMYFUNCTION("""COMPUTED_VALUE"""),"2023-05-03-10201SP1591-01")</f>
        <v>2023-05-03-10201SP1591-01</v>
      </c>
      <c r="G3729" s="164" t="str">
        <f ca="1">IFERROR(__xludf.DUMMYFUNCTION("""COMPUTED_VALUE"""),"1S11T5S16200GM041B2V")</f>
        <v>1S11T5S16200GM041B2V</v>
      </c>
      <c r="H3729" s="164" t="str">
        <f ca="1">IFERROR(__xludf.DUMMYFUNCTION("""COMPUTED_VALUE"""),"MELISSA CLAIRE O. TAN")</f>
        <v>MELISSA CLAIRE O. TAN</v>
      </c>
      <c r="I3729" s="164" t="str">
        <f ca="1">IFERROR(__xludf.DUMMYFUNCTION("""COMPUTED_VALUE"""),"OIC MARPO")</f>
        <v>OIC MARPO</v>
      </c>
      <c r="J3729" s="164" t="str">
        <f ca="1">IFERROR(__xludf.DUMMYFUNCTION("""COMPUTED_VALUE"""),"PAR# 2023-04-0017SP")</f>
        <v>PAR# 2023-04-0017SP</v>
      </c>
      <c r="K3729" s="164" t="str">
        <f ca="1">IFERROR(__xludf.DUMMYFUNCTION("""COMPUTED_VALUE"""),"MELISSA CLAIRE O. TAN")</f>
        <v>MELISSA CLAIRE O. TAN</v>
      </c>
      <c r="L3729" s="164" t="str">
        <f ca="1">IFERROR(__xludf.DUMMYFUNCTION("""COMPUTED_VALUE"""),"DARMO TORIL")</f>
        <v>DARMO TORIL</v>
      </c>
      <c r="M3729" s="164" t="str">
        <f ca="1">IFERROR(__xludf.DUMMYFUNCTION("""COMPUTED_VALUE"""),"SERVICEABLE")</f>
        <v>SERVICEABLE</v>
      </c>
      <c r="N3729" s="164"/>
    </row>
    <row r="3730" spans="1:14" ht="13.2" hidden="1">
      <c r="A3730" s="164" t="str">
        <f ca="1">IFERROR(__xludf.DUMMYFUNCTION("""COMPUTED_VALUE"""),"Region XI")</f>
        <v>Region XI</v>
      </c>
      <c r="B3730" s="164" t="str">
        <f ca="1">IFERROR(__xludf.DUMMYFUNCTION("""COMPUTED_VALUE"""),"Davao City")</f>
        <v>Davao City</v>
      </c>
      <c r="C3730" s="164" t="str">
        <f ca="1">IFERROR(__xludf.DUMMYFUNCTION("""COMPUTED_VALUE"""),"Desktop Computer – (HP Pro SFF 280G9)")</f>
        <v>Desktop Computer – (HP Pro SFF 280G9)</v>
      </c>
      <c r="D3730" s="164" t="str">
        <f ca="1">IFERROR(__xludf.DUMMYFUNCTION("""COMPUTED_VALUE"""),"₱ 78,898.00")</f>
        <v>₱ 78,898.00</v>
      </c>
      <c r="E3730" s="164"/>
      <c r="F3730" s="164" t="str">
        <f ca="1">IFERROR(__xludf.DUMMYFUNCTION("""COMPUTED_VALUE"""),"2023-05-03-10201SP214-01")</f>
        <v>2023-05-03-10201SP214-01</v>
      </c>
      <c r="G3730" s="164"/>
      <c r="H3730" s="164" t="str">
        <f ca="1">IFERROR(__xludf.DUMMYFUNCTION("""COMPUTED_VALUE"""),"DENNIS M. EVANGELISTA")</f>
        <v>DENNIS M. EVANGELISTA</v>
      </c>
      <c r="I3730" s="164" t="str">
        <f ca="1">IFERROR(__xludf.DUMMYFUNCTION("""COMPUTED_VALUE"""),"CARPO-STOD")</f>
        <v>CARPO-STOD</v>
      </c>
      <c r="J3730" s="164" t="str">
        <f ca="1">IFERROR(__xludf.DUMMYFUNCTION("""COMPUTED_VALUE"""),"PAR# 2023-04-0021SP")</f>
        <v>PAR# 2023-04-0021SP</v>
      </c>
      <c r="K3730" s="164" t="str">
        <f ca="1">IFERROR(__xludf.DUMMYFUNCTION("""COMPUTED_VALUE"""),"ANGEL T. ABING")</f>
        <v>ANGEL T. ABING</v>
      </c>
      <c r="L3730" s="164" t="str">
        <f ca="1">IFERROR(__xludf.DUMMYFUNCTION("""COMPUTED_VALUE"""),"STOD")</f>
        <v>STOD</v>
      </c>
      <c r="M3730" s="164" t="str">
        <f ca="1">IFERROR(__xludf.DUMMYFUNCTION("""COMPUTED_VALUE"""),"SERVICEABLE")</f>
        <v>SERVICEABLE</v>
      </c>
      <c r="N3730" s="164"/>
    </row>
    <row r="3731" spans="1:14" ht="13.2" hidden="1">
      <c r="A3731" s="164" t="str">
        <f ca="1">IFERROR(__xludf.DUMMYFUNCTION("""COMPUTED_VALUE"""),"Region XI")</f>
        <v>Region XI</v>
      </c>
      <c r="B3731" s="164" t="str">
        <f ca="1">IFERROR(__xludf.DUMMYFUNCTION("""COMPUTED_VALUE"""),"Davao City")</f>
        <v>Davao City</v>
      </c>
      <c r="C3731" s="164" t="str">
        <f ca="1">IFERROR(__xludf.DUMMYFUNCTION("""COMPUTED_VALUE"""),"Desktop Computer – (HP Pro SFF 280G9)")</f>
        <v>Desktop Computer – (HP Pro SFF 280G9)</v>
      </c>
      <c r="D3731" s="164" t="str">
        <f ca="1">IFERROR(__xludf.DUMMYFUNCTION("""COMPUTED_VALUE"""),"₱ 78,898.00")</f>
        <v>₱ 78,898.00</v>
      </c>
      <c r="E3731" s="164"/>
      <c r="F3731" s="164" t="str">
        <f ca="1">IFERROR(__xludf.DUMMYFUNCTION("""COMPUTED_VALUE"""),"2023-05-03-10201SP215-01")</f>
        <v>2023-05-03-10201SP215-01</v>
      </c>
      <c r="G3731" s="164"/>
      <c r="H3731" s="164" t="str">
        <f ca="1">IFERROR(__xludf.DUMMYFUNCTION("""COMPUTED_VALUE"""),"FERIAL V. SANTILLAN")</f>
        <v>FERIAL V. SANTILLAN</v>
      </c>
      <c r="I3731" s="164" t="str">
        <f ca="1">IFERROR(__xludf.DUMMYFUNCTION("""COMPUTED_VALUE"""),"CARPO-LTID")</f>
        <v>CARPO-LTID</v>
      </c>
      <c r="J3731" s="164" t="str">
        <f ca="1">IFERROR(__xludf.DUMMYFUNCTION("""COMPUTED_VALUE"""),"PAR# 2023-04-0022SP")</f>
        <v>PAR# 2023-04-0022SP</v>
      </c>
      <c r="K3731" s="164" t="str">
        <f ca="1">IFERROR(__xludf.DUMMYFUNCTION("""COMPUTED_VALUE"""),"JACQUELYN MEOLE")</f>
        <v>JACQUELYN MEOLE</v>
      </c>
      <c r="L3731" s="164" t="str">
        <f ca="1">IFERROR(__xludf.DUMMYFUNCTION("""COMPUTED_VALUE"""),"LTID")</f>
        <v>LTID</v>
      </c>
      <c r="M3731" s="164" t="str">
        <f ca="1">IFERROR(__xludf.DUMMYFUNCTION("""COMPUTED_VALUE"""),"SERVICEABLE")</f>
        <v>SERVICEABLE</v>
      </c>
      <c r="N3731" s="164"/>
    </row>
    <row r="3732" spans="1:14" ht="13.2" hidden="1">
      <c r="A3732" s="164" t="str">
        <f ca="1">IFERROR(__xludf.DUMMYFUNCTION("""COMPUTED_VALUE"""),"Region XI")</f>
        <v>Region XI</v>
      </c>
      <c r="B3732" s="164" t="str">
        <f ca="1">IFERROR(__xludf.DUMMYFUNCTION("""COMPUTED_VALUE"""),"Davao City")</f>
        <v>Davao City</v>
      </c>
      <c r="C3732" s="164" t="str">
        <f ca="1">IFERROR(__xludf.DUMMYFUNCTION("""COMPUTED_VALUE"""),"Desktop Computer – (HP Pro SFF 280G9)")</f>
        <v>Desktop Computer – (HP Pro SFF 280G9)</v>
      </c>
      <c r="D3732" s="164" t="str">
        <f ca="1">IFERROR(__xludf.DUMMYFUNCTION("""COMPUTED_VALUE"""),"₱ 78,898.00")</f>
        <v>₱ 78,898.00</v>
      </c>
      <c r="E3732" s="164"/>
      <c r="F3732" s="164" t="str">
        <f ca="1">IFERROR(__xludf.DUMMYFUNCTION("""COMPUTED_VALUE"""),"2023-05-03-10201SP216-01")</f>
        <v>2023-05-03-10201SP216-01</v>
      </c>
      <c r="G3732" s="164"/>
      <c r="H3732" s="164" t="str">
        <f ca="1">IFERROR(__xludf.DUMMYFUNCTION("""COMPUTED_VALUE"""),"DENNIS M. EVANGELISTA")</f>
        <v>DENNIS M. EVANGELISTA</v>
      </c>
      <c r="I3732" s="164" t="str">
        <f ca="1">IFERROR(__xludf.DUMMYFUNCTION("""COMPUTED_VALUE"""),"CARPO STOD")</f>
        <v>CARPO STOD</v>
      </c>
      <c r="J3732" s="164" t="str">
        <f ca="1">IFERROR(__xludf.DUMMYFUNCTION("""COMPUTED_VALUE"""),"PAR# 2023-04-0023SP")</f>
        <v>PAR# 2023-04-0023SP</v>
      </c>
      <c r="K3732" s="164" t="str">
        <f ca="1">IFERROR(__xludf.DUMMYFUNCTION("""COMPUTED_VALUE"""),"DENNIS M. EVANGELISTA")</f>
        <v>DENNIS M. EVANGELISTA</v>
      </c>
      <c r="L3732" s="164" t="str">
        <f ca="1">IFERROR(__xludf.DUMMYFUNCTION("""COMPUTED_VALUE"""),"STOD")</f>
        <v>STOD</v>
      </c>
      <c r="M3732" s="164" t="str">
        <f ca="1">IFERROR(__xludf.DUMMYFUNCTION("""COMPUTED_VALUE"""),"SERVICEABLE")</f>
        <v>SERVICEABLE</v>
      </c>
      <c r="N3732" s="164"/>
    </row>
    <row r="3733" spans="1:14" ht="13.2" hidden="1">
      <c r="A3733" s="164" t="str">
        <f ca="1">IFERROR(__xludf.DUMMYFUNCTION("""COMPUTED_VALUE"""),"Region XI")</f>
        <v>Region XI</v>
      </c>
      <c r="B3733" s="164" t="str">
        <f ca="1">IFERROR(__xludf.DUMMYFUNCTION("""COMPUTED_VALUE"""),"Davao City")</f>
        <v>Davao City</v>
      </c>
      <c r="C3733" s="164" t="str">
        <f ca="1">IFERROR(__xludf.DUMMYFUNCTION("""COMPUTED_VALUE"""),"Desktop Computer – (HP Pro SFF 280G9)")</f>
        <v>Desktop Computer – (HP Pro SFF 280G9)</v>
      </c>
      <c r="D3733" s="164" t="str">
        <f ca="1">IFERROR(__xludf.DUMMYFUNCTION("""COMPUTED_VALUE"""),"₱ 78,898.00")</f>
        <v>₱ 78,898.00</v>
      </c>
      <c r="E3733" s="164"/>
      <c r="F3733" s="164" t="str">
        <f ca="1">IFERROR(__xludf.DUMMYFUNCTION("""COMPUTED_VALUE"""),"2023-05-03-10201SP217-01")</f>
        <v>2023-05-03-10201SP217-01</v>
      </c>
      <c r="G3733" s="164"/>
      <c r="H3733" s="164" t="str">
        <f ca="1">IFERROR(__xludf.DUMMYFUNCTION("""COMPUTED_VALUE"""),"RUEL D. LAROSA")</f>
        <v>RUEL D. LAROSA</v>
      </c>
      <c r="I3733" s="164" t="str">
        <f ca="1">IFERROR(__xludf.DUMMYFUNCTION("""COMPUTED_VALUE"""),"CARPO-PBDD")</f>
        <v>CARPO-PBDD</v>
      </c>
      <c r="J3733" s="164" t="str">
        <f ca="1">IFERROR(__xludf.DUMMYFUNCTION("""COMPUTED_VALUE"""),"PAR# 2023-04-0024SP")</f>
        <v>PAR# 2023-04-0024SP</v>
      </c>
      <c r="K3733" s="164" t="str">
        <f ca="1">IFERROR(__xludf.DUMMYFUNCTION("""COMPUTED_VALUE"""),"JEFFERYSON T. SAURO")</f>
        <v>JEFFERYSON T. SAURO</v>
      </c>
      <c r="L3733" s="164" t="str">
        <f ca="1">IFERROR(__xludf.DUMMYFUNCTION("""COMPUTED_VALUE"""),"PBDD")</f>
        <v>PBDD</v>
      </c>
      <c r="M3733" s="164" t="str">
        <f ca="1">IFERROR(__xludf.DUMMYFUNCTION("""COMPUTED_VALUE"""),"SERVICEABLE")</f>
        <v>SERVICEABLE</v>
      </c>
      <c r="N3733" s="164"/>
    </row>
    <row r="3734" spans="1:14" ht="13.2" hidden="1">
      <c r="A3734" s="164" t="str">
        <f ca="1">IFERROR(__xludf.DUMMYFUNCTION("""COMPUTED_VALUE"""),"Region XI")</f>
        <v>Region XI</v>
      </c>
      <c r="B3734" s="164" t="str">
        <f ca="1">IFERROR(__xludf.DUMMYFUNCTION("""COMPUTED_VALUE"""),"Davao City")</f>
        <v>Davao City</v>
      </c>
      <c r="C3734" s="164" t="str">
        <f ca="1">IFERROR(__xludf.DUMMYFUNCTION("""COMPUTED_VALUE"""),"Laptop – (ACER EXTENSA EX215-55G i7)")</f>
        <v>Laptop – (ACER EXTENSA EX215-55G i7)</v>
      </c>
      <c r="D3734" s="164" t="str">
        <f ca="1">IFERROR(__xludf.DUMMYFUNCTION("""COMPUTED_VALUE"""),"₱ 59,500.00")</f>
        <v>₱ 59,500.00</v>
      </c>
      <c r="E3734" s="164"/>
      <c r="F3734" s="164" t="str">
        <f ca="1">IFERROR(__xludf.DUMMYFUNCTION("""COMPUTED_VALUE"""),"2023-05-03-10202SP283-01")</f>
        <v>2023-05-03-10202SP283-01</v>
      </c>
      <c r="G3734" s="164" t="str">
        <f ca="1">IFERROR(__xludf.DUMMYFUNCTION("""COMPUTED_VALUE"""),"NXEGZSP00330801C9E3400")</f>
        <v>NXEGZSP00330801C9E3400</v>
      </c>
      <c r="H3734" s="164" t="str">
        <f ca="1">IFERROR(__xludf.DUMMYFUNCTION("""COMPUTED_VALUE"""),"GRETCHEN S. PAZON")</f>
        <v>GRETCHEN S. PAZON</v>
      </c>
      <c r="I3734" s="164" t="str">
        <f ca="1">IFERROR(__xludf.DUMMYFUNCTION("""COMPUTED_VALUE"""),"ARPO I")</f>
        <v>ARPO I</v>
      </c>
      <c r="J3734" s="164" t="str">
        <f ca="1">IFERROR(__xludf.DUMMYFUNCTION("""COMPUTED_VALUE"""),"PAR# 2023-04-0025SP")</f>
        <v>PAR# 2023-04-0025SP</v>
      </c>
      <c r="K3734" s="164" t="str">
        <f ca="1">IFERROR(__xludf.DUMMYFUNCTION("""COMPUTED_VALUE"""),"GRETCHEN S. PAZON")</f>
        <v>GRETCHEN S. PAZON</v>
      </c>
      <c r="L3734" s="164" t="str">
        <f ca="1">IFERROR(__xludf.DUMMYFUNCTION("""COMPUTED_VALUE"""),"LTID")</f>
        <v>LTID</v>
      </c>
      <c r="M3734" s="164" t="str">
        <f ca="1">IFERROR(__xludf.DUMMYFUNCTION("""COMPUTED_VALUE"""),"SERVICEABLE")</f>
        <v>SERVICEABLE</v>
      </c>
      <c r="N3734" s="164"/>
    </row>
    <row r="3735" spans="1:14" ht="13.2" hidden="1">
      <c r="A3735" s="164" t="str">
        <f ca="1">IFERROR(__xludf.DUMMYFUNCTION("""COMPUTED_VALUE"""),"Region XI")</f>
        <v>Region XI</v>
      </c>
      <c r="B3735" s="164" t="str">
        <f ca="1">IFERROR(__xludf.DUMMYFUNCTION("""COMPUTED_VALUE"""),"Davao City")</f>
        <v>Davao City</v>
      </c>
      <c r="C3735" s="164" t="str">
        <f ca="1">IFERROR(__xludf.DUMMYFUNCTION("""COMPUTED_VALUE"""),"Laptop – (ACER EXTENSA EX215-55G i7)")</f>
        <v>Laptop – (ACER EXTENSA EX215-55G i7)</v>
      </c>
      <c r="D3735" s="164" t="str">
        <f ca="1">IFERROR(__xludf.DUMMYFUNCTION("""COMPUTED_VALUE"""),"₱ 59,500.00")</f>
        <v>₱ 59,500.00</v>
      </c>
      <c r="E3735" s="164"/>
      <c r="F3735" s="164" t="str">
        <f ca="1">IFERROR(__xludf.DUMMYFUNCTION("""COMPUTED_VALUE"""),"2023-05-03-10202SP284-01")</f>
        <v>2023-05-03-10202SP284-01</v>
      </c>
      <c r="G3735" s="164" t="str">
        <f ca="1">IFERROR(__xludf.DUMMYFUNCTION("""COMPUTED_VALUE"""),"NXEGZSP00330801E473400")</f>
        <v>NXEGZSP00330801E473400</v>
      </c>
      <c r="H3735" s="164" t="str">
        <f ca="1">IFERROR(__xludf.DUMMYFUNCTION("""COMPUTED_VALUE"""),"ATTY. JAN DAVID B. DELA CRUZ")</f>
        <v>ATTY. JAN DAVID B. DELA CRUZ</v>
      </c>
      <c r="I3735" s="164" t="str">
        <f ca="1">IFERROR(__xludf.DUMMYFUNCTION("""COMPUTED_VALUE"""),"ATTORNEY V")</f>
        <v>ATTORNEY V</v>
      </c>
      <c r="J3735" s="164" t="str">
        <f ca="1">IFERROR(__xludf.DUMMYFUNCTION("""COMPUTED_VALUE"""),"PAR# 2023-04-0026SP")</f>
        <v>PAR# 2023-04-0026SP</v>
      </c>
      <c r="K3735" s="164" t="str">
        <f ca="1">IFERROR(__xludf.DUMMYFUNCTION("""COMPUTED_VALUE"""),"ATTY. JAN DAVID B. DELA CRUZ")</f>
        <v>ATTY. JAN DAVID B. DELA CRUZ</v>
      </c>
      <c r="L3735" s="164" t="str">
        <f ca="1">IFERROR(__xludf.DUMMYFUNCTION("""COMPUTED_VALUE"""),"LEGAL")</f>
        <v>LEGAL</v>
      </c>
      <c r="M3735" s="164" t="str">
        <f ca="1">IFERROR(__xludf.DUMMYFUNCTION("""COMPUTED_VALUE"""),"SERVICEABLE")</f>
        <v>SERVICEABLE</v>
      </c>
      <c r="N3735" s="164"/>
    </row>
    <row r="3736" spans="1:14" ht="13.2" hidden="1">
      <c r="A3736" s="164" t="str">
        <f ca="1">IFERROR(__xludf.DUMMYFUNCTION("""COMPUTED_VALUE"""),"Region XI")</f>
        <v>Region XI</v>
      </c>
      <c r="B3736" s="164" t="str">
        <f ca="1">IFERROR(__xludf.DUMMYFUNCTION("""COMPUTED_VALUE"""),"Davao City")</f>
        <v>Davao City</v>
      </c>
      <c r="C3736" s="164" t="str">
        <f ca="1">IFERROR(__xludf.DUMMYFUNCTION("""COMPUTED_VALUE"""),"A3 PRINTER (BROTHER)")</f>
        <v>A3 PRINTER (BROTHER)</v>
      </c>
      <c r="D3736" s="164" t="str">
        <f ca="1">IFERROR(__xludf.DUMMYFUNCTION("""COMPUTED_VALUE"""),"₱ 33,508.00")</f>
        <v>₱ 33,508.00</v>
      </c>
      <c r="E3736" s="164"/>
      <c r="F3736" s="164" t="str">
        <f ca="1">IFERROR(__xludf.DUMMYFUNCTION("""COMPUTED_VALUE"""),"HV-SPLIT-102-24-05-62")</f>
        <v>HV-SPLIT-102-24-05-62</v>
      </c>
      <c r="G3736" s="164"/>
      <c r="H3736" s="164" t="str">
        <f ca="1">IFERROR(__xludf.DUMMYFUNCTION("""COMPUTED_VALUE"""),"CHARLOTTE H SISON")</f>
        <v>CHARLOTTE H SISON</v>
      </c>
      <c r="I3736" s="164" t="str">
        <f ca="1">IFERROR(__xludf.DUMMYFUNCTION("""COMPUTED_VALUE"""),"ARPO")</f>
        <v>ARPO</v>
      </c>
      <c r="J3736" s="164" t="str">
        <f ca="1">IFERROR(__xludf.DUMMYFUNCTION("""COMPUTED_VALUE"""),"2024-05-013")</f>
        <v>2024-05-013</v>
      </c>
      <c r="K3736" s="164"/>
      <c r="L3736" s="164" t="str">
        <f ca="1">IFERROR(__xludf.DUMMYFUNCTION("""COMPUTED_VALUE"""),"DARPO DAVAO CITY")</f>
        <v>DARPO DAVAO CITY</v>
      </c>
      <c r="M3736" s="164" t="str">
        <f ca="1">IFERROR(__xludf.DUMMYFUNCTION("""COMPUTED_VALUE"""),"SERVICEABLE")</f>
        <v>SERVICEABLE</v>
      </c>
      <c r="N3736" s="164"/>
    </row>
    <row r="3737" spans="1:14" ht="13.2" hidden="1">
      <c r="A3737" s="164" t="str">
        <f ca="1">IFERROR(__xludf.DUMMYFUNCTION("""COMPUTED_VALUE"""),"Region XI")</f>
        <v>Region XI</v>
      </c>
      <c r="B3737" s="164" t="str">
        <f ca="1">IFERROR(__xludf.DUMMYFUNCTION("""COMPUTED_VALUE"""),"Davao de Oro")</f>
        <v>Davao de Oro</v>
      </c>
      <c r="C3737" s="164" t="str">
        <f ca="1">IFERROR(__xludf.DUMMYFUNCTION("""COMPUTED_VALUE"""),"Desktop Computer – (Lenovo M70T)")</f>
        <v>Desktop Computer – (Lenovo M70T)</v>
      </c>
      <c r="D3737" s="164" t="str">
        <f ca="1">IFERROR(__xludf.DUMMYFUNCTION("""COMPUTED_VALUE"""),"₱ 75,468.00")</f>
        <v>₱ 75,468.00</v>
      </c>
      <c r="E3737" s="164"/>
      <c r="F3737" s="164" t="str">
        <f ca="1">IFERROR(__xludf.DUMMYFUNCTION("""COMPUTED_VALUE"""),"2023-05-03-10201SPI1628-01")</f>
        <v>2023-05-03-10201SPI1628-01</v>
      </c>
      <c r="G3737" s="164" t="str">
        <f ca="1">IFERROR(__xludf.DUMMYFUNCTION("""COMPUTED_VALUE"""),"1S11T5S16200GM0418FJ")</f>
        <v>1S11T5S16200GM0418FJ</v>
      </c>
      <c r="H3737" s="164" t="str">
        <f ca="1">IFERROR(__xludf.DUMMYFUNCTION("""COMPUTED_VALUE"""),"ESTELA LUCILA G. FLAMINIA")</f>
        <v>ESTELA LUCILA G. FLAMINIA</v>
      </c>
      <c r="I3737" s="164" t="str">
        <f ca="1">IFERROR(__xludf.DUMMYFUNCTION("""COMPUTED_VALUE"""),"CARPO-LTID")</f>
        <v>CARPO-LTID</v>
      </c>
      <c r="J3737" s="164" t="str">
        <f ca="1">IFERROR(__xludf.DUMMYFUNCTION("""COMPUTED_VALUE"""),"SPLIT-2023-04-002")</f>
        <v>SPLIT-2023-04-002</v>
      </c>
      <c r="K3737" s="164" t="str">
        <f ca="1">IFERROR(__xludf.DUMMYFUNCTION("""COMPUTED_VALUE"""),"JORAM SUGANO")</f>
        <v>JORAM SUGANO</v>
      </c>
      <c r="L3737" s="164" t="str">
        <f ca="1">IFERROR(__xludf.DUMMYFUNCTION("""COMPUTED_VALUE"""),"DARPO DAVAO DE ORO")</f>
        <v>DARPO DAVAO DE ORO</v>
      </c>
      <c r="M3737" s="164" t="str">
        <f ca="1">IFERROR(__xludf.DUMMYFUNCTION("""COMPUTED_VALUE"""),"SERVICEABLE")</f>
        <v>SERVICEABLE</v>
      </c>
      <c r="N3737" s="164"/>
    </row>
    <row r="3738" spans="1:14" ht="13.2" hidden="1">
      <c r="A3738" s="164" t="str">
        <f ca="1">IFERROR(__xludf.DUMMYFUNCTION("""COMPUTED_VALUE"""),"Region XI")</f>
        <v>Region XI</v>
      </c>
      <c r="B3738" s="164" t="str">
        <f ca="1">IFERROR(__xludf.DUMMYFUNCTION("""COMPUTED_VALUE"""),"Davao de Oro")</f>
        <v>Davao de Oro</v>
      </c>
      <c r="C3738" s="164" t="str">
        <f ca="1">IFERROR(__xludf.DUMMYFUNCTION("""COMPUTED_VALUE"""),"Desktop Computer – (Lenovo M70T)")</f>
        <v>Desktop Computer – (Lenovo M70T)</v>
      </c>
      <c r="D3738" s="164" t="str">
        <f ca="1">IFERROR(__xludf.DUMMYFUNCTION("""COMPUTED_VALUE"""),"₱ 75,468.00")</f>
        <v>₱ 75,468.00</v>
      </c>
      <c r="E3738" s="164"/>
      <c r="F3738" s="164" t="str">
        <f ca="1">IFERROR(__xludf.DUMMYFUNCTION("""COMPUTED_VALUE"""),"2023-05-03-10201SPI1629-01")</f>
        <v>2023-05-03-10201SPI1629-01</v>
      </c>
      <c r="G3738" s="164" t="str">
        <f ca="1">IFERROR(__xludf.DUMMYFUNCTION("""COMPUTED_VALUE"""),"1S11T5S16200GM0415WT")</f>
        <v>1S11T5S16200GM0415WT</v>
      </c>
      <c r="H3738" s="164" t="str">
        <f ca="1">IFERROR(__xludf.DUMMYFUNCTION("""COMPUTED_VALUE"""),"JOESITO A. VISAYA")</f>
        <v>JOESITO A. VISAYA</v>
      </c>
      <c r="I3738" s="164" t="str">
        <f ca="1">IFERROR(__xludf.DUMMYFUNCTION("""COMPUTED_VALUE"""),"ENGINEER II")</f>
        <v>ENGINEER II</v>
      </c>
      <c r="J3738" s="164" t="str">
        <f ca="1">IFERROR(__xludf.DUMMYFUNCTION("""COMPUTED_VALUE"""),"SPLIT-2023-04-003")</f>
        <v>SPLIT-2023-04-003</v>
      </c>
      <c r="K3738" s="164" t="str">
        <f ca="1">IFERROR(__xludf.DUMMYFUNCTION("""COMPUTED_VALUE"""),"NELSON SALVACION")</f>
        <v>NELSON SALVACION</v>
      </c>
      <c r="L3738" s="164" t="str">
        <f ca="1">IFERROR(__xludf.DUMMYFUNCTION("""COMPUTED_VALUE"""),"DARPO DAVAO DE ORO")</f>
        <v>DARPO DAVAO DE ORO</v>
      </c>
      <c r="M3738" s="164" t="str">
        <f ca="1">IFERROR(__xludf.DUMMYFUNCTION("""COMPUTED_VALUE"""),"SERVICEABLE")</f>
        <v>SERVICEABLE</v>
      </c>
      <c r="N3738" s="164"/>
    </row>
    <row r="3739" spans="1:14" ht="13.2" hidden="1">
      <c r="A3739" s="164" t="str">
        <f ca="1">IFERROR(__xludf.DUMMYFUNCTION("""COMPUTED_VALUE"""),"Region XI")</f>
        <v>Region XI</v>
      </c>
      <c r="B3739" s="164" t="str">
        <f ca="1">IFERROR(__xludf.DUMMYFUNCTION("""COMPUTED_VALUE"""),"Davao de Oro")</f>
        <v>Davao de Oro</v>
      </c>
      <c r="C3739" s="164" t="str">
        <f ca="1">IFERROR(__xludf.DUMMYFUNCTION("""COMPUTED_VALUE"""),"Desktop Computer – (Lenovo M70T)")</f>
        <v>Desktop Computer – (Lenovo M70T)</v>
      </c>
      <c r="D3739" s="164" t="str">
        <f ca="1">IFERROR(__xludf.DUMMYFUNCTION("""COMPUTED_VALUE"""),"₱ 75,468.00")</f>
        <v>₱ 75,468.00</v>
      </c>
      <c r="E3739" s="164"/>
      <c r="F3739" s="164" t="str">
        <f ca="1">IFERROR(__xludf.DUMMYFUNCTION("""COMPUTED_VALUE"""),"2023-05-03-10201SPI1630-01")</f>
        <v>2023-05-03-10201SPI1630-01</v>
      </c>
      <c r="G3739" s="164" t="str">
        <f ca="1">IFERROR(__xludf.DUMMYFUNCTION("""COMPUTED_VALUE"""),"1S11T5S16200GM0418F4")</f>
        <v>1S11T5S16200GM0418F4</v>
      </c>
      <c r="H3739" s="164" t="str">
        <f ca="1">IFERROR(__xludf.DUMMYFUNCTION("""COMPUTED_VALUE"""),"AVELINO O. TOCMO")</f>
        <v>AVELINO O. TOCMO</v>
      </c>
      <c r="I3739" s="164" t="str">
        <f ca="1">IFERROR(__xludf.DUMMYFUNCTION("""COMPUTED_VALUE"""),"MARPO")</f>
        <v>MARPO</v>
      </c>
      <c r="J3739" s="164" t="str">
        <f ca="1">IFERROR(__xludf.DUMMYFUNCTION("""COMPUTED_VALUE"""),"SPLIT-2023-04-004")</f>
        <v>SPLIT-2023-04-004</v>
      </c>
      <c r="K3739" s="164" t="str">
        <f ca="1">IFERROR(__xludf.DUMMYFUNCTION("""COMPUTED_VALUE"""),"AVELINO O. TOCMO")</f>
        <v>AVELINO O. TOCMO</v>
      </c>
      <c r="L3739" s="164" t="str">
        <f ca="1">IFERROR(__xludf.DUMMYFUNCTION("""COMPUTED_VALUE"""),"DARPO DAVAO DE ORO")</f>
        <v>DARPO DAVAO DE ORO</v>
      </c>
      <c r="M3739" s="164" t="str">
        <f ca="1">IFERROR(__xludf.DUMMYFUNCTION("""COMPUTED_VALUE"""),"SERVICEABLE")</f>
        <v>SERVICEABLE</v>
      </c>
      <c r="N3739" s="164"/>
    </row>
    <row r="3740" spans="1:14" ht="13.2" hidden="1">
      <c r="A3740" s="164" t="str">
        <f ca="1">IFERROR(__xludf.DUMMYFUNCTION("""COMPUTED_VALUE"""),"Region XI")</f>
        <v>Region XI</v>
      </c>
      <c r="B3740" s="164" t="str">
        <f ca="1">IFERROR(__xludf.DUMMYFUNCTION("""COMPUTED_VALUE"""),"Davao de Oro")</f>
        <v>Davao de Oro</v>
      </c>
      <c r="C3740" s="164" t="str">
        <f ca="1">IFERROR(__xludf.DUMMYFUNCTION("""COMPUTED_VALUE"""),"Desktop Computer – (Lenovo M70T)")</f>
        <v>Desktop Computer – (Lenovo M70T)</v>
      </c>
      <c r="D3740" s="164" t="str">
        <f ca="1">IFERROR(__xludf.DUMMYFUNCTION("""COMPUTED_VALUE"""),"₱ 75,468.00")</f>
        <v>₱ 75,468.00</v>
      </c>
      <c r="E3740" s="164"/>
      <c r="F3740" s="164" t="str">
        <f ca="1">IFERROR(__xludf.DUMMYFUNCTION("""COMPUTED_VALUE"""),"2023-05-03-10201SPI1631-01")</f>
        <v>2023-05-03-10201SPI1631-01</v>
      </c>
      <c r="G3740" s="164" t="str">
        <f ca="1">IFERROR(__xludf.DUMMYFUNCTION("""COMPUTED_VALUE"""),"1S11T5S16200GM0418LH")</f>
        <v>1S11T5S16200GM0418LH</v>
      </c>
      <c r="H3740" s="164" t="str">
        <f ca="1">IFERROR(__xludf.DUMMYFUNCTION("""COMPUTED_VALUE"""),"GENECRIS A. BALINTAG")</f>
        <v>GENECRIS A. BALINTAG</v>
      </c>
      <c r="I3740" s="164" t="str">
        <f ca="1">IFERROR(__xludf.DUMMYFUNCTION("""COMPUTED_VALUE"""),"ARPT")</f>
        <v>ARPT</v>
      </c>
      <c r="J3740" s="164" t="str">
        <f ca="1">IFERROR(__xludf.DUMMYFUNCTION("""COMPUTED_VALUE"""),"SPLIT-2023-04-005")</f>
        <v>SPLIT-2023-04-005</v>
      </c>
      <c r="K3740" s="164" t="str">
        <f ca="1">IFERROR(__xludf.DUMMYFUNCTION("""COMPUTED_VALUE"""),"GENECRIS A. BALINTAG")</f>
        <v>GENECRIS A. BALINTAG</v>
      </c>
      <c r="L3740" s="164" t="str">
        <f ca="1">IFERROR(__xludf.DUMMYFUNCTION("""COMPUTED_VALUE"""),"DARPO DAVAO DE ORO")</f>
        <v>DARPO DAVAO DE ORO</v>
      </c>
      <c r="M3740" s="164" t="str">
        <f ca="1">IFERROR(__xludf.DUMMYFUNCTION("""COMPUTED_VALUE"""),"SERVICEABLE")</f>
        <v>SERVICEABLE</v>
      </c>
      <c r="N3740" s="164"/>
    </row>
    <row r="3741" spans="1:14" ht="13.2" hidden="1">
      <c r="A3741" s="164" t="str">
        <f ca="1">IFERROR(__xludf.DUMMYFUNCTION("""COMPUTED_VALUE"""),"Region XI")</f>
        <v>Region XI</v>
      </c>
      <c r="B3741" s="164" t="str">
        <f ca="1">IFERROR(__xludf.DUMMYFUNCTION("""COMPUTED_VALUE"""),"Davao de Oro")</f>
        <v>Davao de Oro</v>
      </c>
      <c r="C3741" s="164" t="str">
        <f ca="1">IFERROR(__xludf.DUMMYFUNCTION("""COMPUTED_VALUE"""),"Desktop Computer – (Lenovo M70T)")</f>
        <v>Desktop Computer – (Lenovo M70T)</v>
      </c>
      <c r="D3741" s="164" t="str">
        <f ca="1">IFERROR(__xludf.DUMMYFUNCTION("""COMPUTED_VALUE"""),"₱ 75,468.00")</f>
        <v>₱ 75,468.00</v>
      </c>
      <c r="E3741" s="164"/>
      <c r="F3741" s="164" t="str">
        <f ca="1">IFERROR(__xludf.DUMMYFUNCTION("""COMPUTED_VALUE"""),"2023-05-03-10201SPI1632-01")</f>
        <v>2023-05-03-10201SPI1632-01</v>
      </c>
      <c r="G3741" s="164" t="str">
        <f ca="1">IFERROR(__xludf.DUMMYFUNCTION("""COMPUTED_VALUE"""),"1S11T5S16200GM041B1X")</f>
        <v>1S11T5S16200GM041B1X</v>
      </c>
      <c r="H3741" s="164" t="str">
        <f ca="1">IFERROR(__xludf.DUMMYFUNCTION("""COMPUTED_VALUE"""),"JAYFRED SILANA")</f>
        <v>JAYFRED SILANA</v>
      </c>
      <c r="I3741" s="164" t="str">
        <f ca="1">IFERROR(__xludf.DUMMYFUNCTION("""COMPUTED_VALUE"""),"ARPT")</f>
        <v>ARPT</v>
      </c>
      <c r="J3741" s="164" t="str">
        <f ca="1">IFERROR(__xludf.DUMMYFUNCTION("""COMPUTED_VALUE"""),"SPLIT-2023-04-006")</f>
        <v>SPLIT-2023-04-006</v>
      </c>
      <c r="K3741" s="164" t="str">
        <f ca="1">IFERROR(__xludf.DUMMYFUNCTION("""COMPUTED_VALUE"""),"JAYFRED SILANA")</f>
        <v>JAYFRED SILANA</v>
      </c>
      <c r="L3741" s="164" t="str">
        <f ca="1">IFERROR(__xludf.DUMMYFUNCTION("""COMPUTED_VALUE"""),"DARPO DAVAO DE ORO")</f>
        <v>DARPO DAVAO DE ORO</v>
      </c>
      <c r="M3741" s="164" t="str">
        <f ca="1">IFERROR(__xludf.DUMMYFUNCTION("""COMPUTED_VALUE"""),"SERVICEABLE")</f>
        <v>SERVICEABLE</v>
      </c>
      <c r="N3741" s="164"/>
    </row>
    <row r="3742" spans="1:14" ht="13.2" hidden="1">
      <c r="A3742" s="164" t="str">
        <f ca="1">IFERROR(__xludf.DUMMYFUNCTION("""COMPUTED_VALUE"""),"Region XI")</f>
        <v>Region XI</v>
      </c>
      <c r="B3742" s="164" t="str">
        <f ca="1">IFERROR(__xludf.DUMMYFUNCTION("""COMPUTED_VALUE"""),"Davao de Oro")</f>
        <v>Davao de Oro</v>
      </c>
      <c r="C3742" s="164" t="str">
        <f ca="1">IFERROR(__xludf.DUMMYFUNCTION("""COMPUTED_VALUE"""),"Desktop Computer – (Lenovo M70T)")</f>
        <v>Desktop Computer – (Lenovo M70T)</v>
      </c>
      <c r="D3742" s="164" t="str">
        <f ca="1">IFERROR(__xludf.DUMMYFUNCTION("""COMPUTED_VALUE"""),"₱ 75,468.00")</f>
        <v>₱ 75,468.00</v>
      </c>
      <c r="E3742" s="164"/>
      <c r="F3742" s="164" t="str">
        <f ca="1">IFERROR(__xludf.DUMMYFUNCTION("""COMPUTED_VALUE"""),"2023-05-03-10201SPI1633-01")</f>
        <v>2023-05-03-10201SPI1633-01</v>
      </c>
      <c r="G3742" s="164" t="str">
        <f ca="1">IFERROR(__xludf.DUMMYFUNCTION("""COMPUTED_VALUE"""),"1S11T5S16200GM04182Y")</f>
        <v>1S11T5S16200GM04182Y</v>
      </c>
      <c r="H3742" s="164" t="str">
        <f ca="1">IFERROR(__xludf.DUMMYFUNCTION("""COMPUTED_VALUE"""),"CRISTINA H. ROSALES")</f>
        <v>CRISTINA H. ROSALES</v>
      </c>
      <c r="I3742" s="164" t="str">
        <f ca="1">IFERROR(__xludf.DUMMYFUNCTION("""COMPUTED_VALUE"""),"AO IV")</f>
        <v>AO IV</v>
      </c>
      <c r="J3742" s="164" t="str">
        <f ca="1">IFERROR(__xludf.DUMMYFUNCTION("""COMPUTED_VALUE"""),"SPLIT-2023-04-007")</f>
        <v>SPLIT-2023-04-007</v>
      </c>
      <c r="K3742" s="164" t="str">
        <f ca="1">IFERROR(__xludf.DUMMYFUNCTION("""COMPUTED_VALUE"""),"JOVERLY GENABE")</f>
        <v>JOVERLY GENABE</v>
      </c>
      <c r="L3742" s="164" t="str">
        <f ca="1">IFERROR(__xludf.DUMMYFUNCTION("""COMPUTED_VALUE"""),"DARPO DAVAO DE ORO")</f>
        <v>DARPO DAVAO DE ORO</v>
      </c>
      <c r="M3742" s="164" t="str">
        <f ca="1">IFERROR(__xludf.DUMMYFUNCTION("""COMPUTED_VALUE"""),"SERVICEABLE")</f>
        <v>SERVICEABLE</v>
      </c>
      <c r="N3742" s="164"/>
    </row>
    <row r="3743" spans="1:14" ht="13.2" hidden="1">
      <c r="A3743" s="164" t="str">
        <f ca="1">IFERROR(__xludf.DUMMYFUNCTION("""COMPUTED_VALUE"""),"Region XI")</f>
        <v>Region XI</v>
      </c>
      <c r="B3743" s="164" t="str">
        <f ca="1">IFERROR(__xludf.DUMMYFUNCTION("""COMPUTED_VALUE"""),"Davao de Oro")</f>
        <v>Davao de Oro</v>
      </c>
      <c r="C3743" s="164" t="str">
        <f ca="1">IFERROR(__xludf.DUMMYFUNCTION("""COMPUTED_VALUE"""),"Desktop Computer – (Lenovo M70T)")</f>
        <v>Desktop Computer – (Lenovo M70T)</v>
      </c>
      <c r="D3743" s="164" t="str">
        <f ca="1">IFERROR(__xludf.DUMMYFUNCTION("""COMPUTED_VALUE"""),"₱ 75,468.00")</f>
        <v>₱ 75,468.00</v>
      </c>
      <c r="E3743" s="164"/>
      <c r="F3743" s="164" t="str">
        <f ca="1">IFERROR(__xludf.DUMMYFUNCTION("""COMPUTED_VALUE"""),"2023-05-03-10201SPI1634-01")</f>
        <v>2023-05-03-10201SPI1634-01</v>
      </c>
      <c r="G3743" s="164" t="str">
        <f ca="1">IFERROR(__xludf.DUMMYFUNCTION("""COMPUTED_VALUE"""),"1S11T5S16200GM0418LJ")</f>
        <v>1S11T5S16200GM0418LJ</v>
      </c>
      <c r="H3743" s="164" t="str">
        <f ca="1">IFERROR(__xludf.DUMMYFUNCTION("""COMPUTED_VALUE"""),"MARIA SIEZAMIE B. AGOILO")</f>
        <v>MARIA SIEZAMIE B. AGOILO</v>
      </c>
      <c r="I3743" s="164" t="str">
        <f ca="1">IFERROR(__xludf.DUMMYFUNCTION("""COMPUTED_VALUE"""),"AO IV")</f>
        <v>AO IV</v>
      </c>
      <c r="J3743" s="164" t="str">
        <f ca="1">IFERROR(__xludf.DUMMYFUNCTION("""COMPUTED_VALUE"""),"SPLIT-2023-04-008")</f>
        <v>SPLIT-2023-04-008</v>
      </c>
      <c r="K3743" s="164" t="str">
        <f ca="1">IFERROR(__xludf.DUMMYFUNCTION("""COMPUTED_VALUE"""),"IRIS POBLETE")</f>
        <v>IRIS POBLETE</v>
      </c>
      <c r="L3743" s="164" t="str">
        <f ca="1">IFERROR(__xludf.DUMMYFUNCTION("""COMPUTED_VALUE"""),"DARPO DAVAO DE ORO")</f>
        <v>DARPO DAVAO DE ORO</v>
      </c>
      <c r="M3743" s="164" t="str">
        <f ca="1">IFERROR(__xludf.DUMMYFUNCTION("""COMPUTED_VALUE"""),"SERVICEABLE")</f>
        <v>SERVICEABLE</v>
      </c>
      <c r="N3743" s="164"/>
    </row>
    <row r="3744" spans="1:14" ht="13.2" hidden="1">
      <c r="A3744" s="164" t="str">
        <f ca="1">IFERROR(__xludf.DUMMYFUNCTION("""COMPUTED_VALUE"""),"Region XI")</f>
        <v>Region XI</v>
      </c>
      <c r="B3744" s="164" t="str">
        <f ca="1">IFERROR(__xludf.DUMMYFUNCTION("""COMPUTED_VALUE"""),"Davao de Oro")</f>
        <v>Davao de Oro</v>
      </c>
      <c r="C3744" s="164" t="str">
        <f ca="1">IFERROR(__xludf.DUMMYFUNCTION("""COMPUTED_VALUE"""),"Desktop Computer – (Lenovo M70T)")</f>
        <v>Desktop Computer – (Lenovo M70T)</v>
      </c>
      <c r="D3744" s="164" t="str">
        <f ca="1">IFERROR(__xludf.DUMMYFUNCTION("""COMPUTED_VALUE"""),"₱ 75,468.00")</f>
        <v>₱ 75,468.00</v>
      </c>
      <c r="E3744" s="164"/>
      <c r="F3744" s="164" t="str">
        <f ca="1">IFERROR(__xludf.DUMMYFUNCTION("""COMPUTED_VALUE"""),"2023-05-03-10201SPI1635-01")</f>
        <v>2023-05-03-10201SPI1635-01</v>
      </c>
      <c r="G3744" s="164" t="str">
        <f ca="1">IFERROR(__xludf.DUMMYFUNCTION("""COMPUTED_VALUE"""),"1S11T5S16200GM0418LJ")</f>
        <v>1S11T5S16200GM0418LJ</v>
      </c>
      <c r="H3744" s="164" t="str">
        <f ca="1">IFERROR(__xludf.DUMMYFUNCTION("""COMPUTED_VALUE"""),"GERALDINE B. SOBRENO")</f>
        <v>GERALDINE B. SOBRENO</v>
      </c>
      <c r="I3744" s="164" t="str">
        <f ca="1">IFERROR(__xludf.DUMMYFUNCTION("""COMPUTED_VALUE"""),"CARTOGRAPHER II")</f>
        <v>CARTOGRAPHER II</v>
      </c>
      <c r="J3744" s="164" t="str">
        <f ca="1">IFERROR(__xludf.DUMMYFUNCTION("""COMPUTED_VALUE"""),"SPLIT-2023-04-009")</f>
        <v>SPLIT-2023-04-009</v>
      </c>
      <c r="K3744" s="164" t="str">
        <f ca="1">IFERROR(__xludf.DUMMYFUNCTION("""COMPUTED_VALUE"""),"AMYTESS H. OBRA")</f>
        <v>AMYTESS H. OBRA</v>
      </c>
      <c r="L3744" s="164" t="str">
        <f ca="1">IFERROR(__xludf.DUMMYFUNCTION("""COMPUTED_VALUE"""),"DARPO DAVAO DE ORO")</f>
        <v>DARPO DAVAO DE ORO</v>
      </c>
      <c r="M3744" s="164" t="str">
        <f ca="1">IFERROR(__xludf.DUMMYFUNCTION("""COMPUTED_VALUE"""),"SERVICEABLE")</f>
        <v>SERVICEABLE</v>
      </c>
      <c r="N3744" s="164"/>
    </row>
    <row r="3745" spans="1:14" ht="13.2" hidden="1">
      <c r="A3745" s="164" t="str">
        <f ca="1">IFERROR(__xludf.DUMMYFUNCTION("""COMPUTED_VALUE"""),"Region XI")</f>
        <v>Region XI</v>
      </c>
      <c r="B3745" s="164" t="str">
        <f ca="1">IFERROR(__xludf.DUMMYFUNCTION("""COMPUTED_VALUE"""),"Davao de Oro")</f>
        <v>Davao de Oro</v>
      </c>
      <c r="C3745" s="164" t="str">
        <f ca="1">IFERROR(__xludf.DUMMYFUNCTION("""COMPUTED_VALUE"""),"Desktop Computer – (Lenovo M70T)")</f>
        <v>Desktop Computer – (Lenovo M70T)</v>
      </c>
      <c r="D3745" s="164" t="str">
        <f ca="1">IFERROR(__xludf.DUMMYFUNCTION("""COMPUTED_VALUE"""),"₱ 75,468.00")</f>
        <v>₱ 75,468.00</v>
      </c>
      <c r="E3745" s="164"/>
      <c r="F3745" s="164" t="str">
        <f ca="1">IFERROR(__xludf.DUMMYFUNCTION("""COMPUTED_VALUE"""),"2023-05-03-10201SPI1636-01")</f>
        <v>2023-05-03-10201SPI1636-01</v>
      </c>
      <c r="G3745" s="164" t="str">
        <f ca="1">IFERROR(__xludf.DUMMYFUNCTION("""COMPUTED_VALUE"""),"1S11T5S16200GM041B3L")</f>
        <v>1S11T5S16200GM041B3L</v>
      </c>
      <c r="H3745" s="164" t="str">
        <f ca="1">IFERROR(__xludf.DUMMYFUNCTION("""COMPUTED_VALUE"""),"MERLINA T. BABATID")</f>
        <v>MERLINA T. BABATID</v>
      </c>
      <c r="I3745" s="164" t="str">
        <f ca="1">IFERROR(__xludf.DUMMYFUNCTION("""COMPUTED_VALUE"""),"CAO")</f>
        <v>CAO</v>
      </c>
      <c r="J3745" s="164" t="str">
        <f ca="1">IFERROR(__xludf.DUMMYFUNCTION("""COMPUTED_VALUE"""),"SPLIT-2023-04-0010")</f>
        <v>SPLIT-2023-04-0010</v>
      </c>
      <c r="K3745" s="164" t="str">
        <f ca="1">IFERROR(__xludf.DUMMYFUNCTION("""COMPUTED_VALUE"""),"MARY GRACE AREGLADO")</f>
        <v>MARY GRACE AREGLADO</v>
      </c>
      <c r="L3745" s="164" t="str">
        <f ca="1">IFERROR(__xludf.DUMMYFUNCTION("""COMPUTED_VALUE"""),"DARPO DAVAO DE ORO")</f>
        <v>DARPO DAVAO DE ORO</v>
      </c>
      <c r="M3745" s="164" t="str">
        <f ca="1">IFERROR(__xludf.DUMMYFUNCTION("""COMPUTED_VALUE"""),"SERVICEABLE")</f>
        <v>SERVICEABLE</v>
      </c>
      <c r="N3745" s="164"/>
    </row>
    <row r="3746" spans="1:14" ht="13.2" hidden="1">
      <c r="A3746" s="164" t="str">
        <f ca="1">IFERROR(__xludf.DUMMYFUNCTION("""COMPUTED_VALUE"""),"Region XI")</f>
        <v>Region XI</v>
      </c>
      <c r="B3746" s="164" t="str">
        <f ca="1">IFERROR(__xludf.DUMMYFUNCTION("""COMPUTED_VALUE"""),"Davao de Oro")</f>
        <v>Davao de Oro</v>
      </c>
      <c r="C3746" s="164" t="str">
        <f ca="1">IFERROR(__xludf.DUMMYFUNCTION("""COMPUTED_VALUE"""),"Desktop Computer – (Lenovo M70T)")</f>
        <v>Desktop Computer – (Lenovo M70T)</v>
      </c>
      <c r="D3746" s="164" t="str">
        <f ca="1">IFERROR(__xludf.DUMMYFUNCTION("""COMPUTED_VALUE"""),"₱ 75,468.00")</f>
        <v>₱ 75,468.00</v>
      </c>
      <c r="E3746" s="164"/>
      <c r="F3746" s="164" t="str">
        <f ca="1">IFERROR(__xludf.DUMMYFUNCTION("""COMPUTED_VALUE"""),"2023-05-03-10201SPI1637-01")</f>
        <v>2023-05-03-10201SPI1637-01</v>
      </c>
      <c r="G3746" s="164" t="str">
        <f ca="1">IFERROR(__xludf.DUMMYFUNCTION("""COMPUTED_VALUE"""),"1S11T5S16200GM0415ZE")</f>
        <v>1S11T5S16200GM0415ZE</v>
      </c>
      <c r="H3746" s="164" t="str">
        <f ca="1">IFERROR(__xludf.DUMMYFUNCTION("""COMPUTED_VALUE"""),"MAYLENE GRACE P. IDULSA")</f>
        <v>MAYLENE GRACE P. IDULSA</v>
      </c>
      <c r="I3746" s="164" t="str">
        <f ca="1">IFERROR(__xludf.DUMMYFUNCTION("""COMPUTED_VALUE"""),"ARPO I")</f>
        <v>ARPO I</v>
      </c>
      <c r="J3746" s="164" t="str">
        <f ca="1">IFERROR(__xludf.DUMMYFUNCTION("""COMPUTED_VALUE"""),"SPLIT-2023-04-0011")</f>
        <v>SPLIT-2023-04-0011</v>
      </c>
      <c r="K3746" s="164" t="str">
        <f ca="1">IFERROR(__xludf.DUMMYFUNCTION("""COMPUTED_VALUE"""),"MAYLENE GRACE P. IDULSA")</f>
        <v>MAYLENE GRACE P. IDULSA</v>
      </c>
      <c r="L3746" s="164" t="str">
        <f ca="1">IFERROR(__xludf.DUMMYFUNCTION("""COMPUTED_VALUE"""),"DARPO DAVAO DE ORO")</f>
        <v>DARPO DAVAO DE ORO</v>
      </c>
      <c r="M3746" s="164" t="str">
        <f ca="1">IFERROR(__xludf.DUMMYFUNCTION("""COMPUTED_VALUE"""),"SERVICEABLE")</f>
        <v>SERVICEABLE</v>
      </c>
      <c r="N3746" s="164"/>
    </row>
    <row r="3747" spans="1:14" ht="13.2" hidden="1">
      <c r="A3747" s="164" t="str">
        <f ca="1">IFERROR(__xludf.DUMMYFUNCTION("""COMPUTED_VALUE"""),"Region XI")</f>
        <v>Region XI</v>
      </c>
      <c r="B3747" s="164" t="str">
        <f ca="1">IFERROR(__xludf.DUMMYFUNCTION("""COMPUTED_VALUE"""),"Davao de Oro")</f>
        <v>Davao de Oro</v>
      </c>
      <c r="C3747" s="164" t="str">
        <f ca="1">IFERROR(__xludf.DUMMYFUNCTION("""COMPUTED_VALUE"""),"Desktop Computer – (Lenovo M70T)")</f>
        <v>Desktop Computer – (Lenovo M70T)</v>
      </c>
      <c r="D3747" s="164" t="str">
        <f ca="1">IFERROR(__xludf.DUMMYFUNCTION("""COMPUTED_VALUE"""),"₱ 75,468.00")</f>
        <v>₱ 75,468.00</v>
      </c>
      <c r="E3747" s="164"/>
      <c r="F3747" s="164" t="str">
        <f ca="1">IFERROR(__xludf.DUMMYFUNCTION("""COMPUTED_VALUE"""),"2023-05-03-10201SPI1638-01")</f>
        <v>2023-05-03-10201SPI1638-01</v>
      </c>
      <c r="G3747" s="164" t="str">
        <f ca="1">IFERROR(__xludf.DUMMYFUNCTION("""COMPUTED_VALUE"""),"1S11T5S16200GM0415W9")</f>
        <v>1S11T5S16200GM0415W9</v>
      </c>
      <c r="H3747" s="164" t="str">
        <f ca="1">IFERROR(__xludf.DUMMYFUNCTION("""COMPUTED_VALUE"""),"ANGELITA V. PILLEREN")</f>
        <v>ANGELITA V. PILLEREN</v>
      </c>
      <c r="I3747" s="164" t="str">
        <f ca="1">IFERROR(__xludf.DUMMYFUNCTION("""COMPUTED_VALUE"""),"ARPO II")</f>
        <v>ARPO II</v>
      </c>
      <c r="J3747" s="164" t="str">
        <f ca="1">IFERROR(__xludf.DUMMYFUNCTION("""COMPUTED_VALUE"""),"SPLIT-2023-04-0012")</f>
        <v>SPLIT-2023-04-0012</v>
      </c>
      <c r="K3747" s="164" t="str">
        <f ca="1">IFERROR(__xludf.DUMMYFUNCTION("""COMPUTED_VALUE"""),"MAVERICK PAUL SULTAN")</f>
        <v>MAVERICK PAUL SULTAN</v>
      </c>
      <c r="L3747" s="164" t="str">
        <f ca="1">IFERROR(__xludf.DUMMYFUNCTION("""COMPUTED_VALUE"""),"DARPO DAVAO DE ORO")</f>
        <v>DARPO DAVAO DE ORO</v>
      </c>
      <c r="M3747" s="164" t="str">
        <f ca="1">IFERROR(__xludf.DUMMYFUNCTION("""COMPUTED_VALUE"""),"SERVICEABLE")</f>
        <v>SERVICEABLE</v>
      </c>
      <c r="N3747" s="164"/>
    </row>
    <row r="3748" spans="1:14" ht="13.2" hidden="1">
      <c r="A3748" s="164" t="str">
        <f ca="1">IFERROR(__xludf.DUMMYFUNCTION("""COMPUTED_VALUE"""),"Region XI")</f>
        <v>Region XI</v>
      </c>
      <c r="B3748" s="164" t="str">
        <f ca="1">IFERROR(__xludf.DUMMYFUNCTION("""COMPUTED_VALUE"""),"Davao de Oro")</f>
        <v>Davao de Oro</v>
      </c>
      <c r="C3748" s="164" t="str">
        <f ca="1">IFERROR(__xludf.DUMMYFUNCTION("""COMPUTED_VALUE"""),"Desktop Computer – (Lenovo M70T)")</f>
        <v>Desktop Computer – (Lenovo M70T)</v>
      </c>
      <c r="D3748" s="164" t="str">
        <f ca="1">IFERROR(__xludf.DUMMYFUNCTION("""COMPUTED_VALUE"""),"₱ 75,468.00")</f>
        <v>₱ 75,468.00</v>
      </c>
      <c r="E3748" s="164"/>
      <c r="F3748" s="164" t="str">
        <f ca="1">IFERROR(__xludf.DUMMYFUNCTION("""COMPUTED_VALUE"""),"2023-05-03-10201SPI1639-01")</f>
        <v>2023-05-03-10201SPI1639-01</v>
      </c>
      <c r="G3748" s="164" t="str">
        <f ca="1">IFERROR(__xludf.DUMMYFUNCTION("""COMPUTED_VALUE"""),"1S11T5S16200GM0415TK")</f>
        <v>1S11T5S16200GM0415TK</v>
      </c>
      <c r="H3748" s="164" t="str">
        <f ca="1">IFERROR(__xludf.DUMMYFUNCTION("""COMPUTED_VALUE"""),"DANILO BALINAWA")</f>
        <v>DANILO BALINAWA</v>
      </c>
      <c r="I3748" s="164" t="str">
        <f ca="1">IFERROR(__xludf.DUMMYFUNCTION("""COMPUTED_VALUE"""),"ACCOUNTANT II")</f>
        <v>ACCOUNTANT II</v>
      </c>
      <c r="J3748" s="164" t="str">
        <f ca="1">IFERROR(__xludf.DUMMYFUNCTION("""COMPUTED_VALUE"""),"SPLIT-2023-04-0013")</f>
        <v>SPLIT-2023-04-0013</v>
      </c>
      <c r="K3748" s="164" t="str">
        <f ca="1">IFERROR(__xludf.DUMMYFUNCTION("""COMPUTED_VALUE"""),"DANILO BALINAWA")</f>
        <v>DANILO BALINAWA</v>
      </c>
      <c r="L3748" s="164" t="str">
        <f ca="1">IFERROR(__xludf.DUMMYFUNCTION("""COMPUTED_VALUE"""),"DARPO DAVAO DE ORO")</f>
        <v>DARPO DAVAO DE ORO</v>
      </c>
      <c r="M3748" s="164" t="str">
        <f ca="1">IFERROR(__xludf.DUMMYFUNCTION("""COMPUTED_VALUE"""),"SERVICEABLE")</f>
        <v>SERVICEABLE</v>
      </c>
      <c r="N3748" s="164"/>
    </row>
    <row r="3749" spans="1:14" ht="13.2" hidden="1">
      <c r="A3749" s="164" t="str">
        <f ca="1">IFERROR(__xludf.DUMMYFUNCTION("""COMPUTED_VALUE"""),"Region XI")</f>
        <v>Region XI</v>
      </c>
      <c r="B3749" s="164" t="str">
        <f ca="1">IFERROR(__xludf.DUMMYFUNCTION("""COMPUTED_VALUE"""),"Davao de Oro")</f>
        <v>Davao de Oro</v>
      </c>
      <c r="C3749" s="164" t="str">
        <f ca="1">IFERROR(__xludf.DUMMYFUNCTION("""COMPUTED_VALUE"""),"Laptop – (ACER EXTENSA EX215-55G i7)")</f>
        <v>Laptop – (ACER EXTENSA EX215-55G i7)</v>
      </c>
      <c r="D3749" s="164" t="str">
        <f ca="1">IFERROR(__xludf.DUMMYFUNCTION("""COMPUTED_VALUE"""),"₱ 59,500.00")</f>
        <v>₱ 59,500.00</v>
      </c>
      <c r="E3749" s="164"/>
      <c r="F3749" s="164" t="str">
        <f ca="1">IFERROR(__xludf.DUMMYFUNCTION("""COMPUTED_VALUE"""),"2023-05-03-10201SP82-01")</f>
        <v>2023-05-03-10201SP82-01</v>
      </c>
      <c r="G3749" s="164" t="str">
        <f ca="1">IFERROR(__xludf.DUMMYFUNCTION("""COMPUTED_VALUE"""),"NXEGZSP00330801F463400")</f>
        <v>NXEGZSP00330801F463400</v>
      </c>
      <c r="H3749" s="164" t="str">
        <f ca="1">IFERROR(__xludf.DUMMYFUNCTION("""COMPUTED_VALUE"""),"VIC ONOD")</f>
        <v>VIC ONOD</v>
      </c>
      <c r="I3749" s="164" t="str">
        <f ca="1">IFERROR(__xludf.DUMMYFUNCTION("""COMPUTED_VALUE"""),"ARPO I")</f>
        <v>ARPO I</v>
      </c>
      <c r="J3749" s="164" t="str">
        <f ca="1">IFERROR(__xludf.DUMMYFUNCTION("""COMPUTED_VALUE"""),"SPLIT-2023-04-0027")</f>
        <v>SPLIT-2023-04-0027</v>
      </c>
      <c r="K3749" s="164" t="str">
        <f ca="1">IFERROR(__xludf.DUMMYFUNCTION("""COMPUTED_VALUE"""),"VIC ONOD")</f>
        <v>VIC ONOD</v>
      </c>
      <c r="L3749" s="164" t="str">
        <f ca="1">IFERROR(__xludf.DUMMYFUNCTION("""COMPUTED_VALUE"""),"DARPO DAVAO DE ORO")</f>
        <v>DARPO DAVAO DE ORO</v>
      </c>
      <c r="M3749" s="164" t="str">
        <f ca="1">IFERROR(__xludf.DUMMYFUNCTION("""COMPUTED_VALUE"""),"SERVICEABLE")</f>
        <v>SERVICEABLE</v>
      </c>
      <c r="N3749" s="164"/>
    </row>
    <row r="3750" spans="1:14" ht="13.2" hidden="1">
      <c r="A3750" s="164" t="str">
        <f ca="1">IFERROR(__xludf.DUMMYFUNCTION("""COMPUTED_VALUE"""),"Region XI")</f>
        <v>Region XI</v>
      </c>
      <c r="B3750" s="164" t="str">
        <f ca="1">IFERROR(__xludf.DUMMYFUNCTION("""COMPUTED_VALUE"""),"Davao de Oro")</f>
        <v>Davao de Oro</v>
      </c>
      <c r="C3750" s="164" t="str">
        <f ca="1">IFERROR(__xludf.DUMMYFUNCTION("""COMPUTED_VALUE"""),"Laptop – (ACER EXTENSA EX215-55G i7)")</f>
        <v>Laptop – (ACER EXTENSA EX215-55G i7)</v>
      </c>
      <c r="D3750" s="164" t="str">
        <f ca="1">IFERROR(__xludf.DUMMYFUNCTION("""COMPUTED_VALUE"""),"₱ 59,500.00")</f>
        <v>₱ 59,500.00</v>
      </c>
      <c r="E3750" s="164"/>
      <c r="F3750" s="164" t="str">
        <f ca="1">IFERROR(__xludf.DUMMYFUNCTION("""COMPUTED_VALUE"""),"2023-05-03-10201SP287-01")</f>
        <v>2023-05-03-10201SP287-01</v>
      </c>
      <c r="G3750" s="164" t="str">
        <f ca="1">IFERROR(__xludf.DUMMYFUNCTION("""COMPUTED_VALUE"""),"NXEGZSP00330801B3A3400")</f>
        <v>NXEGZSP00330801B3A3400</v>
      </c>
      <c r="H3750" s="164" t="str">
        <f ca="1">IFERROR(__xludf.DUMMYFUNCTION("""COMPUTED_VALUE"""),"ANGELITA V. PILLEREN")</f>
        <v>ANGELITA V. PILLEREN</v>
      </c>
      <c r="I3750" s="164" t="str">
        <f ca="1">IFERROR(__xludf.DUMMYFUNCTION("""COMPUTED_VALUE"""),"ARPO II")</f>
        <v>ARPO II</v>
      </c>
      <c r="J3750" s="164" t="str">
        <f ca="1">IFERROR(__xludf.DUMMYFUNCTION("""COMPUTED_VALUE"""),"SPLIT-2023-09-0028")</f>
        <v>SPLIT-2023-09-0028</v>
      </c>
      <c r="K3750" s="164" t="str">
        <f ca="1">IFERROR(__xludf.DUMMYFUNCTION("""COMPUTED_VALUE"""),"JAMES CAINA")</f>
        <v>JAMES CAINA</v>
      </c>
      <c r="L3750" s="164" t="str">
        <f ca="1">IFERROR(__xludf.DUMMYFUNCTION("""COMPUTED_VALUE"""),"DARPO DAVAO DE ORO")</f>
        <v>DARPO DAVAO DE ORO</v>
      </c>
      <c r="M3750" s="164" t="str">
        <f ca="1">IFERROR(__xludf.DUMMYFUNCTION("""COMPUTED_VALUE"""),"SERVICEABLE")</f>
        <v>SERVICEABLE</v>
      </c>
      <c r="N3750" s="164"/>
    </row>
    <row r="3751" spans="1:14" ht="13.2" hidden="1">
      <c r="A3751" s="164" t="str">
        <f ca="1">IFERROR(__xludf.DUMMYFUNCTION("""COMPUTED_VALUE"""),"Region XI")</f>
        <v>Region XI</v>
      </c>
      <c r="B3751" s="164" t="str">
        <f ca="1">IFERROR(__xludf.DUMMYFUNCTION("""COMPUTED_VALUE"""),"Davao de Oro")</f>
        <v>Davao de Oro</v>
      </c>
      <c r="C3751" s="164" t="str">
        <f ca="1">IFERROR(__xludf.DUMMYFUNCTION("""COMPUTED_VALUE"""),"Laptop – (ACER EXTENSA EX215-55G i7)")</f>
        <v>Laptop – (ACER EXTENSA EX215-55G i7)</v>
      </c>
      <c r="D3751" s="164" t="str">
        <f ca="1">IFERROR(__xludf.DUMMYFUNCTION("""COMPUTED_VALUE"""),"₱ 59,500.00")</f>
        <v>₱ 59,500.00</v>
      </c>
      <c r="E3751" s="164"/>
      <c r="F3751" s="164" t="str">
        <f ca="1">IFERROR(__xludf.DUMMYFUNCTION("""COMPUTED_VALUE"""),"2023-05-03-10201SP285-01")</f>
        <v>2023-05-03-10201SP285-01</v>
      </c>
      <c r="G3751" s="164" t="str">
        <f ca="1">IFERROR(__xludf.DUMMYFUNCTION("""COMPUTED_VALUE"""),"NXEGZSP00330801BD73400")</f>
        <v>NXEGZSP00330801BD73400</v>
      </c>
      <c r="H3751" s="164" t="str">
        <f ca="1">IFERROR(__xludf.DUMMYFUNCTION("""COMPUTED_VALUE"""),"ANGELITA V. PILLEREN")</f>
        <v>ANGELITA V. PILLEREN</v>
      </c>
      <c r="I3751" s="164" t="str">
        <f ca="1">IFERROR(__xludf.DUMMYFUNCTION("""COMPUTED_VALUE"""),"ARPO I")</f>
        <v>ARPO I</v>
      </c>
      <c r="J3751" s="164" t="str">
        <f ca="1">IFERROR(__xludf.DUMMYFUNCTION("""COMPUTED_VALUE"""),"SPLIT-2023-09-0029")</f>
        <v>SPLIT-2023-09-0029</v>
      </c>
      <c r="K3751" s="164" t="str">
        <f ca="1">IFERROR(__xludf.DUMMYFUNCTION("""COMPUTED_VALUE"""),"ANGELITA V. PILLEREN")</f>
        <v>ANGELITA V. PILLEREN</v>
      </c>
      <c r="L3751" s="164" t="str">
        <f ca="1">IFERROR(__xludf.DUMMYFUNCTION("""COMPUTED_VALUE"""),"DARPO DAVAO DE ORO")</f>
        <v>DARPO DAVAO DE ORO</v>
      </c>
      <c r="M3751" s="164" t="str">
        <f ca="1">IFERROR(__xludf.DUMMYFUNCTION("""COMPUTED_VALUE"""),"SERVICEABLE")</f>
        <v>SERVICEABLE</v>
      </c>
      <c r="N3751" s="164"/>
    </row>
    <row r="3752" spans="1:14" ht="13.2" hidden="1">
      <c r="A3752" s="164" t="str">
        <f ca="1">IFERROR(__xludf.DUMMYFUNCTION("""COMPUTED_VALUE"""),"Region XI")</f>
        <v>Region XI</v>
      </c>
      <c r="B3752" s="164" t="str">
        <f ca="1">IFERROR(__xludf.DUMMYFUNCTION("""COMPUTED_VALUE"""),"Davao de Oro")</f>
        <v>Davao de Oro</v>
      </c>
      <c r="C3752" s="164" t="str">
        <f ca="1">IFERROR(__xludf.DUMMYFUNCTION("""COMPUTED_VALUE"""),"Laptop – (ACER EXTENSA EX215-55G i7)")</f>
        <v>Laptop – (ACER EXTENSA EX215-55G i7)</v>
      </c>
      <c r="D3752" s="164" t="str">
        <f ca="1">IFERROR(__xludf.DUMMYFUNCTION("""COMPUTED_VALUE"""),"₱ 59,500.00")</f>
        <v>₱ 59,500.00</v>
      </c>
      <c r="E3752" s="164"/>
      <c r="F3752" s="164" t="str">
        <f ca="1">IFERROR(__xludf.DUMMYFUNCTION("""COMPUTED_VALUE"""),"2023-05-03-10201SP286-01")</f>
        <v>2023-05-03-10201SP286-01</v>
      </c>
      <c r="G3752" s="164" t="str">
        <f ca="1">IFERROR(__xludf.DUMMYFUNCTION("""COMPUTED_VALUE"""),"NXEGZSP00330801D5D3400")</f>
        <v>NXEGZSP00330801D5D3400</v>
      </c>
      <c r="H3752" s="164" t="str">
        <f ca="1">IFERROR(__xludf.DUMMYFUNCTION("""COMPUTED_VALUE"""),"JENIE C. CADOTDOT")</f>
        <v>JENIE C. CADOTDOT</v>
      </c>
      <c r="I3752" s="164" t="str">
        <f ca="1">IFERROR(__xludf.DUMMYFUNCTION("""COMPUTED_VALUE"""),"ARPO I")</f>
        <v>ARPO I</v>
      </c>
      <c r="J3752" s="164" t="str">
        <f ca="1">IFERROR(__xludf.DUMMYFUNCTION("""COMPUTED_VALUE"""),"SPLIT-2023-09-0030")</f>
        <v>SPLIT-2023-09-0030</v>
      </c>
      <c r="K3752" s="164" t="str">
        <f ca="1">IFERROR(__xludf.DUMMYFUNCTION("""COMPUTED_VALUE"""),"JENIE C. CADOTDOT")</f>
        <v>JENIE C. CADOTDOT</v>
      </c>
      <c r="L3752" s="164" t="str">
        <f ca="1">IFERROR(__xludf.DUMMYFUNCTION("""COMPUTED_VALUE"""),"DARPO DAVAO DE ORO")</f>
        <v>DARPO DAVAO DE ORO</v>
      </c>
      <c r="M3752" s="164" t="str">
        <f ca="1">IFERROR(__xludf.DUMMYFUNCTION("""COMPUTED_VALUE"""),"SERVICEABLE")</f>
        <v>SERVICEABLE</v>
      </c>
      <c r="N3752" s="164"/>
    </row>
    <row r="3753" spans="1:14" ht="13.2" hidden="1">
      <c r="A3753" s="164" t="str">
        <f ca="1">IFERROR(__xludf.DUMMYFUNCTION("""COMPUTED_VALUE"""),"Region XI")</f>
        <v>Region XI</v>
      </c>
      <c r="B3753" s="164" t="str">
        <f ca="1">IFERROR(__xludf.DUMMYFUNCTION("""COMPUTED_VALUE"""),"Davao de Oro")</f>
        <v>Davao de Oro</v>
      </c>
      <c r="C3753" s="164" t="str">
        <f ca="1">IFERROR(__xludf.DUMMYFUNCTION("""COMPUTED_VALUE"""),"Laptop – (ACER EXTENSA EX215-55G i7)")</f>
        <v>Laptop – (ACER EXTENSA EX215-55G i7)</v>
      </c>
      <c r="D3753" s="164" t="str">
        <f ca="1">IFERROR(__xludf.DUMMYFUNCTION("""COMPUTED_VALUE"""),"₱ 59,500.00")</f>
        <v>₱ 59,500.00</v>
      </c>
      <c r="E3753" s="164"/>
      <c r="F3753" s="164" t="str">
        <f ca="1">IFERROR(__xludf.DUMMYFUNCTION("""COMPUTED_VALUE"""),"2023-05-03-10201SP288-01")</f>
        <v>2023-05-03-10201SP288-01</v>
      </c>
      <c r="G3753" s="164" t="str">
        <f ca="1">IFERROR(__xludf.DUMMYFUNCTION("""COMPUTED_VALUE"""),"NXEGZSP00330801B0F3400")</f>
        <v>NXEGZSP00330801B0F3400</v>
      </c>
      <c r="H3753" s="164" t="str">
        <f ca="1">IFERROR(__xludf.DUMMYFUNCTION("""COMPUTED_VALUE"""),"JENIE C. CADOTDOT")</f>
        <v>JENIE C. CADOTDOT</v>
      </c>
      <c r="I3753" s="164" t="str">
        <f ca="1">IFERROR(__xludf.DUMMYFUNCTION("""COMPUTED_VALUE"""),"ARPO I")</f>
        <v>ARPO I</v>
      </c>
      <c r="J3753" s="164" t="str">
        <f ca="1">IFERROR(__xludf.DUMMYFUNCTION("""COMPUTED_VALUE"""),"SPLIT-2023-09-0031")</f>
        <v>SPLIT-2023-09-0031</v>
      </c>
      <c r="K3753" s="164" t="str">
        <f ca="1">IFERROR(__xludf.DUMMYFUNCTION("""COMPUTED_VALUE"""),"PINKY CAGAPE")</f>
        <v>PINKY CAGAPE</v>
      </c>
      <c r="L3753" s="164" t="str">
        <f ca="1">IFERROR(__xludf.DUMMYFUNCTION("""COMPUTED_VALUE"""),"DARPO DAVAO DE ORO")</f>
        <v>DARPO DAVAO DE ORO</v>
      </c>
      <c r="M3753" s="164" t="str">
        <f ca="1">IFERROR(__xludf.DUMMYFUNCTION("""COMPUTED_VALUE"""),"SERVICEABLE")</f>
        <v>SERVICEABLE</v>
      </c>
      <c r="N3753" s="164"/>
    </row>
    <row r="3754" spans="1:14" ht="13.2" hidden="1">
      <c r="A3754" s="164" t="str">
        <f ca="1">IFERROR(__xludf.DUMMYFUNCTION("""COMPUTED_VALUE"""),"Region XI")</f>
        <v>Region XI</v>
      </c>
      <c r="B3754" s="164" t="str">
        <f ca="1">IFERROR(__xludf.DUMMYFUNCTION("""COMPUTED_VALUE"""),"Davao de Oro")</f>
        <v>Davao de Oro</v>
      </c>
      <c r="C3754" s="164" t="str">
        <f ca="1">IFERROR(__xludf.DUMMYFUNCTION("""COMPUTED_VALUE"""),"Desktop Computer – (HP Pro SFF 280G9)")</f>
        <v>Desktop Computer – (HP Pro SFF 280G9)</v>
      </c>
      <c r="D3754" s="164" t="str">
        <f ca="1">IFERROR(__xludf.DUMMYFUNCTION("""COMPUTED_VALUE"""),"₱ 78,898.00")</f>
        <v>₱ 78,898.00</v>
      </c>
      <c r="E3754" s="164"/>
      <c r="F3754" s="164" t="str">
        <f ca="1">IFERROR(__xludf.DUMMYFUNCTION("""COMPUTED_VALUE"""),"2023-05-03-10201SP223-01")</f>
        <v>2023-05-03-10201SP223-01</v>
      </c>
      <c r="G3754" s="164"/>
      <c r="H3754" s="164" t="str">
        <f ca="1">IFERROR(__xludf.DUMMYFUNCTION("""COMPUTED_VALUE"""),"ESTELA LUCILA G. FLAMINIA")</f>
        <v>ESTELA LUCILA G. FLAMINIA</v>
      </c>
      <c r="I3754" s="164" t="str">
        <f ca="1">IFERROR(__xludf.DUMMYFUNCTION("""COMPUTED_VALUE"""),"CARPO-LTID")</f>
        <v>CARPO-LTID</v>
      </c>
      <c r="J3754" s="164" t="str">
        <f ca="1">IFERROR(__xludf.DUMMYFUNCTION("""COMPUTED_VALUE"""),"SPLIT-2023-09-0032")</f>
        <v>SPLIT-2023-09-0032</v>
      </c>
      <c r="K3754" s="164" t="str">
        <f ca="1">IFERROR(__xludf.DUMMYFUNCTION("""COMPUTED_VALUE"""),"JONAHFHE AMPONE")</f>
        <v>JONAHFHE AMPONE</v>
      </c>
      <c r="L3754" s="164" t="str">
        <f ca="1">IFERROR(__xludf.DUMMYFUNCTION("""COMPUTED_VALUE"""),"DARPO DAVAO DE ORO")</f>
        <v>DARPO DAVAO DE ORO</v>
      </c>
      <c r="M3754" s="164" t="str">
        <f ca="1">IFERROR(__xludf.DUMMYFUNCTION("""COMPUTED_VALUE"""),"SERVICEABLE")</f>
        <v>SERVICEABLE</v>
      </c>
      <c r="N3754" s="164"/>
    </row>
    <row r="3755" spans="1:14" ht="13.2" hidden="1">
      <c r="A3755" s="164" t="str">
        <f ca="1">IFERROR(__xludf.DUMMYFUNCTION("""COMPUTED_VALUE"""),"Region XI")</f>
        <v>Region XI</v>
      </c>
      <c r="B3755" s="164" t="str">
        <f ca="1">IFERROR(__xludf.DUMMYFUNCTION("""COMPUTED_VALUE"""),"Davao de Oro")</f>
        <v>Davao de Oro</v>
      </c>
      <c r="C3755" s="164" t="str">
        <f ca="1">IFERROR(__xludf.DUMMYFUNCTION("""COMPUTED_VALUE"""),"Desktop Computer – (HP Pro SFF 280G9)")</f>
        <v>Desktop Computer – (HP Pro SFF 280G9)</v>
      </c>
      <c r="D3755" s="164" t="str">
        <f ca="1">IFERROR(__xludf.DUMMYFUNCTION("""COMPUTED_VALUE"""),"₱ 78,898.00")</f>
        <v>₱ 78,898.00</v>
      </c>
      <c r="E3755" s="164"/>
      <c r="F3755" s="164" t="str">
        <f ca="1">IFERROR(__xludf.DUMMYFUNCTION("""COMPUTED_VALUE"""),"2023-05-03-10201SP220-01")</f>
        <v>2023-05-03-10201SP220-01</v>
      </c>
      <c r="G3755" s="164"/>
      <c r="H3755" s="164" t="str">
        <f ca="1">IFERROR(__xludf.DUMMYFUNCTION("""COMPUTED_VALUE"""),"NANCY RAMOS")</f>
        <v>NANCY RAMOS</v>
      </c>
      <c r="I3755" s="164" t="str">
        <f ca="1">IFERROR(__xludf.DUMMYFUNCTION("""COMPUTED_VALUE"""),"CARPO-PBDD")</f>
        <v>CARPO-PBDD</v>
      </c>
      <c r="J3755" s="164" t="str">
        <f ca="1">IFERROR(__xludf.DUMMYFUNCTION("""COMPUTED_VALUE"""),"SPLIT-2023-09-0033")</f>
        <v>SPLIT-2023-09-0033</v>
      </c>
      <c r="K3755" s="164" t="str">
        <f ca="1">IFERROR(__xludf.DUMMYFUNCTION("""COMPUTED_VALUE"""),"EDEN ROSAL")</f>
        <v>EDEN ROSAL</v>
      </c>
      <c r="L3755" s="164" t="str">
        <f ca="1">IFERROR(__xludf.DUMMYFUNCTION("""COMPUTED_VALUE"""),"DARPO DAVAO DE ORO")</f>
        <v>DARPO DAVAO DE ORO</v>
      </c>
      <c r="M3755" s="164" t="str">
        <f ca="1">IFERROR(__xludf.DUMMYFUNCTION("""COMPUTED_VALUE"""),"SERVICEABLE")</f>
        <v>SERVICEABLE</v>
      </c>
      <c r="N3755" s="164"/>
    </row>
    <row r="3756" spans="1:14" ht="13.2" hidden="1">
      <c r="A3756" s="164" t="str">
        <f ca="1">IFERROR(__xludf.DUMMYFUNCTION("""COMPUTED_VALUE"""),"Region XI")</f>
        <v>Region XI</v>
      </c>
      <c r="B3756" s="164" t="str">
        <f ca="1">IFERROR(__xludf.DUMMYFUNCTION("""COMPUTED_VALUE"""),"Davao de Oro")</f>
        <v>Davao de Oro</v>
      </c>
      <c r="C3756" s="164" t="str">
        <f ca="1">IFERROR(__xludf.DUMMYFUNCTION("""COMPUTED_VALUE"""),"Desktop Computer – (HP Pro SFF 280G9)")</f>
        <v>Desktop Computer – (HP Pro SFF 280G9)</v>
      </c>
      <c r="D3756" s="164" t="str">
        <f ca="1">IFERROR(__xludf.DUMMYFUNCTION("""COMPUTED_VALUE"""),"₱ 78,898.00")</f>
        <v>₱ 78,898.00</v>
      </c>
      <c r="E3756" s="164"/>
      <c r="F3756" s="164" t="str">
        <f ca="1">IFERROR(__xludf.DUMMYFUNCTION("""COMPUTED_VALUE"""),"2023-05-03-10201SP221-01")</f>
        <v>2023-05-03-10201SP221-01</v>
      </c>
      <c r="G3756" s="164"/>
      <c r="H3756" s="164" t="str">
        <f ca="1">IFERROR(__xludf.DUMMYFUNCTION("""COMPUTED_VALUE"""),"NANCY RAMOS")</f>
        <v>NANCY RAMOS</v>
      </c>
      <c r="I3756" s="164" t="str">
        <f ca="1">IFERROR(__xludf.DUMMYFUNCTION("""COMPUTED_VALUE"""),"CARPO-PBDD")</f>
        <v>CARPO-PBDD</v>
      </c>
      <c r="J3756" s="164" t="str">
        <f ca="1">IFERROR(__xludf.DUMMYFUNCTION("""COMPUTED_VALUE"""),"SPLIT-2023-09-0034")</f>
        <v>SPLIT-2023-09-0034</v>
      </c>
      <c r="K3756" s="164" t="str">
        <f ca="1">IFERROR(__xludf.DUMMYFUNCTION("""COMPUTED_VALUE"""),"ZALDY CUATON")</f>
        <v>ZALDY CUATON</v>
      </c>
      <c r="L3756" s="164" t="str">
        <f ca="1">IFERROR(__xludf.DUMMYFUNCTION("""COMPUTED_VALUE"""),"DARPO DAVAO DE ORO")</f>
        <v>DARPO DAVAO DE ORO</v>
      </c>
      <c r="M3756" s="164" t="str">
        <f ca="1">IFERROR(__xludf.DUMMYFUNCTION("""COMPUTED_VALUE"""),"SERVICEABLE")</f>
        <v>SERVICEABLE</v>
      </c>
      <c r="N3756" s="164"/>
    </row>
    <row r="3757" spans="1:14" ht="13.2" hidden="1">
      <c r="A3757" s="164" t="str">
        <f ca="1">IFERROR(__xludf.DUMMYFUNCTION("""COMPUTED_VALUE"""),"Region XI")</f>
        <v>Region XI</v>
      </c>
      <c r="B3757" s="164" t="str">
        <f ca="1">IFERROR(__xludf.DUMMYFUNCTION("""COMPUTED_VALUE"""),"Davao de Oro")</f>
        <v>Davao de Oro</v>
      </c>
      <c r="C3757" s="164" t="str">
        <f ca="1">IFERROR(__xludf.DUMMYFUNCTION("""COMPUTED_VALUE"""),"Desktop Computer – (HP Pro SFF 280G9)")</f>
        <v>Desktop Computer – (HP Pro SFF 280G9)</v>
      </c>
      <c r="D3757" s="164" t="str">
        <f ca="1">IFERROR(__xludf.DUMMYFUNCTION("""COMPUTED_VALUE"""),"₱ 78,898.00")</f>
        <v>₱ 78,898.00</v>
      </c>
      <c r="E3757" s="164"/>
      <c r="F3757" s="164" t="str">
        <f ca="1">IFERROR(__xludf.DUMMYFUNCTION("""COMPUTED_VALUE"""),"2023-05-03-10201SP219-01")</f>
        <v>2023-05-03-10201SP219-01</v>
      </c>
      <c r="G3757" s="164"/>
      <c r="H3757" s="164" t="str">
        <f ca="1">IFERROR(__xludf.DUMMYFUNCTION("""COMPUTED_VALUE"""),"CRISTINA H. ROSALES")</f>
        <v>CRISTINA H. ROSALES</v>
      </c>
      <c r="I3757" s="164" t="str">
        <f ca="1">IFERROR(__xludf.DUMMYFUNCTION("""COMPUTED_VALUE"""),"AO IV")</f>
        <v>AO IV</v>
      </c>
      <c r="J3757" s="164" t="str">
        <f ca="1">IFERROR(__xludf.DUMMYFUNCTION("""COMPUTED_VALUE"""),"SPLIT-2023-09-0035")</f>
        <v>SPLIT-2023-09-0035</v>
      </c>
      <c r="K3757" s="164" t="str">
        <f ca="1">IFERROR(__xludf.DUMMYFUNCTION("""COMPUTED_VALUE"""),"JASPER ESCANO")</f>
        <v>JASPER ESCANO</v>
      </c>
      <c r="L3757" s="164" t="str">
        <f ca="1">IFERROR(__xludf.DUMMYFUNCTION("""COMPUTED_VALUE"""),"DARPO DAVAO DE ORO")</f>
        <v>DARPO DAVAO DE ORO</v>
      </c>
      <c r="M3757" s="164" t="str">
        <f ca="1">IFERROR(__xludf.DUMMYFUNCTION("""COMPUTED_VALUE"""),"SERVICEABLE")</f>
        <v>SERVICEABLE</v>
      </c>
      <c r="N3757" s="164"/>
    </row>
    <row r="3758" spans="1:14" ht="13.2" hidden="1">
      <c r="A3758" s="164" t="str">
        <f ca="1">IFERROR(__xludf.DUMMYFUNCTION("""COMPUTED_VALUE"""),"Region XI")</f>
        <v>Region XI</v>
      </c>
      <c r="B3758" s="164" t="str">
        <f ca="1">IFERROR(__xludf.DUMMYFUNCTION("""COMPUTED_VALUE"""),"Davao de Oro")</f>
        <v>Davao de Oro</v>
      </c>
      <c r="C3758" s="164" t="str">
        <f ca="1">IFERROR(__xludf.DUMMYFUNCTION("""COMPUTED_VALUE"""),"Desktop Computer – (HP Pro SFF 280G9)")</f>
        <v>Desktop Computer – (HP Pro SFF 280G9)</v>
      </c>
      <c r="D3758" s="164" t="str">
        <f ca="1">IFERROR(__xludf.DUMMYFUNCTION("""COMPUTED_VALUE"""),"₱ 78,898.00")</f>
        <v>₱ 78,898.00</v>
      </c>
      <c r="E3758" s="164"/>
      <c r="F3758" s="164" t="str">
        <f ca="1">IFERROR(__xludf.DUMMYFUNCTION("""COMPUTED_VALUE"""),"2023-05-03-10201SP218-01")</f>
        <v>2023-05-03-10201SP218-01</v>
      </c>
      <c r="G3758" s="164"/>
      <c r="H3758" s="164" t="str">
        <f ca="1">IFERROR(__xludf.DUMMYFUNCTION("""COMPUTED_VALUE"""),"MARIA SIEZAMIE B. AGOILO")</f>
        <v>MARIA SIEZAMIE B. AGOILO</v>
      </c>
      <c r="I3758" s="164" t="str">
        <f ca="1">IFERROR(__xludf.DUMMYFUNCTION("""COMPUTED_VALUE"""),"AO IV")</f>
        <v>AO IV</v>
      </c>
      <c r="J3758" s="164" t="str">
        <f ca="1">IFERROR(__xludf.DUMMYFUNCTION("""COMPUTED_VALUE"""),"SPLIT-2023-09-0036")</f>
        <v>SPLIT-2023-09-0036</v>
      </c>
      <c r="K3758" s="164" t="str">
        <f ca="1">IFERROR(__xludf.DUMMYFUNCTION("""COMPUTED_VALUE"""),"MARIA SIEZAMIE B. AGOILO")</f>
        <v>MARIA SIEZAMIE B. AGOILO</v>
      </c>
      <c r="L3758" s="164" t="str">
        <f ca="1">IFERROR(__xludf.DUMMYFUNCTION("""COMPUTED_VALUE"""),"DARPO DAVAO DE ORO")</f>
        <v>DARPO DAVAO DE ORO</v>
      </c>
      <c r="M3758" s="164" t="str">
        <f ca="1">IFERROR(__xludf.DUMMYFUNCTION("""COMPUTED_VALUE"""),"SERVICEABLE")</f>
        <v>SERVICEABLE</v>
      </c>
      <c r="N3758" s="164"/>
    </row>
    <row r="3759" spans="1:14" ht="13.2" hidden="1">
      <c r="A3759" s="164" t="str">
        <f ca="1">IFERROR(__xludf.DUMMYFUNCTION("""COMPUTED_VALUE"""),"Region XI")</f>
        <v>Region XI</v>
      </c>
      <c r="B3759" s="164" t="str">
        <f ca="1">IFERROR(__xludf.DUMMYFUNCTION("""COMPUTED_VALUE"""),"Davao de Oro")</f>
        <v>Davao de Oro</v>
      </c>
      <c r="C3759" s="164" t="str">
        <f ca="1">IFERROR(__xludf.DUMMYFUNCTION("""COMPUTED_VALUE"""),"Photocopier Machine – Kyocera")</f>
        <v>Photocopier Machine – Kyocera</v>
      </c>
      <c r="D3759" s="164" t="str">
        <f ca="1">IFERROR(__xludf.DUMMYFUNCTION("""COMPUTED_VALUE"""),"₱ 84,500.00")</f>
        <v>₱ 84,500.00</v>
      </c>
      <c r="E3759" s="164"/>
      <c r="F3759" s="164" t="str">
        <f ca="1">IFERROR(__xludf.DUMMYFUNCTION("""COMPUTED_VALUE"""),"2023-05-03-10201SP75-01")</f>
        <v>2023-05-03-10201SP75-01</v>
      </c>
      <c r="G3759" s="164"/>
      <c r="H3759" s="164" t="str">
        <f ca="1">IFERROR(__xludf.DUMMYFUNCTION("""COMPUTED_VALUE"""),"MERLINA T. BABATID")</f>
        <v>MERLINA T. BABATID</v>
      </c>
      <c r="I3759" s="164" t="str">
        <f ca="1">IFERROR(__xludf.DUMMYFUNCTION("""COMPUTED_VALUE"""),"CAO")</f>
        <v>CAO</v>
      </c>
      <c r="J3759" s="164" t="str">
        <f ca="1">IFERROR(__xludf.DUMMYFUNCTION("""COMPUTED_VALUE"""),"SPLIT-2022-11-001")</f>
        <v>SPLIT-2022-11-001</v>
      </c>
      <c r="K3759" s="164" t="str">
        <f ca="1">IFERROR(__xludf.DUMMYFUNCTION("""COMPUTED_VALUE"""),"MERLINA T. BABATID")</f>
        <v>MERLINA T. BABATID</v>
      </c>
      <c r="L3759" s="164" t="str">
        <f ca="1">IFERROR(__xludf.DUMMYFUNCTION("""COMPUTED_VALUE"""),"DARPO DAVAO DE ORO")</f>
        <v>DARPO DAVAO DE ORO</v>
      </c>
      <c r="M3759" s="164" t="str">
        <f ca="1">IFERROR(__xludf.DUMMYFUNCTION("""COMPUTED_VALUE"""),"SERVICEABLE")</f>
        <v>SERVICEABLE</v>
      </c>
      <c r="N3759" s="164"/>
    </row>
    <row r="3760" spans="1:14" ht="13.2" hidden="1">
      <c r="A3760" s="164" t="str">
        <f ca="1">IFERROR(__xludf.DUMMYFUNCTION("""COMPUTED_VALUE"""),"Region XI")</f>
        <v>Region XI</v>
      </c>
      <c r="B3760" s="164" t="str">
        <f ca="1">IFERROR(__xludf.DUMMYFUNCTION("""COMPUTED_VALUE"""),"Davao de Oro")</f>
        <v>Davao de Oro</v>
      </c>
      <c r="C3760" s="164" t="str">
        <f ca="1">IFERROR(__xludf.DUMMYFUNCTION("""COMPUTED_VALUE"""),"A3 PRINTER (BROTHER)")</f>
        <v>A3 PRINTER (BROTHER)</v>
      </c>
      <c r="D3760" s="164" t="str">
        <f ca="1">IFERROR(__xludf.DUMMYFUNCTION("""COMPUTED_VALUE"""),"₱ 33,508.00")</f>
        <v>₱ 33,508.00</v>
      </c>
      <c r="E3760" s="164"/>
      <c r="F3760" s="164" t="str">
        <f ca="1">IFERROR(__xludf.DUMMYFUNCTION("""COMPUTED_VALUE"""),"HV-SPLIT-102-24-05-64")</f>
        <v>HV-SPLIT-102-24-05-64</v>
      </c>
      <c r="G3760" s="164"/>
      <c r="H3760" s="164" t="str">
        <f ca="1">IFERROR(__xludf.DUMMYFUNCTION("""COMPUTED_VALUE"""),"CHARLOTTE H SISON")</f>
        <v>CHARLOTTE H SISON</v>
      </c>
      <c r="I3760" s="164" t="str">
        <f ca="1">IFERROR(__xludf.DUMMYFUNCTION("""COMPUTED_VALUE"""),"ARPO")</f>
        <v>ARPO</v>
      </c>
      <c r="J3760" s="164" t="str">
        <f ca="1">IFERROR(__xludf.DUMMYFUNCTION("""COMPUTED_VALUE"""),"2024-05-013")</f>
        <v>2024-05-013</v>
      </c>
      <c r="K3760" s="164"/>
      <c r="L3760" s="164" t="str">
        <f ca="1">IFERROR(__xludf.DUMMYFUNCTION("""COMPUTED_VALUE"""),"DARPO DAVAO DE ORO")</f>
        <v>DARPO DAVAO DE ORO</v>
      </c>
      <c r="M3760" s="164" t="str">
        <f ca="1">IFERROR(__xludf.DUMMYFUNCTION("""COMPUTED_VALUE"""),"SERVICEABLE")</f>
        <v>SERVICEABLE</v>
      </c>
      <c r="N3760" s="164"/>
    </row>
    <row r="3761" spans="1:14" ht="13.2" hidden="1">
      <c r="A3761" s="164" t="str">
        <f ca="1">IFERROR(__xludf.DUMMYFUNCTION("""COMPUTED_VALUE"""),"Region XI")</f>
        <v>Region XI</v>
      </c>
      <c r="B3761" s="164" t="str">
        <f ca="1">IFERROR(__xludf.DUMMYFUNCTION("""COMPUTED_VALUE"""),"Davao Occidental")</f>
        <v>Davao Occidental</v>
      </c>
      <c r="C3761" s="164" t="str">
        <f ca="1">IFERROR(__xludf.DUMMYFUNCTION("""COMPUTED_VALUE"""),"Desktop Computer – (Lenovo M70T)")</f>
        <v>Desktop Computer – (Lenovo M70T)</v>
      </c>
      <c r="D3761" s="164" t="str">
        <f ca="1">IFERROR(__xludf.DUMMYFUNCTION("""COMPUTED_VALUE"""),"₱ 75,468.00")</f>
        <v>₱ 75,468.00</v>
      </c>
      <c r="E3761" s="164"/>
      <c r="F3761" s="164" t="str">
        <f ca="1">IFERROR(__xludf.DUMMYFUNCTION("""COMPUTED_VALUE"""),"2023-05-03-10201SP1604-01")</f>
        <v>2023-05-03-10201SP1604-01</v>
      </c>
      <c r="G3761" s="164" t="str">
        <f ca="1">IFERROR(__xludf.DUMMYFUNCTION("""COMPUTED_VALUE"""),"1S11T5S16200GM03S3PT")</f>
        <v>1S11T5S16200GM03S3PT</v>
      </c>
      <c r="H3761" s="164" t="str">
        <f ca="1">IFERROR(__xludf.DUMMYFUNCTION("""COMPUTED_VALUE"""),"J. JOJJETTE L. COSSID")</f>
        <v>J. JOJJETTE L. COSSID</v>
      </c>
      <c r="I3761" s="164" t="str">
        <f ca="1">IFERROR(__xludf.DUMMYFUNCTION("""COMPUTED_VALUE"""),"MARPO")</f>
        <v>MARPO</v>
      </c>
      <c r="J3761" s="164" t="str">
        <f ca="1">IFERROR(__xludf.DUMMYFUNCTION("""COMPUTED_VALUE"""),"2023-05-0001")</f>
        <v>2023-05-0001</v>
      </c>
      <c r="K3761" s="164" t="str">
        <f ca="1">IFERROR(__xludf.DUMMYFUNCTION("""COMPUTED_VALUE"""),"DARMO DON MARCELINO &amp; JAS")</f>
        <v>DARMO DON MARCELINO &amp; JAS</v>
      </c>
      <c r="L3761" s="164" t="str">
        <f ca="1">IFERROR(__xludf.DUMMYFUNCTION("""COMPUTED_VALUE"""),"DARMO DON MARCELINO &amp; JAS")</f>
        <v>DARMO DON MARCELINO &amp; JAS</v>
      </c>
      <c r="M3761" s="164" t="str">
        <f ca="1">IFERROR(__xludf.DUMMYFUNCTION("""COMPUTED_VALUE"""),"SERVICEABLE")</f>
        <v>SERVICEABLE</v>
      </c>
      <c r="N3761" s="164"/>
    </row>
    <row r="3762" spans="1:14" ht="13.2" hidden="1">
      <c r="A3762" s="164" t="str">
        <f ca="1">IFERROR(__xludf.DUMMYFUNCTION("""COMPUTED_VALUE"""),"Region XI")</f>
        <v>Region XI</v>
      </c>
      <c r="B3762" s="164" t="str">
        <f ca="1">IFERROR(__xludf.DUMMYFUNCTION("""COMPUTED_VALUE"""),"Davao Occidental")</f>
        <v>Davao Occidental</v>
      </c>
      <c r="C3762" s="164" t="str">
        <f ca="1">IFERROR(__xludf.DUMMYFUNCTION("""COMPUTED_VALUE"""),"Desktop Computer – (Lenovo M70T)")</f>
        <v>Desktop Computer – (Lenovo M70T)</v>
      </c>
      <c r="D3762" s="164" t="str">
        <f ca="1">IFERROR(__xludf.DUMMYFUNCTION("""COMPUTED_VALUE"""),"₱ 75,468.00")</f>
        <v>₱ 75,468.00</v>
      </c>
      <c r="E3762" s="164"/>
      <c r="F3762" s="164" t="str">
        <f ca="1">IFERROR(__xludf.DUMMYFUNCTION("""COMPUTED_VALUE"""),"2023-05-03-10201SP1605-01")</f>
        <v>2023-05-03-10201SP1605-01</v>
      </c>
      <c r="G3762" s="164" t="str">
        <f ca="1">IFERROR(__xludf.DUMMYFUNCTION("""COMPUTED_VALUE"""),"1S11T5S16200GM0418FC")</f>
        <v>1S11T5S16200GM0418FC</v>
      </c>
      <c r="H3762" s="164" t="str">
        <f ca="1">IFERROR(__xludf.DUMMYFUNCTION("""COMPUTED_VALUE"""),"NOEL T. OCARIZA")</f>
        <v>NOEL T. OCARIZA</v>
      </c>
      <c r="I3762" s="164" t="str">
        <f ca="1">IFERROR(__xludf.DUMMYFUNCTION("""COMPUTED_VALUE"""),"MARPO")</f>
        <v>MARPO</v>
      </c>
      <c r="J3762" s="164" t="str">
        <f ca="1">IFERROR(__xludf.DUMMYFUNCTION("""COMPUTED_VALUE"""),"2023-05-0002")</f>
        <v>2023-05-0002</v>
      </c>
      <c r="K3762" s="164" t="str">
        <f ca="1">IFERROR(__xludf.DUMMYFUNCTION("""COMPUTED_VALUE"""),"DARMO MALITA")</f>
        <v>DARMO MALITA</v>
      </c>
      <c r="L3762" s="164" t="str">
        <f ca="1">IFERROR(__xludf.DUMMYFUNCTION("""COMPUTED_VALUE"""),"DARMO MALITA")</f>
        <v>DARMO MALITA</v>
      </c>
      <c r="M3762" s="164" t="str">
        <f ca="1">IFERROR(__xludf.DUMMYFUNCTION("""COMPUTED_VALUE"""),"SERVICEABLE")</f>
        <v>SERVICEABLE</v>
      </c>
      <c r="N3762" s="164"/>
    </row>
    <row r="3763" spans="1:14" ht="13.2" hidden="1">
      <c r="A3763" s="164" t="str">
        <f ca="1">IFERROR(__xludf.DUMMYFUNCTION("""COMPUTED_VALUE"""),"Region XI")</f>
        <v>Region XI</v>
      </c>
      <c r="B3763" s="164" t="str">
        <f ca="1">IFERROR(__xludf.DUMMYFUNCTION("""COMPUTED_VALUE"""),"Davao Occidental")</f>
        <v>Davao Occidental</v>
      </c>
      <c r="C3763" s="164" t="str">
        <f ca="1">IFERROR(__xludf.DUMMYFUNCTION("""COMPUTED_VALUE"""),"Desktop Computer – (Lenovo M70T)")</f>
        <v>Desktop Computer – (Lenovo M70T)</v>
      </c>
      <c r="D3763" s="164" t="str">
        <f ca="1">IFERROR(__xludf.DUMMYFUNCTION("""COMPUTED_VALUE"""),"₱ 75,468.00")</f>
        <v>₱ 75,468.00</v>
      </c>
      <c r="E3763" s="164"/>
      <c r="F3763" s="164" t="str">
        <f ca="1">IFERROR(__xludf.DUMMYFUNCTION("""COMPUTED_VALUE"""),"2023-05-03-10201SP1606-01")</f>
        <v>2023-05-03-10201SP1606-01</v>
      </c>
      <c r="G3763" s="164" t="str">
        <f ca="1">IFERROR(__xludf.DUMMYFUNCTION("""COMPUTED_VALUE"""),"1S11T5S16200GM0418LE")</f>
        <v>1S11T5S16200GM0418LE</v>
      </c>
      <c r="H3763" s="164" t="str">
        <f ca="1">IFERROR(__xludf.DUMMYFUNCTION("""COMPUTED_VALUE"""),"CARMELA M. FLORES")</f>
        <v>CARMELA M. FLORES</v>
      </c>
      <c r="I3763" s="164" t="str">
        <f ca="1">IFERROR(__xludf.DUMMYFUNCTION("""COMPUTED_VALUE"""),"MARPO")</f>
        <v>MARPO</v>
      </c>
      <c r="J3763" s="164" t="str">
        <f ca="1">IFERROR(__xludf.DUMMYFUNCTION("""COMPUTED_VALUE"""),"2023-05-0003")</f>
        <v>2023-05-0003</v>
      </c>
      <c r="K3763" s="164" t="str">
        <f ca="1">IFERROR(__xludf.DUMMYFUNCTION("""COMPUTED_VALUE"""),"DARMO STA. MARIA &amp; SARANGANI")</f>
        <v>DARMO STA. MARIA &amp; SARANGANI</v>
      </c>
      <c r="L3763" s="164" t="str">
        <f ca="1">IFERROR(__xludf.DUMMYFUNCTION("""COMPUTED_VALUE"""),"DARMO STA. MARIA &amp; SARANGANI")</f>
        <v>DARMO STA. MARIA &amp; SARANGANI</v>
      </c>
      <c r="M3763" s="164" t="str">
        <f ca="1">IFERROR(__xludf.DUMMYFUNCTION("""COMPUTED_VALUE"""),"SERVICEABLE")</f>
        <v>SERVICEABLE</v>
      </c>
      <c r="N3763" s="164"/>
    </row>
    <row r="3764" spans="1:14" ht="13.2" hidden="1">
      <c r="A3764" s="164" t="str">
        <f ca="1">IFERROR(__xludf.DUMMYFUNCTION("""COMPUTED_VALUE"""),"Region XI")</f>
        <v>Region XI</v>
      </c>
      <c r="B3764" s="164" t="str">
        <f ca="1">IFERROR(__xludf.DUMMYFUNCTION("""COMPUTED_VALUE"""),"Davao Occidental")</f>
        <v>Davao Occidental</v>
      </c>
      <c r="C3764" s="164" t="str">
        <f ca="1">IFERROR(__xludf.DUMMYFUNCTION("""COMPUTED_VALUE"""),"Desktop Computer – (Lenovo M70T)")</f>
        <v>Desktop Computer – (Lenovo M70T)</v>
      </c>
      <c r="D3764" s="164" t="str">
        <f ca="1">IFERROR(__xludf.DUMMYFUNCTION("""COMPUTED_VALUE"""),"₱ 75,468.00")</f>
        <v>₱ 75,468.00</v>
      </c>
      <c r="E3764" s="164"/>
      <c r="F3764" s="164" t="str">
        <f ca="1">IFERROR(__xludf.DUMMYFUNCTION("""COMPUTED_VALUE"""),"2023-05-03-10201SP1607-01")</f>
        <v>2023-05-03-10201SP1607-01</v>
      </c>
      <c r="G3764" s="164" t="str">
        <f ca="1">IFERROR(__xludf.DUMMYFUNCTION("""COMPUTED_VALUE"""),"1S11T5S16200GM0418F8")</f>
        <v>1S11T5S16200GM0418F8</v>
      </c>
      <c r="H3764" s="164" t="str">
        <f ca="1">IFERROR(__xludf.DUMMYFUNCTION("""COMPUTED_VALUE"""),"ESTHER I. GEYROZAGA")</f>
        <v>ESTHER I. GEYROZAGA</v>
      </c>
      <c r="I3764" s="164" t="str">
        <f ca="1">IFERROR(__xludf.DUMMYFUNCTION("""COMPUTED_VALUE"""),"SARPO / LTID")</f>
        <v>SARPO / LTID</v>
      </c>
      <c r="J3764" s="164" t="str">
        <f ca="1">IFERROR(__xludf.DUMMYFUNCTION("""COMPUTED_VALUE"""),"2023-05-0004")</f>
        <v>2023-05-0004</v>
      </c>
      <c r="K3764" s="164" t="str">
        <f ca="1">IFERROR(__xludf.DUMMYFUNCTION("""COMPUTED_VALUE"""),"SPLIT")</f>
        <v>SPLIT</v>
      </c>
      <c r="L3764" s="164" t="str">
        <f ca="1">IFERROR(__xludf.DUMMYFUNCTION("""COMPUTED_VALUE"""),"DARPO - SPLIT")</f>
        <v>DARPO - SPLIT</v>
      </c>
      <c r="M3764" s="164" t="str">
        <f ca="1">IFERROR(__xludf.DUMMYFUNCTION("""COMPUTED_VALUE"""),"SERVICEABLE")</f>
        <v>SERVICEABLE</v>
      </c>
      <c r="N3764" s="164"/>
    </row>
    <row r="3765" spans="1:14" ht="13.2" hidden="1">
      <c r="A3765" s="164" t="str">
        <f ca="1">IFERROR(__xludf.DUMMYFUNCTION("""COMPUTED_VALUE"""),"Region XI")</f>
        <v>Region XI</v>
      </c>
      <c r="B3765" s="164" t="str">
        <f ca="1">IFERROR(__xludf.DUMMYFUNCTION("""COMPUTED_VALUE"""),"Davao Occidental")</f>
        <v>Davao Occidental</v>
      </c>
      <c r="C3765" s="164" t="str">
        <f ca="1">IFERROR(__xludf.DUMMYFUNCTION("""COMPUTED_VALUE"""),"Desktop Computer – (Lenovo M70T)")</f>
        <v>Desktop Computer – (Lenovo M70T)</v>
      </c>
      <c r="D3765" s="164" t="str">
        <f ca="1">IFERROR(__xludf.DUMMYFUNCTION("""COMPUTED_VALUE"""),"₱ 75,468.00")</f>
        <v>₱ 75,468.00</v>
      </c>
      <c r="E3765" s="164"/>
      <c r="F3765" s="164" t="str">
        <f ca="1">IFERROR(__xludf.DUMMYFUNCTION("""COMPUTED_VALUE"""),"2023-05-03-10201SP1608-01")</f>
        <v>2023-05-03-10201SP1608-01</v>
      </c>
      <c r="G3765" s="164" t="str">
        <f ca="1">IFERROR(__xludf.DUMMYFUNCTION("""COMPUTED_VALUE"""),"1S11T5S16200GM041B3N")</f>
        <v>1S11T5S16200GM041B3N</v>
      </c>
      <c r="H3765" s="164" t="str">
        <f ca="1">IFERROR(__xludf.DUMMYFUNCTION("""COMPUTED_VALUE"""),"ESTHER I. GEYROZAGA")</f>
        <v>ESTHER I. GEYROZAGA</v>
      </c>
      <c r="I3765" s="164" t="str">
        <f ca="1">IFERROR(__xludf.DUMMYFUNCTION("""COMPUTED_VALUE"""),"SARPO / LTID")</f>
        <v>SARPO / LTID</v>
      </c>
      <c r="J3765" s="164" t="str">
        <f ca="1">IFERROR(__xludf.DUMMYFUNCTION("""COMPUTED_VALUE"""),"2023-05-0005")</f>
        <v>2023-05-0005</v>
      </c>
      <c r="K3765" s="164" t="str">
        <f ca="1">IFERROR(__xludf.DUMMYFUNCTION("""COMPUTED_VALUE"""),"SPLIT")</f>
        <v>SPLIT</v>
      </c>
      <c r="L3765" s="164" t="str">
        <f ca="1">IFERROR(__xludf.DUMMYFUNCTION("""COMPUTED_VALUE"""),"DARPO - SPLIT")</f>
        <v>DARPO - SPLIT</v>
      </c>
      <c r="M3765" s="164" t="str">
        <f ca="1">IFERROR(__xludf.DUMMYFUNCTION("""COMPUTED_VALUE"""),"SERVICEABLE")</f>
        <v>SERVICEABLE</v>
      </c>
      <c r="N3765" s="164"/>
    </row>
    <row r="3766" spans="1:14" ht="13.2" hidden="1">
      <c r="A3766" s="164" t="str">
        <f ca="1">IFERROR(__xludf.DUMMYFUNCTION("""COMPUTED_VALUE"""),"Region XI")</f>
        <v>Region XI</v>
      </c>
      <c r="B3766" s="164" t="str">
        <f ca="1">IFERROR(__xludf.DUMMYFUNCTION("""COMPUTED_VALUE"""),"Davao Occidental")</f>
        <v>Davao Occidental</v>
      </c>
      <c r="C3766" s="164" t="str">
        <f ca="1">IFERROR(__xludf.DUMMYFUNCTION("""COMPUTED_VALUE"""),"Desktop Computer – (Lenovo M70T)")</f>
        <v>Desktop Computer – (Lenovo M70T)</v>
      </c>
      <c r="D3766" s="164" t="str">
        <f ca="1">IFERROR(__xludf.DUMMYFUNCTION("""COMPUTED_VALUE"""),"₱ 75,468.00")</f>
        <v>₱ 75,468.00</v>
      </c>
      <c r="E3766" s="164"/>
      <c r="F3766" s="164" t="str">
        <f ca="1">IFERROR(__xludf.DUMMYFUNCTION("""COMPUTED_VALUE"""),"2023-05-03-10201SP1609-01")</f>
        <v>2023-05-03-10201SP1609-01</v>
      </c>
      <c r="G3766" s="164" t="str">
        <f ca="1">IFERROR(__xludf.DUMMYFUNCTION("""COMPUTED_VALUE"""),"1S11T5S16200GM03S3Q0")</f>
        <v>1S11T5S16200GM03S3Q0</v>
      </c>
      <c r="H3766" s="164" t="str">
        <f ca="1">IFERROR(__xludf.DUMMYFUNCTION("""COMPUTED_VALUE"""),"ESTHER I. GEYROZAGA")</f>
        <v>ESTHER I. GEYROZAGA</v>
      </c>
      <c r="I3766" s="164" t="str">
        <f ca="1">IFERROR(__xludf.DUMMYFUNCTION("""COMPUTED_VALUE"""),"SARPO / LTID")</f>
        <v>SARPO / LTID</v>
      </c>
      <c r="J3766" s="164" t="str">
        <f ca="1">IFERROR(__xludf.DUMMYFUNCTION("""COMPUTED_VALUE"""),"2023-05-0006")</f>
        <v>2023-05-0006</v>
      </c>
      <c r="K3766" s="164" t="str">
        <f ca="1">IFERROR(__xludf.DUMMYFUNCTION("""COMPUTED_VALUE"""),"SPLIT")</f>
        <v>SPLIT</v>
      </c>
      <c r="L3766" s="164" t="str">
        <f ca="1">IFERROR(__xludf.DUMMYFUNCTION("""COMPUTED_VALUE"""),"DARPO - SPLIT")</f>
        <v>DARPO - SPLIT</v>
      </c>
      <c r="M3766" s="164" t="str">
        <f ca="1">IFERROR(__xludf.DUMMYFUNCTION("""COMPUTED_VALUE"""),"SERVICEABLE")</f>
        <v>SERVICEABLE</v>
      </c>
      <c r="N3766" s="164"/>
    </row>
    <row r="3767" spans="1:14" ht="13.2" hidden="1">
      <c r="A3767" s="164" t="str">
        <f ca="1">IFERROR(__xludf.DUMMYFUNCTION("""COMPUTED_VALUE"""),"Region XI")</f>
        <v>Region XI</v>
      </c>
      <c r="B3767" s="164" t="str">
        <f ca="1">IFERROR(__xludf.DUMMYFUNCTION("""COMPUTED_VALUE"""),"Davao Occidental")</f>
        <v>Davao Occidental</v>
      </c>
      <c r="C3767" s="164" t="str">
        <f ca="1">IFERROR(__xludf.DUMMYFUNCTION("""COMPUTED_VALUE"""),"Desktop Computer – (Lenovo M70T)")</f>
        <v>Desktop Computer – (Lenovo M70T)</v>
      </c>
      <c r="D3767" s="164" t="str">
        <f ca="1">IFERROR(__xludf.DUMMYFUNCTION("""COMPUTED_VALUE"""),"₱ 75,468.00")</f>
        <v>₱ 75,468.00</v>
      </c>
      <c r="E3767" s="164"/>
      <c r="F3767" s="164" t="str">
        <f ca="1">IFERROR(__xludf.DUMMYFUNCTION("""COMPUTED_VALUE"""),"2023-05-03-10201SP1610-01")</f>
        <v>2023-05-03-10201SP1610-01</v>
      </c>
      <c r="G3767" s="164" t="str">
        <f ca="1">IFERROR(__xludf.DUMMYFUNCTION("""COMPUTED_VALUE"""),"1S11T5S16200GM0418GB")</f>
        <v>1S11T5S16200GM0418GB</v>
      </c>
      <c r="H3767" s="164" t="str">
        <f ca="1">IFERROR(__xludf.DUMMYFUNCTION("""COMPUTED_VALUE"""),"ESTHER I. GEYROZAGA")</f>
        <v>ESTHER I. GEYROZAGA</v>
      </c>
      <c r="I3767" s="164" t="str">
        <f ca="1">IFERROR(__xludf.DUMMYFUNCTION("""COMPUTED_VALUE"""),"SARPO / LTID")</f>
        <v>SARPO / LTID</v>
      </c>
      <c r="J3767" s="164" t="str">
        <f ca="1">IFERROR(__xludf.DUMMYFUNCTION("""COMPUTED_VALUE"""),"2023-05-0007")</f>
        <v>2023-05-0007</v>
      </c>
      <c r="K3767" s="164" t="str">
        <f ca="1">IFERROR(__xludf.DUMMYFUNCTION("""COMPUTED_VALUE"""),"SPLIT")</f>
        <v>SPLIT</v>
      </c>
      <c r="L3767" s="164" t="str">
        <f ca="1">IFERROR(__xludf.DUMMYFUNCTION("""COMPUTED_VALUE"""),"DARPO - SPLIT")</f>
        <v>DARPO - SPLIT</v>
      </c>
      <c r="M3767" s="164" t="str">
        <f ca="1">IFERROR(__xludf.DUMMYFUNCTION("""COMPUTED_VALUE"""),"SERVICEABLE")</f>
        <v>SERVICEABLE</v>
      </c>
      <c r="N3767" s="164"/>
    </row>
    <row r="3768" spans="1:14" ht="13.2" hidden="1">
      <c r="A3768" s="164" t="str">
        <f ca="1">IFERROR(__xludf.DUMMYFUNCTION("""COMPUTED_VALUE"""),"Region XI")</f>
        <v>Region XI</v>
      </c>
      <c r="B3768" s="164" t="str">
        <f ca="1">IFERROR(__xludf.DUMMYFUNCTION("""COMPUTED_VALUE"""),"Davao Occidental")</f>
        <v>Davao Occidental</v>
      </c>
      <c r="C3768" s="164" t="str">
        <f ca="1">IFERROR(__xludf.DUMMYFUNCTION("""COMPUTED_VALUE"""),"Desktop Computer – (Lenovo M70T)")</f>
        <v>Desktop Computer – (Lenovo M70T)</v>
      </c>
      <c r="D3768" s="164" t="str">
        <f ca="1">IFERROR(__xludf.DUMMYFUNCTION("""COMPUTED_VALUE"""),"₱ 75,468.00")</f>
        <v>₱ 75,468.00</v>
      </c>
      <c r="E3768" s="164"/>
      <c r="F3768" s="164" t="str">
        <f ca="1">IFERROR(__xludf.DUMMYFUNCTION("""COMPUTED_VALUE"""),"2023-05-03-10201SP1611-01")</f>
        <v>2023-05-03-10201SP1611-01</v>
      </c>
      <c r="G3768" s="164" t="str">
        <f ca="1">IFERROR(__xludf.DUMMYFUNCTION("""COMPUTED_VALUE"""),"1S11T5S16200GM04160J")</f>
        <v>1S11T5S16200GM04160J</v>
      </c>
      <c r="H3768" s="164" t="str">
        <f ca="1">IFERROR(__xludf.DUMMYFUNCTION("""COMPUTED_VALUE"""),"JESUSITA D. DIZON")</f>
        <v>JESUSITA D. DIZON</v>
      </c>
      <c r="I3768" s="164" t="str">
        <f ca="1">IFERROR(__xludf.DUMMYFUNCTION("""COMPUTED_VALUE"""),"PCAO")</f>
        <v>PCAO</v>
      </c>
      <c r="J3768" s="164" t="str">
        <f ca="1">IFERROR(__xludf.DUMMYFUNCTION("""COMPUTED_VALUE"""),"2023-05-0008")</f>
        <v>2023-05-0008</v>
      </c>
      <c r="K3768" s="164" t="str">
        <f ca="1">IFERROR(__xludf.DUMMYFUNCTION("""COMPUTED_VALUE"""),"DARPO - AFD")</f>
        <v>DARPO - AFD</v>
      </c>
      <c r="L3768" s="164" t="str">
        <f ca="1">IFERROR(__xludf.DUMMYFUNCTION("""COMPUTED_VALUE"""),"DARPO -AFD")</f>
        <v>DARPO -AFD</v>
      </c>
      <c r="M3768" s="164" t="str">
        <f ca="1">IFERROR(__xludf.DUMMYFUNCTION("""COMPUTED_VALUE"""),"SERVICEABLE")</f>
        <v>SERVICEABLE</v>
      </c>
      <c r="N3768" s="164"/>
    </row>
    <row r="3769" spans="1:14" ht="13.2" hidden="1">
      <c r="A3769" s="164" t="str">
        <f ca="1">IFERROR(__xludf.DUMMYFUNCTION("""COMPUTED_VALUE"""),"Region XI")</f>
        <v>Region XI</v>
      </c>
      <c r="B3769" s="164" t="str">
        <f ca="1">IFERROR(__xludf.DUMMYFUNCTION("""COMPUTED_VALUE"""),"Davao Occidental")</f>
        <v>Davao Occidental</v>
      </c>
      <c r="C3769" s="164" t="str">
        <f ca="1">IFERROR(__xludf.DUMMYFUNCTION("""COMPUTED_VALUE"""),"Desktop Computer – (Lenovo M70T)")</f>
        <v>Desktop Computer – (Lenovo M70T)</v>
      </c>
      <c r="D3769" s="164" t="str">
        <f ca="1">IFERROR(__xludf.DUMMYFUNCTION("""COMPUTED_VALUE"""),"₱ 75,468.00")</f>
        <v>₱ 75,468.00</v>
      </c>
      <c r="E3769" s="164"/>
      <c r="F3769" s="164" t="str">
        <f ca="1">IFERROR(__xludf.DUMMYFUNCTION("""COMPUTED_VALUE"""),"2023-05-03-10201SP1612-01")</f>
        <v>2023-05-03-10201SP1612-01</v>
      </c>
      <c r="G3769" s="164" t="str">
        <f ca="1">IFERROR(__xludf.DUMMYFUNCTION("""COMPUTED_VALUE"""),"1S11T5S16200GM0418KD")</f>
        <v>1S11T5S16200GM0418KD</v>
      </c>
      <c r="H3769" s="164" t="str">
        <f ca="1">IFERROR(__xludf.DUMMYFUNCTION("""COMPUTED_VALUE"""),"JESUSITA D. DIZON")</f>
        <v>JESUSITA D. DIZON</v>
      </c>
      <c r="I3769" s="164" t="str">
        <f ca="1">IFERROR(__xludf.DUMMYFUNCTION("""COMPUTED_VALUE"""),"PCAO")</f>
        <v>PCAO</v>
      </c>
      <c r="J3769" s="164" t="str">
        <f ca="1">IFERROR(__xludf.DUMMYFUNCTION("""COMPUTED_VALUE"""),"2023-05-0009")</f>
        <v>2023-05-0009</v>
      </c>
      <c r="K3769" s="164" t="str">
        <f ca="1">IFERROR(__xludf.DUMMYFUNCTION("""COMPUTED_VALUE"""),"DARPO - AFD")</f>
        <v>DARPO - AFD</v>
      </c>
      <c r="L3769" s="164" t="str">
        <f ca="1">IFERROR(__xludf.DUMMYFUNCTION("""COMPUTED_VALUE"""),"DARPO -AFD")</f>
        <v>DARPO -AFD</v>
      </c>
      <c r="M3769" s="164" t="str">
        <f ca="1">IFERROR(__xludf.DUMMYFUNCTION("""COMPUTED_VALUE"""),"SERVICEABLE")</f>
        <v>SERVICEABLE</v>
      </c>
      <c r="N3769" s="164"/>
    </row>
    <row r="3770" spans="1:14" ht="13.2" hidden="1">
      <c r="A3770" s="164" t="str">
        <f ca="1">IFERROR(__xludf.DUMMYFUNCTION("""COMPUTED_VALUE"""),"Region XI")</f>
        <v>Region XI</v>
      </c>
      <c r="B3770" s="164" t="str">
        <f ca="1">IFERROR(__xludf.DUMMYFUNCTION("""COMPUTED_VALUE"""),"Davao Occidental")</f>
        <v>Davao Occidental</v>
      </c>
      <c r="C3770" s="164" t="str">
        <f ca="1">IFERROR(__xludf.DUMMYFUNCTION("""COMPUTED_VALUE"""),"Desktop Computer – (Lenovo M70T)")</f>
        <v>Desktop Computer – (Lenovo M70T)</v>
      </c>
      <c r="D3770" s="164" t="str">
        <f ca="1">IFERROR(__xludf.DUMMYFUNCTION("""COMPUTED_VALUE"""),"₱ 75,468.00")</f>
        <v>₱ 75,468.00</v>
      </c>
      <c r="E3770" s="164"/>
      <c r="F3770" s="164" t="str">
        <f ca="1">IFERROR(__xludf.DUMMYFUNCTION("""COMPUTED_VALUE"""),"2023-05-03-10201SP1613-01")</f>
        <v>2023-05-03-10201SP1613-01</v>
      </c>
      <c r="G3770" s="164" t="str">
        <f ca="1">IFERROR(__xludf.DUMMYFUNCTION("""COMPUTED_VALUE"""),"1S11T5S16200GM0418EM")</f>
        <v>1S11T5S16200GM0418EM</v>
      </c>
      <c r="H3770" s="164" t="str">
        <f ca="1">IFERROR(__xludf.DUMMYFUNCTION("""COMPUTED_VALUE"""),"JESUSITA D. DIZON")</f>
        <v>JESUSITA D. DIZON</v>
      </c>
      <c r="I3770" s="164" t="str">
        <f ca="1">IFERROR(__xludf.DUMMYFUNCTION("""COMPUTED_VALUE"""),"PCAO")</f>
        <v>PCAO</v>
      </c>
      <c r="J3770" s="164" t="str">
        <f ca="1">IFERROR(__xludf.DUMMYFUNCTION("""COMPUTED_VALUE"""),"2023-05-00010")</f>
        <v>2023-05-00010</v>
      </c>
      <c r="K3770" s="164" t="str">
        <f ca="1">IFERROR(__xludf.DUMMYFUNCTION("""COMPUTED_VALUE"""),"DARPO - AFD")</f>
        <v>DARPO - AFD</v>
      </c>
      <c r="L3770" s="164" t="str">
        <f ca="1">IFERROR(__xludf.DUMMYFUNCTION("""COMPUTED_VALUE"""),"DARPO -AFD")</f>
        <v>DARPO -AFD</v>
      </c>
      <c r="M3770" s="164" t="str">
        <f ca="1">IFERROR(__xludf.DUMMYFUNCTION("""COMPUTED_VALUE"""),"SERVICEABLE")</f>
        <v>SERVICEABLE</v>
      </c>
      <c r="N3770" s="164"/>
    </row>
    <row r="3771" spans="1:14" ht="13.2" hidden="1">
      <c r="A3771" s="164" t="str">
        <f ca="1">IFERROR(__xludf.DUMMYFUNCTION("""COMPUTED_VALUE"""),"Region XI")</f>
        <v>Region XI</v>
      </c>
      <c r="B3771" s="164" t="str">
        <f ca="1">IFERROR(__xludf.DUMMYFUNCTION("""COMPUTED_VALUE"""),"Davao Occidental")</f>
        <v>Davao Occidental</v>
      </c>
      <c r="C3771" s="164" t="str">
        <f ca="1">IFERROR(__xludf.DUMMYFUNCTION("""COMPUTED_VALUE"""),"Desktop Computer – (Lenovo M70T)")</f>
        <v>Desktop Computer – (Lenovo M70T)</v>
      </c>
      <c r="D3771" s="164" t="str">
        <f ca="1">IFERROR(__xludf.DUMMYFUNCTION("""COMPUTED_VALUE"""),"₱ 75,468.00")</f>
        <v>₱ 75,468.00</v>
      </c>
      <c r="E3771" s="164"/>
      <c r="F3771" s="164" t="str">
        <f ca="1">IFERROR(__xludf.DUMMYFUNCTION("""COMPUTED_VALUE"""),"2023-05-03-10201SP1614-01")</f>
        <v>2023-05-03-10201SP1614-01</v>
      </c>
      <c r="G3771" s="164" t="str">
        <f ca="1">IFERROR(__xludf.DUMMYFUNCTION("""COMPUTED_VALUE"""),"1S11T5S16200GM03S3Q4")</f>
        <v>1S11T5S16200GM03S3Q4</v>
      </c>
      <c r="H3771" s="164" t="str">
        <f ca="1">IFERROR(__xludf.DUMMYFUNCTION("""COMPUTED_VALUE"""),"ELDALIZA R. ANGCON")</f>
        <v>ELDALIZA R. ANGCON</v>
      </c>
      <c r="I3771" s="164" t="str">
        <f ca="1">IFERROR(__xludf.DUMMYFUNCTION("""COMPUTED_VALUE"""),"SARPO -LEGAL")</f>
        <v>SARPO -LEGAL</v>
      </c>
      <c r="J3771" s="164" t="str">
        <f ca="1">IFERROR(__xludf.DUMMYFUNCTION("""COMPUTED_VALUE"""),"2023-05-00011")</f>
        <v>2023-05-00011</v>
      </c>
      <c r="K3771" s="164" t="str">
        <f ca="1">IFERROR(__xludf.DUMMYFUNCTION("""COMPUTED_VALUE"""),"DARPO - AFD")</f>
        <v>DARPO - AFD</v>
      </c>
      <c r="L3771" s="164" t="str">
        <f ca="1">IFERROR(__xludf.DUMMYFUNCTION("""COMPUTED_VALUE"""),"DARPO -LEGAL")</f>
        <v>DARPO -LEGAL</v>
      </c>
      <c r="M3771" s="164" t="str">
        <f ca="1">IFERROR(__xludf.DUMMYFUNCTION("""COMPUTED_VALUE"""),"SERVICEABLE")</f>
        <v>SERVICEABLE</v>
      </c>
      <c r="N3771" s="164"/>
    </row>
    <row r="3772" spans="1:14" ht="13.2" hidden="1">
      <c r="A3772" s="164" t="str">
        <f ca="1">IFERROR(__xludf.DUMMYFUNCTION("""COMPUTED_VALUE"""),"Region XI")</f>
        <v>Region XI</v>
      </c>
      <c r="B3772" s="164" t="str">
        <f ca="1">IFERROR(__xludf.DUMMYFUNCTION("""COMPUTED_VALUE"""),"Davao Occidental")</f>
        <v>Davao Occidental</v>
      </c>
      <c r="C3772" s="164" t="str">
        <f ca="1">IFERROR(__xludf.DUMMYFUNCTION("""COMPUTED_VALUE"""),"Desktop Computer – (Lenovo M70T)")</f>
        <v>Desktop Computer – (Lenovo M70T)</v>
      </c>
      <c r="D3772" s="164" t="str">
        <f ca="1">IFERROR(__xludf.DUMMYFUNCTION("""COMPUTED_VALUE"""),"₱ 75,468.00")</f>
        <v>₱ 75,468.00</v>
      </c>
      <c r="E3772" s="164"/>
      <c r="F3772" s="164" t="str">
        <f ca="1">IFERROR(__xludf.DUMMYFUNCTION("""COMPUTED_VALUE"""),"2023-05-03-10201SP1615-01")</f>
        <v>2023-05-03-10201SP1615-01</v>
      </c>
      <c r="G3772" s="164" t="str">
        <f ca="1">IFERROR(__xludf.DUMMYFUNCTION("""COMPUTED_VALUE"""),"1S11T5S16200GM041618")</f>
        <v>1S11T5S16200GM041618</v>
      </c>
      <c r="H3772" s="164" t="str">
        <f ca="1">IFERROR(__xludf.DUMMYFUNCTION("""COMPUTED_VALUE"""),"JULIO P. LUPAS")</f>
        <v>JULIO P. LUPAS</v>
      </c>
      <c r="I3772" s="164" t="str">
        <f ca="1">IFERROR(__xludf.DUMMYFUNCTION("""COMPUTED_VALUE"""),"CARPO")</f>
        <v>CARPO</v>
      </c>
      <c r="J3772" s="164" t="str">
        <f ca="1">IFERROR(__xludf.DUMMYFUNCTION("""COMPUTED_VALUE"""),"2023-05-00012")</f>
        <v>2023-05-00012</v>
      </c>
      <c r="K3772" s="164" t="str">
        <f ca="1">IFERROR(__xludf.DUMMYFUNCTION("""COMPUTED_VALUE"""),"DARPO- PBDD")</f>
        <v>DARPO- PBDD</v>
      </c>
      <c r="L3772" s="164" t="str">
        <f ca="1">IFERROR(__xludf.DUMMYFUNCTION("""COMPUTED_VALUE"""),"PBDD")</f>
        <v>PBDD</v>
      </c>
      <c r="M3772" s="164" t="str">
        <f ca="1">IFERROR(__xludf.DUMMYFUNCTION("""COMPUTED_VALUE"""),"SERVICEABLE")</f>
        <v>SERVICEABLE</v>
      </c>
      <c r="N3772" s="164"/>
    </row>
    <row r="3773" spans="1:14" ht="13.2" hidden="1">
      <c r="A3773" s="164" t="str">
        <f ca="1">IFERROR(__xludf.DUMMYFUNCTION("""COMPUTED_VALUE"""),"Region XI")</f>
        <v>Region XI</v>
      </c>
      <c r="B3773" s="164" t="str">
        <f ca="1">IFERROR(__xludf.DUMMYFUNCTION("""COMPUTED_VALUE"""),"Davao Occidental")</f>
        <v>Davao Occidental</v>
      </c>
      <c r="C3773" s="164" t="str">
        <f ca="1">IFERROR(__xludf.DUMMYFUNCTION("""COMPUTED_VALUE"""),"Laptop – (ACER EXTENSA EX215-55G i7)")</f>
        <v>Laptop – (ACER EXTENSA EX215-55G i7)</v>
      </c>
      <c r="D3773" s="164" t="str">
        <f ca="1">IFERROR(__xludf.DUMMYFUNCTION("""COMPUTED_VALUE"""),"₱ 59,500.00")</f>
        <v>₱ 59,500.00</v>
      </c>
      <c r="E3773" s="164"/>
      <c r="F3773" s="164" t="str">
        <f ca="1">IFERROR(__xludf.DUMMYFUNCTION("""COMPUTED_VALUE"""),"2023-05-03-10202SP296-01")</f>
        <v>2023-05-03-10202SP296-01</v>
      </c>
      <c r="G3773" s="164" t="str">
        <f ca="1">IFERROR(__xludf.DUMMYFUNCTION("""COMPUTED_VALUE"""),"NXEGZSP00330801E053400")</f>
        <v>NXEGZSP00330801E053400</v>
      </c>
      <c r="H3773" s="164" t="str">
        <f ca="1">IFERROR(__xludf.DUMMYFUNCTION("""COMPUTED_VALUE"""),"JESUSITA D. DIZON")</f>
        <v>JESUSITA D. DIZON</v>
      </c>
      <c r="I3773" s="164" t="str">
        <f ca="1">IFERROR(__xludf.DUMMYFUNCTION("""COMPUTED_VALUE"""),"PCAO")</f>
        <v>PCAO</v>
      </c>
      <c r="J3773" s="164" t="str">
        <f ca="1">IFERROR(__xludf.DUMMYFUNCTION("""COMPUTED_VALUE"""),"2023-05-0019")</f>
        <v>2023-05-0019</v>
      </c>
      <c r="K3773" s="164" t="str">
        <f ca="1">IFERROR(__xludf.DUMMYFUNCTION("""COMPUTED_VALUE"""),"DARPO - AFD")</f>
        <v>DARPO - AFD</v>
      </c>
      <c r="L3773" s="164" t="str">
        <f ca="1">IFERROR(__xludf.DUMMYFUNCTION("""COMPUTED_VALUE"""),"DARPO -AFD")</f>
        <v>DARPO -AFD</v>
      </c>
      <c r="M3773" s="164" t="str">
        <f ca="1">IFERROR(__xludf.DUMMYFUNCTION("""COMPUTED_VALUE"""),"SERVICEABLE")</f>
        <v>SERVICEABLE</v>
      </c>
      <c r="N3773" s="164"/>
    </row>
    <row r="3774" spans="1:14" ht="13.2" hidden="1">
      <c r="A3774" s="164" t="str">
        <f ca="1">IFERROR(__xludf.DUMMYFUNCTION("""COMPUTED_VALUE"""),"Region XI")</f>
        <v>Region XI</v>
      </c>
      <c r="B3774" s="164" t="str">
        <f ca="1">IFERROR(__xludf.DUMMYFUNCTION("""COMPUTED_VALUE"""),"Davao Occidental")</f>
        <v>Davao Occidental</v>
      </c>
      <c r="C3774" s="164" t="str">
        <f ca="1">IFERROR(__xludf.DUMMYFUNCTION("""COMPUTED_VALUE"""),"Laptop – (ACER EXTENSA EX215-55G i7)")</f>
        <v>Laptop – (ACER EXTENSA EX215-55G i7)</v>
      </c>
      <c r="D3774" s="164" t="str">
        <f ca="1">IFERROR(__xludf.DUMMYFUNCTION("""COMPUTED_VALUE"""),"₱ 59,500.00")</f>
        <v>₱ 59,500.00</v>
      </c>
      <c r="E3774" s="164"/>
      <c r="F3774" s="164" t="str">
        <f ca="1">IFERROR(__xludf.DUMMYFUNCTION("""COMPUTED_VALUE"""),"2023-05-03-10202SP295-01")</f>
        <v>2023-05-03-10202SP295-01</v>
      </c>
      <c r="G3774" s="164" t="str">
        <f ca="1">IFERROR(__xludf.DUMMYFUNCTION("""COMPUTED_VALUE"""),"NXEGZSP00330801DCB3400")</f>
        <v>NXEGZSP00330801DCB3400</v>
      </c>
      <c r="H3774" s="164" t="str">
        <f ca="1">IFERROR(__xludf.DUMMYFUNCTION("""COMPUTED_VALUE"""),"ESTHER I. GEYROZAGA")</f>
        <v>ESTHER I. GEYROZAGA</v>
      </c>
      <c r="I3774" s="164" t="str">
        <f ca="1">IFERROR(__xludf.DUMMYFUNCTION("""COMPUTED_VALUE"""),"SARPO / LTID")</f>
        <v>SARPO / LTID</v>
      </c>
      <c r="J3774" s="164" t="str">
        <f ca="1">IFERROR(__xludf.DUMMYFUNCTION("""COMPUTED_VALUE"""),"2023-05-0020")</f>
        <v>2023-05-0020</v>
      </c>
      <c r="K3774" s="164" t="str">
        <f ca="1">IFERROR(__xludf.DUMMYFUNCTION("""COMPUTED_VALUE"""),"SPLIT")</f>
        <v>SPLIT</v>
      </c>
      <c r="L3774" s="164" t="str">
        <f ca="1">IFERROR(__xludf.DUMMYFUNCTION("""COMPUTED_VALUE"""),"DARPO -AFD")</f>
        <v>DARPO -AFD</v>
      </c>
      <c r="M3774" s="164" t="str">
        <f ca="1">IFERROR(__xludf.DUMMYFUNCTION("""COMPUTED_VALUE"""),"SERVICEABLE")</f>
        <v>SERVICEABLE</v>
      </c>
      <c r="N3774" s="164"/>
    </row>
    <row r="3775" spans="1:14" ht="13.2" hidden="1">
      <c r="A3775" s="164" t="str">
        <f ca="1">IFERROR(__xludf.DUMMYFUNCTION("""COMPUTED_VALUE"""),"Region XI")</f>
        <v>Region XI</v>
      </c>
      <c r="B3775" s="164" t="str">
        <f ca="1">IFERROR(__xludf.DUMMYFUNCTION("""COMPUTED_VALUE"""),"Davao Occidental")</f>
        <v>Davao Occidental</v>
      </c>
      <c r="C3775" s="164" t="str">
        <f ca="1">IFERROR(__xludf.DUMMYFUNCTION("""COMPUTED_VALUE"""),"Photocopier Machine – Kyocera")</f>
        <v>Photocopier Machine – Kyocera</v>
      </c>
      <c r="D3775" s="164" t="str">
        <f ca="1">IFERROR(__xludf.DUMMYFUNCTION("""COMPUTED_VALUE"""),"₱ 84,500.00")</f>
        <v>₱ 84,500.00</v>
      </c>
      <c r="E3775" s="164"/>
      <c r="F3775" s="164" t="str">
        <f ca="1">IFERROR(__xludf.DUMMYFUNCTION("""COMPUTED_VALUE"""),"2023-05-02-10202SP72-01")</f>
        <v>2023-05-02-10202SP72-01</v>
      </c>
      <c r="G3775" s="164"/>
      <c r="H3775" s="164" t="str">
        <f ca="1">IFERROR(__xludf.DUMMYFUNCTION("""COMPUTED_VALUE"""),"ESTHER I. GEYROZAGA")</f>
        <v>ESTHER I. GEYROZAGA</v>
      </c>
      <c r="I3775" s="164" t="str">
        <f ca="1">IFERROR(__xludf.DUMMYFUNCTION("""COMPUTED_VALUE"""),"SARPO / LTID")</f>
        <v>SARPO / LTID</v>
      </c>
      <c r="J3775" s="164" t="str">
        <f ca="1">IFERROR(__xludf.DUMMYFUNCTION("""COMPUTED_VALUE"""),"2023-05-0021")</f>
        <v>2023-05-0021</v>
      </c>
      <c r="K3775" s="164" t="str">
        <f ca="1">IFERROR(__xludf.DUMMYFUNCTION("""COMPUTED_VALUE"""),"SPLIT")</f>
        <v>SPLIT</v>
      </c>
      <c r="L3775" s="164" t="str">
        <f ca="1">IFERROR(__xludf.DUMMYFUNCTION("""COMPUTED_VALUE"""),"DARPO -LTID")</f>
        <v>DARPO -LTID</v>
      </c>
      <c r="M3775" s="164" t="str">
        <f ca="1">IFERROR(__xludf.DUMMYFUNCTION("""COMPUTED_VALUE"""),"SERVICEABLE")</f>
        <v>SERVICEABLE</v>
      </c>
      <c r="N3775" s="164"/>
    </row>
    <row r="3776" spans="1:14" ht="13.2" hidden="1">
      <c r="A3776" s="164" t="str">
        <f ca="1">IFERROR(__xludf.DUMMYFUNCTION("""COMPUTED_VALUE"""),"Region XI")</f>
        <v>Region XI</v>
      </c>
      <c r="B3776" s="164" t="str">
        <f ca="1">IFERROR(__xludf.DUMMYFUNCTION("""COMPUTED_VALUE"""),"Davao Occidental")</f>
        <v>Davao Occidental</v>
      </c>
      <c r="C3776" s="164" t="str">
        <f ca="1">IFERROR(__xludf.DUMMYFUNCTION("""COMPUTED_VALUE"""),"Desktop Computer – (HP Pro SFF 280G9)")</f>
        <v>Desktop Computer – (HP Pro SFF 280G9)</v>
      </c>
      <c r="D3776" s="164" t="str">
        <f ca="1">IFERROR(__xludf.DUMMYFUNCTION("""COMPUTED_VALUE"""),"₱ 78,898.00")</f>
        <v>₱ 78,898.00</v>
      </c>
      <c r="E3776" s="164"/>
      <c r="F3776" s="164" t="str">
        <f ca="1">IFERROR(__xludf.DUMMYFUNCTION("""COMPUTED_VALUE"""),"2023-05-03-10201SP233-01")</f>
        <v>2023-05-03-10201SP233-01</v>
      </c>
      <c r="G3776" s="164"/>
      <c r="H3776" s="164" t="str">
        <f ca="1">IFERROR(__xludf.DUMMYFUNCTION("""COMPUTED_VALUE"""),"J. JOJJETTE L. COSSID")</f>
        <v>J. JOJJETTE L. COSSID</v>
      </c>
      <c r="I3776" s="164" t="str">
        <f ca="1">IFERROR(__xludf.DUMMYFUNCTION("""COMPUTED_VALUE"""),"OIC CARPO LTI")</f>
        <v>OIC CARPO LTI</v>
      </c>
      <c r="J3776" s="164" t="str">
        <f ca="1">IFERROR(__xludf.DUMMYFUNCTION("""COMPUTED_VALUE"""),"2023-09-0022")</f>
        <v>2023-09-0022</v>
      </c>
      <c r="K3776" s="164" t="str">
        <f ca="1">IFERROR(__xludf.DUMMYFUNCTION("""COMPUTED_VALUE"""),"SPLIT")</f>
        <v>SPLIT</v>
      </c>
      <c r="L3776" s="164" t="str">
        <f ca="1">IFERROR(__xludf.DUMMYFUNCTION("""COMPUTED_VALUE"""),"DARPO -LTID")</f>
        <v>DARPO -LTID</v>
      </c>
      <c r="M3776" s="164" t="str">
        <f ca="1">IFERROR(__xludf.DUMMYFUNCTION("""COMPUTED_VALUE"""),"SERVICEABLE")</f>
        <v>SERVICEABLE</v>
      </c>
      <c r="N3776" s="164"/>
    </row>
    <row r="3777" spans="1:14" ht="13.2" hidden="1">
      <c r="A3777" s="164" t="str">
        <f ca="1">IFERROR(__xludf.DUMMYFUNCTION("""COMPUTED_VALUE"""),"Region XI")</f>
        <v>Region XI</v>
      </c>
      <c r="B3777" s="164" t="str">
        <f ca="1">IFERROR(__xludf.DUMMYFUNCTION("""COMPUTED_VALUE"""),"Davao Occidental")</f>
        <v>Davao Occidental</v>
      </c>
      <c r="C3777" s="164" t="str">
        <f ca="1">IFERROR(__xludf.DUMMYFUNCTION("""COMPUTED_VALUE"""),"Desktop Computer – (HP Pro SFF 280G9)")</f>
        <v>Desktop Computer – (HP Pro SFF 280G9)</v>
      </c>
      <c r="D3777" s="164" t="str">
        <f ca="1">IFERROR(__xludf.DUMMYFUNCTION("""COMPUTED_VALUE"""),"₱ 78,898.00")</f>
        <v>₱ 78,898.00</v>
      </c>
      <c r="E3777" s="164"/>
      <c r="F3777" s="164" t="str">
        <f ca="1">IFERROR(__xludf.DUMMYFUNCTION("""COMPUTED_VALUE"""),"2023-05-03-10201SP233-01")</f>
        <v>2023-05-03-10201SP233-01</v>
      </c>
      <c r="G3777" s="164"/>
      <c r="H3777" s="164" t="str">
        <f ca="1">IFERROR(__xludf.DUMMYFUNCTION("""COMPUTED_VALUE"""),"J. JOJJETTE L. COSSID")</f>
        <v>J. JOJJETTE L. COSSID</v>
      </c>
      <c r="I3777" s="164" t="str">
        <f ca="1">IFERROR(__xludf.DUMMYFUNCTION("""COMPUTED_VALUE"""),"OIC CARPO LTI")</f>
        <v>OIC CARPO LTI</v>
      </c>
      <c r="J3777" s="164" t="str">
        <f ca="1">IFERROR(__xludf.DUMMYFUNCTION("""COMPUTED_VALUE"""),"2023-09-0023")</f>
        <v>2023-09-0023</v>
      </c>
      <c r="K3777" s="164" t="str">
        <f ca="1">IFERROR(__xludf.DUMMYFUNCTION("""COMPUTED_VALUE"""),"SPLIT")</f>
        <v>SPLIT</v>
      </c>
      <c r="L3777" s="164" t="str">
        <f ca="1">IFERROR(__xludf.DUMMYFUNCTION("""COMPUTED_VALUE"""),"DARPO -LTID")</f>
        <v>DARPO -LTID</v>
      </c>
      <c r="M3777" s="164" t="str">
        <f ca="1">IFERROR(__xludf.DUMMYFUNCTION("""COMPUTED_VALUE"""),"SERVICEABLE")</f>
        <v>SERVICEABLE</v>
      </c>
      <c r="N3777" s="164"/>
    </row>
    <row r="3778" spans="1:14" ht="13.2" hidden="1">
      <c r="A3778" s="164" t="str">
        <f ca="1">IFERROR(__xludf.DUMMYFUNCTION("""COMPUTED_VALUE"""),"Region XI")</f>
        <v>Region XI</v>
      </c>
      <c r="B3778" s="164" t="str">
        <f ca="1">IFERROR(__xludf.DUMMYFUNCTION("""COMPUTED_VALUE"""),"Davao Occidental")</f>
        <v>Davao Occidental</v>
      </c>
      <c r="C3778" s="164" t="str">
        <f ca="1">IFERROR(__xludf.DUMMYFUNCTION("""COMPUTED_VALUE"""),"Desktop Computer – (HP Pro SFF 280G9)")</f>
        <v>Desktop Computer – (HP Pro SFF 280G9)</v>
      </c>
      <c r="D3778" s="164" t="str">
        <f ca="1">IFERROR(__xludf.DUMMYFUNCTION("""COMPUTED_VALUE"""),"₱ 78,898.00")</f>
        <v>₱ 78,898.00</v>
      </c>
      <c r="E3778" s="164"/>
      <c r="F3778" s="164" t="str">
        <f ca="1">IFERROR(__xludf.DUMMYFUNCTION("""COMPUTED_VALUE"""),"2023-05-03-10201SP235-01")</f>
        <v>2023-05-03-10201SP235-01</v>
      </c>
      <c r="G3778" s="164"/>
      <c r="H3778" s="164" t="str">
        <f ca="1">IFERROR(__xludf.DUMMYFUNCTION("""COMPUTED_VALUE"""),"J. JOJJETTE L. COSSID")</f>
        <v>J. JOJJETTE L. COSSID</v>
      </c>
      <c r="I3778" s="164" t="str">
        <f ca="1">IFERROR(__xludf.DUMMYFUNCTION("""COMPUTED_VALUE"""),"OIC CARPO LTI")</f>
        <v>OIC CARPO LTI</v>
      </c>
      <c r="J3778" s="164" t="str">
        <f ca="1">IFERROR(__xludf.DUMMYFUNCTION("""COMPUTED_VALUE"""),"2023-09-0024")</f>
        <v>2023-09-0024</v>
      </c>
      <c r="K3778" s="164" t="str">
        <f ca="1">IFERROR(__xludf.DUMMYFUNCTION("""COMPUTED_VALUE"""),"SPLIT")</f>
        <v>SPLIT</v>
      </c>
      <c r="L3778" s="164" t="str">
        <f ca="1">IFERROR(__xludf.DUMMYFUNCTION("""COMPUTED_VALUE"""),"DARPO -LTID")</f>
        <v>DARPO -LTID</v>
      </c>
      <c r="M3778" s="164" t="str">
        <f ca="1">IFERROR(__xludf.DUMMYFUNCTION("""COMPUTED_VALUE"""),"SERVICEABLE")</f>
        <v>SERVICEABLE</v>
      </c>
      <c r="N3778" s="164"/>
    </row>
    <row r="3779" spans="1:14" ht="13.2" hidden="1">
      <c r="A3779" s="164" t="str">
        <f ca="1">IFERROR(__xludf.DUMMYFUNCTION("""COMPUTED_VALUE"""),"Region XI")</f>
        <v>Region XI</v>
      </c>
      <c r="B3779" s="164" t="str">
        <f ca="1">IFERROR(__xludf.DUMMYFUNCTION("""COMPUTED_VALUE"""),"Davao Occidental")</f>
        <v>Davao Occidental</v>
      </c>
      <c r="C3779" s="164" t="str">
        <f ca="1">IFERROR(__xludf.DUMMYFUNCTION("""COMPUTED_VALUE"""),"Desktop Computer – (HP Pro SFF 280G9)")</f>
        <v>Desktop Computer – (HP Pro SFF 280G9)</v>
      </c>
      <c r="D3779" s="164" t="str">
        <f ca="1">IFERROR(__xludf.DUMMYFUNCTION("""COMPUTED_VALUE"""),"₱ 78,898.00")</f>
        <v>₱ 78,898.00</v>
      </c>
      <c r="E3779" s="164"/>
      <c r="F3779" s="164" t="str">
        <f ca="1">IFERROR(__xludf.DUMMYFUNCTION("""COMPUTED_VALUE"""),"2023-05-03-10201SP236-01")</f>
        <v>2023-05-03-10201SP236-01</v>
      </c>
      <c r="G3779" s="164"/>
      <c r="H3779" s="164" t="str">
        <f ca="1">IFERROR(__xludf.DUMMYFUNCTION("""COMPUTED_VALUE"""),"J. JOJJETTE L. COSSID")</f>
        <v>J. JOJJETTE L. COSSID</v>
      </c>
      <c r="I3779" s="164" t="str">
        <f ca="1">IFERROR(__xludf.DUMMYFUNCTION("""COMPUTED_VALUE"""),"OIC CARPO LTI")</f>
        <v>OIC CARPO LTI</v>
      </c>
      <c r="J3779" s="164" t="str">
        <f ca="1">IFERROR(__xludf.DUMMYFUNCTION("""COMPUTED_VALUE"""),"2023-09-0025")</f>
        <v>2023-09-0025</v>
      </c>
      <c r="K3779" s="164" t="str">
        <f ca="1">IFERROR(__xludf.DUMMYFUNCTION("""COMPUTED_VALUE"""),"SPLIT")</f>
        <v>SPLIT</v>
      </c>
      <c r="L3779" s="164" t="str">
        <f ca="1">IFERROR(__xludf.DUMMYFUNCTION("""COMPUTED_VALUE"""),"DARPO -LTID")</f>
        <v>DARPO -LTID</v>
      </c>
      <c r="M3779" s="164" t="str">
        <f ca="1">IFERROR(__xludf.DUMMYFUNCTION("""COMPUTED_VALUE"""),"SERVICEABLE")</f>
        <v>SERVICEABLE</v>
      </c>
      <c r="N3779" s="164"/>
    </row>
    <row r="3780" spans="1:14" ht="13.2" hidden="1">
      <c r="A3780" s="164" t="str">
        <f ca="1">IFERROR(__xludf.DUMMYFUNCTION("""COMPUTED_VALUE"""),"Region XI")</f>
        <v>Region XI</v>
      </c>
      <c r="B3780" s="164" t="str">
        <f ca="1">IFERROR(__xludf.DUMMYFUNCTION("""COMPUTED_VALUE"""),"Davao Occidental")</f>
        <v>Davao Occidental</v>
      </c>
      <c r="C3780" s="164" t="str">
        <f ca="1">IFERROR(__xludf.DUMMYFUNCTION("""COMPUTED_VALUE"""),"A3 PRINTER (BROTHER)")</f>
        <v>A3 PRINTER (BROTHER)</v>
      </c>
      <c r="D3780" s="164" t="str">
        <f ca="1">IFERROR(__xludf.DUMMYFUNCTION("""COMPUTED_VALUE"""),"₱ 33,508.00")</f>
        <v>₱ 33,508.00</v>
      </c>
      <c r="E3780" s="164"/>
      <c r="F3780" s="164" t="str">
        <f ca="1">IFERROR(__xludf.DUMMYFUNCTION("""COMPUTED_VALUE"""),"HV-SPLIT-102-24-05-71")</f>
        <v>HV-SPLIT-102-24-05-71</v>
      </c>
      <c r="G3780" s="164"/>
      <c r="H3780" s="164" t="str">
        <f ca="1">IFERROR(__xludf.DUMMYFUNCTION("""COMPUTED_VALUE"""),"CHARLOTTE H SISON")</f>
        <v>CHARLOTTE H SISON</v>
      </c>
      <c r="I3780" s="164" t="str">
        <f ca="1">IFERROR(__xludf.DUMMYFUNCTION("""COMPUTED_VALUE"""),"ARPO")</f>
        <v>ARPO</v>
      </c>
      <c r="J3780" s="164" t="str">
        <f ca="1">IFERROR(__xludf.DUMMYFUNCTION("""COMPUTED_VALUE"""),"2024-05-013")</f>
        <v>2024-05-013</v>
      </c>
      <c r="K3780" s="164"/>
      <c r="L3780" s="164" t="str">
        <f ca="1">IFERROR(__xludf.DUMMYFUNCTION("""COMPUTED_VALUE"""),"DARPO DAVAO OCC")</f>
        <v>DARPO DAVAO OCC</v>
      </c>
      <c r="M3780" s="164" t="str">
        <f ca="1">IFERROR(__xludf.DUMMYFUNCTION("""COMPUTED_VALUE"""),"SERVICEABLE")</f>
        <v>SERVICEABLE</v>
      </c>
      <c r="N3780" s="164"/>
    </row>
    <row r="3781" spans="1:14" ht="13.2" hidden="1">
      <c r="A3781" s="164" t="str">
        <f ca="1">IFERROR(__xludf.DUMMYFUNCTION("""COMPUTED_VALUE"""),"Region XI")</f>
        <v>Region XI</v>
      </c>
      <c r="B3781" s="164" t="str">
        <f ca="1">IFERROR(__xludf.DUMMYFUNCTION("""COMPUTED_VALUE"""),"Davao del Norte")</f>
        <v>Davao del Norte</v>
      </c>
      <c r="C3781" s="164" t="str">
        <f ca="1">IFERROR(__xludf.DUMMYFUNCTION("""COMPUTED_VALUE"""),"Desktop Computer – (Lenovo M70T)")</f>
        <v>Desktop Computer – (Lenovo M70T)</v>
      </c>
      <c r="D3781" s="164" t="str">
        <f ca="1">IFERROR(__xludf.DUMMYFUNCTION("""COMPUTED_VALUE"""),"₱ 75,468.00")</f>
        <v>₱ 75,468.00</v>
      </c>
      <c r="E3781" s="164"/>
      <c r="F3781" s="164" t="str">
        <f ca="1">IFERROR(__xludf.DUMMYFUNCTION("""COMPUTED_VALUE"""),"2023-05-03-10201SP1616-01")</f>
        <v>2023-05-03-10201SP1616-01</v>
      </c>
      <c r="G3781" s="164" t="str">
        <f ca="1">IFERROR(__xludf.DUMMYFUNCTION("""COMPUTED_VALUE"""),"1S11T5S16200GM041B5A")</f>
        <v>1S11T5S16200GM041B5A</v>
      </c>
      <c r="H3781" s="164" t="str">
        <f ca="1">IFERROR(__xludf.DUMMYFUNCTION("""COMPUTED_VALUE"""),"FLORO FLORASIL Z. ASTILLPO")</f>
        <v>FLORO FLORASIL Z. ASTILLPO</v>
      </c>
      <c r="I3781" s="164" t="str">
        <f ca="1">IFERROR(__xludf.DUMMYFUNCTION("""COMPUTED_VALUE"""),"MARPO")</f>
        <v>MARPO</v>
      </c>
      <c r="J3781" s="164" t="str">
        <f ca="1">IFERROR(__xludf.DUMMYFUNCTION("""COMPUTED_VALUE"""),"DARCO PTR 2023-04-074 / DARRO PTR 2023-03-SP-016 / PAR 2023-04-012L")</f>
        <v>DARCO PTR 2023-04-074 / DARRO PTR 2023-03-SP-016 / PAR 2023-04-012L</v>
      </c>
      <c r="K3781" s="164" t="str">
        <f ca="1">IFERROR(__xludf.DUMMYFUNCTION("""COMPUTED_VALUE"""),"FLORO FLORASIL Z. ASTILLPO")</f>
        <v>FLORO FLORASIL Z. ASTILLPO</v>
      </c>
      <c r="L3781" s="164" t="str">
        <f ca="1">IFERROR(__xludf.DUMMYFUNCTION("""COMPUTED_VALUE"""),"MARO NEW CORELLA")</f>
        <v>MARO NEW CORELLA</v>
      </c>
      <c r="M3781" s="164" t="str">
        <f ca="1">IFERROR(__xludf.DUMMYFUNCTION("""COMPUTED_VALUE"""),"SERVICEABLE")</f>
        <v>SERVICEABLE</v>
      </c>
      <c r="N3781" s="164"/>
    </row>
    <row r="3782" spans="1:14" ht="13.2" hidden="1">
      <c r="A3782" s="164" t="str">
        <f ca="1">IFERROR(__xludf.DUMMYFUNCTION("""COMPUTED_VALUE"""),"Region XI")</f>
        <v>Region XI</v>
      </c>
      <c r="B3782" s="164" t="str">
        <f ca="1">IFERROR(__xludf.DUMMYFUNCTION("""COMPUTED_VALUE"""),"Davao del Norte")</f>
        <v>Davao del Norte</v>
      </c>
      <c r="C3782" s="164" t="str">
        <f ca="1">IFERROR(__xludf.DUMMYFUNCTION("""COMPUTED_VALUE"""),"Desktop Computer – (Lenovo M70T)")</f>
        <v>Desktop Computer – (Lenovo M70T)</v>
      </c>
      <c r="D3782" s="164" t="str">
        <f ca="1">IFERROR(__xludf.DUMMYFUNCTION("""COMPUTED_VALUE"""),"₱ 75,468.00")</f>
        <v>₱ 75,468.00</v>
      </c>
      <c r="E3782" s="164"/>
      <c r="F3782" s="164" t="str">
        <f ca="1">IFERROR(__xludf.DUMMYFUNCTION("""COMPUTED_VALUE"""),"2023-05-03-10202SP1617-01")</f>
        <v>2023-05-03-10202SP1617-01</v>
      </c>
      <c r="G3782" s="164" t="str">
        <f ca="1">IFERROR(__xludf.DUMMYFUNCTION("""COMPUTED_VALUE"""),"1S11T5S16200GM0418EZ")</f>
        <v>1S11T5S16200GM0418EZ</v>
      </c>
      <c r="H3782" s="164" t="str">
        <f ca="1">IFERROR(__xludf.DUMMYFUNCTION("""COMPUTED_VALUE"""),"ENGR. RAMEL R. CALIGDONG")</f>
        <v>ENGR. RAMEL R. CALIGDONG</v>
      </c>
      <c r="I3782" s="164" t="str">
        <f ca="1">IFERROR(__xludf.DUMMYFUNCTION("""COMPUTED_VALUE"""),"ENGINEER II")</f>
        <v>ENGINEER II</v>
      </c>
      <c r="J3782" s="164" t="str">
        <f ca="1">IFERROR(__xludf.DUMMYFUNCTION("""COMPUTED_VALUE"""),"2023-04-001A")</f>
        <v>2023-04-001A</v>
      </c>
      <c r="K3782" s="164" t="str">
        <f ca="1">IFERROR(__xludf.DUMMYFUNCTION("""COMPUTED_VALUE"""),"ENGR. RAMEL R. CALIGDONG")</f>
        <v>ENGR. RAMEL R. CALIGDONG</v>
      </c>
      <c r="L3782" s="164" t="str">
        <f ca="1">IFERROR(__xludf.DUMMYFUNCTION("""COMPUTED_VALUE"""),"LTI")</f>
        <v>LTI</v>
      </c>
      <c r="M3782" s="164" t="str">
        <f ca="1">IFERROR(__xludf.DUMMYFUNCTION("""COMPUTED_VALUE"""),"SERVICEABLE")</f>
        <v>SERVICEABLE</v>
      </c>
      <c r="N3782" s="164"/>
    </row>
    <row r="3783" spans="1:14" ht="13.2" hidden="1">
      <c r="A3783" s="164" t="str">
        <f ca="1">IFERROR(__xludf.DUMMYFUNCTION("""COMPUTED_VALUE"""),"Region XI")</f>
        <v>Region XI</v>
      </c>
      <c r="B3783" s="164" t="str">
        <f ca="1">IFERROR(__xludf.DUMMYFUNCTION("""COMPUTED_VALUE"""),"Davao del Norte")</f>
        <v>Davao del Norte</v>
      </c>
      <c r="C3783" s="164" t="str">
        <f ca="1">IFERROR(__xludf.DUMMYFUNCTION("""COMPUTED_VALUE"""),"Desktop Computer – (Lenovo M70T)")</f>
        <v>Desktop Computer – (Lenovo M70T)</v>
      </c>
      <c r="D3783" s="164" t="str">
        <f ca="1">IFERROR(__xludf.DUMMYFUNCTION("""COMPUTED_VALUE"""),"₱ 75,468.00")</f>
        <v>₱ 75,468.00</v>
      </c>
      <c r="E3783" s="164"/>
      <c r="F3783" s="164" t="str">
        <f ca="1">IFERROR(__xludf.DUMMYFUNCTION("""COMPUTED_VALUE"""),"2023-05-03-10202SP1618-01")</f>
        <v>2023-05-03-10202SP1618-01</v>
      </c>
      <c r="G3783" s="164" t="str">
        <f ca="1">IFERROR(__xludf.DUMMYFUNCTION("""COMPUTED_VALUE"""),"1S11T5S16200GM04160D")</f>
        <v>1S11T5S16200GM04160D</v>
      </c>
      <c r="H3783" s="164" t="str">
        <f ca="1">IFERROR(__xludf.DUMMYFUNCTION("""COMPUTED_VALUE"""),"BIENVENIDO T. GALANG, JR.")</f>
        <v>BIENVENIDO T. GALANG, JR.</v>
      </c>
      <c r="I3783" s="164" t="str">
        <f ca="1">IFERROR(__xludf.DUMMYFUNCTION("""COMPUTED_VALUE"""),"SURVEYMAN")</f>
        <v>SURVEYMAN</v>
      </c>
      <c r="J3783" s="164" t="str">
        <f ca="1">IFERROR(__xludf.DUMMYFUNCTION("""COMPUTED_VALUE"""),"2023-04-001B")</f>
        <v>2023-04-001B</v>
      </c>
      <c r="K3783" s="164" t="str">
        <f ca="1">IFERROR(__xludf.DUMMYFUNCTION("""COMPUTED_VALUE"""),"BIENVENIDO T. GALANG, JR.")</f>
        <v>BIENVENIDO T. GALANG, JR.</v>
      </c>
      <c r="L3783" s="164" t="str">
        <f ca="1">IFERROR(__xludf.DUMMYFUNCTION("""COMPUTED_VALUE"""),"LTI")</f>
        <v>LTI</v>
      </c>
      <c r="M3783" s="164" t="str">
        <f ca="1">IFERROR(__xludf.DUMMYFUNCTION("""COMPUTED_VALUE"""),"SERVICEABLE")</f>
        <v>SERVICEABLE</v>
      </c>
      <c r="N3783" s="164"/>
    </row>
    <row r="3784" spans="1:14" ht="13.2" hidden="1">
      <c r="A3784" s="164" t="str">
        <f ca="1">IFERROR(__xludf.DUMMYFUNCTION("""COMPUTED_VALUE"""),"Region XI")</f>
        <v>Region XI</v>
      </c>
      <c r="B3784" s="164" t="str">
        <f ca="1">IFERROR(__xludf.DUMMYFUNCTION("""COMPUTED_VALUE"""),"Davao del Norte")</f>
        <v>Davao del Norte</v>
      </c>
      <c r="C3784" s="164" t="str">
        <f ca="1">IFERROR(__xludf.DUMMYFUNCTION("""COMPUTED_VALUE"""),"Desktop Computer – (Lenovo M70T)")</f>
        <v>Desktop Computer – (Lenovo M70T)</v>
      </c>
      <c r="D3784" s="164" t="str">
        <f ca="1">IFERROR(__xludf.DUMMYFUNCTION("""COMPUTED_VALUE"""),"₱ 75,468.00")</f>
        <v>₱ 75,468.00</v>
      </c>
      <c r="E3784" s="164"/>
      <c r="F3784" s="164" t="str">
        <f ca="1">IFERROR(__xludf.DUMMYFUNCTION("""COMPUTED_VALUE"""),"2023-05-03-10202SP1623-01")</f>
        <v>2023-05-03-10202SP1623-01</v>
      </c>
      <c r="G3784" s="164" t="str">
        <f ca="1">IFERROR(__xludf.DUMMYFUNCTION("""COMPUTED_VALUE"""),"1S11T5S16200GM041B3H")</f>
        <v>1S11T5S16200GM041B3H</v>
      </c>
      <c r="H3784" s="164" t="str">
        <f ca="1">IFERROR(__xludf.DUMMYFUNCTION("""COMPUTED_VALUE"""),"HENRY T. MARIN")</f>
        <v>HENRY T. MARIN</v>
      </c>
      <c r="I3784" s="164" t="str">
        <f ca="1">IFERROR(__xludf.DUMMYFUNCTION("""COMPUTED_VALUE"""),"MARPO")</f>
        <v>MARPO</v>
      </c>
      <c r="J3784" s="164" t="str">
        <f ca="1">IFERROR(__xludf.DUMMYFUNCTION("""COMPUTED_VALUE"""),"2023-04-001-C")</f>
        <v>2023-04-001-C</v>
      </c>
      <c r="K3784" s="164" t="str">
        <f ca="1">IFERROR(__xludf.DUMMYFUNCTION("""COMPUTED_VALUE"""),"HENRY T. MARIN")</f>
        <v>HENRY T. MARIN</v>
      </c>
      <c r="L3784" s="164" t="str">
        <f ca="1">IFERROR(__xludf.DUMMYFUNCTION("""COMPUTED_VALUE"""),"MARO TAGUM CITY")</f>
        <v>MARO TAGUM CITY</v>
      </c>
      <c r="M3784" s="164" t="str">
        <f ca="1">IFERROR(__xludf.DUMMYFUNCTION("""COMPUTED_VALUE"""),"SERVICEABLE")</f>
        <v>SERVICEABLE</v>
      </c>
      <c r="N3784" s="164"/>
    </row>
    <row r="3785" spans="1:14" ht="13.2" hidden="1">
      <c r="A3785" s="164" t="str">
        <f ca="1">IFERROR(__xludf.DUMMYFUNCTION("""COMPUTED_VALUE"""),"Region XI")</f>
        <v>Region XI</v>
      </c>
      <c r="B3785" s="164" t="str">
        <f ca="1">IFERROR(__xludf.DUMMYFUNCTION("""COMPUTED_VALUE"""),"Davao del Norte")</f>
        <v>Davao del Norte</v>
      </c>
      <c r="C3785" s="164" t="str">
        <f ca="1">IFERROR(__xludf.DUMMYFUNCTION("""COMPUTED_VALUE"""),"Desktop Computer – (Lenovo M70T)")</f>
        <v>Desktop Computer – (Lenovo M70T)</v>
      </c>
      <c r="D3785" s="164" t="str">
        <f ca="1">IFERROR(__xludf.DUMMYFUNCTION("""COMPUTED_VALUE"""),"₱ 75,468.00")</f>
        <v>₱ 75,468.00</v>
      </c>
      <c r="E3785" s="164"/>
      <c r="F3785" s="164" t="str">
        <f ca="1">IFERROR(__xludf.DUMMYFUNCTION("""COMPUTED_VALUE"""),"2023-05-03-10202SP1620-01")</f>
        <v>2023-05-03-10202SP1620-01</v>
      </c>
      <c r="G3785" s="164" t="str">
        <f ca="1">IFERROR(__xludf.DUMMYFUNCTION("""COMPUTED_VALUE"""),"1S11T5S16200GM041AVG")</f>
        <v>1S11T5S16200GM041AVG</v>
      </c>
      <c r="H3785" s="164" t="str">
        <f ca="1">IFERROR(__xludf.DUMMYFUNCTION("""COMPUTED_VALUE"""),"VIRGINIA J. BATOSALEM")</f>
        <v>VIRGINIA J. BATOSALEM</v>
      </c>
      <c r="I3785" s="164" t="str">
        <f ca="1">IFERROR(__xludf.DUMMYFUNCTION("""COMPUTED_VALUE"""),"MARPO")</f>
        <v>MARPO</v>
      </c>
      <c r="J3785" s="164" t="str">
        <f ca="1">IFERROR(__xludf.DUMMYFUNCTION("""COMPUTED_VALUE"""),"2023-04-006F")</f>
        <v>2023-04-006F</v>
      </c>
      <c r="K3785" s="164" t="str">
        <f ca="1">IFERROR(__xludf.DUMMYFUNCTION("""COMPUTED_VALUE"""),"VIRGINIA J. BATOSALEM")</f>
        <v>VIRGINIA J. BATOSALEM</v>
      </c>
      <c r="L3785" s="164" t="str">
        <f ca="1">IFERROR(__xludf.DUMMYFUNCTION("""COMPUTED_VALUE"""),"MARO CARMEN")</f>
        <v>MARO CARMEN</v>
      </c>
      <c r="M3785" s="164" t="str">
        <f ca="1">IFERROR(__xludf.DUMMYFUNCTION("""COMPUTED_VALUE"""),"SERVICEABLE")</f>
        <v>SERVICEABLE</v>
      </c>
      <c r="N3785" s="164"/>
    </row>
    <row r="3786" spans="1:14" ht="13.2" hidden="1">
      <c r="A3786" s="164" t="str">
        <f ca="1">IFERROR(__xludf.DUMMYFUNCTION("""COMPUTED_VALUE"""),"Region XI")</f>
        <v>Region XI</v>
      </c>
      <c r="B3786" s="164" t="str">
        <f ca="1">IFERROR(__xludf.DUMMYFUNCTION("""COMPUTED_VALUE"""),"Davao del Norte")</f>
        <v>Davao del Norte</v>
      </c>
      <c r="C3786" s="164" t="str">
        <f ca="1">IFERROR(__xludf.DUMMYFUNCTION("""COMPUTED_VALUE"""),"Desktop Computer – (Lenovo M70T)")</f>
        <v>Desktop Computer – (Lenovo M70T)</v>
      </c>
      <c r="D3786" s="164" t="str">
        <f ca="1">IFERROR(__xludf.DUMMYFUNCTION("""COMPUTED_VALUE"""),"₱ 75,468.00")</f>
        <v>₱ 75,468.00</v>
      </c>
      <c r="E3786" s="164"/>
      <c r="F3786" s="164" t="str">
        <f ca="1">IFERROR(__xludf.DUMMYFUNCTION("""COMPUTED_VALUE"""),"2023-05-03-10202SP1619-01")</f>
        <v>2023-05-03-10202SP1619-01</v>
      </c>
      <c r="G3786" s="164" t="str">
        <f ca="1">IFERROR(__xludf.DUMMYFUNCTION("""COMPUTED_VALUE"""),"1S11T5S16200GM041B5E")</f>
        <v>1S11T5S16200GM041B5E</v>
      </c>
      <c r="H3786" s="164" t="str">
        <f ca="1">IFERROR(__xludf.DUMMYFUNCTION("""COMPUTED_VALUE"""),"ROSAVILLA L. ARROCENA")</f>
        <v>ROSAVILLA L. ARROCENA</v>
      </c>
      <c r="I3786" s="164" t="str">
        <f ca="1">IFERROR(__xludf.DUMMYFUNCTION("""COMPUTED_VALUE"""),"MARPO")</f>
        <v>MARPO</v>
      </c>
      <c r="J3786" s="164" t="str">
        <f ca="1">IFERROR(__xludf.DUMMYFUNCTION("""COMPUTED_VALUE"""),"2023-04-006H")</f>
        <v>2023-04-006H</v>
      </c>
      <c r="K3786" s="164" t="str">
        <f ca="1">IFERROR(__xludf.DUMMYFUNCTION("""COMPUTED_VALUE"""),"ROSAVILLA L. ARROCENA")</f>
        <v>ROSAVILLA L. ARROCENA</v>
      </c>
      <c r="L3786" s="164" t="str">
        <f ca="1">IFERROR(__xludf.DUMMYFUNCTION("""COMPUTED_VALUE"""),"MARO SAN ISIDRO")</f>
        <v>MARO SAN ISIDRO</v>
      </c>
      <c r="M3786" s="164" t="str">
        <f ca="1">IFERROR(__xludf.DUMMYFUNCTION("""COMPUTED_VALUE"""),"SERVICEABLE")</f>
        <v>SERVICEABLE</v>
      </c>
      <c r="N3786" s="164"/>
    </row>
    <row r="3787" spans="1:14" ht="13.2" hidden="1">
      <c r="A3787" s="164" t="str">
        <f ca="1">IFERROR(__xludf.DUMMYFUNCTION("""COMPUTED_VALUE"""),"Region XI")</f>
        <v>Region XI</v>
      </c>
      <c r="B3787" s="164" t="str">
        <f ca="1">IFERROR(__xludf.DUMMYFUNCTION("""COMPUTED_VALUE"""),"Davao del Norte")</f>
        <v>Davao del Norte</v>
      </c>
      <c r="C3787" s="164" t="str">
        <f ca="1">IFERROR(__xludf.DUMMYFUNCTION("""COMPUTED_VALUE"""),"Desktop Computer – (Lenovo M70T)")</f>
        <v>Desktop Computer – (Lenovo M70T)</v>
      </c>
      <c r="D3787" s="164" t="str">
        <f ca="1">IFERROR(__xludf.DUMMYFUNCTION("""COMPUTED_VALUE"""),"₱ 75,468.00")</f>
        <v>₱ 75,468.00</v>
      </c>
      <c r="E3787" s="164"/>
      <c r="F3787" s="164" t="str">
        <f ca="1">IFERROR(__xludf.DUMMYFUNCTION("""COMPUTED_VALUE"""),"2023-05-03-10202SP1625-01")</f>
        <v>2023-05-03-10202SP1625-01</v>
      </c>
      <c r="G3787" s="164" t="str">
        <f ca="1">IFERROR(__xludf.DUMMYFUNCTION("""COMPUTED_VALUE"""),"1S11T5S16200GM03S3PP")</f>
        <v>1S11T5S16200GM03S3PP</v>
      </c>
      <c r="H3787" s="164" t="str">
        <f ca="1">IFERROR(__xludf.DUMMYFUNCTION("""COMPUTED_VALUE"""),"ENGR. MELINA C. AVILA")</f>
        <v>ENGR. MELINA C. AVILA</v>
      </c>
      <c r="I3787" s="164" t="str">
        <f ca="1">IFERROR(__xludf.DUMMYFUNCTION("""COMPUTED_VALUE"""),"MARPO")</f>
        <v>MARPO</v>
      </c>
      <c r="J3787" s="164" t="str">
        <f ca="1">IFERROR(__xludf.DUMMYFUNCTION("""COMPUTED_VALUE"""),"2023-04-007G")</f>
        <v>2023-04-007G</v>
      </c>
      <c r="K3787" s="164" t="str">
        <f ca="1">IFERROR(__xludf.DUMMYFUNCTION("""COMPUTED_VALUE"""),"ENGR. MELINA C. AVILA")</f>
        <v>ENGR. MELINA C. AVILA</v>
      </c>
      <c r="L3787" s="164" t="str">
        <f ca="1">IFERROR(__xludf.DUMMYFUNCTION("""COMPUTED_VALUE"""),"MARO ASUNCION")</f>
        <v>MARO ASUNCION</v>
      </c>
      <c r="M3787" s="164" t="str">
        <f ca="1">IFERROR(__xludf.DUMMYFUNCTION("""COMPUTED_VALUE"""),"SERVICEABLE")</f>
        <v>SERVICEABLE</v>
      </c>
      <c r="N3787" s="164"/>
    </row>
    <row r="3788" spans="1:14" ht="13.2" hidden="1">
      <c r="A3788" s="164" t="str">
        <f ca="1">IFERROR(__xludf.DUMMYFUNCTION("""COMPUTED_VALUE"""),"Region XI")</f>
        <v>Region XI</v>
      </c>
      <c r="B3788" s="164" t="str">
        <f ca="1">IFERROR(__xludf.DUMMYFUNCTION("""COMPUTED_VALUE"""),"Davao del Norte")</f>
        <v>Davao del Norte</v>
      </c>
      <c r="C3788" s="164" t="str">
        <f ca="1">IFERROR(__xludf.DUMMYFUNCTION("""COMPUTED_VALUE"""),"Desktop Computer – (Lenovo M70T)")</f>
        <v>Desktop Computer – (Lenovo M70T)</v>
      </c>
      <c r="D3788" s="164" t="str">
        <f ca="1">IFERROR(__xludf.DUMMYFUNCTION("""COMPUTED_VALUE"""),"₱ 75,468.00")</f>
        <v>₱ 75,468.00</v>
      </c>
      <c r="E3788" s="164"/>
      <c r="F3788" s="164" t="str">
        <f ca="1">IFERROR(__xludf.DUMMYFUNCTION("""COMPUTED_VALUE"""),"2023-05-03-10202SP1616-01")</f>
        <v>2023-05-03-10202SP1616-01</v>
      </c>
      <c r="G3788" s="164" t="str">
        <f ca="1">IFERROR(__xludf.DUMMYFUNCTION("""COMPUTED_VALUE"""),"1S11T5S16200GM041B5A")</f>
        <v>1S11T5S16200GM041B5A</v>
      </c>
      <c r="H3788" s="164" t="str">
        <f ca="1">IFERROR(__xludf.DUMMYFUNCTION("""COMPUTED_VALUE"""),"FLORO FLORASIL Z. ASTILLPO")</f>
        <v>FLORO FLORASIL Z. ASTILLPO</v>
      </c>
      <c r="I3788" s="164" t="str">
        <f ca="1">IFERROR(__xludf.DUMMYFUNCTION("""COMPUTED_VALUE"""),"MARPO")</f>
        <v>MARPO</v>
      </c>
      <c r="J3788" s="164" t="str">
        <f ca="1">IFERROR(__xludf.DUMMYFUNCTION("""COMPUTED_VALUE"""),"2023-04-012L")</f>
        <v>2023-04-012L</v>
      </c>
      <c r="K3788" s="164" t="str">
        <f ca="1">IFERROR(__xludf.DUMMYFUNCTION("""COMPUTED_VALUE"""),"FLORO FLORASIL Z. ASTILLPO")</f>
        <v>FLORO FLORASIL Z. ASTILLPO</v>
      </c>
      <c r="L3788" s="164" t="str">
        <f ca="1">IFERROR(__xludf.DUMMYFUNCTION("""COMPUTED_VALUE"""),"MARO NEW CORELLA")</f>
        <v>MARO NEW CORELLA</v>
      </c>
      <c r="M3788" s="164" t="str">
        <f ca="1">IFERROR(__xludf.DUMMYFUNCTION("""COMPUTED_VALUE"""),"SERVICEABLE")</f>
        <v>SERVICEABLE</v>
      </c>
      <c r="N3788" s="164"/>
    </row>
    <row r="3789" spans="1:14" ht="13.2" hidden="1">
      <c r="A3789" s="164" t="str">
        <f ca="1">IFERROR(__xludf.DUMMYFUNCTION("""COMPUTED_VALUE"""),"Region XI")</f>
        <v>Region XI</v>
      </c>
      <c r="B3789" s="164" t="str">
        <f ca="1">IFERROR(__xludf.DUMMYFUNCTION("""COMPUTED_VALUE"""),"Davao del Norte")</f>
        <v>Davao del Norte</v>
      </c>
      <c r="C3789" s="164" t="str">
        <f ca="1">IFERROR(__xludf.DUMMYFUNCTION("""COMPUTED_VALUE"""),"Desktop Computer – (Lenovo M70T)")</f>
        <v>Desktop Computer – (Lenovo M70T)</v>
      </c>
      <c r="D3789" s="164" t="str">
        <f ca="1">IFERROR(__xludf.DUMMYFUNCTION("""COMPUTED_VALUE"""),"₱ 75,468.00")</f>
        <v>₱ 75,468.00</v>
      </c>
      <c r="E3789" s="164"/>
      <c r="F3789" s="164" t="str">
        <f ca="1">IFERROR(__xludf.DUMMYFUNCTION("""COMPUTED_VALUE"""),"2023-05-03-10202SP1626-01")</f>
        <v>2023-05-03-10202SP1626-01</v>
      </c>
      <c r="G3789" s="164" t="str">
        <f ca="1">IFERROR(__xludf.DUMMYFUNCTION("""COMPUTED_VALUE"""),"1S11T5S16200GM041AZ4")</f>
        <v>1S11T5S16200GM041AZ4</v>
      </c>
      <c r="H3789" s="164" t="str">
        <f ca="1">IFERROR(__xludf.DUMMYFUNCTION("""COMPUTED_VALUE"""),"MACRINO D. TORRES")</f>
        <v>MACRINO D. TORRES</v>
      </c>
      <c r="I3789" s="164" t="str">
        <f ca="1">IFERROR(__xludf.DUMMYFUNCTION("""COMPUTED_VALUE"""),"MARPO")</f>
        <v>MARPO</v>
      </c>
      <c r="J3789" s="164" t="str">
        <f ca="1">IFERROR(__xludf.DUMMYFUNCTION("""COMPUTED_VALUE"""),"2023-04-009I")</f>
        <v>2023-04-009I</v>
      </c>
      <c r="K3789" s="164" t="str">
        <f ca="1">IFERROR(__xludf.DUMMYFUNCTION("""COMPUTED_VALUE"""),"MACRINO D. TORRES")</f>
        <v>MACRINO D. TORRES</v>
      </c>
      <c r="L3789" s="164" t="str">
        <f ca="1">IFERROR(__xludf.DUMMYFUNCTION("""COMPUTED_VALUE"""),"MARO KAPALONG")</f>
        <v>MARO KAPALONG</v>
      </c>
      <c r="M3789" s="164" t="str">
        <f ca="1">IFERROR(__xludf.DUMMYFUNCTION("""COMPUTED_VALUE"""),"SERVICEABLE")</f>
        <v>SERVICEABLE</v>
      </c>
      <c r="N3789" s="164"/>
    </row>
    <row r="3790" spans="1:14" ht="13.2" hidden="1">
      <c r="A3790" s="164" t="str">
        <f ca="1">IFERROR(__xludf.DUMMYFUNCTION("""COMPUTED_VALUE"""),"Region XI")</f>
        <v>Region XI</v>
      </c>
      <c r="B3790" s="164" t="str">
        <f ca="1">IFERROR(__xludf.DUMMYFUNCTION("""COMPUTED_VALUE"""),"Davao del Norte")</f>
        <v>Davao del Norte</v>
      </c>
      <c r="C3790" s="164" t="str">
        <f ca="1">IFERROR(__xludf.DUMMYFUNCTION("""COMPUTED_VALUE"""),"Desktop Computer – (Lenovo M70T)")</f>
        <v>Desktop Computer – (Lenovo M70T)</v>
      </c>
      <c r="D3790" s="164" t="str">
        <f ca="1">IFERROR(__xludf.DUMMYFUNCTION("""COMPUTED_VALUE"""),"₱ 75,468.00")</f>
        <v>₱ 75,468.00</v>
      </c>
      <c r="E3790" s="164"/>
      <c r="F3790" s="164" t="str">
        <f ca="1">IFERROR(__xludf.DUMMYFUNCTION("""COMPUTED_VALUE"""),"2023-05-03-10202SP1622-01")</f>
        <v>2023-05-03-10202SP1622-01</v>
      </c>
      <c r="G3790" s="164" t="str">
        <f ca="1">IFERROR(__xludf.DUMMYFUNCTION("""COMPUTED_VALUE"""),"1S11T5S16200GM0418H3")</f>
        <v>1S11T5S16200GM0418H3</v>
      </c>
      <c r="H3790" s="164" t="str">
        <f ca="1">IFERROR(__xludf.DUMMYFUNCTION("""COMPUTED_VALUE"""),"JULIANA R. MACEREN")</f>
        <v>JULIANA R. MACEREN</v>
      </c>
      <c r="I3790" s="164" t="str">
        <f ca="1">IFERROR(__xludf.DUMMYFUNCTION("""COMPUTED_VALUE"""),"MARPO")</f>
        <v>MARPO</v>
      </c>
      <c r="J3790" s="164" t="str">
        <f ca="1">IFERROR(__xludf.DUMMYFUNCTION("""COMPUTED_VALUE"""),"2023-04-005E")</f>
        <v>2023-04-005E</v>
      </c>
      <c r="K3790" s="164" t="str">
        <f ca="1">IFERROR(__xludf.DUMMYFUNCTION("""COMPUTED_VALUE"""),"JULIANA R. MACEREN")</f>
        <v>JULIANA R. MACEREN</v>
      </c>
      <c r="L3790" s="164" t="str">
        <f ca="1">IFERROR(__xludf.DUMMYFUNCTION("""COMPUTED_VALUE"""),"MARO B.E. DUJALI")</f>
        <v>MARO B.E. DUJALI</v>
      </c>
      <c r="M3790" s="164" t="str">
        <f ca="1">IFERROR(__xludf.DUMMYFUNCTION("""COMPUTED_VALUE"""),"SERVICEABLE")</f>
        <v>SERVICEABLE</v>
      </c>
      <c r="N3790" s="164"/>
    </row>
    <row r="3791" spans="1:14" ht="13.2" hidden="1">
      <c r="A3791" s="164" t="str">
        <f ca="1">IFERROR(__xludf.DUMMYFUNCTION("""COMPUTED_VALUE"""),"Region XI")</f>
        <v>Region XI</v>
      </c>
      <c r="B3791" s="164" t="str">
        <f ca="1">IFERROR(__xludf.DUMMYFUNCTION("""COMPUTED_VALUE"""),"Davao del Norte")</f>
        <v>Davao del Norte</v>
      </c>
      <c r="C3791" s="164" t="str">
        <f ca="1">IFERROR(__xludf.DUMMYFUNCTION("""COMPUTED_VALUE"""),"Desktop Computer – (Lenovo M70T)")</f>
        <v>Desktop Computer – (Lenovo M70T)</v>
      </c>
      <c r="D3791" s="164" t="str">
        <f ca="1">IFERROR(__xludf.DUMMYFUNCTION("""COMPUTED_VALUE"""),"₱ 75,468.00")</f>
        <v>₱ 75,468.00</v>
      </c>
      <c r="E3791" s="164"/>
      <c r="F3791" s="164" t="str">
        <f ca="1">IFERROR(__xludf.DUMMYFUNCTION("""COMPUTED_VALUE"""),"2023-05-03-10202SP1621-01")</f>
        <v>2023-05-03-10202SP1621-01</v>
      </c>
      <c r="G3791" s="164" t="str">
        <f ca="1">IFERROR(__xludf.DUMMYFUNCTION("""COMPUTED_VALUE"""),"1S11T5S16200GM0415WQ")</f>
        <v>1S11T5S16200GM0415WQ</v>
      </c>
      <c r="H3791" s="164" t="str">
        <f ca="1">IFERROR(__xludf.DUMMYFUNCTION("""COMPUTED_VALUE"""),"MADELEN Z. APOSTOL")</f>
        <v>MADELEN Z. APOSTOL</v>
      </c>
      <c r="I3791" s="164" t="str">
        <f ca="1">IFERROR(__xludf.DUMMYFUNCTION("""COMPUTED_VALUE"""),"MARPO")</f>
        <v>MARPO</v>
      </c>
      <c r="J3791" s="164" t="str">
        <f ca="1">IFERROR(__xludf.DUMMYFUNCTION("""COMPUTED_VALUE"""),"2023-04-010K")</f>
        <v>2023-04-010K</v>
      </c>
      <c r="K3791" s="164" t="str">
        <f ca="1">IFERROR(__xludf.DUMMYFUNCTION("""COMPUTED_VALUE"""),"MADELEN Z. APOSTOL")</f>
        <v>MADELEN Z. APOSTOL</v>
      </c>
      <c r="L3791" s="164" t="str">
        <f ca="1">IFERROR(__xludf.DUMMYFUNCTION("""COMPUTED_VALUE"""),"MARO IGACOS")</f>
        <v>MARO IGACOS</v>
      </c>
      <c r="M3791" s="164" t="str">
        <f ca="1">IFERROR(__xludf.DUMMYFUNCTION("""COMPUTED_VALUE"""),"SERVICEABLE")</f>
        <v>SERVICEABLE</v>
      </c>
      <c r="N3791" s="164"/>
    </row>
    <row r="3792" spans="1:14" ht="13.2" hidden="1">
      <c r="A3792" s="164" t="str">
        <f ca="1">IFERROR(__xludf.DUMMYFUNCTION("""COMPUTED_VALUE"""),"Region XI")</f>
        <v>Region XI</v>
      </c>
      <c r="B3792" s="164" t="str">
        <f ca="1">IFERROR(__xludf.DUMMYFUNCTION("""COMPUTED_VALUE"""),"Davao del Norte")</f>
        <v>Davao del Norte</v>
      </c>
      <c r="C3792" s="164" t="str">
        <f ca="1">IFERROR(__xludf.DUMMYFUNCTION("""COMPUTED_VALUE"""),"Desktop Computer – (Lenovo M70T)")</f>
        <v>Desktop Computer – (Lenovo M70T)</v>
      </c>
      <c r="D3792" s="164" t="str">
        <f ca="1">IFERROR(__xludf.DUMMYFUNCTION("""COMPUTED_VALUE"""),"₱ 75,468.00")</f>
        <v>₱ 75,468.00</v>
      </c>
      <c r="E3792" s="164"/>
      <c r="F3792" s="164" t="str">
        <f ca="1">IFERROR(__xludf.DUMMYFUNCTION("""COMPUTED_VALUE"""),"2023-05-03-10202SP1624-01")</f>
        <v>2023-05-03-10202SP1624-01</v>
      </c>
      <c r="G3792" s="164" t="str">
        <f ca="1">IFERROR(__xludf.DUMMYFUNCTION("""COMPUTED_VALUE"""),"1S11T5S16200GM041B3W")</f>
        <v>1S11T5S16200GM041B3W</v>
      </c>
      <c r="H3792" s="164" t="str">
        <f ca="1">IFERROR(__xludf.DUMMYFUNCTION("""COMPUTED_VALUE"""),"JOSIE V. CAQUILALA")</f>
        <v>JOSIE V. CAQUILALA</v>
      </c>
      <c r="I3792" s="164" t="str">
        <f ca="1">IFERROR(__xludf.DUMMYFUNCTION("""COMPUTED_VALUE"""),"MARPO")</f>
        <v>MARPO</v>
      </c>
      <c r="J3792" s="164" t="str">
        <f ca="1">IFERROR(__xludf.DUMMYFUNCTION("""COMPUTED_VALUE"""),"2023-04-011J")</f>
        <v>2023-04-011J</v>
      </c>
      <c r="K3792" s="164" t="str">
        <f ca="1">IFERROR(__xludf.DUMMYFUNCTION("""COMPUTED_VALUE"""),"JOSIE V. CAQUILALA")</f>
        <v>JOSIE V. CAQUILALA</v>
      </c>
      <c r="L3792" s="164" t="str">
        <f ca="1">IFERROR(__xludf.DUMMYFUNCTION("""COMPUTED_VALUE"""),"MARO PANABO CITY")</f>
        <v>MARO PANABO CITY</v>
      </c>
      <c r="M3792" s="164" t="str">
        <f ca="1">IFERROR(__xludf.DUMMYFUNCTION("""COMPUTED_VALUE"""),"SERVICEABLE")</f>
        <v>SERVICEABLE</v>
      </c>
      <c r="N3792" s="164"/>
    </row>
    <row r="3793" spans="1:14" ht="13.2" hidden="1">
      <c r="A3793" s="164" t="str">
        <f ca="1">IFERROR(__xludf.DUMMYFUNCTION("""COMPUTED_VALUE"""),"Region XI")</f>
        <v>Region XI</v>
      </c>
      <c r="B3793" s="164" t="str">
        <f ca="1">IFERROR(__xludf.DUMMYFUNCTION("""COMPUTED_VALUE"""),"Davao del Norte")</f>
        <v>Davao del Norte</v>
      </c>
      <c r="C3793" s="164" t="str">
        <f ca="1">IFERROR(__xludf.DUMMYFUNCTION("""COMPUTED_VALUE"""),"Desktop Computer – (Lenovo M70T)")</f>
        <v>Desktop Computer – (Lenovo M70T)</v>
      </c>
      <c r="D3793" s="164" t="str">
        <f ca="1">IFERROR(__xludf.DUMMYFUNCTION("""COMPUTED_VALUE"""),"₱ 75,468.00")</f>
        <v>₱ 75,468.00</v>
      </c>
      <c r="E3793" s="164"/>
      <c r="F3793" s="164" t="str">
        <f ca="1">IFERROR(__xludf.DUMMYFUNCTION("""COMPUTED_VALUE"""),"2023-05-03-10202SP1627-01")</f>
        <v>2023-05-03-10202SP1627-01</v>
      </c>
      <c r="G3793" s="164" t="str">
        <f ca="1">IFERROR(__xludf.DUMMYFUNCTION("""COMPUTED_VALUE"""),"1S11T5S16200GM041B41")</f>
        <v>1S11T5S16200GM041B41</v>
      </c>
      <c r="H3793" s="164" t="str">
        <f ca="1">IFERROR(__xludf.DUMMYFUNCTION("""COMPUTED_VALUE"""),"FLORADELFA L. MONTES")</f>
        <v>FLORADELFA L. MONTES</v>
      </c>
      <c r="I3793" s="164" t="str">
        <f ca="1">IFERROR(__xludf.DUMMYFUNCTION("""COMPUTED_VALUE"""),"MARPO")</f>
        <v>MARPO</v>
      </c>
      <c r="J3793" s="164" t="str">
        <f ca="1">IFERROR(__xludf.DUMMYFUNCTION("""COMPUTED_VALUE"""),"2023-04-004D")</f>
        <v>2023-04-004D</v>
      </c>
      <c r="K3793" s="164" t="str">
        <f ca="1">IFERROR(__xludf.DUMMYFUNCTION("""COMPUTED_VALUE"""),"FLORADELFA L. MONTES")</f>
        <v>FLORADELFA L. MONTES</v>
      </c>
      <c r="L3793" s="164" t="str">
        <f ca="1">IFERROR(__xludf.DUMMYFUNCTION("""COMPUTED_VALUE"""),"MARO STO. TOMAS")</f>
        <v>MARO STO. TOMAS</v>
      </c>
      <c r="M3793" s="164" t="str">
        <f ca="1">IFERROR(__xludf.DUMMYFUNCTION("""COMPUTED_VALUE"""),"SERVICEABLE")</f>
        <v>SERVICEABLE</v>
      </c>
      <c r="N3793" s="164"/>
    </row>
    <row r="3794" spans="1:14" ht="13.2" hidden="1">
      <c r="A3794" s="164" t="str">
        <f ca="1">IFERROR(__xludf.DUMMYFUNCTION("""COMPUTED_VALUE"""),"Region XI")</f>
        <v>Region XI</v>
      </c>
      <c r="B3794" s="164" t="str">
        <f ca="1">IFERROR(__xludf.DUMMYFUNCTION("""COMPUTED_VALUE"""),"Davao del Norte")</f>
        <v>Davao del Norte</v>
      </c>
      <c r="C3794" s="164" t="str">
        <f ca="1">IFERROR(__xludf.DUMMYFUNCTION("""COMPUTED_VALUE"""),"Desktop Computer – (HP Pro SFF 280G9)")</f>
        <v>Desktop Computer – (HP Pro SFF 280G9)</v>
      </c>
      <c r="D3794" s="164" t="str">
        <f ca="1">IFERROR(__xludf.DUMMYFUNCTION("""COMPUTED_VALUE"""),"₱ 78,898.00")</f>
        <v>₱ 78,898.00</v>
      </c>
      <c r="E3794" s="164"/>
      <c r="F3794" s="164" t="str">
        <f ca="1">IFERROR(__xludf.DUMMYFUNCTION("""COMPUTED_VALUE"""),"2023-05-03-10201SP228-01")</f>
        <v>2023-05-03-10201SP228-01</v>
      </c>
      <c r="G3794" s="164"/>
      <c r="H3794" s="164" t="str">
        <f ca="1">IFERROR(__xludf.DUMMYFUNCTION("""COMPUTED_VALUE"""),"RHEA MAY A. EDLISAN")</f>
        <v>RHEA MAY A. EDLISAN</v>
      </c>
      <c r="I3794" s="164" t="str">
        <f ca="1">IFERROR(__xludf.DUMMYFUNCTION("""COMPUTED_VALUE"""),"ARPT")</f>
        <v>ARPT</v>
      </c>
      <c r="J3794" s="164" t="str">
        <f ca="1">IFERROR(__xludf.DUMMYFUNCTION("""COMPUTED_VALUE"""),"2023-04-012-S")</f>
        <v>2023-04-012-S</v>
      </c>
      <c r="K3794" s="164" t="str">
        <f ca="1">IFERROR(__xludf.DUMMYFUNCTION("""COMPUTED_VALUE"""),"RHEA MAY A. EDLISAN")</f>
        <v>RHEA MAY A. EDLISAN</v>
      </c>
      <c r="L3794" s="164" t="str">
        <f ca="1">IFERROR(__xludf.DUMMYFUNCTION("""COMPUTED_VALUE"""),"LTI")</f>
        <v>LTI</v>
      </c>
      <c r="M3794" s="164" t="str">
        <f ca="1">IFERROR(__xludf.DUMMYFUNCTION("""COMPUTED_VALUE"""),"SERVICEABLE")</f>
        <v>SERVICEABLE</v>
      </c>
      <c r="N3794" s="164"/>
    </row>
    <row r="3795" spans="1:14" ht="13.2" hidden="1">
      <c r="A3795" s="164" t="str">
        <f ca="1">IFERROR(__xludf.DUMMYFUNCTION("""COMPUTED_VALUE"""),"Region XI")</f>
        <v>Region XI</v>
      </c>
      <c r="B3795" s="164" t="str">
        <f ca="1">IFERROR(__xludf.DUMMYFUNCTION("""COMPUTED_VALUE"""),"Davao del Norte")</f>
        <v>Davao del Norte</v>
      </c>
      <c r="C3795" s="164" t="str">
        <f ca="1">IFERROR(__xludf.DUMMYFUNCTION("""COMPUTED_VALUE"""),"Desktop Computer – (HP Pro SFF 280G9)")</f>
        <v>Desktop Computer – (HP Pro SFF 280G9)</v>
      </c>
      <c r="D3795" s="164" t="str">
        <f ca="1">IFERROR(__xludf.DUMMYFUNCTION("""COMPUTED_VALUE"""),"₱ 78,898.00")</f>
        <v>₱ 78,898.00</v>
      </c>
      <c r="E3795" s="164"/>
      <c r="F3795" s="164" t="str">
        <f ca="1">IFERROR(__xludf.DUMMYFUNCTION("""COMPUTED_VALUE"""),"2023-05-03-10201SP227-01")</f>
        <v>2023-05-03-10201SP227-01</v>
      </c>
      <c r="G3795" s="164"/>
      <c r="H3795" s="164" t="str">
        <f ca="1">IFERROR(__xludf.DUMMYFUNCTION("""COMPUTED_VALUE"""),"LANIMAY M. WANAY")</f>
        <v>LANIMAY M. WANAY</v>
      </c>
      <c r="I3795" s="164" t="str">
        <f ca="1">IFERROR(__xludf.DUMMYFUNCTION("""COMPUTED_VALUE"""),"ARPT")</f>
        <v>ARPT</v>
      </c>
      <c r="J3795" s="164" t="str">
        <f ca="1">IFERROR(__xludf.DUMMYFUNCTION("""COMPUTED_VALUE"""),"2023-04-012-R")</f>
        <v>2023-04-012-R</v>
      </c>
      <c r="K3795" s="164" t="str">
        <f ca="1">IFERROR(__xludf.DUMMYFUNCTION("""COMPUTED_VALUE"""),"LANIMAY M. WANAY")</f>
        <v>LANIMAY M. WANAY</v>
      </c>
      <c r="L3795" s="164" t="str">
        <f ca="1">IFERROR(__xludf.DUMMYFUNCTION("""COMPUTED_VALUE"""),"LTI")</f>
        <v>LTI</v>
      </c>
      <c r="M3795" s="164" t="str">
        <f ca="1">IFERROR(__xludf.DUMMYFUNCTION("""COMPUTED_VALUE"""),"SERVICEABLE")</f>
        <v>SERVICEABLE</v>
      </c>
      <c r="N3795" s="164"/>
    </row>
    <row r="3796" spans="1:14" ht="13.2" hidden="1">
      <c r="A3796" s="164" t="str">
        <f ca="1">IFERROR(__xludf.DUMMYFUNCTION("""COMPUTED_VALUE"""),"Region XI")</f>
        <v>Region XI</v>
      </c>
      <c r="B3796" s="164" t="str">
        <f ca="1">IFERROR(__xludf.DUMMYFUNCTION("""COMPUTED_VALUE"""),"Davao del Norte")</f>
        <v>Davao del Norte</v>
      </c>
      <c r="C3796" s="164" t="str">
        <f ca="1">IFERROR(__xludf.DUMMYFUNCTION("""COMPUTED_VALUE"""),"Desktop Computer – (HP Pro SFF 280G9)")</f>
        <v>Desktop Computer – (HP Pro SFF 280G9)</v>
      </c>
      <c r="D3796" s="164" t="str">
        <f ca="1">IFERROR(__xludf.DUMMYFUNCTION("""COMPUTED_VALUE"""),"₱ 78,898.00")</f>
        <v>₱ 78,898.00</v>
      </c>
      <c r="E3796" s="164"/>
      <c r="F3796" s="164" t="str">
        <f ca="1">IFERROR(__xludf.DUMMYFUNCTION("""COMPUTED_VALUE"""),"2023-05-03-10201SP226-01")</f>
        <v>2023-05-03-10201SP226-01</v>
      </c>
      <c r="G3796" s="164"/>
      <c r="H3796" s="164" t="str">
        <f ca="1">IFERROR(__xludf.DUMMYFUNCTION("""COMPUTED_VALUE"""),"BEATRIZ M. ALCONERA")</f>
        <v>BEATRIZ M. ALCONERA</v>
      </c>
      <c r="I3796" s="164" t="str">
        <f ca="1">IFERROR(__xludf.DUMMYFUNCTION("""COMPUTED_VALUE"""),"PCAO")</f>
        <v>PCAO</v>
      </c>
      <c r="J3796" s="164" t="str">
        <f ca="1">IFERROR(__xludf.DUMMYFUNCTION("""COMPUTED_VALUE"""),"2023-04-012-Q")</f>
        <v>2023-04-012-Q</v>
      </c>
      <c r="K3796" s="164" t="str">
        <f ca="1">IFERROR(__xludf.DUMMYFUNCTION("""COMPUTED_VALUE"""),"BEATRIZ M. ALCONERA")</f>
        <v>BEATRIZ M. ALCONERA</v>
      </c>
      <c r="L3796" s="164" t="str">
        <f ca="1">IFERROR(__xludf.DUMMYFUNCTION("""COMPUTED_VALUE"""),"ADMIN. &amp; FINANCE")</f>
        <v>ADMIN. &amp; FINANCE</v>
      </c>
      <c r="M3796" s="164" t="str">
        <f ca="1">IFERROR(__xludf.DUMMYFUNCTION("""COMPUTED_VALUE"""),"SERVICEABLE")</f>
        <v>SERVICEABLE</v>
      </c>
      <c r="N3796" s="164"/>
    </row>
    <row r="3797" spans="1:14" ht="13.2" hidden="1">
      <c r="A3797" s="164" t="str">
        <f ca="1">IFERROR(__xludf.DUMMYFUNCTION("""COMPUTED_VALUE"""),"Region XI")</f>
        <v>Region XI</v>
      </c>
      <c r="B3797" s="164" t="str">
        <f ca="1">IFERROR(__xludf.DUMMYFUNCTION("""COMPUTED_VALUE"""),"Davao del Norte")</f>
        <v>Davao del Norte</v>
      </c>
      <c r="C3797" s="164" t="str">
        <f ca="1">IFERROR(__xludf.DUMMYFUNCTION("""COMPUTED_VALUE"""),"Desktop Computer – (HP Pro SFF 280G9)")</f>
        <v>Desktop Computer – (HP Pro SFF 280G9)</v>
      </c>
      <c r="D3797" s="164" t="str">
        <f ca="1">IFERROR(__xludf.DUMMYFUNCTION("""COMPUTED_VALUE"""),"₱ 78,898.00")</f>
        <v>₱ 78,898.00</v>
      </c>
      <c r="E3797" s="164"/>
      <c r="F3797" s="164" t="str">
        <f ca="1">IFERROR(__xludf.DUMMYFUNCTION("""COMPUTED_VALUE"""),"2023-05-03-10201SP225-01")</f>
        <v>2023-05-03-10201SP225-01</v>
      </c>
      <c r="G3797" s="164"/>
      <c r="H3797" s="164" t="str">
        <f ca="1">IFERROR(__xludf.DUMMYFUNCTION("""COMPUTED_VALUE"""),"EVELYN S. PARAME")</f>
        <v>EVELYN S. PARAME</v>
      </c>
      <c r="I3797" s="164" t="str">
        <f ca="1">IFERROR(__xludf.DUMMYFUNCTION("""COMPUTED_VALUE"""),"SARPO")</f>
        <v>SARPO</v>
      </c>
      <c r="J3797" s="164" t="str">
        <f ca="1">IFERROR(__xludf.DUMMYFUNCTION("""COMPUTED_VALUE"""),"2023-04-012-P")</f>
        <v>2023-04-012-P</v>
      </c>
      <c r="K3797" s="164" t="str">
        <f ca="1">IFERROR(__xludf.DUMMYFUNCTION("""COMPUTED_VALUE"""),"EVELYN S. PARAME")</f>
        <v>EVELYN S. PARAME</v>
      </c>
      <c r="L3797" s="164" t="str">
        <f ca="1">IFERROR(__xludf.DUMMYFUNCTION("""COMPUTED_VALUE"""),"LTI")</f>
        <v>LTI</v>
      </c>
      <c r="M3797" s="164" t="str">
        <f ca="1">IFERROR(__xludf.DUMMYFUNCTION("""COMPUTED_VALUE"""),"SERVICEABLE")</f>
        <v>SERVICEABLE</v>
      </c>
      <c r="N3797" s="164"/>
    </row>
    <row r="3798" spans="1:14" ht="13.2" hidden="1">
      <c r="A3798" s="164" t="str">
        <f ca="1">IFERROR(__xludf.DUMMYFUNCTION("""COMPUTED_VALUE"""),"Region XI")</f>
        <v>Region XI</v>
      </c>
      <c r="B3798" s="164" t="str">
        <f ca="1">IFERROR(__xludf.DUMMYFUNCTION("""COMPUTED_VALUE"""),"Davao del Norte")</f>
        <v>Davao del Norte</v>
      </c>
      <c r="C3798" s="164" t="str">
        <f ca="1">IFERROR(__xludf.DUMMYFUNCTION("""COMPUTED_VALUE"""),"Laptop – (ACER EXTENSA EX215-55G i7)")</f>
        <v>Laptop – (ACER EXTENSA EX215-55G i7)</v>
      </c>
      <c r="D3798" s="164" t="str">
        <f ca="1">IFERROR(__xludf.DUMMYFUNCTION("""COMPUTED_VALUE"""),"₱ 59,500.00")</f>
        <v>₱ 59,500.00</v>
      </c>
      <c r="E3798" s="164"/>
      <c r="F3798" s="164" t="str">
        <f ca="1">IFERROR(__xludf.DUMMYFUNCTION("""COMPUTED_VALUE"""),"2023-05-03-10202SP289-01")</f>
        <v>2023-05-03-10202SP289-01</v>
      </c>
      <c r="G3798" s="164" t="str">
        <f ca="1">IFERROR(__xludf.DUMMYFUNCTION("""COMPUTED_VALUE"""),"NXEGZSP00330801ADB3400")</f>
        <v>NXEGZSP00330801ADB3400</v>
      </c>
      <c r="H3798" s="164" t="str">
        <f ca="1">IFERROR(__xludf.DUMMYFUNCTION("""COMPUTED_VALUE"""),"MIA JENNIFER S. ALCOMENDRAS")</f>
        <v>MIA JENNIFER S. ALCOMENDRAS</v>
      </c>
      <c r="I3798" s="164" t="str">
        <f ca="1">IFERROR(__xludf.DUMMYFUNCTION("""COMPUTED_VALUE"""),"PLANNING OFFICER II")</f>
        <v>PLANNING OFFICER II</v>
      </c>
      <c r="J3798" s="164" t="str">
        <f ca="1">IFERROR(__xludf.DUMMYFUNCTION("""COMPUTED_VALUE"""),"2023-04-012-S")</f>
        <v>2023-04-012-S</v>
      </c>
      <c r="K3798" s="164" t="str">
        <f ca="1">IFERROR(__xludf.DUMMYFUNCTION("""COMPUTED_VALUE"""),"MIA JENNIFER S. ALCOMENDRAS")</f>
        <v>MIA JENNIFER S. ALCOMENDRAS</v>
      </c>
      <c r="L3798" s="164" t="str">
        <f ca="1">IFERROR(__xludf.DUMMYFUNCTION("""COMPUTED_VALUE"""),"ADMIN. &amp; FINANCE")</f>
        <v>ADMIN. &amp; FINANCE</v>
      </c>
      <c r="M3798" s="164" t="str">
        <f ca="1">IFERROR(__xludf.DUMMYFUNCTION("""COMPUTED_VALUE"""),"SERVICEABLE")</f>
        <v>SERVICEABLE</v>
      </c>
      <c r="N3798" s="164"/>
    </row>
    <row r="3799" spans="1:14" ht="13.2" hidden="1">
      <c r="A3799" s="164" t="str">
        <f ca="1">IFERROR(__xludf.DUMMYFUNCTION("""COMPUTED_VALUE"""),"Region XI")</f>
        <v>Region XI</v>
      </c>
      <c r="B3799" s="164" t="str">
        <f ca="1">IFERROR(__xludf.DUMMYFUNCTION("""COMPUTED_VALUE"""),"Davao del Norte")</f>
        <v>Davao del Norte</v>
      </c>
      <c r="C3799" s="164" t="str">
        <f ca="1">IFERROR(__xludf.DUMMYFUNCTION("""COMPUTED_VALUE"""),"Laptop – (ACER EXTENSA EX215-55G i7)")</f>
        <v>Laptop – (ACER EXTENSA EX215-55G i7)</v>
      </c>
      <c r="D3799" s="164" t="str">
        <f ca="1">IFERROR(__xludf.DUMMYFUNCTION("""COMPUTED_VALUE"""),"₱ 59,500.00")</f>
        <v>₱ 59,500.00</v>
      </c>
      <c r="E3799" s="164"/>
      <c r="F3799" s="164" t="str">
        <f ca="1">IFERROR(__xludf.DUMMYFUNCTION("""COMPUTED_VALUE"""),"2023-05-03-10202SP290-01")</f>
        <v>2023-05-03-10202SP290-01</v>
      </c>
      <c r="G3799" s="164" t="str">
        <f ca="1">IFERROR(__xludf.DUMMYFUNCTION("""COMPUTED_VALUE"""),"NXEGZSP00330801CA03400")</f>
        <v>NXEGZSP00330801CA03400</v>
      </c>
      <c r="H3799" s="164" t="str">
        <f ca="1">IFERROR(__xludf.DUMMYFUNCTION("""COMPUTED_VALUE"""),"JANICE H. MICABALO")</f>
        <v>JANICE H. MICABALO</v>
      </c>
      <c r="I3799" s="164" t="str">
        <f ca="1">IFERROR(__xludf.DUMMYFUNCTION("""COMPUTED_VALUE"""),"ARPO II")</f>
        <v>ARPO II</v>
      </c>
      <c r="J3799" s="164" t="str">
        <f ca="1">IFERROR(__xludf.DUMMYFUNCTION("""COMPUTED_VALUE"""),"2023-04-012-T")</f>
        <v>2023-04-012-T</v>
      </c>
      <c r="K3799" s="164" t="str">
        <f ca="1">IFERROR(__xludf.DUMMYFUNCTION("""COMPUTED_VALUE"""),"JANICE H. MICABALO")</f>
        <v>JANICE H. MICABALO</v>
      </c>
      <c r="L3799" s="164" t="str">
        <f ca="1">IFERROR(__xludf.DUMMYFUNCTION("""COMPUTED_VALUE"""),"LTI")</f>
        <v>LTI</v>
      </c>
      <c r="M3799" s="164" t="str">
        <f ca="1">IFERROR(__xludf.DUMMYFUNCTION("""COMPUTED_VALUE"""),"SERVICEABLE")</f>
        <v>SERVICEABLE</v>
      </c>
      <c r="N3799" s="164"/>
    </row>
    <row r="3800" spans="1:14" ht="13.2" hidden="1">
      <c r="A3800" s="164" t="str">
        <f ca="1">IFERROR(__xludf.DUMMYFUNCTION("""COMPUTED_VALUE"""),"Region XI")</f>
        <v>Region XI</v>
      </c>
      <c r="B3800" s="164" t="str">
        <f ca="1">IFERROR(__xludf.DUMMYFUNCTION("""COMPUTED_VALUE"""),"Davao del Norte")</f>
        <v>Davao del Norte</v>
      </c>
      <c r="C3800" s="164" t="str">
        <f ca="1">IFERROR(__xludf.DUMMYFUNCTION("""COMPUTED_VALUE"""),"Laptop – (ACER EXTENSA EX215-55G i7)")</f>
        <v>Laptop – (ACER EXTENSA EX215-55G i7)</v>
      </c>
      <c r="D3800" s="164" t="str">
        <f ca="1">IFERROR(__xludf.DUMMYFUNCTION("""COMPUTED_VALUE"""),"₱ 59,500.00")</f>
        <v>₱ 59,500.00</v>
      </c>
      <c r="E3800" s="164"/>
      <c r="F3800" s="164" t="str">
        <f ca="1">IFERROR(__xludf.DUMMYFUNCTION("""COMPUTED_VALUE"""),"2023-05-03-10202SP291-01")</f>
        <v>2023-05-03-10202SP291-01</v>
      </c>
      <c r="G3800" s="164" t="str">
        <f ca="1">IFERROR(__xludf.DUMMYFUNCTION("""COMPUTED_VALUE"""),"NXEGZSP00330801DE83400")</f>
        <v>NXEGZSP00330801DE83400</v>
      </c>
      <c r="H3800" s="164" t="str">
        <f ca="1">IFERROR(__xludf.DUMMYFUNCTION("""COMPUTED_VALUE"""),"EVELYN S. PARAME")</f>
        <v>EVELYN S. PARAME</v>
      </c>
      <c r="I3800" s="164" t="str">
        <f ca="1">IFERROR(__xludf.DUMMYFUNCTION("""COMPUTED_VALUE"""),"SARPO")</f>
        <v>SARPO</v>
      </c>
      <c r="J3800" s="164" t="str">
        <f ca="1">IFERROR(__xludf.DUMMYFUNCTION("""COMPUTED_VALUE"""),"2023-04-012-U")</f>
        <v>2023-04-012-U</v>
      </c>
      <c r="K3800" s="164" t="str">
        <f ca="1">IFERROR(__xludf.DUMMYFUNCTION("""COMPUTED_VALUE"""),"EVELYN S. PARAME")</f>
        <v>EVELYN S. PARAME</v>
      </c>
      <c r="L3800" s="164" t="str">
        <f ca="1">IFERROR(__xludf.DUMMYFUNCTION("""COMPUTED_VALUE"""),"LTI")</f>
        <v>LTI</v>
      </c>
      <c r="M3800" s="164" t="str">
        <f ca="1">IFERROR(__xludf.DUMMYFUNCTION("""COMPUTED_VALUE"""),"SERVICEABLE")</f>
        <v>SERVICEABLE</v>
      </c>
      <c r="N3800" s="164"/>
    </row>
    <row r="3801" spans="1:14" ht="13.2" hidden="1">
      <c r="A3801" s="164" t="str">
        <f ca="1">IFERROR(__xludf.DUMMYFUNCTION("""COMPUTED_VALUE"""),"Region XI")</f>
        <v>Region XI</v>
      </c>
      <c r="B3801" s="164" t="str">
        <f ca="1">IFERROR(__xludf.DUMMYFUNCTION("""COMPUTED_VALUE"""),"Davao del Norte")</f>
        <v>Davao del Norte</v>
      </c>
      <c r="C3801" s="164" t="str">
        <f ca="1">IFERROR(__xludf.DUMMYFUNCTION("""COMPUTED_VALUE"""),"Laptop – (ACER EXTENSA EX215-55G i7)")</f>
        <v>Laptop – (ACER EXTENSA EX215-55G i7)</v>
      </c>
      <c r="D3801" s="164" t="str">
        <f ca="1">IFERROR(__xludf.DUMMYFUNCTION("""COMPUTED_VALUE"""),"₱ 59,500.00")</f>
        <v>₱ 59,500.00</v>
      </c>
      <c r="E3801" s="164"/>
      <c r="F3801" s="164" t="str">
        <f ca="1">IFERROR(__xludf.DUMMYFUNCTION("""COMPUTED_VALUE"""),"2023-05-03-10202SP292-01")</f>
        <v>2023-05-03-10202SP292-01</v>
      </c>
      <c r="G3801" s="164" t="str">
        <f ca="1">IFERROR(__xludf.DUMMYFUNCTION("""COMPUTED_VALUE"""),"NXEGZSP00330801AF53400")</f>
        <v>NXEGZSP00330801AF53400</v>
      </c>
      <c r="H3801" s="164" t="str">
        <f ca="1">IFERROR(__xludf.DUMMYFUNCTION("""COMPUTED_VALUE"""),"JOANNAH S. JARA")</f>
        <v>JOANNAH S. JARA</v>
      </c>
      <c r="I3801" s="164" t="str">
        <f ca="1">IFERROR(__xludf.DUMMYFUNCTION("""COMPUTED_VALUE"""),"ARPO I")</f>
        <v>ARPO I</v>
      </c>
      <c r="J3801" s="164" t="str">
        <f ca="1">IFERROR(__xludf.DUMMYFUNCTION("""COMPUTED_VALUE"""),"2023-04-012-V")</f>
        <v>2023-04-012-V</v>
      </c>
      <c r="K3801" s="164" t="str">
        <f ca="1">IFERROR(__xludf.DUMMYFUNCTION("""COMPUTED_VALUE"""),"JOANNAH S. JARA")</f>
        <v>JOANNAH S. JARA</v>
      </c>
      <c r="L3801" s="164" t="str">
        <f ca="1">IFERROR(__xludf.DUMMYFUNCTION("""COMPUTED_VALUE"""),"PBDD")</f>
        <v>PBDD</v>
      </c>
      <c r="M3801" s="164" t="str">
        <f ca="1">IFERROR(__xludf.DUMMYFUNCTION("""COMPUTED_VALUE"""),"SERVICEABLE")</f>
        <v>SERVICEABLE</v>
      </c>
      <c r="N3801" s="164"/>
    </row>
    <row r="3802" spans="1:14" ht="13.2" hidden="1">
      <c r="A3802" s="164" t="str">
        <f ca="1">IFERROR(__xludf.DUMMYFUNCTION("""COMPUTED_VALUE"""),"Region XI")</f>
        <v>Region XI</v>
      </c>
      <c r="B3802" s="164" t="str">
        <f ca="1">IFERROR(__xludf.DUMMYFUNCTION("""COMPUTED_VALUE"""),"Davao del Norte")</f>
        <v>Davao del Norte</v>
      </c>
      <c r="C3802" s="164" t="str">
        <f ca="1">IFERROR(__xludf.DUMMYFUNCTION("""COMPUTED_VALUE"""),"Photocopier Machine – Kyocera")</f>
        <v>Photocopier Machine – Kyocera</v>
      </c>
      <c r="D3802" s="164" t="str">
        <f ca="1">IFERROR(__xludf.DUMMYFUNCTION("""COMPUTED_VALUE"""),"₱ 84,500.00")</f>
        <v>₱ 84,500.00</v>
      </c>
      <c r="E3802" s="164"/>
      <c r="F3802" s="164" t="str">
        <f ca="1">IFERROR(__xludf.DUMMYFUNCTION("""COMPUTED_VALUE"""),"2022-05-02-10202SP74-01")</f>
        <v>2022-05-02-10202SP74-01</v>
      </c>
      <c r="G3802" s="164"/>
      <c r="H3802" s="164" t="str">
        <f ca="1">IFERROR(__xludf.DUMMYFUNCTION("""COMPUTED_VALUE"""),"BEATRIZ M. ALCONERA")</f>
        <v>BEATRIZ M. ALCONERA</v>
      </c>
      <c r="I3802" s="164" t="str">
        <f ca="1">IFERROR(__xludf.DUMMYFUNCTION("""COMPUTED_VALUE"""),"PCAO")</f>
        <v>PCAO</v>
      </c>
      <c r="J3802" s="164" t="str">
        <f ca="1">IFERROR(__xludf.DUMMYFUNCTION("""COMPUTED_VALUE"""),"2022-11-SP-005")</f>
        <v>2022-11-SP-005</v>
      </c>
      <c r="K3802" s="164" t="str">
        <f ca="1">IFERROR(__xludf.DUMMYFUNCTION("""COMPUTED_VALUE"""),"BEATRIZ M. ALCONERA")</f>
        <v>BEATRIZ M. ALCONERA</v>
      </c>
      <c r="L3802" s="164" t="str">
        <f ca="1">IFERROR(__xludf.DUMMYFUNCTION("""COMPUTED_VALUE"""),"ADMIN. &amp; FINANCE")</f>
        <v>ADMIN. &amp; FINANCE</v>
      </c>
      <c r="M3802" s="164" t="str">
        <f ca="1">IFERROR(__xludf.DUMMYFUNCTION("""COMPUTED_VALUE"""),"SERVICEABLE")</f>
        <v>SERVICEABLE</v>
      </c>
      <c r="N3802" s="164"/>
    </row>
    <row r="3803" spans="1:14" ht="13.2" hidden="1">
      <c r="A3803" s="164" t="str">
        <f ca="1">IFERROR(__xludf.DUMMYFUNCTION("""COMPUTED_VALUE"""),"Region XI")</f>
        <v>Region XI</v>
      </c>
      <c r="B3803" s="164" t="str">
        <f ca="1">IFERROR(__xludf.DUMMYFUNCTION("""COMPUTED_VALUE"""),"Davao del Norte")</f>
        <v>Davao del Norte</v>
      </c>
      <c r="C3803" s="164" t="str">
        <f ca="1">IFERROR(__xludf.DUMMYFUNCTION("""COMPUTED_VALUE"""),"A3 PRINTER (BROTHER)")</f>
        <v>A3 PRINTER (BROTHER)</v>
      </c>
      <c r="D3803" s="164" t="str">
        <f ca="1">IFERROR(__xludf.DUMMYFUNCTION("""COMPUTED_VALUE"""),"₱ 33,508.00")</f>
        <v>₱ 33,508.00</v>
      </c>
      <c r="E3803" s="164"/>
      <c r="F3803" s="164" t="str">
        <f ca="1">IFERROR(__xludf.DUMMYFUNCTION("""COMPUTED_VALUE"""),"HV-SPLIT-102-24-05-73")</f>
        <v>HV-SPLIT-102-24-05-73</v>
      </c>
      <c r="G3803" s="164"/>
      <c r="H3803" s="164" t="str">
        <f ca="1">IFERROR(__xludf.DUMMYFUNCTION("""COMPUTED_VALUE"""),"CHARLOTTE H SISON")</f>
        <v>CHARLOTTE H SISON</v>
      </c>
      <c r="I3803" s="164" t="str">
        <f ca="1">IFERROR(__xludf.DUMMYFUNCTION("""COMPUTED_VALUE"""),"ARPO")</f>
        <v>ARPO</v>
      </c>
      <c r="J3803" s="164" t="str">
        <f ca="1">IFERROR(__xludf.DUMMYFUNCTION("""COMPUTED_VALUE"""),"2024-05-013")</f>
        <v>2024-05-013</v>
      </c>
      <c r="K3803" s="164"/>
      <c r="L3803" s="164" t="str">
        <f ca="1">IFERROR(__xludf.DUMMYFUNCTION("""COMPUTED_VALUE"""),"DARPO DAVAO NORTE")</f>
        <v>DARPO DAVAO NORTE</v>
      </c>
      <c r="M3803" s="164" t="str">
        <f ca="1">IFERROR(__xludf.DUMMYFUNCTION("""COMPUTED_VALUE"""),"SERVICEABLE")</f>
        <v>SERVICEABLE</v>
      </c>
      <c r="N3803" s="164"/>
    </row>
    <row r="3804" spans="1:14" ht="13.2" hidden="1">
      <c r="A3804" s="164" t="str">
        <f ca="1">IFERROR(__xludf.DUMMYFUNCTION("""COMPUTED_VALUE"""),"Region XI")</f>
        <v>Region XI</v>
      </c>
      <c r="B3804" s="164" t="str">
        <f ca="1">IFERROR(__xludf.DUMMYFUNCTION("""COMPUTED_VALUE"""),"Davao del Sur")</f>
        <v>Davao del Sur</v>
      </c>
      <c r="C3804" s="164" t="str">
        <f ca="1">IFERROR(__xludf.DUMMYFUNCTION("""COMPUTED_VALUE"""),"A3 PRINTER (BROTHER)")</f>
        <v>A3 PRINTER (BROTHER)</v>
      </c>
      <c r="D3804" s="164" t="str">
        <f ca="1">IFERROR(__xludf.DUMMYFUNCTION("""COMPUTED_VALUE"""),"₱ 33,508.00")</f>
        <v>₱ 33,508.00</v>
      </c>
      <c r="E3804" s="164"/>
      <c r="F3804" s="164" t="str">
        <f ca="1">IFERROR(__xludf.DUMMYFUNCTION("""COMPUTED_VALUE"""),"HV-SPLIT-102-24-05-76")</f>
        <v>HV-SPLIT-102-24-05-76</v>
      </c>
      <c r="G3804" s="164"/>
      <c r="H3804" s="164" t="str">
        <f ca="1">IFERROR(__xludf.DUMMYFUNCTION("""COMPUTED_VALUE"""),"CHARLOTTE H SISON")</f>
        <v>CHARLOTTE H SISON</v>
      </c>
      <c r="I3804" s="164" t="str">
        <f ca="1">IFERROR(__xludf.DUMMYFUNCTION("""COMPUTED_VALUE"""),"ARPO")</f>
        <v>ARPO</v>
      </c>
      <c r="J3804" s="164" t="str">
        <f ca="1">IFERROR(__xludf.DUMMYFUNCTION("""COMPUTED_VALUE"""),"2024-05-013")</f>
        <v>2024-05-013</v>
      </c>
      <c r="K3804" s="164"/>
      <c r="L3804" s="164" t="str">
        <f ca="1">IFERROR(__xludf.DUMMYFUNCTION("""COMPUTED_VALUE"""),"DARPO DAVAO SUR")</f>
        <v>DARPO DAVAO SUR</v>
      </c>
      <c r="M3804" s="164" t="str">
        <f ca="1">IFERROR(__xludf.DUMMYFUNCTION("""COMPUTED_VALUE"""),"SERVICEABLE")</f>
        <v>SERVICEABLE</v>
      </c>
      <c r="N3804" s="164"/>
    </row>
    <row r="3805" spans="1:14" ht="13.2">
      <c r="A3805" s="164" t="str">
        <f ca="1">IFERROR(__xludf.DUMMYFUNCTION("""COMPUTED_VALUE"""),"Region XI")</f>
        <v>Region XI</v>
      </c>
      <c r="B3805" s="164" t="str">
        <f ca="1">IFERROR(__xludf.DUMMYFUNCTION("""COMPUTED_VALUE"""),"Davao Oriental")</f>
        <v>Davao Oriental</v>
      </c>
      <c r="C3805" s="164" t="str">
        <f ca="1">IFERROR(__xludf.DUMMYFUNCTION("""COMPUTED_VALUE"""),"A3 PRINTER (BROTHER)")</f>
        <v>A3 PRINTER (BROTHER)</v>
      </c>
      <c r="D3805" s="164" t="str">
        <f ca="1">IFERROR(__xludf.DUMMYFUNCTION("""COMPUTED_VALUE"""),"₱ 33,508.00")</f>
        <v>₱ 33,508.00</v>
      </c>
      <c r="E3805" s="164"/>
      <c r="F3805" s="164" t="str">
        <f ca="1">IFERROR(__xludf.DUMMYFUNCTION("""COMPUTED_VALUE"""),"HV-SPLIT-102-24-05-81")</f>
        <v>HV-SPLIT-102-24-05-81</v>
      </c>
      <c r="G3805" s="164"/>
      <c r="H3805" s="164" t="str">
        <f ca="1">IFERROR(__xludf.DUMMYFUNCTION("""COMPUTED_VALUE"""),"CHARLOTTE H SISON")</f>
        <v>CHARLOTTE H SISON</v>
      </c>
      <c r="I3805" s="164" t="str">
        <f ca="1">IFERROR(__xludf.DUMMYFUNCTION("""COMPUTED_VALUE"""),"ARPO")</f>
        <v>ARPO</v>
      </c>
      <c r="J3805" s="164" t="str">
        <f ca="1">IFERROR(__xludf.DUMMYFUNCTION("""COMPUTED_VALUE"""),"2024-05-013")</f>
        <v>2024-05-013</v>
      </c>
      <c r="K3805" s="164"/>
      <c r="L3805" s="164" t="str">
        <f ca="1">IFERROR(__xludf.DUMMYFUNCTION("""COMPUTED_VALUE"""),"DARPO DAVAO ORIENTAL")</f>
        <v>DARPO DAVAO ORIENTAL</v>
      </c>
      <c r="M3805" s="164" t="str">
        <f ca="1">IFERROR(__xludf.DUMMYFUNCTION("""COMPUTED_VALUE"""),"SERVICEABLE")</f>
        <v>SERVICEABLE</v>
      </c>
      <c r="N3805" s="164"/>
    </row>
    <row r="3806" spans="1:14" ht="13.2" hidden="1">
      <c r="A3806" s="164" t="str">
        <f ca="1">IFERROR(__xludf.DUMMYFUNCTION("""COMPUTED_VALUE"""),"Region XI")</f>
        <v>Region XI</v>
      </c>
      <c r="B3806" s="164" t="str">
        <f ca="1">IFERROR(__xludf.DUMMYFUNCTION("""COMPUTED_VALUE"""),"Davao del Sur")</f>
        <v>Davao del Sur</v>
      </c>
      <c r="C3806" s="164" t="str">
        <f ca="1">IFERROR(__xludf.DUMMYFUNCTION("""COMPUTED_VALUE"""),"Photocopier Machine – Kyocera")</f>
        <v>Photocopier Machine – Kyocera</v>
      </c>
      <c r="D3806" s="164" t="str">
        <f ca="1">IFERROR(__xludf.DUMMYFUNCTION("""COMPUTED_VALUE"""),"₱ 84,500.00")</f>
        <v>₱ 84,500.00</v>
      </c>
      <c r="E3806" s="164"/>
      <c r="F3806" s="164" t="str">
        <f ca="1">IFERROR(__xludf.DUMMYFUNCTION("""COMPUTED_VALUE"""),"2022-05-02-10202SP71-01")</f>
        <v>2022-05-02-10202SP71-01</v>
      </c>
      <c r="G3806" s="164" t="str">
        <f ca="1">IFERROR(__xludf.DUMMYFUNCTION("""COMPUTED_VALUE"""),"RNK2700182")</f>
        <v>RNK2700182</v>
      </c>
      <c r="H3806" s="164" t="str">
        <f ca="1">IFERROR(__xludf.DUMMYFUNCTION("""COMPUTED_VALUE"""),"LEONILO D. CASAURAN")</f>
        <v>LEONILO D. CASAURAN</v>
      </c>
      <c r="I3806" s="164" t="str">
        <f ca="1">IFERROR(__xludf.DUMMYFUNCTION("""COMPUTED_VALUE"""),"CARPO")</f>
        <v>CARPO</v>
      </c>
      <c r="J3806" s="164" t="str">
        <f ca="1">IFERROR(__xludf.DUMMYFUNCTION("""COMPUTED_VALUE"""),"DARCO PTR 2022-11-007S / DARRO PTR 2022-11-SP-003 / PAR 2023-10-034")</f>
        <v>DARCO PTR 2022-11-007S / DARRO PTR 2022-11-SP-003 / PAR 2023-10-034</v>
      </c>
      <c r="K3806" s="164" t="str">
        <f ca="1">IFERROR(__xludf.DUMMYFUNCTION("""COMPUTED_VALUE"""),"LEONILO D. CASAURAN")</f>
        <v>LEONILO D. CASAURAN</v>
      </c>
      <c r="L3806" s="164" t="str">
        <f ca="1">IFERROR(__xludf.DUMMYFUNCTION("""COMPUTED_VALUE"""),"LTID")</f>
        <v>LTID</v>
      </c>
      <c r="M3806" s="164" t="str">
        <f ca="1">IFERROR(__xludf.DUMMYFUNCTION("""COMPUTED_VALUE"""),"SERVICEABLE")</f>
        <v>SERVICEABLE</v>
      </c>
      <c r="N3806" s="164"/>
    </row>
    <row r="3807" spans="1:14" ht="13.2" hidden="1">
      <c r="A3807" s="164" t="str">
        <f ca="1">IFERROR(__xludf.DUMMYFUNCTION("""COMPUTED_VALUE"""),"Region XI")</f>
        <v>Region XI</v>
      </c>
      <c r="B3807" s="164" t="str">
        <f ca="1">IFERROR(__xludf.DUMMYFUNCTION("""COMPUTED_VALUE"""),"Davao del Sur")</f>
        <v>Davao del Sur</v>
      </c>
      <c r="C3807" s="164" t="str">
        <f ca="1">IFERROR(__xludf.DUMMYFUNCTION("""COMPUTED_VALUE"""),"REAL-TIME KINEMATIC – GEOMAX ZENITH60")</f>
        <v>REAL-TIME KINEMATIC – GEOMAX ZENITH60</v>
      </c>
      <c r="D3807" s="164" t="str">
        <f ca="1">IFERROR(__xludf.DUMMYFUNCTION("""COMPUTED_VALUE"""),"₱ 1,849,000.00")</f>
        <v>₱ 1,849,000.00</v>
      </c>
      <c r="E3807" s="164"/>
      <c r="F3807" s="164" t="str">
        <f ca="1">IFERROR(__xludf.DUMMYFUNCTION("""COMPUTED_VALUE"""),"2023-05-14-1021SP44-01")</f>
        <v>2023-05-14-1021SP44-01</v>
      </c>
      <c r="G3807" s="164" t="str">
        <f ca="1">IFERROR(__xludf.DUMMYFUNCTION("""COMPUTED_VALUE"""),"Z60SN272200394")</f>
        <v>Z60SN272200394</v>
      </c>
      <c r="H3807" s="164" t="str">
        <f ca="1">IFERROR(__xludf.DUMMYFUNCTION("""COMPUTED_VALUE"""),"ENGR. EUTIQUIO PAGSAC, III")</f>
        <v>ENGR. EUTIQUIO PAGSAC, III</v>
      </c>
      <c r="I3807" s="164" t="str">
        <f ca="1">IFERROR(__xludf.DUMMYFUNCTION("""COMPUTED_VALUE"""),"ENGINEER II")</f>
        <v>ENGINEER II</v>
      </c>
      <c r="J3807" s="164" t="str">
        <f ca="1">IFERROR(__xludf.DUMMYFUNCTION("""COMPUTED_VALUE"""),"DARCO PTR 2023-03-045S / DARRO PTR 2023-03-SP-003A / PAR 2023-05-018")</f>
        <v>DARCO PTR 2023-03-045S / DARRO PTR 2023-03-SP-003A / PAR 2023-05-018</v>
      </c>
      <c r="K3807" s="164" t="str">
        <f ca="1">IFERROR(__xludf.DUMMYFUNCTION("""COMPUTED_VALUE"""),"ENGR. EUTIQUIO PAGSAC, III")</f>
        <v>ENGR. EUTIQUIO PAGSAC, III</v>
      </c>
      <c r="L3807" s="164" t="str">
        <f ca="1">IFERROR(__xludf.DUMMYFUNCTION("""COMPUTED_VALUE"""),"LTID")</f>
        <v>LTID</v>
      </c>
      <c r="M3807" s="164" t="str">
        <f ca="1">IFERROR(__xludf.DUMMYFUNCTION("""COMPUTED_VALUE"""),"SERVICEABLE")</f>
        <v>SERVICEABLE</v>
      </c>
      <c r="N3807" s="164"/>
    </row>
    <row r="3808" spans="1:14" ht="13.2" hidden="1">
      <c r="A3808" s="164" t="str">
        <f ca="1">IFERROR(__xludf.DUMMYFUNCTION("""COMPUTED_VALUE"""),"Region XI")</f>
        <v>Region XI</v>
      </c>
      <c r="B3808" s="164" t="str">
        <f ca="1">IFERROR(__xludf.DUMMYFUNCTION("""COMPUTED_VALUE"""),"Davao del Sur")</f>
        <v>Davao del Sur</v>
      </c>
      <c r="C3808" s="164" t="str">
        <f ca="1">IFERROR(__xludf.DUMMYFUNCTION("""COMPUTED_VALUE"""),"TOTAL STATION – GEOMAX TOTAL STATION ZOOM 50")</f>
        <v>TOTAL STATION – GEOMAX TOTAL STATION ZOOM 50</v>
      </c>
      <c r="D3808" s="164" t="str">
        <f ca="1">IFERROR(__xludf.DUMMYFUNCTION("""COMPUTED_VALUE"""),"₱ 648,000.00")</f>
        <v>₱ 648,000.00</v>
      </c>
      <c r="E3808" s="164"/>
      <c r="F3808" s="164" t="str">
        <f ca="1">IFERROR(__xludf.DUMMYFUNCTION("""COMPUTED_VALUE"""),"2023-05-14-1021SP44-01")</f>
        <v>2023-05-14-1021SP44-01</v>
      </c>
      <c r="G3808" s="164" t="str">
        <f ca="1">IFERROR(__xludf.DUMMYFUNCTION("""COMPUTED_VALUE"""),"2839955")</f>
        <v>2839955</v>
      </c>
      <c r="H3808" s="164" t="str">
        <f ca="1">IFERROR(__xludf.DUMMYFUNCTION("""COMPUTED_VALUE"""),"ENGR. EUTIQUIO PAGSAC, III")</f>
        <v>ENGR. EUTIQUIO PAGSAC, III</v>
      </c>
      <c r="I3808" s="164" t="str">
        <f ca="1">IFERROR(__xludf.DUMMYFUNCTION("""COMPUTED_VALUE"""),"ENGINEER II")</f>
        <v>ENGINEER II</v>
      </c>
      <c r="J3808" s="164" t="str">
        <f ca="1">IFERROR(__xludf.DUMMYFUNCTION("""COMPUTED_VALUE"""),"DARCO PTR 2023-03-045S / DARRO PTR 2023-03-SP-003B / PAR 2023-05-019")</f>
        <v>DARCO PTR 2023-03-045S / DARRO PTR 2023-03-SP-003B / PAR 2023-05-019</v>
      </c>
      <c r="K3808" s="164" t="str">
        <f ca="1">IFERROR(__xludf.DUMMYFUNCTION("""COMPUTED_VALUE"""),"ENGR. EUTIQUIO PAGSAC, III")</f>
        <v>ENGR. EUTIQUIO PAGSAC, III</v>
      </c>
      <c r="L3808" s="164" t="str">
        <f ca="1">IFERROR(__xludf.DUMMYFUNCTION("""COMPUTED_VALUE"""),"LTID")</f>
        <v>LTID</v>
      </c>
      <c r="M3808" s="164" t="str">
        <f ca="1">IFERROR(__xludf.DUMMYFUNCTION("""COMPUTED_VALUE"""),"SERVICEABLE")</f>
        <v>SERVICEABLE</v>
      </c>
      <c r="N3808" s="164"/>
    </row>
    <row r="3809" spans="1:14" ht="13.2" hidden="1">
      <c r="A3809" s="164" t="str">
        <f ca="1">IFERROR(__xludf.DUMMYFUNCTION("""COMPUTED_VALUE"""),"Region XI")</f>
        <v>Region XI</v>
      </c>
      <c r="B3809" s="164" t="str">
        <f ca="1">IFERROR(__xludf.DUMMYFUNCTION("""COMPUTED_VALUE"""),"Davao del Sur")</f>
        <v>Davao del Sur</v>
      </c>
      <c r="C3809" s="164" t="str">
        <f ca="1">IFERROR(__xludf.DUMMYFUNCTION("""COMPUTED_VALUE"""),"HANDHELD GPS – MODEL P6")</f>
        <v>HANDHELD GPS – MODEL P6</v>
      </c>
      <c r="D3809" s="164" t="str">
        <f ca="1">IFERROR(__xludf.DUMMYFUNCTION("""COMPUTED_VALUE"""),"₱ 79,000.00")</f>
        <v>₱ 79,000.00</v>
      </c>
      <c r="E3809" s="164"/>
      <c r="F3809" s="164" t="str">
        <f ca="1">IFERROR(__xludf.DUMMYFUNCTION("""COMPUTED_VALUE"""),"2023-05-14-10202SP26-01")</f>
        <v>2023-05-14-10202SP26-01</v>
      </c>
      <c r="G3809" s="164" t="str">
        <f ca="1">IFERROR(__xludf.DUMMYFUNCTION("""COMPUTED_VALUE"""),"SP10730087")</f>
        <v>SP10730087</v>
      </c>
      <c r="H3809" s="164" t="str">
        <f ca="1">IFERROR(__xludf.DUMMYFUNCTION("""COMPUTED_VALUE"""),"ENGR. EUTIQUIO PAGSAC, III")</f>
        <v>ENGR. EUTIQUIO PAGSAC, III</v>
      </c>
      <c r="I3809" s="164" t="str">
        <f ca="1">IFERROR(__xludf.DUMMYFUNCTION("""COMPUTED_VALUE"""),"ENGINEER II")</f>
        <v>ENGINEER II</v>
      </c>
      <c r="J3809" s="164" t="str">
        <f ca="1">IFERROR(__xludf.DUMMYFUNCTION("""COMPUTED_VALUE"""),"DARCO PTR 2023-03-045S / DARRO PTR 2023-03-SP-006 / PAR 2023-05-020")</f>
        <v>DARCO PTR 2023-03-045S / DARRO PTR 2023-03-SP-006 / PAR 2023-05-020</v>
      </c>
      <c r="K3809" s="164" t="str">
        <f ca="1">IFERROR(__xludf.DUMMYFUNCTION("""COMPUTED_VALUE"""),"ENGR. EUTIQUIO PAGSAC, III")</f>
        <v>ENGR. EUTIQUIO PAGSAC, III</v>
      </c>
      <c r="L3809" s="164" t="str">
        <f ca="1">IFERROR(__xludf.DUMMYFUNCTION("""COMPUTED_VALUE"""),"LTID")</f>
        <v>LTID</v>
      </c>
      <c r="M3809" s="164" t="str">
        <f ca="1">IFERROR(__xludf.DUMMYFUNCTION("""COMPUTED_VALUE"""),"SERVICEABLE")</f>
        <v>SERVICEABLE</v>
      </c>
      <c r="N3809" s="164"/>
    </row>
    <row r="3810" spans="1:14" ht="13.2">
      <c r="A3810" s="164" t="str">
        <f ca="1">IFERROR(__xludf.DUMMYFUNCTION("""COMPUTED_VALUE"""),"Region XI")</f>
        <v>Region XI</v>
      </c>
      <c r="B3810" s="164" t="str">
        <f ca="1">IFERROR(__xludf.DUMMYFUNCTION("""COMPUTED_VALUE"""),"Davao Oriental")</f>
        <v>Davao Oriental</v>
      </c>
      <c r="C3810" s="164" t="str">
        <f ca="1">IFERROR(__xludf.DUMMYFUNCTION("""COMPUTED_VALUE"""),"HANDHELD GPS – MODEL P6")</f>
        <v>HANDHELD GPS – MODEL P6</v>
      </c>
      <c r="D3810" s="164" t="str">
        <f ca="1">IFERROR(__xludf.DUMMYFUNCTION("""COMPUTED_VALUE"""),"₱ 79,000.00")</f>
        <v>₱ 79,000.00</v>
      </c>
      <c r="E3810" s="164"/>
      <c r="F3810" s="164" t="str">
        <f ca="1">IFERROR(__xludf.DUMMYFUNCTION("""COMPUTED_VALUE"""),"2023-05-14-10202SP25-01")</f>
        <v>2023-05-14-10202SP25-01</v>
      </c>
      <c r="G3810" s="164" t="str">
        <f ca="1">IFERROR(__xludf.DUMMYFUNCTION("""COMPUTED_VALUE"""),"SP10730031")</f>
        <v>SP10730031</v>
      </c>
      <c r="H3810" s="164" t="str">
        <f ca="1">IFERROR(__xludf.DUMMYFUNCTION("""COMPUTED_VALUE"""),"ENGR. JEIGFRED PEPITO")</f>
        <v>ENGR. JEIGFRED PEPITO</v>
      </c>
      <c r="I3810" s="164" t="str">
        <f ca="1">IFERROR(__xludf.DUMMYFUNCTION("""COMPUTED_VALUE"""),"ENGINEER II")</f>
        <v>ENGINEER II</v>
      </c>
      <c r="J3810" s="164" t="str">
        <f ca="1">IFERROR(__xludf.DUMMYFUNCTION("""COMPUTED_VALUE"""),"DARCO PTR 2023-03-045S / DARRO PTR 2023-03-SP-005 / PAR __")</f>
        <v>DARCO PTR 2023-03-045S / DARRO PTR 2023-03-SP-005 / PAR __</v>
      </c>
      <c r="K3810" s="164" t="str">
        <f ca="1">IFERROR(__xludf.DUMMYFUNCTION("""COMPUTED_VALUE"""),"ENGR. JEIGFRED PEPITO")</f>
        <v>ENGR. JEIGFRED PEPITO</v>
      </c>
      <c r="L3810" s="164" t="str">
        <f ca="1">IFERROR(__xludf.DUMMYFUNCTION("""COMPUTED_VALUE"""),"LTID")</f>
        <v>LTID</v>
      </c>
      <c r="M3810" s="164" t="str">
        <f ca="1">IFERROR(__xludf.DUMMYFUNCTION("""COMPUTED_VALUE"""),"SERVICEABLE")</f>
        <v>SERVICEABLE</v>
      </c>
      <c r="N3810" s="164" t="str">
        <f ca="1">IFERROR(__xludf.DUMMYFUNCTION("""COMPUTED_VALUE"""),"NO PAR No.")</f>
        <v>NO PAR No.</v>
      </c>
    </row>
    <row r="3811" spans="1:14" ht="13.2" hidden="1">
      <c r="A3811" s="164" t="str">
        <f ca="1">IFERROR(__xludf.DUMMYFUNCTION("""COMPUTED_VALUE"""),"Region XI")</f>
        <v>Region XI</v>
      </c>
      <c r="B3811" s="164" t="str">
        <f ca="1">IFERROR(__xludf.DUMMYFUNCTION("""COMPUTED_VALUE"""),"Davao del Sur")</f>
        <v>Davao del Sur</v>
      </c>
      <c r="C3811" s="164" t="str">
        <f ca="1">IFERROR(__xludf.DUMMYFUNCTION("""COMPUTED_VALUE"""),"Laptop – (ACER EXTENSA EX215-55G i7)")</f>
        <v>Laptop – (ACER EXTENSA EX215-55G i7)</v>
      </c>
      <c r="D3811" s="164" t="str">
        <f ca="1">IFERROR(__xludf.DUMMYFUNCTION("""COMPUTED_VALUE"""),"₱ 59,500.00")</f>
        <v>₱ 59,500.00</v>
      </c>
      <c r="E3811" s="164"/>
      <c r="F3811" s="164" t="str">
        <f ca="1">IFERROR(__xludf.DUMMYFUNCTION("""COMPUTED_VALUE"""),"2023-05-03-10202SP293-01")</f>
        <v>2023-05-03-10202SP293-01</v>
      </c>
      <c r="G3811" s="164" t="str">
        <f ca="1">IFERROR(__xludf.DUMMYFUNCTION("""COMPUTED_VALUE"""),"NXEGZSP00330801A983400")</f>
        <v>NXEGZSP00330801A983400</v>
      </c>
      <c r="H3811" s="164" t="str">
        <f ca="1">IFERROR(__xludf.DUMMYFUNCTION("""COMPUTED_VALUE"""),"JUPITER S. ARANDELA, JR.")</f>
        <v>JUPITER S. ARANDELA, JR.</v>
      </c>
      <c r="I3811" s="164" t="str">
        <f ca="1">IFERROR(__xludf.DUMMYFUNCTION("""COMPUTED_VALUE"""),"PARPO II")</f>
        <v>PARPO II</v>
      </c>
      <c r="J3811" s="164" t="str">
        <f ca="1">IFERROR(__xludf.DUMMYFUNCTION("""COMPUTED_VALUE"""),"DARCO PTR 2023-08-051S / DARRO PTR 2023-09-SP-022 / PAR 2023-09-032")</f>
        <v>DARCO PTR 2023-08-051S / DARRO PTR 2023-09-SP-022 / PAR 2023-09-032</v>
      </c>
      <c r="K3811" s="164" t="str">
        <f ca="1">IFERROR(__xludf.DUMMYFUNCTION("""COMPUTED_VALUE"""),"JUPITER S. ARANDELA, JR.")</f>
        <v>JUPITER S. ARANDELA, JR.</v>
      </c>
      <c r="L3811" s="164" t="str">
        <f ca="1">IFERROR(__xludf.DUMMYFUNCTION("""COMPUTED_VALUE"""),"PARO")</f>
        <v>PARO</v>
      </c>
      <c r="M3811" s="164" t="str">
        <f ca="1">IFERROR(__xludf.DUMMYFUNCTION("""COMPUTED_VALUE"""),"SERVICEABLE")</f>
        <v>SERVICEABLE</v>
      </c>
      <c r="N3811" s="164"/>
    </row>
    <row r="3812" spans="1:14" ht="13.2" hidden="1">
      <c r="A3812" s="164" t="str">
        <f ca="1">IFERROR(__xludf.DUMMYFUNCTION("""COMPUTED_VALUE"""),"Region XI")</f>
        <v>Region XI</v>
      </c>
      <c r="B3812" s="164" t="str">
        <f ca="1">IFERROR(__xludf.DUMMYFUNCTION("""COMPUTED_VALUE"""),"Davao del Sur")</f>
        <v>Davao del Sur</v>
      </c>
      <c r="C3812" s="164" t="str">
        <f ca="1">IFERROR(__xludf.DUMMYFUNCTION("""COMPUTED_VALUE"""),"Laptop – (ACER EXTENSA EX215-55G i7)")</f>
        <v>Laptop – (ACER EXTENSA EX215-55G i7)</v>
      </c>
      <c r="D3812" s="164" t="str">
        <f ca="1">IFERROR(__xludf.DUMMYFUNCTION("""COMPUTED_VALUE"""),"₱ 59,500.00")</f>
        <v>₱ 59,500.00</v>
      </c>
      <c r="E3812" s="164"/>
      <c r="F3812" s="164" t="str">
        <f ca="1">IFERROR(__xludf.DUMMYFUNCTION("""COMPUTED_VALUE"""),"2023-05-03-10202SP294-01")</f>
        <v>2023-05-03-10202SP294-01</v>
      </c>
      <c r="G3812" s="164" t="str">
        <f ca="1">IFERROR(__xludf.DUMMYFUNCTION("""COMPUTED_VALUE"""),"NXEGZSP00330801BD03400")</f>
        <v>NXEGZSP00330801BD03400</v>
      </c>
      <c r="H3812" s="164" t="str">
        <f ca="1">IFERROR(__xludf.DUMMYFUNCTION("""COMPUTED_VALUE"""),"FE E. VASQUEZ")</f>
        <v>FE E. VASQUEZ</v>
      </c>
      <c r="I3812" s="164" t="str">
        <f ca="1">IFERROR(__xludf.DUMMYFUNCTION("""COMPUTED_VALUE"""),"CARTOGRAOHER")</f>
        <v>CARTOGRAOHER</v>
      </c>
      <c r="J3812" s="164" t="str">
        <f ca="1">IFERROR(__xludf.DUMMYFUNCTION("""COMPUTED_VALUE"""),"DARCO PTR 2023-08-051S / DARRO PTR 2023-09-SP-022 / PAR 2023-09-029")</f>
        <v>DARCO PTR 2023-08-051S / DARRO PTR 2023-09-SP-022 / PAR 2023-09-029</v>
      </c>
      <c r="K3812" s="164" t="str">
        <f ca="1">IFERROR(__xludf.DUMMYFUNCTION("""COMPUTED_VALUE"""),"DAN CHRISTIAN M. MACAS")</f>
        <v>DAN CHRISTIAN M. MACAS</v>
      </c>
      <c r="L3812" s="164" t="str">
        <f ca="1">IFERROR(__xludf.DUMMYFUNCTION("""COMPUTED_VALUE"""),"SPLIT-MIS")</f>
        <v>SPLIT-MIS</v>
      </c>
      <c r="M3812" s="164" t="str">
        <f ca="1">IFERROR(__xludf.DUMMYFUNCTION("""COMPUTED_VALUE"""),"SERVICEABLE")</f>
        <v>SERVICEABLE</v>
      </c>
      <c r="N3812" s="164"/>
    </row>
    <row r="3813" spans="1:14" ht="13.2" hidden="1">
      <c r="A3813" s="164" t="str">
        <f ca="1">IFERROR(__xludf.DUMMYFUNCTION("""COMPUTED_VALUE"""),"Region XI")</f>
        <v>Region XI</v>
      </c>
      <c r="B3813" s="164" t="str">
        <f ca="1">IFERROR(__xludf.DUMMYFUNCTION("""COMPUTED_VALUE"""),"Davao del Sur")</f>
        <v>Davao del Sur</v>
      </c>
      <c r="C3813" s="164" t="str">
        <f ca="1">IFERROR(__xludf.DUMMYFUNCTION("""COMPUTED_VALUE"""),"Laptop – (ACER EXTENSA EX215-55G i7)")</f>
        <v>Laptop – (ACER EXTENSA EX215-55G i7)</v>
      </c>
      <c r="D3813" s="164" t="str">
        <f ca="1">IFERROR(__xludf.DUMMYFUNCTION("""COMPUTED_VALUE"""),"₱ 59,500.00")</f>
        <v>₱ 59,500.00</v>
      </c>
      <c r="E3813" s="164"/>
      <c r="F3813" s="164" t="str">
        <f ca="1">IFERROR(__xludf.DUMMYFUNCTION("""COMPUTED_VALUE"""),"2023-05-03-10202SP80-01 &gt; 
NEW 2023-05-10-10202SP-80-04")</f>
        <v>2023-05-03-10202SP80-01 &gt; 
NEW 2023-05-10-10202SP-80-04</v>
      </c>
      <c r="G3813" s="164"/>
      <c r="H3813" s="164" t="str">
        <f ca="1">IFERROR(__xludf.DUMMYFUNCTION("""COMPUTED_VALUE"""),"JOEL B. BAYLA")</f>
        <v>JOEL B. BAYLA</v>
      </c>
      <c r="I3813" s="164" t="str">
        <f ca="1">IFERROR(__xludf.DUMMYFUNCTION("""COMPUTED_VALUE"""),"ARPT")</f>
        <v>ARPT</v>
      </c>
      <c r="J3813" s="164" t="str">
        <f ca="1">IFERROR(__xludf.DUMMYFUNCTION("""COMPUTED_VALUE"""),"PAR 2023-05-025")</f>
        <v>PAR 2023-05-025</v>
      </c>
      <c r="K3813" s="164" t="str">
        <f ca="1">IFERROR(__xludf.DUMMYFUNCTION("""COMPUTED_VALUE"""),"JOELB.BAYLA")</f>
        <v>JOELB.BAYLA</v>
      </c>
      <c r="L3813" s="164" t="str">
        <f ca="1">IFERROR(__xludf.DUMMYFUNCTION("""COMPUTED_VALUE"""),"MARO BANSALAN")</f>
        <v>MARO BANSALAN</v>
      </c>
      <c r="M3813" s="164" t="str">
        <f ca="1">IFERROR(__xludf.DUMMYFUNCTION("""COMPUTED_VALUE"""),"SERVICEABLE")</f>
        <v>SERVICEABLE</v>
      </c>
      <c r="N3813" s="164" t="str">
        <f ca="1">IFERROR(__xludf.DUMMYFUNCTION("""COMPUTED_VALUE"""),"Directly issued from DARCO to recipient")</f>
        <v>Directly issued from DARCO to recipient</v>
      </c>
    </row>
    <row r="3814" spans="1:14" ht="13.2">
      <c r="A3814" s="164" t="str">
        <f ca="1">IFERROR(__xludf.DUMMYFUNCTION("""COMPUTED_VALUE"""),"Region XI")</f>
        <v>Region XI</v>
      </c>
      <c r="B3814" s="164" t="str">
        <f ca="1">IFERROR(__xludf.DUMMYFUNCTION("""COMPUTED_VALUE"""),"Davao Oriental")</f>
        <v>Davao Oriental</v>
      </c>
      <c r="C3814" s="164" t="str">
        <f ca="1">IFERROR(__xludf.DUMMYFUNCTION("""COMPUTED_VALUE"""),"Laptop – (ACER EXTENSA EX215-55G i7)")</f>
        <v>Laptop – (ACER EXTENSA EX215-55G i7)</v>
      </c>
      <c r="D3814" s="164" t="str">
        <f ca="1">IFERROR(__xludf.DUMMYFUNCTION("""COMPUTED_VALUE"""),"₱ 59,500.00")</f>
        <v>₱ 59,500.00</v>
      </c>
      <c r="E3814" s="164"/>
      <c r="F3814" s="164" t="str">
        <f ca="1">IFERROR(__xludf.DUMMYFUNCTION("""COMPUTED_VALUE"""),"2023-05-03-10202SP297-01")</f>
        <v>2023-05-03-10202SP297-01</v>
      </c>
      <c r="G3814" s="164" t="str">
        <f ca="1">IFERROR(__xludf.DUMMYFUNCTION("""COMPUTED_VALUE"""),"NXEGZSP00330801BAE3400")</f>
        <v>NXEGZSP00330801BAE3400</v>
      </c>
      <c r="H3814" s="164" t="str">
        <f ca="1">IFERROR(__xludf.DUMMYFUNCTION("""COMPUTED_VALUE"""),"ELISA S. DACULA")</f>
        <v>ELISA S. DACULA</v>
      </c>
      <c r="I3814" s="164" t="str">
        <f ca="1">IFERROR(__xludf.DUMMYFUNCTION("""COMPUTED_VALUE"""),"PLANNING OFFICER IV/M&amp;E COORDINATOR")</f>
        <v>PLANNING OFFICER IV/M&amp;E COORDINATOR</v>
      </c>
      <c r="J3814" s="164" t="str">
        <f ca="1">IFERROR(__xludf.DUMMYFUNCTION("""COMPUTED_VALUE"""),"DARCO PTR 2023-08-051S / DARRO PTR 2023-09-SP-024 / PAR _________")</f>
        <v>DARCO PTR 2023-08-051S / DARRO PTR 2023-09-SP-024 / PAR _________</v>
      </c>
      <c r="K3814" s="164" t="str">
        <f ca="1">IFERROR(__xludf.DUMMYFUNCTION("""COMPUTED_VALUE"""),"ELISA S. DACULA")</f>
        <v>ELISA S. DACULA</v>
      </c>
      <c r="L3814" s="164" t="str">
        <f ca="1">IFERROR(__xludf.DUMMYFUNCTION("""COMPUTED_VALUE"""),"STOD")</f>
        <v>STOD</v>
      </c>
      <c r="M3814" s="164" t="str">
        <f ca="1">IFERROR(__xludf.DUMMYFUNCTION("""COMPUTED_VALUE"""),"SERVICEABLE")</f>
        <v>SERVICEABLE</v>
      </c>
      <c r="N3814" s="164" t="str">
        <f ca="1">IFERROR(__xludf.DUMMYFUNCTION("""COMPUTED_VALUE"""),"NO PAR No.")</f>
        <v>NO PAR No.</v>
      </c>
    </row>
    <row r="3815" spans="1:14" ht="13.2">
      <c r="A3815" s="164" t="str">
        <f ca="1">IFERROR(__xludf.DUMMYFUNCTION("""COMPUTED_VALUE"""),"Region XI")</f>
        <v>Region XI</v>
      </c>
      <c r="B3815" s="164" t="str">
        <f ca="1">IFERROR(__xludf.DUMMYFUNCTION("""COMPUTED_VALUE"""),"Davao Oriental")</f>
        <v>Davao Oriental</v>
      </c>
      <c r="C3815" s="164" t="str">
        <f ca="1">IFERROR(__xludf.DUMMYFUNCTION("""COMPUTED_VALUE"""),"Laptop – (ACER EXTENSA EX215-55G i7)")</f>
        <v>Laptop – (ACER EXTENSA EX215-55G i7)</v>
      </c>
      <c r="D3815" s="164" t="str">
        <f ca="1">IFERROR(__xludf.DUMMYFUNCTION("""COMPUTED_VALUE"""),"₱ 59,500.00")</f>
        <v>₱ 59,500.00</v>
      </c>
      <c r="E3815" s="164"/>
      <c r="F3815" s="164" t="str">
        <f ca="1">IFERROR(__xludf.DUMMYFUNCTION("""COMPUTED_VALUE"""),"2023-05-03-10202SP298-01")</f>
        <v>2023-05-03-10202SP298-01</v>
      </c>
      <c r="G3815" s="164" t="str">
        <f ca="1">IFERROR(__xludf.DUMMYFUNCTION("""COMPUTED_VALUE"""),"NXEGZSP00330801D133400")</f>
        <v>NXEGZSP00330801D133400</v>
      </c>
      <c r="H3815" s="164" t="str">
        <f ca="1">IFERROR(__xludf.DUMMYFUNCTION("""COMPUTED_VALUE"""),"DANIEL P. APALE")</f>
        <v>DANIEL P. APALE</v>
      </c>
      <c r="I3815" s="164" t="str">
        <f ca="1">IFERROR(__xludf.DUMMYFUNCTION("""COMPUTED_VALUE"""),"ARPT/MISS COORDINATOR")</f>
        <v>ARPT/MISS COORDINATOR</v>
      </c>
      <c r="J3815" s="164" t="str">
        <f ca="1">IFERROR(__xludf.DUMMYFUNCTION("""COMPUTED_VALUE"""),"DARCO PTR 2023-08-051S / DARRO PTR 2023-09-SP-024 / PAR _________")</f>
        <v>DARCO PTR 2023-08-051S / DARRO PTR 2023-09-SP-024 / PAR _________</v>
      </c>
      <c r="K3815" s="164" t="str">
        <f ca="1">IFERROR(__xludf.DUMMYFUNCTION("""COMPUTED_VALUE"""),"DANIEL P. APALE")</f>
        <v>DANIEL P. APALE</v>
      </c>
      <c r="L3815" s="164" t="str">
        <f ca="1">IFERROR(__xludf.DUMMYFUNCTION("""COMPUTED_VALUE"""),"DARPO")</f>
        <v>DARPO</v>
      </c>
      <c r="M3815" s="164" t="str">
        <f ca="1">IFERROR(__xludf.DUMMYFUNCTION("""COMPUTED_VALUE"""),"SERVICEABLE")</f>
        <v>SERVICEABLE</v>
      </c>
      <c r="N3815" s="164" t="str">
        <f ca="1">IFERROR(__xludf.DUMMYFUNCTION("""COMPUTED_VALUE"""),"NO PAR No.")</f>
        <v>NO PAR No.</v>
      </c>
    </row>
    <row r="3816" spans="1:14" ht="13.2">
      <c r="A3816" s="164" t="str">
        <f ca="1">IFERROR(__xludf.DUMMYFUNCTION("""COMPUTED_VALUE"""),"Region XI")</f>
        <v>Region XI</v>
      </c>
      <c r="B3816" s="164" t="str">
        <f ca="1">IFERROR(__xludf.DUMMYFUNCTION("""COMPUTED_VALUE"""),"Davao Oriental")</f>
        <v>Davao Oriental</v>
      </c>
      <c r="C3816" s="164" t="str">
        <f ca="1">IFERROR(__xludf.DUMMYFUNCTION("""COMPUTED_VALUE"""),"Laptop – (ACER EXTENSA EX215-55G i7)")</f>
        <v>Laptop – (ACER EXTENSA EX215-55G i7)</v>
      </c>
      <c r="D3816" s="164" t="str">
        <f ca="1">IFERROR(__xludf.DUMMYFUNCTION("""COMPUTED_VALUE"""),"₱ 59,500.00")</f>
        <v>₱ 59,500.00</v>
      </c>
      <c r="E3816" s="164"/>
      <c r="F3816" s="164" t="str">
        <f ca="1">IFERROR(__xludf.DUMMYFUNCTION("""COMPUTED_VALUE"""),"2023-05-03-10202SP299-01")</f>
        <v>2023-05-03-10202SP299-01</v>
      </c>
      <c r="G3816" s="164" t="str">
        <f ca="1">IFERROR(__xludf.DUMMYFUNCTION("""COMPUTED_VALUE"""),"NXEGZSP00330801F353400")</f>
        <v>NXEGZSP00330801F353400</v>
      </c>
      <c r="H3816" s="164" t="str">
        <f ca="1">IFERROR(__xludf.DUMMYFUNCTION("""COMPUTED_VALUE"""),"EDUARDO E. SUAYBAGUIO")</f>
        <v>EDUARDO E. SUAYBAGUIO</v>
      </c>
      <c r="I3816" s="164" t="str">
        <f ca="1">IFERROR(__xludf.DUMMYFUNCTION("""COMPUTED_VALUE"""),"PARPO II")</f>
        <v>PARPO II</v>
      </c>
      <c r="J3816" s="164" t="str">
        <f ca="1">IFERROR(__xludf.DUMMYFUNCTION("""COMPUTED_VALUE"""),"DARCO PTR 2023-08-051S / DARRO PTR 2023-09-SP-024 / PAR _________")</f>
        <v>DARCO PTR 2023-08-051S / DARRO PTR 2023-09-SP-024 / PAR _________</v>
      </c>
      <c r="K3816" s="164" t="str">
        <f ca="1">IFERROR(__xludf.DUMMYFUNCTION("""COMPUTED_VALUE"""),"EDUARDO E. SUAYBAGUIO")</f>
        <v>EDUARDO E. SUAYBAGUIO</v>
      </c>
      <c r="L3816" s="164" t="str">
        <f ca="1">IFERROR(__xludf.DUMMYFUNCTION("""COMPUTED_VALUE"""),"PARO")</f>
        <v>PARO</v>
      </c>
      <c r="M3816" s="164" t="str">
        <f ca="1">IFERROR(__xludf.DUMMYFUNCTION("""COMPUTED_VALUE"""),"SERVICEABLE")</f>
        <v>SERVICEABLE</v>
      </c>
      <c r="N3816" s="164" t="str">
        <f ca="1">IFERROR(__xludf.DUMMYFUNCTION("""COMPUTED_VALUE"""),"NO PAR No.")</f>
        <v>NO PAR No.</v>
      </c>
    </row>
    <row r="3817" spans="1:14" ht="13.2">
      <c r="A3817" s="164" t="str">
        <f ca="1">IFERROR(__xludf.DUMMYFUNCTION("""COMPUTED_VALUE"""),"Region XI")</f>
        <v>Region XI</v>
      </c>
      <c r="B3817" s="164" t="str">
        <f ca="1">IFERROR(__xludf.DUMMYFUNCTION("""COMPUTED_VALUE"""),"Davao Oriental")</f>
        <v>Davao Oriental</v>
      </c>
      <c r="C3817" s="164" t="str">
        <f ca="1">IFERROR(__xludf.DUMMYFUNCTION("""COMPUTED_VALUE"""),"Laptop – (ACER EXTENSA EX215-55G i7)")</f>
        <v>Laptop – (ACER EXTENSA EX215-55G i7)</v>
      </c>
      <c r="D3817" s="164" t="str">
        <f ca="1">IFERROR(__xludf.DUMMYFUNCTION("""COMPUTED_VALUE"""),"₱ 59,500.00")</f>
        <v>₱ 59,500.00</v>
      </c>
      <c r="E3817" s="164"/>
      <c r="F3817" s="164" t="str">
        <f ca="1">IFERROR(__xludf.DUMMYFUNCTION("""COMPUTED_VALUE"""),"2023-05-03-10202SP300-01")</f>
        <v>2023-05-03-10202SP300-01</v>
      </c>
      <c r="G3817" s="164" t="str">
        <f ca="1">IFERROR(__xludf.DUMMYFUNCTION("""COMPUTED_VALUE"""),"NXEGZSP00330801D7D3400")</f>
        <v>NXEGZSP00330801D7D3400</v>
      </c>
      <c r="H3817" s="164" t="str">
        <f ca="1">IFERROR(__xludf.DUMMYFUNCTION("""COMPUTED_VALUE"""),"LANELIE AGUANTAA")</f>
        <v>LANELIE AGUANTAA</v>
      </c>
      <c r="I3817" s="164" t="str">
        <f ca="1">IFERROR(__xludf.DUMMYFUNCTION("""COMPUTED_VALUE"""),"ARPT")</f>
        <v>ARPT</v>
      </c>
      <c r="J3817" s="164" t="str">
        <f ca="1">IFERROR(__xludf.DUMMYFUNCTION("""COMPUTED_VALUE"""),"DARCO PTR 2023-08-051S / DARRO PTR 2023-09-SP-024 / PAR _________")</f>
        <v>DARCO PTR 2023-08-051S / DARRO PTR 2023-09-SP-024 / PAR _________</v>
      </c>
      <c r="K3817" s="164" t="str">
        <f ca="1">IFERROR(__xludf.DUMMYFUNCTION("""COMPUTED_VALUE"""),"LANELIE AGUANTAA")</f>
        <v>LANELIE AGUANTAA</v>
      </c>
      <c r="L3817" s="164" t="str">
        <f ca="1">IFERROR(__xludf.DUMMYFUNCTION("""COMPUTED_VALUE"""),"PBD")</f>
        <v>PBD</v>
      </c>
      <c r="M3817" s="164" t="str">
        <f ca="1">IFERROR(__xludf.DUMMYFUNCTION("""COMPUTED_VALUE"""),"SERVICEABLE")</f>
        <v>SERVICEABLE</v>
      </c>
      <c r="N3817" s="164" t="str">
        <f ca="1">IFERROR(__xludf.DUMMYFUNCTION("""COMPUTED_VALUE"""),"NO PAR No.")</f>
        <v>NO PAR No.</v>
      </c>
    </row>
    <row r="3818" spans="1:14" ht="13.2" hidden="1">
      <c r="A3818" s="164" t="str">
        <f ca="1">IFERROR(__xludf.DUMMYFUNCTION("""COMPUTED_VALUE"""),"Region XI")</f>
        <v>Region XI</v>
      </c>
      <c r="B3818" s="164" t="str">
        <f ca="1">IFERROR(__xludf.DUMMYFUNCTION("""COMPUTED_VALUE"""),"Davao del Sur")</f>
        <v>Davao del Sur</v>
      </c>
      <c r="C3818" s="164" t="str">
        <f ca="1">IFERROR(__xludf.DUMMYFUNCTION("""COMPUTED_VALUE"""),"Desktop Computer – (Lenovo M70T)")</f>
        <v>Desktop Computer – (Lenovo M70T)</v>
      </c>
      <c r="D3818" s="164" t="str">
        <f ca="1">IFERROR(__xludf.DUMMYFUNCTION("""COMPUTED_VALUE"""),"₱ 75,468.00")</f>
        <v>₱ 75,468.00</v>
      </c>
      <c r="E3818" s="164"/>
      <c r="F3818" s="164" t="str">
        <f ca="1">IFERROR(__xludf.DUMMYFUNCTION("""COMPUTED_VALUE"""),"2023-05-03-10201SP1592-01")</f>
        <v>2023-05-03-10201SP1592-01</v>
      </c>
      <c r="G3818" s="164" t="str">
        <f ca="1">IFERROR(__xludf.DUMMYFUNCTION("""COMPUTED_VALUE"""),"1S11T5S16200GM041B00")</f>
        <v>1S11T5S16200GM041B00</v>
      </c>
      <c r="H3818" s="164" t="str">
        <f ca="1">IFERROR(__xludf.DUMMYFUNCTION("""COMPUTED_VALUE"""),"MARY GRACE L. MAGHARI")</f>
        <v>MARY GRACE L. MAGHARI</v>
      </c>
      <c r="I3818" s="164" t="str">
        <f ca="1">IFERROR(__xludf.DUMMYFUNCTION("""COMPUTED_VALUE"""),"BUDGET OFFICER")</f>
        <v>BUDGET OFFICER</v>
      </c>
      <c r="J3818" s="164" t="str">
        <f ca="1">IFERROR(__xludf.DUMMYFUNCTION("""COMPUTED_VALUE"""),"DARCO PTR 2023-04-074 / DARRO PTR 2023-03-SP-014 / PAR 2023-04-006")</f>
        <v>DARCO PTR 2023-04-074 / DARRO PTR 2023-03-SP-014 / PAR 2023-04-006</v>
      </c>
      <c r="K3818" s="164" t="str">
        <f ca="1">IFERROR(__xludf.DUMMYFUNCTION("""COMPUTED_VALUE"""),"MA. CARMEN DE VERA")</f>
        <v>MA. CARMEN DE VERA</v>
      </c>
      <c r="L3818" s="164" t="str">
        <f ca="1">IFERROR(__xludf.DUMMYFUNCTION("""COMPUTED_VALUE"""),"DARPO - PERSONNEL")</f>
        <v>DARPO - PERSONNEL</v>
      </c>
      <c r="M3818" s="164"/>
      <c r="N3818" s="164"/>
    </row>
    <row r="3819" spans="1:14" ht="13.2" hidden="1">
      <c r="A3819" s="164" t="str">
        <f ca="1">IFERROR(__xludf.DUMMYFUNCTION("""COMPUTED_VALUE"""),"Region XI")</f>
        <v>Region XI</v>
      </c>
      <c r="B3819" s="164" t="str">
        <f ca="1">IFERROR(__xludf.DUMMYFUNCTION("""COMPUTED_VALUE"""),"Davao del Sur")</f>
        <v>Davao del Sur</v>
      </c>
      <c r="C3819" s="164" t="str">
        <f ca="1">IFERROR(__xludf.DUMMYFUNCTION("""COMPUTED_VALUE"""),"Desktop Computer – (Lenovo M70T)")</f>
        <v>Desktop Computer – (Lenovo M70T)</v>
      </c>
      <c r="D3819" s="164" t="str">
        <f ca="1">IFERROR(__xludf.DUMMYFUNCTION("""COMPUTED_VALUE"""),"₱ 75,468.00")</f>
        <v>₱ 75,468.00</v>
      </c>
      <c r="E3819" s="164"/>
      <c r="F3819" s="164" t="str">
        <f ca="1">IFERROR(__xludf.DUMMYFUNCTION("""COMPUTED_VALUE"""),"2023-05-03-10201SP1593-01")</f>
        <v>2023-05-03-10201SP1593-01</v>
      </c>
      <c r="G3819" s="164" t="str">
        <f ca="1">IFERROR(__xludf.DUMMYFUNCTION("""COMPUTED_VALUE"""),"1S11T5S16200GM0418E2")</f>
        <v>1S11T5S16200GM0418E2</v>
      </c>
      <c r="H3819" s="164" t="str">
        <f ca="1">IFERROR(__xludf.DUMMYFUNCTION("""COMPUTED_VALUE"""),"CHRISTIAN C. LABAJO")</f>
        <v>CHRISTIAN C. LABAJO</v>
      </c>
      <c r="I3819" s="164" t="str">
        <f ca="1">IFERROR(__xludf.DUMMYFUNCTION("""COMPUTED_VALUE"""),"ACCOUNTANT")</f>
        <v>ACCOUNTANT</v>
      </c>
      <c r="J3819" s="164" t="str">
        <f ca="1">IFERROR(__xludf.DUMMYFUNCTION("""COMPUTED_VALUE"""),"DARCO PTR 2023-04-074 / DARRO PTR 2023-03-SP-014 / PAR 2023-04-007")</f>
        <v>DARCO PTR 2023-04-074 / DARRO PTR 2023-03-SP-014 / PAR 2023-04-007</v>
      </c>
      <c r="K3819" s="164" t="str">
        <f ca="1">IFERROR(__xludf.DUMMYFUNCTION("""COMPUTED_VALUE"""),"CHRISTIAN C. LABAJO")</f>
        <v>CHRISTIAN C. LABAJO</v>
      </c>
      <c r="L3819" s="164" t="str">
        <f ca="1">IFERROR(__xludf.DUMMYFUNCTION("""COMPUTED_VALUE"""),"DARPO - STO")</f>
        <v>DARPO - STO</v>
      </c>
      <c r="M3819" s="164"/>
      <c r="N3819" s="164"/>
    </row>
    <row r="3820" spans="1:14" ht="13.2" hidden="1">
      <c r="A3820" s="164" t="str">
        <f ca="1">IFERROR(__xludf.DUMMYFUNCTION("""COMPUTED_VALUE"""),"Region XI")</f>
        <v>Region XI</v>
      </c>
      <c r="B3820" s="164" t="str">
        <f ca="1">IFERROR(__xludf.DUMMYFUNCTION("""COMPUTED_VALUE"""),"Davao del Sur")</f>
        <v>Davao del Sur</v>
      </c>
      <c r="C3820" s="164" t="str">
        <f ca="1">IFERROR(__xludf.DUMMYFUNCTION("""COMPUTED_VALUE"""),"Desktop Computer – (Lenovo M70T)")</f>
        <v>Desktop Computer – (Lenovo M70T)</v>
      </c>
      <c r="D3820" s="164" t="str">
        <f ca="1">IFERROR(__xludf.DUMMYFUNCTION("""COMPUTED_VALUE"""),"₱ 75,468.00")</f>
        <v>₱ 75,468.00</v>
      </c>
      <c r="E3820" s="164"/>
      <c r="F3820" s="164" t="str">
        <f ca="1">IFERROR(__xludf.DUMMYFUNCTION("""COMPUTED_VALUE"""),"2023-05-03-10201SP1594-01")</f>
        <v>2023-05-03-10201SP1594-01</v>
      </c>
      <c r="G3820" s="164" t="str">
        <f ca="1">IFERROR(__xludf.DUMMYFUNCTION("""COMPUTED_VALUE"""),"1S11T5S16200GM0415TT")</f>
        <v>1S11T5S16200GM0415TT</v>
      </c>
      <c r="H3820" s="164" t="str">
        <f ca="1">IFERROR(__xludf.DUMMYFUNCTION("""COMPUTED_VALUE"""),"EVANGELINE DELA CERNA")</f>
        <v>EVANGELINE DELA CERNA</v>
      </c>
      <c r="I3820" s="164" t="str">
        <f ca="1">IFERROR(__xludf.DUMMYFUNCTION("""COMPUTED_VALUE"""),"CARPO")</f>
        <v>CARPO</v>
      </c>
      <c r="J3820" s="164" t="str">
        <f ca="1">IFERROR(__xludf.DUMMYFUNCTION("""COMPUTED_VALUE"""),"DARCO PTR 2023-04-074 / DARRO PTR 2023-03-SP-014 / PAR 2023-04-017")</f>
        <v>DARCO PTR 2023-04-074 / DARRO PTR 2023-03-SP-014 / PAR 2023-04-017</v>
      </c>
      <c r="K3820" s="164" t="str">
        <f ca="1">IFERROR(__xludf.DUMMYFUNCTION("""COMPUTED_VALUE"""),"EVANGELINE DELA CERNA")</f>
        <v>EVANGELINE DELA CERNA</v>
      </c>
      <c r="L3820" s="164" t="str">
        <f ca="1">IFERROR(__xludf.DUMMYFUNCTION("""COMPUTED_VALUE"""),"DARPO - PBDD")</f>
        <v>DARPO - PBDD</v>
      </c>
      <c r="M3820" s="164" t="str">
        <f ca="1">IFERROR(__xludf.DUMMYFUNCTION("""COMPUTED_VALUE"""),"SERVICEABLE")</f>
        <v>SERVICEABLE</v>
      </c>
      <c r="N3820" s="164"/>
    </row>
    <row r="3821" spans="1:14" ht="13.2" hidden="1">
      <c r="A3821" s="164" t="str">
        <f ca="1">IFERROR(__xludf.DUMMYFUNCTION("""COMPUTED_VALUE"""),"Region XI")</f>
        <v>Region XI</v>
      </c>
      <c r="B3821" s="164" t="str">
        <f ca="1">IFERROR(__xludf.DUMMYFUNCTION("""COMPUTED_VALUE"""),"Davao del Sur")</f>
        <v>Davao del Sur</v>
      </c>
      <c r="C3821" s="164" t="str">
        <f ca="1">IFERROR(__xludf.DUMMYFUNCTION("""COMPUTED_VALUE"""),"Desktop Computer – (Lenovo M70T)")</f>
        <v>Desktop Computer – (Lenovo M70T)</v>
      </c>
      <c r="D3821" s="164" t="str">
        <f ca="1">IFERROR(__xludf.DUMMYFUNCTION("""COMPUTED_VALUE"""),"₱ 75,468.00")</f>
        <v>₱ 75,468.00</v>
      </c>
      <c r="E3821" s="164"/>
      <c r="F3821" s="164" t="str">
        <f ca="1">IFERROR(__xludf.DUMMYFUNCTION("""COMPUTED_VALUE"""),"2023-05-03-10201SP1595-01")</f>
        <v>2023-05-03-10201SP1595-01</v>
      </c>
      <c r="G3821" s="164" t="str">
        <f ca="1">IFERROR(__xludf.DUMMYFUNCTION("""COMPUTED_VALUE"""),"1S11T5S16200GM0418LA")</f>
        <v>1S11T5S16200GM0418LA</v>
      </c>
      <c r="H3821" s="164" t="str">
        <f ca="1">IFERROR(__xludf.DUMMYFUNCTION("""COMPUTED_VALUE"""),"LEONILO D. CASAURAN")</f>
        <v>LEONILO D. CASAURAN</v>
      </c>
      <c r="I3821" s="164" t="str">
        <f ca="1">IFERROR(__xludf.DUMMYFUNCTION("""COMPUTED_VALUE"""),"CARPO")</f>
        <v>CARPO</v>
      </c>
      <c r="J3821" s="164" t="str">
        <f ca="1">IFERROR(__xludf.DUMMYFUNCTION("""COMPUTED_VALUE"""),"DARCO PTR 2023-04-074 / DARRO PTR 2023-03-SP-014 / PAR 2023-04-011")</f>
        <v>DARCO PTR 2023-04-074 / DARRO PTR 2023-03-SP-014 / PAR 2023-04-011</v>
      </c>
      <c r="K3821" s="164" t="str">
        <f ca="1">IFERROR(__xludf.DUMMYFUNCTION("""COMPUTED_VALUE"""),"LEONILO D. CASAURAN")</f>
        <v>LEONILO D. CASAURAN</v>
      </c>
      <c r="L3821" s="164" t="str">
        <f ca="1">IFERROR(__xludf.DUMMYFUNCTION("""COMPUTED_VALUE"""),"LTID")</f>
        <v>LTID</v>
      </c>
      <c r="M3821" s="164" t="str">
        <f ca="1">IFERROR(__xludf.DUMMYFUNCTION("""COMPUTED_VALUE"""),"SERVICEABLE")</f>
        <v>SERVICEABLE</v>
      </c>
      <c r="N3821" s="164"/>
    </row>
    <row r="3822" spans="1:14" ht="13.2" hidden="1">
      <c r="A3822" s="164" t="str">
        <f ca="1">IFERROR(__xludf.DUMMYFUNCTION("""COMPUTED_VALUE"""),"Region XI")</f>
        <v>Region XI</v>
      </c>
      <c r="B3822" s="164" t="str">
        <f ca="1">IFERROR(__xludf.DUMMYFUNCTION("""COMPUTED_VALUE"""),"Davao del Sur")</f>
        <v>Davao del Sur</v>
      </c>
      <c r="C3822" s="164" t="str">
        <f ca="1">IFERROR(__xludf.DUMMYFUNCTION("""COMPUTED_VALUE"""),"Desktop Computer – (Lenovo M70T)")</f>
        <v>Desktop Computer – (Lenovo M70T)</v>
      </c>
      <c r="D3822" s="164" t="str">
        <f ca="1">IFERROR(__xludf.DUMMYFUNCTION("""COMPUTED_VALUE"""),"₱ 75,468.00")</f>
        <v>₱ 75,468.00</v>
      </c>
      <c r="E3822" s="164"/>
      <c r="F3822" s="164" t="str">
        <f ca="1">IFERROR(__xludf.DUMMYFUNCTION("""COMPUTED_VALUE"""),"2023-05-03-10201SP1596-01")</f>
        <v>2023-05-03-10201SP1596-01</v>
      </c>
      <c r="G3822" s="164" t="str">
        <f ca="1">IFERROR(__xludf.DUMMYFUNCTION("""COMPUTED_VALUE"""),"1S11T5S16200GM041AZQ")</f>
        <v>1S11T5S16200GM041AZQ</v>
      </c>
      <c r="H3822" s="164" t="str">
        <f ca="1">IFERROR(__xludf.DUMMYFUNCTION("""COMPUTED_VALUE"""),"MARIETH S. FLORENTINO")</f>
        <v>MARIETH S. FLORENTINO</v>
      </c>
      <c r="I3822" s="164" t="str">
        <f ca="1">IFERROR(__xludf.DUMMYFUNCTION("""COMPUTED_VALUE"""),"ARPT")</f>
        <v>ARPT</v>
      </c>
      <c r="J3822" s="164" t="str">
        <f ca="1">IFERROR(__xludf.DUMMYFUNCTION("""COMPUTED_VALUE"""),"DARCO PTR 2023-04-074 / DARRO PTR 2023-03-SP-014 / PAR 2023-04-012")</f>
        <v>DARCO PTR 2023-04-074 / DARRO PTR 2023-03-SP-014 / PAR 2023-04-012</v>
      </c>
      <c r="K3822" s="164" t="str">
        <f ca="1">IFERROR(__xludf.DUMMYFUNCTION("""COMPUTED_VALUE"""),"DAN CHRISTIAN M. MACAS")</f>
        <v>DAN CHRISTIAN M. MACAS</v>
      </c>
      <c r="L3822" s="164" t="str">
        <f ca="1">IFERROR(__xludf.DUMMYFUNCTION("""COMPUTED_VALUE"""),"SPLIT - MIS")</f>
        <v>SPLIT - MIS</v>
      </c>
      <c r="M3822" s="164" t="str">
        <f ca="1">IFERROR(__xludf.DUMMYFUNCTION("""COMPUTED_VALUE"""),"SERVICEABLE")</f>
        <v>SERVICEABLE</v>
      </c>
      <c r="N3822" s="164"/>
    </row>
    <row r="3823" spans="1:14" ht="13.2" hidden="1">
      <c r="A3823" s="164" t="str">
        <f ca="1">IFERROR(__xludf.DUMMYFUNCTION("""COMPUTED_VALUE"""),"Region XI")</f>
        <v>Region XI</v>
      </c>
      <c r="B3823" s="164" t="str">
        <f ca="1">IFERROR(__xludf.DUMMYFUNCTION("""COMPUTED_VALUE"""),"Davao del Sur")</f>
        <v>Davao del Sur</v>
      </c>
      <c r="C3823" s="164" t="str">
        <f ca="1">IFERROR(__xludf.DUMMYFUNCTION("""COMPUTED_VALUE"""),"Desktop Computer – (Lenovo M70T)")</f>
        <v>Desktop Computer – (Lenovo M70T)</v>
      </c>
      <c r="D3823" s="164" t="str">
        <f ca="1">IFERROR(__xludf.DUMMYFUNCTION("""COMPUTED_VALUE"""),"₱ 75,468.00")</f>
        <v>₱ 75,468.00</v>
      </c>
      <c r="E3823" s="164"/>
      <c r="F3823" s="164" t="str">
        <f ca="1">IFERROR(__xludf.DUMMYFUNCTION("""COMPUTED_VALUE"""),"2023-05-03-10201SP1597-01")</f>
        <v>2023-05-03-10201SP1597-01</v>
      </c>
      <c r="G3823" s="164" t="str">
        <f ca="1">IFERROR(__xludf.DUMMYFUNCTION("""COMPUTED_VALUE"""),"1S11T5S16200GM0415WR")</f>
        <v>1S11T5S16200GM0415WR</v>
      </c>
      <c r="H3823" s="164" t="str">
        <f ca="1">IFERROR(__xludf.DUMMYFUNCTION("""COMPUTED_VALUE"""),"IMELDA V. DIMAANO")</f>
        <v>IMELDA V. DIMAANO</v>
      </c>
      <c r="I3823" s="164" t="str">
        <f ca="1">IFERROR(__xludf.DUMMYFUNCTION("""COMPUTED_VALUE"""),"CAO")</f>
        <v>CAO</v>
      </c>
      <c r="J3823" s="164" t="str">
        <f ca="1">IFERROR(__xludf.DUMMYFUNCTION("""COMPUTED_VALUE"""),"DARCO PTR 2023-04-074 / DARRO PTR 2023-03-SP-014 / PAR 2023-04-013")</f>
        <v>DARCO PTR 2023-04-074 / DARRO PTR 2023-03-SP-014 / PAR 2023-04-013</v>
      </c>
      <c r="K3823" s="164" t="str">
        <f ca="1">IFERROR(__xludf.DUMMYFUNCTION("""COMPUTED_VALUE"""),"KHAZZANDRA ABALDE")</f>
        <v>KHAZZANDRA ABALDE</v>
      </c>
      <c r="L3823" s="164" t="str">
        <f ca="1">IFERROR(__xludf.DUMMYFUNCTION("""COMPUTED_VALUE"""),"SPLIT ACCOUNTING")</f>
        <v>SPLIT ACCOUNTING</v>
      </c>
      <c r="M3823" s="164" t="str">
        <f ca="1">IFERROR(__xludf.DUMMYFUNCTION("""COMPUTED_VALUE"""),"SERVICEABLE")</f>
        <v>SERVICEABLE</v>
      </c>
      <c r="N3823" s="164"/>
    </row>
    <row r="3824" spans="1:14" ht="13.2" hidden="1">
      <c r="A3824" s="164" t="str">
        <f ca="1">IFERROR(__xludf.DUMMYFUNCTION("""COMPUTED_VALUE"""),"Region XI")</f>
        <v>Region XI</v>
      </c>
      <c r="B3824" s="164" t="str">
        <f ca="1">IFERROR(__xludf.DUMMYFUNCTION("""COMPUTED_VALUE"""),"Davao del Sur")</f>
        <v>Davao del Sur</v>
      </c>
      <c r="C3824" s="164" t="str">
        <f ca="1">IFERROR(__xludf.DUMMYFUNCTION("""COMPUTED_VALUE"""),"Desktop Computer – (Lenovo M70T)")</f>
        <v>Desktop Computer – (Lenovo M70T)</v>
      </c>
      <c r="D3824" s="164" t="str">
        <f ca="1">IFERROR(__xludf.DUMMYFUNCTION("""COMPUTED_VALUE"""),"₱ 75,468.00")</f>
        <v>₱ 75,468.00</v>
      </c>
      <c r="E3824" s="164"/>
      <c r="F3824" s="164" t="str">
        <f ca="1">IFERROR(__xludf.DUMMYFUNCTION("""COMPUTED_VALUE"""),"2023-05-03-10201SP1598-01")</f>
        <v>2023-05-03-10201SP1598-01</v>
      </c>
      <c r="G3824" s="164" t="str">
        <f ca="1">IFERROR(__xludf.DUMMYFUNCTION("""COMPUTED_VALUE"""),"1S11T5S16200GM0415TQ")</f>
        <v>1S11T5S16200GM0415TQ</v>
      </c>
      <c r="H3824" s="164" t="str">
        <f ca="1">IFERROR(__xludf.DUMMYFUNCTION("""COMPUTED_VALUE"""),"FE E. VELASQUEZ")</f>
        <v>FE E. VELASQUEZ</v>
      </c>
      <c r="I3824" s="164" t="str">
        <f ca="1">IFERROR(__xludf.DUMMYFUNCTION("""COMPUTED_VALUE"""),"CARTOGRAPHER II")</f>
        <v>CARTOGRAPHER II</v>
      </c>
      <c r="J3824" s="164" t="str">
        <f ca="1">IFERROR(__xludf.DUMMYFUNCTION("""COMPUTED_VALUE"""),"DARCO PTR 2023-04-074 / DARRO PTR 2023-03-SP-014 / PAR 2023-04-014")</f>
        <v>DARCO PTR 2023-04-074 / DARRO PTR 2023-03-SP-014 / PAR 2023-04-014</v>
      </c>
      <c r="K3824" s="164" t="str">
        <f ca="1">IFERROR(__xludf.DUMMYFUNCTION("""COMPUTED_VALUE"""),"RICHCHELYN GENON")</f>
        <v>RICHCHELYN GENON</v>
      </c>
      <c r="L3824" s="164" t="str">
        <f ca="1">IFERROR(__xludf.DUMMYFUNCTION("""COMPUTED_VALUE"""),"LTID")</f>
        <v>LTID</v>
      </c>
      <c r="M3824" s="164" t="str">
        <f ca="1">IFERROR(__xludf.DUMMYFUNCTION("""COMPUTED_VALUE"""),"SERVICEABLE")</f>
        <v>SERVICEABLE</v>
      </c>
      <c r="N3824" s="164"/>
    </row>
    <row r="3825" spans="1:14" ht="13.2" hidden="1">
      <c r="A3825" s="164" t="str">
        <f ca="1">IFERROR(__xludf.DUMMYFUNCTION("""COMPUTED_VALUE"""),"Region XI")</f>
        <v>Region XI</v>
      </c>
      <c r="B3825" s="164" t="str">
        <f ca="1">IFERROR(__xludf.DUMMYFUNCTION("""COMPUTED_VALUE"""),"Davao del Sur")</f>
        <v>Davao del Sur</v>
      </c>
      <c r="C3825" s="164" t="str">
        <f ca="1">IFERROR(__xludf.DUMMYFUNCTION("""COMPUTED_VALUE"""),"Desktop Computer – (Lenovo M70T)")</f>
        <v>Desktop Computer – (Lenovo M70T)</v>
      </c>
      <c r="D3825" s="164" t="str">
        <f ca="1">IFERROR(__xludf.DUMMYFUNCTION("""COMPUTED_VALUE"""),"₱ 75,468.00")</f>
        <v>₱ 75,468.00</v>
      </c>
      <c r="E3825" s="164"/>
      <c r="F3825" s="164" t="str">
        <f ca="1">IFERROR(__xludf.DUMMYFUNCTION("""COMPUTED_VALUE"""),"2023-05-03-10201SP1599-01")</f>
        <v>2023-05-03-10201SP1599-01</v>
      </c>
      <c r="G3825" s="164" t="str">
        <f ca="1">IFERROR(__xludf.DUMMYFUNCTION("""COMPUTED_VALUE"""),"1S11T5S16200GM041B19")</f>
        <v>1S11T5S16200GM041B19</v>
      </c>
      <c r="H3825" s="164" t="str">
        <f ca="1">IFERROR(__xludf.DUMMYFUNCTION("""COMPUTED_VALUE"""),"MARY GRACE L. MAGHARI")</f>
        <v>MARY GRACE L. MAGHARI</v>
      </c>
      <c r="I3825" s="164" t="str">
        <f ca="1">IFERROR(__xludf.DUMMYFUNCTION("""COMPUTED_VALUE"""),"BUDGET OFFICER")</f>
        <v>BUDGET OFFICER</v>
      </c>
      <c r="J3825" s="164" t="str">
        <f ca="1">IFERROR(__xludf.DUMMYFUNCTION("""COMPUTED_VALUE"""),"DARCO PTR 2023-04-074 / DARRO PTR 2023-03-SP-014 / PAR 2023-04-015")</f>
        <v>DARCO PTR 2023-04-074 / DARRO PTR 2023-03-SP-014 / PAR 2023-04-015</v>
      </c>
      <c r="K3825" s="164" t="str">
        <f ca="1">IFERROR(__xludf.DUMMYFUNCTION("""COMPUTED_VALUE"""),"KATRINA CABANGIL")</f>
        <v>KATRINA CABANGIL</v>
      </c>
      <c r="L3825" s="164" t="str">
        <f ca="1">IFERROR(__xludf.DUMMYFUNCTION("""COMPUTED_VALUE"""),"SPLIT (BUDGET)")</f>
        <v>SPLIT (BUDGET)</v>
      </c>
      <c r="M3825" s="164" t="str">
        <f ca="1">IFERROR(__xludf.DUMMYFUNCTION("""COMPUTED_VALUE"""),"SERVICEABLE")</f>
        <v>SERVICEABLE</v>
      </c>
      <c r="N3825" s="164"/>
    </row>
    <row r="3826" spans="1:14" ht="13.2" hidden="1">
      <c r="A3826" s="164" t="str">
        <f ca="1">IFERROR(__xludf.DUMMYFUNCTION("""COMPUTED_VALUE"""),"Region XI")</f>
        <v>Region XI</v>
      </c>
      <c r="B3826" s="164" t="str">
        <f ca="1">IFERROR(__xludf.DUMMYFUNCTION("""COMPUTED_VALUE"""),"Davao del Sur")</f>
        <v>Davao del Sur</v>
      </c>
      <c r="C3826" s="164" t="str">
        <f ca="1">IFERROR(__xludf.DUMMYFUNCTION("""COMPUTED_VALUE"""),"Desktop Computer – (Lenovo M70T)")</f>
        <v>Desktop Computer – (Lenovo M70T)</v>
      </c>
      <c r="D3826" s="164" t="str">
        <f ca="1">IFERROR(__xludf.DUMMYFUNCTION("""COMPUTED_VALUE"""),"₱ 75,468.00")</f>
        <v>₱ 75,468.00</v>
      </c>
      <c r="E3826" s="164"/>
      <c r="F3826" s="164" t="str">
        <f ca="1">IFERROR(__xludf.DUMMYFUNCTION("""COMPUTED_VALUE"""),"2023-05-03-10201SP1601-01")</f>
        <v>2023-05-03-10201SP1601-01</v>
      </c>
      <c r="G3826" s="164" t="str">
        <f ca="1">IFERROR(__xludf.DUMMYFUNCTION("""COMPUTED_VALUE"""),"1S11T5S16200GM0418F2")</f>
        <v>1S11T5S16200GM0418F2</v>
      </c>
      <c r="H3826" s="164" t="str">
        <f ca="1">IFERROR(__xludf.DUMMYFUNCTION("""COMPUTED_VALUE"""),"FE E. VELASQUEZ")</f>
        <v>FE E. VELASQUEZ</v>
      </c>
      <c r="I3826" s="164" t="str">
        <f ca="1">IFERROR(__xludf.DUMMYFUNCTION("""COMPUTED_VALUE"""),"CARTOGRAPHER III")</f>
        <v>CARTOGRAPHER III</v>
      </c>
      <c r="J3826" s="164" t="str">
        <f ca="1">IFERROR(__xludf.DUMMYFUNCTION("""COMPUTED_VALUE"""),"DARCO PTR 2023-04-074 / DARRO PTR 2023-03-SP-014 / PAR 2023-04-008")</f>
        <v>DARCO PTR 2023-04-074 / DARRO PTR 2023-03-SP-014 / PAR 2023-04-008</v>
      </c>
      <c r="K3826" s="164" t="str">
        <f ca="1">IFERROR(__xludf.DUMMYFUNCTION("""COMPUTED_VALUE"""),"FE E. VELASQUEZ")</f>
        <v>FE E. VELASQUEZ</v>
      </c>
      <c r="L3826" s="164" t="str">
        <f ca="1">IFERROR(__xludf.DUMMYFUNCTION("""COMPUTED_VALUE"""),"DARPO - LTID - SURVEY")</f>
        <v>DARPO - LTID - SURVEY</v>
      </c>
      <c r="M3826" s="164" t="str">
        <f ca="1">IFERROR(__xludf.DUMMYFUNCTION("""COMPUTED_VALUE"""),"SERVICEABLE")</f>
        <v>SERVICEABLE</v>
      </c>
      <c r="N3826" s="164"/>
    </row>
    <row r="3827" spans="1:14" ht="13.2" hidden="1">
      <c r="A3827" s="164" t="str">
        <f ca="1">IFERROR(__xludf.DUMMYFUNCTION("""COMPUTED_VALUE"""),"Region XI")</f>
        <v>Region XI</v>
      </c>
      <c r="B3827" s="164" t="str">
        <f ca="1">IFERROR(__xludf.DUMMYFUNCTION("""COMPUTED_VALUE"""),"Davao del Sur")</f>
        <v>Davao del Sur</v>
      </c>
      <c r="C3827" s="164" t="str">
        <f ca="1">IFERROR(__xludf.DUMMYFUNCTION("""COMPUTED_VALUE"""),"Desktop Computer – (Lenovo M70T)")</f>
        <v>Desktop Computer – (Lenovo M70T)</v>
      </c>
      <c r="D3827" s="164" t="str">
        <f ca="1">IFERROR(__xludf.DUMMYFUNCTION("""COMPUTED_VALUE"""),"₱ 75,468.00")</f>
        <v>₱ 75,468.00</v>
      </c>
      <c r="E3827" s="164"/>
      <c r="F3827" s="164" t="str">
        <f ca="1">IFERROR(__xludf.DUMMYFUNCTION("""COMPUTED_VALUE"""),"2023-05-03-10201SP1602-01")</f>
        <v>2023-05-03-10201SP1602-01</v>
      </c>
      <c r="G3827" s="164" t="str">
        <f ca="1">IFERROR(__xludf.DUMMYFUNCTION("""COMPUTED_VALUE"""),"1S11T5S16200GM041AXJ")</f>
        <v>1S11T5S16200GM041AXJ</v>
      </c>
      <c r="H3827" s="164" t="str">
        <f ca="1">IFERROR(__xludf.DUMMYFUNCTION("""COMPUTED_VALUE"""),"DEXTER C. ALONZO")</f>
        <v>DEXTER C. ALONZO</v>
      </c>
      <c r="I3827" s="164" t="str">
        <f ca="1">IFERROR(__xludf.DUMMYFUNCTION("""COMPUTED_VALUE"""),"SARPO")</f>
        <v>SARPO</v>
      </c>
      <c r="J3827" s="164" t="str">
        <f ca="1">IFERROR(__xludf.DUMMYFUNCTION("""COMPUTED_VALUE"""),"DARCO PTR 2023-04-074 / DARRO PTR 2023-03-SP-014 / PAR 2023-04-016")</f>
        <v>DARCO PTR 2023-04-074 / DARRO PTR 2023-03-SP-014 / PAR 2023-04-016</v>
      </c>
      <c r="K3827" s="164" t="str">
        <f ca="1">IFERROR(__xludf.DUMMYFUNCTION("""COMPUTED_VALUE"""),"DEXTER C. ALONZO")</f>
        <v>DEXTER C. ALONZO</v>
      </c>
      <c r="L3827" s="164" t="str">
        <f ca="1">IFERROR(__xludf.DUMMYFUNCTION("""COMPUTED_VALUE"""),"DARPO - LTID")</f>
        <v>DARPO - LTID</v>
      </c>
      <c r="M3827" s="164" t="str">
        <f ca="1">IFERROR(__xludf.DUMMYFUNCTION("""COMPUTED_VALUE"""),"SERVICEABLE")</f>
        <v>SERVICEABLE</v>
      </c>
      <c r="N3827" s="164"/>
    </row>
    <row r="3828" spans="1:14" ht="13.2" hidden="1">
      <c r="A3828" s="164" t="str">
        <f ca="1">IFERROR(__xludf.DUMMYFUNCTION("""COMPUTED_VALUE"""),"Region XI")</f>
        <v>Region XI</v>
      </c>
      <c r="B3828" s="164" t="str">
        <f ca="1">IFERROR(__xludf.DUMMYFUNCTION("""COMPUTED_VALUE"""),"Davao del Sur")</f>
        <v>Davao del Sur</v>
      </c>
      <c r="C3828" s="164" t="str">
        <f ca="1">IFERROR(__xludf.DUMMYFUNCTION("""COMPUTED_VALUE"""),"Desktop Computer – (Lenovo M70T)")</f>
        <v>Desktop Computer – (Lenovo M70T)</v>
      </c>
      <c r="D3828" s="164" t="str">
        <f ca="1">IFERROR(__xludf.DUMMYFUNCTION("""COMPUTED_VALUE"""),"₱ 75,468.00")</f>
        <v>₱ 75,468.00</v>
      </c>
      <c r="E3828" s="164"/>
      <c r="F3828" s="164" t="str">
        <f ca="1">IFERROR(__xludf.DUMMYFUNCTION("""COMPUTED_VALUE"""),"2023-05-03-10201SP1603-01")</f>
        <v>2023-05-03-10201SP1603-01</v>
      </c>
      <c r="G3828" s="164" t="str">
        <f ca="1">IFERROR(__xludf.DUMMYFUNCTION("""COMPUTED_VALUE"""),"1S11T5S16200GM04160F")</f>
        <v>1S11T5S16200GM04160F</v>
      </c>
      <c r="H3828" s="164" t="str">
        <f ca="1">IFERROR(__xludf.DUMMYFUNCTION("""COMPUTED_VALUE"""),"EMGR. EUTIQUIO B. PAGSAC III")</f>
        <v>EMGR. EUTIQUIO B. PAGSAC III</v>
      </c>
      <c r="I3828" s="164" t="str">
        <f ca="1">IFERROR(__xludf.DUMMYFUNCTION("""COMPUTED_VALUE"""),"ENGR. II")</f>
        <v>ENGR. II</v>
      </c>
      <c r="J3828" s="164" t="str">
        <f ca="1">IFERROR(__xludf.DUMMYFUNCTION("""COMPUTED_VALUE"""),"DARCO PTR 2023-04-074 / DARRO PTR 2023-03-SP-014 / PAR 2023-04-010")</f>
        <v>DARCO PTR 2023-04-074 / DARRO PTR 2023-03-SP-014 / PAR 2023-04-010</v>
      </c>
      <c r="K3828" s="164" t="str">
        <f ca="1">IFERROR(__xludf.DUMMYFUNCTION("""COMPUTED_VALUE"""),"ENGR. EUTIQUIO B. PAGSAC III")</f>
        <v>ENGR. EUTIQUIO B. PAGSAC III</v>
      </c>
      <c r="L3828" s="164" t="str">
        <f ca="1">IFERROR(__xludf.DUMMYFUNCTION("""COMPUTED_VALUE"""),"DARPO - LTID - SURVEY")</f>
        <v>DARPO - LTID - SURVEY</v>
      </c>
      <c r="M3828" s="164" t="str">
        <f ca="1">IFERROR(__xludf.DUMMYFUNCTION("""COMPUTED_VALUE"""),"SERVICEABLE")</f>
        <v>SERVICEABLE</v>
      </c>
      <c r="N3828" s="164"/>
    </row>
    <row r="3829" spans="1:14" ht="13.2">
      <c r="A3829" s="164" t="str">
        <f ca="1">IFERROR(__xludf.DUMMYFUNCTION("""COMPUTED_VALUE"""),"Region XI")</f>
        <v>Region XI</v>
      </c>
      <c r="B3829" s="164" t="str">
        <f ca="1">IFERROR(__xludf.DUMMYFUNCTION("""COMPUTED_VALUE"""),"Davao Oriental")</f>
        <v>Davao Oriental</v>
      </c>
      <c r="C3829" s="164" t="str">
        <f ca="1">IFERROR(__xludf.DUMMYFUNCTION("""COMPUTED_VALUE"""),"Desktop Computer – (Lenovo M70T)")</f>
        <v>Desktop Computer – (Lenovo M70T)</v>
      </c>
      <c r="D3829" s="164" t="str">
        <f ca="1">IFERROR(__xludf.DUMMYFUNCTION("""COMPUTED_VALUE"""),"₱ 75,468.00")</f>
        <v>₱ 75,468.00</v>
      </c>
      <c r="E3829" s="164"/>
      <c r="F3829" s="164" t="str">
        <f ca="1">IFERROR(__xludf.DUMMYFUNCTION("""COMPUTED_VALUE"""),"2023-05-03-10201SP1640-01")</f>
        <v>2023-05-03-10201SP1640-01</v>
      </c>
      <c r="G3829" s="164" t="str">
        <f ca="1">IFERROR(__xludf.DUMMYFUNCTION("""COMPUTED_VALUE"""),"1S11T5S16200GM0418F9")</f>
        <v>1S11T5S16200GM0418F9</v>
      </c>
      <c r="H3829" s="164" t="str">
        <f ca="1">IFERROR(__xludf.DUMMYFUNCTION("""COMPUTED_VALUE"""),"AMOR JESSA PASAGUE")</f>
        <v>AMOR JESSA PASAGUE</v>
      </c>
      <c r="I3829" s="164" t="str">
        <f ca="1">IFERROR(__xludf.DUMMYFUNCTION("""COMPUTED_VALUE"""),"MARPO")</f>
        <v>MARPO</v>
      </c>
      <c r="J3829" s="164" t="str">
        <f ca="1">IFERROR(__xludf.DUMMYFUNCTION("""COMPUTED_VALUE"""),"DARCO PTR 2023-04-074 / DARRO PTR 2023-03-SP-018 / PAR _______")</f>
        <v>DARCO PTR 2023-04-074 / DARRO PTR 2023-03-SP-018 / PAR _______</v>
      </c>
      <c r="K3829" s="164" t="str">
        <f ca="1">IFERROR(__xludf.DUMMYFUNCTION("""COMPUTED_VALUE"""),"AMOR JESSA PASAGUE")</f>
        <v>AMOR JESSA PASAGUE</v>
      </c>
      <c r="L3829" s="164" t="str">
        <f ca="1">IFERROR(__xludf.DUMMYFUNCTION("""COMPUTED_VALUE"""),"DARMO - BOSTON")</f>
        <v>DARMO - BOSTON</v>
      </c>
      <c r="M3829" s="164" t="str">
        <f ca="1">IFERROR(__xludf.DUMMYFUNCTION("""COMPUTED_VALUE"""),"SERVICEABLE")</f>
        <v>SERVICEABLE</v>
      </c>
      <c r="N3829" s="164" t="str">
        <f ca="1">IFERROR(__xludf.DUMMYFUNCTION("""COMPUTED_VALUE"""),"NO PAR No.")</f>
        <v>NO PAR No.</v>
      </c>
    </row>
    <row r="3830" spans="1:14" ht="13.2" hidden="1">
      <c r="A3830" s="164" t="str">
        <f ca="1">IFERROR(__xludf.DUMMYFUNCTION("""COMPUTED_VALUE"""),"Region XI")</f>
        <v>Region XI</v>
      </c>
      <c r="B3830" s="164" t="str">
        <f ca="1">IFERROR(__xludf.DUMMYFUNCTION("""COMPUTED_VALUE"""),"Davao del Sur")</f>
        <v>Davao del Sur</v>
      </c>
      <c r="C3830" s="164" t="str">
        <f ca="1">IFERROR(__xludf.DUMMYFUNCTION("""COMPUTED_VALUE"""),"Desktop Computer – (Lenovo M70T)")</f>
        <v>Desktop Computer – (Lenovo M70T)</v>
      </c>
      <c r="D3830" s="164" t="str">
        <f ca="1">IFERROR(__xludf.DUMMYFUNCTION("""COMPUTED_VALUE"""),"₱ 75,468.00")</f>
        <v>₱ 75,468.00</v>
      </c>
      <c r="E3830" s="164"/>
      <c r="F3830" s="164" t="str">
        <f ca="1">IFERROR(__xludf.DUMMYFUNCTION("""COMPUTED_VALUE"""),"2023-05-03-10201SP1641-01")</f>
        <v>2023-05-03-10201SP1641-01</v>
      </c>
      <c r="G3830" s="164" t="str">
        <f ca="1">IFERROR(__xludf.DUMMYFUNCTION("""COMPUTED_VALUE"""),"1S11T5S16200GM041AYJ")</f>
        <v>1S11T5S16200GM041AYJ</v>
      </c>
      <c r="H3830" s="164" t="str">
        <f ca="1">IFERROR(__xludf.DUMMYFUNCTION("""COMPUTED_VALUE"""),"CONCORDIA BOLAMBAO")</f>
        <v>CONCORDIA BOLAMBAO</v>
      </c>
      <c r="I3830" s="164" t="str">
        <f ca="1">IFERROR(__xludf.DUMMYFUNCTION("""COMPUTED_VALUE"""),"OIC - MARPO")</f>
        <v>OIC - MARPO</v>
      </c>
      <c r="J3830" s="164" t="str">
        <f ca="1">IFERROR(__xludf.DUMMYFUNCTION("""COMPUTED_VALUE"""),"DARCO PTR 2023-04-074 / DARRO PTR 2023-03-SP-018 / PAR _______")</f>
        <v>DARCO PTR 2023-04-074 / DARRO PTR 2023-03-SP-018 / PAR _______</v>
      </c>
      <c r="K3830" s="164" t="str">
        <f ca="1">IFERROR(__xludf.DUMMYFUNCTION("""COMPUTED_VALUE"""),"CONCORDIA BOLAMBAO")</f>
        <v>CONCORDIA BOLAMBAO</v>
      </c>
      <c r="L3830" s="164" t="str">
        <f ca="1">IFERROR(__xludf.DUMMYFUNCTION("""COMPUTED_VALUE"""),"DARMO - CARAGA")</f>
        <v>DARMO - CARAGA</v>
      </c>
      <c r="M3830" s="164" t="str">
        <f ca="1">IFERROR(__xludf.DUMMYFUNCTION("""COMPUTED_VALUE"""),"SERVICEABLE")</f>
        <v>SERVICEABLE</v>
      </c>
      <c r="N3830" s="164" t="str">
        <f ca="1">IFERROR(__xludf.DUMMYFUNCTION("""COMPUTED_VALUE"""),"NO PAR No.")</f>
        <v>NO PAR No.</v>
      </c>
    </row>
    <row r="3831" spans="1:14" ht="13.2" hidden="1">
      <c r="A3831" s="164" t="str">
        <f ca="1">IFERROR(__xludf.DUMMYFUNCTION("""COMPUTED_VALUE"""),"Region XI")</f>
        <v>Region XI</v>
      </c>
      <c r="B3831" s="164" t="str">
        <f ca="1">IFERROR(__xludf.DUMMYFUNCTION("""COMPUTED_VALUE"""),"Davao del Sur")</f>
        <v>Davao del Sur</v>
      </c>
      <c r="C3831" s="164" t="str">
        <f ca="1">IFERROR(__xludf.DUMMYFUNCTION("""COMPUTED_VALUE"""),"Desktop Computer – (Lenovo M70T)")</f>
        <v>Desktop Computer – (Lenovo M70T)</v>
      </c>
      <c r="D3831" s="164" t="str">
        <f ca="1">IFERROR(__xludf.DUMMYFUNCTION("""COMPUTED_VALUE"""),"₱ 75,468.00")</f>
        <v>₱ 75,468.00</v>
      </c>
      <c r="E3831" s="164"/>
      <c r="F3831" s="164" t="str">
        <f ca="1">IFERROR(__xludf.DUMMYFUNCTION("""COMPUTED_VALUE"""),"2023-05-03-10201SP1642-01")</f>
        <v>2023-05-03-10201SP1642-01</v>
      </c>
      <c r="G3831" s="164" t="str">
        <f ca="1">IFERROR(__xludf.DUMMYFUNCTION("""COMPUTED_VALUE"""),"1S11T5S16200GM0418L5")</f>
        <v>1S11T5S16200GM0418L5</v>
      </c>
      <c r="H3831" s="164" t="str">
        <f ca="1">IFERROR(__xludf.DUMMYFUNCTION("""COMPUTED_VALUE"""),"DANIEL APALE")</f>
        <v>DANIEL APALE</v>
      </c>
      <c r="I3831" s="164" t="str">
        <f ca="1">IFERROR(__xludf.DUMMYFUNCTION("""COMPUTED_VALUE"""),"ARPT")</f>
        <v>ARPT</v>
      </c>
      <c r="J3831" s="164" t="str">
        <f ca="1">IFERROR(__xludf.DUMMYFUNCTION("""COMPUTED_VALUE"""),"DARCO PTR 2023-04-074 / DARRO PTR 2023-03-SP-018 / PAR _______")</f>
        <v>DARCO PTR 2023-04-074 / DARRO PTR 2023-03-SP-018 / PAR _______</v>
      </c>
      <c r="K3831" s="164" t="str">
        <f ca="1">IFERROR(__xludf.DUMMYFUNCTION("""COMPUTED_VALUE"""),"DANIEL APALE")</f>
        <v>DANIEL APALE</v>
      </c>
      <c r="L3831" s="164" t="str">
        <f ca="1">IFERROR(__xludf.DUMMYFUNCTION("""COMPUTED_VALUE"""),"LTID - SPLIT MIS")</f>
        <v>LTID - SPLIT MIS</v>
      </c>
      <c r="M3831" s="164" t="str">
        <f ca="1">IFERROR(__xludf.DUMMYFUNCTION("""COMPUTED_VALUE"""),"SERVICEABLE")</f>
        <v>SERVICEABLE</v>
      </c>
      <c r="N3831" s="164" t="str">
        <f ca="1">IFERROR(__xludf.DUMMYFUNCTION("""COMPUTED_VALUE"""),"NO PAR No.")</f>
        <v>NO PAR No.</v>
      </c>
    </row>
    <row r="3832" spans="1:14" ht="13.2" hidden="1">
      <c r="A3832" s="164" t="str">
        <f ca="1">IFERROR(__xludf.DUMMYFUNCTION("""COMPUTED_VALUE"""),"Region XI")</f>
        <v>Region XI</v>
      </c>
      <c r="B3832" s="164" t="str">
        <f ca="1">IFERROR(__xludf.DUMMYFUNCTION("""COMPUTED_VALUE"""),"Davao del Sur")</f>
        <v>Davao del Sur</v>
      </c>
      <c r="C3832" s="164" t="str">
        <f ca="1">IFERROR(__xludf.DUMMYFUNCTION("""COMPUTED_VALUE"""),"Desktop Computer – (Lenovo M70T)")</f>
        <v>Desktop Computer – (Lenovo M70T)</v>
      </c>
      <c r="D3832" s="164" t="str">
        <f ca="1">IFERROR(__xludf.DUMMYFUNCTION("""COMPUTED_VALUE"""),"₱ 75,468.00")</f>
        <v>₱ 75,468.00</v>
      </c>
      <c r="E3832" s="164"/>
      <c r="F3832" s="164" t="str">
        <f ca="1">IFERROR(__xludf.DUMMYFUNCTION("""COMPUTED_VALUE"""),"2023-05-03-10201SP1643-01")</f>
        <v>2023-05-03-10201SP1643-01</v>
      </c>
      <c r="G3832" s="164" t="str">
        <f ca="1">IFERROR(__xludf.DUMMYFUNCTION("""COMPUTED_VALUE"""),"1S11T5S16200GM041B58")</f>
        <v>1S11T5S16200GM041B58</v>
      </c>
      <c r="H3832" s="164" t="str">
        <f ca="1">IFERROR(__xludf.DUMMYFUNCTION("""COMPUTED_VALUE"""),"EVANGELINE L. CASICNAN")</f>
        <v>EVANGELINE L. CASICNAN</v>
      </c>
      <c r="I3832" s="164" t="str">
        <f ca="1">IFERROR(__xludf.DUMMYFUNCTION("""COMPUTED_VALUE"""),"MARPO")</f>
        <v>MARPO</v>
      </c>
      <c r="J3832" s="164" t="str">
        <f ca="1">IFERROR(__xludf.DUMMYFUNCTION("""COMPUTED_VALUE"""),"DARCO PTR 2023-04-074 / DARRO PTR 2023-03-SP-018 / PAR _______")</f>
        <v>DARCO PTR 2023-04-074 / DARRO PTR 2023-03-SP-018 / PAR _______</v>
      </c>
      <c r="K3832" s="164" t="str">
        <f ca="1">IFERROR(__xludf.DUMMYFUNCTION("""COMPUTED_VALUE"""),"EVANGELINE L. CASICNAN")</f>
        <v>EVANGELINE L. CASICNAN</v>
      </c>
      <c r="L3832" s="164" t="str">
        <f ca="1">IFERROR(__xludf.DUMMYFUNCTION("""COMPUTED_VALUE"""),"DARMO - MATI")</f>
        <v>DARMO - MATI</v>
      </c>
      <c r="M3832" s="164" t="str">
        <f ca="1">IFERROR(__xludf.DUMMYFUNCTION("""COMPUTED_VALUE"""),"SERVICEABLE")</f>
        <v>SERVICEABLE</v>
      </c>
      <c r="N3832" s="164" t="str">
        <f ca="1">IFERROR(__xludf.DUMMYFUNCTION("""COMPUTED_VALUE"""),"NO PAR No.")</f>
        <v>NO PAR No.</v>
      </c>
    </row>
    <row r="3833" spans="1:14" ht="13.2" hidden="1">
      <c r="A3833" s="164" t="str">
        <f ca="1">IFERROR(__xludf.DUMMYFUNCTION("""COMPUTED_VALUE"""),"Region XI")</f>
        <v>Region XI</v>
      </c>
      <c r="B3833" s="164" t="str">
        <f ca="1">IFERROR(__xludf.DUMMYFUNCTION("""COMPUTED_VALUE"""),"Davao del Sur")</f>
        <v>Davao del Sur</v>
      </c>
      <c r="C3833" s="164" t="str">
        <f ca="1">IFERROR(__xludf.DUMMYFUNCTION("""COMPUTED_VALUE"""),"Desktop Computer – (Lenovo M70T)")</f>
        <v>Desktop Computer – (Lenovo M70T)</v>
      </c>
      <c r="D3833" s="164" t="str">
        <f ca="1">IFERROR(__xludf.DUMMYFUNCTION("""COMPUTED_VALUE"""),"₱ 75,468.00")</f>
        <v>₱ 75,468.00</v>
      </c>
      <c r="E3833" s="164"/>
      <c r="F3833" s="164" t="str">
        <f ca="1">IFERROR(__xludf.DUMMYFUNCTION("""COMPUTED_VALUE"""),"2023-05-03-10201SP1644-01")</f>
        <v>2023-05-03-10201SP1644-01</v>
      </c>
      <c r="G3833" s="164" t="str">
        <f ca="1">IFERROR(__xludf.DUMMYFUNCTION("""COMPUTED_VALUE"""),"1S11T5S16200GM0415XL")</f>
        <v>1S11T5S16200GM0415XL</v>
      </c>
      <c r="H3833" s="164" t="str">
        <f ca="1">IFERROR(__xludf.DUMMYFUNCTION("""COMPUTED_VALUE"""),"ROY L. BALILAHON")</f>
        <v>ROY L. BALILAHON</v>
      </c>
      <c r="I3833" s="164" t="str">
        <f ca="1">IFERROR(__xludf.DUMMYFUNCTION("""COMPUTED_VALUE"""),"CARPO")</f>
        <v>CARPO</v>
      </c>
      <c r="J3833" s="164" t="str">
        <f ca="1">IFERROR(__xludf.DUMMYFUNCTION("""COMPUTED_VALUE"""),"DARCO PTR 2023-04-074 / DARRO PTR 2023-03-SP-018 / PAR _______")</f>
        <v>DARCO PTR 2023-04-074 / DARRO PTR 2023-03-SP-018 / PAR _______</v>
      </c>
      <c r="K3833" s="164" t="str">
        <f ca="1">IFERROR(__xludf.DUMMYFUNCTION("""COMPUTED_VALUE"""),"ROY L. BALILAHON")</f>
        <v>ROY L. BALILAHON</v>
      </c>
      <c r="L3833" s="164" t="str">
        <f ca="1">IFERROR(__xludf.DUMMYFUNCTION("""COMPUTED_VALUE"""),"DARPO - LTID")</f>
        <v>DARPO - LTID</v>
      </c>
      <c r="M3833" s="164" t="str">
        <f ca="1">IFERROR(__xludf.DUMMYFUNCTION("""COMPUTED_VALUE"""),"SERVICEABLE")</f>
        <v>SERVICEABLE</v>
      </c>
      <c r="N3833" s="164" t="str">
        <f ca="1">IFERROR(__xludf.DUMMYFUNCTION("""COMPUTED_VALUE"""),"NO PAR No.")</f>
        <v>NO PAR No.</v>
      </c>
    </row>
    <row r="3834" spans="1:14" ht="13.2" hidden="1">
      <c r="A3834" s="164" t="str">
        <f ca="1">IFERROR(__xludf.DUMMYFUNCTION("""COMPUTED_VALUE"""),"Region XI")</f>
        <v>Region XI</v>
      </c>
      <c r="B3834" s="164" t="str">
        <f ca="1">IFERROR(__xludf.DUMMYFUNCTION("""COMPUTED_VALUE"""),"Davao del Sur")</f>
        <v>Davao del Sur</v>
      </c>
      <c r="C3834" s="164" t="str">
        <f ca="1">IFERROR(__xludf.DUMMYFUNCTION("""COMPUTED_VALUE"""),"Desktop Computer – (Lenovo M70T)")</f>
        <v>Desktop Computer – (Lenovo M70T)</v>
      </c>
      <c r="D3834" s="164" t="str">
        <f ca="1">IFERROR(__xludf.DUMMYFUNCTION("""COMPUTED_VALUE"""),"₱ 75,468.00")</f>
        <v>₱ 75,468.00</v>
      </c>
      <c r="E3834" s="164"/>
      <c r="F3834" s="164" t="str">
        <f ca="1">IFERROR(__xludf.DUMMYFUNCTION("""COMPUTED_VALUE"""),"2023-05-03-10201SP1645-01")</f>
        <v>2023-05-03-10201SP1645-01</v>
      </c>
      <c r="G3834" s="164" t="str">
        <f ca="1">IFERROR(__xludf.DUMMYFUNCTION("""COMPUTED_VALUE"""),"1S11T5S16200GM04160L")</f>
        <v>1S11T5S16200GM04160L</v>
      </c>
      <c r="H3834" s="164" t="str">
        <f ca="1">IFERROR(__xludf.DUMMYFUNCTION("""COMPUTED_VALUE"""),"CRISELDA Z. RAMOS")</f>
        <v>CRISELDA Z. RAMOS</v>
      </c>
      <c r="I3834" s="164" t="str">
        <f ca="1">IFERROR(__xludf.DUMMYFUNCTION("""COMPUTED_VALUE"""),"OIC - MARPO")</f>
        <v>OIC - MARPO</v>
      </c>
      <c r="J3834" s="164" t="str">
        <f ca="1">IFERROR(__xludf.DUMMYFUNCTION("""COMPUTED_VALUE"""),"DARCO PTR 2023-04-074 / DARRO PTR 2023-03-SP-018 / PAR _______")</f>
        <v>DARCO PTR 2023-04-074 / DARRO PTR 2023-03-SP-018 / PAR _______</v>
      </c>
      <c r="K3834" s="164" t="str">
        <f ca="1">IFERROR(__xludf.DUMMYFUNCTION("""COMPUTED_VALUE"""),"CRISELDA Z. RAMOS")</f>
        <v>CRISELDA Z. RAMOS</v>
      </c>
      <c r="L3834" s="164" t="str">
        <f ca="1">IFERROR(__xludf.DUMMYFUNCTION("""COMPUTED_VALUE"""),"DARMO - MANAY")</f>
        <v>DARMO - MANAY</v>
      </c>
      <c r="M3834" s="164" t="str">
        <f ca="1">IFERROR(__xludf.DUMMYFUNCTION("""COMPUTED_VALUE"""),"SERVICEABLE")</f>
        <v>SERVICEABLE</v>
      </c>
      <c r="N3834" s="164" t="str">
        <f ca="1">IFERROR(__xludf.DUMMYFUNCTION("""COMPUTED_VALUE"""),"NO PAR No.")</f>
        <v>NO PAR No.</v>
      </c>
    </row>
    <row r="3835" spans="1:14" ht="13.2" hidden="1">
      <c r="A3835" s="164" t="str">
        <f ca="1">IFERROR(__xludf.DUMMYFUNCTION("""COMPUTED_VALUE"""),"Region XI")</f>
        <v>Region XI</v>
      </c>
      <c r="B3835" s="164" t="str">
        <f ca="1">IFERROR(__xludf.DUMMYFUNCTION("""COMPUTED_VALUE"""),"Davao del Sur")</f>
        <v>Davao del Sur</v>
      </c>
      <c r="C3835" s="164" t="str">
        <f ca="1">IFERROR(__xludf.DUMMYFUNCTION("""COMPUTED_VALUE"""),"Desktop Computer – (Lenovo M70T)")</f>
        <v>Desktop Computer – (Lenovo M70T)</v>
      </c>
      <c r="D3835" s="164" t="str">
        <f ca="1">IFERROR(__xludf.DUMMYFUNCTION("""COMPUTED_VALUE"""),"₱ 75,468.00")</f>
        <v>₱ 75,468.00</v>
      </c>
      <c r="E3835" s="164"/>
      <c r="F3835" s="164" t="str">
        <f ca="1">IFERROR(__xludf.DUMMYFUNCTION("""COMPUTED_VALUE"""),"2023-05-03-10201SP1646-01")</f>
        <v>2023-05-03-10201SP1646-01</v>
      </c>
      <c r="G3835" s="164" t="str">
        <f ca="1">IFERROR(__xludf.DUMMYFUNCTION("""COMPUTED_VALUE"""),"1S11T5S16200GM0415RY")</f>
        <v>1S11T5S16200GM0415RY</v>
      </c>
      <c r="H3835" s="164" t="str">
        <f ca="1">IFERROR(__xludf.DUMMYFUNCTION("""COMPUTED_VALUE"""),"ADELA FIGURACION")</f>
        <v>ADELA FIGURACION</v>
      </c>
      <c r="I3835" s="164" t="str">
        <f ca="1">IFERROR(__xludf.DUMMYFUNCTION("""COMPUTED_VALUE"""),"MARPO")</f>
        <v>MARPO</v>
      </c>
      <c r="J3835" s="164" t="str">
        <f ca="1">IFERROR(__xludf.DUMMYFUNCTION("""COMPUTED_VALUE"""),"DARCO PTR 2023-04-074 / DARRO PTR 2023-03-SP-018 / PAR _______")</f>
        <v>DARCO PTR 2023-04-074 / DARRO PTR 2023-03-SP-018 / PAR _______</v>
      </c>
      <c r="K3835" s="164" t="str">
        <f ca="1">IFERROR(__xludf.DUMMYFUNCTION("""COMPUTED_VALUE"""),"ADELA FIGURACION")</f>
        <v>ADELA FIGURACION</v>
      </c>
      <c r="L3835" s="164" t="str">
        <f ca="1">IFERROR(__xludf.DUMMYFUNCTION("""COMPUTED_VALUE"""),"DARMO - BANAYBANAY")</f>
        <v>DARMO - BANAYBANAY</v>
      </c>
      <c r="M3835" s="164" t="str">
        <f ca="1">IFERROR(__xludf.DUMMYFUNCTION("""COMPUTED_VALUE"""),"SERVICEABLE")</f>
        <v>SERVICEABLE</v>
      </c>
      <c r="N3835" s="164" t="str">
        <f ca="1">IFERROR(__xludf.DUMMYFUNCTION("""COMPUTED_VALUE"""),"NO PAR No.")</f>
        <v>NO PAR No.</v>
      </c>
    </row>
    <row r="3836" spans="1:14" ht="13.2" hidden="1">
      <c r="A3836" s="164" t="str">
        <f ca="1">IFERROR(__xludf.DUMMYFUNCTION("""COMPUTED_VALUE"""),"Region XI")</f>
        <v>Region XI</v>
      </c>
      <c r="B3836" s="164" t="str">
        <f ca="1">IFERROR(__xludf.DUMMYFUNCTION("""COMPUTED_VALUE"""),"Davao del Sur")</f>
        <v>Davao del Sur</v>
      </c>
      <c r="C3836" s="164" t="str">
        <f ca="1">IFERROR(__xludf.DUMMYFUNCTION("""COMPUTED_VALUE"""),"Desktop Computer – (Lenovo M70T)")</f>
        <v>Desktop Computer – (Lenovo M70T)</v>
      </c>
      <c r="D3836" s="164" t="str">
        <f ca="1">IFERROR(__xludf.DUMMYFUNCTION("""COMPUTED_VALUE"""),"₱ 75,468.00")</f>
        <v>₱ 75,468.00</v>
      </c>
      <c r="E3836" s="164"/>
      <c r="F3836" s="164" t="str">
        <f ca="1">IFERROR(__xludf.DUMMYFUNCTION("""COMPUTED_VALUE"""),"2023-05-03-10201SP1647-01")</f>
        <v>2023-05-03-10201SP1647-01</v>
      </c>
      <c r="G3836" s="164" t="str">
        <f ca="1">IFERROR(__xludf.DUMMYFUNCTION("""COMPUTED_VALUE"""),"1S11T5S16200GM0418JA")</f>
        <v>1S11T5S16200GM0418JA</v>
      </c>
      <c r="H3836" s="164" t="str">
        <f ca="1">IFERROR(__xludf.DUMMYFUNCTION("""COMPUTED_VALUE"""),"LANIELIE AGUANTA")</f>
        <v>LANIELIE AGUANTA</v>
      </c>
      <c r="I3836" s="164" t="str">
        <f ca="1">IFERROR(__xludf.DUMMYFUNCTION("""COMPUTED_VALUE"""),"ARPT")</f>
        <v>ARPT</v>
      </c>
      <c r="J3836" s="164" t="str">
        <f ca="1">IFERROR(__xludf.DUMMYFUNCTION("""COMPUTED_VALUE"""),"DARCO PTR 2023-04-074 / DARRO PTR 2023-03-SP-018 / PAR _______")</f>
        <v>DARCO PTR 2023-04-074 / DARRO PTR 2023-03-SP-018 / PAR _______</v>
      </c>
      <c r="K3836" s="164" t="str">
        <f ca="1">IFERROR(__xludf.DUMMYFUNCTION("""COMPUTED_VALUE"""),"LANIELIE AGUANTA")</f>
        <v>LANIELIE AGUANTA</v>
      </c>
      <c r="L3836" s="164" t="str">
        <f ca="1">IFERROR(__xludf.DUMMYFUNCTION("""COMPUTED_VALUE"""),"DARPO")</f>
        <v>DARPO</v>
      </c>
      <c r="M3836" s="164" t="str">
        <f ca="1">IFERROR(__xludf.DUMMYFUNCTION("""COMPUTED_VALUE"""),"SERVICEABLE")</f>
        <v>SERVICEABLE</v>
      </c>
      <c r="N3836" s="164" t="str">
        <f ca="1">IFERROR(__xludf.DUMMYFUNCTION("""COMPUTED_VALUE"""),"NO PAR No.")</f>
        <v>NO PAR No.</v>
      </c>
    </row>
    <row r="3837" spans="1:14" ht="13.2" hidden="1">
      <c r="A3837" s="164" t="str">
        <f ca="1">IFERROR(__xludf.DUMMYFUNCTION("""COMPUTED_VALUE"""),"Region XI")</f>
        <v>Region XI</v>
      </c>
      <c r="B3837" s="164" t="str">
        <f ca="1">IFERROR(__xludf.DUMMYFUNCTION("""COMPUTED_VALUE"""),"Davao del Sur")</f>
        <v>Davao del Sur</v>
      </c>
      <c r="C3837" s="164" t="str">
        <f ca="1">IFERROR(__xludf.DUMMYFUNCTION("""COMPUTED_VALUE"""),"Desktop Computer – (Lenovo M70T)")</f>
        <v>Desktop Computer – (Lenovo M70T)</v>
      </c>
      <c r="D3837" s="164" t="str">
        <f ca="1">IFERROR(__xludf.DUMMYFUNCTION("""COMPUTED_VALUE"""),"₱ 75,468.00")</f>
        <v>₱ 75,468.00</v>
      </c>
      <c r="E3837" s="164"/>
      <c r="F3837" s="164" t="str">
        <f ca="1">IFERROR(__xludf.DUMMYFUNCTION("""COMPUTED_VALUE"""),"2023-05-03-10201SP1648-01")</f>
        <v>2023-05-03-10201SP1648-01</v>
      </c>
      <c r="G3837" s="164" t="str">
        <f ca="1">IFERROR(__xludf.DUMMYFUNCTION("""COMPUTED_VALUE"""),"1S11T5S16200GM041AZC")</f>
        <v>1S11T5S16200GM041AZC</v>
      </c>
      <c r="H3837" s="164" t="str">
        <f ca="1">IFERROR(__xludf.DUMMYFUNCTION("""COMPUTED_VALUE"""),"ARLENE B. LINSAG")</f>
        <v>ARLENE B. LINSAG</v>
      </c>
      <c r="I3837" s="164" t="str">
        <f ca="1">IFERROR(__xludf.DUMMYFUNCTION("""COMPUTED_VALUE"""),"CARPO")</f>
        <v>CARPO</v>
      </c>
      <c r="J3837" s="164" t="str">
        <f ca="1">IFERROR(__xludf.DUMMYFUNCTION("""COMPUTED_VALUE"""),"DARCO PTR 2023-04-074 / DARRO PTR 2023-03-SP-018 / PAR _______")</f>
        <v>DARCO PTR 2023-04-074 / DARRO PTR 2023-03-SP-018 / PAR _______</v>
      </c>
      <c r="K3837" s="164" t="str">
        <f ca="1">IFERROR(__xludf.DUMMYFUNCTION("""COMPUTED_VALUE"""),"ARLENE B. LINSAG")</f>
        <v>ARLENE B. LINSAG</v>
      </c>
      <c r="L3837" s="164" t="str">
        <f ca="1">IFERROR(__xludf.DUMMYFUNCTION("""COMPUTED_VALUE"""),"PBDD / ESS")</f>
        <v>PBDD / ESS</v>
      </c>
      <c r="M3837" s="164" t="str">
        <f ca="1">IFERROR(__xludf.DUMMYFUNCTION("""COMPUTED_VALUE"""),"SERVICEABLE")</f>
        <v>SERVICEABLE</v>
      </c>
      <c r="N3837" s="164" t="str">
        <f ca="1">IFERROR(__xludf.DUMMYFUNCTION("""COMPUTED_VALUE"""),"NO PAR No.")</f>
        <v>NO PAR No.</v>
      </c>
    </row>
    <row r="3838" spans="1:14" ht="13.2" hidden="1">
      <c r="A3838" s="164" t="str">
        <f ca="1">IFERROR(__xludf.DUMMYFUNCTION("""COMPUTED_VALUE"""),"Region XI")</f>
        <v>Region XI</v>
      </c>
      <c r="B3838" s="164" t="str">
        <f ca="1">IFERROR(__xludf.DUMMYFUNCTION("""COMPUTED_VALUE"""),"Davao del Sur")</f>
        <v>Davao del Sur</v>
      </c>
      <c r="C3838" s="164" t="str">
        <f ca="1">IFERROR(__xludf.DUMMYFUNCTION("""COMPUTED_VALUE"""),"Desktop Computer – (Lenovo M70T)")</f>
        <v>Desktop Computer – (Lenovo M70T)</v>
      </c>
      <c r="D3838" s="164" t="str">
        <f ca="1">IFERROR(__xludf.DUMMYFUNCTION("""COMPUTED_VALUE"""),"₱ 75,468.00")</f>
        <v>₱ 75,468.00</v>
      </c>
      <c r="E3838" s="164"/>
      <c r="F3838" s="164" t="str">
        <f ca="1">IFERROR(__xludf.DUMMYFUNCTION("""COMPUTED_VALUE"""),"2023-05-03-10201SP1649-01")</f>
        <v>2023-05-03-10201SP1649-01</v>
      </c>
      <c r="G3838" s="164" t="str">
        <f ca="1">IFERROR(__xludf.DUMMYFUNCTION("""COMPUTED_VALUE"""),"1S11T5S16200GM0418E1")</f>
        <v>1S11T5S16200GM0418E1</v>
      </c>
      <c r="H3838" s="164" t="str">
        <f ca="1">IFERROR(__xludf.DUMMYFUNCTION("""COMPUTED_VALUE"""),"ATTY. DEBBIE LOVE PUDPUD")</f>
        <v>ATTY. DEBBIE LOVE PUDPUD</v>
      </c>
      <c r="I3838" s="164" t="str">
        <f ca="1">IFERROR(__xludf.DUMMYFUNCTION("""COMPUTED_VALUE"""),"ATTORNEY V")</f>
        <v>ATTORNEY V</v>
      </c>
      <c r="J3838" s="164" t="str">
        <f ca="1">IFERROR(__xludf.DUMMYFUNCTION("""COMPUTED_VALUE"""),"DARCO PTR 2023-04-074 / DARRO PTR 2023-03-SP-018 / PAR _______")</f>
        <v>DARCO PTR 2023-04-074 / DARRO PTR 2023-03-SP-018 / PAR _______</v>
      </c>
      <c r="K3838" s="164" t="str">
        <f ca="1">IFERROR(__xludf.DUMMYFUNCTION("""COMPUTED_VALUE"""),"ATTY. DEBBIE LOVE PUDPUD")</f>
        <v>ATTY. DEBBIE LOVE PUDPUD</v>
      </c>
      <c r="L3838" s="164" t="str">
        <f ca="1">IFERROR(__xludf.DUMMYFUNCTION("""COMPUTED_VALUE"""),"LEGAL DIVISION")</f>
        <v>LEGAL DIVISION</v>
      </c>
      <c r="M3838" s="164" t="str">
        <f ca="1">IFERROR(__xludf.DUMMYFUNCTION("""COMPUTED_VALUE"""),"SERVICEABLE")</f>
        <v>SERVICEABLE</v>
      </c>
      <c r="N3838" s="164" t="str">
        <f ca="1">IFERROR(__xludf.DUMMYFUNCTION("""COMPUTED_VALUE"""),"NO PAR No.")</f>
        <v>NO PAR No.</v>
      </c>
    </row>
    <row r="3839" spans="1:14" ht="13.2" hidden="1">
      <c r="A3839" s="164" t="str">
        <f ca="1">IFERROR(__xludf.DUMMYFUNCTION("""COMPUTED_VALUE"""),"Region XI")</f>
        <v>Region XI</v>
      </c>
      <c r="B3839" s="164" t="str">
        <f ca="1">IFERROR(__xludf.DUMMYFUNCTION("""COMPUTED_VALUE"""),"Davao del Sur")</f>
        <v>Davao del Sur</v>
      </c>
      <c r="C3839" s="164" t="str">
        <f ca="1">IFERROR(__xludf.DUMMYFUNCTION("""COMPUTED_VALUE"""),"Desktop Computer – (Lenovo M70T)")</f>
        <v>Desktop Computer – (Lenovo M70T)</v>
      </c>
      <c r="D3839" s="164" t="str">
        <f ca="1">IFERROR(__xludf.DUMMYFUNCTION("""COMPUTED_VALUE"""),"₱ 75,468.00")</f>
        <v>₱ 75,468.00</v>
      </c>
      <c r="E3839" s="164"/>
      <c r="F3839" s="164" t="str">
        <f ca="1">IFERROR(__xludf.DUMMYFUNCTION("""COMPUTED_VALUE"""),"2023-05-03-10201SP1650-01")</f>
        <v>2023-05-03-10201SP1650-01</v>
      </c>
      <c r="G3839" s="164" t="str">
        <f ca="1">IFERROR(__xludf.DUMMYFUNCTION("""COMPUTED_VALUE"""),"1S11T5S16200GM0418FM")</f>
        <v>1S11T5S16200GM0418FM</v>
      </c>
      <c r="H3839" s="164" t="str">
        <f ca="1">IFERROR(__xludf.DUMMYFUNCTION("""COMPUTED_VALUE"""),"SOLOMON AMILA II")</f>
        <v>SOLOMON AMILA II</v>
      </c>
      <c r="I3839" s="164" t="str">
        <f ca="1">IFERROR(__xludf.DUMMYFUNCTION("""COMPUTED_VALUE"""),"SARPT")</f>
        <v>SARPT</v>
      </c>
      <c r="J3839" s="164" t="str">
        <f ca="1">IFERROR(__xludf.DUMMYFUNCTION("""COMPUTED_VALUE"""),"DARCO PTR 2023-04-074 / DARRO PTR 2023-03-SP-018 / PAR _______")</f>
        <v>DARCO PTR 2023-04-074 / DARRO PTR 2023-03-SP-018 / PAR _______</v>
      </c>
      <c r="K3839" s="164" t="str">
        <f ca="1">IFERROR(__xludf.DUMMYFUNCTION("""COMPUTED_VALUE"""),"SOLOMON AMILA II")</f>
        <v>SOLOMON AMILA II</v>
      </c>
      <c r="L3839" s="164" t="str">
        <f ca="1">IFERROR(__xludf.DUMMYFUNCTION("""COMPUTED_VALUE"""),"DARMO - GOV. GENEROSO")</f>
        <v>DARMO - GOV. GENEROSO</v>
      </c>
      <c r="M3839" s="164" t="str">
        <f ca="1">IFERROR(__xludf.DUMMYFUNCTION("""COMPUTED_VALUE"""),"SERVICEABLE")</f>
        <v>SERVICEABLE</v>
      </c>
      <c r="N3839" s="164" t="str">
        <f ca="1">IFERROR(__xludf.DUMMYFUNCTION("""COMPUTED_VALUE"""),"NO PAR No.")</f>
        <v>NO PAR No.</v>
      </c>
    </row>
    <row r="3840" spans="1:14" ht="13.2" hidden="1">
      <c r="A3840" s="164" t="str">
        <f ca="1">IFERROR(__xludf.DUMMYFUNCTION("""COMPUTED_VALUE"""),"Region XI")</f>
        <v>Region XI</v>
      </c>
      <c r="B3840" s="164" t="str">
        <f ca="1">IFERROR(__xludf.DUMMYFUNCTION("""COMPUTED_VALUE"""),"Davao del Sur")</f>
        <v>Davao del Sur</v>
      </c>
      <c r="C3840" s="164" t="str">
        <f ca="1">IFERROR(__xludf.DUMMYFUNCTION("""COMPUTED_VALUE"""),"Desktop Computer – (Lenovo M70T)")</f>
        <v>Desktop Computer – (Lenovo M70T)</v>
      </c>
      <c r="D3840" s="164" t="str">
        <f ca="1">IFERROR(__xludf.DUMMYFUNCTION("""COMPUTED_VALUE"""),"₱ 75,468.00")</f>
        <v>₱ 75,468.00</v>
      </c>
      <c r="E3840" s="164"/>
      <c r="F3840" s="164" t="str">
        <f ca="1">IFERROR(__xludf.DUMMYFUNCTION("""COMPUTED_VALUE"""),"2023-05-03-10201SP1651-01")</f>
        <v>2023-05-03-10201SP1651-01</v>
      </c>
      <c r="G3840" s="164" t="str">
        <f ca="1">IFERROR(__xludf.DUMMYFUNCTION("""COMPUTED_VALUE"""),"1S11T5S16200GM0418LK")</f>
        <v>1S11T5S16200GM0418LK</v>
      </c>
      <c r="H3840" s="164" t="str">
        <f ca="1">IFERROR(__xludf.DUMMYFUNCTION("""COMPUTED_VALUE"""),"ADELINE P. CLAVERIA")</f>
        <v>ADELINE P. CLAVERIA</v>
      </c>
      <c r="I3840" s="164" t="str">
        <f ca="1">IFERROR(__xludf.DUMMYFUNCTION("""COMPUTED_VALUE"""),"SARPT / OIC - MARPO")</f>
        <v>SARPT / OIC - MARPO</v>
      </c>
      <c r="J3840" s="164" t="str">
        <f ca="1">IFERROR(__xludf.DUMMYFUNCTION("""COMPUTED_VALUE"""),"DARCO PTR 2023-04-074 / DARRO PTR 2023-03-SP-018 / PAR _______")</f>
        <v>DARCO PTR 2023-04-074 / DARRO PTR 2023-03-SP-018 / PAR _______</v>
      </c>
      <c r="K3840" s="164" t="str">
        <f ca="1">IFERROR(__xludf.DUMMYFUNCTION("""COMPUTED_VALUE"""),"ADELINE P. CLAVERIA")</f>
        <v>ADELINE P. CLAVERIA</v>
      </c>
      <c r="L3840" s="164" t="str">
        <f ca="1">IFERROR(__xludf.DUMMYFUNCTION("""COMPUTED_VALUE"""),"DARMO - BANGANGA")</f>
        <v>DARMO - BANGANGA</v>
      </c>
      <c r="M3840" s="164" t="str">
        <f ca="1">IFERROR(__xludf.DUMMYFUNCTION("""COMPUTED_VALUE"""),"SERVICEABLE")</f>
        <v>SERVICEABLE</v>
      </c>
      <c r="N3840" s="164" t="str">
        <f ca="1">IFERROR(__xludf.DUMMYFUNCTION("""COMPUTED_VALUE"""),"NO PAR No.")</f>
        <v>NO PAR No.</v>
      </c>
    </row>
    <row r="3841" spans="1:14" ht="13.2" hidden="1">
      <c r="A3841" s="164" t="str">
        <f ca="1">IFERROR(__xludf.DUMMYFUNCTION("""COMPUTED_VALUE"""),"Region XI")</f>
        <v>Region XI</v>
      </c>
      <c r="B3841" s="164" t="str">
        <f ca="1">IFERROR(__xludf.DUMMYFUNCTION("""COMPUTED_VALUE"""),"REGIONAL OFFICE")</f>
        <v>REGIONAL OFFICE</v>
      </c>
      <c r="C3841" s="164" t="str">
        <f ca="1">IFERROR(__xludf.DUMMYFUNCTION("""COMPUTED_VALUE"""),"Desktop Computer – (MSI PRO DP180)")</f>
        <v>Desktop Computer – (MSI PRO DP180)</v>
      </c>
      <c r="D3841" s="164" t="str">
        <f ca="1">IFERROR(__xludf.DUMMYFUNCTION("""COMPUTED_VALUE"""),"₱ 49,300.00")</f>
        <v>₱ 49,300.00</v>
      </c>
      <c r="E3841" s="164" t="str">
        <f ca="1">IFERROR(__xludf.DUMMYFUNCTION("""COMPUTED_VALUE"""),"₱ -")</f>
        <v>₱ -</v>
      </c>
      <c r="F3841" s="164" t="str">
        <f ca="1">IFERROR(__xludf.DUMMYFUNCTION("""COMPUTED_VALUE"""),"HVSPLIT-102-24-05-01-179")</f>
        <v>HVSPLIT-102-24-05-01-179</v>
      </c>
      <c r="G3841" s="164"/>
      <c r="H3841" s="164" t="str">
        <f ca="1">IFERROR(__xludf.DUMMYFUNCTION("""COMPUTED_VALUE"""),"FERIAL V. SANTILLAN")</f>
        <v>FERIAL V. SANTILLAN</v>
      </c>
      <c r="I3841" s="164" t="str">
        <f ca="1">IFERROR(__xludf.DUMMYFUNCTION("""COMPUTED_VALUE"""),"CARPO-LTID")</f>
        <v>CARPO-LTID</v>
      </c>
      <c r="J3841" s="164" t="str">
        <f ca="1">IFERROR(__xludf.DUMMYFUNCTION("""COMPUTED_VALUE"""),"PAR 2022-12-0001SP")</f>
        <v>PAR 2022-12-0001SP</v>
      </c>
      <c r="K3841" s="164" t="str">
        <f ca="1">IFERROR(__xludf.DUMMYFUNCTION("""COMPUTED_VALUE"""),"FERIAL V. SANTILLAN")</f>
        <v>FERIAL V. SANTILLAN</v>
      </c>
      <c r="L3841" s="164" t="str">
        <f ca="1">IFERROR(__xludf.DUMMYFUNCTION("""COMPUTED_VALUE"""),"LTID")</f>
        <v>LTID</v>
      </c>
      <c r="M3841" s="164" t="str">
        <f ca="1">IFERROR(__xludf.DUMMYFUNCTION("""COMPUTED_VALUE"""),"SERVICEABLE")</f>
        <v>SERVICEABLE</v>
      </c>
      <c r="N3841" s="164"/>
    </row>
    <row r="3842" spans="1:14" ht="13.2" hidden="1">
      <c r="A3842" s="164" t="str">
        <f ca="1">IFERROR(__xludf.DUMMYFUNCTION("""COMPUTED_VALUE"""),"Region XI")</f>
        <v>Region XI</v>
      </c>
      <c r="B3842" s="164" t="str">
        <f ca="1">IFERROR(__xludf.DUMMYFUNCTION("""COMPUTED_VALUE"""),"REGIONAL OFFICE")</f>
        <v>REGIONAL OFFICE</v>
      </c>
      <c r="C3842" s="164" t="str">
        <f ca="1">IFERROR(__xludf.DUMMYFUNCTION("""COMPUTED_VALUE"""),"Desktop Computer – (MSI PRO DP180)")</f>
        <v>Desktop Computer – (MSI PRO DP180)</v>
      </c>
      <c r="D3842" s="164" t="str">
        <f ca="1">IFERROR(__xludf.DUMMYFUNCTION("""COMPUTED_VALUE"""),"₱ 49,300.00")</f>
        <v>₱ 49,300.00</v>
      </c>
      <c r="E3842" s="164" t="str">
        <f ca="1">IFERROR(__xludf.DUMMYFUNCTION("""COMPUTED_VALUE"""),"₱ -")</f>
        <v>₱ -</v>
      </c>
      <c r="F3842" s="164" t="str">
        <f ca="1">IFERROR(__xludf.DUMMYFUNCTION("""COMPUTED_VALUE"""),"HVSPLIT-102-24-05-01-460")</f>
        <v>HVSPLIT-102-24-05-01-460</v>
      </c>
      <c r="G3842" s="164"/>
      <c r="H3842" s="164" t="str">
        <f ca="1">IFERROR(__xludf.DUMMYFUNCTION("""COMPUTED_VALUE"""),"FERIAL V. SANTILLAN")</f>
        <v>FERIAL V. SANTILLAN</v>
      </c>
      <c r="I3842" s="164" t="str">
        <f ca="1">IFERROR(__xludf.DUMMYFUNCTION("""COMPUTED_VALUE"""),"CARPO-LTID")</f>
        <v>CARPO-LTID</v>
      </c>
      <c r="J3842" s="164" t="str">
        <f ca="1">IFERROR(__xludf.DUMMYFUNCTION("""COMPUTED_VALUE"""),"PAR 2022-12-0001SP")</f>
        <v>PAR 2022-12-0001SP</v>
      </c>
      <c r="K3842" s="164" t="str">
        <f ca="1">IFERROR(__xludf.DUMMYFUNCTION("""COMPUTED_VALUE"""),"FERIAL V. SANTILLAN")</f>
        <v>FERIAL V. SANTILLAN</v>
      </c>
      <c r="L3842" s="164" t="str">
        <f ca="1">IFERROR(__xludf.DUMMYFUNCTION("""COMPUTED_VALUE"""),"LTID")</f>
        <v>LTID</v>
      </c>
      <c r="M3842" s="164" t="str">
        <f ca="1">IFERROR(__xludf.DUMMYFUNCTION("""COMPUTED_VALUE"""),"SERVICEABLE")</f>
        <v>SERVICEABLE</v>
      </c>
      <c r="N3842" s="164"/>
    </row>
    <row r="3843" spans="1:14" ht="13.2" hidden="1">
      <c r="A3843" s="164" t="str">
        <f ca="1">IFERROR(__xludf.DUMMYFUNCTION("""COMPUTED_VALUE"""),"Region XI")</f>
        <v>Region XI</v>
      </c>
      <c r="B3843" s="164" t="str">
        <f ca="1">IFERROR(__xludf.DUMMYFUNCTION("""COMPUTED_VALUE"""),"REGIONAL OFFICE")</f>
        <v>REGIONAL OFFICE</v>
      </c>
      <c r="C3843" s="164" t="str">
        <f ca="1">IFERROR(__xludf.DUMMYFUNCTION("""COMPUTED_VALUE"""),"Desktop Computer – (MSI PRO DP180)")</f>
        <v>Desktop Computer – (MSI PRO DP180)</v>
      </c>
      <c r="D3843" s="164" t="str">
        <f ca="1">IFERROR(__xludf.DUMMYFUNCTION("""COMPUTED_VALUE"""),"₱ 49,300.00")</f>
        <v>₱ 49,300.00</v>
      </c>
      <c r="E3843" s="164" t="str">
        <f ca="1">IFERROR(__xludf.DUMMYFUNCTION("""COMPUTED_VALUE"""),"₱ -")</f>
        <v>₱ -</v>
      </c>
      <c r="F3843" s="164" t="str">
        <f ca="1">IFERROR(__xludf.DUMMYFUNCTION("""COMPUTED_VALUE"""),"HVSPLIT-102-24-05-01-461")</f>
        <v>HVSPLIT-102-24-05-01-461</v>
      </c>
      <c r="G3843" s="164"/>
      <c r="H3843" s="164" t="str">
        <f ca="1">IFERROR(__xludf.DUMMYFUNCTION("""COMPUTED_VALUE"""),"FERIAL V. SANTILLAN")</f>
        <v>FERIAL V. SANTILLAN</v>
      </c>
      <c r="I3843" s="164" t="str">
        <f ca="1">IFERROR(__xludf.DUMMYFUNCTION("""COMPUTED_VALUE"""),"CARPO-LTID")</f>
        <v>CARPO-LTID</v>
      </c>
      <c r="J3843" s="164" t="str">
        <f ca="1">IFERROR(__xludf.DUMMYFUNCTION("""COMPUTED_VALUE"""),"PAR 2022-12-0001SP")</f>
        <v>PAR 2022-12-0001SP</v>
      </c>
      <c r="K3843" s="164" t="str">
        <f ca="1">IFERROR(__xludf.DUMMYFUNCTION("""COMPUTED_VALUE"""),"FERIAL V. SANTILLAN")</f>
        <v>FERIAL V. SANTILLAN</v>
      </c>
      <c r="L3843" s="164" t="str">
        <f ca="1">IFERROR(__xludf.DUMMYFUNCTION("""COMPUTED_VALUE"""),"LTID")</f>
        <v>LTID</v>
      </c>
      <c r="M3843" s="164" t="str">
        <f ca="1">IFERROR(__xludf.DUMMYFUNCTION("""COMPUTED_VALUE"""),"SERVICEABLE")</f>
        <v>SERVICEABLE</v>
      </c>
      <c r="N3843" s="164"/>
    </row>
    <row r="3844" spans="1:14" ht="13.2" hidden="1">
      <c r="A3844" s="164" t="str">
        <f ca="1">IFERROR(__xludf.DUMMYFUNCTION("""COMPUTED_VALUE"""),"Region XI")</f>
        <v>Region XI</v>
      </c>
      <c r="B3844" s="164" t="str">
        <f ca="1">IFERROR(__xludf.DUMMYFUNCTION("""COMPUTED_VALUE"""),"REGIONAL OFFICE")</f>
        <v>REGIONAL OFFICE</v>
      </c>
      <c r="C3844" s="164" t="str">
        <f ca="1">IFERROR(__xludf.DUMMYFUNCTION("""COMPUTED_VALUE"""),"Desktop Computer – (MSI PRO DP180)")</f>
        <v>Desktop Computer – (MSI PRO DP180)</v>
      </c>
      <c r="D3844" s="164" t="str">
        <f ca="1">IFERROR(__xludf.DUMMYFUNCTION("""COMPUTED_VALUE"""),"₱ 49,300.00")</f>
        <v>₱ 49,300.00</v>
      </c>
      <c r="E3844" s="164" t="str">
        <f ca="1">IFERROR(__xludf.DUMMYFUNCTION("""COMPUTED_VALUE"""),"₱ -")</f>
        <v>₱ -</v>
      </c>
      <c r="F3844" s="164" t="str">
        <f ca="1">IFERROR(__xludf.DUMMYFUNCTION("""COMPUTED_VALUE"""),"HVSPLIT-102-24-05-01-462")</f>
        <v>HVSPLIT-102-24-05-01-462</v>
      </c>
      <c r="G3844" s="164"/>
      <c r="H3844" s="164" t="str">
        <f ca="1">IFERROR(__xludf.DUMMYFUNCTION("""COMPUTED_VALUE"""),"FERIAL V. SANTILLAN")</f>
        <v>FERIAL V. SANTILLAN</v>
      </c>
      <c r="I3844" s="164" t="str">
        <f ca="1">IFERROR(__xludf.DUMMYFUNCTION("""COMPUTED_VALUE"""),"CARPO-LTID")</f>
        <v>CARPO-LTID</v>
      </c>
      <c r="J3844" s="164" t="str">
        <f ca="1">IFERROR(__xludf.DUMMYFUNCTION("""COMPUTED_VALUE"""),"PAR 2022-12-0001SP")</f>
        <v>PAR 2022-12-0001SP</v>
      </c>
      <c r="K3844" s="164" t="str">
        <f ca="1">IFERROR(__xludf.DUMMYFUNCTION("""COMPUTED_VALUE"""),"FERIAL V. SANTILLAN")</f>
        <v>FERIAL V. SANTILLAN</v>
      </c>
      <c r="L3844" s="164" t="str">
        <f ca="1">IFERROR(__xludf.DUMMYFUNCTION("""COMPUTED_VALUE"""),"LTID")</f>
        <v>LTID</v>
      </c>
      <c r="M3844" s="164" t="str">
        <f ca="1">IFERROR(__xludf.DUMMYFUNCTION("""COMPUTED_VALUE"""),"SERVICEABLE")</f>
        <v>SERVICEABLE</v>
      </c>
      <c r="N3844" s="164"/>
    </row>
    <row r="3845" spans="1:14" ht="13.2" hidden="1">
      <c r="A3845" s="164" t="str">
        <f ca="1">IFERROR(__xludf.DUMMYFUNCTION("""COMPUTED_VALUE"""),"Region XI")</f>
        <v>Region XI</v>
      </c>
      <c r="B3845" s="164" t="str">
        <f ca="1">IFERROR(__xludf.DUMMYFUNCTION("""COMPUTED_VALUE"""),"REGIONAL OFFICE")</f>
        <v>REGIONAL OFFICE</v>
      </c>
      <c r="C3845" s="164" t="str">
        <f ca="1">IFERROR(__xludf.DUMMYFUNCTION("""COMPUTED_VALUE"""),"Desktop Computer – (MSI PRO DP180)")</f>
        <v>Desktop Computer – (MSI PRO DP180)</v>
      </c>
      <c r="D3845" s="164" t="str">
        <f ca="1">IFERROR(__xludf.DUMMYFUNCTION("""COMPUTED_VALUE"""),"₱ 49,300.00")</f>
        <v>₱ 49,300.00</v>
      </c>
      <c r="E3845" s="164" t="str">
        <f ca="1">IFERROR(__xludf.DUMMYFUNCTION("""COMPUTED_VALUE"""),"₱ -")</f>
        <v>₱ -</v>
      </c>
      <c r="F3845" s="164" t="str">
        <f ca="1">IFERROR(__xludf.DUMMYFUNCTION("""COMPUTED_VALUE"""),"HVSPLIT-102-24-05-01-463")</f>
        <v>HVSPLIT-102-24-05-01-463</v>
      </c>
      <c r="G3845" s="164"/>
      <c r="H3845" s="164" t="str">
        <f ca="1">IFERROR(__xludf.DUMMYFUNCTION("""COMPUTED_VALUE"""),"FERIAL V. SANTILLAN")</f>
        <v>FERIAL V. SANTILLAN</v>
      </c>
      <c r="I3845" s="164" t="str">
        <f ca="1">IFERROR(__xludf.DUMMYFUNCTION("""COMPUTED_VALUE"""),"CARPO-LTID")</f>
        <v>CARPO-LTID</v>
      </c>
      <c r="J3845" s="164" t="str">
        <f ca="1">IFERROR(__xludf.DUMMYFUNCTION("""COMPUTED_VALUE"""),"PAR 2022-12-0001SP")</f>
        <v>PAR 2022-12-0001SP</v>
      </c>
      <c r="K3845" s="164" t="str">
        <f ca="1">IFERROR(__xludf.DUMMYFUNCTION("""COMPUTED_VALUE"""),"FERIAL V. SANTILLAN")</f>
        <v>FERIAL V. SANTILLAN</v>
      </c>
      <c r="L3845" s="164" t="str">
        <f ca="1">IFERROR(__xludf.DUMMYFUNCTION("""COMPUTED_VALUE"""),"LTID")</f>
        <v>LTID</v>
      </c>
      <c r="M3845" s="164" t="str">
        <f ca="1">IFERROR(__xludf.DUMMYFUNCTION("""COMPUTED_VALUE"""),"SERVICEABLE")</f>
        <v>SERVICEABLE</v>
      </c>
      <c r="N3845" s="164"/>
    </row>
    <row r="3846" spans="1:14" ht="13.2" hidden="1">
      <c r="A3846" s="164" t="str">
        <f ca="1">IFERROR(__xludf.DUMMYFUNCTION("""COMPUTED_VALUE"""),"Region XI")</f>
        <v>Region XI</v>
      </c>
      <c r="B3846" s="164" t="str">
        <f ca="1">IFERROR(__xludf.DUMMYFUNCTION("""COMPUTED_VALUE"""),"REGIONAL OFFICE")</f>
        <v>REGIONAL OFFICE</v>
      </c>
      <c r="C3846" s="164" t="str">
        <f ca="1">IFERROR(__xludf.DUMMYFUNCTION("""COMPUTED_VALUE"""),"Desktop Computer – (MSI PRO DP180)")</f>
        <v>Desktop Computer – (MSI PRO DP180)</v>
      </c>
      <c r="D3846" s="164" t="str">
        <f ca="1">IFERROR(__xludf.DUMMYFUNCTION("""COMPUTED_VALUE"""),"₱ 49,300.00")</f>
        <v>₱ 49,300.00</v>
      </c>
      <c r="E3846" s="164" t="str">
        <f ca="1">IFERROR(__xludf.DUMMYFUNCTION("""COMPUTED_VALUE"""),"₱ -")</f>
        <v>₱ -</v>
      </c>
      <c r="F3846" s="164" t="str">
        <f ca="1">IFERROR(__xludf.DUMMYFUNCTION("""COMPUTED_VALUE"""),"HVSPLIT-102-24-05-01-464")</f>
        <v>HVSPLIT-102-24-05-01-464</v>
      </c>
      <c r="G3846" s="164"/>
      <c r="H3846" s="164" t="str">
        <f ca="1">IFERROR(__xludf.DUMMYFUNCTION("""COMPUTED_VALUE"""),"FERIAL V. SANTILLAN")</f>
        <v>FERIAL V. SANTILLAN</v>
      </c>
      <c r="I3846" s="164" t="str">
        <f ca="1">IFERROR(__xludf.DUMMYFUNCTION("""COMPUTED_VALUE"""),"CARPO-LTID")</f>
        <v>CARPO-LTID</v>
      </c>
      <c r="J3846" s="164" t="str">
        <f ca="1">IFERROR(__xludf.DUMMYFUNCTION("""COMPUTED_VALUE"""),"PAR 2022-12-0001SP")</f>
        <v>PAR 2022-12-0001SP</v>
      </c>
      <c r="K3846" s="164" t="str">
        <f ca="1">IFERROR(__xludf.DUMMYFUNCTION("""COMPUTED_VALUE"""),"FERIAL V. SANTILLAN")</f>
        <v>FERIAL V. SANTILLAN</v>
      </c>
      <c r="L3846" s="164" t="str">
        <f ca="1">IFERROR(__xludf.DUMMYFUNCTION("""COMPUTED_VALUE"""),"LTID")</f>
        <v>LTID</v>
      </c>
      <c r="M3846" s="164" t="str">
        <f ca="1">IFERROR(__xludf.DUMMYFUNCTION("""COMPUTED_VALUE"""),"SERVICEABLE")</f>
        <v>SERVICEABLE</v>
      </c>
      <c r="N3846" s="164"/>
    </row>
    <row r="3847" spans="1:14" ht="13.2" hidden="1">
      <c r="A3847" s="164" t="str">
        <f ca="1">IFERROR(__xludf.DUMMYFUNCTION("""COMPUTED_VALUE"""),"Region XI")</f>
        <v>Region XI</v>
      </c>
      <c r="B3847" s="164" t="str">
        <f ca="1">IFERROR(__xludf.DUMMYFUNCTION("""COMPUTED_VALUE"""),"REGIONAL OFFICE")</f>
        <v>REGIONAL OFFICE</v>
      </c>
      <c r="C3847" s="164" t="str">
        <f ca="1">IFERROR(__xludf.DUMMYFUNCTION("""COMPUTED_VALUE"""),"Desktop Computer – (MSI PRO DP180)")</f>
        <v>Desktop Computer – (MSI PRO DP180)</v>
      </c>
      <c r="D3847" s="164" t="str">
        <f ca="1">IFERROR(__xludf.DUMMYFUNCTION("""COMPUTED_VALUE"""),"₱ 49,300.00")</f>
        <v>₱ 49,300.00</v>
      </c>
      <c r="E3847" s="164" t="str">
        <f ca="1">IFERROR(__xludf.DUMMYFUNCTION("""COMPUTED_VALUE"""),"₱ -")</f>
        <v>₱ -</v>
      </c>
      <c r="F3847" s="164" t="str">
        <f ca="1">IFERROR(__xludf.DUMMYFUNCTION("""COMPUTED_VALUE"""),"HVSPLIT-102-24-05-01-465")</f>
        <v>HVSPLIT-102-24-05-01-465</v>
      </c>
      <c r="G3847" s="164"/>
      <c r="H3847" s="164" t="str">
        <f ca="1">IFERROR(__xludf.DUMMYFUNCTION("""COMPUTED_VALUE"""),"FERIAL V. SANTILLAN")</f>
        <v>FERIAL V. SANTILLAN</v>
      </c>
      <c r="I3847" s="164" t="str">
        <f ca="1">IFERROR(__xludf.DUMMYFUNCTION("""COMPUTED_VALUE"""),"CARPO-LTID")</f>
        <v>CARPO-LTID</v>
      </c>
      <c r="J3847" s="164" t="str">
        <f ca="1">IFERROR(__xludf.DUMMYFUNCTION("""COMPUTED_VALUE"""),"PAR 2022-12-0001SP")</f>
        <v>PAR 2022-12-0001SP</v>
      </c>
      <c r="K3847" s="164" t="str">
        <f ca="1">IFERROR(__xludf.DUMMYFUNCTION("""COMPUTED_VALUE"""),"FERIAL V. SANTILLAN")</f>
        <v>FERIAL V. SANTILLAN</v>
      </c>
      <c r="L3847" s="164" t="str">
        <f ca="1">IFERROR(__xludf.DUMMYFUNCTION("""COMPUTED_VALUE"""),"LTID")</f>
        <v>LTID</v>
      </c>
      <c r="M3847" s="164" t="str">
        <f ca="1">IFERROR(__xludf.DUMMYFUNCTION("""COMPUTED_VALUE"""),"SERVICEABLE")</f>
        <v>SERVICEABLE</v>
      </c>
      <c r="N3847" s="164"/>
    </row>
    <row r="3848" spans="1:14" ht="13.2" hidden="1">
      <c r="A3848" s="164" t="str">
        <f ca="1">IFERROR(__xludf.DUMMYFUNCTION("""COMPUTED_VALUE"""),"Region XI")</f>
        <v>Region XI</v>
      </c>
      <c r="B3848" s="164" t="str">
        <f ca="1">IFERROR(__xludf.DUMMYFUNCTION("""COMPUTED_VALUE"""),"REGIONAL OFFICE")</f>
        <v>REGIONAL OFFICE</v>
      </c>
      <c r="C3848" s="164" t="str">
        <f ca="1">IFERROR(__xludf.DUMMYFUNCTION("""COMPUTED_VALUE"""),"Desktop Computer – (MSI PRO DP180)")</f>
        <v>Desktop Computer – (MSI PRO DP180)</v>
      </c>
      <c r="D3848" s="164" t="str">
        <f ca="1">IFERROR(__xludf.DUMMYFUNCTION("""COMPUTED_VALUE"""),"₱ 49,300.00")</f>
        <v>₱ 49,300.00</v>
      </c>
      <c r="E3848" s="164" t="str">
        <f ca="1">IFERROR(__xludf.DUMMYFUNCTION("""COMPUTED_VALUE"""),"₱ -")</f>
        <v>₱ -</v>
      </c>
      <c r="F3848" s="164" t="str">
        <f ca="1">IFERROR(__xludf.DUMMYFUNCTION("""COMPUTED_VALUE"""),"HVSPLIT-102-24-05-01-466")</f>
        <v>HVSPLIT-102-24-05-01-466</v>
      </c>
      <c r="G3848" s="164"/>
      <c r="H3848" s="164" t="str">
        <f ca="1">IFERROR(__xludf.DUMMYFUNCTION("""COMPUTED_VALUE"""),"FERIAL V. SANTILLAN")</f>
        <v>FERIAL V. SANTILLAN</v>
      </c>
      <c r="I3848" s="164" t="str">
        <f ca="1">IFERROR(__xludf.DUMMYFUNCTION("""COMPUTED_VALUE"""),"CARPO-LTID")</f>
        <v>CARPO-LTID</v>
      </c>
      <c r="J3848" s="164" t="str">
        <f ca="1">IFERROR(__xludf.DUMMYFUNCTION("""COMPUTED_VALUE"""),"PAR 2022-12-0001SP")</f>
        <v>PAR 2022-12-0001SP</v>
      </c>
      <c r="K3848" s="164" t="str">
        <f ca="1">IFERROR(__xludf.DUMMYFUNCTION("""COMPUTED_VALUE"""),"FERIAL V. SANTILLAN")</f>
        <v>FERIAL V. SANTILLAN</v>
      </c>
      <c r="L3848" s="164" t="str">
        <f ca="1">IFERROR(__xludf.DUMMYFUNCTION("""COMPUTED_VALUE"""),"LTID")</f>
        <v>LTID</v>
      </c>
      <c r="M3848" s="164" t="str">
        <f ca="1">IFERROR(__xludf.DUMMYFUNCTION("""COMPUTED_VALUE"""),"SERVICEABLE")</f>
        <v>SERVICEABLE</v>
      </c>
      <c r="N3848" s="164"/>
    </row>
    <row r="3849" spans="1:14" ht="13.2" hidden="1">
      <c r="A3849" s="164" t="str">
        <f ca="1">IFERROR(__xludf.DUMMYFUNCTION("""COMPUTED_VALUE"""),"Region XI")</f>
        <v>Region XI</v>
      </c>
      <c r="B3849" s="164" t="str">
        <f ca="1">IFERROR(__xludf.DUMMYFUNCTION("""COMPUTED_VALUE"""),"REGIONAL OFFICE")</f>
        <v>REGIONAL OFFICE</v>
      </c>
      <c r="C3849" s="164" t="str">
        <f ca="1">IFERROR(__xludf.DUMMYFUNCTION("""COMPUTED_VALUE"""),"Desktop Computer – (MSI PRO DP180)")</f>
        <v>Desktop Computer – (MSI PRO DP180)</v>
      </c>
      <c r="D3849" s="164" t="str">
        <f ca="1">IFERROR(__xludf.DUMMYFUNCTION("""COMPUTED_VALUE"""),"₱ 49,300.00")</f>
        <v>₱ 49,300.00</v>
      </c>
      <c r="E3849" s="164" t="str">
        <f ca="1">IFERROR(__xludf.DUMMYFUNCTION("""COMPUTED_VALUE"""),"₱ -")</f>
        <v>₱ -</v>
      </c>
      <c r="F3849" s="164" t="str">
        <f ca="1">IFERROR(__xludf.DUMMYFUNCTION("""COMPUTED_VALUE"""),"HVSPLIT-102-24-05-01-467")</f>
        <v>HVSPLIT-102-24-05-01-467</v>
      </c>
      <c r="G3849" s="164"/>
      <c r="H3849" s="164" t="str">
        <f ca="1">IFERROR(__xludf.DUMMYFUNCTION("""COMPUTED_VALUE"""),"FERIAL V. SANTILLAN")</f>
        <v>FERIAL V. SANTILLAN</v>
      </c>
      <c r="I3849" s="164" t="str">
        <f ca="1">IFERROR(__xludf.DUMMYFUNCTION("""COMPUTED_VALUE"""),"CARPO-LTID")</f>
        <v>CARPO-LTID</v>
      </c>
      <c r="J3849" s="164" t="str">
        <f ca="1">IFERROR(__xludf.DUMMYFUNCTION("""COMPUTED_VALUE"""),"PAR 2022-12-0001SP")</f>
        <v>PAR 2022-12-0001SP</v>
      </c>
      <c r="K3849" s="164" t="str">
        <f ca="1">IFERROR(__xludf.DUMMYFUNCTION("""COMPUTED_VALUE"""),"FERIAL V. SANTILLAN")</f>
        <v>FERIAL V. SANTILLAN</v>
      </c>
      <c r="L3849" s="164" t="str">
        <f ca="1">IFERROR(__xludf.DUMMYFUNCTION("""COMPUTED_VALUE"""),"LTID")</f>
        <v>LTID</v>
      </c>
      <c r="M3849" s="164" t="str">
        <f ca="1">IFERROR(__xludf.DUMMYFUNCTION("""COMPUTED_VALUE"""),"SERVICEABLE")</f>
        <v>SERVICEABLE</v>
      </c>
      <c r="N3849" s="164"/>
    </row>
    <row r="3850" spans="1:14" ht="13.2" hidden="1">
      <c r="A3850" s="164" t="str">
        <f ca="1">IFERROR(__xludf.DUMMYFUNCTION("""COMPUTED_VALUE"""),"Region XI")</f>
        <v>Region XI</v>
      </c>
      <c r="B3850" s="164" t="str">
        <f ca="1">IFERROR(__xludf.DUMMYFUNCTION("""COMPUTED_VALUE"""),"REGIONAL OFFICE")</f>
        <v>REGIONAL OFFICE</v>
      </c>
      <c r="C3850" s="164" t="str">
        <f ca="1">IFERROR(__xludf.DUMMYFUNCTION("""COMPUTED_VALUE"""),"Desktop Computer – (MSI PRO DP180)")</f>
        <v>Desktop Computer – (MSI PRO DP180)</v>
      </c>
      <c r="D3850" s="164" t="str">
        <f ca="1">IFERROR(__xludf.DUMMYFUNCTION("""COMPUTED_VALUE"""),"₱ 49,300.00")</f>
        <v>₱ 49,300.00</v>
      </c>
      <c r="E3850" s="164" t="str">
        <f ca="1">IFERROR(__xludf.DUMMYFUNCTION("""COMPUTED_VALUE"""),"₱ -")</f>
        <v>₱ -</v>
      </c>
      <c r="F3850" s="164" t="str">
        <f ca="1">IFERROR(__xludf.DUMMYFUNCTION("""COMPUTED_VALUE"""),"HVSPLIT-102-24-05-01-468")</f>
        <v>HVSPLIT-102-24-05-01-468</v>
      </c>
      <c r="G3850" s="164"/>
      <c r="H3850" s="164" t="str">
        <f ca="1">IFERROR(__xludf.DUMMYFUNCTION("""COMPUTED_VALUE"""),"FERIAL V. SANTILLAN")</f>
        <v>FERIAL V. SANTILLAN</v>
      </c>
      <c r="I3850" s="164" t="str">
        <f ca="1">IFERROR(__xludf.DUMMYFUNCTION("""COMPUTED_VALUE"""),"CARPO-LTID")</f>
        <v>CARPO-LTID</v>
      </c>
      <c r="J3850" s="164" t="str">
        <f ca="1">IFERROR(__xludf.DUMMYFUNCTION("""COMPUTED_VALUE"""),"PAR 2022-12-0001SP")</f>
        <v>PAR 2022-12-0001SP</v>
      </c>
      <c r="K3850" s="164" t="str">
        <f ca="1">IFERROR(__xludf.DUMMYFUNCTION("""COMPUTED_VALUE"""),"FERIAL V. SANTILLAN")</f>
        <v>FERIAL V. SANTILLAN</v>
      </c>
      <c r="L3850" s="164" t="str">
        <f ca="1">IFERROR(__xludf.DUMMYFUNCTION("""COMPUTED_VALUE"""),"LTID")</f>
        <v>LTID</v>
      </c>
      <c r="M3850" s="164" t="str">
        <f ca="1">IFERROR(__xludf.DUMMYFUNCTION("""COMPUTED_VALUE"""),"SERVICEABLE")</f>
        <v>SERVICEABLE</v>
      </c>
      <c r="N3850" s="164"/>
    </row>
    <row r="3851" spans="1:14" ht="13.2" hidden="1">
      <c r="A3851" s="164" t="str">
        <f ca="1">IFERROR(__xludf.DUMMYFUNCTION("""COMPUTED_VALUE"""),"Region XI")</f>
        <v>Region XI</v>
      </c>
      <c r="B3851" s="164" t="str">
        <f ca="1">IFERROR(__xludf.DUMMYFUNCTION("""COMPUTED_VALUE"""),"REGIONAL OFFICE")</f>
        <v>REGIONAL OFFICE</v>
      </c>
      <c r="C3851" s="164" t="str">
        <f ca="1">IFERROR(__xludf.DUMMYFUNCTION("""COMPUTED_VALUE"""),"Desktop Computer – (MSI PRO DP180)")</f>
        <v>Desktop Computer – (MSI PRO DP180)</v>
      </c>
      <c r="D3851" s="164" t="str">
        <f ca="1">IFERROR(__xludf.DUMMYFUNCTION("""COMPUTED_VALUE"""),"₱ 49,300.00")</f>
        <v>₱ 49,300.00</v>
      </c>
      <c r="E3851" s="164" t="str">
        <f ca="1">IFERROR(__xludf.DUMMYFUNCTION("""COMPUTED_VALUE"""),"₱ -")</f>
        <v>₱ -</v>
      </c>
      <c r="F3851" s="164" t="str">
        <f ca="1">IFERROR(__xludf.DUMMYFUNCTION("""COMPUTED_VALUE"""),"HVSPLIT-102-24-05-01-469")</f>
        <v>HVSPLIT-102-24-05-01-469</v>
      </c>
      <c r="G3851" s="164"/>
      <c r="H3851" s="164" t="str">
        <f ca="1">IFERROR(__xludf.DUMMYFUNCTION("""COMPUTED_VALUE"""),"FERIAL V. SANTILLAN")</f>
        <v>FERIAL V. SANTILLAN</v>
      </c>
      <c r="I3851" s="164" t="str">
        <f ca="1">IFERROR(__xludf.DUMMYFUNCTION("""COMPUTED_VALUE"""),"CARPO-LTID")</f>
        <v>CARPO-LTID</v>
      </c>
      <c r="J3851" s="164" t="str">
        <f ca="1">IFERROR(__xludf.DUMMYFUNCTION("""COMPUTED_VALUE"""),"PAR 2022-12-0001SP")</f>
        <v>PAR 2022-12-0001SP</v>
      </c>
      <c r="K3851" s="164" t="str">
        <f ca="1">IFERROR(__xludf.DUMMYFUNCTION("""COMPUTED_VALUE"""),"FERIAL V. SANTILLAN")</f>
        <v>FERIAL V. SANTILLAN</v>
      </c>
      <c r="L3851" s="164" t="str">
        <f ca="1">IFERROR(__xludf.DUMMYFUNCTION("""COMPUTED_VALUE"""),"LTID")</f>
        <v>LTID</v>
      </c>
      <c r="M3851" s="164" t="str">
        <f ca="1">IFERROR(__xludf.DUMMYFUNCTION("""COMPUTED_VALUE"""),"SERVICEABLE")</f>
        <v>SERVICEABLE</v>
      </c>
      <c r="N3851" s="164"/>
    </row>
    <row r="3852" spans="1:14" ht="13.2" hidden="1">
      <c r="A3852" s="164" t="str">
        <f ca="1">IFERROR(__xludf.DUMMYFUNCTION("""COMPUTED_VALUE"""),"Region XI")</f>
        <v>Region XI</v>
      </c>
      <c r="B3852" s="164" t="str">
        <f ca="1">IFERROR(__xludf.DUMMYFUNCTION("""COMPUTED_VALUE"""),"REGIONAL OFFICE")</f>
        <v>REGIONAL OFFICE</v>
      </c>
      <c r="C3852" s="164" t="str">
        <f ca="1">IFERROR(__xludf.DUMMYFUNCTION("""COMPUTED_VALUE"""),"Desktop Computer – (MSI PRO DP180)")</f>
        <v>Desktop Computer – (MSI PRO DP180)</v>
      </c>
      <c r="D3852" s="164" t="str">
        <f ca="1">IFERROR(__xludf.DUMMYFUNCTION("""COMPUTED_VALUE"""),"₱ 49,300.00")</f>
        <v>₱ 49,300.00</v>
      </c>
      <c r="E3852" s="164" t="str">
        <f ca="1">IFERROR(__xludf.DUMMYFUNCTION("""COMPUTED_VALUE"""),"₱ -")</f>
        <v>₱ -</v>
      </c>
      <c r="F3852" s="164" t="str">
        <f ca="1">IFERROR(__xludf.DUMMYFUNCTION("""COMPUTED_VALUE"""),"HVSPLIT-102-24-05-01-470")</f>
        <v>HVSPLIT-102-24-05-01-470</v>
      </c>
      <c r="G3852" s="164"/>
      <c r="H3852" s="164" t="str">
        <f ca="1">IFERROR(__xludf.DUMMYFUNCTION("""COMPUTED_VALUE"""),"FERIAL V. SANTILLAN")</f>
        <v>FERIAL V. SANTILLAN</v>
      </c>
      <c r="I3852" s="164" t="str">
        <f ca="1">IFERROR(__xludf.DUMMYFUNCTION("""COMPUTED_VALUE"""),"CARPO-LTID")</f>
        <v>CARPO-LTID</v>
      </c>
      <c r="J3852" s="164" t="str">
        <f ca="1">IFERROR(__xludf.DUMMYFUNCTION("""COMPUTED_VALUE"""),"PAR 2022-12-0001SP")</f>
        <v>PAR 2022-12-0001SP</v>
      </c>
      <c r="K3852" s="164" t="str">
        <f ca="1">IFERROR(__xludf.DUMMYFUNCTION("""COMPUTED_VALUE"""),"FERIAL V. SANTILLAN")</f>
        <v>FERIAL V. SANTILLAN</v>
      </c>
      <c r="L3852" s="164" t="str">
        <f ca="1">IFERROR(__xludf.DUMMYFUNCTION("""COMPUTED_VALUE"""),"LTID")</f>
        <v>LTID</v>
      </c>
      <c r="M3852" s="164" t="str">
        <f ca="1">IFERROR(__xludf.DUMMYFUNCTION("""COMPUTED_VALUE"""),"SERVICEABLE")</f>
        <v>SERVICEABLE</v>
      </c>
      <c r="N3852" s="164"/>
    </row>
    <row r="3853" spans="1:14" ht="13.2" hidden="1">
      <c r="A3853" s="164" t="str">
        <f ca="1">IFERROR(__xludf.DUMMYFUNCTION("""COMPUTED_VALUE"""),"Region XI")</f>
        <v>Region XI</v>
      </c>
      <c r="B3853" s="164" t="str">
        <f ca="1">IFERROR(__xludf.DUMMYFUNCTION("""COMPUTED_VALUE"""),"REGIONAL OFFICE")</f>
        <v>REGIONAL OFFICE</v>
      </c>
      <c r="C3853" s="164" t="str">
        <f ca="1">IFERROR(__xludf.DUMMYFUNCTION("""COMPUTED_VALUE"""),"Desktop Computer – (MSI PRO DP180)")</f>
        <v>Desktop Computer – (MSI PRO DP180)</v>
      </c>
      <c r="D3853" s="164" t="str">
        <f ca="1">IFERROR(__xludf.DUMMYFUNCTION("""COMPUTED_VALUE"""),"₱ 49,300.00")</f>
        <v>₱ 49,300.00</v>
      </c>
      <c r="E3853" s="164" t="str">
        <f ca="1">IFERROR(__xludf.DUMMYFUNCTION("""COMPUTED_VALUE"""),"₱ -")</f>
        <v>₱ -</v>
      </c>
      <c r="F3853" s="164" t="str">
        <f ca="1">IFERROR(__xludf.DUMMYFUNCTION("""COMPUTED_VALUE"""),"HVSPLIT-102-24-05-01-471")</f>
        <v>HVSPLIT-102-24-05-01-471</v>
      </c>
      <c r="G3853" s="164"/>
      <c r="H3853" s="164" t="str">
        <f ca="1">IFERROR(__xludf.DUMMYFUNCTION("""COMPUTED_VALUE"""),"FERIAL V. SANTILLAN")</f>
        <v>FERIAL V. SANTILLAN</v>
      </c>
      <c r="I3853" s="164" t="str">
        <f ca="1">IFERROR(__xludf.DUMMYFUNCTION("""COMPUTED_VALUE"""),"CARPO-LTID")</f>
        <v>CARPO-LTID</v>
      </c>
      <c r="J3853" s="164" t="str">
        <f ca="1">IFERROR(__xludf.DUMMYFUNCTION("""COMPUTED_VALUE"""),"PAR 2022-12-0001SP")</f>
        <v>PAR 2022-12-0001SP</v>
      </c>
      <c r="K3853" s="164" t="str">
        <f ca="1">IFERROR(__xludf.DUMMYFUNCTION("""COMPUTED_VALUE"""),"FERIAL V. SANTILLAN")</f>
        <v>FERIAL V. SANTILLAN</v>
      </c>
      <c r="L3853" s="164" t="str">
        <f ca="1">IFERROR(__xludf.DUMMYFUNCTION("""COMPUTED_VALUE"""),"LTID")</f>
        <v>LTID</v>
      </c>
      <c r="M3853" s="164" t="str">
        <f ca="1">IFERROR(__xludf.DUMMYFUNCTION("""COMPUTED_VALUE"""),"SERVICEABLE")</f>
        <v>SERVICEABLE</v>
      </c>
      <c r="N3853" s="164"/>
    </row>
    <row r="3854" spans="1:14" ht="13.2" hidden="1">
      <c r="A3854" s="164" t="str">
        <f ca="1">IFERROR(__xludf.DUMMYFUNCTION("""COMPUTED_VALUE"""),"Region XI")</f>
        <v>Region XI</v>
      </c>
      <c r="B3854" s="164" t="str">
        <f ca="1">IFERROR(__xludf.DUMMYFUNCTION("""COMPUTED_VALUE"""),"REGIONAL OFFICE")</f>
        <v>REGIONAL OFFICE</v>
      </c>
      <c r="C3854" s="164" t="str">
        <f ca="1">IFERROR(__xludf.DUMMYFUNCTION("""COMPUTED_VALUE"""),"Desktop Computer – (MSI PRO DP180)")</f>
        <v>Desktop Computer – (MSI PRO DP180)</v>
      </c>
      <c r="D3854" s="164" t="str">
        <f ca="1">IFERROR(__xludf.DUMMYFUNCTION("""COMPUTED_VALUE"""),"₱ 49,300.00")</f>
        <v>₱ 49,300.00</v>
      </c>
      <c r="E3854" s="164" t="str">
        <f ca="1">IFERROR(__xludf.DUMMYFUNCTION("""COMPUTED_VALUE"""),"₱ -")</f>
        <v>₱ -</v>
      </c>
      <c r="F3854" s="164" t="str">
        <f ca="1">IFERROR(__xludf.DUMMYFUNCTION("""COMPUTED_VALUE"""),"HVSPLIT-102-24-05-01-472")</f>
        <v>HVSPLIT-102-24-05-01-472</v>
      </c>
      <c r="G3854" s="164"/>
      <c r="H3854" s="164" t="str">
        <f ca="1">IFERROR(__xludf.DUMMYFUNCTION("""COMPUTED_VALUE"""),"FERIAL V. SANTILLAN")</f>
        <v>FERIAL V. SANTILLAN</v>
      </c>
      <c r="I3854" s="164" t="str">
        <f ca="1">IFERROR(__xludf.DUMMYFUNCTION("""COMPUTED_VALUE"""),"CARPO-LTID")</f>
        <v>CARPO-LTID</v>
      </c>
      <c r="J3854" s="164" t="str">
        <f ca="1">IFERROR(__xludf.DUMMYFUNCTION("""COMPUTED_VALUE"""),"PAR 2022-12-0001SP")</f>
        <v>PAR 2022-12-0001SP</v>
      </c>
      <c r="K3854" s="164" t="str">
        <f ca="1">IFERROR(__xludf.DUMMYFUNCTION("""COMPUTED_VALUE"""),"FERIAL V. SANTILLAN")</f>
        <v>FERIAL V. SANTILLAN</v>
      </c>
      <c r="L3854" s="164" t="str">
        <f ca="1">IFERROR(__xludf.DUMMYFUNCTION("""COMPUTED_VALUE"""),"LTID")</f>
        <v>LTID</v>
      </c>
      <c r="M3854" s="164" t="str">
        <f ca="1">IFERROR(__xludf.DUMMYFUNCTION("""COMPUTED_VALUE"""),"SERVICEABLE")</f>
        <v>SERVICEABLE</v>
      </c>
      <c r="N3854" s="164"/>
    </row>
    <row r="3855" spans="1:14" ht="13.2" hidden="1">
      <c r="A3855" s="164" t="str">
        <f ca="1">IFERROR(__xludf.DUMMYFUNCTION("""COMPUTED_VALUE"""),"Region XI")</f>
        <v>Region XI</v>
      </c>
      <c r="B3855" s="164" t="str">
        <f ca="1">IFERROR(__xludf.DUMMYFUNCTION("""COMPUTED_VALUE"""),"REGIONAL OFFICE")</f>
        <v>REGIONAL OFFICE</v>
      </c>
      <c r="C3855" s="164" t="str">
        <f ca="1">IFERROR(__xludf.DUMMYFUNCTION("""COMPUTED_VALUE"""),"Desktop Computer – (MSI PRO DP180)")</f>
        <v>Desktop Computer – (MSI PRO DP180)</v>
      </c>
      <c r="D3855" s="164" t="str">
        <f ca="1">IFERROR(__xludf.DUMMYFUNCTION("""COMPUTED_VALUE"""),"₱ 49,300.00")</f>
        <v>₱ 49,300.00</v>
      </c>
      <c r="E3855" s="164" t="str">
        <f ca="1">IFERROR(__xludf.DUMMYFUNCTION("""COMPUTED_VALUE"""),"₱ -")</f>
        <v>₱ -</v>
      </c>
      <c r="F3855" s="164" t="str">
        <f ca="1">IFERROR(__xludf.DUMMYFUNCTION("""COMPUTED_VALUE"""),"HVSPLIT-102-24-05-01-473")</f>
        <v>HVSPLIT-102-24-05-01-473</v>
      </c>
      <c r="G3855" s="164"/>
      <c r="H3855" s="164" t="str">
        <f ca="1">IFERROR(__xludf.DUMMYFUNCTION("""COMPUTED_VALUE"""),"FERIAL V. SANTILLAN")</f>
        <v>FERIAL V. SANTILLAN</v>
      </c>
      <c r="I3855" s="164" t="str">
        <f ca="1">IFERROR(__xludf.DUMMYFUNCTION("""COMPUTED_VALUE"""),"CARPO-LTID")</f>
        <v>CARPO-LTID</v>
      </c>
      <c r="J3855" s="164" t="str">
        <f ca="1">IFERROR(__xludf.DUMMYFUNCTION("""COMPUTED_VALUE"""),"PAR 2022-12-0001SP")</f>
        <v>PAR 2022-12-0001SP</v>
      </c>
      <c r="K3855" s="164" t="str">
        <f ca="1">IFERROR(__xludf.DUMMYFUNCTION("""COMPUTED_VALUE"""),"FERIAL V. SANTILLAN")</f>
        <v>FERIAL V. SANTILLAN</v>
      </c>
      <c r="L3855" s="164" t="str">
        <f ca="1">IFERROR(__xludf.DUMMYFUNCTION("""COMPUTED_VALUE"""),"LTID")</f>
        <v>LTID</v>
      </c>
      <c r="M3855" s="164" t="str">
        <f ca="1">IFERROR(__xludf.DUMMYFUNCTION("""COMPUTED_VALUE"""),"SERVICEABLE")</f>
        <v>SERVICEABLE</v>
      </c>
      <c r="N3855" s="164"/>
    </row>
    <row r="3856" spans="1:14" ht="13.2" hidden="1">
      <c r="A3856" s="164" t="str">
        <f ca="1">IFERROR(__xludf.DUMMYFUNCTION("""COMPUTED_VALUE"""),"Region XI")</f>
        <v>Region XI</v>
      </c>
      <c r="B3856" s="164" t="str">
        <f ca="1">IFERROR(__xludf.DUMMYFUNCTION("""COMPUTED_VALUE"""),"REGIONAL OFFICE")</f>
        <v>REGIONAL OFFICE</v>
      </c>
      <c r="C3856" s="164" t="str">
        <f ca="1">IFERROR(__xludf.DUMMYFUNCTION("""COMPUTED_VALUE"""),"Desktop Computer – (MSI PRO DP180)")</f>
        <v>Desktop Computer – (MSI PRO DP180)</v>
      </c>
      <c r="D3856" s="164" t="str">
        <f ca="1">IFERROR(__xludf.DUMMYFUNCTION("""COMPUTED_VALUE"""),"₱ 49,300.00")</f>
        <v>₱ 49,300.00</v>
      </c>
      <c r="E3856" s="164" t="str">
        <f ca="1">IFERROR(__xludf.DUMMYFUNCTION("""COMPUTED_VALUE"""),"₱ -")</f>
        <v>₱ -</v>
      </c>
      <c r="F3856" s="164" t="str">
        <f ca="1">IFERROR(__xludf.DUMMYFUNCTION("""COMPUTED_VALUE"""),"HVSPLIT-102-24-05-01-474")</f>
        <v>HVSPLIT-102-24-05-01-474</v>
      </c>
      <c r="G3856" s="164"/>
      <c r="H3856" s="164" t="str">
        <f ca="1">IFERROR(__xludf.DUMMYFUNCTION("""COMPUTED_VALUE"""),"FERIAL V. SANTILLAN")</f>
        <v>FERIAL V. SANTILLAN</v>
      </c>
      <c r="I3856" s="164" t="str">
        <f ca="1">IFERROR(__xludf.DUMMYFUNCTION("""COMPUTED_VALUE"""),"CARPO-LTID")</f>
        <v>CARPO-LTID</v>
      </c>
      <c r="J3856" s="164" t="str">
        <f ca="1">IFERROR(__xludf.DUMMYFUNCTION("""COMPUTED_VALUE"""),"PAR 2022-12-0001SP")</f>
        <v>PAR 2022-12-0001SP</v>
      </c>
      <c r="K3856" s="164" t="str">
        <f ca="1">IFERROR(__xludf.DUMMYFUNCTION("""COMPUTED_VALUE"""),"FERIAL V. SANTILLAN")</f>
        <v>FERIAL V. SANTILLAN</v>
      </c>
      <c r="L3856" s="164" t="str">
        <f ca="1">IFERROR(__xludf.DUMMYFUNCTION("""COMPUTED_VALUE"""),"LTID")</f>
        <v>LTID</v>
      </c>
      <c r="M3856" s="164" t="str">
        <f ca="1">IFERROR(__xludf.DUMMYFUNCTION("""COMPUTED_VALUE"""),"SERVICEABLE")</f>
        <v>SERVICEABLE</v>
      </c>
      <c r="N3856" s="164"/>
    </row>
    <row r="3857" spans="1:14" ht="13.2" hidden="1">
      <c r="A3857" s="164" t="str">
        <f ca="1">IFERROR(__xludf.DUMMYFUNCTION("""COMPUTED_VALUE"""),"Region XI")</f>
        <v>Region XI</v>
      </c>
      <c r="B3857" s="164" t="str">
        <f ca="1">IFERROR(__xludf.DUMMYFUNCTION("""COMPUTED_VALUE"""),"REGIONAL OFFICE")</f>
        <v>REGIONAL OFFICE</v>
      </c>
      <c r="C3857" s="164" t="str">
        <f ca="1">IFERROR(__xludf.DUMMYFUNCTION("""COMPUTED_VALUE"""),"Desktop Computer – (MSI PRO DP180)")</f>
        <v>Desktop Computer – (MSI PRO DP180)</v>
      </c>
      <c r="D3857" s="164" t="str">
        <f ca="1">IFERROR(__xludf.DUMMYFUNCTION("""COMPUTED_VALUE"""),"₱ 49,300.00")</f>
        <v>₱ 49,300.00</v>
      </c>
      <c r="E3857" s="164" t="str">
        <f ca="1">IFERROR(__xludf.DUMMYFUNCTION("""COMPUTED_VALUE"""),"₱ -")</f>
        <v>₱ -</v>
      </c>
      <c r="F3857" s="164" t="str">
        <f ca="1">IFERROR(__xludf.DUMMYFUNCTION("""COMPUTED_VALUE"""),"HVSPLIT-102-24-05-01-475")</f>
        <v>HVSPLIT-102-24-05-01-475</v>
      </c>
      <c r="G3857" s="164"/>
      <c r="H3857" s="164" t="str">
        <f ca="1">IFERROR(__xludf.DUMMYFUNCTION("""COMPUTED_VALUE"""),"FERIAL V. SANTILLAN")</f>
        <v>FERIAL V. SANTILLAN</v>
      </c>
      <c r="I3857" s="164" t="str">
        <f ca="1">IFERROR(__xludf.DUMMYFUNCTION("""COMPUTED_VALUE"""),"CARPO-LTID")</f>
        <v>CARPO-LTID</v>
      </c>
      <c r="J3857" s="164" t="str">
        <f ca="1">IFERROR(__xludf.DUMMYFUNCTION("""COMPUTED_VALUE"""),"PAR 2022-12-0001SP")</f>
        <v>PAR 2022-12-0001SP</v>
      </c>
      <c r="K3857" s="164" t="str">
        <f ca="1">IFERROR(__xludf.DUMMYFUNCTION("""COMPUTED_VALUE"""),"FERIAL V. SANTILLAN")</f>
        <v>FERIAL V. SANTILLAN</v>
      </c>
      <c r="L3857" s="164" t="str">
        <f ca="1">IFERROR(__xludf.DUMMYFUNCTION("""COMPUTED_VALUE"""),"LTID")</f>
        <v>LTID</v>
      </c>
      <c r="M3857" s="164" t="str">
        <f ca="1">IFERROR(__xludf.DUMMYFUNCTION("""COMPUTED_VALUE"""),"SERVICEABLE")</f>
        <v>SERVICEABLE</v>
      </c>
      <c r="N3857" s="164"/>
    </row>
    <row r="3858" spans="1:14" ht="13.2" hidden="1">
      <c r="A3858" s="164" t="str">
        <f ca="1">IFERROR(__xludf.DUMMYFUNCTION("""COMPUTED_VALUE"""),"Region XI")</f>
        <v>Region XI</v>
      </c>
      <c r="B3858" s="164" t="str">
        <f ca="1">IFERROR(__xludf.DUMMYFUNCTION("""COMPUTED_VALUE"""),"REGIONAL OFFICE")</f>
        <v>REGIONAL OFFICE</v>
      </c>
      <c r="C3858" s="164" t="str">
        <f ca="1">IFERROR(__xludf.DUMMYFUNCTION("""COMPUTED_VALUE"""),"Desktop Computer – (MSI PRO DP180)")</f>
        <v>Desktop Computer – (MSI PRO DP180)</v>
      </c>
      <c r="D3858" s="164" t="str">
        <f ca="1">IFERROR(__xludf.DUMMYFUNCTION("""COMPUTED_VALUE"""),"₱ 49,300.00")</f>
        <v>₱ 49,300.00</v>
      </c>
      <c r="E3858" s="164" t="str">
        <f ca="1">IFERROR(__xludf.DUMMYFUNCTION("""COMPUTED_VALUE"""),"₱ -")</f>
        <v>₱ -</v>
      </c>
      <c r="F3858" s="164" t="str">
        <f ca="1">IFERROR(__xludf.DUMMYFUNCTION("""COMPUTED_VALUE"""),"HVSPLIT-102-24-05-01-476")</f>
        <v>HVSPLIT-102-24-05-01-476</v>
      </c>
      <c r="G3858" s="164"/>
      <c r="H3858" s="164" t="str">
        <f ca="1">IFERROR(__xludf.DUMMYFUNCTION("""COMPUTED_VALUE"""),"FERIAL V. SANTILLAN")</f>
        <v>FERIAL V. SANTILLAN</v>
      </c>
      <c r="I3858" s="164" t="str">
        <f ca="1">IFERROR(__xludf.DUMMYFUNCTION("""COMPUTED_VALUE"""),"CARPO-LTID")</f>
        <v>CARPO-LTID</v>
      </c>
      <c r="J3858" s="164" t="str">
        <f ca="1">IFERROR(__xludf.DUMMYFUNCTION("""COMPUTED_VALUE"""),"PAR 2022-12-0001SP")</f>
        <v>PAR 2022-12-0001SP</v>
      </c>
      <c r="K3858" s="164" t="str">
        <f ca="1">IFERROR(__xludf.DUMMYFUNCTION("""COMPUTED_VALUE"""),"FERIAL V. SANTILLAN")</f>
        <v>FERIAL V. SANTILLAN</v>
      </c>
      <c r="L3858" s="164" t="str">
        <f ca="1">IFERROR(__xludf.DUMMYFUNCTION("""COMPUTED_VALUE"""),"LTID")</f>
        <v>LTID</v>
      </c>
      <c r="M3858" s="164" t="str">
        <f ca="1">IFERROR(__xludf.DUMMYFUNCTION("""COMPUTED_VALUE"""),"SERVICEABLE")</f>
        <v>SERVICEABLE</v>
      </c>
      <c r="N3858" s="164"/>
    </row>
    <row r="3859" spans="1:14" ht="13.2" hidden="1">
      <c r="A3859" s="164" t="str">
        <f ca="1">IFERROR(__xludf.DUMMYFUNCTION("""COMPUTED_VALUE"""),"Region XI")</f>
        <v>Region XI</v>
      </c>
      <c r="B3859" s="164" t="str">
        <f ca="1">IFERROR(__xludf.DUMMYFUNCTION("""COMPUTED_VALUE"""),"REGIONAL OFFICE")</f>
        <v>REGIONAL OFFICE</v>
      </c>
      <c r="C3859" s="164" t="str">
        <f ca="1">IFERROR(__xludf.DUMMYFUNCTION("""COMPUTED_VALUE"""),"Desktop Computer – (MSI PRO DP180)")</f>
        <v>Desktop Computer – (MSI PRO DP180)</v>
      </c>
      <c r="D3859" s="164" t="str">
        <f ca="1">IFERROR(__xludf.DUMMYFUNCTION("""COMPUTED_VALUE"""),"₱ 49,300.00")</f>
        <v>₱ 49,300.00</v>
      </c>
      <c r="E3859" s="164" t="str">
        <f ca="1">IFERROR(__xludf.DUMMYFUNCTION("""COMPUTED_VALUE"""),"₱ -")</f>
        <v>₱ -</v>
      </c>
      <c r="F3859" s="164" t="str">
        <f ca="1">IFERROR(__xludf.DUMMYFUNCTION("""COMPUTED_VALUE"""),"HVSPLIT-102-24-05-01-477")</f>
        <v>HVSPLIT-102-24-05-01-477</v>
      </c>
      <c r="G3859" s="164"/>
      <c r="H3859" s="164" t="str">
        <f ca="1">IFERROR(__xludf.DUMMYFUNCTION("""COMPUTED_VALUE"""),"FERIAL V. SANTILLAN")</f>
        <v>FERIAL V. SANTILLAN</v>
      </c>
      <c r="I3859" s="164" t="str">
        <f ca="1">IFERROR(__xludf.DUMMYFUNCTION("""COMPUTED_VALUE"""),"CARPO-LTID")</f>
        <v>CARPO-LTID</v>
      </c>
      <c r="J3859" s="164" t="str">
        <f ca="1">IFERROR(__xludf.DUMMYFUNCTION("""COMPUTED_VALUE"""),"PAR 2022-12-0001SP")</f>
        <v>PAR 2022-12-0001SP</v>
      </c>
      <c r="K3859" s="164" t="str">
        <f ca="1">IFERROR(__xludf.DUMMYFUNCTION("""COMPUTED_VALUE"""),"FERIAL V. SANTILLAN")</f>
        <v>FERIAL V. SANTILLAN</v>
      </c>
      <c r="L3859" s="164" t="str">
        <f ca="1">IFERROR(__xludf.DUMMYFUNCTION("""COMPUTED_VALUE"""),"LTID")</f>
        <v>LTID</v>
      </c>
      <c r="M3859" s="164" t="str">
        <f ca="1">IFERROR(__xludf.DUMMYFUNCTION("""COMPUTED_VALUE"""),"SERVICEABLE")</f>
        <v>SERVICEABLE</v>
      </c>
      <c r="N3859" s="164"/>
    </row>
    <row r="3860" spans="1:14" ht="13.2" hidden="1">
      <c r="A3860" s="164" t="str">
        <f ca="1">IFERROR(__xludf.DUMMYFUNCTION("""COMPUTED_VALUE"""),"Region XI")</f>
        <v>Region XI</v>
      </c>
      <c r="B3860" s="164" t="str">
        <f ca="1">IFERROR(__xludf.DUMMYFUNCTION("""COMPUTED_VALUE"""),"REGIONAL OFFICE")</f>
        <v>REGIONAL OFFICE</v>
      </c>
      <c r="C3860" s="164" t="str">
        <f ca="1">IFERROR(__xludf.DUMMYFUNCTION("""COMPUTED_VALUE"""),"Desktop Computer – (MSI PRO DP180)")</f>
        <v>Desktop Computer – (MSI PRO DP180)</v>
      </c>
      <c r="D3860" s="164" t="str">
        <f ca="1">IFERROR(__xludf.DUMMYFUNCTION("""COMPUTED_VALUE"""),"₱ 49,300.00")</f>
        <v>₱ 49,300.00</v>
      </c>
      <c r="E3860" s="164" t="str">
        <f ca="1">IFERROR(__xludf.DUMMYFUNCTION("""COMPUTED_VALUE"""),"₱ -")</f>
        <v>₱ -</v>
      </c>
      <c r="F3860" s="164" t="str">
        <f ca="1">IFERROR(__xludf.DUMMYFUNCTION("""COMPUTED_VALUE"""),"HVSPLIT-102-24-05-01-478")</f>
        <v>HVSPLIT-102-24-05-01-478</v>
      </c>
      <c r="G3860" s="164"/>
      <c r="H3860" s="164" t="str">
        <f ca="1">IFERROR(__xludf.DUMMYFUNCTION("""COMPUTED_VALUE"""),"FERIAL V. SANTILLAN")</f>
        <v>FERIAL V. SANTILLAN</v>
      </c>
      <c r="I3860" s="164" t="str">
        <f ca="1">IFERROR(__xludf.DUMMYFUNCTION("""COMPUTED_VALUE"""),"CARPO-LTID")</f>
        <v>CARPO-LTID</v>
      </c>
      <c r="J3860" s="164" t="str">
        <f ca="1">IFERROR(__xludf.DUMMYFUNCTION("""COMPUTED_VALUE"""),"PAR 2022-12-0001SP")</f>
        <v>PAR 2022-12-0001SP</v>
      </c>
      <c r="K3860" s="164" t="str">
        <f ca="1">IFERROR(__xludf.DUMMYFUNCTION("""COMPUTED_VALUE"""),"FERIAL V. SANTILLAN")</f>
        <v>FERIAL V. SANTILLAN</v>
      </c>
      <c r="L3860" s="164" t="str">
        <f ca="1">IFERROR(__xludf.DUMMYFUNCTION("""COMPUTED_VALUE"""),"LTID")</f>
        <v>LTID</v>
      </c>
      <c r="M3860" s="164" t="str">
        <f ca="1">IFERROR(__xludf.DUMMYFUNCTION("""COMPUTED_VALUE"""),"SERVICEABLE")</f>
        <v>SERVICEABLE</v>
      </c>
      <c r="N3860" s="164"/>
    </row>
    <row r="3861" spans="1:14" ht="13.2" hidden="1">
      <c r="A3861" s="164" t="str">
        <f ca="1">IFERROR(__xludf.DUMMYFUNCTION("""COMPUTED_VALUE"""),"Region XI")</f>
        <v>Region XI</v>
      </c>
      <c r="B3861" s="164" t="str">
        <f ca="1">IFERROR(__xludf.DUMMYFUNCTION("""COMPUTED_VALUE"""),"REGIONAL OFFICE")</f>
        <v>REGIONAL OFFICE</v>
      </c>
      <c r="C3861" s="164" t="str">
        <f ca="1">IFERROR(__xludf.DUMMYFUNCTION("""COMPUTED_VALUE"""),"Desktop Computer – (MSI PRO DP180)")</f>
        <v>Desktop Computer – (MSI PRO DP180)</v>
      </c>
      <c r="D3861" s="164" t="str">
        <f ca="1">IFERROR(__xludf.DUMMYFUNCTION("""COMPUTED_VALUE"""),"₱ 49,300.00")</f>
        <v>₱ 49,300.00</v>
      </c>
      <c r="E3861" s="164" t="str">
        <f ca="1">IFERROR(__xludf.DUMMYFUNCTION("""COMPUTED_VALUE"""),"₱ -")</f>
        <v>₱ -</v>
      </c>
      <c r="F3861" s="164" t="str">
        <f ca="1">IFERROR(__xludf.DUMMYFUNCTION("""COMPUTED_VALUE"""),"HVSPLIT-102-24-05-01-479")</f>
        <v>HVSPLIT-102-24-05-01-479</v>
      </c>
      <c r="G3861" s="164"/>
      <c r="H3861" s="164" t="str">
        <f ca="1">IFERROR(__xludf.DUMMYFUNCTION("""COMPUTED_VALUE"""),"FERIAL V. SANTILLAN")</f>
        <v>FERIAL V. SANTILLAN</v>
      </c>
      <c r="I3861" s="164" t="str">
        <f ca="1">IFERROR(__xludf.DUMMYFUNCTION("""COMPUTED_VALUE"""),"CARPO-LTID")</f>
        <v>CARPO-LTID</v>
      </c>
      <c r="J3861" s="164" t="str">
        <f ca="1">IFERROR(__xludf.DUMMYFUNCTION("""COMPUTED_VALUE"""),"PAR 2022-12-0001SP")</f>
        <v>PAR 2022-12-0001SP</v>
      </c>
      <c r="K3861" s="164" t="str">
        <f ca="1">IFERROR(__xludf.DUMMYFUNCTION("""COMPUTED_VALUE"""),"FERIAL V. SANTILLAN")</f>
        <v>FERIAL V. SANTILLAN</v>
      </c>
      <c r="L3861" s="164" t="str">
        <f ca="1">IFERROR(__xludf.DUMMYFUNCTION("""COMPUTED_VALUE"""),"LTID")</f>
        <v>LTID</v>
      </c>
      <c r="M3861" s="164" t="str">
        <f ca="1">IFERROR(__xludf.DUMMYFUNCTION("""COMPUTED_VALUE"""),"SERVICEABLE")</f>
        <v>SERVICEABLE</v>
      </c>
      <c r="N3861" s="164"/>
    </row>
    <row r="3862" spans="1:14" ht="13.2" hidden="1">
      <c r="A3862" s="164" t="str">
        <f ca="1">IFERROR(__xludf.DUMMYFUNCTION("""COMPUTED_VALUE"""),"Region XI")</f>
        <v>Region XI</v>
      </c>
      <c r="B3862" s="164" t="str">
        <f ca="1">IFERROR(__xludf.DUMMYFUNCTION("""COMPUTED_VALUE"""),"REGIONAL OFFICE")</f>
        <v>REGIONAL OFFICE</v>
      </c>
      <c r="C3862" s="164" t="str">
        <f ca="1">IFERROR(__xludf.DUMMYFUNCTION("""COMPUTED_VALUE"""),"Desktop Computer – (MSI PRO DP180)")</f>
        <v>Desktop Computer – (MSI PRO DP180)</v>
      </c>
      <c r="D3862" s="164" t="str">
        <f ca="1">IFERROR(__xludf.DUMMYFUNCTION("""COMPUTED_VALUE"""),"₱ 49,300.00")</f>
        <v>₱ 49,300.00</v>
      </c>
      <c r="E3862" s="164" t="str">
        <f ca="1">IFERROR(__xludf.DUMMYFUNCTION("""COMPUTED_VALUE"""),"₱ -")</f>
        <v>₱ -</v>
      </c>
      <c r="F3862" s="164" t="str">
        <f ca="1">IFERROR(__xludf.DUMMYFUNCTION("""COMPUTED_VALUE"""),"HVSPLIT-102-24-05-01-480")</f>
        <v>HVSPLIT-102-24-05-01-480</v>
      </c>
      <c r="G3862" s="164"/>
      <c r="H3862" s="164" t="str">
        <f ca="1">IFERROR(__xludf.DUMMYFUNCTION("""COMPUTED_VALUE"""),"FERIAL V. SANTILLAN")</f>
        <v>FERIAL V. SANTILLAN</v>
      </c>
      <c r="I3862" s="164" t="str">
        <f ca="1">IFERROR(__xludf.DUMMYFUNCTION("""COMPUTED_VALUE"""),"CARPO-LTID")</f>
        <v>CARPO-LTID</v>
      </c>
      <c r="J3862" s="164" t="str">
        <f ca="1">IFERROR(__xludf.DUMMYFUNCTION("""COMPUTED_VALUE"""),"PAR 2022-12-0001SP")</f>
        <v>PAR 2022-12-0001SP</v>
      </c>
      <c r="K3862" s="164" t="str">
        <f ca="1">IFERROR(__xludf.DUMMYFUNCTION("""COMPUTED_VALUE"""),"FERIAL V. SANTILLAN")</f>
        <v>FERIAL V. SANTILLAN</v>
      </c>
      <c r="L3862" s="164" t="str">
        <f ca="1">IFERROR(__xludf.DUMMYFUNCTION("""COMPUTED_VALUE"""),"LTID")</f>
        <v>LTID</v>
      </c>
      <c r="M3862" s="164" t="str">
        <f ca="1">IFERROR(__xludf.DUMMYFUNCTION("""COMPUTED_VALUE"""),"SERVICEABLE")</f>
        <v>SERVICEABLE</v>
      </c>
      <c r="N3862" s="164"/>
    </row>
    <row r="3863" spans="1:14" ht="13.2" hidden="1">
      <c r="A3863" s="164" t="str">
        <f ca="1">IFERROR(__xludf.DUMMYFUNCTION("""COMPUTED_VALUE"""),"Region XI")</f>
        <v>Region XI</v>
      </c>
      <c r="B3863" s="164" t="str">
        <f ca="1">IFERROR(__xludf.DUMMYFUNCTION("""COMPUTED_VALUE"""),"REGIONAL OFFICE")</f>
        <v>REGIONAL OFFICE</v>
      </c>
      <c r="C3863" s="164" t="str">
        <f ca="1">IFERROR(__xludf.DUMMYFUNCTION("""COMPUTED_VALUE"""),"Desktop Computer – (MSI PRO DP180)")</f>
        <v>Desktop Computer – (MSI PRO DP180)</v>
      </c>
      <c r="D3863" s="164" t="str">
        <f ca="1">IFERROR(__xludf.DUMMYFUNCTION("""COMPUTED_VALUE"""),"₱ 49,300.00")</f>
        <v>₱ 49,300.00</v>
      </c>
      <c r="E3863" s="164" t="str">
        <f ca="1">IFERROR(__xludf.DUMMYFUNCTION("""COMPUTED_VALUE"""),"₱ -")</f>
        <v>₱ -</v>
      </c>
      <c r="F3863" s="164" t="str">
        <f ca="1">IFERROR(__xludf.DUMMYFUNCTION("""COMPUTED_VALUE"""),"HVSPLIT-102-24-05-01-481")</f>
        <v>HVSPLIT-102-24-05-01-481</v>
      </c>
      <c r="G3863" s="164"/>
      <c r="H3863" s="164" t="str">
        <f ca="1">IFERROR(__xludf.DUMMYFUNCTION("""COMPUTED_VALUE"""),"FERIAL V. SANTILLAN")</f>
        <v>FERIAL V. SANTILLAN</v>
      </c>
      <c r="I3863" s="164" t="str">
        <f ca="1">IFERROR(__xludf.DUMMYFUNCTION("""COMPUTED_VALUE"""),"CARPO-LTID")</f>
        <v>CARPO-LTID</v>
      </c>
      <c r="J3863" s="164" t="str">
        <f ca="1">IFERROR(__xludf.DUMMYFUNCTION("""COMPUTED_VALUE"""),"PAR 2022-12-0001SP")</f>
        <v>PAR 2022-12-0001SP</v>
      </c>
      <c r="K3863" s="164" t="str">
        <f ca="1">IFERROR(__xludf.DUMMYFUNCTION("""COMPUTED_VALUE"""),"FERIAL V. SANTILLAN")</f>
        <v>FERIAL V. SANTILLAN</v>
      </c>
      <c r="L3863" s="164" t="str">
        <f ca="1">IFERROR(__xludf.DUMMYFUNCTION("""COMPUTED_VALUE"""),"LTID")</f>
        <v>LTID</v>
      </c>
      <c r="M3863" s="164" t="str">
        <f ca="1">IFERROR(__xludf.DUMMYFUNCTION("""COMPUTED_VALUE"""),"SERVICEABLE")</f>
        <v>SERVICEABLE</v>
      </c>
      <c r="N3863" s="164"/>
    </row>
    <row r="3864" spans="1:14" ht="13.2" hidden="1">
      <c r="A3864" s="164" t="str">
        <f ca="1">IFERROR(__xludf.DUMMYFUNCTION("""COMPUTED_VALUE"""),"Region XI")</f>
        <v>Region XI</v>
      </c>
      <c r="B3864" s="164" t="str">
        <f ca="1">IFERROR(__xludf.DUMMYFUNCTION("""COMPUTED_VALUE"""),"Regional Office")</f>
        <v>Regional Office</v>
      </c>
      <c r="C3864" s="164" t="str">
        <f ca="1">IFERROR(__xludf.DUMMYFUNCTION("""COMPUTED_VALUE"""),"Double Cabin Pick-up Vehicles – Mitsubishi Strada")</f>
        <v>Double Cabin Pick-up Vehicles – Mitsubishi Strada</v>
      </c>
      <c r="D3864" s="164" t="str">
        <f ca="1">IFERROR(__xludf.DUMMYFUNCTION("""COMPUTED_VALUE"""),"₱ 1,752,400.00")</f>
        <v>₱ 1,752,400.00</v>
      </c>
      <c r="E3864" s="164" t="str">
        <f ca="1">IFERROR(__xludf.DUMMYFUNCTION("""COMPUTED_VALUE"""),"₱ -")</f>
        <v>₱ -</v>
      </c>
      <c r="F3864" s="164" t="str">
        <f ca="1">IFERROR(__xludf.DUMMYFUNCTION("""COMPUTED_VALUE"""),"2023-06-01-10201SP120-01")</f>
        <v>2023-06-01-10201SP120-01</v>
      </c>
      <c r="G3864" s="164" t="str">
        <f ca="1">IFERROR(__xludf.DUMMYFUNCTION("""COMPUTED_VALUE"""),"SNC 1315")</f>
        <v>SNC 1315</v>
      </c>
      <c r="H3864" s="164" t="str">
        <f ca="1">IFERROR(__xludf.DUMMYFUNCTION("""COMPUTED_VALUE"""),"JOSEPH H. ORILLA")</f>
        <v>JOSEPH H. ORILLA</v>
      </c>
      <c r="I3864" s="164" t="str">
        <f ca="1">IFERROR(__xludf.DUMMYFUNCTION("""COMPUTED_VALUE"""),"DIRECTOR IV")</f>
        <v>DIRECTOR IV</v>
      </c>
      <c r="J3864" s="164" t="str">
        <f ca="1">IFERROR(__xludf.DUMMYFUNCTION("""COMPUTED_VALUE"""),"2023-10-024")</f>
        <v>2023-10-024</v>
      </c>
      <c r="K3864" s="164" t="str">
        <f ca="1">IFERROR(__xludf.DUMMYFUNCTION("""COMPUTED_VALUE"""),"JOSEPH H. ORILLA")</f>
        <v>JOSEPH H. ORILLA</v>
      </c>
      <c r="L3864" s="164" t="str">
        <f ca="1">IFERROR(__xludf.DUMMYFUNCTION("""COMPUTED_VALUE"""),"ORD")</f>
        <v>ORD</v>
      </c>
      <c r="M3864" s="164" t="str">
        <f ca="1">IFERROR(__xludf.DUMMYFUNCTION("""COMPUTED_VALUE"""),"SERVICEABLE")</f>
        <v>SERVICEABLE</v>
      </c>
      <c r="N3864" s="164"/>
    </row>
    <row r="3865" spans="1:14" ht="13.2" hidden="1">
      <c r="A3865" s="164" t="str">
        <f ca="1">IFERROR(__xludf.DUMMYFUNCTION("""COMPUTED_VALUE"""),"Region XI")</f>
        <v>Region XI</v>
      </c>
      <c r="B3865" s="164" t="str">
        <f ca="1">IFERROR(__xludf.DUMMYFUNCTION("""COMPUTED_VALUE"""),"Regional Office")</f>
        <v>Regional Office</v>
      </c>
      <c r="C3865" s="164" t="str">
        <f ca="1">IFERROR(__xludf.DUMMYFUNCTION("""COMPUTED_VALUE"""),"Double Cabin Pick-up Vehicles – Mitsubishi Strada")</f>
        <v>Double Cabin Pick-up Vehicles – Mitsubishi Strada</v>
      </c>
      <c r="D3865" s="164" t="str">
        <f ca="1">IFERROR(__xludf.DUMMYFUNCTION("""COMPUTED_VALUE"""),"₱ 1,752,400.00")</f>
        <v>₱ 1,752,400.00</v>
      </c>
      <c r="E3865" s="164" t="str">
        <f ca="1">IFERROR(__xludf.DUMMYFUNCTION("""COMPUTED_VALUE"""),"₱ -")</f>
        <v>₱ -</v>
      </c>
      <c r="F3865" s="164" t="str">
        <f ca="1">IFERROR(__xludf.DUMMYFUNCTION("""COMPUTED_VALUE"""),"2023-06-01-10201SP121-01")</f>
        <v>2023-06-01-10201SP121-01</v>
      </c>
      <c r="G3865" s="164" t="str">
        <f ca="1">IFERROR(__xludf.DUMMYFUNCTION("""COMPUTED_VALUE"""),"SNC 1242")</f>
        <v>SNC 1242</v>
      </c>
      <c r="H3865" s="164" t="str">
        <f ca="1">IFERROR(__xludf.DUMMYFUNCTION("""COMPUTED_VALUE"""),"GAY L. LABAD")</f>
        <v>GAY L. LABAD</v>
      </c>
      <c r="I3865" s="164" t="str">
        <f ca="1">IFERROR(__xludf.DUMMYFUNCTION("""COMPUTED_VALUE"""),"DIRECTOR III")</f>
        <v>DIRECTOR III</v>
      </c>
      <c r="J3865" s="164" t="str">
        <f ca="1">IFERROR(__xludf.DUMMYFUNCTION("""COMPUTED_VALUE"""),"2023-10-025")</f>
        <v>2023-10-025</v>
      </c>
      <c r="K3865" s="164" t="str">
        <f ca="1">IFERROR(__xludf.DUMMYFUNCTION("""COMPUTED_VALUE"""),"CHARLOTTE H. SISON")</f>
        <v>CHARLOTTE H. SISON</v>
      </c>
      <c r="L3865" s="164" t="str">
        <f ca="1">IFERROR(__xludf.DUMMYFUNCTION("""COMPUTED_VALUE"""),"OARDO")</f>
        <v>OARDO</v>
      </c>
      <c r="M3865" s="164" t="str">
        <f ca="1">IFERROR(__xludf.DUMMYFUNCTION("""COMPUTED_VALUE"""),"SERVICEABLE")</f>
        <v>SERVICEABLE</v>
      </c>
      <c r="N3865" s="164"/>
    </row>
    <row r="3866" spans="1:14" ht="13.2" hidden="1">
      <c r="A3866" s="164" t="str">
        <f ca="1">IFERROR(__xludf.DUMMYFUNCTION("""COMPUTED_VALUE"""),"Region XI")</f>
        <v>Region XI</v>
      </c>
      <c r="B3866" s="164" t="str">
        <f ca="1">IFERROR(__xludf.DUMMYFUNCTION("""COMPUTED_VALUE"""),"Davao City")</f>
        <v>Davao City</v>
      </c>
      <c r="C3866" s="164" t="str">
        <f ca="1">IFERROR(__xludf.DUMMYFUNCTION("""COMPUTED_VALUE"""),"Motorcycle – (Honda XRL 150)")</f>
        <v>Motorcycle – (Honda XRL 150)</v>
      </c>
      <c r="D3866" s="164" t="str">
        <f ca="1">IFERROR(__xludf.DUMMYFUNCTION("""COMPUTED_VALUE"""),"₱ 124,900.00")</f>
        <v>₱ 124,900.00</v>
      </c>
      <c r="E3866" s="164" t="str">
        <f ca="1">IFERROR(__xludf.DUMMYFUNCTION("""COMPUTED_VALUE"""),"₱ -")</f>
        <v>₱ -</v>
      </c>
      <c r="F3866" s="164" t="str">
        <f ca="1">IFERROR(__xludf.DUMMYFUNCTION("""COMPUTED_VALUE"""),"2023-06-01-10202SP612-01")</f>
        <v>2023-06-01-10202SP612-01</v>
      </c>
      <c r="G3866" s="164" t="str">
        <f ca="1">IFERROR(__xludf.DUMMYFUNCTION("""COMPUTED_VALUE"""),"no plate available")</f>
        <v>no plate available</v>
      </c>
      <c r="H3866" s="164" t="str">
        <f ca="1">IFERROR(__xludf.DUMMYFUNCTION("""COMPUTED_VALUE"""),"PRIMEROSE C. SARA")</f>
        <v>PRIMEROSE C. SARA</v>
      </c>
      <c r="I3866" s="164" t="str">
        <f ca="1">IFERROR(__xludf.DUMMYFUNCTION("""COMPUTED_VALUE"""),"ARPT")</f>
        <v>ARPT</v>
      </c>
      <c r="J3866" s="164" t="str">
        <f ca="1">IFERROR(__xludf.DUMMYFUNCTION("""COMPUTED_VALUE"""),"DARCO PTR 2023-04-013S / DARRO PTR 2023-03-SP-007 / PAR 2023-04-0001SP")</f>
        <v>DARCO PTR 2023-04-013S / DARRO PTR 2023-03-SP-007 / PAR 2023-04-0001SP</v>
      </c>
      <c r="K3866" s="164" t="str">
        <f ca="1">IFERROR(__xludf.DUMMYFUNCTION("""COMPUTED_VALUE"""),"NONE")</f>
        <v>NONE</v>
      </c>
      <c r="L3866" s="164" t="str">
        <f ca="1">IFERROR(__xludf.DUMMYFUNCTION("""COMPUTED_VALUE"""),"DARPO")</f>
        <v>DARPO</v>
      </c>
      <c r="M3866" s="164" t="str">
        <f ca="1">IFERROR(__xludf.DUMMYFUNCTION("""COMPUTED_VALUE"""),"SERVICEABLE")</f>
        <v>SERVICEABLE</v>
      </c>
      <c r="N3866" s="164"/>
    </row>
    <row r="3867" spans="1:14" ht="13.2" hidden="1">
      <c r="A3867" s="164" t="str">
        <f ca="1">IFERROR(__xludf.DUMMYFUNCTION("""COMPUTED_VALUE"""),"Region XI")</f>
        <v>Region XI</v>
      </c>
      <c r="B3867" s="164" t="str">
        <f ca="1">IFERROR(__xludf.DUMMYFUNCTION("""COMPUTED_VALUE"""),"Davao City")</f>
        <v>Davao City</v>
      </c>
      <c r="C3867" s="164" t="str">
        <f ca="1">IFERROR(__xludf.DUMMYFUNCTION("""COMPUTED_VALUE"""),"Motorcycle – (Honda XRL 150)")</f>
        <v>Motorcycle – (Honda XRL 150)</v>
      </c>
      <c r="D3867" s="164" t="str">
        <f ca="1">IFERROR(__xludf.DUMMYFUNCTION("""COMPUTED_VALUE"""),"₱ 124,900.00")</f>
        <v>₱ 124,900.00</v>
      </c>
      <c r="E3867" s="164" t="str">
        <f ca="1">IFERROR(__xludf.DUMMYFUNCTION("""COMPUTED_VALUE"""),"₱ -")</f>
        <v>₱ -</v>
      </c>
      <c r="F3867" s="164" t="str">
        <f ca="1">IFERROR(__xludf.DUMMYFUNCTION("""COMPUTED_VALUE"""),"2023-06-01-10202SP613-01")</f>
        <v>2023-06-01-10202SP613-01</v>
      </c>
      <c r="G3867" s="164" t="str">
        <f ca="1">IFERROR(__xludf.DUMMYFUNCTION("""COMPUTED_VALUE"""),"no plate available")</f>
        <v>no plate available</v>
      </c>
      <c r="H3867" s="164" t="str">
        <f ca="1">IFERROR(__xludf.DUMMYFUNCTION("""COMPUTED_VALUE"""),"JULIE ANN T. VENUS")</f>
        <v>JULIE ANN T. VENUS</v>
      </c>
      <c r="I3867" s="164" t="str">
        <f ca="1">IFERROR(__xludf.DUMMYFUNCTION("""COMPUTED_VALUE"""),"ARPT")</f>
        <v>ARPT</v>
      </c>
      <c r="J3867" s="164" t="str">
        <f ca="1">IFERROR(__xludf.DUMMYFUNCTION("""COMPUTED_VALUE"""),"DARCO PTR 2023-04-013S / DARRO PTR 2023-03-SP-007 / PAR 2023-04-0002SP")</f>
        <v>DARCO PTR 2023-04-013S / DARRO PTR 2023-03-SP-007 / PAR 2023-04-0002SP</v>
      </c>
      <c r="K3867" s="164" t="str">
        <f ca="1">IFERROR(__xludf.DUMMYFUNCTION("""COMPUTED_VALUE"""),"NONE")</f>
        <v>NONE</v>
      </c>
      <c r="L3867" s="164" t="str">
        <f ca="1">IFERROR(__xludf.DUMMYFUNCTION("""COMPUTED_VALUE"""),"DARPO")</f>
        <v>DARPO</v>
      </c>
      <c r="M3867" s="164" t="str">
        <f ca="1">IFERROR(__xludf.DUMMYFUNCTION("""COMPUTED_VALUE"""),"SERVICEABLE")</f>
        <v>SERVICEABLE</v>
      </c>
      <c r="N3867" s="164"/>
    </row>
    <row r="3868" spans="1:14" ht="13.2" hidden="1">
      <c r="A3868" s="164" t="str">
        <f ca="1">IFERROR(__xludf.DUMMYFUNCTION("""COMPUTED_VALUE"""),"Region XI")</f>
        <v>Region XI</v>
      </c>
      <c r="B3868" s="164" t="str">
        <f ca="1">IFERROR(__xludf.DUMMYFUNCTION("""COMPUTED_VALUE"""),"Davao City")</f>
        <v>Davao City</v>
      </c>
      <c r="C3868" s="164" t="str">
        <f ca="1">IFERROR(__xludf.DUMMYFUNCTION("""COMPUTED_VALUE"""),"Motorcycle – (Honda XRL 150)")</f>
        <v>Motorcycle – (Honda XRL 150)</v>
      </c>
      <c r="D3868" s="164" t="str">
        <f ca="1">IFERROR(__xludf.DUMMYFUNCTION("""COMPUTED_VALUE"""),"₱ 124,900.00")</f>
        <v>₱ 124,900.00</v>
      </c>
      <c r="E3868" s="164" t="str">
        <f ca="1">IFERROR(__xludf.DUMMYFUNCTION("""COMPUTED_VALUE"""),"₱ -")</f>
        <v>₱ -</v>
      </c>
      <c r="F3868" s="164" t="str">
        <f ca="1">IFERROR(__xludf.DUMMYFUNCTION("""COMPUTED_VALUE"""),"2023-06-01-10202SP614-01")</f>
        <v>2023-06-01-10202SP614-01</v>
      </c>
      <c r="G3868" s="164" t="str">
        <f ca="1">IFERROR(__xludf.DUMMYFUNCTION("""COMPUTED_VALUE"""),"no plate available")</f>
        <v>no plate available</v>
      </c>
      <c r="H3868" s="164" t="str">
        <f ca="1">IFERROR(__xludf.DUMMYFUNCTION("""COMPUTED_VALUE"""),"ANNABEL C. NUÑEZ")</f>
        <v>ANNABEL C. NUÑEZ</v>
      </c>
      <c r="I3868" s="164" t="str">
        <f ca="1">IFERROR(__xludf.DUMMYFUNCTION("""COMPUTED_VALUE"""),"ARPT")</f>
        <v>ARPT</v>
      </c>
      <c r="J3868" s="164" t="str">
        <f ca="1">IFERROR(__xludf.DUMMYFUNCTION("""COMPUTED_VALUE"""),"DARCO PTR 2023-04-013S / DARRO PTR 2023-03-SP-007 / PAR 2023-04-0003SP")</f>
        <v>DARCO PTR 2023-04-013S / DARRO PTR 2023-03-SP-007 / PAR 2023-04-0003SP</v>
      </c>
      <c r="K3868" s="164" t="str">
        <f ca="1">IFERROR(__xludf.DUMMYFUNCTION("""COMPUTED_VALUE"""),"NONE")</f>
        <v>NONE</v>
      </c>
      <c r="L3868" s="164" t="str">
        <f ca="1">IFERROR(__xludf.DUMMYFUNCTION("""COMPUTED_VALUE"""),"DARPO")</f>
        <v>DARPO</v>
      </c>
      <c r="M3868" s="164" t="str">
        <f ca="1">IFERROR(__xludf.DUMMYFUNCTION("""COMPUTED_VALUE"""),"SERVICEABLE")</f>
        <v>SERVICEABLE</v>
      </c>
      <c r="N3868" s="164"/>
    </row>
    <row r="3869" spans="1:14" ht="13.2" hidden="1">
      <c r="A3869" s="164" t="str">
        <f ca="1">IFERROR(__xludf.DUMMYFUNCTION("""COMPUTED_VALUE"""),"Region XI")</f>
        <v>Region XI</v>
      </c>
      <c r="B3869" s="164" t="str">
        <f ca="1">IFERROR(__xludf.DUMMYFUNCTION("""COMPUTED_VALUE"""),"Davao City")</f>
        <v>Davao City</v>
      </c>
      <c r="C3869" s="164" t="str">
        <f ca="1">IFERROR(__xludf.DUMMYFUNCTION("""COMPUTED_VALUE"""),"Motorcycle – (Honda XRL 150)")</f>
        <v>Motorcycle – (Honda XRL 150)</v>
      </c>
      <c r="D3869" s="164" t="str">
        <f ca="1">IFERROR(__xludf.DUMMYFUNCTION("""COMPUTED_VALUE"""),"₱ 124,900.00")</f>
        <v>₱ 124,900.00</v>
      </c>
      <c r="E3869" s="164" t="str">
        <f ca="1">IFERROR(__xludf.DUMMYFUNCTION("""COMPUTED_VALUE"""),"₱ -")</f>
        <v>₱ -</v>
      </c>
      <c r="F3869" s="164" t="str">
        <f ca="1">IFERROR(__xludf.DUMMYFUNCTION("""COMPUTED_VALUE"""),"2023-06-01-10202SP615-01")</f>
        <v>2023-06-01-10202SP615-01</v>
      </c>
      <c r="G3869" s="164" t="str">
        <f ca="1">IFERROR(__xludf.DUMMYFUNCTION("""COMPUTED_VALUE"""),"no plate available")</f>
        <v>no plate available</v>
      </c>
      <c r="H3869" s="164" t="str">
        <f ca="1">IFERROR(__xludf.DUMMYFUNCTION("""COMPUTED_VALUE"""),"NASIF S. BALINDONG")</f>
        <v>NASIF S. BALINDONG</v>
      </c>
      <c r="I3869" s="164" t="str">
        <f ca="1">IFERROR(__xludf.DUMMYFUNCTION("""COMPUTED_VALUE"""),"ARPT")</f>
        <v>ARPT</v>
      </c>
      <c r="J3869" s="164" t="str">
        <f ca="1">IFERROR(__xludf.DUMMYFUNCTION("""COMPUTED_VALUE"""),"DARCO PTR 2023-04-013S / DARRO PTR 2023-03-SP-007 / PAR 2023-04-0004SP")</f>
        <v>DARCO PTR 2023-04-013S / DARRO PTR 2023-03-SP-007 / PAR 2023-04-0004SP</v>
      </c>
      <c r="K3869" s="164" t="str">
        <f ca="1">IFERROR(__xludf.DUMMYFUNCTION("""COMPUTED_VALUE"""),"MARK ANDREW M. DORIA")</f>
        <v>MARK ANDREW M. DORIA</v>
      </c>
      <c r="L3869" s="164" t="str">
        <f ca="1">IFERROR(__xludf.DUMMYFUNCTION("""COMPUTED_VALUE"""),"STOD")</f>
        <v>STOD</v>
      </c>
      <c r="M3869" s="164" t="str">
        <f ca="1">IFERROR(__xludf.DUMMYFUNCTION("""COMPUTED_VALUE"""),"SERVICEABLE")</f>
        <v>SERVICEABLE</v>
      </c>
      <c r="N3869" s="164"/>
    </row>
    <row r="3870" spans="1:14" ht="13.2" hidden="1">
      <c r="A3870" s="164" t="str">
        <f ca="1">IFERROR(__xludf.DUMMYFUNCTION("""COMPUTED_VALUE"""),"Region XI")</f>
        <v>Region XI</v>
      </c>
      <c r="B3870" s="164" t="str">
        <f ca="1">IFERROR(__xludf.DUMMYFUNCTION("""COMPUTED_VALUE"""),"Davao City")</f>
        <v>Davao City</v>
      </c>
      <c r="C3870" s="164" t="str">
        <f ca="1">IFERROR(__xludf.DUMMYFUNCTION("""COMPUTED_VALUE"""),"Motorcycle – (Honda XRL 150)")</f>
        <v>Motorcycle – (Honda XRL 150)</v>
      </c>
      <c r="D3870" s="164" t="str">
        <f ca="1">IFERROR(__xludf.DUMMYFUNCTION("""COMPUTED_VALUE"""),"₱ 124,900.00")</f>
        <v>₱ 124,900.00</v>
      </c>
      <c r="E3870" s="164" t="str">
        <f ca="1">IFERROR(__xludf.DUMMYFUNCTION("""COMPUTED_VALUE"""),"₱ -")</f>
        <v>₱ -</v>
      </c>
      <c r="F3870" s="164" t="str">
        <f ca="1">IFERROR(__xludf.DUMMYFUNCTION("""COMPUTED_VALUE"""),"2023-06-01-10202SP616-01")</f>
        <v>2023-06-01-10202SP616-01</v>
      </c>
      <c r="G3870" s="164" t="str">
        <f ca="1">IFERROR(__xludf.DUMMYFUNCTION("""COMPUTED_VALUE"""),"no plate available")</f>
        <v>no plate available</v>
      </c>
      <c r="H3870" s="164" t="str">
        <f ca="1">IFERROR(__xludf.DUMMYFUNCTION("""COMPUTED_VALUE"""),"AIVEY DIANNE V. DIMAANO")</f>
        <v>AIVEY DIANNE V. DIMAANO</v>
      </c>
      <c r="I3870" s="164" t="str">
        <f ca="1">IFERROR(__xludf.DUMMYFUNCTION("""COMPUTED_VALUE"""),"AO IV-BUDGET")</f>
        <v>AO IV-BUDGET</v>
      </c>
      <c r="J3870" s="164" t="str">
        <f ca="1">IFERROR(__xludf.DUMMYFUNCTION("""COMPUTED_VALUE"""),"DARCO PTR 2023-04-013S / DARRO PTR 2023-03-SP-007 / PAR 2023-04-0005SP")</f>
        <v>DARCO PTR 2023-04-013S / DARRO PTR 2023-03-SP-007 / PAR 2023-04-0005SP</v>
      </c>
      <c r="K3870" s="164" t="str">
        <f ca="1">IFERROR(__xludf.DUMMYFUNCTION("""COMPUTED_VALUE"""),"NONE")</f>
        <v>NONE</v>
      </c>
      <c r="L3870" s="164" t="str">
        <f ca="1">IFERROR(__xludf.DUMMYFUNCTION("""COMPUTED_VALUE"""),"DARPO")</f>
        <v>DARPO</v>
      </c>
      <c r="M3870" s="164" t="str">
        <f ca="1">IFERROR(__xludf.DUMMYFUNCTION("""COMPUTED_VALUE"""),"SERVICEABLE")</f>
        <v>SERVICEABLE</v>
      </c>
      <c r="N3870" s="164"/>
    </row>
    <row r="3871" spans="1:14" ht="13.2" hidden="1">
      <c r="A3871" s="164" t="str">
        <f ca="1">IFERROR(__xludf.DUMMYFUNCTION("""COMPUTED_VALUE"""),"Region XI")</f>
        <v>Region XI</v>
      </c>
      <c r="B3871" s="164" t="str">
        <f ca="1">IFERROR(__xludf.DUMMYFUNCTION("""COMPUTED_VALUE"""),"Davao City")</f>
        <v>Davao City</v>
      </c>
      <c r="C3871" s="164" t="str">
        <f ca="1">IFERROR(__xludf.DUMMYFUNCTION("""COMPUTED_VALUE"""),"Double Cabin Pick-up Vehicles – Mitsubishi Strada")</f>
        <v>Double Cabin Pick-up Vehicles – Mitsubishi Strada</v>
      </c>
      <c r="D3871" s="164" t="str">
        <f ca="1">IFERROR(__xludf.DUMMYFUNCTION("""COMPUTED_VALUE"""),"₱ 1,752,400.00")</f>
        <v>₱ 1,752,400.00</v>
      </c>
      <c r="E3871" s="164" t="str">
        <f ca="1">IFERROR(__xludf.DUMMYFUNCTION("""COMPUTED_VALUE"""),"₱ -")</f>
        <v>₱ -</v>
      </c>
      <c r="F3871" s="164" t="str">
        <f ca="1">IFERROR(__xludf.DUMMYFUNCTION("""COMPUTED_VALUE"""),"2023-06-01-10201SP122-01")</f>
        <v>2023-06-01-10201SP122-01</v>
      </c>
      <c r="G3871" s="164" t="str">
        <f ca="1">IFERROR(__xludf.DUMMYFUNCTION("""COMPUTED_VALUE"""),"SNC 1152")</f>
        <v>SNC 1152</v>
      </c>
      <c r="H3871" s="164" t="str">
        <f ca="1">IFERROR(__xludf.DUMMYFUNCTION("""COMPUTED_VALUE"""),"GRETCHEN S. PAZON")</f>
        <v>GRETCHEN S. PAZON</v>
      </c>
      <c r="I3871" s="164" t="str">
        <f ca="1">IFERROR(__xludf.DUMMYFUNCTION("""COMPUTED_VALUE"""),"ARPO I")</f>
        <v>ARPO I</v>
      </c>
      <c r="J3871" s="164" t="str">
        <f ca="1">IFERROR(__xludf.DUMMYFUNCTION("""COMPUTED_VALUE"""),"PAR# 2023-04-0006SP")</f>
        <v>PAR# 2023-04-0006SP</v>
      </c>
      <c r="K3871" s="164" t="str">
        <f ca="1">IFERROR(__xludf.DUMMYFUNCTION("""COMPUTED_VALUE"""),"GRETCHEN S. PAZON")</f>
        <v>GRETCHEN S. PAZON</v>
      </c>
      <c r="L3871" s="164" t="str">
        <f ca="1">IFERROR(__xludf.DUMMYFUNCTION("""COMPUTED_VALUE"""),"LTID")</f>
        <v>LTID</v>
      </c>
      <c r="M3871" s="164" t="str">
        <f ca="1">IFERROR(__xludf.DUMMYFUNCTION("""COMPUTED_VALUE"""),"SERVICEABLE")</f>
        <v>SERVICEABLE</v>
      </c>
      <c r="N3871" s="164"/>
    </row>
    <row r="3872" spans="1:14" ht="13.2" hidden="1">
      <c r="A3872" s="164" t="str">
        <f ca="1">IFERROR(__xludf.DUMMYFUNCTION("""COMPUTED_VALUE"""),"Region XI")</f>
        <v>Region XI</v>
      </c>
      <c r="B3872" s="164" t="str">
        <f ca="1">IFERROR(__xludf.DUMMYFUNCTION("""COMPUTED_VALUE"""),"Davao de Oro")</f>
        <v>Davao de Oro</v>
      </c>
      <c r="C3872" s="164" t="str">
        <f ca="1">IFERROR(__xludf.DUMMYFUNCTION("""COMPUTED_VALUE"""),"Double Cabin Pick-up Vehicles – Mitsubishi Strada")</f>
        <v>Double Cabin Pick-up Vehicles – Mitsubishi Strada</v>
      </c>
      <c r="D3872" s="164" t="str">
        <f ca="1">IFERROR(__xludf.DUMMYFUNCTION("""COMPUTED_VALUE"""),"₱ 1,752,400.00")</f>
        <v>₱ 1,752,400.00</v>
      </c>
      <c r="E3872" s="164" t="str">
        <f ca="1">IFERROR(__xludf.DUMMYFUNCTION("""COMPUTED_VALUE"""),"₱ -")</f>
        <v>₱ -</v>
      </c>
      <c r="F3872" s="164" t="str">
        <f ca="1">IFERROR(__xludf.DUMMYFUNCTION("""COMPUTED_VALUE"""),"2023-05-03-10201SP123-01")</f>
        <v>2023-05-03-10201SP123-01</v>
      </c>
      <c r="G3872" s="164" t="str">
        <f ca="1">IFERROR(__xludf.DUMMYFUNCTION("""COMPUTED_VALUE"""),"SNC 1215")</f>
        <v>SNC 1215</v>
      </c>
      <c r="H3872" s="164" t="str">
        <f ca="1">IFERROR(__xludf.DUMMYFUNCTION("""COMPUTED_VALUE"""),"ZALDY A. ARENAS")</f>
        <v>ZALDY A. ARENAS</v>
      </c>
      <c r="I3872" s="164" t="str">
        <f ca="1">IFERROR(__xludf.DUMMYFUNCTION("""COMPUTED_VALUE"""),"PARPO II")</f>
        <v>PARPO II</v>
      </c>
      <c r="J3872" s="164" t="str">
        <f ca="1">IFERROR(__xludf.DUMMYFUNCTION("""COMPUTED_VALUE"""),"SPLIT-2023-09-0037")</f>
        <v>SPLIT-2023-09-0037</v>
      </c>
      <c r="K3872" s="164" t="str">
        <f ca="1">IFERROR(__xludf.DUMMYFUNCTION("""COMPUTED_VALUE"""),"ZALDY A. ARENAS")</f>
        <v>ZALDY A. ARENAS</v>
      </c>
      <c r="L3872" s="164" t="str">
        <f ca="1">IFERROR(__xludf.DUMMYFUNCTION("""COMPUTED_VALUE"""),"DARPO DAVAO DE ORO")</f>
        <v>DARPO DAVAO DE ORO</v>
      </c>
      <c r="M3872" s="164" t="str">
        <f ca="1">IFERROR(__xludf.DUMMYFUNCTION("""COMPUTED_VALUE"""),"SERVICEABLE")</f>
        <v>SERVICEABLE</v>
      </c>
      <c r="N3872" s="164"/>
    </row>
    <row r="3873" spans="1:14" ht="13.2" hidden="1">
      <c r="A3873" s="164" t="str">
        <f ca="1">IFERROR(__xludf.DUMMYFUNCTION("""COMPUTED_VALUE"""),"Region XI")</f>
        <v>Region XI</v>
      </c>
      <c r="B3873" s="164" t="str">
        <f ca="1">IFERROR(__xludf.DUMMYFUNCTION("""COMPUTED_VALUE"""),"Davao Occidental")</f>
        <v>Davao Occidental</v>
      </c>
      <c r="C3873" s="164" t="str">
        <f ca="1">IFERROR(__xludf.DUMMYFUNCTION("""COMPUTED_VALUE"""),"Motorcycle – (Honda XRL 150)")</f>
        <v>Motorcycle – (Honda XRL 150)</v>
      </c>
      <c r="D3873" s="164" t="str">
        <f ca="1">IFERROR(__xludf.DUMMYFUNCTION("""COMPUTED_VALUE"""),"₱ 124,900.00")</f>
        <v>₱ 124,900.00</v>
      </c>
      <c r="E3873" s="164" t="str">
        <f ca="1">IFERROR(__xludf.DUMMYFUNCTION("""COMPUTED_VALUE"""),"₱ -")</f>
        <v>₱ -</v>
      </c>
      <c r="F3873" s="164" t="str">
        <f ca="1">IFERROR(__xludf.DUMMYFUNCTION("""COMPUTED_VALUE"""),"MOTORCYCLE - HONDA XR150L")</f>
        <v>MOTORCYCLE - HONDA XR150L</v>
      </c>
      <c r="G3873" s="164" t="str">
        <f ca="1">IFERROR(__xludf.DUMMYFUNCTION("""COMPUTED_VALUE"""),"no plate available")</f>
        <v>no plate available</v>
      </c>
      <c r="H3873" s="164" t="str">
        <f ca="1">IFERROR(__xludf.DUMMYFUNCTION("""COMPUTED_VALUE"""),"ROMNICK B. SARSABA")</f>
        <v>ROMNICK B. SARSABA</v>
      </c>
      <c r="I3873" s="164" t="str">
        <f ca="1">IFERROR(__xludf.DUMMYFUNCTION("""COMPUTED_VALUE"""),"ARPT")</f>
        <v>ARPT</v>
      </c>
      <c r="J3873" s="164" t="str">
        <f ca="1">IFERROR(__xludf.DUMMYFUNCTION("""COMPUTED_VALUE"""),"DARCO PTR 2023-04-013S / DARRO PTR 2023-03-SP-011/ PAR 2023-05-0014")</f>
        <v>DARCO PTR 2023-04-013S / DARRO PTR 2023-03-SP-011/ PAR 2023-05-0014</v>
      </c>
      <c r="K3873" s="164" t="str">
        <f ca="1">IFERROR(__xludf.DUMMYFUNCTION("""COMPUTED_VALUE"""),"ROMNICK B. SARSABA")</f>
        <v>ROMNICK B. SARSABA</v>
      </c>
      <c r="L3873" s="164" t="str">
        <f ca="1">IFERROR(__xludf.DUMMYFUNCTION("""COMPUTED_VALUE"""),"DARMO STA. MARIA &amp; SARANGANI")</f>
        <v>DARMO STA. MARIA &amp; SARANGANI</v>
      </c>
      <c r="M3873" s="164" t="str">
        <f ca="1">IFERROR(__xludf.DUMMYFUNCTION("""COMPUTED_VALUE"""),"SERVICEABLE")</f>
        <v>SERVICEABLE</v>
      </c>
      <c r="N3873" s="164"/>
    </row>
    <row r="3874" spans="1:14" ht="13.2" hidden="1">
      <c r="A3874" s="164" t="str">
        <f ca="1">IFERROR(__xludf.DUMMYFUNCTION("""COMPUTED_VALUE"""),"Region XI")</f>
        <v>Region XI</v>
      </c>
      <c r="B3874" s="164" t="str">
        <f ca="1">IFERROR(__xludf.DUMMYFUNCTION("""COMPUTED_VALUE"""),"Davao Occidental")</f>
        <v>Davao Occidental</v>
      </c>
      <c r="C3874" s="164" t="str">
        <f ca="1">IFERROR(__xludf.DUMMYFUNCTION("""COMPUTED_VALUE"""),"Motorcycle – (Honda XRL 150)")</f>
        <v>Motorcycle – (Honda XRL 150)</v>
      </c>
      <c r="D3874" s="164" t="str">
        <f ca="1">IFERROR(__xludf.DUMMYFUNCTION("""COMPUTED_VALUE"""),"₱ 124,900.00")</f>
        <v>₱ 124,900.00</v>
      </c>
      <c r="E3874" s="164" t="str">
        <f ca="1">IFERROR(__xludf.DUMMYFUNCTION("""COMPUTED_VALUE"""),"₱ -")</f>
        <v>₱ -</v>
      </c>
      <c r="F3874" s="164" t="str">
        <f ca="1">IFERROR(__xludf.DUMMYFUNCTION("""COMPUTED_VALUE"""),"MOTORCYCLE - HONDA XR150L")</f>
        <v>MOTORCYCLE - HONDA XR150L</v>
      </c>
      <c r="G3874" s="164" t="str">
        <f ca="1">IFERROR(__xludf.DUMMYFUNCTION("""COMPUTED_VALUE"""),"no plate available")</f>
        <v>no plate available</v>
      </c>
      <c r="H3874" s="164" t="str">
        <f ca="1">IFERROR(__xludf.DUMMYFUNCTION("""COMPUTED_VALUE"""),"DANIEL G. BETIL JR.")</f>
        <v>DANIEL G. BETIL JR.</v>
      </c>
      <c r="I3874" s="164" t="str">
        <f ca="1">IFERROR(__xludf.DUMMYFUNCTION("""COMPUTED_VALUE"""),"ARPT")</f>
        <v>ARPT</v>
      </c>
      <c r="J3874" s="164" t="str">
        <f ca="1">IFERROR(__xludf.DUMMYFUNCTION("""COMPUTED_VALUE"""),"DARCO PTR 2023-04-013S / DARRO PTR 2023-03-SP-011/ PAR 2023-05-0015")</f>
        <v>DARCO PTR 2023-04-013S / DARRO PTR 2023-03-SP-011/ PAR 2023-05-0015</v>
      </c>
      <c r="K3874" s="164" t="str">
        <f ca="1">IFERROR(__xludf.DUMMYFUNCTION("""COMPUTED_VALUE"""),"DANIEL G. BETIL JR.")</f>
        <v>DANIEL G. BETIL JR.</v>
      </c>
      <c r="L3874" s="164" t="str">
        <f ca="1">IFERROR(__xludf.DUMMYFUNCTION("""COMPUTED_VALUE"""),"DARMO MALITA")</f>
        <v>DARMO MALITA</v>
      </c>
      <c r="M3874" s="164" t="str">
        <f ca="1">IFERROR(__xludf.DUMMYFUNCTION("""COMPUTED_VALUE"""),"SERVICEABLE")</f>
        <v>SERVICEABLE</v>
      </c>
      <c r="N3874" s="164"/>
    </row>
    <row r="3875" spans="1:14" ht="13.2" hidden="1">
      <c r="A3875" s="164" t="str">
        <f ca="1">IFERROR(__xludf.DUMMYFUNCTION("""COMPUTED_VALUE"""),"Region XI")</f>
        <v>Region XI</v>
      </c>
      <c r="B3875" s="164" t="str">
        <f ca="1">IFERROR(__xludf.DUMMYFUNCTION("""COMPUTED_VALUE"""),"Davao Occidental")</f>
        <v>Davao Occidental</v>
      </c>
      <c r="C3875" s="164" t="str">
        <f ca="1">IFERROR(__xludf.DUMMYFUNCTION("""COMPUTED_VALUE"""),"Motorcycle – (Honda XRL 150)")</f>
        <v>Motorcycle – (Honda XRL 150)</v>
      </c>
      <c r="D3875" s="164" t="str">
        <f ca="1">IFERROR(__xludf.DUMMYFUNCTION("""COMPUTED_VALUE"""),"₱ 124,900.00")</f>
        <v>₱ 124,900.00</v>
      </c>
      <c r="E3875" s="164" t="str">
        <f ca="1">IFERROR(__xludf.DUMMYFUNCTION("""COMPUTED_VALUE"""),"₱ -")</f>
        <v>₱ -</v>
      </c>
      <c r="F3875" s="164" t="str">
        <f ca="1">IFERROR(__xludf.DUMMYFUNCTION("""COMPUTED_VALUE"""),"MOTORCYCLE - HONDA XR150L")</f>
        <v>MOTORCYCLE - HONDA XR150L</v>
      </c>
      <c r="G3875" s="164" t="str">
        <f ca="1">IFERROR(__xludf.DUMMYFUNCTION("""COMPUTED_VALUE"""),"no plate available")</f>
        <v>no plate available</v>
      </c>
      <c r="H3875" s="164" t="str">
        <f ca="1">IFERROR(__xludf.DUMMYFUNCTION("""COMPUTED_VALUE"""),"REYMUND L. TAMPOS")</f>
        <v>REYMUND L. TAMPOS</v>
      </c>
      <c r="I3875" s="164" t="str">
        <f ca="1">IFERROR(__xludf.DUMMYFUNCTION("""COMPUTED_VALUE"""),"ARPT")</f>
        <v>ARPT</v>
      </c>
      <c r="J3875" s="164" t="str">
        <f ca="1">IFERROR(__xludf.DUMMYFUNCTION("""COMPUTED_VALUE"""),"DARCO PTR 2023-04-013S / DARRO PTR 2023-03-SP-011/ PAR 2023-05-0016")</f>
        <v>DARCO PTR 2023-04-013S / DARRO PTR 2023-03-SP-011/ PAR 2023-05-0016</v>
      </c>
      <c r="K3875" s="164" t="str">
        <f ca="1">IFERROR(__xludf.DUMMYFUNCTION("""COMPUTED_VALUE"""),"REYMUND L. TAMPOS")</f>
        <v>REYMUND L. TAMPOS</v>
      </c>
      <c r="L3875" s="164" t="str">
        <f ca="1">IFERROR(__xludf.DUMMYFUNCTION("""COMPUTED_VALUE"""),"DARMO DON MARCELINO &amp; JAS")</f>
        <v>DARMO DON MARCELINO &amp; JAS</v>
      </c>
      <c r="M3875" s="164" t="str">
        <f ca="1">IFERROR(__xludf.DUMMYFUNCTION("""COMPUTED_VALUE"""),"SERVICEABLE")</f>
        <v>SERVICEABLE</v>
      </c>
      <c r="N3875" s="164"/>
    </row>
    <row r="3876" spans="1:14" ht="13.2" hidden="1">
      <c r="A3876" s="164" t="str">
        <f ca="1">IFERROR(__xludf.DUMMYFUNCTION("""COMPUTED_VALUE"""),"Region XI")</f>
        <v>Region XI</v>
      </c>
      <c r="B3876" s="164" t="str">
        <f ca="1">IFERROR(__xludf.DUMMYFUNCTION("""COMPUTED_VALUE"""),"Davao Occidental")</f>
        <v>Davao Occidental</v>
      </c>
      <c r="C3876" s="164" t="str">
        <f ca="1">IFERROR(__xludf.DUMMYFUNCTION("""COMPUTED_VALUE"""),"Motorcycle – (Honda XRL 150)")</f>
        <v>Motorcycle – (Honda XRL 150)</v>
      </c>
      <c r="D3876" s="164" t="str">
        <f ca="1">IFERROR(__xludf.DUMMYFUNCTION("""COMPUTED_VALUE"""),"₱ 124,900.00")</f>
        <v>₱ 124,900.00</v>
      </c>
      <c r="E3876" s="164" t="str">
        <f ca="1">IFERROR(__xludf.DUMMYFUNCTION("""COMPUTED_VALUE"""),"₱ -")</f>
        <v>₱ -</v>
      </c>
      <c r="F3876" s="164" t="str">
        <f ca="1">IFERROR(__xludf.DUMMYFUNCTION("""COMPUTED_VALUE"""),"MOTORCYCLE - HONDA XR150L")</f>
        <v>MOTORCYCLE - HONDA XR150L</v>
      </c>
      <c r="G3876" s="164" t="str">
        <f ca="1">IFERROR(__xludf.DUMMYFUNCTION("""COMPUTED_VALUE"""),"no plate available")</f>
        <v>no plate available</v>
      </c>
      <c r="H3876" s="164" t="str">
        <f ca="1">IFERROR(__xludf.DUMMYFUNCTION("""COMPUTED_VALUE"""),"JAN ANTHONY D. HINOS")</f>
        <v>JAN ANTHONY D. HINOS</v>
      </c>
      <c r="I3876" s="164" t="str">
        <f ca="1">IFERROR(__xludf.DUMMYFUNCTION("""COMPUTED_VALUE"""),"ARPT")</f>
        <v>ARPT</v>
      </c>
      <c r="J3876" s="164" t="str">
        <f ca="1">IFERROR(__xludf.DUMMYFUNCTION("""COMPUTED_VALUE"""),"DARCO PTR 2023-04-013S / DARRO PTR 2023-03-SP-011/ PAR 2023-05-0017")</f>
        <v>DARCO PTR 2023-04-013S / DARRO PTR 2023-03-SP-011/ PAR 2023-05-0017</v>
      </c>
      <c r="K3876" s="164" t="str">
        <f ca="1">IFERROR(__xludf.DUMMYFUNCTION("""COMPUTED_VALUE"""),"JAN ANTHONY D. HINOS")</f>
        <v>JAN ANTHONY D. HINOS</v>
      </c>
      <c r="L3876" s="164" t="str">
        <f ca="1">IFERROR(__xludf.DUMMYFUNCTION("""COMPUTED_VALUE"""),"DARPO- PBDD")</f>
        <v>DARPO- PBDD</v>
      </c>
      <c r="M3876" s="164" t="str">
        <f ca="1">IFERROR(__xludf.DUMMYFUNCTION("""COMPUTED_VALUE"""),"SERVICEABLE")</f>
        <v>SERVICEABLE</v>
      </c>
      <c r="N3876" s="164"/>
    </row>
    <row r="3877" spans="1:14" ht="13.2" hidden="1">
      <c r="A3877" s="164" t="str">
        <f ca="1">IFERROR(__xludf.DUMMYFUNCTION("""COMPUTED_VALUE"""),"Region XI")</f>
        <v>Region XI</v>
      </c>
      <c r="B3877" s="164" t="str">
        <f ca="1">IFERROR(__xludf.DUMMYFUNCTION("""COMPUTED_VALUE"""),"Davao Occidental")</f>
        <v>Davao Occidental</v>
      </c>
      <c r="C3877" s="164" t="str">
        <f ca="1">IFERROR(__xludf.DUMMYFUNCTION("""COMPUTED_VALUE"""),"Motorcycle – (Honda XRL 150)")</f>
        <v>Motorcycle – (Honda XRL 150)</v>
      </c>
      <c r="D3877" s="164" t="str">
        <f ca="1">IFERROR(__xludf.DUMMYFUNCTION("""COMPUTED_VALUE"""),"₱ 124,900.00")</f>
        <v>₱ 124,900.00</v>
      </c>
      <c r="E3877" s="164" t="str">
        <f ca="1">IFERROR(__xludf.DUMMYFUNCTION("""COMPUTED_VALUE"""),"₱ -")</f>
        <v>₱ -</v>
      </c>
      <c r="F3877" s="164" t="str">
        <f ca="1">IFERROR(__xludf.DUMMYFUNCTION("""COMPUTED_VALUE"""),"MOTORCYCLE - HONDA XR150L")</f>
        <v>MOTORCYCLE - HONDA XR150L</v>
      </c>
      <c r="G3877" s="164" t="str">
        <f ca="1">IFERROR(__xludf.DUMMYFUNCTION("""COMPUTED_VALUE"""),"no plate available")</f>
        <v>no plate available</v>
      </c>
      <c r="H3877" s="164" t="str">
        <f ca="1">IFERROR(__xludf.DUMMYFUNCTION("""COMPUTED_VALUE"""),"JONELL J. DAGWAYAN")</f>
        <v>JONELL J. DAGWAYAN</v>
      </c>
      <c r="I3877" s="164" t="str">
        <f ca="1">IFERROR(__xludf.DUMMYFUNCTION("""COMPUTED_VALUE"""),"AOIV - GSO")</f>
        <v>AOIV - GSO</v>
      </c>
      <c r="J3877" s="164" t="str">
        <f ca="1">IFERROR(__xludf.DUMMYFUNCTION("""COMPUTED_VALUE"""),"DARCO PTR 2023-04-013S / DARRO PTR 2023-03-SP-011/ PAR 2023-05-0018")</f>
        <v>DARCO PTR 2023-04-013S / DARRO PTR 2023-03-SP-011/ PAR 2023-05-0018</v>
      </c>
      <c r="K3877" s="164" t="str">
        <f ca="1">IFERROR(__xludf.DUMMYFUNCTION("""COMPUTED_VALUE"""),"JONELL J. DAGWAYAN")</f>
        <v>JONELL J. DAGWAYAN</v>
      </c>
      <c r="L3877" s="164" t="str">
        <f ca="1">IFERROR(__xludf.DUMMYFUNCTION("""COMPUTED_VALUE"""),"DARPO - AFD")</f>
        <v>DARPO - AFD</v>
      </c>
      <c r="M3877" s="164" t="str">
        <f ca="1">IFERROR(__xludf.DUMMYFUNCTION("""COMPUTED_VALUE"""),"SERVICEABLE")</f>
        <v>SERVICEABLE</v>
      </c>
      <c r="N3877" s="164"/>
    </row>
    <row r="3878" spans="1:14" ht="13.2" hidden="1">
      <c r="A3878" s="164" t="str">
        <f ca="1">IFERROR(__xludf.DUMMYFUNCTION("""COMPUTED_VALUE"""),"Region XI")</f>
        <v>Region XI</v>
      </c>
      <c r="B3878" s="164" t="str">
        <f ca="1">IFERROR(__xludf.DUMMYFUNCTION("""COMPUTED_VALUE"""),"Davao Occidental")</f>
        <v>Davao Occidental</v>
      </c>
      <c r="C3878" s="164" t="str">
        <f ca="1">IFERROR(__xludf.DUMMYFUNCTION("""COMPUTED_VALUE"""),"Double Cabin Pick-up Vehicles – Mitsubishi Strada")</f>
        <v>Double Cabin Pick-up Vehicles – Mitsubishi Strada</v>
      </c>
      <c r="D3878" s="164" t="str">
        <f ca="1">IFERROR(__xludf.DUMMYFUNCTION("""COMPUTED_VALUE"""),"₱ 1,752,400.00")</f>
        <v>₱ 1,752,400.00</v>
      </c>
      <c r="E3878" s="164" t="str">
        <f ca="1">IFERROR(__xludf.DUMMYFUNCTION("""COMPUTED_VALUE"""),"₱ -")</f>
        <v>₱ -</v>
      </c>
      <c r="F3878" s="164" t="str">
        <f ca="1">IFERROR(__xludf.DUMMYFUNCTION("""COMPUTED_VALUE"""),"2023-06-01-10201SP126-01")</f>
        <v>2023-06-01-10201SP126-01</v>
      </c>
      <c r="G3878" s="164" t="str">
        <f ca="1">IFERROR(__xludf.DUMMYFUNCTION("""COMPUTED_VALUE"""),"SNC 1177")</f>
        <v>SNC 1177</v>
      </c>
      <c r="H3878" s="164" t="str">
        <f ca="1">IFERROR(__xludf.DUMMYFUNCTION("""COMPUTED_VALUE"""),"TERSO D. GREGORIO SR.")</f>
        <v>TERSO D. GREGORIO SR.</v>
      </c>
      <c r="I3878" s="164" t="str">
        <f ca="1">IFERROR(__xludf.DUMMYFUNCTION("""COMPUTED_VALUE"""),"PARPO II")</f>
        <v>PARPO II</v>
      </c>
      <c r="J3878" s="164" t="str">
        <f ca="1">IFERROR(__xludf.DUMMYFUNCTION("""COMPUTED_VALUE"""),"2023-10-0026")</f>
        <v>2023-10-0026</v>
      </c>
      <c r="K3878" s="164" t="str">
        <f ca="1">IFERROR(__xludf.DUMMYFUNCTION("""COMPUTED_VALUE"""),"SPLIT")</f>
        <v>SPLIT</v>
      </c>
      <c r="L3878" s="164" t="str">
        <f ca="1">IFERROR(__xludf.DUMMYFUNCTION("""COMPUTED_VALUE"""),"OPARPO")</f>
        <v>OPARPO</v>
      </c>
      <c r="M3878" s="164" t="str">
        <f ca="1">IFERROR(__xludf.DUMMYFUNCTION("""COMPUTED_VALUE"""),"SERVICEABLE")</f>
        <v>SERVICEABLE</v>
      </c>
      <c r="N3878" s="164"/>
    </row>
    <row r="3879" spans="1:14" ht="13.2" hidden="1">
      <c r="A3879" s="164" t="str">
        <f ca="1">IFERROR(__xludf.DUMMYFUNCTION("""COMPUTED_VALUE"""),"Region XI")</f>
        <v>Region XI</v>
      </c>
      <c r="B3879" s="164" t="str">
        <f ca="1">IFERROR(__xludf.DUMMYFUNCTION("""COMPUTED_VALUE"""),"Davao del Norte")</f>
        <v>Davao del Norte</v>
      </c>
      <c r="C3879" s="164" t="str">
        <f ca="1">IFERROR(__xludf.DUMMYFUNCTION("""COMPUTED_VALUE"""),"Motorcycle – (Honda XRL 150)")</f>
        <v>Motorcycle – (Honda XRL 150)</v>
      </c>
      <c r="D3879" s="164" t="str">
        <f ca="1">IFERROR(__xludf.DUMMYFUNCTION("""COMPUTED_VALUE"""),"₱ 124,900.00")</f>
        <v>₱ 124,900.00</v>
      </c>
      <c r="E3879" s="164" t="str">
        <f ca="1">IFERROR(__xludf.DUMMYFUNCTION("""COMPUTED_VALUE"""),"₱ -")</f>
        <v>₱ -</v>
      </c>
      <c r="F3879" s="164" t="str">
        <f ca="1">IFERROR(__xludf.DUMMYFUNCTION("""COMPUTED_VALUE"""),"2023-06-01-10202SP658-01")</f>
        <v>2023-06-01-10202SP658-01</v>
      </c>
      <c r="G3879" s="164" t="str">
        <f ca="1">IFERROR(__xludf.DUMMYFUNCTION("""COMPUTED_VALUE"""),"no plate available")</f>
        <v>no plate available</v>
      </c>
      <c r="H3879" s="164" t="str">
        <f ca="1">IFERROR(__xludf.DUMMYFUNCTION("""COMPUTED_VALUE"""),"BIENVENIDO T. GALANG, JR.")</f>
        <v>BIENVENIDO T. GALANG, JR.</v>
      </c>
      <c r="I3879" s="164" t="str">
        <f ca="1">IFERROR(__xludf.DUMMYFUNCTION("""COMPUTED_VALUE"""),"SURVEYMAN")</f>
        <v>SURVEYMAN</v>
      </c>
      <c r="J3879" s="164" t="str">
        <f ca="1">IFERROR(__xludf.DUMMYFUNCTION("""COMPUTED_VALUE"""),"DARCO PTR 2023-04-013S / DARRO PTR 2023-03-SP-012 / PAR 2023-04-001A")</f>
        <v>DARCO PTR 2023-04-013S / DARRO PTR 2023-03-SP-012 / PAR 2023-04-001A</v>
      </c>
      <c r="K3879" s="164" t="str">
        <f ca="1">IFERROR(__xludf.DUMMYFUNCTION("""COMPUTED_VALUE"""),"BIENVENIDO T. GALANG, JR.")</f>
        <v>BIENVENIDO T. GALANG, JR.</v>
      </c>
      <c r="L3879" s="164" t="str">
        <f ca="1">IFERROR(__xludf.DUMMYFUNCTION("""COMPUTED_VALUE"""),"LTI")</f>
        <v>LTI</v>
      </c>
      <c r="M3879" s="164" t="str">
        <f ca="1">IFERROR(__xludf.DUMMYFUNCTION("""COMPUTED_VALUE"""),"SERVICEABLE")</f>
        <v>SERVICEABLE</v>
      </c>
      <c r="N3879" s="164"/>
    </row>
    <row r="3880" spans="1:14" ht="13.2" hidden="1">
      <c r="A3880" s="164" t="str">
        <f ca="1">IFERROR(__xludf.DUMMYFUNCTION("""COMPUTED_VALUE"""),"Region XI")</f>
        <v>Region XI</v>
      </c>
      <c r="B3880" s="164" t="str">
        <f ca="1">IFERROR(__xludf.DUMMYFUNCTION("""COMPUTED_VALUE"""),"Davao del Norte")</f>
        <v>Davao del Norte</v>
      </c>
      <c r="C3880" s="164" t="str">
        <f ca="1">IFERROR(__xludf.DUMMYFUNCTION("""COMPUTED_VALUE"""),"Motorcycle – (Honda XRL 150)")</f>
        <v>Motorcycle – (Honda XRL 150)</v>
      </c>
      <c r="D3880" s="164" t="str">
        <f ca="1">IFERROR(__xludf.DUMMYFUNCTION("""COMPUTED_VALUE"""),"₱ 124,900.00")</f>
        <v>₱ 124,900.00</v>
      </c>
      <c r="E3880" s="164" t="str">
        <f ca="1">IFERROR(__xludf.DUMMYFUNCTION("""COMPUTED_VALUE"""),"₱ -")</f>
        <v>₱ -</v>
      </c>
      <c r="F3880" s="164" t="str">
        <f ca="1">IFERROR(__xludf.DUMMYFUNCTION("""COMPUTED_VALUE"""),"2023-06-01-10202SP659-01")</f>
        <v>2023-06-01-10202SP659-01</v>
      </c>
      <c r="G3880" s="164" t="str">
        <f ca="1">IFERROR(__xludf.DUMMYFUNCTION("""COMPUTED_VALUE"""),"no plate available")</f>
        <v>no plate available</v>
      </c>
      <c r="H3880" s="164" t="str">
        <f ca="1">IFERROR(__xludf.DUMMYFUNCTION("""COMPUTED_VALUE"""),"REYNOLD L. CAMACHO")</f>
        <v>REYNOLD L. CAMACHO</v>
      </c>
      <c r="I3880" s="164" t="str">
        <f ca="1">IFERROR(__xludf.DUMMYFUNCTION("""COMPUTED_VALUE"""),"ARPO I")</f>
        <v>ARPO I</v>
      </c>
      <c r="J3880" s="164" t="str">
        <f ca="1">IFERROR(__xludf.DUMMYFUNCTION("""COMPUTED_VALUE"""),"DARCO PTR 2023-04-013S / DARRO PTR 2023-03-SP-012 / PAR 2023-04-002B")</f>
        <v>DARCO PTR 2023-04-013S / DARRO PTR 2023-03-SP-012 / PAR 2023-04-002B</v>
      </c>
      <c r="K3880" s="164" t="str">
        <f ca="1">IFERROR(__xludf.DUMMYFUNCTION("""COMPUTED_VALUE"""),"REYNOLD L. CAMACHO")</f>
        <v>REYNOLD L. CAMACHO</v>
      </c>
      <c r="L3880" s="164" t="str">
        <f ca="1">IFERROR(__xludf.DUMMYFUNCTION("""COMPUTED_VALUE"""),"PBDD")</f>
        <v>PBDD</v>
      </c>
      <c r="M3880" s="164" t="str">
        <f ca="1">IFERROR(__xludf.DUMMYFUNCTION("""COMPUTED_VALUE"""),"SERVICEABLE")</f>
        <v>SERVICEABLE</v>
      </c>
      <c r="N3880" s="164"/>
    </row>
    <row r="3881" spans="1:14" ht="13.2" hidden="1">
      <c r="A3881" s="164" t="str">
        <f ca="1">IFERROR(__xludf.DUMMYFUNCTION("""COMPUTED_VALUE"""),"Region XI")</f>
        <v>Region XI</v>
      </c>
      <c r="B3881" s="164" t="str">
        <f ca="1">IFERROR(__xludf.DUMMYFUNCTION("""COMPUTED_VALUE"""),"Davao del Norte")</f>
        <v>Davao del Norte</v>
      </c>
      <c r="C3881" s="164" t="str">
        <f ca="1">IFERROR(__xludf.DUMMYFUNCTION("""COMPUTED_VALUE"""),"Motorcycle – (Honda XRL 150)")</f>
        <v>Motorcycle – (Honda XRL 150)</v>
      </c>
      <c r="D3881" s="164" t="str">
        <f ca="1">IFERROR(__xludf.DUMMYFUNCTION("""COMPUTED_VALUE"""),"₱ 124,900.00")</f>
        <v>₱ 124,900.00</v>
      </c>
      <c r="E3881" s="164" t="str">
        <f ca="1">IFERROR(__xludf.DUMMYFUNCTION("""COMPUTED_VALUE"""),"₱ -")</f>
        <v>₱ -</v>
      </c>
      <c r="F3881" s="164" t="str">
        <f ca="1">IFERROR(__xludf.DUMMYFUNCTION("""COMPUTED_VALUE"""),"2023-06-01-10202SP660-01")</f>
        <v>2023-06-01-10202SP660-01</v>
      </c>
      <c r="G3881" s="164" t="str">
        <f ca="1">IFERROR(__xludf.DUMMYFUNCTION("""COMPUTED_VALUE"""),"no plate available")</f>
        <v>no plate available</v>
      </c>
      <c r="H3881" s="164" t="str">
        <f ca="1">IFERROR(__xludf.DUMMYFUNCTION("""COMPUTED_VALUE"""),"RICHARD T. GUDIN")</f>
        <v>RICHARD T. GUDIN</v>
      </c>
      <c r="I3881" s="164" t="str">
        <f ca="1">IFERROR(__xludf.DUMMYFUNCTION("""COMPUTED_VALUE"""),"ARPO I")</f>
        <v>ARPO I</v>
      </c>
      <c r="J3881" s="164" t="str">
        <f ca="1">IFERROR(__xludf.DUMMYFUNCTION("""COMPUTED_VALUE"""),"DARCO PTR 2023-04-013S / DARRO PTR 2023-03-SP-012 / PAR 2023-04-003C")</f>
        <v>DARCO PTR 2023-04-013S / DARRO PTR 2023-03-SP-012 / PAR 2023-04-003C</v>
      </c>
      <c r="K3881" s="164" t="str">
        <f ca="1">IFERROR(__xludf.DUMMYFUNCTION("""COMPUTED_VALUE"""),"RICHARD T. GUDIN")</f>
        <v>RICHARD T. GUDIN</v>
      </c>
      <c r="L3881" s="164" t="str">
        <f ca="1">IFERROR(__xludf.DUMMYFUNCTION("""COMPUTED_VALUE"""),"MARO TAGUM CITY")</f>
        <v>MARO TAGUM CITY</v>
      </c>
      <c r="M3881" s="164" t="str">
        <f ca="1">IFERROR(__xludf.DUMMYFUNCTION("""COMPUTED_VALUE"""),"SERVICEABLE")</f>
        <v>SERVICEABLE</v>
      </c>
      <c r="N3881" s="164"/>
    </row>
    <row r="3882" spans="1:14" ht="13.2" hidden="1">
      <c r="A3882" s="164" t="str">
        <f ca="1">IFERROR(__xludf.DUMMYFUNCTION("""COMPUTED_VALUE"""),"Region XI")</f>
        <v>Region XI</v>
      </c>
      <c r="B3882" s="164" t="str">
        <f ca="1">IFERROR(__xludf.DUMMYFUNCTION("""COMPUTED_VALUE"""),"Davao del Norte")</f>
        <v>Davao del Norte</v>
      </c>
      <c r="C3882" s="164" t="str">
        <f ca="1">IFERROR(__xludf.DUMMYFUNCTION("""COMPUTED_VALUE"""),"Motorcycle – (Honda XRL 150)")</f>
        <v>Motorcycle – (Honda XRL 150)</v>
      </c>
      <c r="D3882" s="164" t="str">
        <f ca="1">IFERROR(__xludf.DUMMYFUNCTION("""COMPUTED_VALUE"""),"₱ 124,900.00")</f>
        <v>₱ 124,900.00</v>
      </c>
      <c r="E3882" s="164" t="str">
        <f ca="1">IFERROR(__xludf.DUMMYFUNCTION("""COMPUTED_VALUE"""),"₱ -")</f>
        <v>₱ -</v>
      </c>
      <c r="F3882" s="164" t="str">
        <f ca="1">IFERROR(__xludf.DUMMYFUNCTION("""COMPUTED_VALUE"""),"2023-06-01-10202SP661-01")</f>
        <v>2023-06-01-10202SP661-01</v>
      </c>
      <c r="G3882" s="164" t="str">
        <f ca="1">IFERROR(__xludf.DUMMYFUNCTION("""COMPUTED_VALUE"""),"no plate available")</f>
        <v>no plate available</v>
      </c>
      <c r="H3882" s="164" t="str">
        <f ca="1">IFERROR(__xludf.DUMMYFUNCTION("""COMPUTED_VALUE"""),"ALVIN M. NARBOADA")</f>
        <v>ALVIN M. NARBOADA</v>
      </c>
      <c r="I3882" s="164" t="str">
        <f ca="1">IFERROR(__xludf.DUMMYFUNCTION("""COMPUTED_VALUE"""),"SARPT")</f>
        <v>SARPT</v>
      </c>
      <c r="J3882" s="164" t="str">
        <f ca="1">IFERROR(__xludf.DUMMYFUNCTION("""COMPUTED_VALUE"""),"DARCO PTR 2023-04-013S / DARRO PTR 2023-03-SP-012 / PAR 2023-04-004D")</f>
        <v>DARCO PTR 2023-04-013S / DARRO PTR 2023-03-SP-012 / PAR 2023-04-004D</v>
      </c>
      <c r="K3882" s="164" t="str">
        <f ca="1">IFERROR(__xludf.DUMMYFUNCTION("""COMPUTED_VALUE"""),"ALVIN M. NARBOADA")</f>
        <v>ALVIN M. NARBOADA</v>
      </c>
      <c r="L3882" s="164" t="str">
        <f ca="1">IFERROR(__xludf.DUMMYFUNCTION("""COMPUTED_VALUE"""),"MARO STO. TOMAS")</f>
        <v>MARO STO. TOMAS</v>
      </c>
      <c r="M3882" s="164" t="str">
        <f ca="1">IFERROR(__xludf.DUMMYFUNCTION("""COMPUTED_VALUE"""),"SERVICEABLE")</f>
        <v>SERVICEABLE</v>
      </c>
      <c r="N3882" s="164"/>
    </row>
    <row r="3883" spans="1:14" ht="13.2" hidden="1">
      <c r="A3883" s="164" t="str">
        <f ca="1">IFERROR(__xludf.DUMMYFUNCTION("""COMPUTED_VALUE"""),"Region XI")</f>
        <v>Region XI</v>
      </c>
      <c r="B3883" s="164" t="str">
        <f ca="1">IFERROR(__xludf.DUMMYFUNCTION("""COMPUTED_VALUE"""),"Davao del Norte")</f>
        <v>Davao del Norte</v>
      </c>
      <c r="C3883" s="164" t="str">
        <f ca="1">IFERROR(__xludf.DUMMYFUNCTION("""COMPUTED_VALUE"""),"Motorcycle – (Honda XRL 150)")</f>
        <v>Motorcycle – (Honda XRL 150)</v>
      </c>
      <c r="D3883" s="164" t="str">
        <f ca="1">IFERROR(__xludf.DUMMYFUNCTION("""COMPUTED_VALUE"""),"₱ 124,900.00")</f>
        <v>₱ 124,900.00</v>
      </c>
      <c r="E3883" s="164" t="str">
        <f ca="1">IFERROR(__xludf.DUMMYFUNCTION("""COMPUTED_VALUE"""),"₱ -")</f>
        <v>₱ -</v>
      </c>
      <c r="F3883" s="164" t="str">
        <f ca="1">IFERROR(__xludf.DUMMYFUNCTION("""COMPUTED_VALUE"""),"2023-06-01-10202SP662-01")</f>
        <v>2023-06-01-10202SP662-01</v>
      </c>
      <c r="G3883" s="164" t="str">
        <f ca="1">IFERROR(__xludf.DUMMYFUNCTION("""COMPUTED_VALUE"""),"no plate available")</f>
        <v>no plate available</v>
      </c>
      <c r="H3883" s="164" t="str">
        <f ca="1">IFERROR(__xludf.DUMMYFUNCTION("""COMPUTED_VALUE"""),"BERNARDO S. LAVILLA")</f>
        <v>BERNARDO S. LAVILLA</v>
      </c>
      <c r="I3883" s="164" t="str">
        <f ca="1">IFERROR(__xludf.DUMMYFUNCTION("""COMPUTED_VALUE"""),"SARPT")</f>
        <v>SARPT</v>
      </c>
      <c r="J3883" s="164" t="str">
        <f ca="1">IFERROR(__xludf.DUMMYFUNCTION("""COMPUTED_VALUE"""),"DARCO PTR 2023-04-013S / DARRO PTR 2023-03-SP-012 / PAR 2023-04-005E")</f>
        <v>DARCO PTR 2023-04-013S / DARRO PTR 2023-03-SP-012 / PAR 2023-04-005E</v>
      </c>
      <c r="K3883" s="164" t="str">
        <f ca="1">IFERROR(__xludf.DUMMYFUNCTION("""COMPUTED_VALUE"""),"BERNARDO S. LAVILLA")</f>
        <v>BERNARDO S. LAVILLA</v>
      </c>
      <c r="L3883" s="164" t="str">
        <f ca="1">IFERROR(__xludf.DUMMYFUNCTION("""COMPUTED_VALUE"""),"MARO B.E. DUJALI")</f>
        <v>MARO B.E. DUJALI</v>
      </c>
      <c r="M3883" s="164" t="str">
        <f ca="1">IFERROR(__xludf.DUMMYFUNCTION("""COMPUTED_VALUE"""),"SERVICEABLE")</f>
        <v>SERVICEABLE</v>
      </c>
      <c r="N3883" s="164"/>
    </row>
    <row r="3884" spans="1:14" ht="13.2" hidden="1">
      <c r="A3884" s="164" t="str">
        <f ca="1">IFERROR(__xludf.DUMMYFUNCTION("""COMPUTED_VALUE"""),"Region XI")</f>
        <v>Region XI</v>
      </c>
      <c r="B3884" s="164" t="str">
        <f ca="1">IFERROR(__xludf.DUMMYFUNCTION("""COMPUTED_VALUE"""),"Davao del Norte")</f>
        <v>Davao del Norte</v>
      </c>
      <c r="C3884" s="164" t="str">
        <f ca="1">IFERROR(__xludf.DUMMYFUNCTION("""COMPUTED_VALUE"""),"Motorcycle – (Honda XRL 150)")</f>
        <v>Motorcycle – (Honda XRL 150)</v>
      </c>
      <c r="D3884" s="164" t="str">
        <f ca="1">IFERROR(__xludf.DUMMYFUNCTION("""COMPUTED_VALUE"""),"₱ 124,900.00")</f>
        <v>₱ 124,900.00</v>
      </c>
      <c r="E3884" s="164" t="str">
        <f ca="1">IFERROR(__xludf.DUMMYFUNCTION("""COMPUTED_VALUE"""),"₱ -")</f>
        <v>₱ -</v>
      </c>
      <c r="F3884" s="164" t="str">
        <f ca="1">IFERROR(__xludf.DUMMYFUNCTION("""COMPUTED_VALUE"""),"2023-06-01-10202SP663-01")</f>
        <v>2023-06-01-10202SP663-01</v>
      </c>
      <c r="G3884" s="164" t="str">
        <f ca="1">IFERROR(__xludf.DUMMYFUNCTION("""COMPUTED_VALUE"""),"no plate available")</f>
        <v>no plate available</v>
      </c>
      <c r="H3884" s="164" t="str">
        <f ca="1">IFERROR(__xludf.DUMMYFUNCTION("""COMPUTED_VALUE"""),"ABMER D. MACAPENDEG")</f>
        <v>ABMER D. MACAPENDEG</v>
      </c>
      <c r="I3884" s="164" t="str">
        <f ca="1">IFERROR(__xludf.DUMMYFUNCTION("""COMPUTED_VALUE"""),"ARPO I")</f>
        <v>ARPO I</v>
      </c>
      <c r="J3884" s="164" t="str">
        <f ca="1">IFERROR(__xludf.DUMMYFUNCTION("""COMPUTED_VALUE"""),"DARCO PTR 2023-04-013S / DARRO PTR 2023-03-SP-012 / PAR 2023-04-006F")</f>
        <v>DARCO PTR 2023-04-013S / DARRO PTR 2023-03-SP-012 / PAR 2023-04-006F</v>
      </c>
      <c r="K3884" s="164" t="str">
        <f ca="1">IFERROR(__xludf.DUMMYFUNCTION("""COMPUTED_VALUE"""),"ABMER D. MACAPENDEG")</f>
        <v>ABMER D. MACAPENDEG</v>
      </c>
      <c r="L3884" s="164" t="str">
        <f ca="1">IFERROR(__xludf.DUMMYFUNCTION("""COMPUTED_VALUE"""),"MARO CARMEN")</f>
        <v>MARO CARMEN</v>
      </c>
      <c r="M3884" s="164" t="str">
        <f ca="1">IFERROR(__xludf.DUMMYFUNCTION("""COMPUTED_VALUE"""),"SERVICEABLE")</f>
        <v>SERVICEABLE</v>
      </c>
      <c r="N3884" s="164"/>
    </row>
    <row r="3885" spans="1:14" ht="13.2" hidden="1">
      <c r="A3885" s="164" t="str">
        <f ca="1">IFERROR(__xludf.DUMMYFUNCTION("""COMPUTED_VALUE"""),"Region XI")</f>
        <v>Region XI</v>
      </c>
      <c r="B3885" s="164" t="str">
        <f ca="1">IFERROR(__xludf.DUMMYFUNCTION("""COMPUTED_VALUE"""),"Davao del Norte")</f>
        <v>Davao del Norte</v>
      </c>
      <c r="C3885" s="164" t="str">
        <f ca="1">IFERROR(__xludf.DUMMYFUNCTION("""COMPUTED_VALUE"""),"Motorcycle – (Honda XRL 150)")</f>
        <v>Motorcycle – (Honda XRL 150)</v>
      </c>
      <c r="D3885" s="164" t="str">
        <f ca="1">IFERROR(__xludf.DUMMYFUNCTION("""COMPUTED_VALUE"""),"₱ 124,900.00")</f>
        <v>₱ 124,900.00</v>
      </c>
      <c r="E3885" s="164" t="str">
        <f ca="1">IFERROR(__xludf.DUMMYFUNCTION("""COMPUTED_VALUE"""),"₱ -")</f>
        <v>₱ -</v>
      </c>
      <c r="F3885" s="164" t="str">
        <f ca="1">IFERROR(__xludf.DUMMYFUNCTION("""COMPUTED_VALUE"""),"2023-06-01-10202SP664-01")</f>
        <v>2023-06-01-10202SP664-01</v>
      </c>
      <c r="G3885" s="164" t="str">
        <f ca="1">IFERROR(__xludf.DUMMYFUNCTION("""COMPUTED_VALUE"""),"no plate available")</f>
        <v>no plate available</v>
      </c>
      <c r="H3885" s="164" t="str">
        <f ca="1">IFERROR(__xludf.DUMMYFUNCTION("""COMPUTED_VALUE"""),"RENN MARR C. MANINGO")</f>
        <v>RENN MARR C. MANINGO</v>
      </c>
      <c r="I3885" s="164" t="str">
        <f ca="1">IFERROR(__xludf.DUMMYFUNCTION("""COMPUTED_VALUE"""),"ARPT")</f>
        <v>ARPT</v>
      </c>
      <c r="J3885" s="164" t="str">
        <f ca="1">IFERROR(__xludf.DUMMYFUNCTION("""COMPUTED_VALUE"""),"DARCO PTR 2023-04-013S / DARRO PTR 2023-03-SP-012 / PAR 2023-04-007G")</f>
        <v>DARCO PTR 2023-04-013S / DARRO PTR 2023-03-SP-012 / PAR 2023-04-007G</v>
      </c>
      <c r="K3885" s="164" t="str">
        <f ca="1">IFERROR(__xludf.DUMMYFUNCTION("""COMPUTED_VALUE"""),"RENN MARR C. MANINGO")</f>
        <v>RENN MARR C. MANINGO</v>
      </c>
      <c r="L3885" s="164" t="str">
        <f ca="1">IFERROR(__xludf.DUMMYFUNCTION("""COMPUTED_VALUE"""),"MARO ASUNCION")</f>
        <v>MARO ASUNCION</v>
      </c>
      <c r="M3885" s="164" t="str">
        <f ca="1">IFERROR(__xludf.DUMMYFUNCTION("""COMPUTED_VALUE"""),"SERVICEABLE")</f>
        <v>SERVICEABLE</v>
      </c>
      <c r="N3885" s="164"/>
    </row>
    <row r="3886" spans="1:14" ht="13.2" hidden="1">
      <c r="A3886" s="164" t="str">
        <f ca="1">IFERROR(__xludf.DUMMYFUNCTION("""COMPUTED_VALUE"""),"Region XI")</f>
        <v>Region XI</v>
      </c>
      <c r="B3886" s="164" t="str">
        <f ca="1">IFERROR(__xludf.DUMMYFUNCTION("""COMPUTED_VALUE"""),"Davao del Norte")</f>
        <v>Davao del Norte</v>
      </c>
      <c r="C3886" s="164" t="str">
        <f ca="1">IFERROR(__xludf.DUMMYFUNCTION("""COMPUTED_VALUE"""),"Motorcycle – (Honda XRL 150)")</f>
        <v>Motorcycle – (Honda XRL 150)</v>
      </c>
      <c r="D3886" s="164" t="str">
        <f ca="1">IFERROR(__xludf.DUMMYFUNCTION("""COMPUTED_VALUE"""),"₱ 124,900.00")</f>
        <v>₱ 124,900.00</v>
      </c>
      <c r="E3886" s="164" t="str">
        <f ca="1">IFERROR(__xludf.DUMMYFUNCTION("""COMPUTED_VALUE"""),"₱ -")</f>
        <v>₱ -</v>
      </c>
      <c r="F3886" s="164" t="str">
        <f ca="1">IFERROR(__xludf.DUMMYFUNCTION("""COMPUTED_VALUE"""),"2023-06-01-10202SP665-01")</f>
        <v>2023-06-01-10202SP665-01</v>
      </c>
      <c r="G3886" s="164" t="str">
        <f ca="1">IFERROR(__xludf.DUMMYFUNCTION("""COMPUTED_VALUE"""),"no plate available")</f>
        <v>no plate available</v>
      </c>
      <c r="H3886" s="164" t="str">
        <f ca="1">IFERROR(__xludf.DUMMYFUNCTION("""COMPUTED_VALUE"""),"CRES Q. LAMOSTE")</f>
        <v>CRES Q. LAMOSTE</v>
      </c>
      <c r="I3886" s="164" t="str">
        <f ca="1">IFERROR(__xludf.DUMMYFUNCTION("""COMPUTED_VALUE"""),"SARPT")</f>
        <v>SARPT</v>
      </c>
      <c r="J3886" s="164" t="str">
        <f ca="1">IFERROR(__xludf.DUMMYFUNCTION("""COMPUTED_VALUE"""),"DARCO PTR 2023-04-013S / DARRO PTR 2023-03-SP-012 / PAR 2023-04-008H")</f>
        <v>DARCO PTR 2023-04-013S / DARRO PTR 2023-03-SP-012 / PAR 2023-04-008H</v>
      </c>
      <c r="K3886" s="164" t="str">
        <f ca="1">IFERROR(__xludf.DUMMYFUNCTION("""COMPUTED_VALUE"""),"CRES Q. LAMOSTE")</f>
        <v>CRES Q. LAMOSTE</v>
      </c>
      <c r="L3886" s="164" t="str">
        <f ca="1">IFERROR(__xludf.DUMMYFUNCTION("""COMPUTED_VALUE"""),"MARO SAN ISIDRO")</f>
        <v>MARO SAN ISIDRO</v>
      </c>
      <c r="M3886" s="164" t="str">
        <f ca="1">IFERROR(__xludf.DUMMYFUNCTION("""COMPUTED_VALUE"""),"SERVICEABLE")</f>
        <v>SERVICEABLE</v>
      </c>
      <c r="N3886" s="164"/>
    </row>
    <row r="3887" spans="1:14" ht="13.2" hidden="1">
      <c r="A3887" s="164" t="str">
        <f ca="1">IFERROR(__xludf.DUMMYFUNCTION("""COMPUTED_VALUE"""),"Region XI")</f>
        <v>Region XI</v>
      </c>
      <c r="B3887" s="164" t="str">
        <f ca="1">IFERROR(__xludf.DUMMYFUNCTION("""COMPUTED_VALUE"""),"Davao del Norte")</f>
        <v>Davao del Norte</v>
      </c>
      <c r="C3887" s="164" t="str">
        <f ca="1">IFERROR(__xludf.DUMMYFUNCTION("""COMPUTED_VALUE"""),"Motorcycle – (Honda XRL 150)")</f>
        <v>Motorcycle – (Honda XRL 150)</v>
      </c>
      <c r="D3887" s="164" t="str">
        <f ca="1">IFERROR(__xludf.DUMMYFUNCTION("""COMPUTED_VALUE"""),"₱ 124,900.00")</f>
        <v>₱ 124,900.00</v>
      </c>
      <c r="E3887" s="164" t="str">
        <f ca="1">IFERROR(__xludf.DUMMYFUNCTION("""COMPUTED_VALUE"""),"₱ -")</f>
        <v>₱ -</v>
      </c>
      <c r="F3887" s="164" t="str">
        <f ca="1">IFERROR(__xludf.DUMMYFUNCTION("""COMPUTED_VALUE"""),"2023-06-01-10202SP666-01")</f>
        <v>2023-06-01-10202SP666-01</v>
      </c>
      <c r="G3887" s="164" t="str">
        <f ca="1">IFERROR(__xludf.DUMMYFUNCTION("""COMPUTED_VALUE"""),"no plate available")</f>
        <v>no plate available</v>
      </c>
      <c r="H3887" s="164" t="str">
        <f ca="1">IFERROR(__xludf.DUMMYFUNCTION("""COMPUTED_VALUE"""),"NELIA C. GANIERA")</f>
        <v>NELIA C. GANIERA</v>
      </c>
      <c r="I3887" s="164" t="str">
        <f ca="1">IFERROR(__xludf.DUMMYFUNCTION("""COMPUTED_VALUE"""),"SARPT")</f>
        <v>SARPT</v>
      </c>
      <c r="J3887" s="164" t="str">
        <f ca="1">IFERROR(__xludf.DUMMYFUNCTION("""COMPUTED_VALUE"""),"DARCO PTR 2023-04-013S / DARRO PTR 2023-03-SP-012 / PAR 2023-04-009I")</f>
        <v>DARCO PTR 2023-04-013S / DARRO PTR 2023-03-SP-012 / PAR 2023-04-009I</v>
      </c>
      <c r="K3887" s="164" t="str">
        <f ca="1">IFERROR(__xludf.DUMMYFUNCTION("""COMPUTED_VALUE"""),"NELIA C. GANIERA")</f>
        <v>NELIA C. GANIERA</v>
      </c>
      <c r="L3887" s="164" t="str">
        <f ca="1">IFERROR(__xludf.DUMMYFUNCTION("""COMPUTED_VALUE"""),"MARO KAPALONG")</f>
        <v>MARO KAPALONG</v>
      </c>
      <c r="M3887" s="164" t="str">
        <f ca="1">IFERROR(__xludf.DUMMYFUNCTION("""COMPUTED_VALUE"""),"SERVICEABLE")</f>
        <v>SERVICEABLE</v>
      </c>
      <c r="N3887" s="164"/>
    </row>
    <row r="3888" spans="1:14" ht="13.2" hidden="1">
      <c r="A3888" s="164" t="str">
        <f ca="1">IFERROR(__xludf.DUMMYFUNCTION("""COMPUTED_VALUE"""),"Region XI")</f>
        <v>Region XI</v>
      </c>
      <c r="B3888" s="164" t="str">
        <f ca="1">IFERROR(__xludf.DUMMYFUNCTION("""COMPUTED_VALUE"""),"Davao del Norte")</f>
        <v>Davao del Norte</v>
      </c>
      <c r="C3888" s="164" t="str">
        <f ca="1">IFERROR(__xludf.DUMMYFUNCTION("""COMPUTED_VALUE"""),"Motorcycle – (Honda XRL 150)")</f>
        <v>Motorcycle – (Honda XRL 150)</v>
      </c>
      <c r="D3888" s="164" t="str">
        <f ca="1">IFERROR(__xludf.DUMMYFUNCTION("""COMPUTED_VALUE"""),"₱ 124,900.00")</f>
        <v>₱ 124,900.00</v>
      </c>
      <c r="E3888" s="164" t="str">
        <f ca="1">IFERROR(__xludf.DUMMYFUNCTION("""COMPUTED_VALUE"""),"₱ -")</f>
        <v>₱ -</v>
      </c>
      <c r="F3888" s="164" t="str">
        <f ca="1">IFERROR(__xludf.DUMMYFUNCTION("""COMPUTED_VALUE"""),"2023-06-01-10202SP667-01")</f>
        <v>2023-06-01-10202SP667-01</v>
      </c>
      <c r="G3888" s="164" t="str">
        <f ca="1">IFERROR(__xludf.DUMMYFUNCTION("""COMPUTED_VALUE"""),"no plate available")</f>
        <v>no plate available</v>
      </c>
      <c r="H3888" s="164" t="str">
        <f ca="1">IFERROR(__xludf.DUMMYFUNCTION("""COMPUTED_VALUE"""),"CARL A. QUINDAO")</f>
        <v>CARL A. QUINDAO</v>
      </c>
      <c r="I3888" s="164" t="str">
        <f ca="1">IFERROR(__xludf.DUMMYFUNCTION("""COMPUTED_VALUE"""),"ARPT")</f>
        <v>ARPT</v>
      </c>
      <c r="J3888" s="164" t="str">
        <f ca="1">IFERROR(__xludf.DUMMYFUNCTION("""COMPUTED_VALUE"""),"DARCO PTR 2023-04-013S / DARRO PTR 2023-03-SP-012 / PAR 2023-04-012L")</f>
        <v>DARCO PTR 2023-04-013S / DARRO PTR 2023-03-SP-012 / PAR 2023-04-012L</v>
      </c>
      <c r="K3888" s="164" t="str">
        <f ca="1">IFERROR(__xludf.DUMMYFUNCTION("""COMPUTED_VALUE"""),"CARL A. QUINDAO")</f>
        <v>CARL A. QUINDAO</v>
      </c>
      <c r="L3888" s="164" t="str">
        <f ca="1">IFERROR(__xludf.DUMMYFUNCTION("""COMPUTED_VALUE"""),"MARO NEW CORELLA")</f>
        <v>MARO NEW CORELLA</v>
      </c>
      <c r="M3888" s="164" t="str">
        <f ca="1">IFERROR(__xludf.DUMMYFUNCTION("""COMPUTED_VALUE"""),"SERVICEABLE")</f>
        <v>SERVICEABLE</v>
      </c>
      <c r="N3888" s="164"/>
    </row>
    <row r="3889" spans="1:14" ht="13.2" hidden="1">
      <c r="A3889" s="164" t="str">
        <f ca="1">IFERROR(__xludf.DUMMYFUNCTION("""COMPUTED_VALUE"""),"Region XI")</f>
        <v>Region XI</v>
      </c>
      <c r="B3889" s="164" t="str">
        <f ca="1">IFERROR(__xludf.DUMMYFUNCTION("""COMPUTED_VALUE"""),"Davao del Norte")</f>
        <v>Davao del Norte</v>
      </c>
      <c r="C3889" s="164" t="str">
        <f ca="1">IFERROR(__xludf.DUMMYFUNCTION("""COMPUTED_VALUE"""),"Motorcycle – (Honda XRL 150)")</f>
        <v>Motorcycle – (Honda XRL 150)</v>
      </c>
      <c r="D3889" s="164" t="str">
        <f ca="1">IFERROR(__xludf.DUMMYFUNCTION("""COMPUTED_VALUE"""),"₱ 124,900.00")</f>
        <v>₱ 124,900.00</v>
      </c>
      <c r="E3889" s="164" t="str">
        <f ca="1">IFERROR(__xludf.DUMMYFUNCTION("""COMPUTED_VALUE"""),"₱ -")</f>
        <v>₱ -</v>
      </c>
      <c r="F3889" s="164" t="str">
        <f ca="1">IFERROR(__xludf.DUMMYFUNCTION("""COMPUTED_VALUE"""),"2023-06-01-10202SP668-01")</f>
        <v>2023-06-01-10202SP668-01</v>
      </c>
      <c r="G3889" s="164" t="str">
        <f ca="1">IFERROR(__xludf.DUMMYFUNCTION("""COMPUTED_VALUE"""),"no plate available")</f>
        <v>no plate available</v>
      </c>
      <c r="H3889" s="164" t="str">
        <f ca="1">IFERROR(__xludf.DUMMYFUNCTION("""COMPUTED_VALUE"""),"REX S. PRESILDA")</f>
        <v>REX S. PRESILDA</v>
      </c>
      <c r="I3889" s="164" t="str">
        <f ca="1">IFERROR(__xludf.DUMMYFUNCTION("""COMPUTED_VALUE"""),"SARPT")</f>
        <v>SARPT</v>
      </c>
      <c r="J3889" s="164" t="str">
        <f ca="1">IFERROR(__xludf.DUMMYFUNCTION("""COMPUTED_VALUE"""),"DARCO PTR 2023-04-013S / DARRO PTR 2023-03-SP-012 / PAR 2023-04-011J")</f>
        <v>DARCO PTR 2023-04-013S / DARRO PTR 2023-03-SP-012 / PAR 2023-04-011J</v>
      </c>
      <c r="K3889" s="164" t="str">
        <f ca="1">IFERROR(__xludf.DUMMYFUNCTION("""COMPUTED_VALUE"""),"REX S. PRESILDA")</f>
        <v>REX S. PRESILDA</v>
      </c>
      <c r="L3889" s="164" t="str">
        <f ca="1">IFERROR(__xludf.DUMMYFUNCTION("""COMPUTED_VALUE"""),"MARO PANABO CITY")</f>
        <v>MARO PANABO CITY</v>
      </c>
      <c r="M3889" s="164" t="str">
        <f ca="1">IFERROR(__xludf.DUMMYFUNCTION("""COMPUTED_VALUE"""),"SERVICEABLE")</f>
        <v>SERVICEABLE</v>
      </c>
      <c r="N3889" s="164"/>
    </row>
    <row r="3890" spans="1:14" ht="13.2" hidden="1">
      <c r="A3890" s="164" t="str">
        <f ca="1">IFERROR(__xludf.DUMMYFUNCTION("""COMPUTED_VALUE"""),"Region XI")</f>
        <v>Region XI</v>
      </c>
      <c r="B3890" s="164" t="str">
        <f ca="1">IFERROR(__xludf.DUMMYFUNCTION("""COMPUTED_VALUE"""),"Davao del Norte")</f>
        <v>Davao del Norte</v>
      </c>
      <c r="C3890" s="164" t="str">
        <f ca="1">IFERROR(__xludf.DUMMYFUNCTION("""COMPUTED_VALUE"""),"Motorcycle – (Honda XRL 150)")</f>
        <v>Motorcycle – (Honda XRL 150)</v>
      </c>
      <c r="D3890" s="164" t="str">
        <f ca="1">IFERROR(__xludf.DUMMYFUNCTION("""COMPUTED_VALUE"""),"₱ 124,900.00")</f>
        <v>₱ 124,900.00</v>
      </c>
      <c r="E3890" s="164" t="str">
        <f ca="1">IFERROR(__xludf.DUMMYFUNCTION("""COMPUTED_VALUE"""),"₱ -")</f>
        <v>₱ -</v>
      </c>
      <c r="F3890" s="164" t="str">
        <f ca="1">IFERROR(__xludf.DUMMYFUNCTION("""COMPUTED_VALUE"""),"2023-06-01-10202SP669-01")</f>
        <v>2023-06-01-10202SP669-01</v>
      </c>
      <c r="G3890" s="164" t="str">
        <f ca="1">IFERROR(__xludf.DUMMYFUNCTION("""COMPUTED_VALUE"""),"no plate available")</f>
        <v>no plate available</v>
      </c>
      <c r="H3890" s="164" t="str">
        <f ca="1">IFERROR(__xludf.DUMMYFUNCTION("""COMPUTED_VALUE"""),"ALBERT D. ORPIANO")</f>
        <v>ALBERT D. ORPIANO</v>
      </c>
      <c r="I3890" s="164" t="str">
        <f ca="1">IFERROR(__xludf.DUMMYFUNCTION("""COMPUTED_VALUE"""),"ARPT")</f>
        <v>ARPT</v>
      </c>
      <c r="J3890" s="164" t="str">
        <f ca="1">IFERROR(__xludf.DUMMYFUNCTION("""COMPUTED_VALUE"""),"DARCO PTR 2023-04-013S / DARRO PTR 2023-03-SP-012 / PAR 2023-04-010K")</f>
        <v>DARCO PTR 2023-04-013S / DARRO PTR 2023-03-SP-012 / PAR 2023-04-010K</v>
      </c>
      <c r="K3890" s="164" t="str">
        <f ca="1">IFERROR(__xludf.DUMMYFUNCTION("""COMPUTED_VALUE"""),"ALBERT D. ORPIANO")</f>
        <v>ALBERT D. ORPIANO</v>
      </c>
      <c r="L3890" s="164" t="str">
        <f ca="1">IFERROR(__xludf.DUMMYFUNCTION("""COMPUTED_VALUE"""),"MARO IGACOS")</f>
        <v>MARO IGACOS</v>
      </c>
      <c r="M3890" s="164" t="str">
        <f ca="1">IFERROR(__xludf.DUMMYFUNCTION("""COMPUTED_VALUE"""),"SERVICEABLE")</f>
        <v>SERVICEABLE</v>
      </c>
      <c r="N3890" s="164"/>
    </row>
    <row r="3891" spans="1:14" ht="13.2" hidden="1">
      <c r="A3891" s="164" t="str">
        <f ca="1">IFERROR(__xludf.DUMMYFUNCTION("""COMPUTED_VALUE"""),"Region XI")</f>
        <v>Region XI</v>
      </c>
      <c r="B3891" s="164" t="str">
        <f ca="1">IFERROR(__xludf.DUMMYFUNCTION("""COMPUTED_VALUE"""),"Davao del Norte")</f>
        <v>Davao del Norte</v>
      </c>
      <c r="C3891" s="164" t="str">
        <f ca="1">IFERROR(__xludf.DUMMYFUNCTION("""COMPUTED_VALUE"""),"Motorcycle – (Honda XRL 150)")</f>
        <v>Motorcycle – (Honda XRL 150)</v>
      </c>
      <c r="D3891" s="164" t="str">
        <f ca="1">IFERROR(__xludf.DUMMYFUNCTION("""COMPUTED_VALUE"""),"₱ 124,900.00")</f>
        <v>₱ 124,900.00</v>
      </c>
      <c r="E3891" s="164" t="str">
        <f ca="1">IFERROR(__xludf.DUMMYFUNCTION("""COMPUTED_VALUE"""),"₱ -")</f>
        <v>₱ -</v>
      </c>
      <c r="F3891" s="164" t="str">
        <f ca="1">IFERROR(__xludf.DUMMYFUNCTION("""COMPUTED_VALUE"""),"2023-06-01-10202SP670-01")</f>
        <v>2023-06-01-10202SP670-01</v>
      </c>
      <c r="G3891" s="164" t="str">
        <f ca="1">IFERROR(__xludf.DUMMYFUNCTION("""COMPUTED_VALUE"""),"no plate available")</f>
        <v>no plate available</v>
      </c>
      <c r="H3891" s="164" t="str">
        <f ca="1">IFERROR(__xludf.DUMMYFUNCTION("""COMPUTED_VALUE"""),"ARCEL E. NEROSA")</f>
        <v>ARCEL E. NEROSA</v>
      </c>
      <c r="I3891" s="164" t="str">
        <f ca="1">IFERROR(__xludf.DUMMYFUNCTION("""COMPUTED_VALUE"""),"ACCOUNTANT II")</f>
        <v>ACCOUNTANT II</v>
      </c>
      <c r="J3891" s="164" t="str">
        <f ca="1">IFERROR(__xludf.DUMMYFUNCTION("""COMPUTED_VALUE"""),"DARCO PTR 2023-04-013S / DARRO PTR 2023-03-SP-012 / PAR 2023-04-012M")</f>
        <v>DARCO PTR 2023-04-013S / DARRO PTR 2023-03-SP-012 / PAR 2023-04-012M</v>
      </c>
      <c r="K3891" s="164" t="str">
        <f ca="1">IFERROR(__xludf.DUMMYFUNCTION("""COMPUTED_VALUE"""),"ARCEL E. NEROSA")</f>
        <v>ARCEL E. NEROSA</v>
      </c>
      <c r="L3891" s="164" t="str">
        <f ca="1">IFERROR(__xludf.DUMMYFUNCTION("""COMPUTED_VALUE"""),"ACOOUNTING SECTION")</f>
        <v>ACOOUNTING SECTION</v>
      </c>
      <c r="M3891" s="164" t="str">
        <f ca="1">IFERROR(__xludf.DUMMYFUNCTION("""COMPUTED_VALUE"""),"SERVICEABLE")</f>
        <v>SERVICEABLE</v>
      </c>
      <c r="N3891" s="164"/>
    </row>
    <row r="3892" spans="1:14" ht="13.2" hidden="1">
      <c r="A3892" s="164" t="str">
        <f ca="1">IFERROR(__xludf.DUMMYFUNCTION("""COMPUTED_VALUE"""),"Region XI")</f>
        <v>Region XI</v>
      </c>
      <c r="B3892" s="164" t="str">
        <f ca="1">IFERROR(__xludf.DUMMYFUNCTION("""COMPUTED_VALUE"""),"Davao del Norte")</f>
        <v>Davao del Norte</v>
      </c>
      <c r="C3892" s="164" t="str">
        <f ca="1">IFERROR(__xludf.DUMMYFUNCTION("""COMPUTED_VALUE"""),"Double Cabin Pick-up Vehicles – Mitsubishi Strada")</f>
        <v>Double Cabin Pick-up Vehicles – Mitsubishi Strada</v>
      </c>
      <c r="D3892" s="164" t="str">
        <f ca="1">IFERROR(__xludf.DUMMYFUNCTION("""COMPUTED_VALUE"""),"₱ 1,752,400.00")</f>
        <v>₱ 1,752,400.00</v>
      </c>
      <c r="E3892" s="164" t="str">
        <f ca="1">IFERROR(__xludf.DUMMYFUNCTION("""COMPUTED_VALUE"""),"₱ -")</f>
        <v>₱ -</v>
      </c>
      <c r="F3892" s="164" t="str">
        <f ca="1">IFERROR(__xludf.DUMMYFUNCTION("""COMPUTED_VALUE"""),"2023-06-01-10201SP124-01")</f>
        <v>2023-06-01-10201SP124-01</v>
      </c>
      <c r="G3892" s="164" t="str">
        <f ca="1">IFERROR(__xludf.DUMMYFUNCTION("""COMPUTED_VALUE"""),"SNC-1070")</f>
        <v>SNC-1070</v>
      </c>
      <c r="H3892" s="164" t="str">
        <f ca="1">IFERROR(__xludf.DUMMYFUNCTION("""COMPUTED_VALUE"""),"CRISOSTOMO N. BERNLDEZ")</f>
        <v>CRISOSTOMO N. BERNLDEZ</v>
      </c>
      <c r="I3892" s="164" t="str">
        <f ca="1">IFERROR(__xludf.DUMMYFUNCTION("""COMPUTED_VALUE"""),"PARO II")</f>
        <v>PARO II</v>
      </c>
      <c r="J3892" s="164" t="str">
        <f ca="1">IFERROR(__xludf.DUMMYFUNCTION("""COMPUTED_VALUE"""),"2023-10-SP-032")</f>
        <v>2023-10-SP-032</v>
      </c>
      <c r="K3892" s="164" t="str">
        <f ca="1">IFERROR(__xludf.DUMMYFUNCTION("""COMPUTED_VALUE"""),"CRISOSTOMO N. BERNLDEZ")</f>
        <v>CRISOSTOMO N. BERNLDEZ</v>
      </c>
      <c r="L3892" s="164" t="str">
        <f ca="1">IFERROR(__xludf.DUMMYFUNCTION("""COMPUTED_VALUE"""),"OPARO")</f>
        <v>OPARO</v>
      </c>
      <c r="M3892" s="164" t="str">
        <f ca="1">IFERROR(__xludf.DUMMYFUNCTION("""COMPUTED_VALUE"""),"SERVICEABLE")</f>
        <v>SERVICEABLE</v>
      </c>
      <c r="N3892" s="164"/>
    </row>
    <row r="3893" spans="1:14" ht="13.2" hidden="1">
      <c r="A3893" s="164" t="str">
        <f ca="1">IFERROR(__xludf.DUMMYFUNCTION("""COMPUTED_VALUE"""),"Region XI")</f>
        <v>Region XI</v>
      </c>
      <c r="B3893" s="164" t="str">
        <f ca="1">IFERROR(__xludf.DUMMYFUNCTION("""COMPUTED_VALUE"""),"Davao del Sur")</f>
        <v>Davao del Sur</v>
      </c>
      <c r="C3893" s="164" t="str">
        <f ca="1">IFERROR(__xludf.DUMMYFUNCTION("""COMPUTED_VALUE"""),"Motorcycle – (Honda XRL 150)")</f>
        <v>Motorcycle – (Honda XRL 150)</v>
      </c>
      <c r="D3893" s="164" t="str">
        <f ca="1">IFERROR(__xludf.DUMMYFUNCTION("""COMPUTED_VALUE"""),"₱ 124,900.00")</f>
        <v>₱ 124,900.00</v>
      </c>
      <c r="E3893" s="164" t="str">
        <f ca="1">IFERROR(__xludf.DUMMYFUNCTION("""COMPUTED_VALUE"""),"₱ -")</f>
        <v>₱ -</v>
      </c>
      <c r="F3893" s="164" t="str">
        <f ca="1">IFERROR(__xludf.DUMMYFUNCTION("""COMPUTED_VALUE"""),"2023-06-01-10202SP617-01")</f>
        <v>2023-06-01-10202SP617-01</v>
      </c>
      <c r="G3893" s="164" t="str">
        <f ca="1">IFERROR(__xludf.DUMMYFUNCTION("""COMPUTED_VALUE"""),"no plate available")</f>
        <v>no plate available</v>
      </c>
      <c r="H3893" s="164" t="str">
        <f ca="1">IFERROR(__xludf.DUMMYFUNCTION("""COMPUTED_VALUE"""),"RAMIL C. NONOL")</f>
        <v>RAMIL C. NONOL</v>
      </c>
      <c r="I3893" s="164" t="str">
        <f ca="1">IFERROR(__xludf.DUMMYFUNCTION("""COMPUTED_VALUE"""),"ENGINEERING AIDE")</f>
        <v>ENGINEERING AIDE</v>
      </c>
      <c r="J3893" s="164" t="str">
        <f ca="1">IFERROR(__xludf.DUMMYFUNCTION("""COMPUTED_VALUE"""),"DARCO PTR 2023-04-013S / DARRO PTR 2023-03-SP-008 / PAR 2023-04-001")</f>
        <v>DARCO PTR 2023-04-013S / DARRO PTR 2023-03-SP-008 / PAR 2023-04-001</v>
      </c>
      <c r="K3893" s="164" t="str">
        <f ca="1">IFERROR(__xludf.DUMMYFUNCTION("""COMPUTED_VALUE"""),"RAMIL C. NONOL")</f>
        <v>RAMIL C. NONOL</v>
      </c>
      <c r="L3893" s="164" t="str">
        <f ca="1">IFERROR(__xludf.DUMMYFUNCTION("""COMPUTED_VALUE"""),"LTI")</f>
        <v>LTI</v>
      </c>
      <c r="M3893" s="164" t="str">
        <f ca="1">IFERROR(__xludf.DUMMYFUNCTION("""COMPUTED_VALUE"""),"SERVICEABLE")</f>
        <v>SERVICEABLE</v>
      </c>
      <c r="N3893" s="164"/>
    </row>
    <row r="3894" spans="1:14" ht="13.2" hidden="1">
      <c r="A3894" s="164" t="str">
        <f ca="1">IFERROR(__xludf.DUMMYFUNCTION("""COMPUTED_VALUE"""),"Region XI")</f>
        <v>Region XI</v>
      </c>
      <c r="B3894" s="164" t="str">
        <f ca="1">IFERROR(__xludf.DUMMYFUNCTION("""COMPUTED_VALUE"""),"Davao del Sur")</f>
        <v>Davao del Sur</v>
      </c>
      <c r="C3894" s="164" t="str">
        <f ca="1">IFERROR(__xludf.DUMMYFUNCTION("""COMPUTED_VALUE"""),"Motorcycle – (Honda XRL 150)")</f>
        <v>Motorcycle – (Honda XRL 150)</v>
      </c>
      <c r="D3894" s="164" t="str">
        <f ca="1">IFERROR(__xludf.DUMMYFUNCTION("""COMPUTED_VALUE"""),"₱ 124,900.00")</f>
        <v>₱ 124,900.00</v>
      </c>
      <c r="E3894" s="164" t="str">
        <f ca="1">IFERROR(__xludf.DUMMYFUNCTION("""COMPUTED_VALUE"""),"₱ -")</f>
        <v>₱ -</v>
      </c>
      <c r="F3894" s="164" t="str">
        <f ca="1">IFERROR(__xludf.DUMMYFUNCTION("""COMPUTED_VALUE"""),"2023-06-01-10202SP618-01")</f>
        <v>2023-06-01-10202SP618-01</v>
      </c>
      <c r="G3894" s="164" t="str">
        <f ca="1">IFERROR(__xludf.DUMMYFUNCTION("""COMPUTED_VALUE"""),"no plate available")</f>
        <v>no plate available</v>
      </c>
      <c r="H3894" s="164" t="str">
        <f ca="1">IFERROR(__xludf.DUMMYFUNCTION("""COMPUTED_VALUE"""),"RAZEL A. MAGHARI")</f>
        <v>RAZEL A. MAGHARI</v>
      </c>
      <c r="I3894" s="164" t="str">
        <f ca="1">IFERROR(__xludf.DUMMYFUNCTION("""COMPUTED_VALUE"""),"SURVEYMAN")</f>
        <v>SURVEYMAN</v>
      </c>
      <c r="J3894" s="164" t="str">
        <f ca="1">IFERROR(__xludf.DUMMYFUNCTION("""COMPUTED_VALUE"""),"DARCO PTR 2023-04-013S / DARRO PTR 2023-03-SP-008 / PAR 2023-04-002")</f>
        <v>DARCO PTR 2023-04-013S / DARRO PTR 2023-03-SP-008 / PAR 2023-04-002</v>
      </c>
      <c r="K3894" s="164" t="str">
        <f ca="1">IFERROR(__xludf.DUMMYFUNCTION("""COMPUTED_VALUE"""),"RAZEL A. MAGHARI")</f>
        <v>RAZEL A. MAGHARI</v>
      </c>
      <c r="L3894" s="164" t="str">
        <f ca="1">IFERROR(__xludf.DUMMYFUNCTION("""COMPUTED_VALUE"""),"LTI")</f>
        <v>LTI</v>
      </c>
      <c r="M3894" s="164" t="str">
        <f ca="1">IFERROR(__xludf.DUMMYFUNCTION("""COMPUTED_VALUE"""),"SERVICEABLE")</f>
        <v>SERVICEABLE</v>
      </c>
      <c r="N3894" s="164"/>
    </row>
    <row r="3895" spans="1:14" ht="13.2" hidden="1">
      <c r="A3895" s="164" t="str">
        <f ca="1">IFERROR(__xludf.DUMMYFUNCTION("""COMPUTED_VALUE"""),"Region XI")</f>
        <v>Region XI</v>
      </c>
      <c r="B3895" s="164" t="str">
        <f ca="1">IFERROR(__xludf.DUMMYFUNCTION("""COMPUTED_VALUE"""),"Davao del Sur")</f>
        <v>Davao del Sur</v>
      </c>
      <c r="C3895" s="164" t="str">
        <f ca="1">IFERROR(__xludf.DUMMYFUNCTION("""COMPUTED_VALUE"""),"Motorcycle – (Honda XRL 150)")</f>
        <v>Motorcycle – (Honda XRL 150)</v>
      </c>
      <c r="D3895" s="164" t="str">
        <f ca="1">IFERROR(__xludf.DUMMYFUNCTION("""COMPUTED_VALUE"""),"₱ 124,900.00")</f>
        <v>₱ 124,900.00</v>
      </c>
      <c r="E3895" s="164" t="str">
        <f ca="1">IFERROR(__xludf.DUMMYFUNCTION("""COMPUTED_VALUE"""),"₱ -")</f>
        <v>₱ -</v>
      </c>
      <c r="F3895" s="164" t="str">
        <f ca="1">IFERROR(__xludf.DUMMYFUNCTION("""COMPUTED_VALUE"""),"2023-06-01-10202SP619-01")</f>
        <v>2023-06-01-10202SP619-01</v>
      </c>
      <c r="G3895" s="164" t="str">
        <f ca="1">IFERROR(__xludf.DUMMYFUNCTION("""COMPUTED_VALUE"""),"no plate available")</f>
        <v>no plate available</v>
      </c>
      <c r="H3895" s="164" t="str">
        <f ca="1">IFERROR(__xludf.DUMMYFUNCTION("""COMPUTED_VALUE"""),"JOEL B.BAYLA")</f>
        <v>JOEL B.BAYLA</v>
      </c>
      <c r="I3895" s="164" t="str">
        <f ca="1">IFERROR(__xludf.DUMMYFUNCTION("""COMPUTED_VALUE"""),"ARPT")</f>
        <v>ARPT</v>
      </c>
      <c r="J3895" s="164" t="str">
        <f ca="1">IFERROR(__xludf.DUMMYFUNCTION("""COMPUTED_VALUE"""),"DARCO PTR 2023-04-013S / DARRO PTR 2023-03-SP-008 / PAR 2023-04-003")</f>
        <v>DARCO PTR 2023-04-013S / DARRO PTR 2023-03-SP-008 / PAR 2023-04-003</v>
      </c>
      <c r="K3895" s="164" t="str">
        <f ca="1">IFERROR(__xludf.DUMMYFUNCTION("""COMPUTED_VALUE"""),"JOEL B. BAYLA")</f>
        <v>JOEL B. BAYLA</v>
      </c>
      <c r="L3895" s="164" t="str">
        <f ca="1">IFERROR(__xludf.DUMMYFUNCTION("""COMPUTED_VALUE"""),"MARO BANSALAN / MAGSAYSAY")</f>
        <v>MARO BANSALAN / MAGSAYSAY</v>
      </c>
      <c r="M3895" s="164" t="str">
        <f ca="1">IFERROR(__xludf.DUMMYFUNCTION("""COMPUTED_VALUE"""),"SERVICEABLE")</f>
        <v>SERVICEABLE</v>
      </c>
      <c r="N3895" s="164"/>
    </row>
    <row r="3896" spans="1:14" ht="13.2" hidden="1">
      <c r="A3896" s="164" t="str">
        <f ca="1">IFERROR(__xludf.DUMMYFUNCTION("""COMPUTED_VALUE"""),"Region XI")</f>
        <v>Region XI</v>
      </c>
      <c r="B3896" s="164" t="str">
        <f ca="1">IFERROR(__xludf.DUMMYFUNCTION("""COMPUTED_VALUE"""),"Davao del Sur")</f>
        <v>Davao del Sur</v>
      </c>
      <c r="C3896" s="164" t="str">
        <f ca="1">IFERROR(__xludf.DUMMYFUNCTION("""COMPUTED_VALUE"""),"Motorcycle – (Honda XRL 150)")</f>
        <v>Motorcycle – (Honda XRL 150)</v>
      </c>
      <c r="D3896" s="164" t="str">
        <f ca="1">IFERROR(__xludf.DUMMYFUNCTION("""COMPUTED_VALUE"""),"₱ 124,900.00")</f>
        <v>₱ 124,900.00</v>
      </c>
      <c r="E3896" s="164" t="str">
        <f ca="1">IFERROR(__xludf.DUMMYFUNCTION("""COMPUTED_VALUE"""),"₱ -")</f>
        <v>₱ -</v>
      </c>
      <c r="F3896" s="164" t="str">
        <f ca="1">IFERROR(__xludf.DUMMYFUNCTION("""COMPUTED_VALUE"""),"2023-06-01-10202SP620-01")</f>
        <v>2023-06-01-10202SP620-01</v>
      </c>
      <c r="G3896" s="164" t="str">
        <f ca="1">IFERROR(__xludf.DUMMYFUNCTION("""COMPUTED_VALUE"""),"no plate available")</f>
        <v>no plate available</v>
      </c>
      <c r="H3896" s="164" t="str">
        <f ca="1">IFERROR(__xludf.DUMMYFUNCTION("""COMPUTED_VALUE"""),"DANIEL M. ESPERANZA")</f>
        <v>DANIEL M. ESPERANZA</v>
      </c>
      <c r="I3896" s="164" t="str">
        <f ca="1">IFERROR(__xludf.DUMMYFUNCTION("""COMPUTED_VALUE"""),"ARPT")</f>
        <v>ARPT</v>
      </c>
      <c r="J3896" s="164" t="str">
        <f ca="1">IFERROR(__xludf.DUMMYFUNCTION("""COMPUTED_VALUE"""),"DARCO PTR 2023-04-013S / DARRO PTR 2023-03-SP-008 / PAR 2023-04-004")</f>
        <v>DARCO PTR 2023-04-013S / DARRO PTR 2023-03-SP-008 / PAR 2023-04-004</v>
      </c>
      <c r="K3896" s="164" t="str">
        <f ca="1">IFERROR(__xludf.DUMMYFUNCTION("""COMPUTED_VALUE"""),"DANIEL M. ESPERANZA")</f>
        <v>DANIEL M. ESPERANZA</v>
      </c>
      <c r="L3896" s="164" t="str">
        <f ca="1">IFERROR(__xludf.DUMMYFUNCTION("""COMPUTED_VALUE"""),"MARO MATANAO")</f>
        <v>MARO MATANAO</v>
      </c>
      <c r="M3896" s="164" t="str">
        <f ca="1">IFERROR(__xludf.DUMMYFUNCTION("""COMPUTED_VALUE"""),"SERVICEABLE")</f>
        <v>SERVICEABLE</v>
      </c>
      <c r="N3896" s="164"/>
    </row>
    <row r="3897" spans="1:14" ht="13.2" hidden="1">
      <c r="A3897" s="164" t="str">
        <f ca="1">IFERROR(__xludf.DUMMYFUNCTION("""COMPUTED_VALUE"""),"Region XI")</f>
        <v>Region XI</v>
      </c>
      <c r="B3897" s="164" t="str">
        <f ca="1">IFERROR(__xludf.DUMMYFUNCTION("""COMPUTED_VALUE"""),"Davao del Sur")</f>
        <v>Davao del Sur</v>
      </c>
      <c r="C3897" s="164" t="str">
        <f ca="1">IFERROR(__xludf.DUMMYFUNCTION("""COMPUTED_VALUE"""),"Motorcycle – (Honda XRL 150)")</f>
        <v>Motorcycle – (Honda XRL 150)</v>
      </c>
      <c r="D3897" s="164" t="str">
        <f ca="1">IFERROR(__xludf.DUMMYFUNCTION("""COMPUTED_VALUE"""),"₱ 124,900.00")</f>
        <v>₱ 124,900.00</v>
      </c>
      <c r="E3897" s="164" t="str">
        <f ca="1">IFERROR(__xludf.DUMMYFUNCTION("""COMPUTED_VALUE"""),"₱ -")</f>
        <v>₱ -</v>
      </c>
      <c r="F3897" s="164" t="str">
        <f ca="1">IFERROR(__xludf.DUMMYFUNCTION("""COMPUTED_VALUE"""),"2023-06-01-10202SP621-01")</f>
        <v>2023-06-01-10202SP621-01</v>
      </c>
      <c r="G3897" s="164" t="str">
        <f ca="1">IFERROR(__xludf.DUMMYFUNCTION("""COMPUTED_VALUE"""),"no plate available")</f>
        <v>no plate available</v>
      </c>
      <c r="H3897" s="164" t="str">
        <f ca="1">IFERROR(__xludf.DUMMYFUNCTION("""COMPUTED_VALUE"""),"RAMIL N. MARQUEZ")</f>
        <v>RAMIL N. MARQUEZ</v>
      </c>
      <c r="I3897" s="164" t="str">
        <f ca="1">IFERROR(__xludf.DUMMYFUNCTION("""COMPUTED_VALUE"""),"SARPT")</f>
        <v>SARPT</v>
      </c>
      <c r="J3897" s="164" t="str">
        <f ca="1">IFERROR(__xludf.DUMMYFUNCTION("""COMPUTED_VALUE"""),"DARCO PTR 2023-04-013S / DARRO PTR 2023-03-SP-008 / PAR 2023-04-005")</f>
        <v>DARCO PTR 2023-04-013S / DARRO PTR 2023-03-SP-008 / PAR 2023-04-005</v>
      </c>
      <c r="K3897" s="164" t="str">
        <f ca="1">IFERROR(__xludf.DUMMYFUNCTION("""COMPUTED_VALUE"""),"RAMIL N. MARQUEZ")</f>
        <v>RAMIL N. MARQUEZ</v>
      </c>
      <c r="L3897" s="164" t="str">
        <f ca="1">IFERROR(__xludf.DUMMYFUNCTION("""COMPUTED_VALUE"""),"MARO SULOP")</f>
        <v>MARO SULOP</v>
      </c>
      <c r="M3897" s="164" t="str">
        <f ca="1">IFERROR(__xludf.DUMMYFUNCTION("""COMPUTED_VALUE"""),"SERVICEABLE")</f>
        <v>SERVICEABLE</v>
      </c>
      <c r="N3897" s="164"/>
    </row>
    <row r="3898" spans="1:14" ht="13.2" hidden="1">
      <c r="A3898" s="164" t="str">
        <f ca="1">IFERROR(__xludf.DUMMYFUNCTION("""COMPUTED_VALUE"""),"Region XI")</f>
        <v>Region XI</v>
      </c>
      <c r="B3898" s="164" t="str">
        <f ca="1">IFERROR(__xludf.DUMMYFUNCTION("""COMPUTED_VALUE"""),"Davao del Sur")</f>
        <v>Davao del Sur</v>
      </c>
      <c r="C3898" s="164" t="str">
        <f ca="1">IFERROR(__xludf.DUMMYFUNCTION("""COMPUTED_VALUE"""),"Double Cabin Pick-up Vehicles – Mitsubishi Strada")</f>
        <v>Double Cabin Pick-up Vehicles – Mitsubishi Strada</v>
      </c>
      <c r="D3898" s="164" t="str">
        <f ca="1">IFERROR(__xludf.DUMMYFUNCTION("""COMPUTED_VALUE"""),"₱ 1,752,400.00")</f>
        <v>₱ 1,752,400.00</v>
      </c>
      <c r="E3898" s="164" t="str">
        <f ca="1">IFERROR(__xludf.DUMMYFUNCTION("""COMPUTED_VALUE"""),"₱ -")</f>
        <v>₱ -</v>
      </c>
      <c r="F3898" s="164" t="str">
        <f ca="1">IFERROR(__xludf.DUMMYFUNCTION("""COMPUTED_VALUE"""),"2023-06-01-10201SP125-01")</f>
        <v>2023-06-01-10201SP125-01</v>
      </c>
      <c r="G3898" s="164" t="str">
        <f ca="1">IFERROR(__xludf.DUMMYFUNCTION("""COMPUTED_VALUE"""),"SNC-1232")</f>
        <v>SNC-1232</v>
      </c>
      <c r="H3898" s="164" t="str">
        <f ca="1">IFERROR(__xludf.DUMMYFUNCTION("""COMPUTED_VALUE"""),"JONATHAN FABUNA")</f>
        <v>JONATHAN FABUNA</v>
      </c>
      <c r="I3898" s="164"/>
      <c r="J3898" s="164" t="str">
        <f ca="1">IFERROR(__xludf.DUMMYFUNCTION("""COMPUTED_VALUE"""),"DARCO PTR 2023-10-016MV / DARRO PTR 2023-10-SP-035 / PAR")</f>
        <v>DARCO PTR 2023-10-016MV / DARRO PTR 2023-10-SP-035 / PAR</v>
      </c>
      <c r="K3898" s="164" t="str">
        <f ca="1">IFERROR(__xludf.DUMMYFUNCTION("""COMPUTED_VALUE"""),"JONATHAN FABUNA")</f>
        <v>JONATHAN FABUNA</v>
      </c>
      <c r="L3898" s="164"/>
      <c r="M3898" s="164" t="str">
        <f ca="1">IFERROR(__xludf.DUMMYFUNCTION("""COMPUTED_VALUE"""),"SERVICEABLE")</f>
        <v>SERVICEABLE</v>
      </c>
      <c r="N3898" s="164" t="str">
        <f ca="1">IFERROR(__xludf.DUMMYFUNCTION("""COMPUTED_VALUE"""),"NO PAR No.")</f>
        <v>NO PAR No.</v>
      </c>
    </row>
    <row r="3899" spans="1:14" ht="13.2" hidden="1">
      <c r="A3899" s="164" t="str">
        <f ca="1">IFERROR(__xludf.DUMMYFUNCTION("""COMPUTED_VALUE"""),"Region XI")</f>
        <v>Region XI</v>
      </c>
      <c r="B3899" s="164" t="str">
        <f ca="1">IFERROR(__xludf.DUMMYFUNCTION("""COMPUTED_VALUE"""),"Davao de Oro")</f>
        <v>Davao de Oro</v>
      </c>
      <c r="C3899" s="164" t="str">
        <f ca="1">IFERROR(__xludf.DUMMYFUNCTION("""COMPUTED_VALUE"""),"Motorcycle – (Honda XRL 150)")</f>
        <v>Motorcycle – (Honda XRL 150)</v>
      </c>
      <c r="D3899" s="164" t="str">
        <f ca="1">IFERROR(__xludf.DUMMYFUNCTION("""COMPUTED_VALUE"""),"₱ 124,900.00")</f>
        <v>₱ 124,900.00</v>
      </c>
      <c r="E3899" s="164" t="str">
        <f ca="1">IFERROR(__xludf.DUMMYFUNCTION("""COMPUTED_VALUE"""),"₱ -")</f>
        <v>₱ -</v>
      </c>
      <c r="F3899" s="164" t="str">
        <f ca="1">IFERROR(__xludf.DUMMYFUNCTION("""COMPUTED_VALUE"""),"2023-06-01-10202SP622-01")</f>
        <v>2023-06-01-10202SP622-01</v>
      </c>
      <c r="G3899" s="164" t="str">
        <f ca="1">IFERROR(__xludf.DUMMYFUNCTION("""COMPUTED_VALUE"""),"no plate available")</f>
        <v>no plate available</v>
      </c>
      <c r="H3899" s="164" t="str">
        <f ca="1">IFERROR(__xludf.DUMMYFUNCTION("""COMPUTED_VALUE"""),"ANTHONY O. FUERZAS")</f>
        <v>ANTHONY O. FUERZAS</v>
      </c>
      <c r="I3899" s="164" t="str">
        <f ca="1">IFERROR(__xludf.DUMMYFUNCTION("""COMPUTED_VALUE"""),"SARPT")</f>
        <v>SARPT</v>
      </c>
      <c r="J3899" s="164" t="str">
        <f ca="1">IFERROR(__xludf.DUMMYFUNCTION("""COMPUTED_VALUE"""),"DARCO PTR 2023-04-013S / DARRO PTR 2023-03-SP-009 / PAR SPLIT 2023-04-0014")</f>
        <v>DARCO PTR 2023-04-013S / DARRO PTR 2023-03-SP-009 / PAR SPLIT 2023-04-0014</v>
      </c>
      <c r="K3899" s="164" t="str">
        <f ca="1">IFERROR(__xludf.DUMMYFUNCTION("""COMPUTED_VALUE"""),"ANTHONY O. FUERZAS")</f>
        <v>ANTHONY O. FUERZAS</v>
      </c>
      <c r="L3899" s="164" t="str">
        <f ca="1">IFERROR(__xludf.DUMMYFUNCTION("""COMPUTED_VALUE"""),"DARPO")</f>
        <v>DARPO</v>
      </c>
      <c r="M3899" s="164" t="str">
        <f ca="1">IFERROR(__xludf.DUMMYFUNCTION("""COMPUTED_VALUE"""),"SERVICEABLE")</f>
        <v>SERVICEABLE</v>
      </c>
      <c r="N3899" s="164"/>
    </row>
    <row r="3900" spans="1:14" ht="13.2" hidden="1">
      <c r="A3900" s="164" t="str">
        <f ca="1">IFERROR(__xludf.DUMMYFUNCTION("""COMPUTED_VALUE"""),"Region XI")</f>
        <v>Region XI</v>
      </c>
      <c r="B3900" s="164" t="str">
        <f ca="1">IFERROR(__xludf.DUMMYFUNCTION("""COMPUTED_VALUE"""),"Davao de Oro")</f>
        <v>Davao de Oro</v>
      </c>
      <c r="C3900" s="164" t="str">
        <f ca="1">IFERROR(__xludf.DUMMYFUNCTION("""COMPUTED_VALUE"""),"Motorcycle – (Honda XRL 150)")</f>
        <v>Motorcycle – (Honda XRL 150)</v>
      </c>
      <c r="D3900" s="164" t="str">
        <f ca="1">IFERROR(__xludf.DUMMYFUNCTION("""COMPUTED_VALUE"""),"₱ 124,900.00")</f>
        <v>₱ 124,900.00</v>
      </c>
      <c r="E3900" s="164" t="str">
        <f ca="1">IFERROR(__xludf.DUMMYFUNCTION("""COMPUTED_VALUE"""),"₱ -")</f>
        <v>₱ -</v>
      </c>
      <c r="F3900" s="164" t="str">
        <f ca="1">IFERROR(__xludf.DUMMYFUNCTION("""COMPUTED_VALUE"""),"2023-06-01-10202SP623-01")</f>
        <v>2023-06-01-10202SP623-01</v>
      </c>
      <c r="G3900" s="164" t="str">
        <f ca="1">IFERROR(__xludf.DUMMYFUNCTION("""COMPUTED_VALUE"""),"no plate available")</f>
        <v>no plate available</v>
      </c>
      <c r="H3900" s="164" t="str">
        <f ca="1">IFERROR(__xludf.DUMMYFUNCTION("""COMPUTED_VALUE"""),"GERALDINE SOBRENO")</f>
        <v>GERALDINE SOBRENO</v>
      </c>
      <c r="I3900" s="164" t="str">
        <f ca="1">IFERROR(__xludf.DUMMYFUNCTION("""COMPUTED_VALUE"""),"CARTOGRAPHER")</f>
        <v>CARTOGRAPHER</v>
      </c>
      <c r="J3900" s="164" t="str">
        <f ca="1">IFERROR(__xludf.DUMMYFUNCTION("""COMPUTED_VALUE"""),"DARCO PTR 2023-04-013S / DARRO PTR 2023-03-SP-009 / PAR SPLIT 2023-04-0015")</f>
        <v>DARCO PTR 2023-04-013S / DARRO PTR 2023-03-SP-009 / PAR SPLIT 2023-04-0015</v>
      </c>
      <c r="K3900" s="164" t="str">
        <f ca="1">IFERROR(__xludf.DUMMYFUNCTION("""COMPUTED_VALUE"""),"GERALDINE SOBRENO")</f>
        <v>GERALDINE SOBRENO</v>
      </c>
      <c r="L3900" s="164" t="str">
        <f ca="1">IFERROR(__xludf.DUMMYFUNCTION("""COMPUTED_VALUE"""),"DARPO")</f>
        <v>DARPO</v>
      </c>
      <c r="M3900" s="164" t="str">
        <f ca="1">IFERROR(__xludf.DUMMYFUNCTION("""COMPUTED_VALUE"""),"SERVICEABLE")</f>
        <v>SERVICEABLE</v>
      </c>
      <c r="N3900" s="164"/>
    </row>
    <row r="3901" spans="1:14" ht="13.2" hidden="1">
      <c r="A3901" s="164" t="str">
        <f ca="1">IFERROR(__xludf.DUMMYFUNCTION("""COMPUTED_VALUE"""),"Region XI")</f>
        <v>Region XI</v>
      </c>
      <c r="B3901" s="164" t="str">
        <f ca="1">IFERROR(__xludf.DUMMYFUNCTION("""COMPUTED_VALUE"""),"Davao de Oro")</f>
        <v>Davao de Oro</v>
      </c>
      <c r="C3901" s="164" t="str">
        <f ca="1">IFERROR(__xludf.DUMMYFUNCTION("""COMPUTED_VALUE"""),"Motorcycle – (Honda XRL 150)")</f>
        <v>Motorcycle – (Honda XRL 150)</v>
      </c>
      <c r="D3901" s="164" t="str">
        <f ca="1">IFERROR(__xludf.DUMMYFUNCTION("""COMPUTED_VALUE"""),"₱ 124,900.00")</f>
        <v>₱ 124,900.00</v>
      </c>
      <c r="E3901" s="164" t="str">
        <f ca="1">IFERROR(__xludf.DUMMYFUNCTION("""COMPUTED_VALUE"""),"₱ -")</f>
        <v>₱ -</v>
      </c>
      <c r="F3901" s="164" t="str">
        <f ca="1">IFERROR(__xludf.DUMMYFUNCTION("""COMPUTED_VALUE"""),"2023-06-01-10202SP624-01")</f>
        <v>2023-06-01-10202SP624-01</v>
      </c>
      <c r="G3901" s="164" t="str">
        <f ca="1">IFERROR(__xludf.DUMMYFUNCTION("""COMPUTED_VALUE"""),"no plate available")</f>
        <v>no plate available</v>
      </c>
      <c r="H3901" s="164" t="str">
        <f ca="1">IFERROR(__xludf.DUMMYFUNCTION("""COMPUTED_VALUE"""),"DANDY R. BARULO")</f>
        <v>DANDY R. BARULO</v>
      </c>
      <c r="I3901" s="164" t="str">
        <f ca="1">IFERROR(__xludf.DUMMYFUNCTION("""COMPUTED_VALUE"""),"SARPT")</f>
        <v>SARPT</v>
      </c>
      <c r="J3901" s="164" t="str">
        <f ca="1">IFERROR(__xludf.DUMMYFUNCTION("""COMPUTED_VALUE"""),"DARCO PTR 2023-04-013S / DARRO PTR 2023-03-SP-009 / PAR SPLIT 2023-04-0017")</f>
        <v>DARCO PTR 2023-04-013S / DARRO PTR 2023-03-SP-009 / PAR SPLIT 2023-04-0017</v>
      </c>
      <c r="K3901" s="164" t="str">
        <f ca="1">IFERROR(__xludf.DUMMYFUNCTION("""COMPUTED_VALUE"""),"DANDY R. BARULO")</f>
        <v>DANDY R. BARULO</v>
      </c>
      <c r="L3901" s="164" t="str">
        <f ca="1">IFERROR(__xludf.DUMMYFUNCTION("""COMPUTED_VALUE"""),"DARPO")</f>
        <v>DARPO</v>
      </c>
      <c r="M3901" s="164" t="str">
        <f ca="1">IFERROR(__xludf.DUMMYFUNCTION("""COMPUTED_VALUE"""),"SERVICEABLE")</f>
        <v>SERVICEABLE</v>
      </c>
      <c r="N3901" s="164"/>
    </row>
    <row r="3902" spans="1:14" ht="13.2" hidden="1">
      <c r="A3902" s="164" t="str">
        <f ca="1">IFERROR(__xludf.DUMMYFUNCTION("""COMPUTED_VALUE"""),"Region XI")</f>
        <v>Region XI</v>
      </c>
      <c r="B3902" s="164" t="str">
        <f ca="1">IFERROR(__xludf.DUMMYFUNCTION("""COMPUTED_VALUE"""),"Davao de Oro")</f>
        <v>Davao de Oro</v>
      </c>
      <c r="C3902" s="164" t="str">
        <f ca="1">IFERROR(__xludf.DUMMYFUNCTION("""COMPUTED_VALUE"""),"Motorcycle – (Honda XRL 150)")</f>
        <v>Motorcycle – (Honda XRL 150)</v>
      </c>
      <c r="D3902" s="164" t="str">
        <f ca="1">IFERROR(__xludf.DUMMYFUNCTION("""COMPUTED_VALUE"""),"₱ 124,900.00")</f>
        <v>₱ 124,900.00</v>
      </c>
      <c r="E3902" s="164" t="str">
        <f ca="1">IFERROR(__xludf.DUMMYFUNCTION("""COMPUTED_VALUE"""),"₱ -")</f>
        <v>₱ -</v>
      </c>
      <c r="F3902" s="164" t="str">
        <f ca="1">IFERROR(__xludf.DUMMYFUNCTION("""COMPUTED_VALUE"""),"2023-06-01-10202SP625-01")</f>
        <v>2023-06-01-10202SP625-01</v>
      </c>
      <c r="G3902" s="164" t="str">
        <f ca="1">IFERROR(__xludf.DUMMYFUNCTION("""COMPUTED_VALUE"""),"no plate available")</f>
        <v>no plate available</v>
      </c>
      <c r="H3902" s="164" t="str">
        <f ca="1">IFERROR(__xludf.DUMMYFUNCTION("""COMPUTED_VALUE"""),"GENELEEWIN IDULSA")</f>
        <v>GENELEEWIN IDULSA</v>
      </c>
      <c r="I3902" s="164" t="str">
        <f ca="1">IFERROR(__xludf.DUMMYFUNCTION("""COMPUTED_VALUE"""),"SARPT")</f>
        <v>SARPT</v>
      </c>
      <c r="J3902" s="164" t="str">
        <f ca="1">IFERROR(__xludf.DUMMYFUNCTION("""COMPUTED_VALUE"""),"DARCO PTR 2023-04-013S / DARRO PTR 2023-03-SP-009 / PAR SPLIT 2023-04-0014")</f>
        <v>DARCO PTR 2023-04-013S / DARRO PTR 2023-03-SP-009 / PAR SPLIT 2023-04-0014</v>
      </c>
      <c r="K3902" s="164" t="str">
        <f ca="1">IFERROR(__xludf.DUMMYFUNCTION("""COMPUTED_VALUE"""),"GENELEEWIN IDULSA")</f>
        <v>GENELEEWIN IDULSA</v>
      </c>
      <c r="L3902" s="164" t="str">
        <f ca="1">IFERROR(__xludf.DUMMYFUNCTION("""COMPUTED_VALUE"""),"DARPO")</f>
        <v>DARPO</v>
      </c>
      <c r="M3902" s="164" t="str">
        <f ca="1">IFERROR(__xludf.DUMMYFUNCTION("""COMPUTED_VALUE"""),"SERVICEABLE")</f>
        <v>SERVICEABLE</v>
      </c>
      <c r="N3902" s="164"/>
    </row>
    <row r="3903" spans="1:14" ht="13.2" hidden="1">
      <c r="A3903" s="164" t="str">
        <f ca="1">IFERROR(__xludf.DUMMYFUNCTION("""COMPUTED_VALUE"""),"Region XI")</f>
        <v>Region XI</v>
      </c>
      <c r="B3903" s="164" t="str">
        <f ca="1">IFERROR(__xludf.DUMMYFUNCTION("""COMPUTED_VALUE"""),"Davao de Oro")</f>
        <v>Davao de Oro</v>
      </c>
      <c r="C3903" s="164" t="str">
        <f ca="1">IFERROR(__xludf.DUMMYFUNCTION("""COMPUTED_VALUE"""),"Motorcycle – (Honda XRL 150)")</f>
        <v>Motorcycle – (Honda XRL 150)</v>
      </c>
      <c r="D3903" s="164" t="str">
        <f ca="1">IFERROR(__xludf.DUMMYFUNCTION("""COMPUTED_VALUE"""),"₱ 124,900.00")</f>
        <v>₱ 124,900.00</v>
      </c>
      <c r="E3903" s="164" t="str">
        <f ca="1">IFERROR(__xludf.DUMMYFUNCTION("""COMPUTED_VALUE"""),"₱ -")</f>
        <v>₱ -</v>
      </c>
      <c r="F3903" s="164" t="str">
        <f ca="1">IFERROR(__xludf.DUMMYFUNCTION("""COMPUTED_VALUE"""),"2023-06-01-10202SP626-01")</f>
        <v>2023-06-01-10202SP626-01</v>
      </c>
      <c r="G3903" s="164" t="str">
        <f ca="1">IFERROR(__xludf.DUMMYFUNCTION("""COMPUTED_VALUE"""),"no plate available")</f>
        <v>no plate available</v>
      </c>
      <c r="H3903" s="164" t="str">
        <f ca="1">IFERROR(__xludf.DUMMYFUNCTION("""COMPUTED_VALUE"""),"VIC M. ONOD")</f>
        <v>VIC M. ONOD</v>
      </c>
      <c r="I3903" s="164" t="str">
        <f ca="1">IFERROR(__xludf.DUMMYFUNCTION("""COMPUTED_VALUE"""),"ARPO I")</f>
        <v>ARPO I</v>
      </c>
      <c r="J3903" s="164" t="str">
        <f ca="1">IFERROR(__xludf.DUMMYFUNCTION("""COMPUTED_VALUE"""),"DARCO PTR 2023-04-013S / DARRO PTR 2023-03-SP-009 / PAR SPLIT 2023-04-0018")</f>
        <v>DARCO PTR 2023-04-013S / DARRO PTR 2023-03-SP-009 / PAR SPLIT 2023-04-0018</v>
      </c>
      <c r="K3903" s="164" t="str">
        <f ca="1">IFERROR(__xludf.DUMMYFUNCTION("""COMPUTED_VALUE"""),"VIC M. ONOD")</f>
        <v>VIC M. ONOD</v>
      </c>
      <c r="L3903" s="164" t="str">
        <f ca="1">IFERROR(__xludf.DUMMYFUNCTION("""COMPUTED_VALUE"""),"DARPO")</f>
        <v>DARPO</v>
      </c>
      <c r="M3903" s="164" t="str">
        <f ca="1">IFERROR(__xludf.DUMMYFUNCTION("""COMPUTED_VALUE"""),"SERVICEABLE")</f>
        <v>SERVICEABLE</v>
      </c>
      <c r="N3903" s="164"/>
    </row>
    <row r="3904" spans="1:14" ht="13.2" hidden="1">
      <c r="A3904" s="164" t="str">
        <f ca="1">IFERROR(__xludf.DUMMYFUNCTION("""COMPUTED_VALUE"""),"Region XI")</f>
        <v>Region XI</v>
      </c>
      <c r="B3904" s="164" t="str">
        <f ca="1">IFERROR(__xludf.DUMMYFUNCTION("""COMPUTED_VALUE"""),"Davao de Oro")</f>
        <v>Davao de Oro</v>
      </c>
      <c r="C3904" s="164" t="str">
        <f ca="1">IFERROR(__xludf.DUMMYFUNCTION("""COMPUTED_VALUE"""),"Motorcycle – (Honda XRL 150)")</f>
        <v>Motorcycle – (Honda XRL 150)</v>
      </c>
      <c r="D3904" s="164" t="str">
        <f ca="1">IFERROR(__xludf.DUMMYFUNCTION("""COMPUTED_VALUE"""),"₱ 124,900.00")</f>
        <v>₱ 124,900.00</v>
      </c>
      <c r="E3904" s="164" t="str">
        <f ca="1">IFERROR(__xludf.DUMMYFUNCTION("""COMPUTED_VALUE"""),"₱ -")</f>
        <v>₱ -</v>
      </c>
      <c r="F3904" s="164" t="str">
        <f ca="1">IFERROR(__xludf.DUMMYFUNCTION("""COMPUTED_VALUE"""),"2023-06-01-10202SP627-01")</f>
        <v>2023-06-01-10202SP627-01</v>
      </c>
      <c r="G3904" s="164" t="str">
        <f ca="1">IFERROR(__xludf.DUMMYFUNCTION("""COMPUTED_VALUE"""),"no plate available")</f>
        <v>no plate available</v>
      </c>
      <c r="H3904" s="164" t="str">
        <f ca="1">IFERROR(__xludf.DUMMYFUNCTION("""COMPUTED_VALUE"""),"BERMUDO HAYANA")</f>
        <v>BERMUDO HAYANA</v>
      </c>
      <c r="I3904" s="164" t="str">
        <f ca="1">IFERROR(__xludf.DUMMYFUNCTION("""COMPUTED_VALUE"""),"ARPT")</f>
        <v>ARPT</v>
      </c>
      <c r="J3904" s="164" t="str">
        <f ca="1">IFERROR(__xludf.DUMMYFUNCTION("""COMPUTED_VALUE"""),"DARCO PTR 2023-04-013S / DARRO PTR 2023-03-SP-009 / PAR SPLIT 2023-04-0019")</f>
        <v>DARCO PTR 2023-04-013S / DARRO PTR 2023-03-SP-009 / PAR SPLIT 2023-04-0019</v>
      </c>
      <c r="K3904" s="164" t="str">
        <f ca="1">IFERROR(__xludf.DUMMYFUNCTION("""COMPUTED_VALUE"""),"BERMUDO HAYANA")</f>
        <v>BERMUDO HAYANA</v>
      </c>
      <c r="L3904" s="164" t="str">
        <f ca="1">IFERROR(__xludf.DUMMYFUNCTION("""COMPUTED_VALUE"""),"DARPO")</f>
        <v>DARPO</v>
      </c>
      <c r="M3904" s="164" t="str">
        <f ca="1">IFERROR(__xludf.DUMMYFUNCTION("""COMPUTED_VALUE"""),"SERVICEABLE")</f>
        <v>SERVICEABLE</v>
      </c>
      <c r="N3904" s="164"/>
    </row>
    <row r="3905" spans="1:14" ht="13.2" hidden="1">
      <c r="A3905" s="164" t="str">
        <f ca="1">IFERROR(__xludf.DUMMYFUNCTION("""COMPUTED_VALUE"""),"Region XI")</f>
        <v>Region XI</v>
      </c>
      <c r="B3905" s="164" t="str">
        <f ca="1">IFERROR(__xludf.DUMMYFUNCTION("""COMPUTED_VALUE"""),"Davao de Oro")</f>
        <v>Davao de Oro</v>
      </c>
      <c r="C3905" s="164" t="str">
        <f ca="1">IFERROR(__xludf.DUMMYFUNCTION("""COMPUTED_VALUE"""),"Motorcycle – (Honda XRL 150)")</f>
        <v>Motorcycle – (Honda XRL 150)</v>
      </c>
      <c r="D3905" s="164" t="str">
        <f ca="1">IFERROR(__xludf.DUMMYFUNCTION("""COMPUTED_VALUE"""),"₱ 124,900.00")</f>
        <v>₱ 124,900.00</v>
      </c>
      <c r="E3905" s="164" t="str">
        <f ca="1">IFERROR(__xludf.DUMMYFUNCTION("""COMPUTED_VALUE"""),"₱ -")</f>
        <v>₱ -</v>
      </c>
      <c r="F3905" s="164" t="str">
        <f ca="1">IFERROR(__xludf.DUMMYFUNCTION("""COMPUTED_VALUE"""),"2023-06-01-10202SP628-01")</f>
        <v>2023-06-01-10202SP628-01</v>
      </c>
      <c r="G3905" s="164" t="str">
        <f ca="1">IFERROR(__xludf.DUMMYFUNCTION("""COMPUTED_VALUE"""),"no plate available")</f>
        <v>no plate available</v>
      </c>
      <c r="H3905" s="164" t="str">
        <f ca="1">IFERROR(__xludf.DUMMYFUNCTION("""COMPUTED_VALUE"""),"ALEXANDER C. DELIMA")</f>
        <v>ALEXANDER C. DELIMA</v>
      </c>
      <c r="I3905" s="164" t="str">
        <f ca="1">IFERROR(__xludf.DUMMYFUNCTION("""COMPUTED_VALUE"""),"SARPT")</f>
        <v>SARPT</v>
      </c>
      <c r="J3905" s="164" t="str">
        <f ca="1">IFERROR(__xludf.DUMMYFUNCTION("""COMPUTED_VALUE"""),"DARCO PTR 2023-04-013S / DARRO PTR 2023-03-SP-009 / PAR SPLIT 2023-04-0020")</f>
        <v>DARCO PTR 2023-04-013S / DARRO PTR 2023-03-SP-009 / PAR SPLIT 2023-04-0020</v>
      </c>
      <c r="K3905" s="164" t="str">
        <f ca="1">IFERROR(__xludf.DUMMYFUNCTION("""COMPUTED_VALUE"""),"ALEXANDER C. DELIMA")</f>
        <v>ALEXANDER C. DELIMA</v>
      </c>
      <c r="L3905" s="164" t="str">
        <f ca="1">IFERROR(__xludf.DUMMYFUNCTION("""COMPUTED_VALUE"""),"DARPO")</f>
        <v>DARPO</v>
      </c>
      <c r="M3905" s="164" t="str">
        <f ca="1">IFERROR(__xludf.DUMMYFUNCTION("""COMPUTED_VALUE"""),"SERVICEABLE")</f>
        <v>SERVICEABLE</v>
      </c>
      <c r="N3905" s="164"/>
    </row>
    <row r="3906" spans="1:14" ht="13.2" hidden="1">
      <c r="A3906" s="164" t="str">
        <f ca="1">IFERROR(__xludf.DUMMYFUNCTION("""COMPUTED_VALUE"""),"Region XI")</f>
        <v>Region XI</v>
      </c>
      <c r="B3906" s="164" t="str">
        <f ca="1">IFERROR(__xludf.DUMMYFUNCTION("""COMPUTED_VALUE"""),"Davao de Oro")</f>
        <v>Davao de Oro</v>
      </c>
      <c r="C3906" s="164" t="str">
        <f ca="1">IFERROR(__xludf.DUMMYFUNCTION("""COMPUTED_VALUE"""),"Motorcycle – (Honda XRL 150)")</f>
        <v>Motorcycle – (Honda XRL 150)</v>
      </c>
      <c r="D3906" s="164" t="str">
        <f ca="1">IFERROR(__xludf.DUMMYFUNCTION("""COMPUTED_VALUE"""),"₱ 124,900.00")</f>
        <v>₱ 124,900.00</v>
      </c>
      <c r="E3906" s="164" t="str">
        <f ca="1">IFERROR(__xludf.DUMMYFUNCTION("""COMPUTED_VALUE"""),"₱ -")</f>
        <v>₱ -</v>
      </c>
      <c r="F3906" s="164" t="str">
        <f ca="1">IFERROR(__xludf.DUMMYFUNCTION("""COMPUTED_VALUE"""),"2023-06-01-10202SP629-01")</f>
        <v>2023-06-01-10202SP629-01</v>
      </c>
      <c r="G3906" s="164" t="str">
        <f ca="1">IFERROR(__xludf.DUMMYFUNCTION("""COMPUTED_VALUE"""),"no plate available")</f>
        <v>no plate available</v>
      </c>
      <c r="H3906" s="164" t="str">
        <f ca="1">IFERROR(__xludf.DUMMYFUNCTION("""COMPUTED_VALUE"""),"VICENTE BATO II")</f>
        <v>VICENTE BATO II</v>
      </c>
      <c r="I3906" s="164" t="str">
        <f ca="1">IFERROR(__xludf.DUMMYFUNCTION("""COMPUTED_VALUE"""),"ARPT")</f>
        <v>ARPT</v>
      </c>
      <c r="J3906" s="164" t="str">
        <f ca="1">IFERROR(__xludf.DUMMYFUNCTION("""COMPUTED_VALUE"""),"DARCO PTR 2023-04-013S / DARRO PTR 2023-03-SP-009 / PAR SPLIT 2023-04-0021")</f>
        <v>DARCO PTR 2023-04-013S / DARRO PTR 2023-03-SP-009 / PAR SPLIT 2023-04-0021</v>
      </c>
      <c r="K3906" s="164" t="str">
        <f ca="1">IFERROR(__xludf.DUMMYFUNCTION("""COMPUTED_VALUE"""),"VICENTE BATO II")</f>
        <v>VICENTE BATO II</v>
      </c>
      <c r="L3906" s="164" t="str">
        <f ca="1">IFERROR(__xludf.DUMMYFUNCTION("""COMPUTED_VALUE"""),"DARPO")</f>
        <v>DARPO</v>
      </c>
      <c r="M3906" s="164" t="str">
        <f ca="1">IFERROR(__xludf.DUMMYFUNCTION("""COMPUTED_VALUE"""),"SERVICEABLE")</f>
        <v>SERVICEABLE</v>
      </c>
      <c r="N3906" s="164"/>
    </row>
    <row r="3907" spans="1:14" ht="13.2" hidden="1">
      <c r="A3907" s="164" t="str">
        <f ca="1">IFERROR(__xludf.DUMMYFUNCTION("""COMPUTED_VALUE"""),"Region XI")</f>
        <v>Region XI</v>
      </c>
      <c r="B3907" s="164" t="str">
        <f ca="1">IFERROR(__xludf.DUMMYFUNCTION("""COMPUTED_VALUE"""),"Davao de Oro")</f>
        <v>Davao de Oro</v>
      </c>
      <c r="C3907" s="164" t="str">
        <f ca="1">IFERROR(__xludf.DUMMYFUNCTION("""COMPUTED_VALUE"""),"Motorcycle – (Honda XRL 150)")</f>
        <v>Motorcycle – (Honda XRL 150)</v>
      </c>
      <c r="D3907" s="164" t="str">
        <f ca="1">IFERROR(__xludf.DUMMYFUNCTION("""COMPUTED_VALUE"""),"₱ 124,900.00")</f>
        <v>₱ 124,900.00</v>
      </c>
      <c r="E3907" s="164" t="str">
        <f ca="1">IFERROR(__xludf.DUMMYFUNCTION("""COMPUTED_VALUE"""),"₱ -")</f>
        <v>₱ -</v>
      </c>
      <c r="F3907" s="164" t="str">
        <f ca="1">IFERROR(__xludf.DUMMYFUNCTION("""COMPUTED_VALUE"""),"2023-06-01-10202SP630-01")</f>
        <v>2023-06-01-10202SP630-01</v>
      </c>
      <c r="G3907" s="164" t="str">
        <f ca="1">IFERROR(__xludf.DUMMYFUNCTION("""COMPUTED_VALUE"""),"no plate available")</f>
        <v>no plate available</v>
      </c>
      <c r="H3907" s="164" t="str">
        <f ca="1">IFERROR(__xludf.DUMMYFUNCTION("""COMPUTED_VALUE"""),"ANGELO NAVARRO")</f>
        <v>ANGELO NAVARRO</v>
      </c>
      <c r="I3907" s="164" t="str">
        <f ca="1">IFERROR(__xludf.DUMMYFUNCTION("""COMPUTED_VALUE"""),"ARPT")</f>
        <v>ARPT</v>
      </c>
      <c r="J3907" s="164" t="str">
        <f ca="1">IFERROR(__xludf.DUMMYFUNCTION("""COMPUTED_VALUE"""),"DARCO PTR 2023-04-013S / DARRO PTR 2023-03-SP-009 / PAR SPLIT 2023-04-0022")</f>
        <v>DARCO PTR 2023-04-013S / DARRO PTR 2023-03-SP-009 / PAR SPLIT 2023-04-0022</v>
      </c>
      <c r="K3907" s="164" t="str">
        <f ca="1">IFERROR(__xludf.DUMMYFUNCTION("""COMPUTED_VALUE"""),"ANGELO NAVARRO")</f>
        <v>ANGELO NAVARRO</v>
      </c>
      <c r="L3907" s="164" t="str">
        <f ca="1">IFERROR(__xludf.DUMMYFUNCTION("""COMPUTED_VALUE"""),"DARPO")</f>
        <v>DARPO</v>
      </c>
      <c r="M3907" s="164" t="str">
        <f ca="1">IFERROR(__xludf.DUMMYFUNCTION("""COMPUTED_VALUE"""),"SERVICEABLE")</f>
        <v>SERVICEABLE</v>
      </c>
      <c r="N3907" s="164"/>
    </row>
    <row r="3908" spans="1:14" ht="13.2" hidden="1">
      <c r="A3908" s="164" t="str">
        <f ca="1">IFERROR(__xludf.DUMMYFUNCTION("""COMPUTED_VALUE"""),"Region XI")</f>
        <v>Region XI</v>
      </c>
      <c r="B3908" s="164" t="str">
        <f ca="1">IFERROR(__xludf.DUMMYFUNCTION("""COMPUTED_VALUE"""),"Davao de Oro")</f>
        <v>Davao de Oro</v>
      </c>
      <c r="C3908" s="164" t="str">
        <f ca="1">IFERROR(__xludf.DUMMYFUNCTION("""COMPUTED_VALUE"""),"Motorcycle – (Honda XRL 150)")</f>
        <v>Motorcycle – (Honda XRL 150)</v>
      </c>
      <c r="D3908" s="164" t="str">
        <f ca="1">IFERROR(__xludf.DUMMYFUNCTION("""COMPUTED_VALUE"""),"₱ 124,900.00")</f>
        <v>₱ 124,900.00</v>
      </c>
      <c r="E3908" s="164" t="str">
        <f ca="1">IFERROR(__xludf.DUMMYFUNCTION("""COMPUTED_VALUE"""),"₱ -")</f>
        <v>₱ -</v>
      </c>
      <c r="F3908" s="164" t="str">
        <f ca="1">IFERROR(__xludf.DUMMYFUNCTION("""COMPUTED_VALUE"""),"2023-06-01-10202SP631-01")</f>
        <v>2023-06-01-10202SP631-01</v>
      </c>
      <c r="G3908" s="164" t="str">
        <f ca="1">IFERROR(__xludf.DUMMYFUNCTION("""COMPUTED_VALUE"""),"no plate available")</f>
        <v>no plate available</v>
      </c>
      <c r="H3908" s="164" t="str">
        <f ca="1">IFERROR(__xludf.DUMMYFUNCTION("""COMPUTED_VALUE"""),"LOWELL TOMADA")</f>
        <v>LOWELL TOMADA</v>
      </c>
      <c r="I3908" s="164" t="str">
        <f ca="1">IFERROR(__xludf.DUMMYFUNCTION("""COMPUTED_VALUE"""),"ARPT")</f>
        <v>ARPT</v>
      </c>
      <c r="J3908" s="164" t="str">
        <f ca="1">IFERROR(__xludf.DUMMYFUNCTION("""COMPUTED_VALUE"""),"DARCO PTR 2023-04-013S / DARRO PTR 2023-03-SP-009 / PAR SPLIT 2023-04-0023")</f>
        <v>DARCO PTR 2023-04-013S / DARRO PTR 2023-03-SP-009 / PAR SPLIT 2023-04-0023</v>
      </c>
      <c r="K3908" s="164" t="str">
        <f ca="1">IFERROR(__xludf.DUMMYFUNCTION("""COMPUTED_VALUE"""),"LOWELL TOMADA")</f>
        <v>LOWELL TOMADA</v>
      </c>
      <c r="L3908" s="164" t="str">
        <f ca="1">IFERROR(__xludf.DUMMYFUNCTION("""COMPUTED_VALUE"""),"DARPO")</f>
        <v>DARPO</v>
      </c>
      <c r="M3908" s="164" t="str">
        <f ca="1">IFERROR(__xludf.DUMMYFUNCTION("""COMPUTED_VALUE"""),"SERVICEABLE")</f>
        <v>SERVICEABLE</v>
      </c>
      <c r="N3908" s="164"/>
    </row>
    <row r="3909" spans="1:14" ht="13.2" hidden="1">
      <c r="A3909" s="164" t="str">
        <f ca="1">IFERROR(__xludf.DUMMYFUNCTION("""COMPUTED_VALUE"""),"Region XI")</f>
        <v>Region XI</v>
      </c>
      <c r="B3909" s="164" t="str">
        <f ca="1">IFERROR(__xludf.DUMMYFUNCTION("""COMPUTED_VALUE"""),"Davao de Oro")</f>
        <v>Davao de Oro</v>
      </c>
      <c r="C3909" s="164" t="str">
        <f ca="1">IFERROR(__xludf.DUMMYFUNCTION("""COMPUTED_VALUE"""),"Motorcycle – (Honda XRL 150)")</f>
        <v>Motorcycle – (Honda XRL 150)</v>
      </c>
      <c r="D3909" s="164" t="str">
        <f ca="1">IFERROR(__xludf.DUMMYFUNCTION("""COMPUTED_VALUE"""),"₱ 124,900.00")</f>
        <v>₱ 124,900.00</v>
      </c>
      <c r="E3909" s="164" t="str">
        <f ca="1">IFERROR(__xludf.DUMMYFUNCTION("""COMPUTED_VALUE"""),"₱ -")</f>
        <v>₱ -</v>
      </c>
      <c r="F3909" s="164" t="str">
        <f ca="1">IFERROR(__xludf.DUMMYFUNCTION("""COMPUTED_VALUE"""),"2023-06-01-10202SP632-01")</f>
        <v>2023-06-01-10202SP632-01</v>
      </c>
      <c r="G3909" s="164" t="str">
        <f ca="1">IFERROR(__xludf.DUMMYFUNCTION("""COMPUTED_VALUE"""),"no plate available")</f>
        <v>no plate available</v>
      </c>
      <c r="H3909" s="164" t="str">
        <f ca="1">IFERROR(__xludf.DUMMYFUNCTION("""COMPUTED_VALUE"""),"FRITZ RANDOLF L. DELAN")</f>
        <v>FRITZ RANDOLF L. DELAN</v>
      </c>
      <c r="I3909" s="164" t="str">
        <f ca="1">IFERROR(__xludf.DUMMYFUNCTION("""COMPUTED_VALUE"""),"SARPT")</f>
        <v>SARPT</v>
      </c>
      <c r="J3909" s="164" t="str">
        <f ca="1">IFERROR(__xludf.DUMMYFUNCTION("""COMPUTED_VALUE"""),"DARCO PTR 2023-04-013S / DARRO PTR 2023-03-SP-009 / PAR SPLIT 2023-04-0024")</f>
        <v>DARCO PTR 2023-04-013S / DARRO PTR 2023-03-SP-009 / PAR SPLIT 2023-04-0024</v>
      </c>
      <c r="K3909" s="164" t="str">
        <f ca="1">IFERROR(__xludf.DUMMYFUNCTION("""COMPUTED_VALUE"""),"FRITZ RANDOLF L. DELAN")</f>
        <v>FRITZ RANDOLF L. DELAN</v>
      </c>
      <c r="L3909" s="164" t="str">
        <f ca="1">IFERROR(__xludf.DUMMYFUNCTION("""COMPUTED_VALUE"""),"DARPO")</f>
        <v>DARPO</v>
      </c>
      <c r="M3909" s="164" t="str">
        <f ca="1">IFERROR(__xludf.DUMMYFUNCTION("""COMPUTED_VALUE"""),"SERVICEABLE")</f>
        <v>SERVICEABLE</v>
      </c>
      <c r="N3909" s="164"/>
    </row>
    <row r="3910" spans="1:14" ht="13.2" hidden="1">
      <c r="A3910" s="164" t="str">
        <f ca="1">IFERROR(__xludf.DUMMYFUNCTION("""COMPUTED_VALUE"""),"Region XI")</f>
        <v>Region XI</v>
      </c>
      <c r="B3910" s="164" t="str">
        <f ca="1">IFERROR(__xludf.DUMMYFUNCTION("""COMPUTED_VALUE"""),"Davao de Oro")</f>
        <v>Davao de Oro</v>
      </c>
      <c r="C3910" s="164" t="str">
        <f ca="1">IFERROR(__xludf.DUMMYFUNCTION("""COMPUTED_VALUE"""),"Motorcycle – (Honda XRL 150)")</f>
        <v>Motorcycle – (Honda XRL 150)</v>
      </c>
      <c r="D3910" s="164" t="str">
        <f ca="1">IFERROR(__xludf.DUMMYFUNCTION("""COMPUTED_VALUE"""),"₱ 124,900.00")</f>
        <v>₱ 124,900.00</v>
      </c>
      <c r="E3910" s="164" t="str">
        <f ca="1">IFERROR(__xludf.DUMMYFUNCTION("""COMPUTED_VALUE"""),"₱ -")</f>
        <v>₱ -</v>
      </c>
      <c r="F3910" s="164" t="str">
        <f ca="1">IFERROR(__xludf.DUMMYFUNCTION("""COMPUTED_VALUE"""),"2023-06-01-10202SP633-01")</f>
        <v>2023-06-01-10202SP633-01</v>
      </c>
      <c r="G3910" s="164" t="str">
        <f ca="1">IFERROR(__xludf.DUMMYFUNCTION("""COMPUTED_VALUE"""),"no plate available")</f>
        <v>no plate available</v>
      </c>
      <c r="H3910" s="164" t="str">
        <f ca="1">IFERROR(__xludf.DUMMYFUNCTION("""COMPUTED_VALUE"""),"DANNY L. ROSALES")</f>
        <v>DANNY L. ROSALES</v>
      </c>
      <c r="I3910" s="164" t="str">
        <f ca="1">IFERROR(__xludf.DUMMYFUNCTION("""COMPUTED_VALUE"""),"ENGINEERING AIDE")</f>
        <v>ENGINEERING AIDE</v>
      </c>
      <c r="J3910" s="164" t="str">
        <f ca="1">IFERROR(__xludf.DUMMYFUNCTION("""COMPUTED_VALUE"""),"DARCO PTR 2023-04-013S / DARRO PTR 2023-03-SP-009 / PAR SPLIT 2023-04-0025")</f>
        <v>DARCO PTR 2023-04-013S / DARRO PTR 2023-03-SP-009 / PAR SPLIT 2023-04-0025</v>
      </c>
      <c r="K3910" s="164" t="str">
        <f ca="1">IFERROR(__xludf.DUMMYFUNCTION("""COMPUTED_VALUE"""),"DANNY L. ROSALES")</f>
        <v>DANNY L. ROSALES</v>
      </c>
      <c r="L3910" s="164" t="str">
        <f ca="1">IFERROR(__xludf.DUMMYFUNCTION("""COMPUTED_VALUE"""),"DARPO")</f>
        <v>DARPO</v>
      </c>
      <c r="M3910" s="164" t="str">
        <f ca="1">IFERROR(__xludf.DUMMYFUNCTION("""COMPUTED_VALUE"""),"SERVICEABLE")</f>
        <v>SERVICEABLE</v>
      </c>
      <c r="N3910" s="164"/>
    </row>
    <row r="3911" spans="1:14" ht="13.2" hidden="1">
      <c r="A3911" s="164" t="str">
        <f ca="1">IFERROR(__xludf.DUMMYFUNCTION("""COMPUTED_VALUE"""),"Region XI")</f>
        <v>Region XI</v>
      </c>
      <c r="B3911" s="164" t="str">
        <f ca="1">IFERROR(__xludf.DUMMYFUNCTION("""COMPUTED_VALUE"""),"Davao de Oro")</f>
        <v>Davao de Oro</v>
      </c>
      <c r="C3911" s="164" t="str">
        <f ca="1">IFERROR(__xludf.DUMMYFUNCTION("""COMPUTED_VALUE"""),"Motorcycle – (Honda XRL 150)")</f>
        <v>Motorcycle – (Honda XRL 150)</v>
      </c>
      <c r="D3911" s="164" t="str">
        <f ca="1">IFERROR(__xludf.DUMMYFUNCTION("""COMPUTED_VALUE"""),"₱ 124,900.00")</f>
        <v>₱ 124,900.00</v>
      </c>
      <c r="E3911" s="164" t="str">
        <f ca="1">IFERROR(__xludf.DUMMYFUNCTION("""COMPUTED_VALUE"""),"₱ -")</f>
        <v>₱ -</v>
      </c>
      <c r="F3911" s="164" t="str">
        <f ca="1">IFERROR(__xludf.DUMMYFUNCTION("""COMPUTED_VALUE"""),"2023-06-01-10202SP634-01")</f>
        <v>2023-06-01-10202SP634-01</v>
      </c>
      <c r="G3911" s="164" t="str">
        <f ca="1">IFERROR(__xludf.DUMMYFUNCTION("""COMPUTED_VALUE"""),"no plate available")</f>
        <v>no plate available</v>
      </c>
      <c r="H3911" s="164" t="str">
        <f ca="1">IFERROR(__xludf.DUMMYFUNCTION("""COMPUTED_VALUE"""),"JOESITO A. VISAYA")</f>
        <v>JOESITO A. VISAYA</v>
      </c>
      <c r="I3911" s="164" t="str">
        <f ca="1">IFERROR(__xludf.DUMMYFUNCTION("""COMPUTED_VALUE"""),"ENGINEER II")</f>
        <v>ENGINEER II</v>
      </c>
      <c r="J3911" s="164" t="str">
        <f ca="1">IFERROR(__xludf.DUMMYFUNCTION("""COMPUTED_VALUE"""),"DARCO PTR 2023-04-013S / DARRO PTR 2023-03-SP-009 / PAR SPLIT 2023-04-0026")</f>
        <v>DARCO PTR 2023-04-013S / DARRO PTR 2023-03-SP-009 / PAR SPLIT 2023-04-0026</v>
      </c>
      <c r="K3911" s="164" t="str">
        <f ca="1">IFERROR(__xludf.DUMMYFUNCTION("""COMPUTED_VALUE"""),"JOESITO A. VISAYA")</f>
        <v>JOESITO A. VISAYA</v>
      </c>
      <c r="L3911" s="164" t="str">
        <f ca="1">IFERROR(__xludf.DUMMYFUNCTION("""COMPUTED_VALUE"""),"DARPO")</f>
        <v>DARPO</v>
      </c>
      <c r="M3911" s="164" t="str">
        <f ca="1">IFERROR(__xludf.DUMMYFUNCTION("""COMPUTED_VALUE"""),"SERVICEABLE")</f>
        <v>SERVICEABLE</v>
      </c>
      <c r="N3911" s="164"/>
    </row>
    <row r="3912" spans="1:14" ht="13.2">
      <c r="A3912" s="164" t="str">
        <f ca="1">IFERROR(__xludf.DUMMYFUNCTION("""COMPUTED_VALUE"""),"Region XI")</f>
        <v>Region XI</v>
      </c>
      <c r="B3912" s="164" t="str">
        <f ca="1">IFERROR(__xludf.DUMMYFUNCTION("""COMPUTED_VALUE"""),"Davao Oriental")</f>
        <v>Davao Oriental</v>
      </c>
      <c r="C3912" s="164" t="str">
        <f ca="1">IFERROR(__xludf.DUMMYFUNCTION("""COMPUTED_VALUE"""),"Motorcycle – (Honda XRL 150)")</f>
        <v>Motorcycle – (Honda XRL 150)</v>
      </c>
      <c r="D3912" s="164" t="str">
        <f ca="1">IFERROR(__xludf.DUMMYFUNCTION("""COMPUTED_VALUE"""),"₱ 124,900.00")</f>
        <v>₱ 124,900.00</v>
      </c>
      <c r="E3912" s="164" t="str">
        <f ca="1">IFERROR(__xludf.DUMMYFUNCTION("""COMPUTED_VALUE"""),"₱ -")</f>
        <v>₱ -</v>
      </c>
      <c r="F3912" s="164" t="str">
        <f ca="1">IFERROR(__xludf.DUMMYFUNCTION("""COMPUTED_VALUE"""),"2023-06-01-10202SP635-01")</f>
        <v>2023-06-01-10202SP635-01</v>
      </c>
      <c r="G3912" s="164" t="str">
        <f ca="1">IFERROR(__xludf.DUMMYFUNCTION("""COMPUTED_VALUE"""),"no plate available")</f>
        <v>no plate available</v>
      </c>
      <c r="H3912" s="164" t="str">
        <f ca="1">IFERROR(__xludf.DUMMYFUNCTION("""COMPUTED_VALUE"""),"RANDY ORELLANIDA")</f>
        <v>RANDY ORELLANIDA</v>
      </c>
      <c r="I3912" s="164" t="str">
        <f ca="1">IFERROR(__xludf.DUMMYFUNCTION("""COMPUTED_VALUE"""),"CARTOGRAPHER")</f>
        <v>CARTOGRAPHER</v>
      </c>
      <c r="J3912" s="164" t="str">
        <f ca="1">IFERROR(__xludf.DUMMYFUNCTION("""COMPUTED_VALUE"""),"DARCO PTR 2023-04-013S / DARRO PTR 2023-03-SP-010 / PAR __")</f>
        <v>DARCO PTR 2023-04-013S / DARRO PTR 2023-03-SP-010 / PAR __</v>
      </c>
      <c r="K3912" s="164" t="str">
        <f ca="1">IFERROR(__xludf.DUMMYFUNCTION("""COMPUTED_VALUE"""),"RANDY ORELLANIDA")</f>
        <v>RANDY ORELLANIDA</v>
      </c>
      <c r="L3912" s="164" t="str">
        <f ca="1">IFERROR(__xludf.DUMMYFUNCTION("""COMPUTED_VALUE"""),"LTID")</f>
        <v>LTID</v>
      </c>
      <c r="M3912" s="164" t="str">
        <f ca="1">IFERROR(__xludf.DUMMYFUNCTION("""COMPUTED_VALUE"""),"SERVICEABLE")</f>
        <v>SERVICEABLE</v>
      </c>
      <c r="N3912" s="164" t="str">
        <f ca="1">IFERROR(__xludf.DUMMYFUNCTION("""COMPUTED_VALUE"""),"NO PAR No.")</f>
        <v>NO PAR No.</v>
      </c>
    </row>
    <row r="3913" spans="1:14" ht="13.2">
      <c r="A3913" s="164" t="str">
        <f ca="1">IFERROR(__xludf.DUMMYFUNCTION("""COMPUTED_VALUE"""),"Region XI")</f>
        <v>Region XI</v>
      </c>
      <c r="B3913" s="164" t="str">
        <f ca="1">IFERROR(__xludf.DUMMYFUNCTION("""COMPUTED_VALUE"""),"Davao Oriental")</f>
        <v>Davao Oriental</v>
      </c>
      <c r="C3913" s="164" t="str">
        <f ca="1">IFERROR(__xludf.DUMMYFUNCTION("""COMPUTED_VALUE"""),"Motorcycle – (Honda XRL 150)")</f>
        <v>Motorcycle – (Honda XRL 150)</v>
      </c>
      <c r="D3913" s="164" t="str">
        <f ca="1">IFERROR(__xludf.DUMMYFUNCTION("""COMPUTED_VALUE"""),"₱ 124,900.00")</f>
        <v>₱ 124,900.00</v>
      </c>
      <c r="E3913" s="164" t="str">
        <f ca="1">IFERROR(__xludf.DUMMYFUNCTION("""COMPUTED_VALUE"""),"₱ -")</f>
        <v>₱ -</v>
      </c>
      <c r="F3913" s="164" t="str">
        <f ca="1">IFERROR(__xludf.DUMMYFUNCTION("""COMPUTED_VALUE"""),"2023-06-01-10202SP636-01")</f>
        <v>2023-06-01-10202SP636-01</v>
      </c>
      <c r="G3913" s="164" t="str">
        <f ca="1">IFERROR(__xludf.DUMMYFUNCTION("""COMPUTED_VALUE"""),"no plate available")</f>
        <v>no plate available</v>
      </c>
      <c r="H3913" s="164" t="str">
        <f ca="1">IFERROR(__xludf.DUMMYFUNCTION("""COMPUTED_VALUE"""),"REMI N. LUCERNAS")</f>
        <v>REMI N. LUCERNAS</v>
      </c>
      <c r="I3913" s="164" t="str">
        <f ca="1">IFERROR(__xludf.DUMMYFUNCTION("""COMPUTED_VALUE"""),"ARPT")</f>
        <v>ARPT</v>
      </c>
      <c r="J3913" s="164" t="str">
        <f ca="1">IFERROR(__xludf.DUMMYFUNCTION("""COMPUTED_VALUE"""),"DARCO PTR 2023-04-013S / DARRO PTR 2023-03-SP-010 / PAR __")</f>
        <v>DARCO PTR 2023-04-013S / DARRO PTR 2023-03-SP-010 / PAR __</v>
      </c>
      <c r="K3913" s="164" t="str">
        <f ca="1">IFERROR(__xludf.DUMMYFUNCTION("""COMPUTED_VALUE"""),"REMI N. LUCERNAS")</f>
        <v>REMI N. LUCERNAS</v>
      </c>
      <c r="L3913" s="164" t="str">
        <f ca="1">IFERROR(__xludf.DUMMYFUNCTION("""COMPUTED_VALUE"""),"DARMO-SAN ISIDRO")</f>
        <v>DARMO-SAN ISIDRO</v>
      </c>
      <c r="M3913" s="164" t="str">
        <f ca="1">IFERROR(__xludf.DUMMYFUNCTION("""COMPUTED_VALUE"""),"SERVICEABLE")</f>
        <v>SERVICEABLE</v>
      </c>
      <c r="N3913" s="164" t="str">
        <f ca="1">IFERROR(__xludf.DUMMYFUNCTION("""COMPUTED_VALUE"""),"NO PAR No.")</f>
        <v>NO PAR No.</v>
      </c>
    </row>
    <row r="3914" spans="1:14" ht="13.2">
      <c r="A3914" s="164" t="str">
        <f ca="1">IFERROR(__xludf.DUMMYFUNCTION("""COMPUTED_VALUE"""),"Region XI")</f>
        <v>Region XI</v>
      </c>
      <c r="B3914" s="164" t="str">
        <f ca="1">IFERROR(__xludf.DUMMYFUNCTION("""COMPUTED_VALUE"""),"Davao Oriental")</f>
        <v>Davao Oriental</v>
      </c>
      <c r="C3914" s="164" t="str">
        <f ca="1">IFERROR(__xludf.DUMMYFUNCTION("""COMPUTED_VALUE"""),"Motorcycle – (Honda XRL 150)")</f>
        <v>Motorcycle – (Honda XRL 150)</v>
      </c>
      <c r="D3914" s="164" t="str">
        <f ca="1">IFERROR(__xludf.DUMMYFUNCTION("""COMPUTED_VALUE"""),"₱ 124,900.00")</f>
        <v>₱ 124,900.00</v>
      </c>
      <c r="E3914" s="164" t="str">
        <f ca="1">IFERROR(__xludf.DUMMYFUNCTION("""COMPUTED_VALUE"""),"₱ -")</f>
        <v>₱ -</v>
      </c>
      <c r="F3914" s="164" t="str">
        <f ca="1">IFERROR(__xludf.DUMMYFUNCTION("""COMPUTED_VALUE"""),"2023-06-01-10202SP637-01")</f>
        <v>2023-06-01-10202SP637-01</v>
      </c>
      <c r="G3914" s="164" t="str">
        <f ca="1">IFERROR(__xludf.DUMMYFUNCTION("""COMPUTED_VALUE"""),"no plate available")</f>
        <v>no plate available</v>
      </c>
      <c r="H3914" s="164" t="str">
        <f ca="1">IFERROR(__xludf.DUMMYFUNCTION("""COMPUTED_VALUE"""),"RHEA MAE SALIMABJON")</f>
        <v>RHEA MAE SALIMABJON</v>
      </c>
      <c r="I3914" s="164" t="str">
        <f ca="1">IFERROR(__xludf.DUMMYFUNCTION("""COMPUTED_VALUE"""),"ARPT")</f>
        <v>ARPT</v>
      </c>
      <c r="J3914" s="164" t="str">
        <f ca="1">IFERROR(__xludf.DUMMYFUNCTION("""COMPUTED_VALUE"""),"DARCO PTR 2023-04-013S / DARRO PTR 2023-03-SP-010 / PAR __")</f>
        <v>DARCO PTR 2023-04-013S / DARRO PTR 2023-03-SP-010 / PAR __</v>
      </c>
      <c r="K3914" s="164" t="str">
        <f ca="1">IFERROR(__xludf.DUMMYFUNCTION("""COMPUTED_VALUE"""),"RHEA MAE SALIMABJON")</f>
        <v>RHEA MAE SALIMABJON</v>
      </c>
      <c r="L3914" s="164" t="str">
        <f ca="1">IFERROR(__xludf.DUMMYFUNCTION("""COMPUTED_VALUE"""),"DARMO-TARRAGONA")</f>
        <v>DARMO-TARRAGONA</v>
      </c>
      <c r="M3914" s="164" t="str">
        <f ca="1">IFERROR(__xludf.DUMMYFUNCTION("""COMPUTED_VALUE"""),"SERVICEABLE")</f>
        <v>SERVICEABLE</v>
      </c>
      <c r="N3914" s="164" t="str">
        <f ca="1">IFERROR(__xludf.DUMMYFUNCTION("""COMPUTED_VALUE"""),"NO PAR No.")</f>
        <v>NO PAR No.</v>
      </c>
    </row>
    <row r="3915" spans="1:14" ht="13.2">
      <c r="A3915" s="164" t="str">
        <f ca="1">IFERROR(__xludf.DUMMYFUNCTION("""COMPUTED_VALUE"""),"Region XI")</f>
        <v>Region XI</v>
      </c>
      <c r="B3915" s="164" t="str">
        <f ca="1">IFERROR(__xludf.DUMMYFUNCTION("""COMPUTED_VALUE"""),"Davao Oriental")</f>
        <v>Davao Oriental</v>
      </c>
      <c r="C3915" s="164" t="str">
        <f ca="1">IFERROR(__xludf.DUMMYFUNCTION("""COMPUTED_VALUE"""),"Motorcycle – (Honda XRL 150)")</f>
        <v>Motorcycle – (Honda XRL 150)</v>
      </c>
      <c r="D3915" s="164" t="str">
        <f ca="1">IFERROR(__xludf.DUMMYFUNCTION("""COMPUTED_VALUE"""),"₱ 124,900.00")</f>
        <v>₱ 124,900.00</v>
      </c>
      <c r="E3915" s="164" t="str">
        <f ca="1">IFERROR(__xludf.DUMMYFUNCTION("""COMPUTED_VALUE"""),"₱ -")</f>
        <v>₱ -</v>
      </c>
      <c r="F3915" s="164" t="str">
        <f ca="1">IFERROR(__xludf.DUMMYFUNCTION("""COMPUTED_VALUE"""),"2023-06-01-10202SP638-01")</f>
        <v>2023-06-01-10202SP638-01</v>
      </c>
      <c r="G3915" s="164" t="str">
        <f ca="1">IFERROR(__xludf.DUMMYFUNCTION("""COMPUTED_VALUE"""),"no plate available")</f>
        <v>no plate available</v>
      </c>
      <c r="H3915" s="164" t="str">
        <f ca="1">IFERROR(__xludf.DUMMYFUNCTION("""COMPUTED_VALUE"""),"JHON REY CUBILLO")</f>
        <v>JHON REY CUBILLO</v>
      </c>
      <c r="I3915" s="164" t="str">
        <f ca="1">IFERROR(__xludf.DUMMYFUNCTION("""COMPUTED_VALUE"""),"ARPO II")</f>
        <v>ARPO II</v>
      </c>
      <c r="J3915" s="164" t="str">
        <f ca="1">IFERROR(__xludf.DUMMYFUNCTION("""COMPUTED_VALUE"""),"DARCO PTR 2023-04-013S / DARRO PTR 2023-03-SP-010 / PAR __")</f>
        <v>DARCO PTR 2023-04-013S / DARRO PTR 2023-03-SP-010 / PAR __</v>
      </c>
      <c r="K3915" s="164" t="str">
        <f ca="1">IFERROR(__xludf.DUMMYFUNCTION("""COMPUTED_VALUE"""),"JHON REY CUBILLO")</f>
        <v>JHON REY CUBILLO</v>
      </c>
      <c r="L3915" s="164" t="str">
        <f ca="1">IFERROR(__xludf.DUMMYFUNCTION("""COMPUTED_VALUE"""),"LEGAL")</f>
        <v>LEGAL</v>
      </c>
      <c r="M3915" s="164" t="str">
        <f ca="1">IFERROR(__xludf.DUMMYFUNCTION("""COMPUTED_VALUE"""),"SERVICEABLE")</f>
        <v>SERVICEABLE</v>
      </c>
      <c r="N3915" s="164" t="str">
        <f ca="1">IFERROR(__xludf.DUMMYFUNCTION("""COMPUTED_VALUE"""),"NO PAR No.")</f>
        <v>NO PAR No.</v>
      </c>
    </row>
    <row r="3916" spans="1:14" ht="13.2">
      <c r="A3916" s="164" t="str">
        <f ca="1">IFERROR(__xludf.DUMMYFUNCTION("""COMPUTED_VALUE"""),"Region XI")</f>
        <v>Region XI</v>
      </c>
      <c r="B3916" s="164" t="str">
        <f ca="1">IFERROR(__xludf.DUMMYFUNCTION("""COMPUTED_VALUE"""),"Davao Oriental")</f>
        <v>Davao Oriental</v>
      </c>
      <c r="C3916" s="164" t="str">
        <f ca="1">IFERROR(__xludf.DUMMYFUNCTION("""COMPUTED_VALUE"""),"Motorcycle – (Honda XRL 150)")</f>
        <v>Motorcycle – (Honda XRL 150)</v>
      </c>
      <c r="D3916" s="164" t="str">
        <f ca="1">IFERROR(__xludf.DUMMYFUNCTION("""COMPUTED_VALUE"""),"₱ 124,900.00")</f>
        <v>₱ 124,900.00</v>
      </c>
      <c r="E3916" s="164" t="str">
        <f ca="1">IFERROR(__xludf.DUMMYFUNCTION("""COMPUTED_VALUE"""),"₱ -")</f>
        <v>₱ -</v>
      </c>
      <c r="F3916" s="164" t="str">
        <f ca="1">IFERROR(__xludf.DUMMYFUNCTION("""COMPUTED_VALUE"""),"2023-06-01-10202SP639-01")</f>
        <v>2023-06-01-10202SP639-01</v>
      </c>
      <c r="G3916" s="164" t="str">
        <f ca="1">IFERROR(__xludf.DUMMYFUNCTION("""COMPUTED_VALUE"""),"no plate available")</f>
        <v>no plate available</v>
      </c>
      <c r="H3916" s="164" t="str">
        <f ca="1">IFERROR(__xludf.DUMMYFUNCTION("""COMPUTED_VALUE"""),"RAUL LOPEZ")</f>
        <v>RAUL LOPEZ</v>
      </c>
      <c r="I3916" s="164" t="str">
        <f ca="1">IFERROR(__xludf.DUMMYFUNCTION("""COMPUTED_VALUE"""),"ARPT")</f>
        <v>ARPT</v>
      </c>
      <c r="J3916" s="164" t="str">
        <f ca="1">IFERROR(__xludf.DUMMYFUNCTION("""COMPUTED_VALUE"""),"DARCO PTR 2023-04-013S / DARRO PTR 2023-03-SP-010 / PAR __")</f>
        <v>DARCO PTR 2023-04-013S / DARRO PTR 2023-03-SP-010 / PAR __</v>
      </c>
      <c r="K3916" s="164" t="str">
        <f ca="1">IFERROR(__xludf.DUMMYFUNCTION("""COMPUTED_VALUE"""),"RAUL LOPEZ")</f>
        <v>RAUL LOPEZ</v>
      </c>
      <c r="L3916" s="164" t="str">
        <f ca="1">IFERROR(__xludf.DUMMYFUNCTION("""COMPUTED_VALUE"""),"DARMO-BOSTON")</f>
        <v>DARMO-BOSTON</v>
      </c>
      <c r="M3916" s="164" t="str">
        <f ca="1">IFERROR(__xludf.DUMMYFUNCTION("""COMPUTED_VALUE"""),"SERVICEABLE")</f>
        <v>SERVICEABLE</v>
      </c>
      <c r="N3916" s="164" t="str">
        <f ca="1">IFERROR(__xludf.DUMMYFUNCTION("""COMPUTED_VALUE"""),"NO PAR No.")</f>
        <v>NO PAR No.</v>
      </c>
    </row>
    <row r="3917" spans="1:14" ht="13.2">
      <c r="A3917" s="164" t="str">
        <f ca="1">IFERROR(__xludf.DUMMYFUNCTION("""COMPUTED_VALUE"""),"Region XI")</f>
        <v>Region XI</v>
      </c>
      <c r="B3917" s="164" t="str">
        <f ca="1">IFERROR(__xludf.DUMMYFUNCTION("""COMPUTED_VALUE"""),"Davao Oriental")</f>
        <v>Davao Oriental</v>
      </c>
      <c r="C3917" s="164" t="str">
        <f ca="1">IFERROR(__xludf.DUMMYFUNCTION("""COMPUTED_VALUE"""),"Motorcycle – (Honda XRL 150)")</f>
        <v>Motorcycle – (Honda XRL 150)</v>
      </c>
      <c r="D3917" s="164" t="str">
        <f ca="1">IFERROR(__xludf.DUMMYFUNCTION("""COMPUTED_VALUE"""),"₱ 124,900.00")</f>
        <v>₱ 124,900.00</v>
      </c>
      <c r="E3917" s="164" t="str">
        <f ca="1">IFERROR(__xludf.DUMMYFUNCTION("""COMPUTED_VALUE"""),"₱ -")</f>
        <v>₱ -</v>
      </c>
      <c r="F3917" s="164" t="str">
        <f ca="1">IFERROR(__xludf.DUMMYFUNCTION("""COMPUTED_VALUE"""),"2023-06-01-10202SP640-01")</f>
        <v>2023-06-01-10202SP640-01</v>
      </c>
      <c r="G3917" s="164" t="str">
        <f ca="1">IFERROR(__xludf.DUMMYFUNCTION("""COMPUTED_VALUE"""),"no plate available")</f>
        <v>no plate available</v>
      </c>
      <c r="H3917" s="164" t="str">
        <f ca="1">IFERROR(__xludf.DUMMYFUNCTION("""COMPUTED_VALUE"""),"NOE SETON")</f>
        <v>NOE SETON</v>
      </c>
      <c r="I3917" s="164" t="str">
        <f ca="1">IFERROR(__xludf.DUMMYFUNCTION("""COMPUTED_VALUE"""),"ENGINEERING AIDE")</f>
        <v>ENGINEERING AIDE</v>
      </c>
      <c r="J3917" s="164" t="str">
        <f ca="1">IFERROR(__xludf.DUMMYFUNCTION("""COMPUTED_VALUE"""),"DARCO PTR 2023-04-013S / DARRO PTR 2023-03-SP-010 / PAR __")</f>
        <v>DARCO PTR 2023-04-013S / DARRO PTR 2023-03-SP-010 / PAR __</v>
      </c>
      <c r="K3917" s="164" t="str">
        <f ca="1">IFERROR(__xludf.DUMMYFUNCTION("""COMPUTED_VALUE"""),"NOE SETON")</f>
        <v>NOE SETON</v>
      </c>
      <c r="L3917" s="164" t="str">
        <f ca="1">IFERROR(__xludf.DUMMYFUNCTION("""COMPUTED_VALUE"""),"DARMO-BANAYBANAY")</f>
        <v>DARMO-BANAYBANAY</v>
      </c>
      <c r="M3917" s="164" t="str">
        <f ca="1">IFERROR(__xludf.DUMMYFUNCTION("""COMPUTED_VALUE"""),"SERVICEABLE")</f>
        <v>SERVICEABLE</v>
      </c>
      <c r="N3917" s="164" t="str">
        <f ca="1">IFERROR(__xludf.DUMMYFUNCTION("""COMPUTED_VALUE"""),"NO PAR No.")</f>
        <v>NO PAR No.</v>
      </c>
    </row>
    <row r="3918" spans="1:14" ht="13.2">
      <c r="A3918" s="164" t="str">
        <f ca="1">IFERROR(__xludf.DUMMYFUNCTION("""COMPUTED_VALUE"""),"Region XI")</f>
        <v>Region XI</v>
      </c>
      <c r="B3918" s="164" t="str">
        <f ca="1">IFERROR(__xludf.DUMMYFUNCTION("""COMPUTED_VALUE"""),"Davao Oriental")</f>
        <v>Davao Oriental</v>
      </c>
      <c r="C3918" s="164" t="str">
        <f ca="1">IFERROR(__xludf.DUMMYFUNCTION("""COMPUTED_VALUE"""),"Motorcycle – (Honda XRL 150)")</f>
        <v>Motorcycle – (Honda XRL 150)</v>
      </c>
      <c r="D3918" s="164" t="str">
        <f ca="1">IFERROR(__xludf.DUMMYFUNCTION("""COMPUTED_VALUE"""),"₱ 124,900.00")</f>
        <v>₱ 124,900.00</v>
      </c>
      <c r="E3918" s="164" t="str">
        <f ca="1">IFERROR(__xludf.DUMMYFUNCTION("""COMPUTED_VALUE"""),"₱ -")</f>
        <v>₱ -</v>
      </c>
      <c r="F3918" s="164" t="str">
        <f ca="1">IFERROR(__xludf.DUMMYFUNCTION("""COMPUTED_VALUE"""),"2023-06-01-10202SP641-01")</f>
        <v>2023-06-01-10202SP641-01</v>
      </c>
      <c r="G3918" s="164" t="str">
        <f ca="1">IFERROR(__xludf.DUMMYFUNCTION("""COMPUTED_VALUE"""),"no plate available")</f>
        <v>no plate available</v>
      </c>
      <c r="H3918" s="164" t="str">
        <f ca="1">IFERROR(__xludf.DUMMYFUNCTION("""COMPUTED_VALUE"""),"DANIEL APALE")</f>
        <v>DANIEL APALE</v>
      </c>
      <c r="I3918" s="164" t="str">
        <f ca="1">IFERROR(__xludf.DUMMYFUNCTION("""COMPUTED_VALUE"""),"ARPT")</f>
        <v>ARPT</v>
      </c>
      <c r="J3918" s="164" t="str">
        <f ca="1">IFERROR(__xludf.DUMMYFUNCTION("""COMPUTED_VALUE"""),"DARCO PTR 2023-04-013S / DARRO PTR 2023-03-SP-010 / PAR __")</f>
        <v>DARCO PTR 2023-04-013S / DARRO PTR 2023-03-SP-010 / PAR __</v>
      </c>
      <c r="K3918" s="164" t="str">
        <f ca="1">IFERROR(__xludf.DUMMYFUNCTION("""COMPUTED_VALUE"""),"DANIEL APALE")</f>
        <v>DANIEL APALE</v>
      </c>
      <c r="L3918" s="164" t="str">
        <f ca="1">IFERROR(__xludf.DUMMYFUNCTION("""COMPUTED_VALUE"""),"LTID")</f>
        <v>LTID</v>
      </c>
      <c r="M3918" s="164" t="str">
        <f ca="1">IFERROR(__xludf.DUMMYFUNCTION("""COMPUTED_VALUE"""),"SERVICEABLE")</f>
        <v>SERVICEABLE</v>
      </c>
      <c r="N3918" s="164" t="str">
        <f ca="1">IFERROR(__xludf.DUMMYFUNCTION("""COMPUTED_VALUE"""),"NO PAR No.")</f>
        <v>NO PAR No.</v>
      </c>
    </row>
    <row r="3919" spans="1:14" ht="13.2">
      <c r="A3919" s="164" t="str">
        <f ca="1">IFERROR(__xludf.DUMMYFUNCTION("""COMPUTED_VALUE"""),"Region XI")</f>
        <v>Region XI</v>
      </c>
      <c r="B3919" s="164" t="str">
        <f ca="1">IFERROR(__xludf.DUMMYFUNCTION("""COMPUTED_VALUE"""),"Davao Oriental")</f>
        <v>Davao Oriental</v>
      </c>
      <c r="C3919" s="164" t="str">
        <f ca="1">IFERROR(__xludf.DUMMYFUNCTION("""COMPUTED_VALUE"""),"Motorcycle – (Honda XRL 150)")</f>
        <v>Motorcycle – (Honda XRL 150)</v>
      </c>
      <c r="D3919" s="164" t="str">
        <f ca="1">IFERROR(__xludf.DUMMYFUNCTION("""COMPUTED_VALUE"""),"₱ 124,900.00")</f>
        <v>₱ 124,900.00</v>
      </c>
      <c r="E3919" s="164" t="str">
        <f ca="1">IFERROR(__xludf.DUMMYFUNCTION("""COMPUTED_VALUE"""),"₱ -")</f>
        <v>₱ -</v>
      </c>
      <c r="F3919" s="164" t="str">
        <f ca="1">IFERROR(__xludf.DUMMYFUNCTION("""COMPUTED_VALUE"""),"2023-06-01-10202SP642-01")</f>
        <v>2023-06-01-10202SP642-01</v>
      </c>
      <c r="G3919" s="164" t="str">
        <f ca="1">IFERROR(__xludf.DUMMYFUNCTION("""COMPUTED_VALUE"""),"no plate available")</f>
        <v>no plate available</v>
      </c>
      <c r="H3919" s="164"/>
      <c r="I3919" s="164"/>
      <c r="J3919" s="164" t="str">
        <f ca="1">IFERROR(__xludf.DUMMYFUNCTION("""COMPUTED_VALUE"""),"DARCO PTR 2023-04-013S / DARRO PTR 2023-03-SP-010 / PAR __")</f>
        <v>DARCO PTR 2023-04-013S / DARRO PTR 2023-03-SP-010 / PAR __</v>
      </c>
      <c r="K3919" s="164"/>
      <c r="L3919" s="164"/>
      <c r="M3919" s="164" t="str">
        <f ca="1">IFERROR(__xludf.DUMMYFUNCTION("""COMPUTED_VALUE"""),"SERVICEABLE")</f>
        <v>SERVICEABLE</v>
      </c>
      <c r="N3919" s="164" t="str">
        <f ca="1">IFERROR(__xludf.DUMMYFUNCTION("""COMPUTED_VALUE"""),"NO PAR Forwarded from province/ NO PAR No.")</f>
        <v>NO PAR Forwarded from province/ NO PAR No.</v>
      </c>
    </row>
    <row r="3920" spans="1:14" ht="13.2">
      <c r="A3920" s="164" t="str">
        <f ca="1">IFERROR(__xludf.DUMMYFUNCTION("""COMPUTED_VALUE"""),"Region XI")</f>
        <v>Region XI</v>
      </c>
      <c r="B3920" s="164" t="str">
        <f ca="1">IFERROR(__xludf.DUMMYFUNCTION("""COMPUTED_VALUE"""),"Davao Oriental")</f>
        <v>Davao Oriental</v>
      </c>
      <c r="C3920" s="164" t="str">
        <f ca="1">IFERROR(__xludf.DUMMYFUNCTION("""COMPUTED_VALUE"""),"Motorcycle – (Honda XRL 150)")</f>
        <v>Motorcycle – (Honda XRL 150)</v>
      </c>
      <c r="D3920" s="164" t="str">
        <f ca="1">IFERROR(__xludf.DUMMYFUNCTION("""COMPUTED_VALUE"""),"₱ 124,900.00")</f>
        <v>₱ 124,900.00</v>
      </c>
      <c r="E3920" s="164" t="str">
        <f ca="1">IFERROR(__xludf.DUMMYFUNCTION("""COMPUTED_VALUE"""),"₱ -")</f>
        <v>₱ -</v>
      </c>
      <c r="F3920" s="164" t="str">
        <f ca="1">IFERROR(__xludf.DUMMYFUNCTION("""COMPUTED_VALUE"""),"2023-06-01-10202SP643-01")</f>
        <v>2023-06-01-10202SP643-01</v>
      </c>
      <c r="G3920" s="164" t="str">
        <f ca="1">IFERROR(__xludf.DUMMYFUNCTION("""COMPUTED_VALUE"""),"no plate available")</f>
        <v>no plate available</v>
      </c>
      <c r="H3920" s="164" t="str">
        <f ca="1">IFERROR(__xludf.DUMMYFUNCTION("""COMPUTED_VALUE"""),"ALLAN PATRICK MALUBAY")</f>
        <v>ALLAN PATRICK MALUBAY</v>
      </c>
      <c r="I3920" s="164" t="str">
        <f ca="1">IFERROR(__xludf.DUMMYFUNCTION("""COMPUTED_VALUE"""),"ARPT")</f>
        <v>ARPT</v>
      </c>
      <c r="J3920" s="164" t="str">
        <f ca="1">IFERROR(__xludf.DUMMYFUNCTION("""COMPUTED_VALUE"""),"DARCO PTR 2023-04-013S / DARRO PTR 2023-03-SP-010 / PAR __")</f>
        <v>DARCO PTR 2023-04-013S / DARRO PTR 2023-03-SP-010 / PAR __</v>
      </c>
      <c r="K3920" s="164" t="str">
        <f ca="1">IFERROR(__xludf.DUMMYFUNCTION("""COMPUTED_VALUE"""),"ALLAN PATRICK MALUBAY")</f>
        <v>ALLAN PATRICK MALUBAY</v>
      </c>
      <c r="L3920" s="164" t="str">
        <f ca="1">IFERROR(__xludf.DUMMYFUNCTION("""COMPUTED_VALUE"""),"DARMO-MATI")</f>
        <v>DARMO-MATI</v>
      </c>
      <c r="M3920" s="164" t="str">
        <f ca="1">IFERROR(__xludf.DUMMYFUNCTION("""COMPUTED_VALUE"""),"SERVICEABLE")</f>
        <v>SERVICEABLE</v>
      </c>
      <c r="N3920" s="164" t="str">
        <f ca="1">IFERROR(__xludf.DUMMYFUNCTION("""COMPUTED_VALUE"""),"NO PAR No.")</f>
        <v>NO PAR No.</v>
      </c>
    </row>
    <row r="3921" spans="1:14" ht="13.2">
      <c r="A3921" s="164" t="str">
        <f ca="1">IFERROR(__xludf.DUMMYFUNCTION("""COMPUTED_VALUE"""),"Region XI")</f>
        <v>Region XI</v>
      </c>
      <c r="B3921" s="164" t="str">
        <f ca="1">IFERROR(__xludf.DUMMYFUNCTION("""COMPUTED_VALUE"""),"Davao Oriental")</f>
        <v>Davao Oriental</v>
      </c>
      <c r="C3921" s="164" t="str">
        <f ca="1">IFERROR(__xludf.DUMMYFUNCTION("""COMPUTED_VALUE"""),"Motorcycle – (Honda XRL 150)")</f>
        <v>Motorcycle – (Honda XRL 150)</v>
      </c>
      <c r="D3921" s="164" t="str">
        <f ca="1">IFERROR(__xludf.DUMMYFUNCTION("""COMPUTED_VALUE"""),"₱ 124,900.00")</f>
        <v>₱ 124,900.00</v>
      </c>
      <c r="E3921" s="164" t="str">
        <f ca="1">IFERROR(__xludf.DUMMYFUNCTION("""COMPUTED_VALUE"""),"₱ -")</f>
        <v>₱ -</v>
      </c>
      <c r="F3921" s="164" t="str">
        <f ca="1">IFERROR(__xludf.DUMMYFUNCTION("""COMPUTED_VALUE"""),"2023-06-01-10202SP644-01")</f>
        <v>2023-06-01-10202SP644-01</v>
      </c>
      <c r="G3921" s="164" t="str">
        <f ca="1">IFERROR(__xludf.DUMMYFUNCTION("""COMPUTED_VALUE"""),"no plate available")</f>
        <v>no plate available</v>
      </c>
      <c r="H3921" s="164" t="str">
        <f ca="1">IFERROR(__xludf.DUMMYFUNCTION("""COMPUTED_VALUE"""),"EDUARDO E. SUAYBAGUIO")</f>
        <v>EDUARDO E. SUAYBAGUIO</v>
      </c>
      <c r="I3921" s="164" t="str">
        <f ca="1">IFERROR(__xludf.DUMMYFUNCTION("""COMPUTED_VALUE"""),"PARPO II")</f>
        <v>PARPO II</v>
      </c>
      <c r="J3921" s="164" t="str">
        <f ca="1">IFERROR(__xludf.DUMMYFUNCTION("""COMPUTED_VALUE"""),"DARCO PTR 2023-04-013S / DARRO PTR 2023-03-SP-010 / PAR __")</f>
        <v>DARCO PTR 2023-04-013S / DARRO PTR 2023-03-SP-010 / PAR __</v>
      </c>
      <c r="K3921" s="164" t="str">
        <f ca="1">IFERROR(__xludf.DUMMYFUNCTION("""COMPUTED_VALUE"""),"EDUARDO E. SUAYBAGUIO")</f>
        <v>EDUARDO E. SUAYBAGUIO</v>
      </c>
      <c r="L3921" s="164"/>
      <c r="M3921" s="164" t="str">
        <f ca="1">IFERROR(__xludf.DUMMYFUNCTION("""COMPUTED_VALUE"""),"SERVICEABLE")</f>
        <v>SERVICEABLE</v>
      </c>
      <c r="N3921" s="164" t="str">
        <f ca="1">IFERROR(__xludf.DUMMYFUNCTION("""COMPUTED_VALUE"""),"NO PAR No.")</f>
        <v>NO PAR No.</v>
      </c>
    </row>
    <row r="3922" spans="1:14" ht="13.2">
      <c r="A3922" s="164" t="str">
        <f ca="1">IFERROR(__xludf.DUMMYFUNCTION("""COMPUTED_VALUE"""),"Region XI")</f>
        <v>Region XI</v>
      </c>
      <c r="B3922" s="164" t="str">
        <f ca="1">IFERROR(__xludf.DUMMYFUNCTION("""COMPUTED_VALUE"""),"Davao Oriental")</f>
        <v>Davao Oriental</v>
      </c>
      <c r="C3922" s="164" t="str">
        <f ca="1">IFERROR(__xludf.DUMMYFUNCTION("""COMPUTED_VALUE"""),"Motorcycle – (Honda XRL 150)")</f>
        <v>Motorcycle – (Honda XRL 150)</v>
      </c>
      <c r="D3922" s="164" t="str">
        <f ca="1">IFERROR(__xludf.DUMMYFUNCTION("""COMPUTED_VALUE"""),"₱ 124,900.00")</f>
        <v>₱ 124,900.00</v>
      </c>
      <c r="E3922" s="164" t="str">
        <f ca="1">IFERROR(__xludf.DUMMYFUNCTION("""COMPUTED_VALUE"""),"₱ -")</f>
        <v>₱ -</v>
      </c>
      <c r="F3922" s="164" t="str">
        <f ca="1">IFERROR(__xludf.DUMMYFUNCTION("""COMPUTED_VALUE"""),"2023-06-01-10202SP645-01")</f>
        <v>2023-06-01-10202SP645-01</v>
      </c>
      <c r="G3922" s="164" t="str">
        <f ca="1">IFERROR(__xludf.DUMMYFUNCTION("""COMPUTED_VALUE"""),"no plate available")</f>
        <v>no plate available</v>
      </c>
      <c r="H3922" s="164" t="str">
        <f ca="1">IFERROR(__xludf.DUMMYFUNCTION("""COMPUTED_VALUE"""),"JANYLITO LINSAG")</f>
        <v>JANYLITO LINSAG</v>
      </c>
      <c r="I3922" s="164" t="str">
        <f ca="1">IFERROR(__xludf.DUMMYFUNCTION("""COMPUTED_VALUE"""),"ARPT")</f>
        <v>ARPT</v>
      </c>
      <c r="J3922" s="164" t="str">
        <f ca="1">IFERROR(__xludf.DUMMYFUNCTION("""COMPUTED_VALUE"""),"DARCO PTR 2023-04-013S / DARRO PTR 2023-03-SP-010 / PAR __")</f>
        <v>DARCO PTR 2023-04-013S / DARRO PTR 2023-03-SP-010 / PAR __</v>
      </c>
      <c r="K3922" s="164" t="str">
        <f ca="1">IFERROR(__xludf.DUMMYFUNCTION("""COMPUTED_VALUE"""),"JANYLITO LINSAG")</f>
        <v>JANYLITO LINSAG</v>
      </c>
      <c r="L3922" s="164" t="str">
        <f ca="1">IFERROR(__xludf.DUMMYFUNCTION("""COMPUTED_VALUE"""),"DARMO-BAGANGA")</f>
        <v>DARMO-BAGANGA</v>
      </c>
      <c r="M3922" s="164" t="str">
        <f ca="1">IFERROR(__xludf.DUMMYFUNCTION("""COMPUTED_VALUE"""),"SERVICEABLE")</f>
        <v>SERVICEABLE</v>
      </c>
      <c r="N3922" s="164" t="str">
        <f ca="1">IFERROR(__xludf.DUMMYFUNCTION("""COMPUTED_VALUE"""),"NO PAR No.")</f>
        <v>NO PAR No.</v>
      </c>
    </row>
    <row r="3923" spans="1:14" ht="13.2">
      <c r="A3923" s="164" t="str">
        <f ca="1">IFERROR(__xludf.DUMMYFUNCTION("""COMPUTED_VALUE"""),"Region XI")</f>
        <v>Region XI</v>
      </c>
      <c r="B3923" s="164" t="str">
        <f ca="1">IFERROR(__xludf.DUMMYFUNCTION("""COMPUTED_VALUE"""),"Davao Oriental")</f>
        <v>Davao Oriental</v>
      </c>
      <c r="C3923" s="164" t="str">
        <f ca="1">IFERROR(__xludf.DUMMYFUNCTION("""COMPUTED_VALUE"""),"Motorcycle – (Honda XRL 150)")</f>
        <v>Motorcycle – (Honda XRL 150)</v>
      </c>
      <c r="D3923" s="164" t="str">
        <f ca="1">IFERROR(__xludf.DUMMYFUNCTION("""COMPUTED_VALUE"""),"₱ 124,900.00")</f>
        <v>₱ 124,900.00</v>
      </c>
      <c r="E3923" s="164" t="str">
        <f ca="1">IFERROR(__xludf.DUMMYFUNCTION("""COMPUTED_VALUE"""),"₱ -")</f>
        <v>₱ -</v>
      </c>
      <c r="F3923" s="164" t="str">
        <f ca="1">IFERROR(__xludf.DUMMYFUNCTION("""COMPUTED_VALUE"""),"2023-06-01-10202SP646-01")</f>
        <v>2023-06-01-10202SP646-01</v>
      </c>
      <c r="G3923" s="164" t="str">
        <f ca="1">IFERROR(__xludf.DUMMYFUNCTION("""COMPUTED_VALUE"""),"no plate available")</f>
        <v>no plate available</v>
      </c>
      <c r="H3923" s="164" t="str">
        <f ca="1">IFERROR(__xludf.DUMMYFUNCTION("""COMPUTED_VALUE"""),"DONNA BLANCA P. DUPA")</f>
        <v>DONNA BLANCA P. DUPA</v>
      </c>
      <c r="I3923" s="164" t="str">
        <f ca="1">IFERROR(__xludf.DUMMYFUNCTION("""COMPUTED_VALUE"""),"ACCOUNTANT II")</f>
        <v>ACCOUNTANT II</v>
      </c>
      <c r="J3923" s="164" t="str">
        <f ca="1">IFERROR(__xludf.DUMMYFUNCTION("""COMPUTED_VALUE"""),"DARCO PTR 2023-04-013S / DARRO PTR 2023-03-SP-010 / PAR __")</f>
        <v>DARCO PTR 2023-04-013S / DARRO PTR 2023-03-SP-010 / PAR __</v>
      </c>
      <c r="K3923" s="164" t="str">
        <f ca="1">IFERROR(__xludf.DUMMYFUNCTION("""COMPUTED_VALUE"""),"DONNA BLANCA P. DUPA")</f>
        <v>DONNA BLANCA P. DUPA</v>
      </c>
      <c r="L3923" s="164" t="str">
        <f ca="1">IFERROR(__xludf.DUMMYFUNCTION("""COMPUTED_VALUE"""),"STO")</f>
        <v>STO</v>
      </c>
      <c r="M3923" s="164" t="str">
        <f ca="1">IFERROR(__xludf.DUMMYFUNCTION("""COMPUTED_VALUE"""),"SERVICEABLE")</f>
        <v>SERVICEABLE</v>
      </c>
      <c r="N3923" s="164" t="str">
        <f ca="1">IFERROR(__xludf.DUMMYFUNCTION("""COMPUTED_VALUE"""),"NO PAR No.")</f>
        <v>NO PAR No.</v>
      </c>
    </row>
    <row r="3924" spans="1:14" ht="13.2">
      <c r="A3924" s="164" t="str">
        <f ca="1">IFERROR(__xludf.DUMMYFUNCTION("""COMPUTED_VALUE"""),"Region XI")</f>
        <v>Region XI</v>
      </c>
      <c r="B3924" s="164" t="str">
        <f ca="1">IFERROR(__xludf.DUMMYFUNCTION("""COMPUTED_VALUE"""),"Davao Oriental")</f>
        <v>Davao Oriental</v>
      </c>
      <c r="C3924" s="164" t="str">
        <f ca="1">IFERROR(__xludf.DUMMYFUNCTION("""COMPUTED_VALUE"""),"Motorcycle – (Honda XRL 150)")</f>
        <v>Motorcycle – (Honda XRL 150)</v>
      </c>
      <c r="D3924" s="164" t="str">
        <f ca="1">IFERROR(__xludf.DUMMYFUNCTION("""COMPUTED_VALUE"""),"₱ 124,900.00")</f>
        <v>₱ 124,900.00</v>
      </c>
      <c r="E3924" s="164" t="str">
        <f ca="1">IFERROR(__xludf.DUMMYFUNCTION("""COMPUTED_VALUE"""),"₱ -")</f>
        <v>₱ -</v>
      </c>
      <c r="F3924" s="164" t="str">
        <f ca="1">IFERROR(__xludf.DUMMYFUNCTION("""COMPUTED_VALUE"""),"2023-06-01-10202SP647-01")</f>
        <v>2023-06-01-10202SP647-01</v>
      </c>
      <c r="G3924" s="164" t="str">
        <f ca="1">IFERROR(__xludf.DUMMYFUNCTION("""COMPUTED_VALUE"""),"no plate available")</f>
        <v>no plate available</v>
      </c>
      <c r="H3924" s="164" t="str">
        <f ca="1">IFERROR(__xludf.DUMMYFUNCTION("""COMPUTED_VALUE"""),"CHRISTOPHER ROGER GAMALE")</f>
        <v>CHRISTOPHER ROGER GAMALE</v>
      </c>
      <c r="I3924" s="164" t="str">
        <f ca="1">IFERROR(__xludf.DUMMYFUNCTION("""COMPUTED_VALUE"""),"ARPT")</f>
        <v>ARPT</v>
      </c>
      <c r="J3924" s="164" t="str">
        <f ca="1">IFERROR(__xludf.DUMMYFUNCTION("""COMPUTED_VALUE"""),"DARCO PTR 2023-04-013S / DARRO PTR 2023-03-SP-010 / PAR __")</f>
        <v>DARCO PTR 2023-04-013S / DARRO PTR 2023-03-SP-010 / PAR __</v>
      </c>
      <c r="K3924" s="164" t="str">
        <f ca="1">IFERROR(__xludf.DUMMYFUNCTION("""COMPUTED_VALUE"""),"CHRISTOPHER ROGER GAMALE")</f>
        <v>CHRISTOPHER ROGER GAMALE</v>
      </c>
      <c r="L3924" s="164" t="str">
        <f ca="1">IFERROR(__xludf.DUMMYFUNCTION("""COMPUTED_VALUE"""),"DARMO-CARAGA")</f>
        <v>DARMO-CARAGA</v>
      </c>
      <c r="M3924" s="164" t="str">
        <f ca="1">IFERROR(__xludf.DUMMYFUNCTION("""COMPUTED_VALUE"""),"SERVICEABLE")</f>
        <v>SERVICEABLE</v>
      </c>
      <c r="N3924" s="164" t="str">
        <f ca="1">IFERROR(__xludf.DUMMYFUNCTION("""COMPUTED_VALUE"""),"NO PAR No.")</f>
        <v>NO PAR No.</v>
      </c>
    </row>
    <row r="3925" spans="1:14" ht="13.2">
      <c r="A3925" s="164" t="str">
        <f ca="1">IFERROR(__xludf.DUMMYFUNCTION("""COMPUTED_VALUE"""),"Region XI")</f>
        <v>Region XI</v>
      </c>
      <c r="B3925" s="164" t="str">
        <f ca="1">IFERROR(__xludf.DUMMYFUNCTION("""COMPUTED_VALUE"""),"Davao Oriental")</f>
        <v>Davao Oriental</v>
      </c>
      <c r="C3925" s="164" t="str">
        <f ca="1">IFERROR(__xludf.DUMMYFUNCTION("""COMPUTED_VALUE"""),"Motorcycle – (Honda XRL 150)")</f>
        <v>Motorcycle – (Honda XRL 150)</v>
      </c>
      <c r="D3925" s="164" t="str">
        <f ca="1">IFERROR(__xludf.DUMMYFUNCTION("""COMPUTED_VALUE"""),"₱ 124,900.00")</f>
        <v>₱ 124,900.00</v>
      </c>
      <c r="E3925" s="164" t="str">
        <f ca="1">IFERROR(__xludf.DUMMYFUNCTION("""COMPUTED_VALUE"""),"₱ -")</f>
        <v>₱ -</v>
      </c>
      <c r="F3925" s="164" t="str">
        <f ca="1">IFERROR(__xludf.DUMMYFUNCTION("""COMPUTED_VALUE"""),"2023-06-01-10202SP648-01")</f>
        <v>2023-06-01-10202SP648-01</v>
      </c>
      <c r="G3925" s="164" t="str">
        <f ca="1">IFERROR(__xludf.DUMMYFUNCTION("""COMPUTED_VALUE"""),"no plate available")</f>
        <v>no plate available</v>
      </c>
      <c r="H3925" s="164" t="str">
        <f ca="1">IFERROR(__xludf.DUMMYFUNCTION("""COMPUTED_VALUE"""),"ARNOLD MENDOZA")</f>
        <v>ARNOLD MENDOZA</v>
      </c>
      <c r="I3925" s="164" t="str">
        <f ca="1">IFERROR(__xludf.DUMMYFUNCTION("""COMPUTED_VALUE"""),"ARPT")</f>
        <v>ARPT</v>
      </c>
      <c r="J3925" s="164" t="str">
        <f ca="1">IFERROR(__xludf.DUMMYFUNCTION("""COMPUTED_VALUE"""),"DARCO PTR 2023-04-013S / DARRO PTR 2023-03-SP-010 / PAR __")</f>
        <v>DARCO PTR 2023-04-013S / DARRO PTR 2023-03-SP-010 / PAR __</v>
      </c>
      <c r="K3925" s="164" t="str">
        <f ca="1">IFERROR(__xludf.DUMMYFUNCTION("""COMPUTED_VALUE"""),"ARNOLD MENDOZA")</f>
        <v>ARNOLD MENDOZA</v>
      </c>
      <c r="L3925" s="164" t="str">
        <f ca="1">IFERROR(__xludf.DUMMYFUNCTION("""COMPUTED_VALUE"""),"DARMO-CATEEL")</f>
        <v>DARMO-CATEEL</v>
      </c>
      <c r="M3925" s="164" t="str">
        <f ca="1">IFERROR(__xludf.DUMMYFUNCTION("""COMPUTED_VALUE"""),"SERVICEABLE")</f>
        <v>SERVICEABLE</v>
      </c>
      <c r="N3925" s="164" t="str">
        <f ca="1">IFERROR(__xludf.DUMMYFUNCTION("""COMPUTED_VALUE"""),"NO PAR No.")</f>
        <v>NO PAR No.</v>
      </c>
    </row>
    <row r="3926" spans="1:14" ht="13.2">
      <c r="A3926" s="164" t="str">
        <f ca="1">IFERROR(__xludf.DUMMYFUNCTION("""COMPUTED_VALUE"""),"Region XI")</f>
        <v>Region XI</v>
      </c>
      <c r="B3926" s="164" t="str">
        <f ca="1">IFERROR(__xludf.DUMMYFUNCTION("""COMPUTED_VALUE"""),"Davao Oriental")</f>
        <v>Davao Oriental</v>
      </c>
      <c r="C3926" s="164" t="str">
        <f ca="1">IFERROR(__xludf.DUMMYFUNCTION("""COMPUTED_VALUE"""),"Motorcycle – (Honda XRL 150)")</f>
        <v>Motorcycle – (Honda XRL 150)</v>
      </c>
      <c r="D3926" s="164" t="str">
        <f ca="1">IFERROR(__xludf.DUMMYFUNCTION("""COMPUTED_VALUE"""),"₱ 124,900.00")</f>
        <v>₱ 124,900.00</v>
      </c>
      <c r="E3926" s="164" t="str">
        <f ca="1">IFERROR(__xludf.DUMMYFUNCTION("""COMPUTED_VALUE"""),"₱ -")</f>
        <v>₱ -</v>
      </c>
      <c r="F3926" s="164" t="str">
        <f ca="1">IFERROR(__xludf.DUMMYFUNCTION("""COMPUTED_VALUE"""),"2023-06-01-10202SP649-01")</f>
        <v>2023-06-01-10202SP649-01</v>
      </c>
      <c r="G3926" s="164" t="str">
        <f ca="1">IFERROR(__xludf.DUMMYFUNCTION("""COMPUTED_VALUE"""),"no plate available")</f>
        <v>no plate available</v>
      </c>
      <c r="H3926" s="164" t="str">
        <f ca="1">IFERROR(__xludf.DUMMYFUNCTION("""COMPUTED_VALUE"""),"JORLAND MAQUE")</f>
        <v>JORLAND MAQUE</v>
      </c>
      <c r="I3926" s="164" t="str">
        <f ca="1">IFERROR(__xludf.DUMMYFUNCTION("""COMPUTED_VALUE"""),"ARPT")</f>
        <v>ARPT</v>
      </c>
      <c r="J3926" s="164" t="str">
        <f ca="1">IFERROR(__xludf.DUMMYFUNCTION("""COMPUTED_VALUE"""),"DARCO PTR 2023-04-013S / DARRO PTR 2023-03-SP-010 / PAR __")</f>
        <v>DARCO PTR 2023-04-013S / DARRO PTR 2023-03-SP-010 / PAR __</v>
      </c>
      <c r="K3926" s="164" t="str">
        <f ca="1">IFERROR(__xludf.DUMMYFUNCTION("""COMPUTED_VALUE"""),"JORLAND MAQUE")</f>
        <v>JORLAND MAQUE</v>
      </c>
      <c r="L3926" s="164" t="str">
        <f ca="1">IFERROR(__xludf.DUMMYFUNCTION("""COMPUTED_VALUE"""),"PBD")</f>
        <v>PBD</v>
      </c>
      <c r="M3926" s="164" t="str">
        <f ca="1">IFERROR(__xludf.DUMMYFUNCTION("""COMPUTED_VALUE"""),"SERVICEABLE")</f>
        <v>SERVICEABLE</v>
      </c>
      <c r="N3926" s="164" t="str">
        <f ca="1">IFERROR(__xludf.DUMMYFUNCTION("""COMPUTED_VALUE"""),"NO PAR No.")</f>
        <v>NO PAR No.</v>
      </c>
    </row>
    <row r="3927" spans="1:14" ht="13.2">
      <c r="A3927" s="164" t="str">
        <f ca="1">IFERROR(__xludf.DUMMYFUNCTION("""COMPUTED_VALUE"""),"Region XI")</f>
        <v>Region XI</v>
      </c>
      <c r="B3927" s="164" t="str">
        <f ca="1">IFERROR(__xludf.DUMMYFUNCTION("""COMPUTED_VALUE"""),"Davao Oriental")</f>
        <v>Davao Oriental</v>
      </c>
      <c r="C3927" s="164" t="str">
        <f ca="1">IFERROR(__xludf.DUMMYFUNCTION("""COMPUTED_VALUE"""),"Motorcycle – (Honda XRL 150)")</f>
        <v>Motorcycle – (Honda XRL 150)</v>
      </c>
      <c r="D3927" s="164" t="str">
        <f ca="1">IFERROR(__xludf.DUMMYFUNCTION("""COMPUTED_VALUE"""),"₱ 124,900.00")</f>
        <v>₱ 124,900.00</v>
      </c>
      <c r="E3927" s="164" t="str">
        <f ca="1">IFERROR(__xludf.DUMMYFUNCTION("""COMPUTED_VALUE"""),"₱ -")</f>
        <v>₱ -</v>
      </c>
      <c r="F3927" s="164" t="str">
        <f ca="1">IFERROR(__xludf.DUMMYFUNCTION("""COMPUTED_VALUE"""),"2023-06-01-10202SP650-01")</f>
        <v>2023-06-01-10202SP650-01</v>
      </c>
      <c r="G3927" s="164" t="str">
        <f ca="1">IFERROR(__xludf.DUMMYFUNCTION("""COMPUTED_VALUE"""),"no plate available")</f>
        <v>no plate available</v>
      </c>
      <c r="H3927" s="164" t="str">
        <f ca="1">IFERROR(__xludf.DUMMYFUNCTION("""COMPUTED_VALUE"""),"JOEMAR VICERA")</f>
        <v>JOEMAR VICERA</v>
      </c>
      <c r="I3927" s="164" t="str">
        <f ca="1">IFERROR(__xludf.DUMMYFUNCTION("""COMPUTED_VALUE"""),"ARPT")</f>
        <v>ARPT</v>
      </c>
      <c r="J3927" s="164" t="str">
        <f ca="1">IFERROR(__xludf.DUMMYFUNCTION("""COMPUTED_VALUE"""),"DARCO PTR 2023-04-013S / DARRO PTR 2023-03-SP-010 / PAR __")</f>
        <v>DARCO PTR 2023-04-013S / DARRO PTR 2023-03-SP-010 / PAR __</v>
      </c>
      <c r="K3927" s="164" t="str">
        <f ca="1">IFERROR(__xludf.DUMMYFUNCTION("""COMPUTED_VALUE"""),"JOEMAR VICERA")</f>
        <v>JOEMAR VICERA</v>
      </c>
      <c r="L3927" s="164" t="str">
        <f ca="1">IFERROR(__xludf.DUMMYFUNCTION("""COMPUTED_VALUE"""),"PBD")</f>
        <v>PBD</v>
      </c>
      <c r="M3927" s="164" t="str">
        <f ca="1">IFERROR(__xludf.DUMMYFUNCTION("""COMPUTED_VALUE"""),"SERVICEABLE")</f>
        <v>SERVICEABLE</v>
      </c>
      <c r="N3927" s="164" t="str">
        <f ca="1">IFERROR(__xludf.DUMMYFUNCTION("""COMPUTED_VALUE"""),"NO PAR No.")</f>
        <v>NO PAR No.</v>
      </c>
    </row>
    <row r="3928" spans="1:14" ht="13.2">
      <c r="A3928" s="164" t="str">
        <f ca="1">IFERROR(__xludf.DUMMYFUNCTION("""COMPUTED_VALUE"""),"Region XI")</f>
        <v>Region XI</v>
      </c>
      <c r="B3928" s="164" t="str">
        <f ca="1">IFERROR(__xludf.DUMMYFUNCTION("""COMPUTED_VALUE"""),"Davao Oriental")</f>
        <v>Davao Oriental</v>
      </c>
      <c r="C3928" s="164" t="str">
        <f ca="1">IFERROR(__xludf.DUMMYFUNCTION("""COMPUTED_VALUE"""),"Motorcycle – (Honda XRL 150)")</f>
        <v>Motorcycle – (Honda XRL 150)</v>
      </c>
      <c r="D3928" s="164" t="str">
        <f ca="1">IFERROR(__xludf.DUMMYFUNCTION("""COMPUTED_VALUE"""),"₱ 124,900.00")</f>
        <v>₱ 124,900.00</v>
      </c>
      <c r="E3928" s="164" t="str">
        <f ca="1">IFERROR(__xludf.DUMMYFUNCTION("""COMPUTED_VALUE"""),"₱ -")</f>
        <v>₱ -</v>
      </c>
      <c r="F3928" s="164" t="str">
        <f ca="1">IFERROR(__xludf.DUMMYFUNCTION("""COMPUTED_VALUE"""),"2023-06-01-10202SP651-01")</f>
        <v>2023-06-01-10202SP651-01</v>
      </c>
      <c r="G3928" s="164" t="str">
        <f ca="1">IFERROR(__xludf.DUMMYFUNCTION("""COMPUTED_VALUE"""),"no plate available")</f>
        <v>no plate available</v>
      </c>
      <c r="H3928" s="164" t="str">
        <f ca="1">IFERROR(__xludf.DUMMYFUNCTION("""COMPUTED_VALUE"""),"SOLOMON AMILA II")</f>
        <v>SOLOMON AMILA II</v>
      </c>
      <c r="I3928" s="164" t="str">
        <f ca="1">IFERROR(__xludf.DUMMYFUNCTION("""COMPUTED_VALUE"""),"SARPT")</f>
        <v>SARPT</v>
      </c>
      <c r="J3928" s="164" t="str">
        <f ca="1">IFERROR(__xludf.DUMMYFUNCTION("""COMPUTED_VALUE"""),"DARCO PTR 2023-04-013S / DARRO PTR 2023-03-SP-010 / PAR __")</f>
        <v>DARCO PTR 2023-04-013S / DARRO PTR 2023-03-SP-010 / PAR __</v>
      </c>
      <c r="K3928" s="164" t="str">
        <f ca="1">IFERROR(__xludf.DUMMYFUNCTION("""COMPUTED_VALUE"""),"SOLOMON AMILA II")</f>
        <v>SOLOMON AMILA II</v>
      </c>
      <c r="L3928" s="164" t="str">
        <f ca="1">IFERROR(__xludf.DUMMYFUNCTION("""COMPUTED_VALUE"""),"DARMO-GOVERNOR GENEROSO")</f>
        <v>DARMO-GOVERNOR GENEROSO</v>
      </c>
      <c r="M3928" s="164" t="str">
        <f ca="1">IFERROR(__xludf.DUMMYFUNCTION("""COMPUTED_VALUE"""),"SERVICEABLE")</f>
        <v>SERVICEABLE</v>
      </c>
      <c r="N3928" s="164" t="str">
        <f ca="1">IFERROR(__xludf.DUMMYFUNCTION("""COMPUTED_VALUE"""),"NO PAR No.")</f>
        <v>NO PAR No.</v>
      </c>
    </row>
    <row r="3929" spans="1:14" ht="13.2">
      <c r="A3929" s="164" t="str">
        <f ca="1">IFERROR(__xludf.DUMMYFUNCTION("""COMPUTED_VALUE"""),"Region XI")</f>
        <v>Region XI</v>
      </c>
      <c r="B3929" s="164" t="str">
        <f ca="1">IFERROR(__xludf.DUMMYFUNCTION("""COMPUTED_VALUE"""),"Davao Oriental")</f>
        <v>Davao Oriental</v>
      </c>
      <c r="C3929" s="164" t="str">
        <f ca="1">IFERROR(__xludf.DUMMYFUNCTION("""COMPUTED_VALUE"""),"Motorcycle – (Honda XRL 150)")</f>
        <v>Motorcycle – (Honda XRL 150)</v>
      </c>
      <c r="D3929" s="164" t="str">
        <f ca="1">IFERROR(__xludf.DUMMYFUNCTION("""COMPUTED_VALUE"""),"₱ 124,900.00")</f>
        <v>₱ 124,900.00</v>
      </c>
      <c r="E3929" s="164" t="str">
        <f ca="1">IFERROR(__xludf.DUMMYFUNCTION("""COMPUTED_VALUE"""),"₱ -")</f>
        <v>₱ -</v>
      </c>
      <c r="F3929" s="164" t="str">
        <f ca="1">IFERROR(__xludf.DUMMYFUNCTION("""COMPUTED_VALUE"""),"2023-06-01-10202SP652-01")</f>
        <v>2023-06-01-10202SP652-01</v>
      </c>
      <c r="G3929" s="164" t="str">
        <f ca="1">IFERROR(__xludf.DUMMYFUNCTION("""COMPUTED_VALUE"""),"no plate available")</f>
        <v>no plate available</v>
      </c>
      <c r="H3929" s="164" t="str">
        <f ca="1">IFERROR(__xludf.DUMMYFUNCTION("""COMPUTED_VALUE"""),"JUAN L. DAGPIN")</f>
        <v>JUAN L. DAGPIN</v>
      </c>
      <c r="I3929" s="164" t="str">
        <f ca="1">IFERROR(__xludf.DUMMYFUNCTION("""COMPUTED_VALUE"""),"ARPT")</f>
        <v>ARPT</v>
      </c>
      <c r="J3929" s="164" t="str">
        <f ca="1">IFERROR(__xludf.DUMMYFUNCTION("""COMPUTED_VALUE"""),"DARCO PTR 2023-04-013S / DARRO PTR 2023-03-SP-010 / PAR __")</f>
        <v>DARCO PTR 2023-04-013S / DARRO PTR 2023-03-SP-010 / PAR __</v>
      </c>
      <c r="K3929" s="164" t="str">
        <f ca="1">IFERROR(__xludf.DUMMYFUNCTION("""COMPUTED_VALUE"""),"JUAN L. DAGPIN")</f>
        <v>JUAN L. DAGPIN</v>
      </c>
      <c r="L3929" s="164" t="str">
        <f ca="1">IFERROR(__xludf.DUMMYFUNCTION("""COMPUTED_VALUE"""),"DARMO-LUPON")</f>
        <v>DARMO-LUPON</v>
      </c>
      <c r="M3929" s="164" t="str">
        <f ca="1">IFERROR(__xludf.DUMMYFUNCTION("""COMPUTED_VALUE"""),"SERVICEABLE")</f>
        <v>SERVICEABLE</v>
      </c>
      <c r="N3929" s="164" t="str">
        <f ca="1">IFERROR(__xludf.DUMMYFUNCTION("""COMPUTED_VALUE"""),"NO PAR No.")</f>
        <v>NO PAR No.</v>
      </c>
    </row>
    <row r="3930" spans="1:14" ht="13.2">
      <c r="A3930" s="164" t="str">
        <f ca="1">IFERROR(__xludf.DUMMYFUNCTION("""COMPUTED_VALUE"""),"Region XI")</f>
        <v>Region XI</v>
      </c>
      <c r="B3930" s="164" t="str">
        <f ca="1">IFERROR(__xludf.DUMMYFUNCTION("""COMPUTED_VALUE"""),"Davao Oriental")</f>
        <v>Davao Oriental</v>
      </c>
      <c r="C3930" s="164" t="str">
        <f ca="1">IFERROR(__xludf.DUMMYFUNCTION("""COMPUTED_VALUE"""),"Double Cabin Pick-up Vehicles – Mitsubishi Strada")</f>
        <v>Double Cabin Pick-up Vehicles – Mitsubishi Strada</v>
      </c>
      <c r="D3930" s="164" t="str">
        <f ca="1">IFERROR(__xludf.DUMMYFUNCTION("""COMPUTED_VALUE"""),"₱ 1,752,400.00")</f>
        <v>₱ 1,752,400.00</v>
      </c>
      <c r="E3930" s="164" t="str">
        <f ca="1">IFERROR(__xludf.DUMMYFUNCTION("""COMPUTED_VALUE"""),"₱ -")</f>
        <v>₱ -</v>
      </c>
      <c r="F3930" s="164" t="str">
        <f ca="1">IFERROR(__xludf.DUMMYFUNCTION("""COMPUTED_VALUE"""),"2023-06-01-10201SP127-01")</f>
        <v>2023-06-01-10201SP127-01</v>
      </c>
      <c r="G3930" s="164" t="str">
        <f ca="1">IFERROR(__xludf.DUMMYFUNCTION("""COMPUTED_VALUE"""),"SNC 1223")</f>
        <v>SNC 1223</v>
      </c>
      <c r="H3930" s="164" t="str">
        <f ca="1">IFERROR(__xludf.DUMMYFUNCTION("""COMPUTED_VALUE"""),"EDUARDO E. SUAYBAGUIO")</f>
        <v>EDUARDO E. SUAYBAGUIO</v>
      </c>
      <c r="I3930" s="164" t="str">
        <f ca="1">IFERROR(__xludf.DUMMYFUNCTION("""COMPUTED_VALUE"""),"PARPO II")</f>
        <v>PARPO II</v>
      </c>
      <c r="J3930" s="164" t="str">
        <f ca="1">IFERROR(__xludf.DUMMYFUNCTION("""COMPUTED_VALUE"""),"DARCO PTR 2023-10-016MV / DARRO PTR 2023-10-SP-034 / PAR")</f>
        <v>DARCO PTR 2023-10-016MV / DARRO PTR 2023-10-SP-034 / PAR</v>
      </c>
      <c r="K3930" s="164" t="str">
        <f ca="1">IFERROR(__xludf.DUMMYFUNCTION("""COMPUTED_VALUE"""),"EDUARDO E. SUAYBAGUIO")</f>
        <v>EDUARDO E. SUAYBAGUIO</v>
      </c>
      <c r="L3930" s="164" t="str">
        <f ca="1">IFERROR(__xludf.DUMMYFUNCTION("""COMPUTED_VALUE"""),"PARO")</f>
        <v>PARO</v>
      </c>
      <c r="M3930" s="164" t="str">
        <f ca="1">IFERROR(__xludf.DUMMYFUNCTION("""COMPUTED_VALUE"""),"SERVICEABLE")</f>
        <v>SERVICEABLE</v>
      </c>
      <c r="N3930" s="164" t="str">
        <f ca="1">IFERROR(__xludf.DUMMYFUNCTION("""COMPUTED_VALUE"""),"NO PAR No.")</f>
        <v>NO PAR No.</v>
      </c>
    </row>
    <row r="3931" spans="1:14" ht="13.2" hidden="1">
      <c r="A3931" s="164" t="str">
        <f ca="1">IFERROR(__xludf.DUMMYFUNCTION("""COMPUTED_VALUE"""),"Region XI")</f>
        <v>Region XI</v>
      </c>
      <c r="B3931" s="164"/>
      <c r="C3931" s="164" t="str">
        <f ca="1">IFERROR(__xludf.DUMMYFUNCTION("""COMPUTED_VALUE"""),"Desktop Computer – (HP Pro SFF 280G9)")</f>
        <v>Desktop Computer – (HP Pro SFF 280G9)</v>
      </c>
      <c r="D3931" s="164" t="str">
        <f ca="1">IFERROR(__xludf.DUMMYFUNCTION("""COMPUTED_VALUE"""),"₱ 78,898.00")</f>
        <v>₱ 78,898.00</v>
      </c>
      <c r="E3931" s="164"/>
      <c r="F3931" s="164" t="str">
        <f ca="1">IFERROR(__xludf.DUMMYFUNCTION("""COMPUTED_VALUE"""),"2023-05-03-10201SP224-01")</f>
        <v>2023-05-03-10201SP224-01</v>
      </c>
      <c r="G3931" s="164"/>
      <c r="H3931" s="164"/>
      <c r="I3931" s="164"/>
      <c r="J3931" s="164"/>
      <c r="K3931" s="164"/>
      <c r="L3931" s="164"/>
      <c r="M3931" s="164"/>
      <c r="N3931" s="164"/>
    </row>
    <row r="3932" spans="1:14" ht="13.2" hidden="1">
      <c r="A3932" s="164" t="str">
        <f ca="1">IFERROR(__xludf.DUMMYFUNCTION("""COMPUTED_VALUE"""),"Region XI")</f>
        <v>Region XI</v>
      </c>
      <c r="B3932" s="164"/>
      <c r="C3932" s="164" t="str">
        <f ca="1">IFERROR(__xludf.DUMMYFUNCTION("""COMPUTED_VALUE"""),"Desktop Computer – (HP Pro SFF 280G9)")</f>
        <v>Desktop Computer – (HP Pro SFF 280G9)</v>
      </c>
      <c r="D3932" s="164" t="str">
        <f ca="1">IFERROR(__xludf.DUMMYFUNCTION("""COMPUTED_VALUE"""),"₱ 78,898.00")</f>
        <v>₱ 78,898.00</v>
      </c>
      <c r="E3932" s="164"/>
      <c r="F3932" s="164" t="str">
        <f ca="1">IFERROR(__xludf.DUMMYFUNCTION("""COMPUTED_VALUE"""),"2023-05-03-10201SP229-01")</f>
        <v>2023-05-03-10201SP229-01</v>
      </c>
      <c r="G3932" s="164"/>
      <c r="H3932" s="164"/>
      <c r="I3932" s="164"/>
      <c r="J3932" s="164"/>
      <c r="K3932" s="164"/>
      <c r="L3932" s="164"/>
      <c r="M3932" s="164"/>
      <c r="N3932" s="164"/>
    </row>
    <row r="3933" spans="1:14" ht="13.2" hidden="1">
      <c r="A3933" s="164" t="str">
        <f ca="1">IFERROR(__xludf.DUMMYFUNCTION("""COMPUTED_VALUE"""),"Region XI")</f>
        <v>Region XI</v>
      </c>
      <c r="B3933" s="164"/>
      <c r="C3933" s="164" t="str">
        <f ca="1">IFERROR(__xludf.DUMMYFUNCTION("""COMPUTED_VALUE"""),"Desktop Computer – (HP Pro SFF 280G9)")</f>
        <v>Desktop Computer – (HP Pro SFF 280G9)</v>
      </c>
      <c r="D3933" s="164" t="str">
        <f ca="1">IFERROR(__xludf.DUMMYFUNCTION("""COMPUTED_VALUE"""),"₱ 78,898.00")</f>
        <v>₱ 78,898.00</v>
      </c>
      <c r="E3933" s="164"/>
      <c r="F3933" s="164" t="str">
        <f ca="1">IFERROR(__xludf.DUMMYFUNCTION("""COMPUTED_VALUE"""),"2023-05-03-10201SP230-01")</f>
        <v>2023-05-03-10201SP230-01</v>
      </c>
      <c r="G3933" s="164"/>
      <c r="H3933" s="164"/>
      <c r="I3933" s="164"/>
      <c r="J3933" s="164"/>
      <c r="K3933" s="164"/>
      <c r="L3933" s="164"/>
      <c r="M3933" s="164"/>
      <c r="N3933" s="164"/>
    </row>
    <row r="3934" spans="1:14" ht="13.2" hidden="1">
      <c r="A3934" s="164" t="str">
        <f ca="1">IFERROR(__xludf.DUMMYFUNCTION("""COMPUTED_VALUE"""),"Region XI")</f>
        <v>Region XI</v>
      </c>
      <c r="B3934" s="164"/>
      <c r="C3934" s="164" t="str">
        <f ca="1">IFERROR(__xludf.DUMMYFUNCTION("""COMPUTED_VALUE"""),"Desktop Computer – (HP Pro SFF 280G9)")</f>
        <v>Desktop Computer – (HP Pro SFF 280G9)</v>
      </c>
      <c r="D3934" s="164" t="str">
        <f ca="1">IFERROR(__xludf.DUMMYFUNCTION("""COMPUTED_VALUE"""),"₱ 78,898.00")</f>
        <v>₱ 78,898.00</v>
      </c>
      <c r="E3934" s="164"/>
      <c r="F3934" s="164" t="str">
        <f ca="1">IFERROR(__xludf.DUMMYFUNCTION("""COMPUTED_VALUE"""),"2023-05-03-10201SP231-01")</f>
        <v>2023-05-03-10201SP231-01</v>
      </c>
      <c r="G3934" s="164"/>
      <c r="H3934" s="164"/>
      <c r="I3934" s="164"/>
      <c r="J3934" s="164"/>
      <c r="K3934" s="164"/>
      <c r="L3934" s="164"/>
      <c r="M3934" s="164"/>
      <c r="N3934" s="164"/>
    </row>
    <row r="3935" spans="1:14" ht="13.2" hidden="1">
      <c r="A3935" s="164" t="str">
        <f ca="1">IFERROR(__xludf.DUMMYFUNCTION("""COMPUTED_VALUE"""),"Region XI")</f>
        <v>Region XI</v>
      </c>
      <c r="B3935" s="164"/>
      <c r="C3935" s="164" t="str">
        <f ca="1">IFERROR(__xludf.DUMMYFUNCTION("""COMPUTED_VALUE"""),"Desktop Computer – (HP Pro SFF 280G9)")</f>
        <v>Desktop Computer – (HP Pro SFF 280G9)</v>
      </c>
      <c r="D3935" s="164" t="str">
        <f ca="1">IFERROR(__xludf.DUMMYFUNCTION("""COMPUTED_VALUE"""),"₱ 78,898.00")</f>
        <v>₱ 78,898.00</v>
      </c>
      <c r="E3935" s="164"/>
      <c r="F3935" s="164" t="str">
        <f ca="1">IFERROR(__xludf.DUMMYFUNCTION("""COMPUTED_VALUE"""),"2023-05-03-10201SP232-01")</f>
        <v>2023-05-03-10201SP232-01</v>
      </c>
      <c r="G3935" s="164"/>
      <c r="H3935" s="164"/>
      <c r="I3935" s="164"/>
      <c r="J3935" s="164"/>
      <c r="K3935" s="164"/>
      <c r="L3935" s="164"/>
      <c r="M3935" s="164"/>
      <c r="N3935" s="164"/>
    </row>
    <row r="3936" spans="1:14" ht="13.2" hidden="1">
      <c r="A3936" s="164" t="str">
        <f ca="1">IFERROR(__xludf.DUMMYFUNCTION("""COMPUTED_VALUE"""),"Region XI")</f>
        <v>Region XI</v>
      </c>
      <c r="B3936" s="164"/>
      <c r="C3936" s="164" t="str">
        <f ca="1">IFERROR(__xludf.DUMMYFUNCTION("""COMPUTED_VALUE"""),"Desktop Computer – (HP Pro SFF 280G9)")</f>
        <v>Desktop Computer – (HP Pro SFF 280G9)</v>
      </c>
      <c r="D3936" s="164" t="str">
        <f ca="1">IFERROR(__xludf.DUMMYFUNCTION("""COMPUTED_VALUE"""),"₱ 78,898.00")</f>
        <v>₱ 78,898.00</v>
      </c>
      <c r="E3936" s="164"/>
      <c r="F3936" s="164" t="str">
        <f ca="1">IFERROR(__xludf.DUMMYFUNCTION("""COMPUTED_VALUE"""),"2023-05-03-10201SP237-01")</f>
        <v>2023-05-03-10201SP237-01</v>
      </c>
      <c r="G3936" s="164"/>
      <c r="H3936" s="164"/>
      <c r="I3936" s="164"/>
      <c r="J3936" s="164"/>
      <c r="K3936" s="164"/>
      <c r="L3936" s="164"/>
      <c r="M3936" s="164"/>
      <c r="N3936" s="164"/>
    </row>
    <row r="3937" spans="1:14" ht="13.2" hidden="1">
      <c r="A3937" s="164" t="str">
        <f ca="1">IFERROR(__xludf.DUMMYFUNCTION("""COMPUTED_VALUE"""),"Region XI")</f>
        <v>Region XI</v>
      </c>
      <c r="B3937" s="164"/>
      <c r="C3937" s="164" t="str">
        <f ca="1">IFERROR(__xludf.DUMMYFUNCTION("""COMPUTED_VALUE"""),"Desktop Computer – (HP Pro SFF 280G9)")</f>
        <v>Desktop Computer – (HP Pro SFF 280G9)</v>
      </c>
      <c r="D3937" s="164" t="str">
        <f ca="1">IFERROR(__xludf.DUMMYFUNCTION("""COMPUTED_VALUE"""),"₱ 78,898.00")</f>
        <v>₱ 78,898.00</v>
      </c>
      <c r="E3937" s="164"/>
      <c r="F3937" s="164" t="str">
        <f ca="1">IFERROR(__xludf.DUMMYFUNCTION("""COMPUTED_VALUE"""),"2023-05-03-10201SP239-01")</f>
        <v>2023-05-03-10201SP239-01</v>
      </c>
      <c r="G3937" s="164"/>
      <c r="H3937" s="164"/>
      <c r="I3937" s="164"/>
      <c r="J3937" s="164"/>
      <c r="K3937" s="164"/>
      <c r="L3937" s="164"/>
      <c r="M3937" s="164"/>
      <c r="N3937" s="164"/>
    </row>
    <row r="3938" spans="1:14" ht="13.2" hidden="1">
      <c r="A3938" s="164" t="str">
        <f ca="1">IFERROR(__xludf.DUMMYFUNCTION("""COMPUTED_VALUE"""),"Region XI")</f>
        <v>Region XI</v>
      </c>
      <c r="B3938" s="164"/>
      <c r="C3938" s="164" t="str">
        <f ca="1">IFERROR(__xludf.DUMMYFUNCTION("""COMPUTED_VALUE"""),"Desktop Computer – (HP Pro SFF 280G9)")</f>
        <v>Desktop Computer – (HP Pro SFF 280G9)</v>
      </c>
      <c r="D3938" s="164" t="str">
        <f ca="1">IFERROR(__xludf.DUMMYFUNCTION("""COMPUTED_VALUE"""),"₱ 78,898.00")</f>
        <v>₱ 78,898.00</v>
      </c>
      <c r="E3938" s="164"/>
      <c r="F3938" s="164" t="str">
        <f ca="1">IFERROR(__xludf.DUMMYFUNCTION("""COMPUTED_VALUE"""),"2023-05-03-10201SP241-01")</f>
        <v>2023-05-03-10201SP241-01</v>
      </c>
      <c r="G3938" s="164"/>
      <c r="H3938" s="164"/>
      <c r="I3938" s="164"/>
      <c r="J3938" s="164"/>
      <c r="K3938" s="164"/>
      <c r="L3938" s="164"/>
      <c r="M3938" s="164"/>
      <c r="N3938" s="164"/>
    </row>
    <row r="3939" spans="1:14" ht="13.2" hidden="1">
      <c r="A3939" s="164" t="str">
        <f ca="1">IFERROR(__xludf.DUMMYFUNCTION("""COMPUTED_VALUE"""),"Region XI")</f>
        <v>Region XI</v>
      </c>
      <c r="B3939" s="164"/>
      <c r="C3939" s="164" t="str">
        <f ca="1">IFERROR(__xludf.DUMMYFUNCTION("""COMPUTED_VALUE"""),"Desktop Computer – (HP Pro SFF 280G9)")</f>
        <v>Desktop Computer – (HP Pro SFF 280G9)</v>
      </c>
      <c r="D3939" s="164" t="str">
        <f ca="1">IFERROR(__xludf.DUMMYFUNCTION("""COMPUTED_VALUE"""),"₱ 78,898.00")</f>
        <v>₱ 78,898.00</v>
      </c>
      <c r="E3939" s="164"/>
      <c r="F3939" s="164" t="str">
        <f ca="1">IFERROR(__xludf.DUMMYFUNCTION("""COMPUTED_VALUE"""),"2023-05-03-10201SP242-01")</f>
        <v>2023-05-03-10201SP242-01</v>
      </c>
      <c r="G3939" s="164"/>
      <c r="H3939" s="164"/>
      <c r="I3939" s="164"/>
      <c r="J3939" s="164"/>
      <c r="K3939" s="164"/>
      <c r="L3939" s="164"/>
      <c r="M3939" s="164"/>
      <c r="N3939" s="164"/>
    </row>
    <row r="3940" spans="1:14" ht="13.2" hidden="1">
      <c r="A3940" s="164" t="str">
        <f ca="1">IFERROR(__xludf.DUMMYFUNCTION("""COMPUTED_VALUE"""),"Region XI")</f>
        <v>Region XI</v>
      </c>
      <c r="B3940" s="164"/>
      <c r="C3940" s="164" t="str">
        <f ca="1">IFERROR(__xludf.DUMMYFUNCTION("""COMPUTED_VALUE"""),"Desktop Computer – (HP Pro SFF 280G9)")</f>
        <v>Desktop Computer – (HP Pro SFF 280G9)</v>
      </c>
      <c r="D3940" s="164" t="str">
        <f ca="1">IFERROR(__xludf.DUMMYFUNCTION("""COMPUTED_VALUE"""),"₱ 78,898.00")</f>
        <v>₱ 78,898.00</v>
      </c>
      <c r="E3940" s="164"/>
      <c r="F3940" s="164" t="str">
        <f ca="1">IFERROR(__xludf.DUMMYFUNCTION("""COMPUTED_VALUE"""),"2023-05-03-10201SP243-01")</f>
        <v>2023-05-03-10201SP243-01</v>
      </c>
      <c r="G3940" s="164"/>
      <c r="H3940" s="164"/>
      <c r="I3940" s="164"/>
      <c r="J3940" s="164"/>
      <c r="K3940" s="164"/>
      <c r="L3940" s="164"/>
      <c r="M3940" s="164"/>
      <c r="N3940" s="164"/>
    </row>
    <row r="3941" spans="1:14" ht="13.2">
      <c r="A3941" s="164" t="str">
        <f ca="1">IFERROR(__xludf.DUMMYFUNCTION("""COMPUTED_VALUE"""),"REGION XII")</f>
        <v>REGION XII</v>
      </c>
      <c r="B3941" s="164" t="str">
        <f ca="1">IFERROR(__xludf.DUMMYFUNCTION("""COMPUTED_VALUE"""),"SARANGANI")</f>
        <v>SARANGANI</v>
      </c>
      <c r="C3941" s="164" t="str">
        <f ca="1">IFERROR(__xludf.DUMMYFUNCTION("""COMPUTED_VALUE"""),"Photocopier Machine – Kyocera")</f>
        <v>Photocopier Machine – Kyocera</v>
      </c>
      <c r="D3941" s="164" t="str">
        <f ca="1">IFERROR(__xludf.DUMMYFUNCTION("""COMPUTED_VALUE"""),"₱ 84,500.00")</f>
        <v>₱ 84,500.00</v>
      </c>
      <c r="E3941" s="164" t="str">
        <f ca="1">IFERROR(__xludf.DUMMYFUNCTION("""COMPUTED_VALUE"""),"₱ -")</f>
        <v>₱ -</v>
      </c>
      <c r="F3941" s="164" t="str">
        <f ca="1">IFERROR(__xludf.DUMMYFUNCTION("""COMPUTED_VALUE"""),"2022-05-02-10202SP79-01")</f>
        <v>2022-05-02-10202SP79-01</v>
      </c>
      <c r="G3941" s="164" t="str">
        <f ca="1">IFERROR(__xludf.DUMMYFUNCTION("""COMPUTED_VALUE"""),"RNK2700202")</f>
        <v>RNK2700202</v>
      </c>
      <c r="H3941" s="164" t="str">
        <f ca="1">IFERROR(__xludf.DUMMYFUNCTION("""COMPUTED_VALUE"""),"GLENDA M. MANANSALA")</f>
        <v>GLENDA M. MANANSALA</v>
      </c>
      <c r="I3941" s="164" t="str">
        <f ca="1">IFERROR(__xludf.DUMMYFUNCTION("""COMPUTED_VALUE"""),"CARPO")</f>
        <v>CARPO</v>
      </c>
      <c r="J3941" s="164" t="str">
        <f ca="1">IFERROR(__xludf.DUMMYFUNCTION("""COMPUTED_VALUE"""),"2023-10-132
 SPHV-2024-12-0587")</f>
        <v>2023-10-132
 SPHV-2024-12-0587</v>
      </c>
      <c r="K3941" s="164" t="str">
        <f ca="1">IFERROR(__xludf.DUMMYFUNCTION("""COMPUTED_VALUE"""),"GLENDA M. MANANSALA")</f>
        <v>GLENDA M. MANANSALA</v>
      </c>
      <c r="L3941" s="164" t="str">
        <f ca="1">IFERROR(__xludf.DUMMYFUNCTION("""COMPUTED_VALUE"""),"LTID")</f>
        <v>LTID</v>
      </c>
      <c r="M3941" s="164" t="str">
        <f ca="1">IFERROR(__xludf.DUMMYFUNCTION("""COMPUTED_VALUE"""),"SERVICEABLE")</f>
        <v>SERVICEABLE</v>
      </c>
      <c r="N3941" s="164"/>
    </row>
    <row r="3942" spans="1:14" ht="13.2" hidden="1">
      <c r="A3942" s="164" t="str">
        <f ca="1">IFERROR(__xludf.DUMMYFUNCTION("""COMPUTED_VALUE"""),"REGION XII")</f>
        <v>REGION XII</v>
      </c>
      <c r="B3942" s="164" t="str">
        <f ca="1">IFERROR(__xludf.DUMMYFUNCTION("""COMPUTED_VALUE"""),"SULTAN KUDARAT")</f>
        <v>SULTAN KUDARAT</v>
      </c>
      <c r="C3942" s="164" t="str">
        <f ca="1">IFERROR(__xludf.DUMMYFUNCTION("""COMPUTED_VALUE"""),"Photocopier Machine – Kyocera")</f>
        <v>Photocopier Machine – Kyocera</v>
      </c>
      <c r="D3942" s="164" t="str">
        <f ca="1">IFERROR(__xludf.DUMMYFUNCTION("""COMPUTED_VALUE"""),"₱ 84,500.00")</f>
        <v>₱ 84,500.00</v>
      </c>
      <c r="E3942" s="164" t="str">
        <f ca="1">IFERROR(__xludf.DUMMYFUNCTION("""COMPUTED_VALUE"""),"₱ -")</f>
        <v>₱ -</v>
      </c>
      <c r="F3942" s="164" t="str">
        <f ca="1">IFERROR(__xludf.DUMMYFUNCTION("""COMPUTED_VALUE"""),"2022-05-02-10202SP77-01")</f>
        <v>2022-05-02-10202SP77-01</v>
      </c>
      <c r="G3942" s="164" t="str">
        <f ca="1">IFERROR(__xludf.DUMMYFUNCTION("""COMPUTED_VALUE"""),"RNK2700202")</f>
        <v>RNK2700202</v>
      </c>
      <c r="H3942" s="164" t="str">
        <f ca="1">IFERROR(__xludf.DUMMYFUNCTION("""COMPUTED_VALUE"""),"RECHEL ANN SALCEDO
 MARY JANE GENEZA")</f>
        <v>RECHEL ANN SALCEDO
 MARY JANE GENEZA</v>
      </c>
      <c r="I3942" s="164" t="str">
        <f ca="1">IFERROR(__xludf.DUMMYFUNCTION("""COMPUTED_VALUE"""),"PCAO")</f>
        <v>PCAO</v>
      </c>
      <c r="J3942" s="164" t="str">
        <f ca="1">IFERROR(__xludf.DUMMYFUNCTION("""COMPUTED_VALUE"""),"2023-12-054")</f>
        <v>2023-12-054</v>
      </c>
      <c r="K3942" s="164" t="str">
        <f ca="1">IFERROR(__xludf.DUMMYFUNCTION("""COMPUTED_VALUE"""),"MARY JANE GENEZA")</f>
        <v>MARY JANE GENEZA</v>
      </c>
      <c r="L3942" s="164" t="str">
        <f ca="1">IFERROR(__xludf.DUMMYFUNCTION("""COMPUTED_VALUE"""),"STOD")</f>
        <v>STOD</v>
      </c>
      <c r="M3942" s="164" t="str">
        <f ca="1">IFERROR(__xludf.DUMMYFUNCTION("""COMPUTED_VALUE"""),"SERVICEABLE")</f>
        <v>SERVICEABLE</v>
      </c>
      <c r="N3942" s="164"/>
    </row>
    <row r="3943" spans="1:14" ht="13.2" hidden="1">
      <c r="A3943" s="164" t="str">
        <f ca="1">IFERROR(__xludf.DUMMYFUNCTION("""COMPUTED_VALUE"""),"REGION XII")</f>
        <v>REGION XII</v>
      </c>
      <c r="B3943" s="164" t="str">
        <f ca="1">IFERROR(__xludf.DUMMYFUNCTION("""COMPUTED_VALUE"""),"SOUTH COTABATO")</f>
        <v>SOUTH COTABATO</v>
      </c>
      <c r="C3943" s="164" t="str">
        <f ca="1">IFERROR(__xludf.DUMMYFUNCTION("""COMPUTED_VALUE"""),"Photocopier Machine – Kyocera")</f>
        <v>Photocopier Machine – Kyocera</v>
      </c>
      <c r="D3943" s="164" t="str">
        <f ca="1">IFERROR(__xludf.DUMMYFUNCTION("""COMPUTED_VALUE"""),"₱ 84,500.00")</f>
        <v>₱ 84,500.00</v>
      </c>
      <c r="E3943" s="164" t="str">
        <f ca="1">IFERROR(__xludf.DUMMYFUNCTION("""COMPUTED_VALUE"""),"₱ -")</f>
        <v>₱ -</v>
      </c>
      <c r="F3943" s="164" t="str">
        <f ca="1">IFERROR(__xludf.DUMMYFUNCTION("""COMPUTED_VALUE"""),"2022-05-02-102025P76-01")</f>
        <v>2022-05-02-102025P76-01</v>
      </c>
      <c r="G3943" s="164"/>
      <c r="H3943" s="164" t="str">
        <f ca="1">IFERROR(__xludf.DUMMYFUNCTION("""COMPUTED_VALUE"""),"RECHEL ANN SALCEDO")</f>
        <v>RECHEL ANN SALCEDO</v>
      </c>
      <c r="I3943" s="164" t="str">
        <f ca="1">IFERROR(__xludf.DUMMYFUNCTION("""COMPUTED_VALUE"""),"AO IV")</f>
        <v>AO IV</v>
      </c>
      <c r="J3943" s="164" t="str">
        <f ca="1">IFERROR(__xludf.DUMMYFUNCTION("""COMPUTED_VALUE"""),"43-23")</f>
        <v>43-23</v>
      </c>
      <c r="K3943" s="164" t="str">
        <f ca="1">IFERROR(__xludf.DUMMYFUNCTION("""COMPUTED_VALUE"""),"RECHEL ANN SALCEDO")</f>
        <v>RECHEL ANN SALCEDO</v>
      </c>
      <c r="L3943" s="164" t="str">
        <f ca="1">IFERROR(__xludf.DUMMYFUNCTION("""COMPUTED_VALUE"""),"STOD")</f>
        <v>STOD</v>
      </c>
      <c r="M3943" s="164" t="str">
        <f ca="1">IFERROR(__xludf.DUMMYFUNCTION("""COMPUTED_VALUE"""),"SERVICEABLE")</f>
        <v>SERVICEABLE</v>
      </c>
      <c r="N3943" s="164"/>
    </row>
    <row r="3944" spans="1:14" ht="13.2">
      <c r="A3944" s="164" t="str">
        <f ca="1">IFERROR(__xludf.DUMMYFUNCTION("""COMPUTED_VALUE"""),"REGION XII")</f>
        <v>REGION XII</v>
      </c>
      <c r="B3944" s="164" t="str">
        <f ca="1">IFERROR(__xludf.DUMMYFUNCTION("""COMPUTED_VALUE"""),"NORTH COTABATO")</f>
        <v>NORTH COTABATO</v>
      </c>
      <c r="C3944" s="164" t="str">
        <f ca="1">IFERROR(__xludf.DUMMYFUNCTION("""COMPUTED_VALUE"""),"Photocopier Machine – Kyocera")</f>
        <v>Photocopier Machine – Kyocera</v>
      </c>
      <c r="D3944" s="164" t="str">
        <f ca="1">IFERROR(__xludf.DUMMYFUNCTION("""COMPUTED_VALUE"""),"₱ 84,500.00")</f>
        <v>₱ 84,500.00</v>
      </c>
      <c r="E3944" s="164" t="str">
        <f ca="1">IFERROR(__xludf.DUMMYFUNCTION("""COMPUTED_VALUE"""),"₱ -")</f>
        <v>₱ -</v>
      </c>
      <c r="F3944" s="164" t="str">
        <f ca="1">IFERROR(__xludf.DUMMYFUNCTION("""COMPUTED_VALUE"""),"2022-05-02-10202SP78-01")</f>
        <v>2022-05-02-10202SP78-01</v>
      </c>
      <c r="G3944" s="164"/>
      <c r="H3944" s="164" t="str">
        <f ca="1">IFERROR(__xludf.DUMMYFUNCTION("""COMPUTED_VALUE"""),"FRANCES JUN I. BAUTISTA
 lelanie l. carugda")</f>
        <v>FRANCES JUN I. BAUTISTA
 lelanie l. carugda</v>
      </c>
      <c r="I3944" s="164" t="str">
        <f ca="1">IFERROR(__xludf.DUMMYFUNCTION("""COMPUTED_VALUE"""),"engineer II
 pcao")</f>
        <v>engineer II
 pcao</v>
      </c>
      <c r="J3944" s="164" t="str">
        <f ca="1">IFERROR(__xludf.DUMMYFUNCTION("""COMPUTED_VALUE"""),"4-03-23-002")</f>
        <v>4-03-23-002</v>
      </c>
      <c r="K3944" s="164" t="str">
        <f ca="1">IFERROR(__xludf.DUMMYFUNCTION("""COMPUTED_VALUE"""),"LELANIE L. CARUGDA
 paulinger ogoc")</f>
        <v>LELANIE L. CARUGDA
 paulinger ogoc</v>
      </c>
      <c r="L3944" s="164" t="str">
        <f ca="1">IFERROR(__xludf.DUMMYFUNCTION("""COMPUTED_VALUE"""),"DARPO-STOD")</f>
        <v>DARPO-STOD</v>
      </c>
      <c r="M3944" s="164" t="str">
        <f ca="1">IFERROR(__xludf.DUMMYFUNCTION("""COMPUTED_VALUE"""),"SERVICEABLE")</f>
        <v>SERVICEABLE</v>
      </c>
      <c r="N3944" s="164"/>
    </row>
    <row r="3945" spans="1:14" ht="13.2">
      <c r="A3945" s="164" t="str">
        <f ca="1">IFERROR(__xludf.DUMMYFUNCTION("""COMPUTED_VALUE"""),"REGION XII")</f>
        <v>REGION XII</v>
      </c>
      <c r="B3945" s="164" t="str">
        <f ca="1">IFERROR(__xludf.DUMMYFUNCTION("""COMPUTED_VALUE"""),"SARANGANI")</f>
        <v>SARANGANI</v>
      </c>
      <c r="C3945" s="164" t="str">
        <f ca="1">IFERROR(__xludf.DUMMYFUNCTION("""COMPUTED_VALUE"""),"A3 PRINTER (BROTHER)")</f>
        <v>A3 PRINTER (BROTHER)</v>
      </c>
      <c r="D3945" s="164" t="str">
        <f ca="1">IFERROR(__xludf.DUMMYFUNCTION("""COMPUTED_VALUE"""),"₱ 33,508.00")</f>
        <v>₱ 33,508.00</v>
      </c>
      <c r="E3945" s="164" t="str">
        <f ca="1">IFERROR(__xludf.DUMMYFUNCTION("""COMPUTED_VALUE"""),"₱ -")</f>
        <v>₱ -</v>
      </c>
      <c r="F3945" s="164" t="str">
        <f ca="1">IFERROR(__xludf.DUMMYFUNCTION("""COMPUTED_VALUE"""),"HV-SPLIT-102-24-05-38
 HV-SPLIT-102-24-05-04-41")</f>
        <v>HV-SPLIT-102-24-05-38
 HV-SPLIT-102-24-05-04-41</v>
      </c>
      <c r="G3945" s="164"/>
      <c r="H3945" s="164" t="str">
        <f ca="1">IFERROR(__xludf.DUMMYFUNCTION("""COMPUTED_VALUE"""),"JOHN REY TARRAJA")</f>
        <v>JOHN REY TARRAJA</v>
      </c>
      <c r="I3945" s="164" t="str">
        <f ca="1">IFERROR(__xludf.DUMMYFUNCTION("""COMPUTED_VALUE"""),"SARPO, LTID")</f>
        <v>SARPO, LTID</v>
      </c>
      <c r="J3945" s="164" t="str">
        <f ca="1">IFERROR(__xludf.DUMMYFUNCTION("""COMPUTED_VALUE"""),"2024-03-006")</f>
        <v>2024-03-006</v>
      </c>
      <c r="K3945" s="164" t="str">
        <f ca="1">IFERROR(__xludf.DUMMYFUNCTION("""COMPUTED_VALUE"""),"JOHN REY TARRAJA")</f>
        <v>JOHN REY TARRAJA</v>
      </c>
      <c r="L3945" s="164" t="str">
        <f ca="1">IFERROR(__xludf.DUMMYFUNCTION("""COMPUTED_VALUE"""),"LTID")</f>
        <v>LTID</v>
      </c>
      <c r="M3945" s="164" t="str">
        <f ca="1">IFERROR(__xludf.DUMMYFUNCTION("""COMPUTED_VALUE"""),"SERVICEABLE")</f>
        <v>SERVICEABLE</v>
      </c>
      <c r="N3945" s="164"/>
    </row>
    <row r="3946" spans="1:14" ht="13.2" hidden="1">
      <c r="A3946" s="164" t="str">
        <f ca="1">IFERROR(__xludf.DUMMYFUNCTION("""COMPUTED_VALUE"""),"REGION XII")</f>
        <v>REGION XII</v>
      </c>
      <c r="B3946" s="164" t="str">
        <f ca="1">IFERROR(__xludf.DUMMYFUNCTION("""COMPUTED_VALUE"""),"SULTAN KUDARAT")</f>
        <v>SULTAN KUDARAT</v>
      </c>
      <c r="C3946" s="164" t="str">
        <f ca="1">IFERROR(__xludf.DUMMYFUNCTION("""COMPUTED_VALUE"""),"A3 PRINTER (BROTHER)")</f>
        <v>A3 PRINTER (BROTHER)</v>
      </c>
      <c r="D3946" s="164" t="str">
        <f ca="1">IFERROR(__xludf.DUMMYFUNCTION("""COMPUTED_VALUE"""),"₱ 33,508.00")</f>
        <v>₱ 33,508.00</v>
      </c>
      <c r="E3946" s="164" t="str">
        <f ca="1">IFERROR(__xludf.DUMMYFUNCTION("""COMPUTED_VALUE"""),"₱ -")</f>
        <v>₱ -</v>
      </c>
      <c r="F3946" s="164" t="str">
        <f ca="1">IFERROR(__xludf.DUMMYFUNCTION("""COMPUTED_VALUE"""),"HV-SPLIT-102-24-05-39")</f>
        <v>HV-SPLIT-102-24-05-39</v>
      </c>
      <c r="G3946" s="164"/>
      <c r="H3946" s="164" t="str">
        <f ca="1">IFERROR(__xludf.DUMMYFUNCTION("""COMPUTED_VALUE"""),"BRYAN JOHN T. VICTORIANO
 MARY JANE GENEZA")</f>
        <v>BRYAN JOHN T. VICTORIANO
 MARY JANE GENEZA</v>
      </c>
      <c r="I3946" s="164" t="str">
        <f ca="1">IFERROR(__xludf.DUMMYFUNCTION("""COMPUTED_VALUE"""),"PCAO")</f>
        <v>PCAO</v>
      </c>
      <c r="J3946" s="164" t="str">
        <f ca="1">IFERROR(__xludf.DUMMYFUNCTION("""COMPUTED_VALUE"""),"2024-03-006")</f>
        <v>2024-03-006</v>
      </c>
      <c r="K3946" s="164" t="str">
        <f ca="1">IFERROR(__xludf.DUMMYFUNCTION("""COMPUTED_VALUE"""),"MARY JANE GENEZA")</f>
        <v>MARY JANE GENEZA</v>
      </c>
      <c r="L3946" s="164" t="str">
        <f ca="1">IFERROR(__xludf.DUMMYFUNCTION("""COMPUTED_VALUE"""),"STOD")</f>
        <v>STOD</v>
      </c>
      <c r="M3946" s="164" t="str">
        <f ca="1">IFERROR(__xludf.DUMMYFUNCTION("""COMPUTED_VALUE"""),"SERVICEABLE")</f>
        <v>SERVICEABLE</v>
      </c>
      <c r="N3946" s="164"/>
    </row>
    <row r="3947" spans="1:14" ht="13.2" hidden="1">
      <c r="A3947" s="164" t="str">
        <f ca="1">IFERROR(__xludf.DUMMYFUNCTION("""COMPUTED_VALUE"""),"REGION XII")</f>
        <v>REGION XII</v>
      </c>
      <c r="B3947" s="164" t="str">
        <f ca="1">IFERROR(__xludf.DUMMYFUNCTION("""COMPUTED_VALUE"""),"COTABATO")</f>
        <v>COTABATO</v>
      </c>
      <c r="C3947" s="164" t="str">
        <f ca="1">IFERROR(__xludf.DUMMYFUNCTION("""COMPUTED_VALUE"""),"A3 PRINTER (BROTHER)")</f>
        <v>A3 PRINTER (BROTHER)</v>
      </c>
      <c r="D3947" s="164" t="str">
        <f ca="1">IFERROR(__xludf.DUMMYFUNCTION("""COMPUTED_VALUE"""),"₱ 33,508.00")</f>
        <v>₱ 33,508.00</v>
      </c>
      <c r="E3947" s="164" t="str">
        <f ca="1">IFERROR(__xludf.DUMMYFUNCTION("""COMPUTED_VALUE"""),"₱ -")</f>
        <v>₱ -</v>
      </c>
      <c r="F3947" s="164" t="str">
        <f ca="1">IFERROR(__xludf.DUMMYFUNCTION("""COMPUTED_VALUE"""),"HV-SPLIT-102-24-05-40
 HV-SPLIT-102-24-05-04-039")</f>
        <v>HV-SPLIT-102-24-05-40
 HV-SPLIT-102-24-05-04-039</v>
      </c>
      <c r="G3947" s="164"/>
      <c r="H3947" s="164" t="str">
        <f ca="1">IFERROR(__xludf.DUMMYFUNCTION("""COMPUTED_VALUE"""),"FRANCES JUN I. BAUTISTA")</f>
        <v>FRANCES JUN I. BAUTISTA</v>
      </c>
      <c r="I3947" s="164" t="str">
        <f ca="1">IFERROR(__xludf.DUMMYFUNCTION("""COMPUTED_VALUE"""),"ENGINEER II")</f>
        <v>ENGINEER II</v>
      </c>
      <c r="J3947" s="164" t="str">
        <f ca="1">IFERROR(__xludf.DUMMYFUNCTION("""COMPUTED_VALUE"""),"2024-03-006")</f>
        <v>2024-03-006</v>
      </c>
      <c r="K3947" s="164" t="str">
        <f ca="1">IFERROR(__xludf.DUMMYFUNCTION("""COMPUTED_VALUE"""),"FRANCES JUN I. BAUTISTA")</f>
        <v>FRANCES JUN I. BAUTISTA</v>
      </c>
      <c r="L3947" s="164" t="str">
        <f ca="1">IFERROR(__xludf.DUMMYFUNCTION("""COMPUTED_VALUE"""),"DARPO-LTID")</f>
        <v>DARPO-LTID</v>
      </c>
      <c r="M3947" s="164" t="str">
        <f ca="1">IFERROR(__xludf.DUMMYFUNCTION("""COMPUTED_VALUE"""),"SERVICEABLE")</f>
        <v>SERVICEABLE</v>
      </c>
      <c r="N3947" s="164"/>
    </row>
    <row r="3948" spans="1:14" ht="13.2" hidden="1">
      <c r="A3948" s="164" t="str">
        <f ca="1">IFERROR(__xludf.DUMMYFUNCTION("""COMPUTED_VALUE"""),"REGION XII")</f>
        <v>REGION XII</v>
      </c>
      <c r="B3948" s="164" t="str">
        <f ca="1">IFERROR(__xludf.DUMMYFUNCTION("""COMPUTED_VALUE"""),"SOUTH COTABATO")</f>
        <v>SOUTH COTABATO</v>
      </c>
      <c r="C3948" s="164" t="str">
        <f ca="1">IFERROR(__xludf.DUMMYFUNCTION("""COMPUTED_VALUE"""),"A3 PRINTER (BROTHER)")</f>
        <v>A3 PRINTER (BROTHER)</v>
      </c>
      <c r="D3948" s="164" t="str">
        <f ca="1">IFERROR(__xludf.DUMMYFUNCTION("""COMPUTED_VALUE"""),"₱ 33,508.00")</f>
        <v>₱ 33,508.00</v>
      </c>
      <c r="E3948" s="164" t="str">
        <f ca="1">IFERROR(__xludf.DUMMYFUNCTION("""COMPUTED_VALUE"""),"₱ -")</f>
        <v>₱ -</v>
      </c>
      <c r="F3948" s="164" t="str">
        <f ca="1">IFERROR(__xludf.DUMMYFUNCTION("""COMPUTED_VALUE"""),"HV-SPLIT-102-24-05-41
 HV-SPLIT-102-24-05-04-042")</f>
        <v>HV-SPLIT-102-24-05-41
 HV-SPLIT-102-24-05-04-042</v>
      </c>
      <c r="G3948" s="164"/>
      <c r="H3948" s="164" t="str">
        <f ca="1">IFERROR(__xludf.DUMMYFUNCTION("""COMPUTED_VALUE"""),"RECHEL ANN SALCEDO")</f>
        <v>RECHEL ANN SALCEDO</v>
      </c>
      <c r="I3948" s="164" t="str">
        <f ca="1">IFERROR(__xludf.DUMMYFUNCTION("""COMPUTED_VALUE"""),"AO IV")</f>
        <v>AO IV</v>
      </c>
      <c r="J3948" s="164" t="str">
        <f ca="1">IFERROR(__xludf.DUMMYFUNCTION("""COMPUTED_VALUE"""),"2024-03-006")</f>
        <v>2024-03-006</v>
      </c>
      <c r="K3948" s="164" t="str">
        <f ca="1">IFERROR(__xludf.DUMMYFUNCTION("""COMPUTED_VALUE"""),"RECHEL ANN SALCEDO")</f>
        <v>RECHEL ANN SALCEDO</v>
      </c>
      <c r="L3948" s="164" t="str">
        <f ca="1">IFERROR(__xludf.DUMMYFUNCTION("""COMPUTED_VALUE"""),"DARPO SOUTH COTABATO")</f>
        <v>DARPO SOUTH COTABATO</v>
      </c>
      <c r="M3948" s="164" t="str">
        <f ca="1">IFERROR(__xludf.DUMMYFUNCTION("""COMPUTED_VALUE"""),"SERVICEABLE")</f>
        <v>SERVICEABLE</v>
      </c>
      <c r="N3948" s="164"/>
    </row>
    <row r="3949" spans="1:14" ht="13.2">
      <c r="A3949" s="164" t="str">
        <f ca="1">IFERROR(__xludf.DUMMYFUNCTION("""COMPUTED_VALUE"""),"REGION XII")</f>
        <v>REGION XII</v>
      </c>
      <c r="B3949" s="164" t="str">
        <f ca="1">IFERROR(__xludf.DUMMYFUNCTION("""COMPUTED_VALUE"""),"SARANGANI")</f>
        <v>SARANGANI</v>
      </c>
      <c r="C3949" s="164" t="str">
        <f ca="1">IFERROR(__xludf.DUMMYFUNCTION("""COMPUTED_VALUE"""),"Desktop Computer – (Lenovo M70T)")</f>
        <v>Desktop Computer – (Lenovo M70T)</v>
      </c>
      <c r="D3949" s="164" t="str">
        <f ca="1">IFERROR(__xludf.DUMMYFUNCTION("""COMPUTED_VALUE"""),"₱ 75,468.00")</f>
        <v>₱ 75,468.00</v>
      </c>
      <c r="E3949" s="164" t="str">
        <f ca="1">IFERROR(__xludf.DUMMYFUNCTION("""COMPUTED_VALUE"""),"₱ -")</f>
        <v>₱ -</v>
      </c>
      <c r="F3949" s="164" t="str">
        <f ca="1">IFERROR(__xludf.DUMMYFUNCTION("""COMPUTED_VALUE"""),"2023-05-03-10201SP-1691-01")</f>
        <v>2023-05-03-10201SP-1691-01</v>
      </c>
      <c r="G3949" s="164" t="str">
        <f ca="1">IFERROR(__xludf.DUMMYFUNCTION("""COMPUTED_VALUE"""),"1S11T5S16200GM041B3V")</f>
        <v>1S11T5S16200GM041B3V</v>
      </c>
      <c r="H3949" s="164" t="str">
        <f ca="1">IFERROR(__xludf.DUMMYFUNCTION("""COMPUTED_VALUE"""),"MICHAEL A. DOMINGO")</f>
        <v>MICHAEL A. DOMINGO</v>
      </c>
      <c r="I3949" s="164" t="str">
        <f ca="1">IFERROR(__xludf.DUMMYFUNCTION("""COMPUTED_VALUE"""),"ARPT")</f>
        <v>ARPT</v>
      </c>
      <c r="J3949" s="164" t="str">
        <f ca="1">IFERROR(__xludf.DUMMYFUNCTION("""COMPUTED_VALUE"""),"2023-04-036")</f>
        <v>2023-04-036</v>
      </c>
      <c r="K3949" s="164" t="str">
        <f ca="1">IFERROR(__xludf.DUMMYFUNCTION("""COMPUTED_VALUE"""),"MICHAEL A. DOMINGO")</f>
        <v>MICHAEL A. DOMINGO</v>
      </c>
      <c r="L3949" s="164" t="str">
        <f ca="1">IFERROR(__xludf.DUMMYFUNCTION("""COMPUTED_VALUE"""),"LTID")</f>
        <v>LTID</v>
      </c>
      <c r="M3949" s="164" t="str">
        <f ca="1">IFERROR(__xludf.DUMMYFUNCTION("""COMPUTED_VALUE"""),"SERVICEABLE")</f>
        <v>SERVICEABLE</v>
      </c>
      <c r="N3949" s="164"/>
    </row>
    <row r="3950" spans="1:14" ht="13.2">
      <c r="A3950" s="164" t="str">
        <f ca="1">IFERROR(__xludf.DUMMYFUNCTION("""COMPUTED_VALUE"""),"REGION XII")</f>
        <v>REGION XII</v>
      </c>
      <c r="B3950" s="164" t="str">
        <f ca="1">IFERROR(__xludf.DUMMYFUNCTION("""COMPUTED_VALUE"""),"SARANGANI")</f>
        <v>SARANGANI</v>
      </c>
      <c r="C3950" s="164" t="str">
        <f ca="1">IFERROR(__xludf.DUMMYFUNCTION("""COMPUTED_VALUE"""),"Desktop Computer – (Lenovo M70T)")</f>
        <v>Desktop Computer – (Lenovo M70T)</v>
      </c>
      <c r="D3950" s="164" t="str">
        <f ca="1">IFERROR(__xludf.DUMMYFUNCTION("""COMPUTED_VALUE"""),"₱ 75,468.00")</f>
        <v>₱ 75,468.00</v>
      </c>
      <c r="E3950" s="164" t="str">
        <f ca="1">IFERROR(__xludf.DUMMYFUNCTION("""COMPUTED_VALUE"""),"₱ -")</f>
        <v>₱ -</v>
      </c>
      <c r="F3950" s="164" t="str">
        <f ca="1">IFERROR(__xludf.DUMMYFUNCTION("""COMPUTED_VALUE"""),"2023-05-03-10201SP-1692-01")</f>
        <v>2023-05-03-10201SP-1692-01</v>
      </c>
      <c r="G3950" s="164" t="str">
        <f ca="1">IFERROR(__xludf.DUMMYFUNCTION("""COMPUTED_VALUE"""),"1S11T5S16200GM0418G6")</f>
        <v>1S11T5S16200GM0418G6</v>
      </c>
      <c r="H3950" s="164" t="str">
        <f ca="1">IFERROR(__xludf.DUMMYFUNCTION("""COMPUTED_VALUE"""),"JOHN REY TARRAJA")</f>
        <v>JOHN REY TARRAJA</v>
      </c>
      <c r="I3950" s="164" t="str">
        <f ca="1">IFERROR(__xludf.DUMMYFUNCTION("""COMPUTED_VALUE"""),"SARPO")</f>
        <v>SARPO</v>
      </c>
      <c r="J3950" s="164" t="str">
        <f ca="1">IFERROR(__xludf.DUMMYFUNCTION("""COMPUTED_VALUE"""),"2023-04-035")</f>
        <v>2023-04-035</v>
      </c>
      <c r="K3950" s="164" t="str">
        <f ca="1">IFERROR(__xludf.DUMMYFUNCTION("""COMPUTED_VALUE"""),"JOHN REY TARRAJA")</f>
        <v>JOHN REY TARRAJA</v>
      </c>
      <c r="L3950" s="164" t="str">
        <f ca="1">IFERROR(__xludf.DUMMYFUNCTION("""COMPUTED_VALUE"""),"LTID")</f>
        <v>LTID</v>
      </c>
      <c r="M3950" s="164" t="str">
        <f ca="1">IFERROR(__xludf.DUMMYFUNCTION("""COMPUTED_VALUE"""),"SERVICEABLE")</f>
        <v>SERVICEABLE</v>
      </c>
      <c r="N3950" s="164"/>
    </row>
    <row r="3951" spans="1:14" ht="13.2">
      <c r="A3951" s="164" t="str">
        <f ca="1">IFERROR(__xludf.DUMMYFUNCTION("""COMPUTED_VALUE"""),"REGION XII")</f>
        <v>REGION XII</v>
      </c>
      <c r="B3951" s="164" t="str">
        <f ca="1">IFERROR(__xludf.DUMMYFUNCTION("""COMPUTED_VALUE"""),"SARANGANI")</f>
        <v>SARANGANI</v>
      </c>
      <c r="C3951" s="164" t="str">
        <f ca="1">IFERROR(__xludf.DUMMYFUNCTION("""COMPUTED_VALUE"""),"Desktop Computer – (Lenovo M70T)")</f>
        <v>Desktop Computer – (Lenovo M70T)</v>
      </c>
      <c r="D3951" s="164" t="str">
        <f ca="1">IFERROR(__xludf.DUMMYFUNCTION("""COMPUTED_VALUE"""),"₱ 75,468.00")</f>
        <v>₱ 75,468.00</v>
      </c>
      <c r="E3951" s="164" t="str">
        <f ca="1">IFERROR(__xludf.DUMMYFUNCTION("""COMPUTED_VALUE"""),"₱ -")</f>
        <v>₱ -</v>
      </c>
      <c r="F3951" s="164" t="str">
        <f ca="1">IFERROR(__xludf.DUMMYFUNCTION("""COMPUTED_VALUE"""),"2023-05-03-10201SP-1697-01")</f>
        <v>2023-05-03-10201SP-1697-01</v>
      </c>
      <c r="G3951" s="164" t="str">
        <f ca="1">IFERROR(__xludf.DUMMYFUNCTION("""COMPUTED_VALUE"""),"1S11T5S16200GM041AWL")</f>
        <v>1S11T5S16200GM041AWL</v>
      </c>
      <c r="H3951" s="164" t="str">
        <f ca="1">IFERROR(__xludf.DUMMYFUNCTION("""COMPUTED_VALUE"""),"ATTY. KAY A. AVILES")</f>
        <v>ATTY. KAY A. AVILES</v>
      </c>
      <c r="I3951" s="164" t="str">
        <f ca="1">IFERROR(__xludf.DUMMYFUNCTION("""COMPUTED_VALUE"""),"ATTORNEY IV")</f>
        <v>ATTORNEY IV</v>
      </c>
      <c r="J3951" s="164" t="str">
        <f ca="1">IFERROR(__xludf.DUMMYFUNCTION("""COMPUTED_VALUE"""),"2023-04-049")</f>
        <v>2023-04-049</v>
      </c>
      <c r="K3951" s="164" t="str">
        <f ca="1">IFERROR(__xludf.DUMMYFUNCTION("""COMPUTED_VALUE"""),"ATTY. KAY A. AVILES")</f>
        <v>ATTY. KAY A. AVILES</v>
      </c>
      <c r="L3951" s="164" t="str">
        <f ca="1">IFERROR(__xludf.DUMMYFUNCTION("""COMPUTED_VALUE"""),"STOD")</f>
        <v>STOD</v>
      </c>
      <c r="M3951" s="164" t="str">
        <f ca="1">IFERROR(__xludf.DUMMYFUNCTION("""COMPUTED_VALUE"""),"SERVICEABLE")</f>
        <v>SERVICEABLE</v>
      </c>
      <c r="N3951" s="164"/>
    </row>
    <row r="3952" spans="1:14" ht="13.2">
      <c r="A3952" s="164" t="str">
        <f ca="1">IFERROR(__xludf.DUMMYFUNCTION("""COMPUTED_VALUE"""),"REGION XII")</f>
        <v>REGION XII</v>
      </c>
      <c r="B3952" s="164" t="str">
        <f ca="1">IFERROR(__xludf.DUMMYFUNCTION("""COMPUTED_VALUE"""),"SARANGANI")</f>
        <v>SARANGANI</v>
      </c>
      <c r="C3952" s="164" t="str">
        <f ca="1">IFERROR(__xludf.DUMMYFUNCTION("""COMPUTED_VALUE"""),"Desktop Computer – (Lenovo M70T)")</f>
        <v>Desktop Computer – (Lenovo M70T)</v>
      </c>
      <c r="D3952" s="164" t="str">
        <f ca="1">IFERROR(__xludf.DUMMYFUNCTION("""COMPUTED_VALUE"""),"₱ 75,468.00")</f>
        <v>₱ 75,468.00</v>
      </c>
      <c r="E3952" s="164" t="str">
        <f ca="1">IFERROR(__xludf.DUMMYFUNCTION("""COMPUTED_VALUE"""),"₱ -")</f>
        <v>₱ -</v>
      </c>
      <c r="F3952" s="164" t="str">
        <f ca="1">IFERROR(__xludf.DUMMYFUNCTION("""COMPUTED_VALUE"""),"2023-05-03-10201SP-1694-01")</f>
        <v>2023-05-03-10201SP-1694-01</v>
      </c>
      <c r="G3952" s="164" t="str">
        <f ca="1">IFERROR(__xludf.DUMMYFUNCTION("""COMPUTED_VALUE"""),"1S11T5S16200GM041B3G")</f>
        <v>1S11T5S16200GM041B3G</v>
      </c>
      <c r="H3952" s="164" t="str">
        <f ca="1">IFERROR(__xludf.DUMMYFUNCTION("""COMPUTED_VALUE"""),"GLENDA M. MANANSALA")</f>
        <v>GLENDA M. MANANSALA</v>
      </c>
      <c r="I3952" s="164" t="str">
        <f ca="1">IFERROR(__xludf.DUMMYFUNCTION("""COMPUTED_VALUE"""),"CARPO")</f>
        <v>CARPO</v>
      </c>
      <c r="J3952" s="164" t="str">
        <f ca="1">IFERROR(__xludf.DUMMYFUNCTION("""COMPUTED_VALUE"""),"2023-04-045")</f>
        <v>2023-04-045</v>
      </c>
      <c r="K3952" s="164" t="str">
        <f ca="1">IFERROR(__xludf.DUMMYFUNCTION("""COMPUTED_VALUE"""),"GLENDA M. MANANSALA")</f>
        <v>GLENDA M. MANANSALA</v>
      </c>
      <c r="L3952" s="164" t="str">
        <f ca="1">IFERROR(__xludf.DUMMYFUNCTION("""COMPUTED_VALUE"""),"LTID")</f>
        <v>LTID</v>
      </c>
      <c r="M3952" s="164" t="str">
        <f ca="1">IFERROR(__xludf.DUMMYFUNCTION("""COMPUTED_VALUE"""),"SERVICEABLE")</f>
        <v>SERVICEABLE</v>
      </c>
      <c r="N3952" s="164"/>
    </row>
    <row r="3953" spans="1:14" ht="13.2">
      <c r="A3953" s="164" t="str">
        <f ca="1">IFERROR(__xludf.DUMMYFUNCTION("""COMPUTED_VALUE"""),"REGION XII")</f>
        <v>REGION XII</v>
      </c>
      <c r="B3953" s="164" t="str">
        <f ca="1">IFERROR(__xludf.DUMMYFUNCTION("""COMPUTED_VALUE"""),"SARANGANI")</f>
        <v>SARANGANI</v>
      </c>
      <c r="C3953" s="164" t="str">
        <f ca="1">IFERROR(__xludf.DUMMYFUNCTION("""COMPUTED_VALUE"""),"Desktop Computer – (Lenovo M70T)")</f>
        <v>Desktop Computer – (Lenovo M70T)</v>
      </c>
      <c r="D3953" s="164" t="str">
        <f ca="1">IFERROR(__xludf.DUMMYFUNCTION("""COMPUTED_VALUE"""),"₱ 75,468.00")</f>
        <v>₱ 75,468.00</v>
      </c>
      <c r="E3953" s="164" t="str">
        <f ca="1">IFERROR(__xludf.DUMMYFUNCTION("""COMPUTED_VALUE"""),"₱ -")</f>
        <v>₱ -</v>
      </c>
      <c r="F3953" s="164" t="str">
        <f ca="1">IFERROR(__xludf.DUMMYFUNCTION("""COMPUTED_VALUE"""),"2023-05-03-10201SP-1695-01")</f>
        <v>2023-05-03-10201SP-1695-01</v>
      </c>
      <c r="G3953" s="164" t="str">
        <f ca="1">IFERROR(__xludf.DUMMYFUNCTION("""COMPUTED_VALUE"""),"1S11T5S16200GM0418H6")</f>
        <v>1S11T5S16200GM0418H6</v>
      </c>
      <c r="H3953" s="164" t="str">
        <f ca="1">IFERROR(__xludf.DUMMYFUNCTION("""COMPUTED_VALUE"""),"REDZMA. MINDALANO")</f>
        <v>REDZMA. MINDALANO</v>
      </c>
      <c r="I3953" s="164" t="str">
        <f ca="1">IFERROR(__xludf.DUMMYFUNCTION("""COMPUTED_VALUE"""),"PCAO")</f>
        <v>PCAO</v>
      </c>
      <c r="J3953" s="164" t="str">
        <f ca="1">IFERROR(__xludf.DUMMYFUNCTION("""COMPUTED_VALUE"""),"2023-04-048")</f>
        <v>2023-04-048</v>
      </c>
      <c r="K3953" s="164" t="str">
        <f ca="1">IFERROR(__xludf.DUMMYFUNCTION("""COMPUTED_VALUE"""),"REDZMA. MINDALANO")</f>
        <v>REDZMA. MINDALANO</v>
      </c>
      <c r="L3953" s="164" t="str">
        <f ca="1">IFERROR(__xludf.DUMMYFUNCTION("""COMPUTED_VALUE"""),"STOD")</f>
        <v>STOD</v>
      </c>
      <c r="M3953" s="164" t="str">
        <f ca="1">IFERROR(__xludf.DUMMYFUNCTION("""COMPUTED_VALUE"""),"SERVICEABLE")</f>
        <v>SERVICEABLE</v>
      </c>
      <c r="N3953" s="164"/>
    </row>
    <row r="3954" spans="1:14" ht="13.2">
      <c r="A3954" s="164" t="str">
        <f ca="1">IFERROR(__xludf.DUMMYFUNCTION("""COMPUTED_VALUE"""),"REGION XII")</f>
        <v>REGION XII</v>
      </c>
      <c r="B3954" s="164" t="str">
        <f ca="1">IFERROR(__xludf.DUMMYFUNCTION("""COMPUTED_VALUE"""),"SARANGANI")</f>
        <v>SARANGANI</v>
      </c>
      <c r="C3954" s="164" t="str">
        <f ca="1">IFERROR(__xludf.DUMMYFUNCTION("""COMPUTED_VALUE"""),"Desktop Computer – (Lenovo M70T)")</f>
        <v>Desktop Computer – (Lenovo M70T)</v>
      </c>
      <c r="D3954" s="164" t="str">
        <f ca="1">IFERROR(__xludf.DUMMYFUNCTION("""COMPUTED_VALUE"""),"₱ 75,468.00")</f>
        <v>₱ 75,468.00</v>
      </c>
      <c r="E3954" s="164" t="str">
        <f ca="1">IFERROR(__xludf.DUMMYFUNCTION("""COMPUTED_VALUE"""),"₱ -")</f>
        <v>₱ -</v>
      </c>
      <c r="F3954" s="164" t="str">
        <f ca="1">IFERROR(__xludf.DUMMYFUNCTION("""COMPUTED_VALUE"""),"2023-05-03-10201SP-1688-01")</f>
        <v>2023-05-03-10201SP-1688-01</v>
      </c>
      <c r="G3954" s="164" t="str">
        <f ca="1">IFERROR(__xludf.DUMMYFUNCTION("""COMPUTED_VALUE"""),"1S11T5S16200GM0415TR")</f>
        <v>1S11T5S16200GM0415TR</v>
      </c>
      <c r="H3954" s="164" t="str">
        <f ca="1">IFERROR(__xludf.DUMMYFUNCTION("""COMPUTED_VALUE"""),"REDZMA. MINDALANO")</f>
        <v>REDZMA. MINDALANO</v>
      </c>
      <c r="I3954" s="164" t="str">
        <f ca="1">IFERROR(__xludf.DUMMYFUNCTION("""COMPUTED_VALUE"""),"PCAO")</f>
        <v>PCAO</v>
      </c>
      <c r="J3954" s="164" t="str">
        <f ca="1">IFERROR(__xludf.DUMMYFUNCTION("""COMPUTED_VALUE"""),"2023-04-039")</f>
        <v>2023-04-039</v>
      </c>
      <c r="K3954" s="164" t="str">
        <f ca="1">IFERROR(__xludf.DUMMYFUNCTION("""COMPUTED_VALUE"""),"REDZMA. MINDALANO")</f>
        <v>REDZMA. MINDALANO</v>
      </c>
      <c r="L3954" s="164" t="str">
        <f ca="1">IFERROR(__xludf.DUMMYFUNCTION("""COMPUTED_VALUE"""),"STOD")</f>
        <v>STOD</v>
      </c>
      <c r="M3954" s="164" t="str">
        <f ca="1">IFERROR(__xludf.DUMMYFUNCTION("""COMPUTED_VALUE"""),"SERVICEABLE")</f>
        <v>SERVICEABLE</v>
      </c>
      <c r="N3954" s="164"/>
    </row>
    <row r="3955" spans="1:14" ht="13.2">
      <c r="A3955" s="164" t="str">
        <f ca="1">IFERROR(__xludf.DUMMYFUNCTION("""COMPUTED_VALUE"""),"REGION XII")</f>
        <v>REGION XII</v>
      </c>
      <c r="B3955" s="164" t="str">
        <f ca="1">IFERROR(__xludf.DUMMYFUNCTION("""COMPUTED_VALUE"""),"SARANGANI")</f>
        <v>SARANGANI</v>
      </c>
      <c r="C3955" s="164" t="str">
        <f ca="1">IFERROR(__xludf.DUMMYFUNCTION("""COMPUTED_VALUE"""),"Desktop Computer – (Lenovo M70T)")</f>
        <v>Desktop Computer – (Lenovo M70T)</v>
      </c>
      <c r="D3955" s="164" t="str">
        <f ca="1">IFERROR(__xludf.DUMMYFUNCTION("""COMPUTED_VALUE"""),"₱ 75,468.00")</f>
        <v>₱ 75,468.00</v>
      </c>
      <c r="E3955" s="164" t="str">
        <f ca="1">IFERROR(__xludf.DUMMYFUNCTION("""COMPUTED_VALUE"""),"₱ -")</f>
        <v>₱ -</v>
      </c>
      <c r="F3955" s="164" t="str">
        <f ca="1">IFERROR(__xludf.DUMMYFUNCTION("""COMPUTED_VALUE"""),"2023-05-03-10201SP-1689-01")</f>
        <v>2023-05-03-10201SP-1689-01</v>
      </c>
      <c r="G3955" s="164" t="str">
        <f ca="1">IFERROR(__xludf.DUMMYFUNCTION("""COMPUTED_VALUE"""),"1S11T5S16200GM041B2X")</f>
        <v>1S11T5S16200GM041B2X</v>
      </c>
      <c r="H3955" s="164" t="str">
        <f ca="1">IFERROR(__xludf.DUMMYFUNCTION("""COMPUTED_VALUE"""),"GLENDA M. MANANSALA")</f>
        <v>GLENDA M. MANANSALA</v>
      </c>
      <c r="I3955" s="164" t="str">
        <f ca="1">IFERROR(__xludf.DUMMYFUNCTION("""COMPUTED_VALUE"""),"CARPO")</f>
        <v>CARPO</v>
      </c>
      <c r="J3955" s="164" t="str">
        <f ca="1">IFERROR(__xludf.DUMMYFUNCTION("""COMPUTED_VALUE"""),"2023-04-038")</f>
        <v>2023-04-038</v>
      </c>
      <c r="K3955" s="164" t="str">
        <f ca="1">IFERROR(__xludf.DUMMYFUNCTION("""COMPUTED_VALUE"""),"GLENDA M. MANANSALA")</f>
        <v>GLENDA M. MANANSALA</v>
      </c>
      <c r="L3955" s="164" t="str">
        <f ca="1">IFERROR(__xludf.DUMMYFUNCTION("""COMPUTED_VALUE"""),"LTID")</f>
        <v>LTID</v>
      </c>
      <c r="M3955" s="164" t="str">
        <f ca="1">IFERROR(__xludf.DUMMYFUNCTION("""COMPUTED_VALUE"""),"SERVICEABLE")</f>
        <v>SERVICEABLE</v>
      </c>
      <c r="N3955" s="164"/>
    </row>
    <row r="3956" spans="1:14" ht="13.2">
      <c r="A3956" s="164" t="str">
        <f ca="1">IFERROR(__xludf.DUMMYFUNCTION("""COMPUTED_VALUE"""),"REGION XII")</f>
        <v>REGION XII</v>
      </c>
      <c r="B3956" s="164" t="str">
        <f ca="1">IFERROR(__xludf.DUMMYFUNCTION("""COMPUTED_VALUE"""),"SARANGANI")</f>
        <v>SARANGANI</v>
      </c>
      <c r="C3956" s="164" t="str">
        <f ca="1">IFERROR(__xludf.DUMMYFUNCTION("""COMPUTED_VALUE"""),"Desktop Computer – (Lenovo M70T)")</f>
        <v>Desktop Computer – (Lenovo M70T)</v>
      </c>
      <c r="D3956" s="164" t="str">
        <f ca="1">IFERROR(__xludf.DUMMYFUNCTION("""COMPUTED_VALUE"""),"₱ 75,468.00")</f>
        <v>₱ 75,468.00</v>
      </c>
      <c r="E3956" s="164" t="str">
        <f ca="1">IFERROR(__xludf.DUMMYFUNCTION("""COMPUTED_VALUE"""),"₱ -")</f>
        <v>₱ -</v>
      </c>
      <c r="F3956" s="164" t="str">
        <f ca="1">IFERROR(__xludf.DUMMYFUNCTION("""COMPUTED_VALUE"""),"2023-05-03-10201SP-1696-01")</f>
        <v>2023-05-03-10201SP-1696-01</v>
      </c>
      <c r="G3956" s="164" t="str">
        <f ca="1">IFERROR(__xludf.DUMMYFUNCTION("""COMPUTED_VALUE"""),"1S11T5S16200GM0415ZD")</f>
        <v>1S11T5S16200GM0415ZD</v>
      </c>
      <c r="H3956" s="164" t="str">
        <f ca="1">IFERROR(__xludf.DUMMYFUNCTION("""COMPUTED_VALUE"""),"LADY DOMINIQUE REMOLLO")</f>
        <v>LADY DOMINIQUE REMOLLO</v>
      </c>
      <c r="I3956" s="164" t="str">
        <f ca="1">IFERROR(__xludf.DUMMYFUNCTION("""COMPUTED_VALUE"""),"ARPT")</f>
        <v>ARPT</v>
      </c>
      <c r="J3956" s="164" t="str">
        <f ca="1">IFERROR(__xludf.DUMMYFUNCTION("""COMPUTED_VALUE"""),"2023-04-034")</f>
        <v>2023-04-034</v>
      </c>
      <c r="K3956" s="164" t="str">
        <f ca="1">IFERROR(__xludf.DUMMYFUNCTION("""COMPUTED_VALUE"""),"LADY DOMINIQUE REMOLLO")</f>
        <v>LADY DOMINIQUE REMOLLO</v>
      </c>
      <c r="L3956" s="164" t="str">
        <f ca="1">IFERROR(__xludf.DUMMYFUNCTION("""COMPUTED_VALUE"""),"STOD")</f>
        <v>STOD</v>
      </c>
      <c r="M3956" s="164" t="str">
        <f ca="1">IFERROR(__xludf.DUMMYFUNCTION("""COMPUTED_VALUE"""),"SERVICEABLE")</f>
        <v>SERVICEABLE</v>
      </c>
      <c r="N3956" s="164"/>
    </row>
    <row r="3957" spans="1:14" ht="13.2">
      <c r="A3957" s="164" t="str">
        <f ca="1">IFERROR(__xludf.DUMMYFUNCTION("""COMPUTED_VALUE"""),"REGION XII")</f>
        <v>REGION XII</v>
      </c>
      <c r="B3957" s="164" t="str">
        <f ca="1">IFERROR(__xludf.DUMMYFUNCTION("""COMPUTED_VALUE"""),"SARANGANI")</f>
        <v>SARANGANI</v>
      </c>
      <c r="C3957" s="164" t="str">
        <f ca="1">IFERROR(__xludf.DUMMYFUNCTION("""COMPUTED_VALUE"""),"Desktop Computer – (Lenovo M70T)")</f>
        <v>Desktop Computer – (Lenovo M70T)</v>
      </c>
      <c r="D3957" s="164" t="str">
        <f ca="1">IFERROR(__xludf.DUMMYFUNCTION("""COMPUTED_VALUE"""),"₱ 75,468.00")</f>
        <v>₱ 75,468.00</v>
      </c>
      <c r="E3957" s="164" t="str">
        <f ca="1">IFERROR(__xludf.DUMMYFUNCTION("""COMPUTED_VALUE"""),"₱ -")</f>
        <v>₱ -</v>
      </c>
      <c r="F3957" s="164" t="str">
        <f ca="1">IFERROR(__xludf.DUMMYFUNCTION("""COMPUTED_VALUE"""),"2023-05-03-10201SP-1690-01")</f>
        <v>2023-05-03-10201SP-1690-01</v>
      </c>
      <c r="G3957" s="164" t="str">
        <f ca="1">IFERROR(__xludf.DUMMYFUNCTION("""COMPUTED_VALUE"""),"1S11T5S16200GM0418GS")</f>
        <v>1S11T5S16200GM0418GS</v>
      </c>
      <c r="H3957" s="164" t="str">
        <f ca="1">IFERROR(__xludf.DUMMYFUNCTION("""COMPUTED_VALUE"""),"ARMIE ORACION")</f>
        <v>ARMIE ORACION</v>
      </c>
      <c r="I3957" s="164" t="str">
        <f ca="1">IFERROR(__xludf.DUMMYFUNCTION("""COMPUTED_VALUE"""),"ARPO I/LTID")</f>
        <v>ARPO I/LTID</v>
      </c>
      <c r="J3957" s="164" t="str">
        <f ca="1">IFERROR(__xludf.DUMMYFUNCTION("""COMPUTED_VALUE"""),"2023-04-037")</f>
        <v>2023-04-037</v>
      </c>
      <c r="K3957" s="164" t="str">
        <f ca="1">IFERROR(__xludf.DUMMYFUNCTION("""COMPUTED_VALUE"""),"LTID")</f>
        <v>LTID</v>
      </c>
      <c r="L3957" s="164" t="str">
        <f ca="1">IFERROR(__xludf.DUMMYFUNCTION("""COMPUTED_VALUE"""),"STOD")</f>
        <v>STOD</v>
      </c>
      <c r="M3957" s="164" t="str">
        <f ca="1">IFERROR(__xludf.DUMMYFUNCTION("""COMPUTED_VALUE"""),"SERVICEABLE")</f>
        <v>SERVICEABLE</v>
      </c>
      <c r="N3957" s="164"/>
    </row>
    <row r="3958" spans="1:14" ht="13.2">
      <c r="A3958" s="164" t="str">
        <f ca="1">IFERROR(__xludf.DUMMYFUNCTION("""COMPUTED_VALUE"""),"REGION XII")</f>
        <v>REGION XII</v>
      </c>
      <c r="B3958" s="164" t="str">
        <f ca="1">IFERROR(__xludf.DUMMYFUNCTION("""COMPUTED_VALUE"""),"SARANGANI")</f>
        <v>SARANGANI</v>
      </c>
      <c r="C3958" s="164" t="str">
        <f ca="1">IFERROR(__xludf.DUMMYFUNCTION("""COMPUTED_VALUE"""),"Desktop Computer – (Lenovo M70T)")</f>
        <v>Desktop Computer – (Lenovo M70T)</v>
      </c>
      <c r="D3958" s="164" t="str">
        <f ca="1">IFERROR(__xludf.DUMMYFUNCTION("""COMPUTED_VALUE"""),"₱ 75,468.00")</f>
        <v>₱ 75,468.00</v>
      </c>
      <c r="E3958" s="164" t="str">
        <f ca="1">IFERROR(__xludf.DUMMYFUNCTION("""COMPUTED_VALUE"""),"₱ -")</f>
        <v>₱ -</v>
      </c>
      <c r="F3958" s="164" t="str">
        <f ca="1">IFERROR(__xludf.DUMMYFUNCTION("""COMPUTED_VALUE"""),"2023-05-03-1020SP-167887-01")</f>
        <v>2023-05-03-1020SP-167887-01</v>
      </c>
      <c r="G3958" s="164" t="str">
        <f ca="1">IFERROR(__xludf.DUMMYFUNCTION("""COMPUTED_VALUE"""),"1S11T5S16200GM041B5V")</f>
        <v>1S11T5S16200GM041B5V</v>
      </c>
      <c r="H3958" s="164" t="str">
        <f ca="1">IFERROR(__xludf.DUMMYFUNCTION("""COMPUTED_VALUE"""),"MA. SONIANITA S. MAGALONG")</f>
        <v>MA. SONIANITA S. MAGALONG</v>
      </c>
      <c r="I3958" s="164" t="str">
        <f ca="1">IFERROR(__xludf.DUMMYFUNCTION("""COMPUTED_VALUE"""),"MARO")</f>
        <v>MARO</v>
      </c>
      <c r="J3958" s="164" t="str">
        <f ca="1">IFERROR(__xludf.DUMMYFUNCTION("""COMPUTED_VALUE"""),"2022-08-092")</f>
        <v>2022-08-092</v>
      </c>
      <c r="K3958" s="164" t="str">
        <f ca="1">IFERROR(__xludf.DUMMYFUNCTION("""COMPUTED_VALUE"""),"MA. SONIANITA S. MAGALONG")</f>
        <v>MA. SONIANITA S. MAGALONG</v>
      </c>
      <c r="L3958" s="164" t="str">
        <f ca="1">IFERROR(__xludf.DUMMYFUNCTION("""COMPUTED_VALUE"""),"DARMO GENSAN")</f>
        <v>DARMO GENSAN</v>
      </c>
      <c r="M3958" s="164" t="str">
        <f ca="1">IFERROR(__xludf.DUMMYFUNCTION("""COMPUTED_VALUE"""),"SERVICEABLE")</f>
        <v>SERVICEABLE</v>
      </c>
      <c r="N3958" s="164"/>
    </row>
    <row r="3959" spans="1:14" ht="13.2">
      <c r="A3959" s="164" t="str">
        <f ca="1">IFERROR(__xludf.DUMMYFUNCTION("""COMPUTED_VALUE"""),"REGION XII")</f>
        <v>REGION XII</v>
      </c>
      <c r="B3959" s="164" t="str">
        <f ca="1">IFERROR(__xludf.DUMMYFUNCTION("""COMPUTED_VALUE"""),"SARANGANI")</f>
        <v>SARANGANI</v>
      </c>
      <c r="C3959" s="164" t="str">
        <f ca="1">IFERROR(__xludf.DUMMYFUNCTION("""COMPUTED_VALUE"""),"Desktop Computer – (Lenovo M70T)")</f>
        <v>Desktop Computer – (Lenovo M70T)</v>
      </c>
      <c r="D3959" s="164" t="str">
        <f ca="1">IFERROR(__xludf.DUMMYFUNCTION("""COMPUTED_VALUE"""),"₱ 75,468.00")</f>
        <v>₱ 75,468.00</v>
      </c>
      <c r="E3959" s="164" t="str">
        <f ca="1">IFERROR(__xludf.DUMMYFUNCTION("""COMPUTED_VALUE"""),"₱ -")</f>
        <v>₱ -</v>
      </c>
      <c r="F3959" s="164" t="str">
        <f ca="1">IFERROR(__xludf.DUMMYFUNCTION("""COMPUTED_VALUE"""),"2023-05-03-1020SP-1698-01")</f>
        <v>2023-05-03-1020SP-1698-01</v>
      </c>
      <c r="G3959" s="164" t="str">
        <f ca="1">IFERROR(__xludf.DUMMYFUNCTION("""COMPUTED_VALUE"""),"1S11T5S16200GM041B08")</f>
        <v>1S11T5S16200GM041B08</v>
      </c>
      <c r="H3959" s="164" t="str">
        <f ca="1">IFERROR(__xludf.DUMMYFUNCTION("""COMPUTED_VALUE"""),"ROSELYN DALANDAO")</f>
        <v>ROSELYN DALANDAO</v>
      </c>
      <c r="I3959" s="164" t="str">
        <f ca="1">IFERROR(__xludf.DUMMYFUNCTION("""COMPUTED_VALUE"""),"MARPO")</f>
        <v>MARPO</v>
      </c>
      <c r="J3959" s="164" t="str">
        <f ca="1">IFERROR(__xludf.DUMMYFUNCTION("""COMPUTED_VALUE"""),"2023-04-041")</f>
        <v>2023-04-041</v>
      </c>
      <c r="K3959" s="164" t="str">
        <f ca="1">IFERROR(__xludf.DUMMYFUNCTION("""COMPUTED_VALUE"""),"ROSELYN DALANDAO")</f>
        <v>ROSELYN DALANDAO</v>
      </c>
      <c r="L3959" s="164" t="str">
        <f ca="1">IFERROR(__xludf.DUMMYFUNCTION("""COMPUTED_VALUE"""),"DARMO GLAN")</f>
        <v>DARMO GLAN</v>
      </c>
      <c r="M3959" s="164" t="str">
        <f ca="1">IFERROR(__xludf.DUMMYFUNCTION("""COMPUTED_VALUE"""),"SERVICEABLE")</f>
        <v>SERVICEABLE</v>
      </c>
      <c r="N3959" s="164"/>
    </row>
    <row r="3960" spans="1:14" ht="13.2">
      <c r="A3960" s="164" t="str">
        <f ca="1">IFERROR(__xludf.DUMMYFUNCTION("""COMPUTED_VALUE"""),"REGION XII")</f>
        <v>REGION XII</v>
      </c>
      <c r="B3960" s="164" t="str">
        <f ca="1">IFERROR(__xludf.DUMMYFUNCTION("""COMPUTED_VALUE"""),"SARANGANI")</f>
        <v>SARANGANI</v>
      </c>
      <c r="C3960" s="164" t="str">
        <f ca="1">IFERROR(__xludf.DUMMYFUNCTION("""COMPUTED_VALUE"""),"Desktop Computer – (Lenovo M70T)")</f>
        <v>Desktop Computer – (Lenovo M70T)</v>
      </c>
      <c r="D3960" s="164" t="str">
        <f ca="1">IFERROR(__xludf.DUMMYFUNCTION("""COMPUTED_VALUE"""),"₱ 75,468.00")</f>
        <v>₱ 75,468.00</v>
      </c>
      <c r="E3960" s="164" t="str">
        <f ca="1">IFERROR(__xludf.DUMMYFUNCTION("""COMPUTED_VALUE"""),"₱ -")</f>
        <v>₱ -</v>
      </c>
      <c r="F3960" s="164" t="str">
        <f ca="1">IFERROR(__xludf.DUMMYFUNCTION("""COMPUTED_VALUE"""),"2023-05-03-1020SP-1686-01")</f>
        <v>2023-05-03-1020SP-1686-01</v>
      </c>
      <c r="G3960" s="164" t="str">
        <f ca="1">IFERROR(__xludf.DUMMYFUNCTION("""COMPUTED_VALUE"""),"1S11T5S16200GM0415X0")</f>
        <v>1S11T5S16200GM0415X0</v>
      </c>
      <c r="H3960" s="164" t="str">
        <f ca="1">IFERROR(__xludf.DUMMYFUNCTION("""COMPUTED_VALUE"""),"JESSA MAE E. ABUBO")</f>
        <v>JESSA MAE E. ABUBO</v>
      </c>
      <c r="I3960" s="164" t="str">
        <f ca="1">IFERROR(__xludf.DUMMYFUNCTION("""COMPUTED_VALUE"""),"ARPT/acting AO IV")</f>
        <v>ARPT/acting AO IV</v>
      </c>
      <c r="J3960" s="164" t="str">
        <f ca="1">IFERROR(__xludf.DUMMYFUNCTION("""COMPUTED_VALUE"""),"2023-04-042")</f>
        <v>2023-04-042</v>
      </c>
      <c r="K3960" s="164" t="str">
        <f ca="1">IFERROR(__xludf.DUMMYFUNCTION("""COMPUTED_VALUE"""),"JESSA MAE E. ABUBO")</f>
        <v>JESSA MAE E. ABUBO</v>
      </c>
      <c r="L3960" s="164" t="str">
        <f ca="1">IFERROR(__xludf.DUMMYFUNCTION("""COMPUTED_VALUE"""),"STOD")</f>
        <v>STOD</v>
      </c>
      <c r="M3960" s="164" t="str">
        <f ca="1">IFERROR(__xludf.DUMMYFUNCTION("""COMPUTED_VALUE"""),"SERVICEABLE")</f>
        <v>SERVICEABLE</v>
      </c>
      <c r="N3960" s="164"/>
    </row>
    <row r="3961" spans="1:14" ht="13.2">
      <c r="A3961" s="164" t="str">
        <f ca="1">IFERROR(__xludf.DUMMYFUNCTION("""COMPUTED_VALUE"""),"REGION XII")</f>
        <v>REGION XII</v>
      </c>
      <c r="B3961" s="164" t="str">
        <f ca="1">IFERROR(__xludf.DUMMYFUNCTION("""COMPUTED_VALUE"""),"SARANGANI")</f>
        <v>SARANGANI</v>
      </c>
      <c r="C3961" s="164" t="str">
        <f ca="1">IFERROR(__xludf.DUMMYFUNCTION("""COMPUTED_VALUE"""),"Desktop Computer – (Lenovo M70T)")</f>
        <v>Desktop Computer – (Lenovo M70T)</v>
      </c>
      <c r="D3961" s="164" t="str">
        <f ca="1">IFERROR(__xludf.DUMMYFUNCTION("""COMPUTED_VALUE"""),"₱ 75,468.00")</f>
        <v>₱ 75,468.00</v>
      </c>
      <c r="E3961" s="164" t="str">
        <f ca="1">IFERROR(__xludf.DUMMYFUNCTION("""COMPUTED_VALUE"""),"₱ -")</f>
        <v>₱ -</v>
      </c>
      <c r="F3961" s="164" t="str">
        <f ca="1">IFERROR(__xludf.DUMMYFUNCTION("""COMPUTED_VALUE"""),"2023-05-03-1020SP-1684-01")</f>
        <v>2023-05-03-1020SP-1684-01</v>
      </c>
      <c r="G3961" s="164" t="str">
        <f ca="1">IFERROR(__xludf.DUMMYFUNCTION("""COMPUTED_VALUE"""),"1S11T5S16200GM0418JD")</f>
        <v>1S11T5S16200GM0418JD</v>
      </c>
      <c r="H3961" s="164" t="str">
        <f ca="1">IFERROR(__xludf.DUMMYFUNCTION("""COMPUTED_VALUE"""),"NASSER MANGINDRA")</f>
        <v>NASSER MANGINDRA</v>
      </c>
      <c r="I3961" s="164" t="str">
        <f ca="1">IFERROR(__xludf.DUMMYFUNCTION("""COMPUTED_VALUE"""),"MARPO")</f>
        <v>MARPO</v>
      </c>
      <c r="J3961" s="164" t="str">
        <f ca="1">IFERROR(__xludf.DUMMYFUNCTION("""COMPUTED_VALUE"""),"2023-04-043")</f>
        <v>2023-04-043</v>
      </c>
      <c r="K3961" s="164" t="str">
        <f ca="1">IFERROR(__xludf.DUMMYFUNCTION("""COMPUTED_VALUE"""),"NASSER MANGINDRA")</f>
        <v>NASSER MANGINDRA</v>
      </c>
      <c r="L3961" s="164" t="str">
        <f ca="1">IFERROR(__xludf.DUMMYFUNCTION("""COMPUTED_VALUE"""),"MARPO, MALAPATAN")</f>
        <v>MARPO, MALAPATAN</v>
      </c>
      <c r="M3961" s="164" t="str">
        <f ca="1">IFERROR(__xludf.DUMMYFUNCTION("""COMPUTED_VALUE"""),"SERVICEABLE")</f>
        <v>SERVICEABLE</v>
      </c>
      <c r="N3961" s="164"/>
    </row>
    <row r="3962" spans="1:14" ht="13.2">
      <c r="A3962" s="164" t="str">
        <f ca="1">IFERROR(__xludf.DUMMYFUNCTION("""COMPUTED_VALUE"""),"REGION XII")</f>
        <v>REGION XII</v>
      </c>
      <c r="B3962" s="164" t="str">
        <f ca="1">IFERROR(__xludf.DUMMYFUNCTION("""COMPUTED_VALUE"""),"SARANGANI")</f>
        <v>SARANGANI</v>
      </c>
      <c r="C3962" s="164" t="str">
        <f ca="1">IFERROR(__xludf.DUMMYFUNCTION("""COMPUTED_VALUE"""),"Desktop Computer – (Lenovo M70T)")</f>
        <v>Desktop Computer – (Lenovo M70T)</v>
      </c>
      <c r="D3962" s="164" t="str">
        <f ca="1">IFERROR(__xludf.DUMMYFUNCTION("""COMPUTED_VALUE"""),"₱ 75,468.00")</f>
        <v>₱ 75,468.00</v>
      </c>
      <c r="E3962" s="164" t="str">
        <f ca="1">IFERROR(__xludf.DUMMYFUNCTION("""COMPUTED_VALUE"""),"₱ -")</f>
        <v>₱ -</v>
      </c>
      <c r="F3962" s="164" t="str">
        <f ca="1">IFERROR(__xludf.DUMMYFUNCTION("""COMPUTED_VALUE"""),"2023-05-03-1020SP-1699-01")</f>
        <v>2023-05-03-1020SP-1699-01</v>
      </c>
      <c r="G3962" s="164" t="str">
        <f ca="1">IFERROR(__xludf.DUMMYFUNCTION("""COMPUTED_VALUE"""),"1S11T5S16200GM0418L9")</f>
        <v>1S11T5S16200GM0418L9</v>
      </c>
      <c r="H3962" s="164" t="str">
        <f ca="1">IFERROR(__xludf.DUMMYFUNCTION("""COMPUTED_VALUE"""),"GLENDA M. MANANSALA")</f>
        <v>GLENDA M. MANANSALA</v>
      </c>
      <c r="I3962" s="164" t="str">
        <f ca="1">IFERROR(__xludf.DUMMYFUNCTION("""COMPUTED_VALUE"""),"CARPO")</f>
        <v>CARPO</v>
      </c>
      <c r="J3962" s="164" t="str">
        <f ca="1">IFERROR(__xludf.DUMMYFUNCTION("""COMPUTED_VALUE"""),"2023-04-044")</f>
        <v>2023-04-044</v>
      </c>
      <c r="K3962" s="164" t="str">
        <f ca="1">IFERROR(__xludf.DUMMYFUNCTION("""COMPUTED_VALUE"""),"GLENDA M. MANANSALA")</f>
        <v>GLENDA M. MANANSALA</v>
      </c>
      <c r="L3962" s="164" t="str">
        <f ca="1">IFERROR(__xludf.DUMMYFUNCTION("""COMPUTED_VALUE"""),"DARMO MALAPATAN")</f>
        <v>DARMO MALAPATAN</v>
      </c>
      <c r="M3962" s="164" t="str">
        <f ca="1">IFERROR(__xludf.DUMMYFUNCTION("""COMPUTED_VALUE"""),"SERVICEABLE")</f>
        <v>SERVICEABLE</v>
      </c>
      <c r="N3962" s="164"/>
    </row>
    <row r="3963" spans="1:14" ht="13.2">
      <c r="A3963" s="164" t="str">
        <f ca="1">IFERROR(__xludf.DUMMYFUNCTION("""COMPUTED_VALUE"""),"REGION XII")</f>
        <v>REGION XII</v>
      </c>
      <c r="B3963" s="164" t="str">
        <f ca="1">IFERROR(__xludf.DUMMYFUNCTION("""COMPUTED_VALUE"""),"SARANGANI")</f>
        <v>SARANGANI</v>
      </c>
      <c r="C3963" s="164" t="str">
        <f ca="1">IFERROR(__xludf.DUMMYFUNCTION("""COMPUTED_VALUE"""),"Desktop Computer – (Lenovo M70T)")</f>
        <v>Desktop Computer – (Lenovo M70T)</v>
      </c>
      <c r="D3963" s="164" t="str">
        <f ca="1">IFERROR(__xludf.DUMMYFUNCTION("""COMPUTED_VALUE"""),"₱ 75,468.00")</f>
        <v>₱ 75,468.00</v>
      </c>
      <c r="E3963" s="164" t="str">
        <f ca="1">IFERROR(__xludf.DUMMYFUNCTION("""COMPUTED_VALUE"""),"₱ -")</f>
        <v>₱ -</v>
      </c>
      <c r="F3963" s="164" t="str">
        <f ca="1">IFERROR(__xludf.DUMMYFUNCTION("""COMPUTED_VALUE"""),"2023-05-03-1020SP-1693-01")</f>
        <v>2023-05-03-1020SP-1693-01</v>
      </c>
      <c r="G3963" s="164" t="str">
        <f ca="1">IFERROR(__xludf.DUMMYFUNCTION("""COMPUTED_VALUE"""),"1S11T5S16200GM041B08")</f>
        <v>1S11T5S16200GM041B08</v>
      </c>
      <c r="H3963" s="164" t="str">
        <f ca="1">IFERROR(__xludf.DUMMYFUNCTION("""COMPUTED_VALUE"""),"HAZEL S. BAROTILLA")</f>
        <v>HAZEL S. BAROTILLA</v>
      </c>
      <c r="I3963" s="164" t="str">
        <f ca="1">IFERROR(__xludf.DUMMYFUNCTION("""COMPUTED_VALUE"""),"ARPO II")</f>
        <v>ARPO II</v>
      </c>
      <c r="J3963" s="164" t="str">
        <f ca="1">IFERROR(__xludf.DUMMYFUNCTION("""COMPUTED_VALUE"""),"2023-04-046")</f>
        <v>2023-04-046</v>
      </c>
      <c r="K3963" s="164" t="str">
        <f ca="1">IFERROR(__xludf.DUMMYFUNCTION("""COMPUTED_VALUE"""),"HAZEL S. BAROTILLA")</f>
        <v>HAZEL S. BAROTILLA</v>
      </c>
      <c r="L3963" s="164" t="str">
        <f ca="1">IFERROR(__xludf.DUMMYFUNCTION("""COMPUTED_VALUE"""),"DARPO")</f>
        <v>DARPO</v>
      </c>
      <c r="M3963" s="164" t="str">
        <f ca="1">IFERROR(__xludf.DUMMYFUNCTION("""COMPUTED_VALUE"""),"SERVICEABLE")</f>
        <v>SERVICEABLE</v>
      </c>
      <c r="N3963" s="164"/>
    </row>
    <row r="3964" spans="1:14" ht="13.2">
      <c r="A3964" s="164" t="str">
        <f ca="1">IFERROR(__xludf.DUMMYFUNCTION("""COMPUTED_VALUE"""),"REGION XII")</f>
        <v>REGION XII</v>
      </c>
      <c r="B3964" s="164" t="str">
        <f ca="1">IFERROR(__xludf.DUMMYFUNCTION("""COMPUTED_VALUE"""),"SARANGANI")</f>
        <v>SARANGANI</v>
      </c>
      <c r="C3964" s="164" t="str">
        <f ca="1">IFERROR(__xludf.DUMMYFUNCTION("""COMPUTED_VALUE"""),"Desktop Computer – (Lenovo M70T)")</f>
        <v>Desktop Computer – (Lenovo M70T)</v>
      </c>
      <c r="D3964" s="164" t="str">
        <f ca="1">IFERROR(__xludf.DUMMYFUNCTION("""COMPUTED_VALUE"""),"₱ 75,468.00")</f>
        <v>₱ 75,468.00</v>
      </c>
      <c r="E3964" s="164" t="str">
        <f ca="1">IFERROR(__xludf.DUMMYFUNCTION("""COMPUTED_VALUE"""),"₱ -")</f>
        <v>₱ -</v>
      </c>
      <c r="F3964" s="164" t="str">
        <f ca="1">IFERROR(__xludf.DUMMYFUNCTION("""COMPUTED_VALUE"""),"2023-05-03-1020SP-1685-01")</f>
        <v>2023-05-03-1020SP-1685-01</v>
      </c>
      <c r="G3964" s="164" t="str">
        <f ca="1">IFERROR(__xludf.DUMMYFUNCTION("""COMPUTED_VALUE"""),"1S11T5S16200GM0418FE")</f>
        <v>1S11T5S16200GM0418FE</v>
      </c>
      <c r="H3964" s="164" t="str">
        <f ca="1">IFERROR(__xludf.DUMMYFUNCTION("""COMPUTED_VALUE"""),"KADAFFE A. PALAO")</f>
        <v>KADAFFE A. PALAO</v>
      </c>
      <c r="I3964" s="164" t="str">
        <f ca="1">IFERROR(__xludf.DUMMYFUNCTION("""COMPUTED_VALUE"""),"MARO")</f>
        <v>MARO</v>
      </c>
      <c r="J3964" s="164" t="str">
        <f ca="1">IFERROR(__xludf.DUMMYFUNCTION("""COMPUTED_VALUE"""),"2023-04-047")</f>
        <v>2023-04-047</v>
      </c>
      <c r="K3964" s="164" t="str">
        <f ca="1">IFERROR(__xludf.DUMMYFUNCTION("""COMPUTED_VALUE"""),"KADAFFE A. PALAO")</f>
        <v>KADAFFE A. PALAO</v>
      </c>
      <c r="L3964" s="164" t="str">
        <f ca="1">IFERROR(__xludf.DUMMYFUNCTION("""COMPUTED_VALUE"""),"DARMO MAASIM")</f>
        <v>DARMO MAASIM</v>
      </c>
      <c r="M3964" s="164" t="str">
        <f ca="1">IFERROR(__xludf.DUMMYFUNCTION("""COMPUTED_VALUE"""),"SERVICEABLE")</f>
        <v>SERVICEABLE</v>
      </c>
      <c r="N3964" s="164"/>
    </row>
    <row r="3965" spans="1:14" ht="13.2" hidden="1">
      <c r="A3965" s="164" t="str">
        <f ca="1">IFERROR(__xludf.DUMMYFUNCTION("""COMPUTED_VALUE"""),"REGION XII")</f>
        <v>REGION XII</v>
      </c>
      <c r="B3965" s="164" t="str">
        <f ca="1">IFERROR(__xludf.DUMMYFUNCTION("""COMPUTED_VALUE"""),"SULTAN KUDARAT")</f>
        <v>SULTAN KUDARAT</v>
      </c>
      <c r="C3965" s="164" t="str">
        <f ca="1">IFERROR(__xludf.DUMMYFUNCTION("""COMPUTED_VALUE"""),"Desktop Computer – (Lenovo M70T)")</f>
        <v>Desktop Computer – (Lenovo M70T)</v>
      </c>
      <c r="D3965" s="164" t="str">
        <f ca="1">IFERROR(__xludf.DUMMYFUNCTION("""COMPUTED_VALUE"""),"₱ 75,468.00")</f>
        <v>₱ 75,468.00</v>
      </c>
      <c r="E3965" s="164" t="str">
        <f ca="1">IFERROR(__xludf.DUMMYFUNCTION("""COMPUTED_VALUE"""),"₱ -")</f>
        <v>₱ -</v>
      </c>
      <c r="F3965" s="164" t="str">
        <f ca="1">IFERROR(__xludf.DUMMYFUNCTION("""COMPUTED_VALUE"""),"2023-05-03-10201SP1730-01")</f>
        <v>2023-05-03-10201SP1730-01</v>
      </c>
      <c r="G3965" s="164" t="str">
        <f ca="1">IFERROR(__xludf.DUMMYFUNCTION("""COMPUTED_VALUE"""),"1S11T5S16200GM0415RT")</f>
        <v>1S11T5S16200GM0415RT</v>
      </c>
      <c r="H3965" s="164" t="str">
        <f ca="1">IFERROR(__xludf.DUMMYFUNCTION("""COMPUTED_VALUE"""),"IMELDA DIMAAMPAO")</f>
        <v>IMELDA DIMAAMPAO</v>
      </c>
      <c r="I3965" s="164" t="str">
        <f ca="1">IFERROR(__xludf.DUMMYFUNCTION("""COMPUTED_VALUE"""),"MARPO")</f>
        <v>MARPO</v>
      </c>
      <c r="J3965" s="164" t="str">
        <f ca="1">IFERROR(__xludf.DUMMYFUNCTION("""COMPUTED_VALUE"""),"2023-11-041")</f>
        <v>2023-11-041</v>
      </c>
      <c r="K3965" s="164" t="str">
        <f ca="1">IFERROR(__xludf.DUMMYFUNCTION("""COMPUTED_VALUE"""),"IMELDA DIMAAMPAO")</f>
        <v>IMELDA DIMAAMPAO</v>
      </c>
      <c r="L3965" s="164" t="str">
        <f ca="1">IFERROR(__xludf.DUMMYFUNCTION("""COMPUTED_VALUE"""),"STOD")</f>
        <v>STOD</v>
      </c>
      <c r="M3965" s="164" t="str">
        <f ca="1">IFERROR(__xludf.DUMMYFUNCTION("""COMPUTED_VALUE"""),"SERVICEABLE")</f>
        <v>SERVICEABLE</v>
      </c>
      <c r="N3965" s="164"/>
    </row>
    <row r="3966" spans="1:14" ht="13.2" hidden="1">
      <c r="A3966" s="164" t="str">
        <f ca="1">IFERROR(__xludf.DUMMYFUNCTION("""COMPUTED_VALUE"""),"REGION XII")</f>
        <v>REGION XII</v>
      </c>
      <c r="B3966" s="164" t="str">
        <f ca="1">IFERROR(__xludf.DUMMYFUNCTION("""COMPUTED_VALUE"""),"SULTAN KUDARAT")</f>
        <v>SULTAN KUDARAT</v>
      </c>
      <c r="C3966" s="164" t="str">
        <f ca="1">IFERROR(__xludf.DUMMYFUNCTION("""COMPUTED_VALUE"""),"Desktop Computer – (Lenovo M70T)")</f>
        <v>Desktop Computer – (Lenovo M70T)</v>
      </c>
      <c r="D3966" s="164" t="str">
        <f ca="1">IFERROR(__xludf.DUMMYFUNCTION("""COMPUTED_VALUE"""),"₱ 75,468.00")</f>
        <v>₱ 75,468.00</v>
      </c>
      <c r="E3966" s="164" t="str">
        <f ca="1">IFERROR(__xludf.DUMMYFUNCTION("""COMPUTED_VALUE"""),"₱ -")</f>
        <v>₱ -</v>
      </c>
      <c r="F3966" s="164" t="str">
        <f ca="1">IFERROR(__xludf.DUMMYFUNCTION("""COMPUTED_VALUE"""),"2023-05-03-10201SP1729-01")</f>
        <v>2023-05-03-10201SP1729-01</v>
      </c>
      <c r="G3966" s="164" t="str">
        <f ca="1">IFERROR(__xludf.DUMMYFUNCTION("""COMPUTED_VALUE"""),"1S11T5S16200GM04160T")</f>
        <v>1S11T5S16200GM04160T</v>
      </c>
      <c r="H3966" s="164" t="str">
        <f ca="1">IFERROR(__xludf.DUMMYFUNCTION("""COMPUTED_VALUE"""),"ENGR. ADRIANO L. LOSARIA")</f>
        <v>ENGR. ADRIANO L. LOSARIA</v>
      </c>
      <c r="I3966" s="164" t="str">
        <f ca="1">IFERROR(__xludf.DUMMYFUNCTION("""COMPUTED_VALUE"""),"MARPO")</f>
        <v>MARPO</v>
      </c>
      <c r="J3966" s="164" t="str">
        <f ca="1">IFERROR(__xludf.DUMMYFUNCTION("""COMPUTED_VALUE"""),"2023-11-040")</f>
        <v>2023-11-040</v>
      </c>
      <c r="K3966" s="164" t="str">
        <f ca="1">IFERROR(__xludf.DUMMYFUNCTION("""COMPUTED_VALUE"""),"ENGR. ADRIANO L. LOSARIA")</f>
        <v>ENGR. ADRIANO L. LOSARIA</v>
      </c>
      <c r="L3966" s="164" t="str">
        <f ca="1">IFERROR(__xludf.DUMMYFUNCTION("""COMPUTED_VALUE"""),"STOD")</f>
        <v>STOD</v>
      </c>
      <c r="M3966" s="164" t="str">
        <f ca="1">IFERROR(__xludf.DUMMYFUNCTION("""COMPUTED_VALUE"""),"SERVICEABLE")</f>
        <v>SERVICEABLE</v>
      </c>
      <c r="N3966" s="164"/>
    </row>
    <row r="3967" spans="1:14" ht="13.2" hidden="1">
      <c r="A3967" s="164" t="str">
        <f ca="1">IFERROR(__xludf.DUMMYFUNCTION("""COMPUTED_VALUE"""),"REGION XII")</f>
        <v>REGION XII</v>
      </c>
      <c r="B3967" s="164" t="str">
        <f ca="1">IFERROR(__xludf.DUMMYFUNCTION("""COMPUTED_VALUE"""),"SULTAN KUDARAT")</f>
        <v>SULTAN KUDARAT</v>
      </c>
      <c r="C3967" s="164" t="str">
        <f ca="1">IFERROR(__xludf.DUMMYFUNCTION("""COMPUTED_VALUE"""),"Desktop Computer – (Lenovo M70T)")</f>
        <v>Desktop Computer – (Lenovo M70T)</v>
      </c>
      <c r="D3967" s="164" t="str">
        <f ca="1">IFERROR(__xludf.DUMMYFUNCTION("""COMPUTED_VALUE"""),"₱ 75,468.00")</f>
        <v>₱ 75,468.00</v>
      </c>
      <c r="E3967" s="164" t="str">
        <f ca="1">IFERROR(__xludf.DUMMYFUNCTION("""COMPUTED_VALUE"""),"₱ -")</f>
        <v>₱ -</v>
      </c>
      <c r="F3967" s="164" t="str">
        <f ca="1">IFERROR(__xludf.DUMMYFUNCTION("""COMPUTED_VALUE"""),"2023-05-03-10201SP1728-01")</f>
        <v>2023-05-03-10201SP1728-01</v>
      </c>
      <c r="G3967" s="164" t="str">
        <f ca="1">IFERROR(__xludf.DUMMYFUNCTION("""COMPUTED_VALUE"""),"1S11T5S16200GM041B55")</f>
        <v>1S11T5S16200GM041B55</v>
      </c>
      <c r="H3967" s="164" t="str">
        <f ca="1">IFERROR(__xludf.DUMMYFUNCTION("""COMPUTED_VALUE"""),"ISIDRO OLOFERNES")</f>
        <v>ISIDRO OLOFERNES</v>
      </c>
      <c r="I3967" s="164" t="str">
        <f ca="1">IFERROR(__xludf.DUMMYFUNCTION("""COMPUTED_VALUE"""),"MARPO")</f>
        <v>MARPO</v>
      </c>
      <c r="J3967" s="164" t="str">
        <f ca="1">IFERROR(__xludf.DUMMYFUNCTION("""COMPUTED_VALUE"""),"2023-11-039")</f>
        <v>2023-11-039</v>
      </c>
      <c r="K3967" s="164" t="str">
        <f ca="1">IFERROR(__xludf.DUMMYFUNCTION("""COMPUTED_VALUE"""),"MOHAMADSAUDI S. ADAM")</f>
        <v>MOHAMADSAUDI S. ADAM</v>
      </c>
      <c r="L3967" s="164" t="str">
        <f ca="1">IFERROR(__xludf.DUMMYFUNCTION("""COMPUTED_VALUE"""),"STOD")</f>
        <v>STOD</v>
      </c>
      <c r="M3967" s="164" t="str">
        <f ca="1">IFERROR(__xludf.DUMMYFUNCTION("""COMPUTED_VALUE"""),"SERVICEABLE")</f>
        <v>SERVICEABLE</v>
      </c>
      <c r="N3967" s="164"/>
    </row>
    <row r="3968" spans="1:14" ht="13.2" hidden="1">
      <c r="A3968" s="164" t="str">
        <f ca="1">IFERROR(__xludf.DUMMYFUNCTION("""COMPUTED_VALUE"""),"REGION XII")</f>
        <v>REGION XII</v>
      </c>
      <c r="B3968" s="164" t="str">
        <f ca="1">IFERROR(__xludf.DUMMYFUNCTION("""COMPUTED_VALUE"""),"SULTAN KUDARAT")</f>
        <v>SULTAN KUDARAT</v>
      </c>
      <c r="C3968" s="164" t="str">
        <f ca="1">IFERROR(__xludf.DUMMYFUNCTION("""COMPUTED_VALUE"""),"Desktop Computer – (Lenovo M70T)")</f>
        <v>Desktop Computer – (Lenovo M70T)</v>
      </c>
      <c r="D3968" s="164" t="str">
        <f ca="1">IFERROR(__xludf.DUMMYFUNCTION("""COMPUTED_VALUE"""),"₱ 75,468.00")</f>
        <v>₱ 75,468.00</v>
      </c>
      <c r="E3968" s="164" t="str">
        <f ca="1">IFERROR(__xludf.DUMMYFUNCTION("""COMPUTED_VALUE"""),"₱ -")</f>
        <v>₱ -</v>
      </c>
      <c r="F3968" s="164" t="str">
        <f ca="1">IFERROR(__xludf.DUMMYFUNCTION("""COMPUTED_VALUE"""),"2023-05-03-10201SP1727-01")</f>
        <v>2023-05-03-10201SP1727-01</v>
      </c>
      <c r="G3968" s="164" t="str">
        <f ca="1">IFERROR(__xludf.DUMMYFUNCTION("""COMPUTED_VALUE"""),"1S11T5S16200GM0418L4")</f>
        <v>1S11T5S16200GM0418L4</v>
      </c>
      <c r="H3968" s="164" t="str">
        <f ca="1">IFERROR(__xludf.DUMMYFUNCTION("""COMPUTED_VALUE"""),"RONILO FLORESCA")</f>
        <v>RONILO FLORESCA</v>
      </c>
      <c r="I3968" s="164" t="str">
        <f ca="1">IFERROR(__xludf.DUMMYFUNCTION("""COMPUTED_VALUE"""),"MARPO")</f>
        <v>MARPO</v>
      </c>
      <c r="J3968" s="164" t="str">
        <f ca="1">IFERROR(__xludf.DUMMYFUNCTION("""COMPUTED_VALUE"""),"2023-11-038")</f>
        <v>2023-11-038</v>
      </c>
      <c r="K3968" s="164" t="str">
        <f ca="1">IFERROR(__xludf.DUMMYFUNCTION("""COMPUTED_VALUE"""),"RONILO FLORESCA")</f>
        <v>RONILO FLORESCA</v>
      </c>
      <c r="L3968" s="164" t="str">
        <f ca="1">IFERROR(__xludf.DUMMYFUNCTION("""COMPUTED_VALUE"""),"STOD")</f>
        <v>STOD</v>
      </c>
      <c r="M3968" s="164" t="str">
        <f ca="1">IFERROR(__xludf.DUMMYFUNCTION("""COMPUTED_VALUE"""),"SERVICEABLE")</f>
        <v>SERVICEABLE</v>
      </c>
      <c r="N3968" s="164"/>
    </row>
    <row r="3969" spans="1:14" ht="13.2" hidden="1">
      <c r="A3969" s="164" t="str">
        <f ca="1">IFERROR(__xludf.DUMMYFUNCTION("""COMPUTED_VALUE"""),"REGION XII")</f>
        <v>REGION XII</v>
      </c>
      <c r="B3969" s="164" t="str">
        <f ca="1">IFERROR(__xludf.DUMMYFUNCTION("""COMPUTED_VALUE"""),"SULTAN KUDARAT")</f>
        <v>SULTAN KUDARAT</v>
      </c>
      <c r="C3969" s="164" t="str">
        <f ca="1">IFERROR(__xludf.DUMMYFUNCTION("""COMPUTED_VALUE"""),"Desktop Computer – (Lenovo M70T)")</f>
        <v>Desktop Computer – (Lenovo M70T)</v>
      </c>
      <c r="D3969" s="164" t="str">
        <f ca="1">IFERROR(__xludf.DUMMYFUNCTION("""COMPUTED_VALUE"""),"₱ 75,468.00")</f>
        <v>₱ 75,468.00</v>
      </c>
      <c r="E3969" s="164" t="str">
        <f ca="1">IFERROR(__xludf.DUMMYFUNCTION("""COMPUTED_VALUE"""),"₱ -")</f>
        <v>₱ -</v>
      </c>
      <c r="F3969" s="164" t="str">
        <f ca="1">IFERROR(__xludf.DUMMYFUNCTION("""COMPUTED_VALUE"""),"2023-05-03-10201SP1726-01")</f>
        <v>2023-05-03-10201SP1726-01</v>
      </c>
      <c r="G3969" s="164" t="str">
        <f ca="1">IFERROR(__xludf.DUMMYFUNCTION("""COMPUTED_VALUE"""),"1S11T5S16200GM0415ST")</f>
        <v>1S11T5S16200GM0415ST</v>
      </c>
      <c r="H3969" s="164" t="str">
        <f ca="1">IFERROR(__xludf.DUMMYFUNCTION("""COMPUTED_VALUE"""),"MARY JANE GENEZA")</f>
        <v>MARY JANE GENEZA</v>
      </c>
      <c r="I3969" s="164" t="str">
        <f ca="1">IFERROR(__xludf.DUMMYFUNCTION("""COMPUTED_VALUE"""),"PCAO")</f>
        <v>PCAO</v>
      </c>
      <c r="J3969" s="164" t="str">
        <f ca="1">IFERROR(__xludf.DUMMYFUNCTION("""COMPUTED_VALUE"""),"2023-11-037")</f>
        <v>2023-11-037</v>
      </c>
      <c r="K3969" s="164" t="str">
        <f ca="1">IFERROR(__xludf.DUMMYFUNCTION("""COMPUTED_VALUE"""),"JENNIFER C. ARCIBAL")</f>
        <v>JENNIFER C. ARCIBAL</v>
      </c>
      <c r="L3969" s="164" t="str">
        <f ca="1">IFERROR(__xludf.DUMMYFUNCTION("""COMPUTED_VALUE"""),"STOD")</f>
        <v>STOD</v>
      </c>
      <c r="M3969" s="164" t="str">
        <f ca="1">IFERROR(__xludf.DUMMYFUNCTION("""COMPUTED_VALUE"""),"SERVICEABLE")</f>
        <v>SERVICEABLE</v>
      </c>
      <c r="N3969" s="164"/>
    </row>
    <row r="3970" spans="1:14" ht="13.2" hidden="1">
      <c r="A3970" s="164" t="str">
        <f ca="1">IFERROR(__xludf.DUMMYFUNCTION("""COMPUTED_VALUE"""),"REGION XII")</f>
        <v>REGION XII</v>
      </c>
      <c r="B3970" s="164" t="str">
        <f ca="1">IFERROR(__xludf.DUMMYFUNCTION("""COMPUTED_VALUE"""),"SULTAN KUDARAT")</f>
        <v>SULTAN KUDARAT</v>
      </c>
      <c r="C3970" s="164" t="str">
        <f ca="1">IFERROR(__xludf.DUMMYFUNCTION("""COMPUTED_VALUE"""),"Desktop Computer – (Lenovo M70T)")</f>
        <v>Desktop Computer – (Lenovo M70T)</v>
      </c>
      <c r="D3970" s="164" t="str">
        <f ca="1">IFERROR(__xludf.DUMMYFUNCTION("""COMPUTED_VALUE"""),"₱ 75,468.00")</f>
        <v>₱ 75,468.00</v>
      </c>
      <c r="E3970" s="164" t="str">
        <f ca="1">IFERROR(__xludf.DUMMYFUNCTION("""COMPUTED_VALUE"""),"₱ -")</f>
        <v>₱ -</v>
      </c>
      <c r="F3970" s="164" t="str">
        <f ca="1">IFERROR(__xludf.DUMMYFUNCTION("""COMPUTED_VALUE"""),"2023-05-03-10201SP1720-01")</f>
        <v>2023-05-03-10201SP1720-01</v>
      </c>
      <c r="G3970" s="164" t="str">
        <f ca="1">IFERROR(__xludf.DUMMYFUNCTION("""COMPUTED_VALUE"""),"1S11T5S16200GM0418HY")</f>
        <v>1S11T5S16200GM0418HY</v>
      </c>
      <c r="H3970" s="164" t="str">
        <f ca="1">IFERROR(__xludf.DUMMYFUNCTION("""COMPUTED_VALUE"""),"JOEL L.GELLANG JR.")</f>
        <v>JOEL L.GELLANG JR.</v>
      </c>
      <c r="I3970" s="164" t="str">
        <f ca="1">IFERROR(__xludf.DUMMYFUNCTION("""COMPUTED_VALUE"""),"CARPO-LTID")</f>
        <v>CARPO-LTID</v>
      </c>
      <c r="J3970" s="164" t="str">
        <f ca="1">IFERROR(__xludf.DUMMYFUNCTION("""COMPUTED_VALUE"""),"2023-11-031")</f>
        <v>2023-11-031</v>
      </c>
      <c r="K3970" s="164" t="str">
        <f ca="1">IFERROR(__xludf.DUMMYFUNCTION("""COMPUTED_VALUE"""),"JOEL L.GELLANG JR.")</f>
        <v>JOEL L.GELLANG JR.</v>
      </c>
      <c r="L3970" s="164" t="str">
        <f ca="1">IFERROR(__xludf.DUMMYFUNCTION("""COMPUTED_VALUE"""),"STOD")</f>
        <v>STOD</v>
      </c>
      <c r="M3970" s="164" t="str">
        <f ca="1">IFERROR(__xludf.DUMMYFUNCTION("""COMPUTED_VALUE"""),"SERVICEABLE")</f>
        <v>SERVICEABLE</v>
      </c>
      <c r="N3970" s="164"/>
    </row>
    <row r="3971" spans="1:14" ht="13.2" hidden="1">
      <c r="A3971" s="164" t="str">
        <f ca="1">IFERROR(__xludf.DUMMYFUNCTION("""COMPUTED_VALUE"""),"REGION XII")</f>
        <v>REGION XII</v>
      </c>
      <c r="B3971" s="164" t="str">
        <f ca="1">IFERROR(__xludf.DUMMYFUNCTION("""COMPUTED_VALUE"""),"SULTAN KUDARAT")</f>
        <v>SULTAN KUDARAT</v>
      </c>
      <c r="C3971" s="164" t="str">
        <f ca="1">IFERROR(__xludf.DUMMYFUNCTION("""COMPUTED_VALUE"""),"Desktop Computer – (Lenovo M70T)")</f>
        <v>Desktop Computer – (Lenovo M70T)</v>
      </c>
      <c r="D3971" s="164" t="str">
        <f ca="1">IFERROR(__xludf.DUMMYFUNCTION("""COMPUTED_VALUE"""),"₱ 75,468.00")</f>
        <v>₱ 75,468.00</v>
      </c>
      <c r="E3971" s="164" t="str">
        <f ca="1">IFERROR(__xludf.DUMMYFUNCTION("""COMPUTED_VALUE"""),"₱ -")</f>
        <v>₱ -</v>
      </c>
      <c r="F3971" s="164" t="str">
        <f ca="1">IFERROR(__xludf.DUMMYFUNCTION("""COMPUTED_VALUE"""),"2023-05-03-10201SP1724-01")</f>
        <v>2023-05-03-10201SP1724-01</v>
      </c>
      <c r="G3971" s="164" t="str">
        <f ca="1">IFERROR(__xludf.DUMMYFUNCTION("""COMPUTED_VALUE"""),"1S11T5S16200GM0418EP")</f>
        <v>1S11T5S16200GM0418EP</v>
      </c>
      <c r="H3971" s="164" t="str">
        <f ca="1">IFERROR(__xludf.DUMMYFUNCTION("""COMPUTED_VALUE"""),"RHEA MARIE P. BETQUE")</f>
        <v>RHEA MARIE P. BETQUE</v>
      </c>
      <c r="I3971" s="164" t="str">
        <f ca="1">IFERROR(__xludf.DUMMYFUNCTION("""COMPUTED_VALUE"""),"CARPO-PBDD")</f>
        <v>CARPO-PBDD</v>
      </c>
      <c r="J3971" s="164" t="str">
        <f ca="1">IFERROR(__xludf.DUMMYFUNCTION("""COMPUTED_VALUE"""),"2023-11-035")</f>
        <v>2023-11-035</v>
      </c>
      <c r="K3971" s="164" t="str">
        <f ca="1">IFERROR(__xludf.DUMMYFUNCTION("""COMPUTED_VALUE"""),"RHEA MARIE P. BETQUE")</f>
        <v>RHEA MARIE P. BETQUE</v>
      </c>
      <c r="L3971" s="164" t="str">
        <f ca="1">IFERROR(__xludf.DUMMYFUNCTION("""COMPUTED_VALUE"""),"STOD")</f>
        <v>STOD</v>
      </c>
      <c r="M3971" s="164" t="str">
        <f ca="1">IFERROR(__xludf.DUMMYFUNCTION("""COMPUTED_VALUE"""),"SERVICEABLE")</f>
        <v>SERVICEABLE</v>
      </c>
      <c r="N3971" s="164"/>
    </row>
    <row r="3972" spans="1:14" ht="13.2" hidden="1">
      <c r="A3972" s="164" t="str">
        <f ca="1">IFERROR(__xludf.DUMMYFUNCTION("""COMPUTED_VALUE"""),"REGION XII")</f>
        <v>REGION XII</v>
      </c>
      <c r="B3972" s="164" t="str">
        <f ca="1">IFERROR(__xludf.DUMMYFUNCTION("""COMPUTED_VALUE"""),"SULTAN KUDARAT")</f>
        <v>SULTAN KUDARAT</v>
      </c>
      <c r="C3972" s="164" t="str">
        <f ca="1">IFERROR(__xludf.DUMMYFUNCTION("""COMPUTED_VALUE"""),"Desktop Computer – (Lenovo M70T)")</f>
        <v>Desktop Computer – (Lenovo M70T)</v>
      </c>
      <c r="D3972" s="164" t="str">
        <f ca="1">IFERROR(__xludf.DUMMYFUNCTION("""COMPUTED_VALUE"""),"₱ 75,468.00")</f>
        <v>₱ 75,468.00</v>
      </c>
      <c r="E3972" s="164" t="str">
        <f ca="1">IFERROR(__xludf.DUMMYFUNCTION("""COMPUTED_VALUE"""),"₱ -")</f>
        <v>₱ -</v>
      </c>
      <c r="F3972" s="164" t="str">
        <f ca="1">IFERROR(__xludf.DUMMYFUNCTION("""COMPUTED_VALUE"""),"2023-05-03-10201SP1716-01")</f>
        <v>2023-05-03-10201SP1716-01</v>
      </c>
      <c r="G3972" s="164" t="str">
        <f ca="1">IFERROR(__xludf.DUMMYFUNCTION("""COMPUTED_VALUE"""),"1S11T5S16200GM041B48")</f>
        <v>1S11T5S16200GM041B48</v>
      </c>
      <c r="H3972" s="164" t="str">
        <f ca="1">IFERROR(__xludf.DUMMYFUNCTION("""COMPUTED_VALUE"""),"ATTY. EDWIN H. BARAQUIA")</f>
        <v>ATTY. EDWIN H. BARAQUIA</v>
      </c>
      <c r="I3972" s="164" t="str">
        <f ca="1">IFERROR(__xludf.DUMMYFUNCTION("""COMPUTED_VALUE"""),"ATTY. V")</f>
        <v>ATTY. V</v>
      </c>
      <c r="J3972" s="164" t="str">
        <f ca="1">IFERROR(__xludf.DUMMYFUNCTION("""COMPUTED_VALUE"""),"2023-11-042")</f>
        <v>2023-11-042</v>
      </c>
      <c r="K3972" s="164" t="str">
        <f ca="1">IFERROR(__xludf.DUMMYFUNCTION("""COMPUTED_VALUE"""),"ATTY. EDWIN H. BARAQUIA")</f>
        <v>ATTY. EDWIN H. BARAQUIA</v>
      </c>
      <c r="L3972" s="164" t="str">
        <f ca="1">IFERROR(__xludf.DUMMYFUNCTION("""COMPUTED_VALUE"""),"STOD")</f>
        <v>STOD</v>
      </c>
      <c r="M3972" s="164" t="str">
        <f ca="1">IFERROR(__xludf.DUMMYFUNCTION("""COMPUTED_VALUE"""),"SERVICEABLE")</f>
        <v>SERVICEABLE</v>
      </c>
      <c r="N3972" s="164"/>
    </row>
    <row r="3973" spans="1:14" ht="13.2" hidden="1">
      <c r="A3973" s="164" t="str">
        <f ca="1">IFERROR(__xludf.DUMMYFUNCTION("""COMPUTED_VALUE"""),"REGION XII")</f>
        <v>REGION XII</v>
      </c>
      <c r="B3973" s="164" t="str">
        <f ca="1">IFERROR(__xludf.DUMMYFUNCTION("""COMPUTED_VALUE"""),"SULTAN KUDARAT")</f>
        <v>SULTAN KUDARAT</v>
      </c>
      <c r="C3973" s="164" t="str">
        <f ca="1">IFERROR(__xludf.DUMMYFUNCTION("""COMPUTED_VALUE"""),"Desktop Computer – (Lenovo M70T)")</f>
        <v>Desktop Computer – (Lenovo M70T)</v>
      </c>
      <c r="D3973" s="164" t="str">
        <f ca="1">IFERROR(__xludf.DUMMYFUNCTION("""COMPUTED_VALUE"""),"₱ 75,468.00")</f>
        <v>₱ 75,468.00</v>
      </c>
      <c r="E3973" s="164" t="str">
        <f ca="1">IFERROR(__xludf.DUMMYFUNCTION("""COMPUTED_VALUE"""),"₱ -")</f>
        <v>₱ -</v>
      </c>
      <c r="F3973" s="164" t="str">
        <f ca="1">IFERROR(__xludf.DUMMYFUNCTION("""COMPUTED_VALUE"""),"2023-05-03-10201SP1723-01")</f>
        <v>2023-05-03-10201SP1723-01</v>
      </c>
      <c r="G3973" s="164" t="str">
        <f ca="1">IFERROR(__xludf.DUMMYFUNCTION("""COMPUTED_VALUE"""),"1S11T5S16200GM0418HB")</f>
        <v>1S11T5S16200GM0418HB</v>
      </c>
      <c r="H3973" s="164" t="str">
        <f ca="1">IFERROR(__xludf.DUMMYFUNCTION("""COMPUTED_VALUE"""),"ENGR. ALINADER M. DIMA")</f>
        <v>ENGR. ALINADER M. DIMA</v>
      </c>
      <c r="I3973" s="164" t="str">
        <f ca="1">IFERROR(__xludf.DUMMYFUNCTION("""COMPUTED_VALUE"""),"MARPO")</f>
        <v>MARPO</v>
      </c>
      <c r="J3973" s="164" t="str">
        <f ca="1">IFERROR(__xludf.DUMMYFUNCTION("""COMPUTED_VALUE"""),"2023-11-034")</f>
        <v>2023-11-034</v>
      </c>
      <c r="K3973" s="164" t="str">
        <f ca="1">IFERROR(__xludf.DUMMYFUNCTION("""COMPUTED_VALUE"""),"ENGR. ALINADER M. DIMA")</f>
        <v>ENGR. ALINADER M. DIMA</v>
      </c>
      <c r="L3973" s="164" t="str">
        <f ca="1">IFERROR(__xludf.DUMMYFUNCTION("""COMPUTED_VALUE"""),"STOD")</f>
        <v>STOD</v>
      </c>
      <c r="M3973" s="164" t="str">
        <f ca="1">IFERROR(__xludf.DUMMYFUNCTION("""COMPUTED_VALUE"""),"SERVICEABLE")</f>
        <v>SERVICEABLE</v>
      </c>
      <c r="N3973" s="164"/>
    </row>
    <row r="3974" spans="1:14" ht="13.2" hidden="1">
      <c r="A3974" s="164" t="str">
        <f ca="1">IFERROR(__xludf.DUMMYFUNCTION("""COMPUTED_VALUE"""),"REGION XII")</f>
        <v>REGION XII</v>
      </c>
      <c r="B3974" s="164" t="str">
        <f ca="1">IFERROR(__xludf.DUMMYFUNCTION("""COMPUTED_VALUE"""),"SULTAN KUDARAT")</f>
        <v>SULTAN KUDARAT</v>
      </c>
      <c r="C3974" s="164" t="str">
        <f ca="1">IFERROR(__xludf.DUMMYFUNCTION("""COMPUTED_VALUE"""),"Desktop Computer – (Lenovo M70T)")</f>
        <v>Desktop Computer – (Lenovo M70T)</v>
      </c>
      <c r="D3974" s="164" t="str">
        <f ca="1">IFERROR(__xludf.DUMMYFUNCTION("""COMPUTED_VALUE"""),"₱ 75,468.00")</f>
        <v>₱ 75,468.00</v>
      </c>
      <c r="E3974" s="164" t="str">
        <f ca="1">IFERROR(__xludf.DUMMYFUNCTION("""COMPUTED_VALUE"""),"₱ -")</f>
        <v>₱ -</v>
      </c>
      <c r="F3974" s="164" t="str">
        <f ca="1">IFERROR(__xludf.DUMMYFUNCTION("""COMPUTED_VALUE"""),"2023-05-03-10201SP1719-01")</f>
        <v>2023-05-03-10201SP1719-01</v>
      </c>
      <c r="G3974" s="164" t="str">
        <f ca="1">IFERROR(__xludf.DUMMYFUNCTION("""COMPUTED_VALUE"""),"1S11T5S16200GM0418KA")</f>
        <v>1S11T5S16200GM0418KA</v>
      </c>
      <c r="H3974" s="164" t="str">
        <f ca="1">IFERROR(__xludf.DUMMYFUNCTION("""COMPUTED_VALUE"""),"ABDUL C. SALIGAN JR.")</f>
        <v>ABDUL C. SALIGAN JR.</v>
      </c>
      <c r="I3974" s="164" t="str">
        <f ca="1">IFERROR(__xludf.DUMMYFUNCTION("""COMPUTED_VALUE"""),"MARPO")</f>
        <v>MARPO</v>
      </c>
      <c r="J3974" s="164" t="str">
        <f ca="1">IFERROR(__xludf.DUMMYFUNCTION("""COMPUTED_VALUE"""),"2023-11-043")</f>
        <v>2023-11-043</v>
      </c>
      <c r="K3974" s="164" t="str">
        <f ca="1">IFERROR(__xludf.DUMMYFUNCTION("""COMPUTED_VALUE"""),"CHERRY MAE L. PURAZO")</f>
        <v>CHERRY MAE L. PURAZO</v>
      </c>
      <c r="L3974" s="164" t="str">
        <f ca="1">IFERROR(__xludf.DUMMYFUNCTION("""COMPUTED_VALUE"""),"STOD")</f>
        <v>STOD</v>
      </c>
      <c r="M3974" s="164" t="str">
        <f ca="1">IFERROR(__xludf.DUMMYFUNCTION("""COMPUTED_VALUE"""),"SERVICEABLE")</f>
        <v>SERVICEABLE</v>
      </c>
      <c r="N3974" s="164"/>
    </row>
    <row r="3975" spans="1:14" ht="13.2" hidden="1">
      <c r="A3975" s="164" t="str">
        <f ca="1">IFERROR(__xludf.DUMMYFUNCTION("""COMPUTED_VALUE"""),"REGION XII")</f>
        <v>REGION XII</v>
      </c>
      <c r="B3975" s="164" t="str">
        <f ca="1">IFERROR(__xludf.DUMMYFUNCTION("""COMPUTED_VALUE"""),"SULTAN KUDARAT")</f>
        <v>SULTAN KUDARAT</v>
      </c>
      <c r="C3975" s="164" t="str">
        <f ca="1">IFERROR(__xludf.DUMMYFUNCTION("""COMPUTED_VALUE"""),"Desktop Computer – (Lenovo M70T)")</f>
        <v>Desktop Computer – (Lenovo M70T)</v>
      </c>
      <c r="D3975" s="164" t="str">
        <f ca="1">IFERROR(__xludf.DUMMYFUNCTION("""COMPUTED_VALUE"""),"₱ 75,468.00")</f>
        <v>₱ 75,468.00</v>
      </c>
      <c r="E3975" s="164" t="str">
        <f ca="1">IFERROR(__xludf.DUMMYFUNCTION("""COMPUTED_VALUE"""),"₱ -")</f>
        <v>₱ -</v>
      </c>
      <c r="F3975" s="164" t="str">
        <f ca="1">IFERROR(__xludf.DUMMYFUNCTION("""COMPUTED_VALUE"""),"2023-05-03-10201SP1718-01")</f>
        <v>2023-05-03-10201SP1718-01</v>
      </c>
      <c r="G3975" s="164" t="str">
        <f ca="1">IFERROR(__xludf.DUMMYFUNCTION("""COMPUTED_VALUE"""),"1S11T5S16200GM041B0F")</f>
        <v>1S11T5S16200GM041B0F</v>
      </c>
      <c r="H3975" s="164" t="str">
        <f ca="1">IFERROR(__xludf.DUMMYFUNCTION("""COMPUTED_VALUE"""),"KORAIS M. KAMSA ESTEBAN")</f>
        <v>KORAIS M. KAMSA ESTEBAN</v>
      </c>
      <c r="I3975" s="164" t="str">
        <f ca="1">IFERROR(__xludf.DUMMYFUNCTION("""COMPUTED_VALUE"""),"SARPT")</f>
        <v>SARPT</v>
      </c>
      <c r="J3975" s="164" t="str">
        <f ca="1">IFERROR(__xludf.DUMMYFUNCTION("""COMPUTED_VALUE"""),"2023-11-030")</f>
        <v>2023-11-030</v>
      </c>
      <c r="K3975" s="164" t="str">
        <f ca="1">IFERROR(__xludf.DUMMYFUNCTION("""COMPUTED_VALUE"""),"CYNTHIA C. DARDO")</f>
        <v>CYNTHIA C. DARDO</v>
      </c>
      <c r="L3975" s="164" t="str">
        <f ca="1">IFERROR(__xludf.DUMMYFUNCTION("""COMPUTED_VALUE"""),"STOD")</f>
        <v>STOD</v>
      </c>
      <c r="M3975" s="164" t="str">
        <f ca="1">IFERROR(__xludf.DUMMYFUNCTION("""COMPUTED_VALUE"""),"SERVICEABLE")</f>
        <v>SERVICEABLE</v>
      </c>
      <c r="N3975" s="164"/>
    </row>
    <row r="3976" spans="1:14" ht="13.2" hidden="1">
      <c r="A3976" s="164" t="str">
        <f ca="1">IFERROR(__xludf.DUMMYFUNCTION("""COMPUTED_VALUE"""),"REGION XII")</f>
        <v>REGION XII</v>
      </c>
      <c r="B3976" s="164" t="str">
        <f ca="1">IFERROR(__xludf.DUMMYFUNCTION("""COMPUTED_VALUE"""),"SULTAN KUDARAT")</f>
        <v>SULTAN KUDARAT</v>
      </c>
      <c r="C3976" s="164" t="str">
        <f ca="1">IFERROR(__xludf.DUMMYFUNCTION("""COMPUTED_VALUE"""),"Desktop Computer – (Lenovo M70T)")</f>
        <v>Desktop Computer – (Lenovo M70T)</v>
      </c>
      <c r="D3976" s="164" t="str">
        <f ca="1">IFERROR(__xludf.DUMMYFUNCTION("""COMPUTED_VALUE"""),"₱ 75,468.00")</f>
        <v>₱ 75,468.00</v>
      </c>
      <c r="E3976" s="164" t="str">
        <f ca="1">IFERROR(__xludf.DUMMYFUNCTION("""COMPUTED_VALUE"""),"₱ -")</f>
        <v>₱ -</v>
      </c>
      <c r="F3976" s="164" t="str">
        <f ca="1">IFERROR(__xludf.DUMMYFUNCTION("""COMPUTED_VALUE"""),"2023-05-03-10201SP1721-01")</f>
        <v>2023-05-03-10201SP1721-01</v>
      </c>
      <c r="G3976" s="164" t="str">
        <f ca="1">IFERROR(__xludf.DUMMYFUNCTION("""COMPUTED_VALUE"""),"1S11T5S16200GM041AWN")</f>
        <v>1S11T5S16200GM041AWN</v>
      </c>
      <c r="H3976" s="164" t="str">
        <f ca="1">IFERROR(__xludf.DUMMYFUNCTION("""COMPUTED_VALUE"""),"RONALDO L. CORNEJA")</f>
        <v>RONALDO L. CORNEJA</v>
      </c>
      <c r="I3976" s="164" t="str">
        <f ca="1">IFERROR(__xludf.DUMMYFUNCTION("""COMPUTED_VALUE"""),"MARPO")</f>
        <v>MARPO</v>
      </c>
      <c r="J3976" s="164" t="str">
        <f ca="1">IFERROR(__xludf.DUMMYFUNCTION("""COMPUTED_VALUE"""),"2023-11-032")</f>
        <v>2023-11-032</v>
      </c>
      <c r="K3976" s="164" t="str">
        <f ca="1">IFERROR(__xludf.DUMMYFUNCTION("""COMPUTED_VALUE"""),"RONALDO L. CORNEJA")</f>
        <v>RONALDO L. CORNEJA</v>
      </c>
      <c r="L3976" s="164" t="str">
        <f ca="1">IFERROR(__xludf.DUMMYFUNCTION("""COMPUTED_VALUE"""),"STOD")</f>
        <v>STOD</v>
      </c>
      <c r="M3976" s="164" t="str">
        <f ca="1">IFERROR(__xludf.DUMMYFUNCTION("""COMPUTED_VALUE"""),"SERVICEABLE")</f>
        <v>SERVICEABLE</v>
      </c>
      <c r="N3976" s="164"/>
    </row>
    <row r="3977" spans="1:14" ht="13.2" hidden="1">
      <c r="A3977" s="164" t="str">
        <f ca="1">IFERROR(__xludf.DUMMYFUNCTION("""COMPUTED_VALUE"""),"REGION XII")</f>
        <v>REGION XII</v>
      </c>
      <c r="B3977" s="164" t="str">
        <f ca="1">IFERROR(__xludf.DUMMYFUNCTION("""COMPUTED_VALUE"""),"SULTAN KUDARAT")</f>
        <v>SULTAN KUDARAT</v>
      </c>
      <c r="C3977" s="164" t="str">
        <f ca="1">IFERROR(__xludf.DUMMYFUNCTION("""COMPUTED_VALUE"""),"Desktop Computer – (Lenovo M70T)")</f>
        <v>Desktop Computer – (Lenovo M70T)</v>
      </c>
      <c r="D3977" s="164" t="str">
        <f ca="1">IFERROR(__xludf.DUMMYFUNCTION("""COMPUTED_VALUE"""),"₱ 75,468.00")</f>
        <v>₱ 75,468.00</v>
      </c>
      <c r="E3977" s="164" t="str">
        <f ca="1">IFERROR(__xludf.DUMMYFUNCTION("""COMPUTED_VALUE"""),"₱ -")</f>
        <v>₱ -</v>
      </c>
      <c r="F3977" s="164" t="str">
        <f ca="1">IFERROR(__xludf.DUMMYFUNCTION("""COMPUTED_VALUE"""),"2023-05-03-10201SP1731-01")</f>
        <v>2023-05-03-10201SP1731-01</v>
      </c>
      <c r="G3977" s="164" t="str">
        <f ca="1">IFERROR(__xludf.DUMMYFUNCTION("""COMPUTED_VALUE"""),"1S11T5S16200GM0418F1")</f>
        <v>1S11T5S16200GM0418F1</v>
      </c>
      <c r="H3977" s="164" t="str">
        <f ca="1">IFERROR(__xludf.DUMMYFUNCTION("""COMPUTED_VALUE"""),"FLORENTINO M. MARCELO, JR.")</f>
        <v>FLORENTINO M. MARCELO, JR.</v>
      </c>
      <c r="I3977" s="164" t="str">
        <f ca="1">IFERROR(__xludf.DUMMYFUNCTION("""COMPUTED_VALUE"""),"ARPO II")</f>
        <v>ARPO II</v>
      </c>
      <c r="J3977" s="164" t="str">
        <f ca="1">IFERROR(__xludf.DUMMYFUNCTION("""COMPUTED_VALUE"""),"2023-11-042")</f>
        <v>2023-11-042</v>
      </c>
      <c r="K3977" s="164" t="str">
        <f ca="1">IFERROR(__xludf.DUMMYFUNCTION("""COMPUTED_VALUE"""),"AMPAWA AMPANG")</f>
        <v>AMPAWA AMPANG</v>
      </c>
      <c r="L3977" s="164" t="str">
        <f ca="1">IFERROR(__xludf.DUMMYFUNCTION("""COMPUTED_VALUE"""),"STOD")</f>
        <v>STOD</v>
      </c>
      <c r="M3977" s="164" t="str">
        <f ca="1">IFERROR(__xludf.DUMMYFUNCTION("""COMPUTED_VALUE"""),"SERVICEABLE")</f>
        <v>SERVICEABLE</v>
      </c>
      <c r="N3977" s="164"/>
    </row>
    <row r="3978" spans="1:14" ht="13.2" hidden="1">
      <c r="A3978" s="164" t="str">
        <f ca="1">IFERROR(__xludf.DUMMYFUNCTION("""COMPUTED_VALUE"""),"REGION XII")</f>
        <v>REGION XII</v>
      </c>
      <c r="B3978" s="164" t="str">
        <f ca="1">IFERROR(__xludf.DUMMYFUNCTION("""COMPUTED_VALUE"""),"SULTAN KUDARAT")</f>
        <v>SULTAN KUDARAT</v>
      </c>
      <c r="C3978" s="164" t="str">
        <f ca="1">IFERROR(__xludf.DUMMYFUNCTION("""COMPUTED_VALUE"""),"Desktop Computer – (Lenovo M70T)")</f>
        <v>Desktop Computer – (Lenovo M70T)</v>
      </c>
      <c r="D3978" s="164" t="str">
        <f ca="1">IFERROR(__xludf.DUMMYFUNCTION("""COMPUTED_VALUE"""),"₱ 75,468.00")</f>
        <v>₱ 75,468.00</v>
      </c>
      <c r="E3978" s="164" t="str">
        <f ca="1">IFERROR(__xludf.DUMMYFUNCTION("""COMPUTED_VALUE"""),"₱ -")</f>
        <v>₱ -</v>
      </c>
      <c r="F3978" s="164" t="str">
        <f ca="1">IFERROR(__xludf.DUMMYFUNCTION("""COMPUTED_VALUE"""),"2023-05-03-10201SP1722-01")</f>
        <v>2023-05-03-10201SP1722-01</v>
      </c>
      <c r="G3978" s="164" t="str">
        <f ca="1">IFERROR(__xludf.DUMMYFUNCTION("""COMPUTED_VALUE"""),"1S11T5S16200GM0418FA")</f>
        <v>1S11T5S16200GM0418FA</v>
      </c>
      <c r="H3978" s="164" t="str">
        <f ca="1">IFERROR(__xludf.DUMMYFUNCTION("""COMPUTED_VALUE"""),"LUIS C. JULIANO")</f>
        <v>LUIS C. JULIANO</v>
      </c>
      <c r="I3978" s="164" t="str">
        <f ca="1">IFERROR(__xludf.DUMMYFUNCTION("""COMPUTED_VALUE"""),"MARPO")</f>
        <v>MARPO</v>
      </c>
      <c r="J3978" s="164" t="str">
        <f ca="1">IFERROR(__xludf.DUMMYFUNCTION("""COMPUTED_VALUE"""),"2023-11-033")</f>
        <v>2023-11-033</v>
      </c>
      <c r="K3978" s="164" t="str">
        <f ca="1">IFERROR(__xludf.DUMMYFUNCTION("""COMPUTED_VALUE"""),"LUIS C. JULIANO")</f>
        <v>LUIS C. JULIANO</v>
      </c>
      <c r="L3978" s="164" t="str">
        <f ca="1">IFERROR(__xludf.DUMMYFUNCTION("""COMPUTED_VALUE"""),"STOD")</f>
        <v>STOD</v>
      </c>
      <c r="M3978" s="164" t="str">
        <f ca="1">IFERROR(__xludf.DUMMYFUNCTION("""COMPUTED_VALUE"""),"SERVICEABLE")</f>
        <v>SERVICEABLE</v>
      </c>
      <c r="N3978" s="164"/>
    </row>
    <row r="3979" spans="1:14" ht="13.2" hidden="1">
      <c r="A3979" s="164" t="str">
        <f ca="1">IFERROR(__xludf.DUMMYFUNCTION("""COMPUTED_VALUE"""),"REGION XII")</f>
        <v>REGION XII</v>
      </c>
      <c r="B3979" s="164" t="str">
        <f ca="1">IFERROR(__xludf.DUMMYFUNCTION("""COMPUTED_VALUE"""),"SULTAN KUDARAT")</f>
        <v>SULTAN KUDARAT</v>
      </c>
      <c r="C3979" s="164" t="str">
        <f ca="1">IFERROR(__xludf.DUMMYFUNCTION("""COMPUTED_VALUE"""),"Desktop Computer – (Lenovo M70T)")</f>
        <v>Desktop Computer – (Lenovo M70T)</v>
      </c>
      <c r="D3979" s="164" t="str">
        <f ca="1">IFERROR(__xludf.DUMMYFUNCTION("""COMPUTED_VALUE"""),"₱ 75,468.00")</f>
        <v>₱ 75,468.00</v>
      </c>
      <c r="E3979" s="164" t="str">
        <f ca="1">IFERROR(__xludf.DUMMYFUNCTION("""COMPUTED_VALUE"""),"₱ -")</f>
        <v>₱ -</v>
      </c>
      <c r="F3979" s="164" t="str">
        <f ca="1">IFERROR(__xludf.DUMMYFUNCTION("""COMPUTED_VALUE"""),"2023-05-03-10201SP1717-01")</f>
        <v>2023-05-03-10201SP1717-01</v>
      </c>
      <c r="G3979" s="164" t="str">
        <f ca="1">IFERROR(__xludf.DUMMYFUNCTION("""COMPUTED_VALUE"""),"1S11T5S16200GM0418F7")</f>
        <v>1S11T5S16200GM0418F7</v>
      </c>
      <c r="H3979" s="164" t="str">
        <f ca="1">IFERROR(__xludf.DUMMYFUNCTION("""COMPUTED_VALUE"""),"IDA R. FREGILLANA")</f>
        <v>IDA R. FREGILLANA</v>
      </c>
      <c r="I3979" s="164" t="str">
        <f ca="1">IFERROR(__xludf.DUMMYFUNCTION("""COMPUTED_VALUE"""),"MARPO")</f>
        <v>MARPO</v>
      </c>
      <c r="J3979" s="164" t="str">
        <f ca="1">IFERROR(__xludf.DUMMYFUNCTION("""COMPUTED_VALUE"""),"2023-11-029")</f>
        <v>2023-11-029</v>
      </c>
      <c r="K3979" s="164" t="str">
        <f ca="1">IFERROR(__xludf.DUMMYFUNCTION("""COMPUTED_VALUE"""),"IDA R. FREGILLANA")</f>
        <v>IDA R. FREGILLANA</v>
      </c>
      <c r="L3979" s="164" t="str">
        <f ca="1">IFERROR(__xludf.DUMMYFUNCTION("""COMPUTED_VALUE"""),"STOD")</f>
        <v>STOD</v>
      </c>
      <c r="M3979" s="164" t="str">
        <f ca="1">IFERROR(__xludf.DUMMYFUNCTION("""COMPUTED_VALUE"""),"SERVICEABLE")</f>
        <v>SERVICEABLE</v>
      </c>
      <c r="N3979" s="164"/>
    </row>
    <row r="3980" spans="1:14" ht="13.2" hidden="1">
      <c r="A3980" s="164" t="str">
        <f ca="1">IFERROR(__xludf.DUMMYFUNCTION("""COMPUTED_VALUE"""),"REGION XII")</f>
        <v>REGION XII</v>
      </c>
      <c r="B3980" s="164" t="str">
        <f ca="1">IFERROR(__xludf.DUMMYFUNCTION("""COMPUTED_VALUE"""),"SULTAN KUDARAT")</f>
        <v>SULTAN KUDARAT</v>
      </c>
      <c r="C3980" s="164" t="str">
        <f ca="1">IFERROR(__xludf.DUMMYFUNCTION("""COMPUTED_VALUE"""),"Desktop Computer – (Lenovo M70T)")</f>
        <v>Desktop Computer – (Lenovo M70T)</v>
      </c>
      <c r="D3980" s="164" t="str">
        <f ca="1">IFERROR(__xludf.DUMMYFUNCTION("""COMPUTED_VALUE"""),"₱ 75,468.00")</f>
        <v>₱ 75,468.00</v>
      </c>
      <c r="E3980" s="164" t="str">
        <f ca="1">IFERROR(__xludf.DUMMYFUNCTION("""COMPUTED_VALUE"""),"₱ -")</f>
        <v>₱ -</v>
      </c>
      <c r="F3980" s="164" t="str">
        <f ca="1">IFERROR(__xludf.DUMMYFUNCTION("""COMPUTED_VALUE"""),"2023-05-03-10201SP1725-01")</f>
        <v>2023-05-03-10201SP1725-01</v>
      </c>
      <c r="G3980" s="164" t="str">
        <f ca="1">IFERROR(__xludf.DUMMYFUNCTION("""COMPUTED_VALUE"""),"1S11T5S16200GM041B09")</f>
        <v>1S11T5S16200GM041B09</v>
      </c>
      <c r="H3980" s="164" t="str">
        <f ca="1">IFERROR(__xludf.DUMMYFUNCTION("""COMPUTED_VALUE"""),"MOHAMADSAUDI S. ADAM")</f>
        <v>MOHAMADSAUDI S. ADAM</v>
      </c>
      <c r="I3980" s="164" t="str">
        <f ca="1">IFERROR(__xludf.DUMMYFUNCTION("""COMPUTED_VALUE"""),"MARPO")</f>
        <v>MARPO</v>
      </c>
      <c r="J3980" s="164" t="str">
        <f ca="1">IFERROR(__xludf.DUMMYFUNCTION("""COMPUTED_VALUE"""),"2023-11-036")</f>
        <v>2023-11-036</v>
      </c>
      <c r="K3980" s="164" t="str">
        <f ca="1">IFERROR(__xludf.DUMMYFUNCTION("""COMPUTED_VALUE"""),"ELVIE SEGURA")</f>
        <v>ELVIE SEGURA</v>
      </c>
      <c r="L3980" s="164" t="str">
        <f ca="1">IFERROR(__xludf.DUMMYFUNCTION("""COMPUTED_VALUE"""),"STOD")</f>
        <v>STOD</v>
      </c>
      <c r="M3980" s="164" t="str">
        <f ca="1">IFERROR(__xludf.DUMMYFUNCTION("""COMPUTED_VALUE"""),"SERVICEABLE")</f>
        <v>SERVICEABLE</v>
      </c>
      <c r="N3980" s="164"/>
    </row>
    <row r="3981" spans="1:14" ht="13.2" hidden="1">
      <c r="A3981" s="164" t="str">
        <f ca="1">IFERROR(__xludf.DUMMYFUNCTION("""COMPUTED_VALUE"""),"REGION XII")</f>
        <v>REGION XII</v>
      </c>
      <c r="B3981" s="164" t="str">
        <f ca="1">IFERROR(__xludf.DUMMYFUNCTION("""COMPUTED_VALUE"""),"COTABATO")</f>
        <v>COTABATO</v>
      </c>
      <c r="C3981" s="164" t="str">
        <f ca="1">IFERROR(__xludf.DUMMYFUNCTION("""COMPUTED_VALUE"""),"Desktop Computer – (Lenovo M70T)")</f>
        <v>Desktop Computer – (Lenovo M70T)</v>
      </c>
      <c r="D3981" s="164" t="str">
        <f ca="1">IFERROR(__xludf.DUMMYFUNCTION("""COMPUTED_VALUE"""),"₱ 75,468.00")</f>
        <v>₱ 75,468.00</v>
      </c>
      <c r="E3981" s="164" t="str">
        <f ca="1">IFERROR(__xludf.DUMMYFUNCTION("""COMPUTED_VALUE"""),"₱ -")</f>
        <v>₱ -</v>
      </c>
      <c r="F3981" s="164" t="str">
        <f ca="1">IFERROR(__xludf.DUMMYFUNCTION("""COMPUTED_VALUE"""),"2023-05-03-10201SP1668-01")</f>
        <v>2023-05-03-10201SP1668-01</v>
      </c>
      <c r="G3981" s="164" t="str">
        <f ca="1">IFERROR(__xludf.DUMMYFUNCTION("""COMPUTED_VALUE"""),"1S11T5S16200GM041B07")</f>
        <v>1S11T5S16200GM041B07</v>
      </c>
      <c r="H3981" s="164" t="str">
        <f ca="1">IFERROR(__xludf.DUMMYFUNCTION("""COMPUTED_VALUE"""),"MITZIE I. ANTONIO")</f>
        <v>MITZIE I. ANTONIO</v>
      </c>
      <c r="I3981" s="164" t="str">
        <f ca="1">IFERROR(__xludf.DUMMYFUNCTION("""COMPUTED_VALUE"""),"ARPT")</f>
        <v>ARPT</v>
      </c>
      <c r="J3981" s="164" t="str">
        <f ca="1">IFERROR(__xludf.DUMMYFUNCTION("""COMPUTED_VALUE"""),"102-2023-05-001")</f>
        <v>102-2023-05-001</v>
      </c>
      <c r="K3981" s="164" t="str">
        <f ca="1">IFERROR(__xludf.DUMMYFUNCTION("""COMPUTED_VALUE"""),"MITZIE I. ANTONIO")</f>
        <v>MITZIE I. ANTONIO</v>
      </c>
      <c r="L3981" s="164" t="str">
        <f ca="1">IFERROR(__xludf.DUMMYFUNCTION("""COMPUTED_VALUE"""),"DARPO-STOD")</f>
        <v>DARPO-STOD</v>
      </c>
      <c r="M3981" s="164" t="str">
        <f ca="1">IFERROR(__xludf.DUMMYFUNCTION("""COMPUTED_VALUE"""),"SERVICEABLE")</f>
        <v>SERVICEABLE</v>
      </c>
      <c r="N3981" s="164"/>
    </row>
    <row r="3982" spans="1:14" ht="13.2" hidden="1">
      <c r="A3982" s="164" t="str">
        <f ca="1">IFERROR(__xludf.DUMMYFUNCTION("""COMPUTED_VALUE"""),"REGION XII")</f>
        <v>REGION XII</v>
      </c>
      <c r="B3982" s="164" t="str">
        <f ca="1">IFERROR(__xludf.DUMMYFUNCTION("""COMPUTED_VALUE"""),"COTABATO")</f>
        <v>COTABATO</v>
      </c>
      <c r="C3982" s="164" t="str">
        <f ca="1">IFERROR(__xludf.DUMMYFUNCTION("""COMPUTED_VALUE"""),"Desktop Computer – (Lenovo M70T)")</f>
        <v>Desktop Computer – (Lenovo M70T)</v>
      </c>
      <c r="D3982" s="164" t="str">
        <f ca="1">IFERROR(__xludf.DUMMYFUNCTION("""COMPUTED_VALUE"""),"₱ 75,468.00")</f>
        <v>₱ 75,468.00</v>
      </c>
      <c r="E3982" s="164" t="str">
        <f ca="1">IFERROR(__xludf.DUMMYFUNCTION("""COMPUTED_VALUE"""),"₱ -")</f>
        <v>₱ -</v>
      </c>
      <c r="F3982" s="164" t="str">
        <f ca="1">IFERROR(__xludf.DUMMYFUNCTION("""COMPUTED_VALUE"""),"2023-05-03-10201SP1669-01")</f>
        <v>2023-05-03-10201SP1669-01</v>
      </c>
      <c r="G3982" s="164" t="str">
        <f ca="1">IFERROR(__xludf.DUMMYFUNCTION("""COMPUTED_VALUE"""),"1S11T5S16200GM0418LF")</f>
        <v>1S11T5S16200GM0418LF</v>
      </c>
      <c r="H3982" s="164" t="str">
        <f ca="1">IFERROR(__xludf.DUMMYFUNCTION("""COMPUTED_VALUE"""),"ROSCIELE C. CADUNGOG")</f>
        <v>ROSCIELE C. CADUNGOG</v>
      </c>
      <c r="I3982" s="164" t="str">
        <f ca="1">IFERROR(__xludf.DUMMYFUNCTION("""COMPUTED_VALUE"""),"ADMIN.OFFICER IV")</f>
        <v>ADMIN.OFFICER IV</v>
      </c>
      <c r="J3982" s="164" t="str">
        <f ca="1">IFERROR(__xludf.DUMMYFUNCTION("""COMPUTED_VALUE"""),"102-2023-05-002")</f>
        <v>102-2023-05-002</v>
      </c>
      <c r="K3982" s="164" t="str">
        <f ca="1">IFERROR(__xludf.DUMMYFUNCTION("""COMPUTED_VALUE"""),"ROSCIELE C. CADUNGOG")</f>
        <v>ROSCIELE C. CADUNGOG</v>
      </c>
      <c r="L3982" s="164" t="str">
        <f ca="1">IFERROR(__xludf.DUMMYFUNCTION("""COMPUTED_VALUE"""),"DARPO-STOD")</f>
        <v>DARPO-STOD</v>
      </c>
      <c r="M3982" s="164" t="str">
        <f ca="1">IFERROR(__xludf.DUMMYFUNCTION("""COMPUTED_VALUE"""),"SERVICEABLE")</f>
        <v>SERVICEABLE</v>
      </c>
      <c r="N3982" s="164"/>
    </row>
    <row r="3983" spans="1:14" ht="13.2" hidden="1">
      <c r="A3983" s="164" t="str">
        <f ca="1">IFERROR(__xludf.DUMMYFUNCTION("""COMPUTED_VALUE"""),"REGION XII")</f>
        <v>REGION XII</v>
      </c>
      <c r="B3983" s="164" t="str">
        <f ca="1">IFERROR(__xludf.DUMMYFUNCTION("""COMPUTED_VALUE"""),"COTABATO")</f>
        <v>COTABATO</v>
      </c>
      <c r="C3983" s="164" t="str">
        <f ca="1">IFERROR(__xludf.DUMMYFUNCTION("""COMPUTED_VALUE"""),"Desktop Computer – (Lenovo M70T)")</f>
        <v>Desktop Computer – (Lenovo M70T)</v>
      </c>
      <c r="D3983" s="164" t="str">
        <f ca="1">IFERROR(__xludf.DUMMYFUNCTION("""COMPUTED_VALUE"""),"₱ 75,468.00")</f>
        <v>₱ 75,468.00</v>
      </c>
      <c r="E3983" s="164" t="str">
        <f ca="1">IFERROR(__xludf.DUMMYFUNCTION("""COMPUTED_VALUE"""),"₱ -")</f>
        <v>₱ -</v>
      </c>
      <c r="F3983" s="164" t="str">
        <f ca="1">IFERROR(__xludf.DUMMYFUNCTION("""COMPUTED_VALUE"""),"2023-05-03-10201SP1670-01")</f>
        <v>2023-05-03-10201SP1670-01</v>
      </c>
      <c r="G3983" s="164" t="str">
        <f ca="1">IFERROR(__xludf.DUMMYFUNCTION("""COMPUTED_VALUE"""),"1S11T5S16200GM0418HE")</f>
        <v>1S11T5S16200GM0418HE</v>
      </c>
      <c r="H3983" s="164" t="str">
        <f ca="1">IFERROR(__xludf.DUMMYFUNCTION("""COMPUTED_VALUE"""),"MARIA IDA BAUTISTA")</f>
        <v>MARIA IDA BAUTISTA</v>
      </c>
      <c r="I3983" s="164" t="str">
        <f ca="1">IFERROR(__xludf.DUMMYFUNCTION("""COMPUTED_VALUE"""),"SARPO")</f>
        <v>SARPO</v>
      </c>
      <c r="J3983" s="164" t="str">
        <f ca="1">IFERROR(__xludf.DUMMYFUNCTION("""COMPUTED_VALUE"""),"102-2023-05-003")</f>
        <v>102-2023-05-003</v>
      </c>
      <c r="K3983" s="164" t="str">
        <f ca="1">IFERROR(__xludf.DUMMYFUNCTION("""COMPUTED_VALUE"""),"MARIA IDA BAUTISTA")</f>
        <v>MARIA IDA BAUTISTA</v>
      </c>
      <c r="L3983" s="164" t="str">
        <f ca="1">IFERROR(__xludf.DUMMYFUNCTION("""COMPUTED_VALUE"""),"DARPO-PBDD")</f>
        <v>DARPO-PBDD</v>
      </c>
      <c r="M3983" s="164" t="str">
        <f ca="1">IFERROR(__xludf.DUMMYFUNCTION("""COMPUTED_VALUE"""),"SERVICEABLE")</f>
        <v>SERVICEABLE</v>
      </c>
      <c r="N3983" s="164"/>
    </row>
    <row r="3984" spans="1:14" ht="13.2" hidden="1">
      <c r="A3984" s="164" t="str">
        <f ca="1">IFERROR(__xludf.DUMMYFUNCTION("""COMPUTED_VALUE"""),"REGION XII")</f>
        <v>REGION XII</v>
      </c>
      <c r="B3984" s="164" t="str">
        <f ca="1">IFERROR(__xludf.DUMMYFUNCTION("""COMPUTED_VALUE"""),"COTABATO")</f>
        <v>COTABATO</v>
      </c>
      <c r="C3984" s="164" t="str">
        <f ca="1">IFERROR(__xludf.DUMMYFUNCTION("""COMPUTED_VALUE"""),"Desktop Computer – (Lenovo M70T)")</f>
        <v>Desktop Computer – (Lenovo M70T)</v>
      </c>
      <c r="D3984" s="164" t="str">
        <f ca="1">IFERROR(__xludf.DUMMYFUNCTION("""COMPUTED_VALUE"""),"₱ 75,468.00")</f>
        <v>₱ 75,468.00</v>
      </c>
      <c r="E3984" s="164" t="str">
        <f ca="1">IFERROR(__xludf.DUMMYFUNCTION("""COMPUTED_VALUE"""),"₱ -")</f>
        <v>₱ -</v>
      </c>
      <c r="F3984" s="164" t="str">
        <f ca="1">IFERROR(__xludf.DUMMYFUNCTION("""COMPUTED_VALUE"""),"2023-05-03-10201SP1671-01")</f>
        <v>2023-05-03-10201SP1671-01</v>
      </c>
      <c r="G3984" s="164" t="str">
        <f ca="1">IFERROR(__xludf.DUMMYFUNCTION("""COMPUTED_VALUE"""),"1S11T5S16200GM0415WS")</f>
        <v>1S11T5S16200GM0415WS</v>
      </c>
      <c r="H3984" s="164" t="str">
        <f ca="1">IFERROR(__xludf.DUMMYFUNCTION("""COMPUTED_VALUE"""),"KENDY T. EMBATE")</f>
        <v>KENDY T. EMBATE</v>
      </c>
      <c r="I3984" s="164" t="str">
        <f ca="1">IFERROR(__xludf.DUMMYFUNCTION("""COMPUTED_VALUE"""),"ARPT")</f>
        <v>ARPT</v>
      </c>
      <c r="J3984" s="164" t="str">
        <f ca="1">IFERROR(__xludf.DUMMYFUNCTION("""COMPUTED_VALUE"""),"102-2023-05-004")</f>
        <v>102-2023-05-004</v>
      </c>
      <c r="K3984" s="164" t="str">
        <f ca="1">IFERROR(__xludf.DUMMYFUNCTION("""COMPUTED_VALUE"""),"KENDY T. EMBATE")</f>
        <v>KENDY T. EMBATE</v>
      </c>
      <c r="L3984" s="164" t="str">
        <f ca="1">IFERROR(__xludf.DUMMYFUNCTION("""COMPUTED_VALUE"""),"DARPO-PBDD")</f>
        <v>DARPO-PBDD</v>
      </c>
      <c r="M3984" s="164" t="str">
        <f ca="1">IFERROR(__xludf.DUMMYFUNCTION("""COMPUTED_VALUE"""),"SERVICEABLE")</f>
        <v>SERVICEABLE</v>
      </c>
      <c r="N3984" s="164"/>
    </row>
    <row r="3985" spans="1:14" ht="13.2" hidden="1">
      <c r="A3985" s="164" t="str">
        <f ca="1">IFERROR(__xludf.DUMMYFUNCTION("""COMPUTED_VALUE"""),"REGION XII")</f>
        <v>REGION XII</v>
      </c>
      <c r="B3985" s="164" t="str">
        <f ca="1">IFERROR(__xludf.DUMMYFUNCTION("""COMPUTED_VALUE"""),"COTABATO")</f>
        <v>COTABATO</v>
      </c>
      <c r="C3985" s="164" t="str">
        <f ca="1">IFERROR(__xludf.DUMMYFUNCTION("""COMPUTED_VALUE"""),"Desktop Computer – (Lenovo M70T)")</f>
        <v>Desktop Computer – (Lenovo M70T)</v>
      </c>
      <c r="D3985" s="164" t="str">
        <f ca="1">IFERROR(__xludf.DUMMYFUNCTION("""COMPUTED_VALUE"""),"₱ 75,468.00")</f>
        <v>₱ 75,468.00</v>
      </c>
      <c r="E3985" s="164" t="str">
        <f ca="1">IFERROR(__xludf.DUMMYFUNCTION("""COMPUTED_VALUE"""),"₱ -")</f>
        <v>₱ -</v>
      </c>
      <c r="F3985" s="164" t="str">
        <f ca="1">IFERROR(__xludf.DUMMYFUNCTION("""COMPUTED_VALUE"""),"2023-05-03-10201SP1672-01")</f>
        <v>2023-05-03-10201SP1672-01</v>
      </c>
      <c r="G3985" s="164" t="str">
        <f ca="1">IFERROR(__xludf.DUMMYFUNCTION("""COMPUTED_VALUE"""),"1S11T5S16200GM04160M")</f>
        <v>1S11T5S16200GM04160M</v>
      </c>
      <c r="H3985" s="164" t="str">
        <f ca="1">IFERROR(__xludf.DUMMYFUNCTION("""COMPUTED_VALUE"""),"MYRENE AMPURADO")</f>
        <v>MYRENE AMPURADO</v>
      </c>
      <c r="I3985" s="164" t="str">
        <f ca="1">IFERROR(__xludf.DUMMYFUNCTION("""COMPUTED_VALUE"""),"ARPT")</f>
        <v>ARPT</v>
      </c>
      <c r="J3985" s="164" t="str">
        <f ca="1">IFERROR(__xludf.DUMMYFUNCTION("""COMPUTED_VALUE"""),"102-2023-05-005")</f>
        <v>102-2023-05-005</v>
      </c>
      <c r="K3985" s="164" t="str">
        <f ca="1">IFERROR(__xludf.DUMMYFUNCTION("""COMPUTED_VALUE"""),"MYRENE AMPURADO")</f>
        <v>MYRENE AMPURADO</v>
      </c>
      <c r="L3985" s="164" t="str">
        <f ca="1">IFERROR(__xludf.DUMMYFUNCTION("""COMPUTED_VALUE"""),"DARPO-LEGAL")</f>
        <v>DARPO-LEGAL</v>
      </c>
      <c r="M3985" s="164" t="str">
        <f ca="1">IFERROR(__xludf.DUMMYFUNCTION("""COMPUTED_VALUE"""),"SERVICEABLE")</f>
        <v>SERVICEABLE</v>
      </c>
      <c r="N3985" s="164"/>
    </row>
    <row r="3986" spans="1:14" ht="13.2" hidden="1">
      <c r="A3986" s="164" t="str">
        <f ca="1">IFERROR(__xludf.DUMMYFUNCTION("""COMPUTED_VALUE"""),"REGION XII")</f>
        <v>REGION XII</v>
      </c>
      <c r="B3986" s="164" t="str">
        <f ca="1">IFERROR(__xludf.DUMMYFUNCTION("""COMPUTED_VALUE"""),"COTABATO")</f>
        <v>COTABATO</v>
      </c>
      <c r="C3986" s="164" t="str">
        <f ca="1">IFERROR(__xludf.DUMMYFUNCTION("""COMPUTED_VALUE"""),"Desktop Computer – (Lenovo M70T)")</f>
        <v>Desktop Computer – (Lenovo M70T)</v>
      </c>
      <c r="D3986" s="164" t="str">
        <f ca="1">IFERROR(__xludf.DUMMYFUNCTION("""COMPUTED_VALUE"""),"₱ 75,468.00")</f>
        <v>₱ 75,468.00</v>
      </c>
      <c r="E3986" s="164" t="str">
        <f ca="1">IFERROR(__xludf.DUMMYFUNCTION("""COMPUTED_VALUE"""),"₱ -")</f>
        <v>₱ -</v>
      </c>
      <c r="F3986" s="164" t="str">
        <f ca="1">IFERROR(__xludf.DUMMYFUNCTION("""COMPUTED_VALUE"""),"2023-05-03-10201SP1674-01")</f>
        <v>2023-05-03-10201SP1674-01</v>
      </c>
      <c r="G3986" s="164" t="str">
        <f ca="1">IFERROR(__xludf.DUMMYFUNCTION("""COMPUTED_VALUE"""),"1S11T5S16200GM041AZP")</f>
        <v>1S11T5S16200GM041AZP</v>
      </c>
      <c r="H3986" s="164" t="str">
        <f ca="1">IFERROR(__xludf.DUMMYFUNCTION("""COMPUTED_VALUE"""),"LEAH S. ORTEGA")</f>
        <v>LEAH S. ORTEGA</v>
      </c>
      <c r="I3986" s="164" t="str">
        <f ca="1">IFERROR(__xludf.DUMMYFUNCTION("""COMPUTED_VALUE"""),"CARPO-LTID")</f>
        <v>CARPO-LTID</v>
      </c>
      <c r="J3986" s="164" t="str">
        <f ca="1">IFERROR(__xludf.DUMMYFUNCTION("""COMPUTED_VALUE"""),"102-2023-05-007")</f>
        <v>102-2023-05-007</v>
      </c>
      <c r="K3986" s="164" t="str">
        <f ca="1">IFERROR(__xludf.DUMMYFUNCTION("""COMPUTED_VALUE"""),"LEAH S. ORTEGA")</f>
        <v>LEAH S. ORTEGA</v>
      </c>
      <c r="L3986" s="164" t="str">
        <f ca="1">IFERROR(__xludf.DUMMYFUNCTION("""COMPUTED_VALUE"""),"DARPO-DARAB")</f>
        <v>DARPO-DARAB</v>
      </c>
      <c r="M3986" s="164" t="str">
        <f ca="1">IFERROR(__xludf.DUMMYFUNCTION("""COMPUTED_VALUE"""),"SERVICEABLE")</f>
        <v>SERVICEABLE</v>
      </c>
      <c r="N3986" s="164"/>
    </row>
    <row r="3987" spans="1:14" ht="13.2" hidden="1">
      <c r="A3987" s="164" t="str">
        <f ca="1">IFERROR(__xludf.DUMMYFUNCTION("""COMPUTED_VALUE"""),"REGION XII")</f>
        <v>REGION XII</v>
      </c>
      <c r="B3987" s="164" t="str">
        <f ca="1">IFERROR(__xludf.DUMMYFUNCTION("""COMPUTED_VALUE"""),"COTABATO")</f>
        <v>COTABATO</v>
      </c>
      <c r="C3987" s="164" t="str">
        <f ca="1">IFERROR(__xludf.DUMMYFUNCTION("""COMPUTED_VALUE"""),"Desktop Computer – (Lenovo M70T)")</f>
        <v>Desktop Computer – (Lenovo M70T)</v>
      </c>
      <c r="D3987" s="164" t="str">
        <f ca="1">IFERROR(__xludf.DUMMYFUNCTION("""COMPUTED_VALUE"""),"₱ 75,468.00")</f>
        <v>₱ 75,468.00</v>
      </c>
      <c r="E3987" s="164" t="str">
        <f ca="1">IFERROR(__xludf.DUMMYFUNCTION("""COMPUTED_VALUE"""),"₱ -")</f>
        <v>₱ -</v>
      </c>
      <c r="F3987" s="164" t="str">
        <f ca="1">IFERROR(__xludf.DUMMYFUNCTION("""COMPUTED_VALUE"""),"2023-05-03-10201SP1675-01")</f>
        <v>2023-05-03-10201SP1675-01</v>
      </c>
      <c r="G3987" s="164" t="str">
        <f ca="1">IFERROR(__xludf.DUMMYFUNCTION("""COMPUTED_VALUE"""),"1S11T5S16200GM03S3PM")</f>
        <v>1S11T5S16200GM03S3PM</v>
      </c>
      <c r="H3987" s="164" t="str">
        <f ca="1">IFERROR(__xludf.DUMMYFUNCTION("""COMPUTED_VALUE"""),"CHERIE JOY BAYA")</f>
        <v>CHERIE JOY BAYA</v>
      </c>
      <c r="I3987" s="164" t="str">
        <f ca="1">IFERROR(__xludf.DUMMYFUNCTION("""COMPUTED_VALUE"""),"ARPT")</f>
        <v>ARPT</v>
      </c>
      <c r="J3987" s="164" t="str">
        <f ca="1">IFERROR(__xludf.DUMMYFUNCTION("""COMPUTED_VALUE"""),"102-2023-05-008")</f>
        <v>102-2023-05-008</v>
      </c>
      <c r="K3987" s="164" t="str">
        <f ca="1">IFERROR(__xludf.DUMMYFUNCTION("""COMPUTED_VALUE"""),"JOEL D. PAJAC")</f>
        <v>JOEL D. PAJAC</v>
      </c>
      <c r="L3987" s="164" t="str">
        <f ca="1">IFERROR(__xludf.DUMMYFUNCTION("""COMPUTED_VALUE"""),"DARMO-ALAMADA")</f>
        <v>DARMO-ALAMADA</v>
      </c>
      <c r="M3987" s="164" t="str">
        <f ca="1">IFERROR(__xludf.DUMMYFUNCTION("""COMPUTED_VALUE"""),"SERVICEABLE")</f>
        <v>SERVICEABLE</v>
      </c>
      <c r="N3987" s="164"/>
    </row>
    <row r="3988" spans="1:14" ht="13.2" hidden="1">
      <c r="A3988" s="164" t="str">
        <f ca="1">IFERROR(__xludf.DUMMYFUNCTION("""COMPUTED_VALUE"""),"REGION XII")</f>
        <v>REGION XII</v>
      </c>
      <c r="B3988" s="164" t="str">
        <f ca="1">IFERROR(__xludf.DUMMYFUNCTION("""COMPUTED_VALUE"""),"COTABATO")</f>
        <v>COTABATO</v>
      </c>
      <c r="C3988" s="164" t="str">
        <f ca="1">IFERROR(__xludf.DUMMYFUNCTION("""COMPUTED_VALUE"""),"Desktop Computer – (Lenovo M70T)")</f>
        <v>Desktop Computer – (Lenovo M70T)</v>
      </c>
      <c r="D3988" s="164" t="str">
        <f ca="1">IFERROR(__xludf.DUMMYFUNCTION("""COMPUTED_VALUE"""),"₱ 75,468.00")</f>
        <v>₱ 75,468.00</v>
      </c>
      <c r="E3988" s="164" t="str">
        <f ca="1">IFERROR(__xludf.DUMMYFUNCTION("""COMPUTED_VALUE"""),"₱ -")</f>
        <v>₱ -</v>
      </c>
      <c r="F3988" s="164" t="str">
        <f ca="1">IFERROR(__xludf.DUMMYFUNCTION("""COMPUTED_VALUE"""),"2023-05-03-10201SP1676-01")</f>
        <v>2023-05-03-10201SP1676-01</v>
      </c>
      <c r="G3988" s="164" t="str">
        <f ca="1">IFERROR(__xludf.DUMMYFUNCTION("""COMPUTED_VALUE"""),"1S11T5S16200GM0418L7")</f>
        <v>1S11T5S16200GM0418L7</v>
      </c>
      <c r="H3988" s="164" t="str">
        <f ca="1">IFERROR(__xludf.DUMMYFUNCTION("""COMPUTED_VALUE"""),"REIAN E. SUMATRA")</f>
        <v>REIAN E. SUMATRA</v>
      </c>
      <c r="I3988" s="164" t="str">
        <f ca="1">IFERROR(__xludf.DUMMYFUNCTION("""COMPUTED_VALUE"""),"PROPERTY CUSTODIAN")</f>
        <v>PROPERTY CUSTODIAN</v>
      </c>
      <c r="J3988" s="164" t="str">
        <f ca="1">IFERROR(__xludf.DUMMYFUNCTION("""COMPUTED_VALUE"""),"102-2023-05-009")</f>
        <v>102-2023-05-009</v>
      </c>
      <c r="K3988" s="164" t="str">
        <f ca="1">IFERROR(__xludf.DUMMYFUNCTION("""COMPUTED_VALUE"""),"GINA ESCALA")</f>
        <v>GINA ESCALA</v>
      </c>
      <c r="L3988" s="164" t="str">
        <f ca="1">IFERROR(__xludf.DUMMYFUNCTION("""COMPUTED_VALUE"""),"DARMO-ALAMADA")</f>
        <v>DARMO-ALAMADA</v>
      </c>
      <c r="M3988" s="164" t="str">
        <f ca="1">IFERROR(__xludf.DUMMYFUNCTION("""COMPUTED_VALUE"""),"SERVICEABLE")</f>
        <v>SERVICEABLE</v>
      </c>
      <c r="N3988" s="164"/>
    </row>
    <row r="3989" spans="1:14" ht="13.2" hidden="1">
      <c r="A3989" s="164" t="str">
        <f ca="1">IFERROR(__xludf.DUMMYFUNCTION("""COMPUTED_VALUE"""),"REGION XII")</f>
        <v>REGION XII</v>
      </c>
      <c r="B3989" s="164" t="str">
        <f ca="1">IFERROR(__xludf.DUMMYFUNCTION("""COMPUTED_VALUE"""),"COTABATO")</f>
        <v>COTABATO</v>
      </c>
      <c r="C3989" s="164" t="str">
        <f ca="1">IFERROR(__xludf.DUMMYFUNCTION("""COMPUTED_VALUE"""),"Desktop Computer – (Lenovo M70T)")</f>
        <v>Desktop Computer – (Lenovo M70T)</v>
      </c>
      <c r="D3989" s="164" t="str">
        <f ca="1">IFERROR(__xludf.DUMMYFUNCTION("""COMPUTED_VALUE"""),"₱ 75,468.00")</f>
        <v>₱ 75,468.00</v>
      </c>
      <c r="E3989" s="164" t="str">
        <f ca="1">IFERROR(__xludf.DUMMYFUNCTION("""COMPUTED_VALUE"""),"₱ -")</f>
        <v>₱ -</v>
      </c>
      <c r="F3989" s="164" t="str">
        <f ca="1">IFERROR(__xludf.DUMMYFUNCTION("""COMPUTED_VALUE"""),"2023-05-03-10201SP1677-01")</f>
        <v>2023-05-03-10201SP1677-01</v>
      </c>
      <c r="G3989" s="164" t="str">
        <f ca="1">IFERROR(__xludf.DUMMYFUNCTION("""COMPUTED_VALUE"""),"1S11T5S16200GM04160H")</f>
        <v>1S11T5S16200GM04160H</v>
      </c>
      <c r="H3989" s="164" t="str">
        <f ca="1">IFERROR(__xludf.DUMMYFUNCTION("""COMPUTED_VALUE"""),"MICHELLE G. BONA")</f>
        <v>MICHELLE G. BONA</v>
      </c>
      <c r="I3989" s="164" t="str">
        <f ca="1">IFERROR(__xludf.DUMMYFUNCTION("""COMPUTED_VALUE"""),"PROPERTY CUSTODIAN")</f>
        <v>PROPERTY CUSTODIAN</v>
      </c>
      <c r="J3989" s="164" t="str">
        <f ca="1">IFERROR(__xludf.DUMMYFUNCTION("""COMPUTED_VALUE"""),"102-2023-05-010")</f>
        <v>102-2023-05-010</v>
      </c>
      <c r="K3989" s="164" t="str">
        <f ca="1">IFERROR(__xludf.DUMMYFUNCTION("""COMPUTED_VALUE"""),"GINA ESCALA")</f>
        <v>GINA ESCALA</v>
      </c>
      <c r="L3989" s="164" t="str">
        <f ca="1">IFERROR(__xludf.DUMMYFUNCTION("""COMPUTED_VALUE"""),"DARPO-STOD")</f>
        <v>DARPO-STOD</v>
      </c>
      <c r="M3989" s="164" t="str">
        <f ca="1">IFERROR(__xludf.DUMMYFUNCTION("""COMPUTED_VALUE"""),"SERVICEABLE")</f>
        <v>SERVICEABLE</v>
      </c>
      <c r="N3989" s="164"/>
    </row>
    <row r="3990" spans="1:14" ht="13.2" hidden="1">
      <c r="A3990" s="164" t="str">
        <f ca="1">IFERROR(__xludf.DUMMYFUNCTION("""COMPUTED_VALUE"""),"REGION XII")</f>
        <v>REGION XII</v>
      </c>
      <c r="B3990" s="164" t="str">
        <f ca="1">IFERROR(__xludf.DUMMYFUNCTION("""COMPUTED_VALUE"""),"COTABATO")</f>
        <v>COTABATO</v>
      </c>
      <c r="C3990" s="164" t="str">
        <f ca="1">IFERROR(__xludf.DUMMYFUNCTION("""COMPUTED_VALUE"""),"Desktop Computer – (Lenovo M70T)")</f>
        <v>Desktop Computer – (Lenovo M70T)</v>
      </c>
      <c r="D3990" s="164" t="str">
        <f ca="1">IFERROR(__xludf.DUMMYFUNCTION("""COMPUTED_VALUE"""),"₱ 75,468.00")</f>
        <v>₱ 75,468.00</v>
      </c>
      <c r="E3990" s="164" t="str">
        <f ca="1">IFERROR(__xludf.DUMMYFUNCTION("""COMPUTED_VALUE"""),"₱ -")</f>
        <v>₱ -</v>
      </c>
      <c r="F3990" s="164" t="str">
        <f ca="1">IFERROR(__xludf.DUMMYFUNCTION("""COMPUTED_VALUE"""),"2023-05-03-10201SP1678-01")</f>
        <v>2023-05-03-10201SP1678-01</v>
      </c>
      <c r="G3990" s="164" t="str">
        <f ca="1">IFERROR(__xludf.DUMMYFUNCTION("""COMPUTED_VALUE"""),"1S11T5S16200GM041B06")</f>
        <v>1S11T5S16200GM041B06</v>
      </c>
      <c r="H3990" s="164" t="str">
        <f ca="1">IFERROR(__xludf.DUMMYFUNCTION("""COMPUTED_VALUE"""),"MAYCHEL RIVERA")</f>
        <v>MAYCHEL RIVERA</v>
      </c>
      <c r="I3990" s="164" t="str">
        <f ca="1">IFERROR(__xludf.DUMMYFUNCTION("""COMPUTED_VALUE"""),"ARPT")</f>
        <v>ARPT</v>
      </c>
      <c r="J3990" s="164" t="str">
        <f ca="1">IFERROR(__xludf.DUMMYFUNCTION("""COMPUTED_VALUE"""),"102-2023-05-011")</f>
        <v>102-2023-05-011</v>
      </c>
      <c r="K3990" s="164" t="str">
        <f ca="1">IFERROR(__xludf.DUMMYFUNCTION("""COMPUTED_VALUE"""),"LELANIE L. CARUGDA")</f>
        <v>LELANIE L. CARUGDA</v>
      </c>
      <c r="L3990" s="164" t="str">
        <f ca="1">IFERROR(__xludf.DUMMYFUNCTION("""COMPUTED_VALUE"""),"DARPO-MAGPET")</f>
        <v>DARPO-MAGPET</v>
      </c>
      <c r="M3990" s="164" t="str">
        <f ca="1">IFERROR(__xludf.DUMMYFUNCTION("""COMPUTED_VALUE"""),"SERVICEABLE")</f>
        <v>SERVICEABLE</v>
      </c>
      <c r="N3990" s="164"/>
    </row>
    <row r="3991" spans="1:14" ht="13.2" hidden="1">
      <c r="A3991" s="164" t="str">
        <f ca="1">IFERROR(__xludf.DUMMYFUNCTION("""COMPUTED_VALUE"""),"REGION XII")</f>
        <v>REGION XII</v>
      </c>
      <c r="B3991" s="164" t="str">
        <f ca="1">IFERROR(__xludf.DUMMYFUNCTION("""COMPUTED_VALUE"""),"COTABATO")</f>
        <v>COTABATO</v>
      </c>
      <c r="C3991" s="164" t="str">
        <f ca="1">IFERROR(__xludf.DUMMYFUNCTION("""COMPUTED_VALUE"""),"Desktop Computer – (Lenovo M70T)")</f>
        <v>Desktop Computer – (Lenovo M70T)</v>
      </c>
      <c r="D3991" s="164" t="str">
        <f ca="1">IFERROR(__xludf.DUMMYFUNCTION("""COMPUTED_VALUE"""),"₱ 75,468.00")</f>
        <v>₱ 75,468.00</v>
      </c>
      <c r="E3991" s="164" t="str">
        <f ca="1">IFERROR(__xludf.DUMMYFUNCTION("""COMPUTED_VALUE"""),"₱ -")</f>
        <v>₱ -</v>
      </c>
      <c r="F3991" s="164" t="str">
        <f ca="1">IFERROR(__xludf.DUMMYFUNCTION("""COMPUTED_VALUE"""),"2023-05-03-10201SP1679-01")</f>
        <v>2023-05-03-10201SP1679-01</v>
      </c>
      <c r="G3991" s="164" t="str">
        <f ca="1">IFERROR(__xludf.DUMMYFUNCTION("""COMPUTED_VALUE"""),"1S11T5S16200GM041AWK")</f>
        <v>1S11T5S16200GM041AWK</v>
      </c>
      <c r="H3991" s="164" t="str">
        <f ca="1">IFERROR(__xludf.DUMMYFUNCTION("""COMPUTED_VALUE"""),"IAN SIDNEY M. BELVIS")</f>
        <v>IAN SIDNEY M. BELVIS</v>
      </c>
      <c r="I3991" s="164" t="str">
        <f ca="1">IFERROR(__xludf.DUMMYFUNCTION("""COMPUTED_VALUE"""),"ARPT")</f>
        <v>ARPT</v>
      </c>
      <c r="J3991" s="164" t="str">
        <f ca="1">IFERROR(__xludf.DUMMYFUNCTION("""COMPUTED_VALUE"""),"102-2023-05-001")</f>
        <v>102-2023-05-001</v>
      </c>
      <c r="K3991" s="164" t="str">
        <f ca="1">IFERROR(__xludf.DUMMYFUNCTION("""COMPUTED_VALUE"""),"FELIPA CABRERA")</f>
        <v>FELIPA CABRERA</v>
      </c>
      <c r="L3991" s="164" t="str">
        <f ca="1">IFERROR(__xludf.DUMMYFUNCTION("""COMPUTED_VALUE"""),"DARPO-LIBUNGAN")</f>
        <v>DARPO-LIBUNGAN</v>
      </c>
      <c r="M3991" s="164" t="str">
        <f ca="1">IFERROR(__xludf.DUMMYFUNCTION("""COMPUTED_VALUE"""),"SERVICEABLE")</f>
        <v>SERVICEABLE</v>
      </c>
      <c r="N3991" s="164"/>
    </row>
    <row r="3992" spans="1:14" ht="13.2" hidden="1">
      <c r="A3992" s="164" t="str">
        <f ca="1">IFERROR(__xludf.DUMMYFUNCTION("""COMPUTED_VALUE"""),"REGION XII")</f>
        <v>REGION XII</v>
      </c>
      <c r="B3992" s="164" t="str">
        <f ca="1">IFERROR(__xludf.DUMMYFUNCTION("""COMPUTED_VALUE"""),"COTABATO")</f>
        <v>COTABATO</v>
      </c>
      <c r="C3992" s="164" t="str">
        <f ca="1">IFERROR(__xludf.DUMMYFUNCTION("""COMPUTED_VALUE"""),"Desktop Computer – (Lenovo M70T)")</f>
        <v>Desktop Computer – (Lenovo M70T)</v>
      </c>
      <c r="D3992" s="164" t="str">
        <f ca="1">IFERROR(__xludf.DUMMYFUNCTION("""COMPUTED_VALUE"""),"₱ 75,468.00")</f>
        <v>₱ 75,468.00</v>
      </c>
      <c r="E3992" s="164" t="str">
        <f ca="1">IFERROR(__xludf.DUMMYFUNCTION("""COMPUTED_VALUE"""),"₱ -")</f>
        <v>₱ -</v>
      </c>
      <c r="F3992" s="164" t="str">
        <f ca="1">IFERROR(__xludf.DUMMYFUNCTION("""COMPUTED_VALUE"""),"2023-05-03-10201SP1681-01")</f>
        <v>2023-05-03-10201SP1681-01</v>
      </c>
      <c r="G3992" s="164" t="str">
        <f ca="1">IFERROR(__xludf.DUMMYFUNCTION("""COMPUTED_VALUE"""),"1S11T5S16200GM041B2D")</f>
        <v>1S11T5S16200GM041B2D</v>
      </c>
      <c r="H3992" s="164" t="str">
        <f ca="1">IFERROR(__xludf.DUMMYFUNCTION("""COMPUTED_VALUE"""),"LIEZEL PALENCIA")</f>
        <v>LIEZEL PALENCIA</v>
      </c>
      <c r="I3992" s="164" t="str">
        <f ca="1">IFERROR(__xludf.DUMMYFUNCTION("""COMPUTED_VALUE"""),"MARPO")</f>
        <v>MARPO</v>
      </c>
      <c r="J3992" s="164" t="str">
        <f ca="1">IFERROR(__xludf.DUMMYFUNCTION("""COMPUTED_VALUE"""),"102-2023-05-014")</f>
        <v>102-2023-05-014</v>
      </c>
      <c r="K3992" s="164" t="str">
        <f ca="1">IFERROR(__xludf.DUMMYFUNCTION("""COMPUTED_VALUE"""),"LIEZEL PALENCIA")</f>
        <v>LIEZEL PALENCIA</v>
      </c>
      <c r="L3992" s="164" t="str">
        <f ca="1">IFERROR(__xludf.DUMMYFUNCTION("""COMPUTED_VALUE"""),"DARMO-MAKILALA")</f>
        <v>DARMO-MAKILALA</v>
      </c>
      <c r="M3992" s="164" t="str">
        <f ca="1">IFERROR(__xludf.DUMMYFUNCTION("""COMPUTED_VALUE"""),"SERVICEABLE")</f>
        <v>SERVICEABLE</v>
      </c>
      <c r="N3992" s="164"/>
    </row>
    <row r="3993" spans="1:14" ht="13.2" hidden="1">
      <c r="A3993" s="164" t="str">
        <f ca="1">IFERROR(__xludf.DUMMYFUNCTION("""COMPUTED_VALUE"""),"REGION XII")</f>
        <v>REGION XII</v>
      </c>
      <c r="B3993" s="164" t="str">
        <f ca="1">IFERROR(__xludf.DUMMYFUNCTION("""COMPUTED_VALUE"""),"COTABATO")</f>
        <v>COTABATO</v>
      </c>
      <c r="C3993" s="164" t="str">
        <f ca="1">IFERROR(__xludf.DUMMYFUNCTION("""COMPUTED_VALUE"""),"Desktop Computer – (Lenovo M70T)")</f>
        <v>Desktop Computer – (Lenovo M70T)</v>
      </c>
      <c r="D3993" s="164" t="str">
        <f ca="1">IFERROR(__xludf.DUMMYFUNCTION("""COMPUTED_VALUE"""),"₱ 75,468.00")</f>
        <v>₱ 75,468.00</v>
      </c>
      <c r="E3993" s="164" t="str">
        <f ca="1">IFERROR(__xludf.DUMMYFUNCTION("""COMPUTED_VALUE"""),"₱ -")</f>
        <v>₱ -</v>
      </c>
      <c r="F3993" s="164" t="str">
        <f ca="1">IFERROR(__xludf.DUMMYFUNCTION("""COMPUTED_VALUE"""),"2023-05-03-10201SP1683-01")</f>
        <v>2023-05-03-10201SP1683-01</v>
      </c>
      <c r="G3993" s="164" t="str">
        <f ca="1">IFERROR(__xludf.DUMMYFUNCTION("""COMPUTED_VALUE"""),"1S11T5S16200GM041B0K")</f>
        <v>1S11T5S16200GM041B0K</v>
      </c>
      <c r="H3993" s="164" t="str">
        <f ca="1">IFERROR(__xludf.DUMMYFUNCTION("""COMPUTED_VALUE"""),"LEA ANN CIMPRON")</f>
        <v>LEA ANN CIMPRON</v>
      </c>
      <c r="I3993" s="164" t="str">
        <f ca="1">IFERROR(__xludf.DUMMYFUNCTION("""COMPUTED_VALUE"""),"SARPT")</f>
        <v>SARPT</v>
      </c>
      <c r="J3993" s="164" t="str">
        <f ca="1">IFERROR(__xludf.DUMMYFUNCTION("""COMPUTED_VALUE"""),"102-2023-05-016")</f>
        <v>102-2023-05-016</v>
      </c>
      <c r="K3993" s="164" t="str">
        <f ca="1">IFERROR(__xludf.DUMMYFUNCTION("""COMPUTED_VALUE"""),"JULIE GARCIA")</f>
        <v>JULIE GARCIA</v>
      </c>
      <c r="L3993" s="164" t="str">
        <f ca="1">IFERROR(__xludf.DUMMYFUNCTION("""COMPUTED_VALUE"""),"DARPO-LTID")</f>
        <v>DARPO-LTID</v>
      </c>
      <c r="M3993" s="164" t="str">
        <f ca="1">IFERROR(__xludf.DUMMYFUNCTION("""COMPUTED_VALUE"""),"SERVICEABLE")</f>
        <v>SERVICEABLE</v>
      </c>
      <c r="N3993" s="164"/>
    </row>
    <row r="3994" spans="1:14" ht="13.2" hidden="1">
      <c r="A3994" s="164" t="str">
        <f ca="1">IFERROR(__xludf.DUMMYFUNCTION("""COMPUTED_VALUE"""),"REGION XII")</f>
        <v>REGION XII</v>
      </c>
      <c r="B3994" s="164" t="str">
        <f ca="1">IFERROR(__xludf.DUMMYFUNCTION("""COMPUTED_VALUE"""),"COTABATO")</f>
        <v>COTABATO</v>
      </c>
      <c r="C3994" s="164" t="str">
        <f ca="1">IFERROR(__xludf.DUMMYFUNCTION("""COMPUTED_VALUE"""),"Desktop Computer – (Lenovo M70T)")</f>
        <v>Desktop Computer – (Lenovo M70T)</v>
      </c>
      <c r="D3994" s="164" t="str">
        <f ca="1">IFERROR(__xludf.DUMMYFUNCTION("""COMPUTED_VALUE"""),"₱ 75,468.00")</f>
        <v>₱ 75,468.00</v>
      </c>
      <c r="E3994" s="164" t="str">
        <f ca="1">IFERROR(__xludf.DUMMYFUNCTION("""COMPUTED_VALUE"""),"₱ -")</f>
        <v>₱ -</v>
      </c>
      <c r="F3994" s="164" t="str">
        <f ca="1">IFERROR(__xludf.DUMMYFUNCTION("""COMPUTED_VALUE"""),"2023-05-03-10201SP1673-01")</f>
        <v>2023-05-03-10201SP1673-01</v>
      </c>
      <c r="G3994" s="164" t="str">
        <f ca="1">IFERROR(__xludf.DUMMYFUNCTION("""COMPUTED_VALUE"""),"1S11T5S16200GM0415VN")</f>
        <v>1S11T5S16200GM0415VN</v>
      </c>
      <c r="H3994" s="164" t="str">
        <f ca="1">IFERROR(__xludf.DUMMYFUNCTION("""COMPUTED_VALUE"""),"FE BARELA")</f>
        <v>FE BARELA</v>
      </c>
      <c r="I3994" s="164" t="str">
        <f ca="1">IFERROR(__xludf.DUMMYFUNCTION("""COMPUTED_VALUE"""),"ARPO II")</f>
        <v>ARPO II</v>
      </c>
      <c r="J3994" s="164" t="str">
        <f ca="1">IFERROR(__xludf.DUMMYFUNCTION("""COMPUTED_VALUE"""),"102-2023-05-017")</f>
        <v>102-2023-05-017</v>
      </c>
      <c r="K3994" s="164" t="str">
        <f ca="1">IFERROR(__xludf.DUMMYFUNCTION("""COMPUTED_VALUE"""),"ENGR. JONARD SERRA")</f>
        <v>ENGR. JONARD SERRA</v>
      </c>
      <c r="L3994" s="164" t="str">
        <f ca="1">IFERROR(__xludf.DUMMYFUNCTION("""COMPUTED_VALUE"""),"DARMO-MATALAM")</f>
        <v>DARMO-MATALAM</v>
      </c>
      <c r="M3994" s="164" t="str">
        <f ca="1">IFERROR(__xludf.DUMMYFUNCTION("""COMPUTED_VALUE"""),"SERVICEABLE")</f>
        <v>SERVICEABLE</v>
      </c>
      <c r="N3994" s="164"/>
    </row>
    <row r="3995" spans="1:14" ht="13.2" hidden="1">
      <c r="A3995" s="164" t="str">
        <f ca="1">IFERROR(__xludf.DUMMYFUNCTION("""COMPUTED_VALUE"""),"REGION XII")</f>
        <v>REGION XII</v>
      </c>
      <c r="B3995" s="164" t="str">
        <f ca="1">IFERROR(__xludf.DUMMYFUNCTION("""COMPUTED_VALUE"""),"COTABATO")</f>
        <v>COTABATO</v>
      </c>
      <c r="C3995" s="164" t="str">
        <f ca="1">IFERROR(__xludf.DUMMYFUNCTION("""COMPUTED_VALUE"""),"Desktop Computer – (Lenovo M70T)")</f>
        <v>Desktop Computer – (Lenovo M70T)</v>
      </c>
      <c r="D3995" s="164" t="str">
        <f ca="1">IFERROR(__xludf.DUMMYFUNCTION("""COMPUTED_VALUE"""),"₱ 75,468.00")</f>
        <v>₱ 75,468.00</v>
      </c>
      <c r="E3995" s="164" t="str">
        <f ca="1">IFERROR(__xludf.DUMMYFUNCTION("""COMPUTED_VALUE"""),"₱ -")</f>
        <v>₱ -</v>
      </c>
      <c r="F3995" s="164" t="str">
        <f ca="1">IFERROR(__xludf.DUMMYFUNCTION("""COMPUTED_VALUE"""),"2023-05-03-10201SP1682-01")</f>
        <v>2023-05-03-10201SP1682-01</v>
      </c>
      <c r="G3995" s="164" t="str">
        <f ca="1">IFERROR(__xludf.DUMMYFUNCTION("""COMPUTED_VALUE"""),"1S11T5S16200GM0415RP")</f>
        <v>1S11T5S16200GM0415RP</v>
      </c>
      <c r="H3995" s="164" t="str">
        <f ca="1">IFERROR(__xludf.DUMMYFUNCTION("""COMPUTED_VALUE"""),"EMILY T. BELO")</f>
        <v>EMILY T. BELO</v>
      </c>
      <c r="I3995" s="164" t="str">
        <f ca="1">IFERROR(__xludf.DUMMYFUNCTION("""COMPUTED_VALUE"""),"ARPT")</f>
        <v>ARPT</v>
      </c>
      <c r="J3995" s="164" t="str">
        <f ca="1">IFERROR(__xludf.DUMMYFUNCTION("""COMPUTED_VALUE"""),"102-2023-05-019")</f>
        <v>102-2023-05-019</v>
      </c>
      <c r="K3995" s="164" t="str">
        <f ca="1">IFERROR(__xludf.DUMMYFUNCTION("""COMPUTED_VALUE"""),"EMILY T. BELO")</f>
        <v>EMILY T. BELO</v>
      </c>
      <c r="L3995" s="164" t="str">
        <f ca="1">IFERROR(__xludf.DUMMYFUNCTION("""COMPUTED_VALUE"""),"DARPO-STOD")</f>
        <v>DARPO-STOD</v>
      </c>
      <c r="M3995" s="164" t="str">
        <f ca="1">IFERROR(__xludf.DUMMYFUNCTION("""COMPUTED_VALUE"""),"SERVICEABLE")</f>
        <v>SERVICEABLE</v>
      </c>
      <c r="N3995" s="164"/>
    </row>
    <row r="3996" spans="1:14" ht="13.2" hidden="1">
      <c r="A3996" s="164" t="str">
        <f ca="1">IFERROR(__xludf.DUMMYFUNCTION("""COMPUTED_VALUE"""),"REGION XII")</f>
        <v>REGION XII</v>
      </c>
      <c r="B3996" s="164" t="str">
        <f ca="1">IFERROR(__xludf.DUMMYFUNCTION("""COMPUTED_VALUE"""),"COTABATO")</f>
        <v>COTABATO</v>
      </c>
      <c r="C3996" s="164" t="str">
        <f ca="1">IFERROR(__xludf.DUMMYFUNCTION("""COMPUTED_VALUE"""),"Desktop Computer – (Lenovo M70T)")</f>
        <v>Desktop Computer – (Lenovo M70T)</v>
      </c>
      <c r="D3996" s="164" t="str">
        <f ca="1">IFERROR(__xludf.DUMMYFUNCTION("""COMPUTED_VALUE"""),"₱ 75,468.00")</f>
        <v>₱ 75,468.00</v>
      </c>
      <c r="E3996" s="164" t="str">
        <f ca="1">IFERROR(__xludf.DUMMYFUNCTION("""COMPUTED_VALUE"""),"₱ -")</f>
        <v>₱ -</v>
      </c>
      <c r="F3996" s="164" t="str">
        <f ca="1">IFERROR(__xludf.DUMMYFUNCTION("""COMPUTED_VALUE"""),"2023-05-03-10201SP1680-01")</f>
        <v>2023-05-03-10201SP1680-01</v>
      </c>
      <c r="G3996" s="164" t="str">
        <f ca="1">IFERROR(__xludf.DUMMYFUNCTION("""COMPUTED_VALUE"""),"1S11T5S16200GM0418LG")</f>
        <v>1S11T5S16200GM0418LG</v>
      </c>
      <c r="H3996" s="164" t="str">
        <f ca="1">IFERROR(__xludf.DUMMYFUNCTION("""COMPUTED_VALUE"""),"MARY ROSE D. CASERES")</f>
        <v>MARY ROSE D. CASERES</v>
      </c>
      <c r="I3996" s="164" t="str">
        <f ca="1">IFERROR(__xludf.DUMMYFUNCTION("""COMPUTED_VALUE"""),"ARPO I")</f>
        <v>ARPO I</v>
      </c>
      <c r="J3996" s="164" t="str">
        <f ca="1">IFERROR(__xludf.DUMMYFUNCTION("""COMPUTED_VALUE"""),"102-2023-05-021")</f>
        <v>102-2023-05-021</v>
      </c>
      <c r="K3996" s="164" t="str">
        <f ca="1">IFERROR(__xludf.DUMMYFUNCTION("""COMPUTED_VALUE"""),"MARY ROSE D. CASERES")</f>
        <v>MARY ROSE D. CASERES</v>
      </c>
      <c r="L3996" s="164" t="str">
        <f ca="1">IFERROR(__xludf.DUMMYFUNCTION("""COMPUTED_VALUE"""),"STOD")</f>
        <v>STOD</v>
      </c>
      <c r="M3996" s="164" t="str">
        <f ca="1">IFERROR(__xludf.DUMMYFUNCTION("""COMPUTED_VALUE"""),"SERVICEABLE")</f>
        <v>SERVICEABLE</v>
      </c>
      <c r="N3996" s="164"/>
    </row>
    <row r="3997" spans="1:14" ht="13.2" hidden="1">
      <c r="A3997" s="164" t="str">
        <f ca="1">IFERROR(__xludf.DUMMYFUNCTION("""COMPUTED_VALUE"""),"REGION XII")</f>
        <v>REGION XII</v>
      </c>
      <c r="B3997" s="164" t="str">
        <f ca="1">IFERROR(__xludf.DUMMYFUNCTION("""COMPUTED_VALUE"""),"SOUTH COTABATO")</f>
        <v>SOUTH COTABATO</v>
      </c>
      <c r="C3997" s="164" t="str">
        <f ca="1">IFERROR(__xludf.DUMMYFUNCTION("""COMPUTED_VALUE"""),"Desktop Computer – (Lenovo M70T)")</f>
        <v>Desktop Computer – (Lenovo M70T)</v>
      </c>
      <c r="D3997" s="164" t="str">
        <f ca="1">IFERROR(__xludf.DUMMYFUNCTION("""COMPUTED_VALUE"""),"₱ 75,468.00")</f>
        <v>₱ 75,468.00</v>
      </c>
      <c r="E3997" s="164" t="str">
        <f ca="1">IFERROR(__xludf.DUMMYFUNCTION("""COMPUTED_VALUE"""),"₱ -")</f>
        <v>₱ -</v>
      </c>
      <c r="F3997" s="164" t="str">
        <f ca="1">IFERROR(__xludf.DUMMYFUNCTION("""COMPUTED_VALUE"""),"2023-05-04-1020SP1700-01")</f>
        <v>2023-05-04-1020SP1700-01</v>
      </c>
      <c r="G3997" s="164" t="str">
        <f ca="1">IFERROR(__xludf.DUMMYFUNCTION("""COMPUTED_VALUE"""),"1S11T5S16200GM041B3X")</f>
        <v>1S11T5S16200GM041B3X</v>
      </c>
      <c r="H3997" s="164" t="str">
        <f ca="1">IFERROR(__xludf.DUMMYFUNCTION("""COMPUTED_VALUE"""),"JOSEPH U. RABARA")</f>
        <v>JOSEPH U. RABARA</v>
      </c>
      <c r="I3997" s="164" t="str">
        <f ca="1">IFERROR(__xludf.DUMMYFUNCTION("""COMPUTED_VALUE"""),"ARPT")</f>
        <v>ARPT</v>
      </c>
      <c r="J3997" s="164" t="str">
        <f ca="1">IFERROR(__xludf.DUMMYFUNCTION("""COMPUTED_VALUE"""),"019-23")</f>
        <v>019-23</v>
      </c>
      <c r="K3997" s="164" t="str">
        <f ca="1">IFERROR(__xludf.DUMMYFUNCTION("""COMPUTED_VALUE"""),"JOSEPH U. RABARA")</f>
        <v>JOSEPH U. RABARA</v>
      </c>
      <c r="L3997" s="164" t="str">
        <f ca="1">IFERROR(__xludf.DUMMYFUNCTION("""COMPUTED_VALUE"""),"STOD")</f>
        <v>STOD</v>
      </c>
      <c r="M3997" s="164" t="str">
        <f ca="1">IFERROR(__xludf.DUMMYFUNCTION("""COMPUTED_VALUE"""),"SERVICEABLE")</f>
        <v>SERVICEABLE</v>
      </c>
      <c r="N3997" s="164"/>
    </row>
    <row r="3998" spans="1:14" ht="13.2" hidden="1">
      <c r="A3998" s="164" t="str">
        <f ca="1">IFERROR(__xludf.DUMMYFUNCTION("""COMPUTED_VALUE"""),"REGION XII")</f>
        <v>REGION XII</v>
      </c>
      <c r="B3998" s="164" t="str">
        <f ca="1">IFERROR(__xludf.DUMMYFUNCTION("""COMPUTED_VALUE"""),"SOUTH COTABATO")</f>
        <v>SOUTH COTABATO</v>
      </c>
      <c r="C3998" s="164" t="str">
        <f ca="1">IFERROR(__xludf.DUMMYFUNCTION("""COMPUTED_VALUE"""),"Desktop Computer – (Lenovo M70T)")</f>
        <v>Desktop Computer – (Lenovo M70T)</v>
      </c>
      <c r="D3998" s="164" t="str">
        <f ca="1">IFERROR(__xludf.DUMMYFUNCTION("""COMPUTED_VALUE"""),"₱ 75,468.00")</f>
        <v>₱ 75,468.00</v>
      </c>
      <c r="E3998" s="164" t="str">
        <f ca="1">IFERROR(__xludf.DUMMYFUNCTION("""COMPUTED_VALUE"""),"₱ -")</f>
        <v>₱ -</v>
      </c>
      <c r="F3998" s="164" t="str">
        <f ca="1">IFERROR(__xludf.DUMMYFUNCTION("""COMPUTED_VALUE"""),"2023-05-04-1020SP1701-01")</f>
        <v>2023-05-04-1020SP1701-01</v>
      </c>
      <c r="G3998" s="164" t="str">
        <f ca="1">IFERROR(__xludf.DUMMYFUNCTION("""COMPUTED_VALUE"""),"1S11T5S16200GM0415SX")</f>
        <v>1S11T5S16200GM0415SX</v>
      </c>
      <c r="H3998" s="164" t="str">
        <f ca="1">IFERROR(__xludf.DUMMYFUNCTION("""COMPUTED_VALUE"""),"ANGELES R. BARRETO")</f>
        <v>ANGELES R. BARRETO</v>
      </c>
      <c r="I3998" s="164" t="str">
        <f ca="1">IFERROR(__xludf.DUMMYFUNCTION("""COMPUTED_VALUE"""),"ARPT")</f>
        <v>ARPT</v>
      </c>
      <c r="J3998" s="164" t="str">
        <f ca="1">IFERROR(__xludf.DUMMYFUNCTION("""COMPUTED_VALUE"""),"020-23")</f>
        <v>020-23</v>
      </c>
      <c r="K3998" s="164" t="str">
        <f ca="1">IFERROR(__xludf.DUMMYFUNCTION("""COMPUTED_VALUE"""),"ANGELES R. BARRETO")</f>
        <v>ANGELES R. BARRETO</v>
      </c>
      <c r="L3998" s="164" t="str">
        <f ca="1">IFERROR(__xludf.DUMMYFUNCTION("""COMPUTED_VALUE"""),"STOD")</f>
        <v>STOD</v>
      </c>
      <c r="M3998" s="164" t="str">
        <f ca="1">IFERROR(__xludf.DUMMYFUNCTION("""COMPUTED_VALUE"""),"SERVICEABLE")</f>
        <v>SERVICEABLE</v>
      </c>
      <c r="N3998" s="164"/>
    </row>
    <row r="3999" spans="1:14" ht="13.2" hidden="1">
      <c r="A3999" s="164" t="str">
        <f ca="1">IFERROR(__xludf.DUMMYFUNCTION("""COMPUTED_VALUE"""),"REGION XII")</f>
        <v>REGION XII</v>
      </c>
      <c r="B3999" s="164" t="str">
        <f ca="1">IFERROR(__xludf.DUMMYFUNCTION("""COMPUTED_VALUE"""),"SOUTH COTABATO")</f>
        <v>SOUTH COTABATO</v>
      </c>
      <c r="C3999" s="164" t="str">
        <f ca="1">IFERROR(__xludf.DUMMYFUNCTION("""COMPUTED_VALUE"""),"Desktop Computer – (Lenovo M70T)")</f>
        <v>Desktop Computer – (Lenovo M70T)</v>
      </c>
      <c r="D3999" s="164" t="str">
        <f ca="1">IFERROR(__xludf.DUMMYFUNCTION("""COMPUTED_VALUE"""),"₱ 75,468.00")</f>
        <v>₱ 75,468.00</v>
      </c>
      <c r="E3999" s="164" t="str">
        <f ca="1">IFERROR(__xludf.DUMMYFUNCTION("""COMPUTED_VALUE"""),"₱ -")</f>
        <v>₱ -</v>
      </c>
      <c r="F3999" s="164" t="str">
        <f ca="1">IFERROR(__xludf.DUMMYFUNCTION("""COMPUTED_VALUE"""),"2023-05-04-1020SP1702-01")</f>
        <v>2023-05-04-1020SP1702-01</v>
      </c>
      <c r="G3999" s="164" t="str">
        <f ca="1">IFERROR(__xludf.DUMMYFUNCTION("""COMPUTED_VALUE"""),"1S11T5S16200GM041AWJ")</f>
        <v>1S11T5S16200GM041AWJ</v>
      </c>
      <c r="H3999" s="164" t="str">
        <f ca="1">IFERROR(__xludf.DUMMYFUNCTION("""COMPUTED_VALUE"""),"TRICIA SALVE BELO")</f>
        <v>TRICIA SALVE BELO</v>
      </c>
      <c r="I3999" s="164" t="str">
        <f ca="1">IFERROR(__xludf.DUMMYFUNCTION("""COMPUTED_VALUE"""),"ARPT")</f>
        <v>ARPT</v>
      </c>
      <c r="J3999" s="164" t="str">
        <f ca="1">IFERROR(__xludf.DUMMYFUNCTION("""COMPUTED_VALUE"""),"015-23")</f>
        <v>015-23</v>
      </c>
      <c r="K3999" s="164" t="str">
        <f ca="1">IFERROR(__xludf.DUMMYFUNCTION("""COMPUTED_VALUE"""),"TRICIA SALVE BELO")</f>
        <v>TRICIA SALVE BELO</v>
      </c>
      <c r="L3999" s="164" t="str">
        <f ca="1">IFERROR(__xludf.DUMMYFUNCTION("""COMPUTED_VALUE"""),"STOD")</f>
        <v>STOD</v>
      </c>
      <c r="M3999" s="164" t="str">
        <f ca="1">IFERROR(__xludf.DUMMYFUNCTION("""COMPUTED_VALUE"""),"SERVICEABLE")</f>
        <v>SERVICEABLE</v>
      </c>
      <c r="N3999" s="164"/>
    </row>
    <row r="4000" spans="1:14" ht="13.2" hidden="1">
      <c r="A4000" s="164" t="str">
        <f ca="1">IFERROR(__xludf.DUMMYFUNCTION("""COMPUTED_VALUE"""),"REGION XII")</f>
        <v>REGION XII</v>
      </c>
      <c r="B4000" s="164" t="str">
        <f ca="1">IFERROR(__xludf.DUMMYFUNCTION("""COMPUTED_VALUE"""),"SOUTH COTABATO")</f>
        <v>SOUTH COTABATO</v>
      </c>
      <c r="C4000" s="164" t="str">
        <f ca="1">IFERROR(__xludf.DUMMYFUNCTION("""COMPUTED_VALUE"""),"Desktop Computer – (Lenovo M70T)")</f>
        <v>Desktop Computer – (Lenovo M70T)</v>
      </c>
      <c r="D4000" s="164" t="str">
        <f ca="1">IFERROR(__xludf.DUMMYFUNCTION("""COMPUTED_VALUE"""),"₱ 75,468.00")</f>
        <v>₱ 75,468.00</v>
      </c>
      <c r="E4000" s="164" t="str">
        <f ca="1">IFERROR(__xludf.DUMMYFUNCTION("""COMPUTED_VALUE"""),"₱ -")</f>
        <v>₱ -</v>
      </c>
      <c r="F4000" s="164" t="str">
        <f ca="1">IFERROR(__xludf.DUMMYFUNCTION("""COMPUTED_VALUE"""),"2023-05-04-1020SP1703-01")</f>
        <v>2023-05-04-1020SP1703-01</v>
      </c>
      <c r="G4000" s="164" t="str">
        <f ca="1">IFERROR(__xludf.DUMMYFUNCTION("""COMPUTED_VALUE"""),"1S11T5S16200GM04160P")</f>
        <v>1S11T5S16200GM04160P</v>
      </c>
      <c r="H4000" s="164" t="str">
        <f ca="1">IFERROR(__xludf.DUMMYFUNCTION("""COMPUTED_VALUE"""),"JESSIE OMBID")</f>
        <v>JESSIE OMBID</v>
      </c>
      <c r="I4000" s="164" t="str">
        <f ca="1">IFERROR(__xludf.DUMMYFUNCTION("""COMPUTED_VALUE"""),"ARPT")</f>
        <v>ARPT</v>
      </c>
      <c r="J4000" s="164" t="str">
        <f ca="1">IFERROR(__xludf.DUMMYFUNCTION("""COMPUTED_VALUE"""),"021-23")</f>
        <v>021-23</v>
      </c>
      <c r="K4000" s="164" t="str">
        <f ca="1">IFERROR(__xludf.DUMMYFUNCTION("""COMPUTED_VALUE"""),"JESSIE OMBID")</f>
        <v>JESSIE OMBID</v>
      </c>
      <c r="L4000" s="164" t="str">
        <f ca="1">IFERROR(__xludf.DUMMYFUNCTION("""COMPUTED_VALUE"""),"STOD")</f>
        <v>STOD</v>
      </c>
      <c r="M4000" s="164" t="str">
        <f ca="1">IFERROR(__xludf.DUMMYFUNCTION("""COMPUTED_VALUE"""),"SERVICEABLE")</f>
        <v>SERVICEABLE</v>
      </c>
      <c r="N4000" s="164"/>
    </row>
    <row r="4001" spans="1:14" ht="13.2" hidden="1">
      <c r="A4001" s="164" t="str">
        <f ca="1">IFERROR(__xludf.DUMMYFUNCTION("""COMPUTED_VALUE"""),"REGION XII")</f>
        <v>REGION XII</v>
      </c>
      <c r="B4001" s="164" t="str">
        <f ca="1">IFERROR(__xludf.DUMMYFUNCTION("""COMPUTED_VALUE"""),"SOUTH COTABATO")</f>
        <v>SOUTH COTABATO</v>
      </c>
      <c r="C4001" s="164" t="str">
        <f ca="1">IFERROR(__xludf.DUMMYFUNCTION("""COMPUTED_VALUE"""),"Desktop Computer – (Lenovo M70T)")</f>
        <v>Desktop Computer – (Lenovo M70T)</v>
      </c>
      <c r="D4001" s="164" t="str">
        <f ca="1">IFERROR(__xludf.DUMMYFUNCTION("""COMPUTED_VALUE"""),"₱ 75,468.00")</f>
        <v>₱ 75,468.00</v>
      </c>
      <c r="E4001" s="164" t="str">
        <f ca="1">IFERROR(__xludf.DUMMYFUNCTION("""COMPUTED_VALUE"""),"₱ -")</f>
        <v>₱ -</v>
      </c>
      <c r="F4001" s="164" t="str">
        <f ca="1">IFERROR(__xludf.DUMMYFUNCTION("""COMPUTED_VALUE"""),"2023-05-04-1020SP1704-01")</f>
        <v>2023-05-04-1020SP1704-01</v>
      </c>
      <c r="G4001" s="164" t="str">
        <f ca="1">IFERROR(__xludf.DUMMYFUNCTION("""COMPUTED_VALUE"""),"1S11T5S16200GM0415XZ")</f>
        <v>1S11T5S16200GM0415XZ</v>
      </c>
      <c r="H4001" s="164" t="str">
        <f ca="1">IFERROR(__xludf.DUMMYFUNCTION("""COMPUTED_VALUE"""),"CIELO AMOR M. BELANDRES")</f>
        <v>CIELO AMOR M. BELANDRES</v>
      </c>
      <c r="I4001" s="164" t="str">
        <f ca="1">IFERROR(__xludf.DUMMYFUNCTION("""COMPUTED_VALUE"""),"ARPT")</f>
        <v>ARPT</v>
      </c>
      <c r="J4001" s="164" t="str">
        <f ca="1">IFERROR(__xludf.DUMMYFUNCTION("""COMPUTED_VALUE"""),"022-23")</f>
        <v>022-23</v>
      </c>
      <c r="K4001" s="164" t="str">
        <f ca="1">IFERROR(__xludf.DUMMYFUNCTION("""COMPUTED_VALUE"""),"CIELO AMOR M. BELANDRES")</f>
        <v>CIELO AMOR M. BELANDRES</v>
      </c>
      <c r="L4001" s="164" t="str">
        <f ca="1">IFERROR(__xludf.DUMMYFUNCTION("""COMPUTED_VALUE"""),"STOD")</f>
        <v>STOD</v>
      </c>
      <c r="M4001" s="164" t="str">
        <f ca="1">IFERROR(__xludf.DUMMYFUNCTION("""COMPUTED_VALUE"""),"SERVICEABLE")</f>
        <v>SERVICEABLE</v>
      </c>
      <c r="N4001" s="164"/>
    </row>
    <row r="4002" spans="1:14" ht="13.2" hidden="1">
      <c r="A4002" s="164" t="str">
        <f ca="1">IFERROR(__xludf.DUMMYFUNCTION("""COMPUTED_VALUE"""),"REGION XII")</f>
        <v>REGION XII</v>
      </c>
      <c r="B4002" s="164" t="str">
        <f ca="1">IFERROR(__xludf.DUMMYFUNCTION("""COMPUTED_VALUE"""),"SOUTH COTABATO")</f>
        <v>SOUTH COTABATO</v>
      </c>
      <c r="C4002" s="164" t="str">
        <f ca="1">IFERROR(__xludf.DUMMYFUNCTION("""COMPUTED_VALUE"""),"Desktop Computer – (Lenovo M70T)")</f>
        <v>Desktop Computer – (Lenovo M70T)</v>
      </c>
      <c r="D4002" s="164" t="str">
        <f ca="1">IFERROR(__xludf.DUMMYFUNCTION("""COMPUTED_VALUE"""),"₱ 75,468.00")</f>
        <v>₱ 75,468.00</v>
      </c>
      <c r="E4002" s="164" t="str">
        <f ca="1">IFERROR(__xludf.DUMMYFUNCTION("""COMPUTED_VALUE"""),"₱ -")</f>
        <v>₱ -</v>
      </c>
      <c r="F4002" s="164" t="str">
        <f ca="1">IFERROR(__xludf.DUMMYFUNCTION("""COMPUTED_VALUE"""),"2023-05-04-1020SP1705-01")</f>
        <v>2023-05-04-1020SP1705-01</v>
      </c>
      <c r="G4002" s="164" t="str">
        <f ca="1">IFERROR(__xludf.DUMMYFUNCTION("""COMPUTED_VALUE"""),"1S11T5S16200GM0418F3")</f>
        <v>1S11T5S16200GM0418F3</v>
      </c>
      <c r="H4002" s="164" t="str">
        <f ca="1">IFERROR(__xludf.DUMMYFUNCTION("""COMPUTED_VALUE"""),"FREDERICK PEREYRA")</f>
        <v>FREDERICK PEREYRA</v>
      </c>
      <c r="I4002" s="164" t="str">
        <f ca="1">IFERROR(__xludf.DUMMYFUNCTION("""COMPUTED_VALUE"""),"ARPT")</f>
        <v>ARPT</v>
      </c>
      <c r="J4002" s="164" t="str">
        <f ca="1">IFERROR(__xludf.DUMMYFUNCTION("""COMPUTED_VALUE"""),"023-23")</f>
        <v>023-23</v>
      </c>
      <c r="K4002" s="164" t="str">
        <f ca="1">IFERROR(__xludf.DUMMYFUNCTION("""COMPUTED_VALUE"""),"FREDERICK PEREYRA")</f>
        <v>FREDERICK PEREYRA</v>
      </c>
      <c r="L4002" s="164" t="str">
        <f ca="1">IFERROR(__xludf.DUMMYFUNCTION("""COMPUTED_VALUE"""),"STOD")</f>
        <v>STOD</v>
      </c>
      <c r="M4002" s="164" t="str">
        <f ca="1">IFERROR(__xludf.DUMMYFUNCTION("""COMPUTED_VALUE"""),"SERVICEABLE")</f>
        <v>SERVICEABLE</v>
      </c>
      <c r="N4002" s="164"/>
    </row>
    <row r="4003" spans="1:14" ht="13.2" hidden="1">
      <c r="A4003" s="164" t="str">
        <f ca="1">IFERROR(__xludf.DUMMYFUNCTION("""COMPUTED_VALUE"""),"REGION XII")</f>
        <v>REGION XII</v>
      </c>
      <c r="B4003" s="164" t="str">
        <f ca="1">IFERROR(__xludf.DUMMYFUNCTION("""COMPUTED_VALUE"""),"SOUTH COTABATO")</f>
        <v>SOUTH COTABATO</v>
      </c>
      <c r="C4003" s="164" t="str">
        <f ca="1">IFERROR(__xludf.DUMMYFUNCTION("""COMPUTED_VALUE"""),"Desktop Computer – (Lenovo M70T)")</f>
        <v>Desktop Computer – (Lenovo M70T)</v>
      </c>
      <c r="D4003" s="164" t="str">
        <f ca="1">IFERROR(__xludf.DUMMYFUNCTION("""COMPUTED_VALUE"""),"₱ 75,468.00")</f>
        <v>₱ 75,468.00</v>
      </c>
      <c r="E4003" s="164" t="str">
        <f ca="1">IFERROR(__xludf.DUMMYFUNCTION("""COMPUTED_VALUE"""),"₱ -")</f>
        <v>₱ -</v>
      </c>
      <c r="F4003" s="164" t="str">
        <f ca="1">IFERROR(__xludf.DUMMYFUNCTION("""COMPUTED_VALUE"""),"2023-05-04-1020SP1706-01")</f>
        <v>2023-05-04-1020SP1706-01</v>
      </c>
      <c r="G4003" s="164" t="str">
        <f ca="1">IFERROR(__xludf.DUMMYFUNCTION("""COMPUTED_VALUE"""),"1S11T5S16200GM04160S")</f>
        <v>1S11T5S16200GM04160S</v>
      </c>
      <c r="H4003" s="164" t="str">
        <f ca="1">IFERROR(__xludf.DUMMYFUNCTION("""COMPUTED_VALUE"""),"REYDANN S. DELMO")</f>
        <v>REYDANN S. DELMO</v>
      </c>
      <c r="I4003" s="164" t="str">
        <f ca="1">IFERROR(__xludf.DUMMYFUNCTION("""COMPUTED_VALUE"""),"ARPT")</f>
        <v>ARPT</v>
      </c>
      <c r="J4003" s="164" t="str">
        <f ca="1">IFERROR(__xludf.DUMMYFUNCTION("""COMPUTED_VALUE"""),"024-23")</f>
        <v>024-23</v>
      </c>
      <c r="K4003" s="164" t="str">
        <f ca="1">IFERROR(__xludf.DUMMYFUNCTION("""COMPUTED_VALUE"""),"REYDANN S. DELMO")</f>
        <v>REYDANN S. DELMO</v>
      </c>
      <c r="L4003" s="164" t="str">
        <f ca="1">IFERROR(__xludf.DUMMYFUNCTION("""COMPUTED_VALUE"""),"STOD")</f>
        <v>STOD</v>
      </c>
      <c r="M4003" s="164" t="str">
        <f ca="1">IFERROR(__xludf.DUMMYFUNCTION("""COMPUTED_VALUE"""),"SERVICEABLE")</f>
        <v>SERVICEABLE</v>
      </c>
      <c r="N4003" s="164"/>
    </row>
    <row r="4004" spans="1:14" ht="13.2" hidden="1">
      <c r="A4004" s="164" t="str">
        <f ca="1">IFERROR(__xludf.DUMMYFUNCTION("""COMPUTED_VALUE"""),"REGION XII")</f>
        <v>REGION XII</v>
      </c>
      <c r="B4004" s="164" t="str">
        <f ca="1">IFERROR(__xludf.DUMMYFUNCTION("""COMPUTED_VALUE"""),"SOUTH COTABATO")</f>
        <v>SOUTH COTABATO</v>
      </c>
      <c r="C4004" s="164" t="str">
        <f ca="1">IFERROR(__xludf.DUMMYFUNCTION("""COMPUTED_VALUE"""),"Desktop Computer – (Lenovo M70T)")</f>
        <v>Desktop Computer – (Lenovo M70T)</v>
      </c>
      <c r="D4004" s="164" t="str">
        <f ca="1">IFERROR(__xludf.DUMMYFUNCTION("""COMPUTED_VALUE"""),"₱ 75,468.00")</f>
        <v>₱ 75,468.00</v>
      </c>
      <c r="E4004" s="164" t="str">
        <f ca="1">IFERROR(__xludf.DUMMYFUNCTION("""COMPUTED_VALUE"""),"₱ -")</f>
        <v>₱ -</v>
      </c>
      <c r="F4004" s="164" t="str">
        <f ca="1">IFERROR(__xludf.DUMMYFUNCTION("""COMPUTED_VALUE"""),"2023-05-04-1020SP1707-01")</f>
        <v>2023-05-04-1020SP1707-01</v>
      </c>
      <c r="G4004" s="164" t="str">
        <f ca="1">IFERROR(__xludf.DUMMYFUNCTION("""COMPUTED_VALUE"""),"1S11T5S16200GM041B3P")</f>
        <v>1S11T5S16200GM041B3P</v>
      </c>
      <c r="H4004" s="164" t="str">
        <f ca="1">IFERROR(__xludf.DUMMYFUNCTION("""COMPUTED_VALUE"""),"FE MARGARET I. SOLIS")</f>
        <v>FE MARGARET I. SOLIS</v>
      </c>
      <c r="I4004" s="164" t="str">
        <f ca="1">IFERROR(__xludf.DUMMYFUNCTION("""COMPUTED_VALUE"""),"ARPT")</f>
        <v>ARPT</v>
      </c>
      <c r="J4004" s="164" t="str">
        <f ca="1">IFERROR(__xludf.DUMMYFUNCTION("""COMPUTED_VALUE"""),"025-23")</f>
        <v>025-23</v>
      </c>
      <c r="K4004" s="164" t="str">
        <f ca="1">IFERROR(__xludf.DUMMYFUNCTION("""COMPUTED_VALUE"""),"FE MARGARET I. SOLIS")</f>
        <v>FE MARGARET I. SOLIS</v>
      </c>
      <c r="L4004" s="164" t="str">
        <f ca="1">IFERROR(__xludf.DUMMYFUNCTION("""COMPUTED_VALUE"""),"STOD")</f>
        <v>STOD</v>
      </c>
      <c r="M4004" s="164" t="str">
        <f ca="1">IFERROR(__xludf.DUMMYFUNCTION("""COMPUTED_VALUE"""),"SERVICEABLE")</f>
        <v>SERVICEABLE</v>
      </c>
      <c r="N4004" s="164"/>
    </row>
    <row r="4005" spans="1:14" ht="13.2" hidden="1">
      <c r="A4005" s="164" t="str">
        <f ca="1">IFERROR(__xludf.DUMMYFUNCTION("""COMPUTED_VALUE"""),"REGION XII")</f>
        <v>REGION XII</v>
      </c>
      <c r="B4005" s="164" t="str">
        <f ca="1">IFERROR(__xludf.DUMMYFUNCTION("""COMPUTED_VALUE"""),"SOUTH COTABATO")</f>
        <v>SOUTH COTABATO</v>
      </c>
      <c r="C4005" s="164" t="str">
        <f ca="1">IFERROR(__xludf.DUMMYFUNCTION("""COMPUTED_VALUE"""),"Desktop Computer – (Lenovo M70T)")</f>
        <v>Desktop Computer – (Lenovo M70T)</v>
      </c>
      <c r="D4005" s="164" t="str">
        <f ca="1">IFERROR(__xludf.DUMMYFUNCTION("""COMPUTED_VALUE"""),"₱ 75,468.00")</f>
        <v>₱ 75,468.00</v>
      </c>
      <c r="E4005" s="164" t="str">
        <f ca="1">IFERROR(__xludf.DUMMYFUNCTION("""COMPUTED_VALUE"""),"₱ -")</f>
        <v>₱ -</v>
      </c>
      <c r="F4005" s="164" t="str">
        <f ca="1">IFERROR(__xludf.DUMMYFUNCTION("""COMPUTED_VALUE"""),"2023-05-04-1020SP1708-01")</f>
        <v>2023-05-04-1020SP1708-01</v>
      </c>
      <c r="G4005" s="164" t="str">
        <f ca="1">IFERROR(__xludf.DUMMYFUNCTION("""COMPUTED_VALUE"""),"1S11T5S16200GM041B0D")</f>
        <v>1S11T5S16200GM041B0D</v>
      </c>
      <c r="H4005" s="164" t="str">
        <f ca="1">IFERROR(__xludf.DUMMYFUNCTION("""COMPUTED_VALUE"""),"SHERYL B. BUNDA")</f>
        <v>SHERYL B. BUNDA</v>
      </c>
      <c r="I4005" s="164" t="str">
        <f ca="1">IFERROR(__xludf.DUMMYFUNCTION("""COMPUTED_VALUE"""),"ARPT")</f>
        <v>ARPT</v>
      </c>
      <c r="J4005" s="164" t="str">
        <f ca="1">IFERROR(__xludf.DUMMYFUNCTION("""COMPUTED_VALUE"""),"026-23")</f>
        <v>026-23</v>
      </c>
      <c r="K4005" s="164" t="str">
        <f ca="1">IFERROR(__xludf.DUMMYFUNCTION("""COMPUTED_VALUE"""),"SHERYL B. BUNDA")</f>
        <v>SHERYL B. BUNDA</v>
      </c>
      <c r="L4005" s="164" t="str">
        <f ca="1">IFERROR(__xludf.DUMMYFUNCTION("""COMPUTED_VALUE"""),"STOD")</f>
        <v>STOD</v>
      </c>
      <c r="M4005" s="164" t="str">
        <f ca="1">IFERROR(__xludf.DUMMYFUNCTION("""COMPUTED_VALUE"""),"SERVICEABLE")</f>
        <v>SERVICEABLE</v>
      </c>
      <c r="N4005" s="164"/>
    </row>
    <row r="4006" spans="1:14" ht="13.2" hidden="1">
      <c r="A4006" s="164" t="str">
        <f ca="1">IFERROR(__xludf.DUMMYFUNCTION("""COMPUTED_VALUE"""),"REGION XII")</f>
        <v>REGION XII</v>
      </c>
      <c r="B4006" s="164" t="str">
        <f ca="1">IFERROR(__xludf.DUMMYFUNCTION("""COMPUTED_VALUE"""),"SOUTH COTABATO")</f>
        <v>SOUTH COTABATO</v>
      </c>
      <c r="C4006" s="164" t="str">
        <f ca="1">IFERROR(__xludf.DUMMYFUNCTION("""COMPUTED_VALUE"""),"Desktop Computer – (Lenovo M70T)")</f>
        <v>Desktop Computer – (Lenovo M70T)</v>
      </c>
      <c r="D4006" s="164" t="str">
        <f ca="1">IFERROR(__xludf.DUMMYFUNCTION("""COMPUTED_VALUE"""),"₱ 75,468.00")</f>
        <v>₱ 75,468.00</v>
      </c>
      <c r="E4006" s="164" t="str">
        <f ca="1">IFERROR(__xludf.DUMMYFUNCTION("""COMPUTED_VALUE"""),"₱ -")</f>
        <v>₱ -</v>
      </c>
      <c r="F4006" s="164" t="str">
        <f ca="1">IFERROR(__xludf.DUMMYFUNCTION("""COMPUTED_VALUE"""),"2023-05-04-1020SP1709-01")</f>
        <v>2023-05-04-1020SP1709-01</v>
      </c>
      <c r="G4006" s="164" t="str">
        <f ca="1">IFERROR(__xludf.DUMMYFUNCTION("""COMPUTED_VALUE"""),"1S11T5S16200GM041AYT")</f>
        <v>1S11T5S16200GM041AYT</v>
      </c>
      <c r="H4006" s="164" t="str">
        <f ca="1">IFERROR(__xludf.DUMMYFUNCTION("""COMPUTED_VALUE"""),"JESSIE MAE D. VILLALOBOS")</f>
        <v>JESSIE MAE D. VILLALOBOS</v>
      </c>
      <c r="I4006" s="164" t="str">
        <f ca="1">IFERROR(__xludf.DUMMYFUNCTION("""COMPUTED_VALUE"""),"ARPT")</f>
        <v>ARPT</v>
      </c>
      <c r="J4006" s="164" t="str">
        <f ca="1">IFERROR(__xludf.DUMMYFUNCTION("""COMPUTED_VALUE"""),"027-23")</f>
        <v>027-23</v>
      </c>
      <c r="K4006" s="164" t="str">
        <f ca="1">IFERROR(__xludf.DUMMYFUNCTION("""COMPUTED_VALUE"""),"JESSIE MAE D. VILLALOBOS")</f>
        <v>JESSIE MAE D. VILLALOBOS</v>
      </c>
      <c r="L4006" s="164" t="str">
        <f ca="1">IFERROR(__xludf.DUMMYFUNCTION("""COMPUTED_VALUE"""),"STOD")</f>
        <v>STOD</v>
      </c>
      <c r="M4006" s="164" t="str">
        <f ca="1">IFERROR(__xludf.DUMMYFUNCTION("""COMPUTED_VALUE"""),"SERVICEABLE")</f>
        <v>SERVICEABLE</v>
      </c>
      <c r="N4006" s="164"/>
    </row>
    <row r="4007" spans="1:14" ht="13.2" hidden="1">
      <c r="A4007" s="164" t="str">
        <f ca="1">IFERROR(__xludf.DUMMYFUNCTION("""COMPUTED_VALUE"""),"REGION XII")</f>
        <v>REGION XII</v>
      </c>
      <c r="B4007" s="164" t="str">
        <f ca="1">IFERROR(__xludf.DUMMYFUNCTION("""COMPUTED_VALUE"""),"SOUTH COTABATO")</f>
        <v>SOUTH COTABATO</v>
      </c>
      <c r="C4007" s="164" t="str">
        <f ca="1">IFERROR(__xludf.DUMMYFUNCTION("""COMPUTED_VALUE"""),"Desktop Computer – (Lenovo M70T)")</f>
        <v>Desktop Computer – (Lenovo M70T)</v>
      </c>
      <c r="D4007" s="164" t="str">
        <f ca="1">IFERROR(__xludf.DUMMYFUNCTION("""COMPUTED_VALUE"""),"₱ 75,468.00")</f>
        <v>₱ 75,468.00</v>
      </c>
      <c r="E4007" s="164" t="str">
        <f ca="1">IFERROR(__xludf.DUMMYFUNCTION("""COMPUTED_VALUE"""),"₱ -")</f>
        <v>₱ -</v>
      </c>
      <c r="F4007" s="164" t="str">
        <f ca="1">IFERROR(__xludf.DUMMYFUNCTION("""COMPUTED_VALUE"""),"2023-05-04-1020SP1710-01")</f>
        <v>2023-05-04-1020SP1710-01</v>
      </c>
      <c r="G4007" s="164" t="str">
        <f ca="1">IFERROR(__xludf.DUMMYFUNCTION("""COMPUTED_VALUE"""),"1S11T5S16200GM0418LP")</f>
        <v>1S11T5S16200GM0418LP</v>
      </c>
      <c r="H4007" s="164" t="str">
        <f ca="1">IFERROR(__xludf.DUMMYFUNCTION("""COMPUTED_VALUE"""),"JEAN O. GONEDA")</f>
        <v>JEAN O. GONEDA</v>
      </c>
      <c r="I4007" s="164" t="str">
        <f ca="1">IFERROR(__xludf.DUMMYFUNCTION("""COMPUTED_VALUE"""),"ARPT")</f>
        <v>ARPT</v>
      </c>
      <c r="J4007" s="164" t="str">
        <f ca="1">IFERROR(__xludf.DUMMYFUNCTION("""COMPUTED_VALUE"""),"016-23")</f>
        <v>016-23</v>
      </c>
      <c r="K4007" s="164" t="str">
        <f ca="1">IFERROR(__xludf.DUMMYFUNCTION("""COMPUTED_VALUE"""),"JEAN O. GONEDA")</f>
        <v>JEAN O. GONEDA</v>
      </c>
      <c r="L4007" s="164" t="str">
        <f ca="1">IFERROR(__xludf.DUMMYFUNCTION("""COMPUTED_VALUE"""),"STOD")</f>
        <v>STOD</v>
      </c>
      <c r="M4007" s="164" t="str">
        <f ca="1">IFERROR(__xludf.DUMMYFUNCTION("""COMPUTED_VALUE"""),"SERVICEABLE")</f>
        <v>SERVICEABLE</v>
      </c>
      <c r="N4007" s="164"/>
    </row>
    <row r="4008" spans="1:14" ht="13.2" hidden="1">
      <c r="A4008" s="164" t="str">
        <f ca="1">IFERROR(__xludf.DUMMYFUNCTION("""COMPUTED_VALUE"""),"REGION XII")</f>
        <v>REGION XII</v>
      </c>
      <c r="B4008" s="164" t="str">
        <f ca="1">IFERROR(__xludf.DUMMYFUNCTION("""COMPUTED_VALUE"""),"SOUTH COTABATO")</f>
        <v>SOUTH COTABATO</v>
      </c>
      <c r="C4008" s="164" t="str">
        <f ca="1">IFERROR(__xludf.DUMMYFUNCTION("""COMPUTED_VALUE"""),"Desktop Computer – (Lenovo M70T)")</f>
        <v>Desktop Computer – (Lenovo M70T)</v>
      </c>
      <c r="D4008" s="164" t="str">
        <f ca="1">IFERROR(__xludf.DUMMYFUNCTION("""COMPUTED_VALUE"""),"₱ 75,468.00")</f>
        <v>₱ 75,468.00</v>
      </c>
      <c r="E4008" s="164" t="str">
        <f ca="1">IFERROR(__xludf.DUMMYFUNCTION("""COMPUTED_VALUE"""),"₱ -")</f>
        <v>₱ -</v>
      </c>
      <c r="F4008" s="164" t="str">
        <f ca="1">IFERROR(__xludf.DUMMYFUNCTION("""COMPUTED_VALUE"""),"2023-05-04-1020SP1711-01")</f>
        <v>2023-05-04-1020SP1711-01</v>
      </c>
      <c r="G4008" s="164" t="str">
        <f ca="1">IFERROR(__xludf.DUMMYFUNCTION("""COMPUTED_VALUE"""),"1S11T5S16200GM0418GV")</f>
        <v>1S11T5S16200GM0418GV</v>
      </c>
      <c r="H4008" s="164" t="str">
        <f ca="1">IFERROR(__xludf.DUMMYFUNCTION("""COMPUTED_VALUE"""),"GINA F. GARCIA")</f>
        <v>GINA F. GARCIA</v>
      </c>
      <c r="I4008" s="164" t="str">
        <f ca="1">IFERROR(__xludf.DUMMYFUNCTION("""COMPUTED_VALUE"""),"ARPT")</f>
        <v>ARPT</v>
      </c>
      <c r="J4008" s="164" t="str">
        <f ca="1">IFERROR(__xludf.DUMMYFUNCTION("""COMPUTED_VALUE"""),"028-23")</f>
        <v>028-23</v>
      </c>
      <c r="K4008" s="164" t="str">
        <f ca="1">IFERROR(__xludf.DUMMYFUNCTION("""COMPUTED_VALUE"""),"GINA F. GARCIA")</f>
        <v>GINA F. GARCIA</v>
      </c>
      <c r="L4008" s="164" t="str">
        <f ca="1">IFERROR(__xludf.DUMMYFUNCTION("""COMPUTED_VALUE"""),"STOD")</f>
        <v>STOD</v>
      </c>
      <c r="M4008" s="164" t="str">
        <f ca="1">IFERROR(__xludf.DUMMYFUNCTION("""COMPUTED_VALUE"""),"SERVICEABLE")</f>
        <v>SERVICEABLE</v>
      </c>
      <c r="N4008" s="164"/>
    </row>
    <row r="4009" spans="1:14" ht="13.2" hidden="1">
      <c r="A4009" s="164" t="str">
        <f ca="1">IFERROR(__xludf.DUMMYFUNCTION("""COMPUTED_VALUE"""),"REGION XII")</f>
        <v>REGION XII</v>
      </c>
      <c r="B4009" s="164" t="str">
        <f ca="1">IFERROR(__xludf.DUMMYFUNCTION("""COMPUTED_VALUE"""),"SOUTH COTABATO")</f>
        <v>SOUTH COTABATO</v>
      </c>
      <c r="C4009" s="164" t="str">
        <f ca="1">IFERROR(__xludf.DUMMYFUNCTION("""COMPUTED_VALUE"""),"Desktop Computer – (Lenovo M70T)")</f>
        <v>Desktop Computer – (Lenovo M70T)</v>
      </c>
      <c r="D4009" s="164" t="str">
        <f ca="1">IFERROR(__xludf.DUMMYFUNCTION("""COMPUTED_VALUE"""),"₱ 75,468.00")</f>
        <v>₱ 75,468.00</v>
      </c>
      <c r="E4009" s="164" t="str">
        <f ca="1">IFERROR(__xludf.DUMMYFUNCTION("""COMPUTED_VALUE"""),"₱ -")</f>
        <v>₱ -</v>
      </c>
      <c r="F4009" s="164" t="str">
        <f ca="1">IFERROR(__xludf.DUMMYFUNCTION("""COMPUTED_VALUE"""),"2023-05-04-1020SP1712-01")</f>
        <v>2023-05-04-1020SP1712-01</v>
      </c>
      <c r="G4009" s="164" t="str">
        <f ca="1">IFERROR(__xludf.DUMMYFUNCTION("""COMPUTED_VALUE"""),"1S11T5S16200GM041B57")</f>
        <v>1S11T5S16200GM041B57</v>
      </c>
      <c r="H4009" s="164" t="str">
        <f ca="1">IFERROR(__xludf.DUMMYFUNCTION("""COMPUTED_VALUE"""),"MIRELLE ELECCION")</f>
        <v>MIRELLE ELECCION</v>
      </c>
      <c r="I4009" s="164" t="str">
        <f ca="1">IFERROR(__xludf.DUMMYFUNCTION("""COMPUTED_VALUE"""),"ARPT")</f>
        <v>ARPT</v>
      </c>
      <c r="J4009" s="164" t="str">
        <f ca="1">IFERROR(__xludf.DUMMYFUNCTION("""COMPUTED_VALUE"""),"016-23")</f>
        <v>016-23</v>
      </c>
      <c r="K4009" s="164" t="str">
        <f ca="1">IFERROR(__xludf.DUMMYFUNCTION("""COMPUTED_VALUE"""),"MIRELLE ELECCION")</f>
        <v>MIRELLE ELECCION</v>
      </c>
      <c r="L4009" s="164" t="str">
        <f ca="1">IFERROR(__xludf.DUMMYFUNCTION("""COMPUTED_VALUE"""),"STOD")</f>
        <v>STOD</v>
      </c>
      <c r="M4009" s="164" t="str">
        <f ca="1">IFERROR(__xludf.DUMMYFUNCTION("""COMPUTED_VALUE"""),"SERVICEABLE")</f>
        <v>SERVICEABLE</v>
      </c>
      <c r="N4009" s="164"/>
    </row>
    <row r="4010" spans="1:14" ht="13.2" hidden="1">
      <c r="A4010" s="164" t="str">
        <f ca="1">IFERROR(__xludf.DUMMYFUNCTION("""COMPUTED_VALUE"""),"REGION XII")</f>
        <v>REGION XII</v>
      </c>
      <c r="B4010" s="164" t="str">
        <f ca="1">IFERROR(__xludf.DUMMYFUNCTION("""COMPUTED_VALUE"""),"SOUTH COTABATO")</f>
        <v>SOUTH COTABATO</v>
      </c>
      <c r="C4010" s="164" t="str">
        <f ca="1">IFERROR(__xludf.DUMMYFUNCTION("""COMPUTED_VALUE"""),"Desktop Computer – (Lenovo M70T)")</f>
        <v>Desktop Computer – (Lenovo M70T)</v>
      </c>
      <c r="D4010" s="164" t="str">
        <f ca="1">IFERROR(__xludf.DUMMYFUNCTION("""COMPUTED_VALUE"""),"₱ 75,468.00")</f>
        <v>₱ 75,468.00</v>
      </c>
      <c r="E4010" s="164" t="str">
        <f ca="1">IFERROR(__xludf.DUMMYFUNCTION("""COMPUTED_VALUE"""),"₱ -")</f>
        <v>₱ -</v>
      </c>
      <c r="F4010" s="164" t="str">
        <f ca="1">IFERROR(__xludf.DUMMYFUNCTION("""COMPUTED_VALUE"""),"2023-05-04-1020SP1713-01")</f>
        <v>2023-05-04-1020SP1713-01</v>
      </c>
      <c r="G4010" s="164" t="str">
        <f ca="1">IFERROR(__xludf.DUMMYFUNCTION("""COMPUTED_VALUE"""),"1S11T5S16200GM041AYR")</f>
        <v>1S11T5S16200GM041AYR</v>
      </c>
      <c r="H4010" s="164" t="str">
        <f ca="1">IFERROR(__xludf.DUMMYFUNCTION("""COMPUTED_VALUE"""),"CRISTY ARIBAS")</f>
        <v>CRISTY ARIBAS</v>
      </c>
      <c r="I4010" s="164" t="str">
        <f ca="1">IFERROR(__xludf.DUMMYFUNCTION("""COMPUTED_VALUE"""),"ARPT")</f>
        <v>ARPT</v>
      </c>
      <c r="J4010" s="164" t="str">
        <f ca="1">IFERROR(__xludf.DUMMYFUNCTION("""COMPUTED_VALUE"""),"016-23")</f>
        <v>016-23</v>
      </c>
      <c r="K4010" s="164" t="str">
        <f ca="1">IFERROR(__xludf.DUMMYFUNCTION("""COMPUTED_VALUE"""),"CRISTY ARIBAS")</f>
        <v>CRISTY ARIBAS</v>
      </c>
      <c r="L4010" s="164" t="str">
        <f ca="1">IFERROR(__xludf.DUMMYFUNCTION("""COMPUTED_VALUE"""),"STOD")</f>
        <v>STOD</v>
      </c>
      <c r="M4010" s="164" t="str">
        <f ca="1">IFERROR(__xludf.DUMMYFUNCTION("""COMPUTED_VALUE"""),"SERVICEABLE")</f>
        <v>SERVICEABLE</v>
      </c>
      <c r="N4010" s="164"/>
    </row>
    <row r="4011" spans="1:14" ht="13.2" hidden="1">
      <c r="A4011" s="164" t="str">
        <f ca="1">IFERROR(__xludf.DUMMYFUNCTION("""COMPUTED_VALUE"""),"REGION XII")</f>
        <v>REGION XII</v>
      </c>
      <c r="B4011" s="164" t="str">
        <f ca="1">IFERROR(__xludf.DUMMYFUNCTION("""COMPUTED_VALUE"""),"SOUTH COTABATO")</f>
        <v>SOUTH COTABATO</v>
      </c>
      <c r="C4011" s="164" t="str">
        <f ca="1">IFERROR(__xludf.DUMMYFUNCTION("""COMPUTED_VALUE"""),"Desktop Computer – (Lenovo M70T)")</f>
        <v>Desktop Computer – (Lenovo M70T)</v>
      </c>
      <c r="D4011" s="164" t="str">
        <f ca="1">IFERROR(__xludf.DUMMYFUNCTION("""COMPUTED_VALUE"""),"₱ 75,468.00")</f>
        <v>₱ 75,468.00</v>
      </c>
      <c r="E4011" s="164" t="str">
        <f ca="1">IFERROR(__xludf.DUMMYFUNCTION("""COMPUTED_VALUE"""),"₱ -")</f>
        <v>₱ -</v>
      </c>
      <c r="F4011" s="164" t="str">
        <f ca="1">IFERROR(__xludf.DUMMYFUNCTION("""COMPUTED_VALUE"""),"2023-05-04-1020SP1714-01")</f>
        <v>2023-05-04-1020SP1714-01</v>
      </c>
      <c r="G4011" s="164" t="str">
        <f ca="1">IFERROR(__xludf.DUMMYFUNCTION("""COMPUTED_VALUE"""),"1S11T5S16200GM0415TZ")</f>
        <v>1S11T5S16200GM0415TZ</v>
      </c>
      <c r="H4011" s="164" t="str">
        <f ca="1">IFERROR(__xludf.DUMMYFUNCTION("""COMPUTED_VALUE"""),"ATTY. LELANIE APITONG")</f>
        <v>ATTY. LELANIE APITONG</v>
      </c>
      <c r="I4011" s="164" t="str">
        <f ca="1">IFERROR(__xludf.DUMMYFUNCTION("""COMPUTED_VALUE"""),"ARPT")</f>
        <v>ARPT</v>
      </c>
      <c r="J4011" s="164" t="str">
        <f ca="1">IFERROR(__xludf.DUMMYFUNCTION("""COMPUTED_VALUE"""),"018-23")</f>
        <v>018-23</v>
      </c>
      <c r="K4011" s="164" t="str">
        <f ca="1">IFERROR(__xludf.DUMMYFUNCTION("""COMPUTED_VALUE"""),"ATTY. LELANIE APITONG")</f>
        <v>ATTY. LELANIE APITONG</v>
      </c>
      <c r="L4011" s="164" t="str">
        <f ca="1">IFERROR(__xludf.DUMMYFUNCTION("""COMPUTED_VALUE"""),"STOD")</f>
        <v>STOD</v>
      </c>
      <c r="M4011" s="164" t="str">
        <f ca="1">IFERROR(__xludf.DUMMYFUNCTION("""COMPUTED_VALUE"""),"SERVICEABLE")</f>
        <v>SERVICEABLE</v>
      </c>
      <c r="N4011" s="164"/>
    </row>
    <row r="4012" spans="1:14" ht="13.2" hidden="1">
      <c r="A4012" s="164" t="str">
        <f ca="1">IFERROR(__xludf.DUMMYFUNCTION("""COMPUTED_VALUE"""),"REGION XII")</f>
        <v>REGION XII</v>
      </c>
      <c r="B4012" s="164" t="str">
        <f ca="1">IFERROR(__xludf.DUMMYFUNCTION("""COMPUTED_VALUE"""),"SOUTH COTABATO")</f>
        <v>SOUTH COTABATO</v>
      </c>
      <c r="C4012" s="164" t="str">
        <f ca="1">IFERROR(__xludf.DUMMYFUNCTION("""COMPUTED_VALUE"""),"Desktop Computer – (Lenovo M70T)")</f>
        <v>Desktop Computer – (Lenovo M70T)</v>
      </c>
      <c r="D4012" s="164" t="str">
        <f ca="1">IFERROR(__xludf.DUMMYFUNCTION("""COMPUTED_VALUE"""),"₱ 75,468.00")</f>
        <v>₱ 75,468.00</v>
      </c>
      <c r="E4012" s="164" t="str">
        <f ca="1">IFERROR(__xludf.DUMMYFUNCTION("""COMPUTED_VALUE"""),"₱ -")</f>
        <v>₱ -</v>
      </c>
      <c r="F4012" s="164" t="str">
        <f ca="1">IFERROR(__xludf.DUMMYFUNCTION("""COMPUTED_VALUE"""),"2023-05-04-1020SP1715-01")</f>
        <v>2023-05-04-1020SP1715-01</v>
      </c>
      <c r="G4012" s="164" t="str">
        <f ca="1">IFERROR(__xludf.DUMMYFUNCTION("""COMPUTED_VALUE"""),"1S11T5S16200GM0415WP")</f>
        <v>1S11T5S16200GM0415WP</v>
      </c>
      <c r="H4012" s="164" t="str">
        <f ca="1">IFERROR(__xludf.DUMMYFUNCTION("""COMPUTED_VALUE"""),"LORNA GARDE")</f>
        <v>LORNA GARDE</v>
      </c>
      <c r="I4012" s="164" t="str">
        <f ca="1">IFERROR(__xludf.DUMMYFUNCTION("""COMPUTED_VALUE"""),"ARPT")</f>
        <v>ARPT</v>
      </c>
      <c r="J4012" s="164" t="str">
        <f ca="1">IFERROR(__xludf.DUMMYFUNCTION("""COMPUTED_VALUE"""),"017-23")</f>
        <v>017-23</v>
      </c>
      <c r="K4012" s="164" t="str">
        <f ca="1">IFERROR(__xludf.DUMMYFUNCTION("""COMPUTED_VALUE"""),"LORNA GARDE")</f>
        <v>LORNA GARDE</v>
      </c>
      <c r="L4012" s="164" t="str">
        <f ca="1">IFERROR(__xludf.DUMMYFUNCTION("""COMPUTED_VALUE"""),"STOD")</f>
        <v>STOD</v>
      </c>
      <c r="M4012" s="164" t="str">
        <f ca="1">IFERROR(__xludf.DUMMYFUNCTION("""COMPUTED_VALUE"""),"SERVICEABLE")</f>
        <v>SERVICEABLE</v>
      </c>
      <c r="N4012" s="164"/>
    </row>
    <row r="4013" spans="1:14" ht="13.2" hidden="1">
      <c r="A4013" s="164" t="str">
        <f ca="1">IFERROR(__xludf.DUMMYFUNCTION("""COMPUTED_VALUE"""),"REGION XII")</f>
        <v>REGION XII</v>
      </c>
      <c r="B4013" s="164" t="str">
        <f ca="1">IFERROR(__xludf.DUMMYFUNCTION("""COMPUTED_VALUE"""),"DARRO")</f>
        <v>DARRO</v>
      </c>
      <c r="C4013" s="164" t="str">
        <f ca="1">IFERROR(__xludf.DUMMYFUNCTION("""COMPUTED_VALUE"""),"Desktop Computer – (Lenovo M70T)")</f>
        <v>Desktop Computer – (Lenovo M70T)</v>
      </c>
      <c r="D4013" s="164" t="str">
        <f ca="1">IFERROR(__xludf.DUMMYFUNCTION("""COMPUTED_VALUE"""),"₱ 75,468.00")</f>
        <v>₱ 75,468.00</v>
      </c>
      <c r="E4013" s="164" t="str">
        <f ca="1">IFERROR(__xludf.DUMMYFUNCTION("""COMPUTED_VALUE"""),"₱ -")</f>
        <v>₱ -</v>
      </c>
      <c r="F4013" s="164" t="str">
        <f ca="1">IFERROR(__xludf.DUMMYFUNCTION("""COMPUTED_VALUE"""),"2023-05-03-10201SP1660-01")</f>
        <v>2023-05-03-10201SP1660-01</v>
      </c>
      <c r="G4013" s="164" t="str">
        <f ca="1">IFERROR(__xludf.DUMMYFUNCTION("""COMPUTED_VALUE"""),"1S11T5S16200GM0415SZ")</f>
        <v>1S11T5S16200GM0415SZ</v>
      </c>
      <c r="H4013" s="164" t="str">
        <f ca="1">IFERROR(__xludf.DUMMYFUNCTION("""COMPUTED_VALUE"""),"ANISHA OMAR, MPA")</f>
        <v>ANISHA OMAR, MPA</v>
      </c>
      <c r="I4013" s="164" t="str">
        <f ca="1">IFERROR(__xludf.DUMMYFUNCTION("""COMPUTED_VALUE"""),"SUPPLY OFFICER II")</f>
        <v>SUPPLY OFFICER II</v>
      </c>
      <c r="J4013" s="164" t="str">
        <f ca="1">IFERROR(__xludf.DUMMYFUNCTION("""COMPUTED_VALUE"""),"SPLIT-2023-0010")</f>
        <v>SPLIT-2023-0010</v>
      </c>
      <c r="K4013" s="164" t="str">
        <f ca="1">IFERROR(__xludf.DUMMYFUNCTION("""COMPUTED_VALUE"""),"ANISHA OMAR, MPA")</f>
        <v>ANISHA OMAR, MPA</v>
      </c>
      <c r="L4013" s="164" t="str">
        <f ca="1">IFERROR(__xludf.DUMMYFUNCTION("""COMPUTED_VALUE"""),"STOD")</f>
        <v>STOD</v>
      </c>
      <c r="M4013" s="164" t="str">
        <f ca="1">IFERROR(__xludf.DUMMYFUNCTION("""COMPUTED_VALUE"""),"SERVICEABLE")</f>
        <v>SERVICEABLE</v>
      </c>
      <c r="N4013" s="164"/>
    </row>
    <row r="4014" spans="1:14" ht="13.2" hidden="1">
      <c r="A4014" s="164" t="str">
        <f ca="1">IFERROR(__xludf.DUMMYFUNCTION("""COMPUTED_VALUE"""),"REGION XII")</f>
        <v>REGION XII</v>
      </c>
      <c r="B4014" s="164" t="str">
        <f ca="1">IFERROR(__xludf.DUMMYFUNCTION("""COMPUTED_VALUE"""),"DARRO")</f>
        <v>DARRO</v>
      </c>
      <c r="C4014" s="164" t="str">
        <f ca="1">IFERROR(__xludf.DUMMYFUNCTION("""COMPUTED_VALUE"""),"Desktop Computer – (Lenovo M70T)")</f>
        <v>Desktop Computer – (Lenovo M70T)</v>
      </c>
      <c r="D4014" s="164" t="str">
        <f ca="1">IFERROR(__xludf.DUMMYFUNCTION("""COMPUTED_VALUE"""),"₱ 75,468.00")</f>
        <v>₱ 75,468.00</v>
      </c>
      <c r="E4014" s="164" t="str">
        <f ca="1">IFERROR(__xludf.DUMMYFUNCTION("""COMPUTED_VALUE"""),"₱ -")</f>
        <v>₱ -</v>
      </c>
      <c r="F4014" s="164" t="str">
        <f ca="1">IFERROR(__xludf.DUMMYFUNCTION("""COMPUTED_VALUE"""),"2023-05-03-10201SP1658-01")</f>
        <v>2023-05-03-10201SP1658-01</v>
      </c>
      <c r="G4014" s="164" t="str">
        <f ca="1">IFERROR(__xludf.DUMMYFUNCTION("""COMPUTED_VALUE"""),"1S11T5S16200GM041AWF")</f>
        <v>1S11T5S16200GM041AWF</v>
      </c>
      <c r="H4014" s="164" t="str">
        <f ca="1">IFERROR(__xludf.DUMMYFUNCTION("""COMPUTED_VALUE"""),"SARAH A. BAZAR")</f>
        <v>SARAH A. BAZAR</v>
      </c>
      <c r="I4014" s="164" t="str">
        <f ca="1">IFERROR(__xludf.DUMMYFUNCTION("""COMPUTED_VALUE"""),"SUPPLY OFFICER II")</f>
        <v>SUPPLY OFFICER II</v>
      </c>
      <c r="J4014" s="164" t="str">
        <f ca="1">IFERROR(__xludf.DUMMYFUNCTION("""COMPUTED_VALUE"""),"SPLIT-2023-002")</f>
        <v>SPLIT-2023-002</v>
      </c>
      <c r="K4014" s="164" t="str">
        <f ca="1">IFERROR(__xludf.DUMMYFUNCTION("""COMPUTED_VALUE"""),"SARAH A. BAZAR")</f>
        <v>SARAH A. BAZAR</v>
      </c>
      <c r="L4014" s="164" t="str">
        <f ca="1">IFERROR(__xludf.DUMMYFUNCTION("""COMPUTED_VALUE"""),"STOD")</f>
        <v>STOD</v>
      </c>
      <c r="M4014" s="164" t="str">
        <f ca="1">IFERROR(__xludf.DUMMYFUNCTION("""COMPUTED_VALUE"""),"SERVICEABLE")</f>
        <v>SERVICEABLE</v>
      </c>
      <c r="N4014" s="164" t="str">
        <f ca="1">IFERROR(__xludf.DUMMYFUNCTION("""COMPUTED_VALUE"""),"Good Condition")</f>
        <v>Good Condition</v>
      </c>
    </row>
    <row r="4015" spans="1:14" ht="13.2" hidden="1">
      <c r="A4015" s="164" t="str">
        <f ca="1">IFERROR(__xludf.DUMMYFUNCTION("""COMPUTED_VALUE"""),"REGION XII")</f>
        <v>REGION XII</v>
      </c>
      <c r="B4015" s="164" t="str">
        <f ca="1">IFERROR(__xludf.DUMMYFUNCTION("""COMPUTED_VALUE"""),"DARRO")</f>
        <v>DARRO</v>
      </c>
      <c r="C4015" s="164" t="str">
        <f ca="1">IFERROR(__xludf.DUMMYFUNCTION("""COMPUTED_VALUE"""),"Desktop Computer – (Lenovo M70T)")</f>
        <v>Desktop Computer – (Lenovo M70T)</v>
      </c>
      <c r="D4015" s="164" t="str">
        <f ca="1">IFERROR(__xludf.DUMMYFUNCTION("""COMPUTED_VALUE"""),"₱ 75,468.00")</f>
        <v>₱ 75,468.00</v>
      </c>
      <c r="E4015" s="164" t="str">
        <f ca="1">IFERROR(__xludf.DUMMYFUNCTION("""COMPUTED_VALUE"""),"₱ -")</f>
        <v>₱ -</v>
      </c>
      <c r="F4015" s="164" t="str">
        <f ca="1">IFERROR(__xludf.DUMMYFUNCTION("""COMPUTED_VALUE"""),"2023-05-03-10201SP1654-01")</f>
        <v>2023-05-03-10201SP1654-01</v>
      </c>
      <c r="G4015" s="164" t="str">
        <f ca="1">IFERROR(__xludf.DUMMYFUNCTION("""COMPUTED_VALUE"""),"1S11T5S16200GM0415SP")</f>
        <v>1S11T5S16200GM0415SP</v>
      </c>
      <c r="H4015" s="164" t="str">
        <f ca="1">IFERROR(__xludf.DUMMYFUNCTION("""COMPUTED_VALUE"""),"MARIA CECILIA R. MACHAN")</f>
        <v>MARIA CECILIA R. MACHAN</v>
      </c>
      <c r="I4015" s="164" t="str">
        <f ca="1">IFERROR(__xludf.DUMMYFUNCTION("""COMPUTED_VALUE"""),"CARPO, PBDD")</f>
        <v>CARPO, PBDD</v>
      </c>
      <c r="J4015" s="164" t="str">
        <f ca="1">IFERROR(__xludf.DUMMYFUNCTION("""COMPUTED_VALUE"""),"SPLIT-2023-005")</f>
        <v>SPLIT-2023-005</v>
      </c>
      <c r="K4015" s="164" t="str">
        <f ca="1">IFERROR(__xludf.DUMMYFUNCTION("""COMPUTED_VALUE"""),"MARIA CECILIA R. MACHAN")</f>
        <v>MARIA CECILIA R. MACHAN</v>
      </c>
      <c r="L4015" s="164" t="str">
        <f ca="1">IFERROR(__xludf.DUMMYFUNCTION("""COMPUTED_VALUE"""),"PBDD OFFICE")</f>
        <v>PBDD OFFICE</v>
      </c>
      <c r="M4015" s="164" t="str">
        <f ca="1">IFERROR(__xludf.DUMMYFUNCTION("""COMPUTED_VALUE"""),"SERVICEABLE")</f>
        <v>SERVICEABLE</v>
      </c>
      <c r="N4015" s="164" t="str">
        <f ca="1">IFERROR(__xludf.DUMMYFUNCTION("""COMPUTED_VALUE"""),"Good Condition")</f>
        <v>Good Condition</v>
      </c>
    </row>
    <row r="4016" spans="1:14" ht="13.2" hidden="1">
      <c r="A4016" s="164" t="str">
        <f ca="1">IFERROR(__xludf.DUMMYFUNCTION("""COMPUTED_VALUE"""),"REGION XII")</f>
        <v>REGION XII</v>
      </c>
      <c r="B4016" s="164" t="str">
        <f ca="1">IFERROR(__xludf.DUMMYFUNCTION("""COMPUTED_VALUE"""),"DARRO")</f>
        <v>DARRO</v>
      </c>
      <c r="C4016" s="164" t="str">
        <f ca="1">IFERROR(__xludf.DUMMYFUNCTION("""COMPUTED_VALUE"""),"Desktop Computer – (Lenovo M70T)")</f>
        <v>Desktop Computer – (Lenovo M70T)</v>
      </c>
      <c r="D4016" s="164" t="str">
        <f ca="1">IFERROR(__xludf.DUMMYFUNCTION("""COMPUTED_VALUE"""),"₱ 75,468.00")</f>
        <v>₱ 75,468.00</v>
      </c>
      <c r="E4016" s="164" t="str">
        <f ca="1">IFERROR(__xludf.DUMMYFUNCTION("""COMPUTED_VALUE"""),"₱ -")</f>
        <v>₱ -</v>
      </c>
      <c r="F4016" s="164" t="str">
        <f ca="1">IFERROR(__xludf.DUMMYFUNCTION("""COMPUTED_VALUE"""),"2023-05-03-10201SP1664-01")</f>
        <v>2023-05-03-10201SP1664-01</v>
      </c>
      <c r="G4016" s="164" t="str">
        <f ca="1">IFERROR(__xludf.DUMMYFUNCTION("""COMPUTED_VALUE"""),"1S11T5S16200GM0418GT")</f>
        <v>1S11T5S16200GM0418GT</v>
      </c>
      <c r="H4016" s="164" t="str">
        <f ca="1">IFERROR(__xludf.DUMMYFUNCTION("""COMPUTED_VALUE"""),"JOVIELYN E. CONDES")</f>
        <v>JOVIELYN E. CONDES</v>
      </c>
      <c r="I4016" s="164" t="str">
        <f ca="1">IFERROR(__xludf.DUMMYFUNCTION("""COMPUTED_VALUE"""),"ARPO I")</f>
        <v>ARPO I</v>
      </c>
      <c r="J4016" s="164" t="str">
        <f ca="1">IFERROR(__xludf.DUMMYFUNCTION("""COMPUTED_VALUE"""),"SPLIT-2023-013")</f>
        <v>SPLIT-2023-013</v>
      </c>
      <c r="K4016" s="164" t="str">
        <f ca="1">IFERROR(__xludf.DUMMYFUNCTION("""COMPUTED_VALUE"""),"JOVIELYN E. CONDES")</f>
        <v>JOVIELYN E. CONDES</v>
      </c>
      <c r="L4016" s="164" t="str">
        <f ca="1">IFERROR(__xludf.DUMMYFUNCTION("""COMPUTED_VALUE"""),"OARDO")</f>
        <v>OARDO</v>
      </c>
      <c r="M4016" s="164" t="str">
        <f ca="1">IFERROR(__xludf.DUMMYFUNCTION("""COMPUTED_VALUE"""),"SERVICEABLE")</f>
        <v>SERVICEABLE</v>
      </c>
      <c r="N4016" s="164"/>
    </row>
    <row r="4017" spans="1:14" ht="13.2" hidden="1">
      <c r="A4017" s="164" t="str">
        <f ca="1">IFERROR(__xludf.DUMMYFUNCTION("""COMPUTED_VALUE"""),"REGION XII")</f>
        <v>REGION XII</v>
      </c>
      <c r="B4017" s="164" t="str">
        <f ca="1">IFERROR(__xludf.DUMMYFUNCTION("""COMPUTED_VALUE"""),"DARRO")</f>
        <v>DARRO</v>
      </c>
      <c r="C4017" s="164" t="str">
        <f ca="1">IFERROR(__xludf.DUMMYFUNCTION("""COMPUTED_VALUE"""),"Desktop Computer – (Lenovo M70T)")</f>
        <v>Desktop Computer – (Lenovo M70T)</v>
      </c>
      <c r="D4017" s="164" t="str">
        <f ca="1">IFERROR(__xludf.DUMMYFUNCTION("""COMPUTED_VALUE"""),"₱ 75,468.00")</f>
        <v>₱ 75,468.00</v>
      </c>
      <c r="E4017" s="164" t="str">
        <f ca="1">IFERROR(__xludf.DUMMYFUNCTION("""COMPUTED_VALUE"""),"₱ -")</f>
        <v>₱ -</v>
      </c>
      <c r="F4017" s="164" t="str">
        <f ca="1">IFERROR(__xludf.DUMMYFUNCTION("""COMPUTED_VALUE"""),"2023-05-03-10201SP1666-01")</f>
        <v>2023-05-03-10201SP1666-01</v>
      </c>
      <c r="G4017" s="164" t="str">
        <f ca="1">IFERROR(__xludf.DUMMYFUNCTION("""COMPUTED_VALUE"""),"1S11T5S16200GM0418EW")</f>
        <v>1S11T5S16200GM0418EW</v>
      </c>
      <c r="H4017" s="164" t="str">
        <f ca="1">IFERROR(__xludf.DUMMYFUNCTION("""COMPUTED_VALUE"""),"KATHLEEN S. PAGAYON")</f>
        <v>KATHLEEN S. PAGAYON</v>
      </c>
      <c r="I4017" s="164" t="str">
        <f ca="1">IFERROR(__xludf.DUMMYFUNCTION("""COMPUTED_VALUE"""),"REGIONAL INFORMATION OFFICER")</f>
        <v>REGIONAL INFORMATION OFFICER</v>
      </c>
      <c r="J4017" s="164" t="str">
        <f ca="1">IFERROR(__xludf.DUMMYFUNCTION("""COMPUTED_VALUE"""),"SPLIT-2023-015")</f>
        <v>SPLIT-2023-015</v>
      </c>
      <c r="K4017" s="164" t="str">
        <f ca="1">IFERROR(__xludf.DUMMYFUNCTION("""COMPUTED_VALUE"""),"PRINCESS SHARIFE LAUBAN")</f>
        <v>PRINCESS SHARIFE LAUBAN</v>
      </c>
      <c r="L4017" s="164" t="str">
        <f ca="1">IFERROR(__xludf.DUMMYFUNCTION("""COMPUTED_VALUE"""),"ORD")</f>
        <v>ORD</v>
      </c>
      <c r="M4017" s="164" t="str">
        <f ca="1">IFERROR(__xludf.DUMMYFUNCTION("""COMPUTED_VALUE"""),"SERVICEABLE")</f>
        <v>SERVICEABLE</v>
      </c>
      <c r="N4017" s="164"/>
    </row>
    <row r="4018" spans="1:14" ht="13.2" hidden="1">
      <c r="A4018" s="164" t="str">
        <f ca="1">IFERROR(__xludf.DUMMYFUNCTION("""COMPUTED_VALUE"""),"REGION XII")</f>
        <v>REGION XII</v>
      </c>
      <c r="B4018" s="164" t="str">
        <f ca="1">IFERROR(__xludf.DUMMYFUNCTION("""COMPUTED_VALUE"""),"DARRO")</f>
        <v>DARRO</v>
      </c>
      <c r="C4018" s="164" t="str">
        <f ca="1">IFERROR(__xludf.DUMMYFUNCTION("""COMPUTED_VALUE"""),"Desktop Computer – (Lenovo M70T)")</f>
        <v>Desktop Computer – (Lenovo M70T)</v>
      </c>
      <c r="D4018" s="164" t="str">
        <f ca="1">IFERROR(__xludf.DUMMYFUNCTION("""COMPUTED_VALUE"""),"₱ 75,468.00")</f>
        <v>₱ 75,468.00</v>
      </c>
      <c r="E4018" s="164" t="str">
        <f ca="1">IFERROR(__xludf.DUMMYFUNCTION("""COMPUTED_VALUE"""),"₱ -")</f>
        <v>₱ -</v>
      </c>
      <c r="F4018" s="164" t="str">
        <f ca="1">IFERROR(__xludf.DUMMYFUNCTION("""COMPUTED_VALUE"""),"2023-05-03-10201SP1657-01")</f>
        <v>2023-05-03-10201SP1657-01</v>
      </c>
      <c r="G4018" s="164" t="str">
        <f ca="1">IFERROR(__xludf.DUMMYFUNCTION("""COMPUTED_VALUE"""),"1S11T5S16200GM0418G9")</f>
        <v>1S11T5S16200GM0418G9</v>
      </c>
      <c r="H4018" s="164" t="str">
        <f ca="1">IFERROR(__xludf.DUMMYFUNCTION("""COMPUTED_VALUE"""),"HONEYKENN MAÑOSA")</f>
        <v>HONEYKENN MAÑOSA</v>
      </c>
      <c r="I4018" s="164" t="str">
        <f ca="1">IFERROR(__xludf.DUMMYFUNCTION("""COMPUTED_VALUE"""),"ADMINISTRATIVE AIDE VI")</f>
        <v>ADMINISTRATIVE AIDE VI</v>
      </c>
      <c r="J4018" s="164" t="str">
        <f ca="1">IFERROR(__xludf.DUMMYFUNCTION("""COMPUTED_VALUE"""),"SPLIT-2023-008")</f>
        <v>SPLIT-2023-008</v>
      </c>
      <c r="K4018" s="164" t="str">
        <f ca="1">IFERROR(__xludf.DUMMYFUNCTION("""COMPUTED_VALUE"""),"ANNALIE VINLUAN")</f>
        <v>ANNALIE VINLUAN</v>
      </c>
      <c r="L4018" s="164" t="str">
        <f ca="1">IFERROR(__xludf.DUMMYFUNCTION("""COMPUTED_VALUE"""),"PERSONNEL SECTION")</f>
        <v>PERSONNEL SECTION</v>
      </c>
      <c r="M4018" s="164" t="str">
        <f ca="1">IFERROR(__xludf.DUMMYFUNCTION("""COMPUTED_VALUE"""),"SERVICEABLE")</f>
        <v>SERVICEABLE</v>
      </c>
      <c r="N4018" s="164"/>
    </row>
    <row r="4019" spans="1:14" ht="13.2" hidden="1">
      <c r="A4019" s="164" t="str">
        <f ca="1">IFERROR(__xludf.DUMMYFUNCTION("""COMPUTED_VALUE"""),"REGION XII")</f>
        <v>REGION XII</v>
      </c>
      <c r="B4019" s="164" t="str">
        <f ca="1">IFERROR(__xludf.DUMMYFUNCTION("""COMPUTED_VALUE"""),"DARRO")</f>
        <v>DARRO</v>
      </c>
      <c r="C4019" s="164" t="str">
        <f ca="1">IFERROR(__xludf.DUMMYFUNCTION("""COMPUTED_VALUE"""),"Desktop Computer – (Lenovo M70T)")</f>
        <v>Desktop Computer – (Lenovo M70T)</v>
      </c>
      <c r="D4019" s="164" t="str">
        <f ca="1">IFERROR(__xludf.DUMMYFUNCTION("""COMPUTED_VALUE"""),"₱ 75,468.00")</f>
        <v>₱ 75,468.00</v>
      </c>
      <c r="E4019" s="164" t="str">
        <f ca="1">IFERROR(__xludf.DUMMYFUNCTION("""COMPUTED_VALUE"""),"₱ -")</f>
        <v>₱ -</v>
      </c>
      <c r="F4019" s="164" t="str">
        <f ca="1">IFERROR(__xludf.DUMMYFUNCTION("""COMPUTED_VALUE"""),"2023-05-03-10201SP1662-01")</f>
        <v>2023-05-03-10201SP1662-01</v>
      </c>
      <c r="G4019" s="164" t="str">
        <f ca="1">IFERROR(__xludf.DUMMYFUNCTION("""COMPUTED_VALUE"""),"1S11T5S16200GM0418J1")</f>
        <v>1S11T5S16200GM0418J1</v>
      </c>
      <c r="H4019" s="164" t="str">
        <f ca="1">IFERROR(__xludf.DUMMYFUNCTION("""COMPUTED_VALUE"""),"CARIMA NATA")</f>
        <v>CARIMA NATA</v>
      </c>
      <c r="I4019" s="164" t="str">
        <f ca="1">IFERROR(__xludf.DUMMYFUNCTION("""COMPUTED_VALUE"""),"ADMINISTRATIVE AIDE VI")</f>
        <v>ADMINISTRATIVE AIDE VI</v>
      </c>
      <c r="J4019" s="164" t="str">
        <f ca="1">IFERROR(__xludf.DUMMYFUNCTION("""COMPUTED_VALUE"""),"SPLIT-2023-011")</f>
        <v>SPLIT-2023-011</v>
      </c>
      <c r="K4019" s="164" t="str">
        <f ca="1">IFERROR(__xludf.DUMMYFUNCTION("""COMPUTED_VALUE"""),"CARIMA NATA")</f>
        <v>CARIMA NATA</v>
      </c>
      <c r="L4019" s="164" t="str">
        <f ca="1">IFERROR(__xludf.DUMMYFUNCTION("""COMPUTED_VALUE"""),"ACCOUNTING SECTION")</f>
        <v>ACCOUNTING SECTION</v>
      </c>
      <c r="M4019" s="164" t="str">
        <f ca="1">IFERROR(__xludf.DUMMYFUNCTION("""COMPUTED_VALUE"""),"SERVICEABLE")</f>
        <v>SERVICEABLE</v>
      </c>
      <c r="N4019" s="164"/>
    </row>
    <row r="4020" spans="1:14" ht="13.2" hidden="1">
      <c r="A4020" s="164" t="str">
        <f ca="1">IFERROR(__xludf.DUMMYFUNCTION("""COMPUTED_VALUE"""),"REGION XII")</f>
        <v>REGION XII</v>
      </c>
      <c r="B4020" s="164" t="str">
        <f ca="1">IFERROR(__xludf.DUMMYFUNCTION("""COMPUTED_VALUE"""),"DARRO")</f>
        <v>DARRO</v>
      </c>
      <c r="C4020" s="164" t="str">
        <f ca="1">IFERROR(__xludf.DUMMYFUNCTION("""COMPUTED_VALUE"""),"Desktop Computer – (Lenovo M70T)")</f>
        <v>Desktop Computer – (Lenovo M70T)</v>
      </c>
      <c r="D4020" s="164" t="str">
        <f ca="1">IFERROR(__xludf.DUMMYFUNCTION("""COMPUTED_VALUE"""),"₱ 75,468.00")</f>
        <v>₱ 75,468.00</v>
      </c>
      <c r="E4020" s="164" t="str">
        <f ca="1">IFERROR(__xludf.DUMMYFUNCTION("""COMPUTED_VALUE"""),"₱ -")</f>
        <v>₱ -</v>
      </c>
      <c r="F4020" s="164" t="str">
        <f ca="1">IFERROR(__xludf.DUMMYFUNCTION("""COMPUTED_VALUE"""),"2023-05-03-10201SP1665-01")</f>
        <v>2023-05-03-10201SP1665-01</v>
      </c>
      <c r="G4020" s="164" t="str">
        <f ca="1">IFERROR(__xludf.DUMMYFUNCTION("""COMPUTED_VALUE"""),"1S11T5S16200GM041AZW")</f>
        <v>1S11T5S16200GM041AZW</v>
      </c>
      <c r="H4020" s="164" t="str">
        <f ca="1">IFERROR(__xludf.DUMMYFUNCTION("""COMPUTED_VALUE"""),"ALIASGHAR A. BAZAR")</f>
        <v>ALIASGHAR A. BAZAR</v>
      </c>
      <c r="I4020" s="164" t="str">
        <f ca="1">IFERROR(__xludf.DUMMYFUNCTION("""COMPUTED_VALUE"""),"BUDGET OFFICER")</f>
        <v>BUDGET OFFICER</v>
      </c>
      <c r="J4020" s="164" t="str">
        <f ca="1">IFERROR(__xludf.DUMMYFUNCTION("""COMPUTED_VALUE"""),"SPLIT-2023-014")</f>
        <v>SPLIT-2023-014</v>
      </c>
      <c r="K4020" s="164" t="str">
        <f ca="1">IFERROR(__xludf.DUMMYFUNCTION("""COMPUTED_VALUE"""),"ALIASGHAR A. BAZAR")</f>
        <v>ALIASGHAR A. BAZAR</v>
      </c>
      <c r="L4020" s="164" t="str">
        <f ca="1">IFERROR(__xludf.DUMMYFUNCTION("""COMPUTED_VALUE"""),"STOD")</f>
        <v>STOD</v>
      </c>
      <c r="M4020" s="164" t="str">
        <f ca="1">IFERROR(__xludf.DUMMYFUNCTION("""COMPUTED_VALUE"""),"SERVICEABLE")</f>
        <v>SERVICEABLE</v>
      </c>
      <c r="N4020" s="164"/>
    </row>
    <row r="4021" spans="1:14" ht="13.2" hidden="1">
      <c r="A4021" s="164" t="str">
        <f ca="1">IFERROR(__xludf.DUMMYFUNCTION("""COMPUTED_VALUE"""),"REGION XII")</f>
        <v>REGION XII</v>
      </c>
      <c r="B4021" s="164" t="str">
        <f ca="1">IFERROR(__xludf.DUMMYFUNCTION("""COMPUTED_VALUE"""),"DARRO")</f>
        <v>DARRO</v>
      </c>
      <c r="C4021" s="164" t="str">
        <f ca="1">IFERROR(__xludf.DUMMYFUNCTION("""COMPUTED_VALUE"""),"Desktop Computer – (Lenovo M70T)")</f>
        <v>Desktop Computer – (Lenovo M70T)</v>
      </c>
      <c r="D4021" s="164" t="str">
        <f ca="1">IFERROR(__xludf.DUMMYFUNCTION("""COMPUTED_VALUE"""),"₱ 75,468.00")</f>
        <v>₱ 75,468.00</v>
      </c>
      <c r="E4021" s="164" t="str">
        <f ca="1">IFERROR(__xludf.DUMMYFUNCTION("""COMPUTED_VALUE"""),"₱ -")</f>
        <v>₱ -</v>
      </c>
      <c r="F4021" s="164" t="str">
        <f ca="1">IFERROR(__xludf.DUMMYFUNCTION("""COMPUTED_VALUE"""),"2023-05-03-10201SP1663-01")</f>
        <v>2023-05-03-10201SP1663-01</v>
      </c>
      <c r="G4021" s="164" t="str">
        <f ca="1">IFERROR(__xludf.DUMMYFUNCTION("""COMPUTED_VALUE"""),"1S11T5S16200GM0418FD")</f>
        <v>1S11T5S16200GM0418FD</v>
      </c>
      <c r="H4021" s="164" t="str">
        <f ca="1">IFERROR(__xludf.DUMMYFUNCTION("""COMPUTED_VALUE"""),"ASHRAFIA ROMANDA")</f>
        <v>ASHRAFIA ROMANDA</v>
      </c>
      <c r="I4021" s="164" t="str">
        <f ca="1">IFERROR(__xludf.DUMMYFUNCTION("""COMPUTED_VALUE"""),"ARPO I")</f>
        <v>ARPO I</v>
      </c>
      <c r="J4021" s="164" t="str">
        <f ca="1">IFERROR(__xludf.DUMMYFUNCTION("""COMPUTED_VALUE"""),"SPLIT-2023-012")</f>
        <v>SPLIT-2023-012</v>
      </c>
      <c r="K4021" s="164" t="str">
        <f ca="1">IFERROR(__xludf.DUMMYFUNCTION("""COMPUTED_VALUE"""),"ASHRAFIA ROMANDA")</f>
        <v>ASHRAFIA ROMANDA</v>
      </c>
      <c r="L4021" s="164" t="str">
        <f ca="1">IFERROR(__xludf.DUMMYFUNCTION("""COMPUTED_VALUE"""),"PERSONNEL SECTION")</f>
        <v>PERSONNEL SECTION</v>
      </c>
      <c r="M4021" s="164" t="str">
        <f ca="1">IFERROR(__xludf.DUMMYFUNCTION("""COMPUTED_VALUE"""),"SERVICEABLE")</f>
        <v>SERVICEABLE</v>
      </c>
      <c r="N4021" s="164"/>
    </row>
    <row r="4022" spans="1:14" ht="13.2" hidden="1">
      <c r="A4022" s="164" t="str">
        <f ca="1">IFERROR(__xludf.DUMMYFUNCTION("""COMPUTED_VALUE"""),"REGION XII")</f>
        <v>REGION XII</v>
      </c>
      <c r="B4022" s="164" t="str">
        <f ca="1">IFERROR(__xludf.DUMMYFUNCTION("""COMPUTED_VALUE"""),"DARRO")</f>
        <v>DARRO</v>
      </c>
      <c r="C4022" s="164" t="str">
        <f ca="1">IFERROR(__xludf.DUMMYFUNCTION("""COMPUTED_VALUE"""),"Desktop Computer – (Lenovo M70T)")</f>
        <v>Desktop Computer – (Lenovo M70T)</v>
      </c>
      <c r="D4022" s="164" t="str">
        <f ca="1">IFERROR(__xludf.DUMMYFUNCTION("""COMPUTED_VALUE"""),"₱ 75,468.00")</f>
        <v>₱ 75,468.00</v>
      </c>
      <c r="E4022" s="164" t="str">
        <f ca="1">IFERROR(__xludf.DUMMYFUNCTION("""COMPUTED_VALUE"""),"₱ -")</f>
        <v>₱ -</v>
      </c>
      <c r="F4022" s="164" t="str">
        <f ca="1">IFERROR(__xludf.DUMMYFUNCTION("""COMPUTED_VALUE"""),"2023-05-03-10201SP1652-01")</f>
        <v>2023-05-03-10201SP1652-01</v>
      </c>
      <c r="G4022" s="164" t="str">
        <f ca="1">IFERROR(__xludf.DUMMYFUNCTION("""COMPUTED_VALUE"""),"1S11T5S16200GM0415X4")</f>
        <v>1S11T5S16200GM0415X4</v>
      </c>
      <c r="H4022" s="164" t="str">
        <f ca="1">IFERROR(__xludf.DUMMYFUNCTION("""COMPUTED_VALUE"""),"AHMAD JOHN M. BAULO")</f>
        <v>AHMAD JOHN M. BAULO</v>
      </c>
      <c r="I4022" s="164" t="str">
        <f ca="1">IFERROR(__xludf.DUMMYFUNCTION("""COMPUTED_VALUE"""),"COMPUTER PROGRAMMER II")</f>
        <v>COMPUTER PROGRAMMER II</v>
      </c>
      <c r="J4022" s="164" t="str">
        <f ca="1">IFERROR(__xludf.DUMMYFUNCTION("""COMPUTED_VALUE"""),"SPLIT-2023-004")</f>
        <v>SPLIT-2023-004</v>
      </c>
      <c r="K4022" s="164" t="str">
        <f ca="1">IFERROR(__xludf.DUMMYFUNCTION("""COMPUTED_VALUE"""),"AHMAD JOHN M. BAULO")</f>
        <v>AHMAD JOHN M. BAULO</v>
      </c>
      <c r="L4022" s="164" t="str">
        <f ca="1">IFERROR(__xludf.DUMMYFUNCTION("""COMPUTED_VALUE"""),"PLANNING SECTION, DARRO XII")</f>
        <v>PLANNING SECTION, DARRO XII</v>
      </c>
      <c r="M4022" s="164" t="str">
        <f ca="1">IFERROR(__xludf.DUMMYFUNCTION("""COMPUTED_VALUE"""),"SERVICEABLE")</f>
        <v>SERVICEABLE</v>
      </c>
      <c r="N4022" s="164"/>
    </row>
    <row r="4023" spans="1:14" ht="13.2" hidden="1">
      <c r="A4023" s="164" t="str">
        <f ca="1">IFERROR(__xludf.DUMMYFUNCTION("""COMPUTED_VALUE"""),"REGION XII")</f>
        <v>REGION XII</v>
      </c>
      <c r="B4023" s="164" t="str">
        <f ca="1">IFERROR(__xludf.DUMMYFUNCTION("""COMPUTED_VALUE"""),"DARRO")</f>
        <v>DARRO</v>
      </c>
      <c r="C4023" s="164" t="str">
        <f ca="1">IFERROR(__xludf.DUMMYFUNCTION("""COMPUTED_VALUE"""),"Desktop Computer – (Lenovo M70T)")</f>
        <v>Desktop Computer – (Lenovo M70T)</v>
      </c>
      <c r="D4023" s="164" t="str">
        <f ca="1">IFERROR(__xludf.DUMMYFUNCTION("""COMPUTED_VALUE"""),"₱ 75,468.00")</f>
        <v>₱ 75,468.00</v>
      </c>
      <c r="E4023" s="164" t="str">
        <f ca="1">IFERROR(__xludf.DUMMYFUNCTION("""COMPUTED_VALUE"""),"₱ -")</f>
        <v>₱ -</v>
      </c>
      <c r="F4023" s="164" t="str">
        <f ca="1">IFERROR(__xludf.DUMMYFUNCTION("""COMPUTED_VALUE"""),"2023-05-03-10201SP1656-01")</f>
        <v>2023-05-03-10201SP1656-01</v>
      </c>
      <c r="G4023" s="164" t="str">
        <f ca="1">IFERROR(__xludf.DUMMYFUNCTION("""COMPUTED_VALUE"""),"1S11T5S16200GM041616")</f>
        <v>1S11T5S16200GM041616</v>
      </c>
      <c r="H4023" s="164" t="str">
        <f ca="1">IFERROR(__xludf.DUMMYFUNCTION("""COMPUTED_VALUE"""),"ABDULLAH M. RASOL")</f>
        <v>ABDULLAH M. RASOL</v>
      </c>
      <c r="I4023" s="164" t="str">
        <f ca="1">IFERROR(__xludf.DUMMYFUNCTION("""COMPUTED_VALUE"""),"SUPPLY OFFICER II")</f>
        <v>SUPPLY OFFICER II</v>
      </c>
      <c r="J4023" s="164" t="str">
        <f ca="1">IFERROR(__xludf.DUMMYFUNCTION("""COMPUTED_VALUE"""),"SPLIT-2023-007")</f>
        <v>SPLIT-2023-007</v>
      </c>
      <c r="K4023" s="164" t="str">
        <f ca="1">IFERROR(__xludf.DUMMYFUNCTION("""COMPUTED_VALUE"""),"ABDULLAH M. RASOL")</f>
        <v>ABDULLAH M. RASOL</v>
      </c>
      <c r="L4023" s="164" t="str">
        <f ca="1">IFERROR(__xludf.DUMMYFUNCTION("""COMPUTED_VALUE"""),"STOD")</f>
        <v>STOD</v>
      </c>
      <c r="M4023" s="164" t="str">
        <f ca="1">IFERROR(__xludf.DUMMYFUNCTION("""COMPUTED_VALUE"""),"SERVICEABLE")</f>
        <v>SERVICEABLE</v>
      </c>
      <c r="N4023" s="164" t="str">
        <f ca="1">IFERROR(__xludf.DUMMYFUNCTION("""COMPUTED_VALUE"""),"printer unserviceable")</f>
        <v>printer unserviceable</v>
      </c>
    </row>
    <row r="4024" spans="1:14" ht="13.2" hidden="1">
      <c r="A4024" s="164" t="str">
        <f ca="1">IFERROR(__xludf.DUMMYFUNCTION("""COMPUTED_VALUE"""),"REGION XII")</f>
        <v>REGION XII</v>
      </c>
      <c r="B4024" s="164" t="str">
        <f ca="1">IFERROR(__xludf.DUMMYFUNCTION("""COMPUTED_VALUE"""),"DARRO")</f>
        <v>DARRO</v>
      </c>
      <c r="C4024" s="164" t="str">
        <f ca="1">IFERROR(__xludf.DUMMYFUNCTION("""COMPUTED_VALUE"""),"Desktop Computer – (Lenovo M70T)")</f>
        <v>Desktop Computer – (Lenovo M70T)</v>
      </c>
      <c r="D4024" s="164" t="str">
        <f ca="1">IFERROR(__xludf.DUMMYFUNCTION("""COMPUTED_VALUE"""),"₱ 75,468.00")</f>
        <v>₱ 75,468.00</v>
      </c>
      <c r="E4024" s="164" t="str">
        <f ca="1">IFERROR(__xludf.DUMMYFUNCTION("""COMPUTED_VALUE"""),"₱ -")</f>
        <v>₱ -</v>
      </c>
      <c r="F4024" s="164" t="str">
        <f ca="1">IFERROR(__xludf.DUMMYFUNCTION("""COMPUTED_VALUE"""),"2023-05-03-10201SP1659-01")</f>
        <v>2023-05-03-10201SP1659-01</v>
      </c>
      <c r="G4024" s="164" t="str">
        <f ca="1">IFERROR(__xludf.DUMMYFUNCTION("""COMPUTED_VALUE"""),"1S11T5S16200GM041B5F")</f>
        <v>1S11T5S16200GM041B5F</v>
      </c>
      <c r="H4024" s="164" t="str">
        <f ca="1">IFERROR(__xludf.DUMMYFUNCTION("""COMPUTED_VALUE"""),"AHMAD JOHN M. BAULO")</f>
        <v>AHMAD JOHN M. BAULO</v>
      </c>
      <c r="I4024" s="164" t="str">
        <f ca="1">IFERROR(__xludf.DUMMYFUNCTION("""COMPUTED_VALUE"""),"COMPUTER PROGRAMMER II")</f>
        <v>COMPUTER PROGRAMMER II</v>
      </c>
      <c r="J4024" s="164" t="str">
        <f ca="1">IFERROR(__xludf.DUMMYFUNCTION("""COMPUTED_VALUE"""),"SPLIT-2023-009")</f>
        <v>SPLIT-2023-009</v>
      </c>
      <c r="K4024" s="164" t="str">
        <f ca="1">IFERROR(__xludf.DUMMYFUNCTION("""COMPUTED_VALUE"""),"AMIN H.H.NAIM")</f>
        <v>AMIN H.H.NAIM</v>
      </c>
      <c r="L4024" s="164" t="str">
        <f ca="1">IFERROR(__xludf.DUMMYFUNCTION("""COMPUTED_VALUE"""),"SPLIT RPMO OFFICE")</f>
        <v>SPLIT RPMO OFFICE</v>
      </c>
      <c r="M4024" s="164" t="str">
        <f ca="1">IFERROR(__xludf.DUMMYFUNCTION("""COMPUTED_VALUE"""),"SERVICEABLE")</f>
        <v>SERVICEABLE</v>
      </c>
      <c r="N4024" s="164"/>
    </row>
    <row r="4025" spans="1:14" ht="13.2" hidden="1">
      <c r="A4025" s="164" t="str">
        <f ca="1">IFERROR(__xludf.DUMMYFUNCTION("""COMPUTED_VALUE"""),"REGION XII")</f>
        <v>REGION XII</v>
      </c>
      <c r="B4025" s="164" t="str">
        <f ca="1">IFERROR(__xludf.DUMMYFUNCTION("""COMPUTED_VALUE"""),"DARRO")</f>
        <v>DARRO</v>
      </c>
      <c r="C4025" s="164" t="str">
        <f ca="1">IFERROR(__xludf.DUMMYFUNCTION("""COMPUTED_VALUE"""),"Desktop Computer – (Lenovo M70T)")</f>
        <v>Desktop Computer – (Lenovo M70T)</v>
      </c>
      <c r="D4025" s="164" t="str">
        <f ca="1">IFERROR(__xludf.DUMMYFUNCTION("""COMPUTED_VALUE"""),"₱ 75,468.00")</f>
        <v>₱ 75,468.00</v>
      </c>
      <c r="E4025" s="164" t="str">
        <f ca="1">IFERROR(__xludf.DUMMYFUNCTION("""COMPUTED_VALUE"""),"₱ -")</f>
        <v>₱ -</v>
      </c>
      <c r="F4025" s="164" t="str">
        <f ca="1">IFERROR(__xludf.DUMMYFUNCTION("""COMPUTED_VALUE"""),"2023-05-03-10201SP1655-01")</f>
        <v>2023-05-03-10201SP1655-01</v>
      </c>
      <c r="G4025" s="164" t="str">
        <f ca="1">IFERROR(__xludf.DUMMYFUNCTION("""COMPUTED_VALUE"""),"1S11T5S16200GM041B2S")</f>
        <v>1S11T5S16200GM041B2S</v>
      </c>
      <c r="H4025" s="164" t="str">
        <f ca="1">IFERROR(__xludf.DUMMYFUNCTION("""COMPUTED_VALUE"""),"ABDULBAYAN M. AKMAD")</f>
        <v>ABDULBAYAN M. AKMAD</v>
      </c>
      <c r="I4025" s="164" t="str">
        <f ca="1">IFERROR(__xludf.DUMMYFUNCTION("""COMPUTED_VALUE"""),"ENGINEER II")</f>
        <v>ENGINEER II</v>
      </c>
      <c r="J4025" s="164" t="str">
        <f ca="1">IFERROR(__xludf.DUMMYFUNCTION("""COMPUTED_VALUE"""),"SPLIT-2023-001")</f>
        <v>SPLIT-2023-001</v>
      </c>
      <c r="K4025" s="164" t="str">
        <f ca="1">IFERROR(__xludf.DUMMYFUNCTION("""COMPUTED_VALUE"""),"CARLOS JR. M. MONTAÑO")</f>
        <v>CARLOS JR. M. MONTAÑO</v>
      </c>
      <c r="L4025" s="164" t="str">
        <f ca="1">IFERROR(__xludf.DUMMYFUNCTION("""COMPUTED_VALUE"""),"SPLIT RPMO OFFICE")</f>
        <v>SPLIT RPMO OFFICE</v>
      </c>
      <c r="M4025" s="164" t="str">
        <f ca="1">IFERROR(__xludf.DUMMYFUNCTION("""COMPUTED_VALUE"""),"SERVICEABLE")</f>
        <v>SERVICEABLE</v>
      </c>
      <c r="N4025" s="164" t="str">
        <f ca="1">IFERROR(__xludf.DUMMYFUNCTION("""COMPUTED_VALUE"""),"printer unserviceable")</f>
        <v>printer unserviceable</v>
      </c>
    </row>
    <row r="4026" spans="1:14" ht="13.2" hidden="1">
      <c r="A4026" s="164" t="str">
        <f ca="1">IFERROR(__xludf.DUMMYFUNCTION("""COMPUTED_VALUE"""),"REGION XII")</f>
        <v>REGION XII</v>
      </c>
      <c r="B4026" s="164" t="str">
        <f ca="1">IFERROR(__xludf.DUMMYFUNCTION("""COMPUTED_VALUE"""),"DARRO")</f>
        <v>DARRO</v>
      </c>
      <c r="C4026" s="164" t="str">
        <f ca="1">IFERROR(__xludf.DUMMYFUNCTION("""COMPUTED_VALUE"""),"Desktop Computer – (Lenovo M70T)")</f>
        <v>Desktop Computer – (Lenovo M70T)</v>
      </c>
      <c r="D4026" s="164" t="str">
        <f ca="1">IFERROR(__xludf.DUMMYFUNCTION("""COMPUTED_VALUE"""),"₱ 75,468.00")</f>
        <v>₱ 75,468.00</v>
      </c>
      <c r="E4026" s="164" t="str">
        <f ca="1">IFERROR(__xludf.DUMMYFUNCTION("""COMPUTED_VALUE"""),"₱ -")</f>
        <v>₱ -</v>
      </c>
      <c r="F4026" s="164" t="str">
        <f ca="1">IFERROR(__xludf.DUMMYFUNCTION("""COMPUTED_VALUE"""),"2023-05-03-10201SP1653-01")</f>
        <v>2023-05-03-10201SP1653-01</v>
      </c>
      <c r="G4026" s="164" t="str">
        <f ca="1">IFERROR(__xludf.DUMMYFUNCTION("""COMPUTED_VALUE"""),"1S11T5S16200GM0415WN")</f>
        <v>1S11T5S16200GM0415WN</v>
      </c>
      <c r="H4026" s="164" t="str">
        <f ca="1">IFERROR(__xludf.DUMMYFUNCTION("""COMPUTED_VALUE"""),"ESTHER GRACE R. ONG")</f>
        <v>ESTHER GRACE R. ONG</v>
      </c>
      <c r="I4026" s="164" t="str">
        <f ca="1">IFERROR(__xludf.DUMMYFUNCTION("""COMPUTED_VALUE"""),"STATISTICIAN II")</f>
        <v>STATISTICIAN II</v>
      </c>
      <c r="J4026" s="164" t="str">
        <f ca="1">IFERROR(__xludf.DUMMYFUNCTION("""COMPUTED_VALUE"""),"SPLIT-2023-003")</f>
        <v>SPLIT-2023-003</v>
      </c>
      <c r="K4026" s="164" t="str">
        <f ca="1">IFERROR(__xludf.DUMMYFUNCTION("""COMPUTED_VALUE"""),"JEHAN L. ALONGAN")</f>
        <v>JEHAN L. ALONGAN</v>
      </c>
      <c r="L4026" s="164" t="str">
        <f ca="1">IFERROR(__xludf.DUMMYFUNCTION("""COMPUTED_VALUE"""),"SPLIT RPMO OFFICE")</f>
        <v>SPLIT RPMO OFFICE</v>
      </c>
      <c r="M4026" s="164" t="str">
        <f ca="1">IFERROR(__xludf.DUMMYFUNCTION("""COMPUTED_VALUE"""),"SERVICEABLE")</f>
        <v>SERVICEABLE</v>
      </c>
      <c r="N4026" s="164"/>
    </row>
    <row r="4027" spans="1:14" ht="13.2" hidden="1">
      <c r="A4027" s="164" t="str">
        <f ca="1">IFERROR(__xludf.DUMMYFUNCTION("""COMPUTED_VALUE"""),"REGION XII")</f>
        <v>REGION XII</v>
      </c>
      <c r="B4027" s="164" t="str">
        <f ca="1">IFERROR(__xludf.DUMMYFUNCTION("""COMPUTED_VALUE"""),"DARRO")</f>
        <v>DARRO</v>
      </c>
      <c r="C4027" s="164" t="str">
        <f ca="1">IFERROR(__xludf.DUMMYFUNCTION("""COMPUTED_VALUE"""),"Desktop Computer – (Lenovo M70T)")</f>
        <v>Desktop Computer – (Lenovo M70T)</v>
      </c>
      <c r="D4027" s="164" t="str">
        <f ca="1">IFERROR(__xludf.DUMMYFUNCTION("""COMPUTED_VALUE"""),"₱ 75,468.00")</f>
        <v>₱ 75,468.00</v>
      </c>
      <c r="E4027" s="164" t="str">
        <f ca="1">IFERROR(__xludf.DUMMYFUNCTION("""COMPUTED_VALUE"""),"₱ -")</f>
        <v>₱ -</v>
      </c>
      <c r="F4027" s="164" t="str">
        <f ca="1">IFERROR(__xludf.DUMMYFUNCTION("""COMPUTED_VALUE"""),"2023-05-03-10201SP1661-01")</f>
        <v>2023-05-03-10201SP1661-01</v>
      </c>
      <c r="G4027" s="164" t="str">
        <f ca="1">IFERROR(__xludf.DUMMYFUNCTION("""COMPUTED_VALUE"""),"1S11T5S16200GM0418HZ")</f>
        <v>1S11T5S16200GM0418HZ</v>
      </c>
      <c r="H4027" s="164" t="str">
        <f ca="1">IFERROR(__xludf.DUMMYFUNCTION("""COMPUTED_VALUE"""),"BRYAN JOHN T. VICTORIANO")</f>
        <v>BRYAN JOHN T. VICTORIANO</v>
      </c>
      <c r="I4027" s="164" t="str">
        <f ca="1">IFERROR(__xludf.DUMMYFUNCTION("""COMPUTED_VALUE"""),"SUPPLY OFFICER II")</f>
        <v>SUPPLY OFFICER II</v>
      </c>
      <c r="J4027" s="164" t="str">
        <f ca="1">IFERROR(__xludf.DUMMYFUNCTION("""COMPUTED_VALUE"""),"SPLIT-2023-001")</f>
        <v>SPLIT-2023-001</v>
      </c>
      <c r="K4027" s="164" t="str">
        <f ca="1">IFERROR(__xludf.DUMMYFUNCTION("""COMPUTED_VALUE"""),"BRYAN JOHN T. VICTORIANO")</f>
        <v>BRYAN JOHN T. VICTORIANO</v>
      </c>
      <c r="L4027" s="164" t="str">
        <f ca="1">IFERROR(__xludf.DUMMYFUNCTION("""COMPUTED_VALUE"""),"STOD")</f>
        <v>STOD</v>
      </c>
      <c r="M4027" s="164" t="str">
        <f ca="1">IFERROR(__xludf.DUMMYFUNCTION("""COMPUTED_VALUE"""),"SERVICEABLE")</f>
        <v>SERVICEABLE</v>
      </c>
      <c r="N4027" s="164"/>
    </row>
    <row r="4028" spans="1:14" ht="13.2" hidden="1">
      <c r="A4028" s="164" t="str">
        <f ca="1">IFERROR(__xludf.DUMMYFUNCTION("""COMPUTED_VALUE"""),"REGION XII")</f>
        <v>REGION XII</v>
      </c>
      <c r="B4028" s="164" t="str">
        <f ca="1">IFERROR(__xludf.DUMMYFUNCTION("""COMPUTED_VALUE"""),"DARRO")</f>
        <v>DARRO</v>
      </c>
      <c r="C4028" s="164" t="str">
        <f ca="1">IFERROR(__xludf.DUMMYFUNCTION("""COMPUTED_VALUE"""),"Desktop Computer – (Lenovo M70T)")</f>
        <v>Desktop Computer – (Lenovo M70T)</v>
      </c>
      <c r="D4028" s="164" t="str">
        <f ca="1">IFERROR(__xludf.DUMMYFUNCTION("""COMPUTED_VALUE"""),"₱ 75,468.00")</f>
        <v>₱ 75,468.00</v>
      </c>
      <c r="E4028" s="164" t="str">
        <f ca="1">IFERROR(__xludf.DUMMYFUNCTION("""COMPUTED_VALUE"""),"₱ -")</f>
        <v>₱ -</v>
      </c>
      <c r="F4028" s="164" t="str">
        <f ca="1">IFERROR(__xludf.DUMMYFUNCTION("""COMPUTED_VALUE"""),"2023-05-03-10201SP1667-01")</f>
        <v>2023-05-03-10201SP1667-01</v>
      </c>
      <c r="G4028" s="164" t="str">
        <f ca="1">IFERROR(__xludf.DUMMYFUNCTION("""COMPUTED_VALUE"""),"1S11T5S16200GM0418HZ")</f>
        <v>1S11T5S16200GM0418HZ</v>
      </c>
      <c r="H4028" s="164" t="str">
        <f ca="1">IFERROR(__xludf.DUMMYFUNCTION("""COMPUTED_VALUE"""),"AMIN H.H.NAIM")</f>
        <v>AMIN H.H.NAIM</v>
      </c>
      <c r="I4028" s="164" t="str">
        <f ca="1">IFERROR(__xludf.DUMMYFUNCTION("""COMPUTED_VALUE"""),"COMPUTER PROGRAMMER II")</f>
        <v>COMPUTER PROGRAMMER II</v>
      </c>
      <c r="J4028" s="164" t="str">
        <f ca="1">IFERROR(__xludf.DUMMYFUNCTION("""COMPUTED_VALUE"""),"SPLIT-2023-009")</f>
        <v>SPLIT-2023-009</v>
      </c>
      <c r="K4028" s="164" t="str">
        <f ca="1">IFERROR(__xludf.DUMMYFUNCTION("""COMPUTED_VALUE"""),"AMIN H.H.NAIM")</f>
        <v>AMIN H.H.NAIM</v>
      </c>
      <c r="L4028" s="164" t="str">
        <f ca="1">IFERROR(__xludf.DUMMYFUNCTION("""COMPUTED_VALUE"""),"SPLIT RPMO OFFICE")</f>
        <v>SPLIT RPMO OFFICE</v>
      </c>
      <c r="M4028" s="164" t="str">
        <f ca="1">IFERROR(__xludf.DUMMYFUNCTION("""COMPUTED_VALUE"""),"SERVICEABLE")</f>
        <v>SERVICEABLE</v>
      </c>
      <c r="N4028" s="164"/>
    </row>
    <row r="4029" spans="1:14" ht="13.2" hidden="1">
      <c r="A4029" s="164" t="str">
        <f ca="1">IFERROR(__xludf.DUMMYFUNCTION("""COMPUTED_VALUE"""),"REGION XII")</f>
        <v>REGION XII</v>
      </c>
      <c r="B4029" s="164" t="str">
        <f ca="1">IFERROR(__xludf.DUMMYFUNCTION("""COMPUTED_VALUE"""),"DARRO")</f>
        <v>DARRO</v>
      </c>
      <c r="C4029" s="164" t="str">
        <f ca="1">IFERROR(__xludf.DUMMYFUNCTION("""COMPUTED_VALUE"""),"PLOTTER (3IN1)")</f>
        <v>PLOTTER (3IN1)</v>
      </c>
      <c r="D4029" s="164" t="str">
        <f ca="1">IFERROR(__xludf.DUMMYFUNCTION("""COMPUTED_VALUE"""),"₱ 49,300.00")</f>
        <v>₱ 49,300.00</v>
      </c>
      <c r="E4029" s="164" t="str">
        <f ca="1">IFERROR(__xludf.DUMMYFUNCTION("""COMPUTED_VALUE"""),"₱ -")</f>
        <v>₱ -</v>
      </c>
      <c r="F4029" s="164" t="str">
        <f ca="1">IFERROR(__xludf.DUMMYFUNCTION("""COMPUTED_VALUE"""),"2024-05-13-10204SP15-O1")</f>
        <v>2024-05-13-10204SP15-O1</v>
      </c>
      <c r="G4029" s="164"/>
      <c r="H4029" s="164" t="str">
        <f ca="1">IFERROR(__xludf.DUMMYFUNCTION("""COMPUTED_VALUE"""),"ENGR. JONATHAN Y. DEDICATORIA")</f>
        <v>ENGR. JONATHAN Y. DEDICATORIA</v>
      </c>
      <c r="I4029" s="164" t="str">
        <f ca="1">IFERROR(__xludf.DUMMYFUNCTION("""COMPUTED_VALUE"""),"ENGINEER III")</f>
        <v>ENGINEER III</v>
      </c>
      <c r="J4029" s="164" t="str">
        <f ca="1">IFERROR(__xludf.DUMMYFUNCTION("""COMPUTED_VALUE"""),"TBD")</f>
        <v>TBD</v>
      </c>
      <c r="K4029" s="164" t="str">
        <f ca="1">IFERROR(__xludf.DUMMYFUNCTION("""COMPUTED_VALUE"""),"ENGR. JONATHAN Y. DEDICATORIA")</f>
        <v>ENGR. JONATHAN Y. DEDICATORIA</v>
      </c>
      <c r="L4029" s="164" t="str">
        <f ca="1">IFERROR(__xludf.DUMMYFUNCTION("""COMPUTED_VALUE"""),"LTID OFFICE")</f>
        <v>LTID OFFICE</v>
      </c>
      <c r="M4029" s="164" t="str">
        <f ca="1">IFERROR(__xludf.DUMMYFUNCTION("""COMPUTED_VALUE"""),"SERVICEABLE")</f>
        <v>SERVICEABLE</v>
      </c>
      <c r="N4029" s="164"/>
    </row>
    <row r="4030" spans="1:14" ht="13.2" hidden="1">
      <c r="A4030" s="164" t="str">
        <f ca="1">IFERROR(__xludf.DUMMYFUNCTION("""COMPUTED_VALUE"""),"REGION XII")</f>
        <v>REGION XII</v>
      </c>
      <c r="B4030" s="164" t="str">
        <f ca="1">IFERROR(__xludf.DUMMYFUNCTION("""COMPUTED_VALUE"""),"DARRO")</f>
        <v>DARRO</v>
      </c>
      <c r="C4030" s="164" t="str">
        <f ca="1">IFERROR(__xludf.DUMMYFUNCTION("""COMPUTED_VALUE"""),"A3 PRINTER (BROTHER)")</f>
        <v>A3 PRINTER (BROTHER)</v>
      </c>
      <c r="D4030" s="164" t="str">
        <f ca="1">IFERROR(__xludf.DUMMYFUNCTION("""COMPUTED_VALUE"""),"₱ 33,508.00")</f>
        <v>₱ 33,508.00</v>
      </c>
      <c r="E4030" s="164" t="str">
        <f ca="1">IFERROR(__xludf.DUMMYFUNCTION("""COMPUTED_VALUE"""),"₱ -")</f>
        <v>₱ -</v>
      </c>
      <c r="F4030" s="164" t="str">
        <f ca="1">IFERROR(__xludf.DUMMYFUNCTION("""COMPUTED_VALUE"""),"HV-SPLIT-102-24-05-42
 HV-SPLIT-102-24-05-04-38")</f>
        <v>HV-SPLIT-102-24-05-42
 HV-SPLIT-102-24-05-04-38</v>
      </c>
      <c r="G4030" s="164"/>
      <c r="H4030" s="164" t="str">
        <f ca="1">IFERROR(__xludf.DUMMYFUNCTION("""COMPUTED_VALUE"""),"BRYAN JOHN T. VICTORIANO")</f>
        <v>BRYAN JOHN T. VICTORIANO</v>
      </c>
      <c r="I4030" s="164" t="str">
        <f ca="1">IFERROR(__xludf.DUMMYFUNCTION("""COMPUTED_VALUE"""),"PLANNING OFFICER")</f>
        <v>PLANNING OFFICER</v>
      </c>
      <c r="J4030" s="164" t="str">
        <f ca="1">IFERROR(__xludf.DUMMYFUNCTION("""COMPUTED_VALUE"""),"2024-03-006")</f>
        <v>2024-03-006</v>
      </c>
      <c r="K4030" s="164"/>
      <c r="L4030" s="164" t="str">
        <f ca="1">IFERROR(__xludf.DUMMYFUNCTION("""COMPUTED_VALUE"""),"DARPO XII")</f>
        <v>DARPO XII</v>
      </c>
      <c r="M4030" s="164" t="str">
        <f ca="1">IFERROR(__xludf.DUMMYFUNCTION("""COMPUTED_VALUE"""),"SERVICEABLE")</f>
        <v>SERVICEABLE</v>
      </c>
      <c r="N4030" s="164"/>
    </row>
    <row r="4031" spans="1:14" ht="13.2" hidden="1">
      <c r="A4031" s="164" t="str">
        <f ca="1">IFERROR(__xludf.DUMMYFUNCTION("""COMPUTED_VALUE"""),"REGION XII")</f>
        <v>REGION XII</v>
      </c>
      <c r="B4031" s="164" t="str">
        <f ca="1">IFERROR(__xludf.DUMMYFUNCTION("""COMPUTED_VALUE"""),"DARRO")</f>
        <v>DARRO</v>
      </c>
      <c r="C4031" s="164" t="str">
        <f ca="1">IFERROR(__xludf.DUMMYFUNCTION("""COMPUTED_VALUE"""),"ACER TRAVELMATE")</f>
        <v>ACER TRAVELMATE</v>
      </c>
      <c r="D4031" s="164" t="str">
        <f ca="1">IFERROR(__xludf.DUMMYFUNCTION("""COMPUTED_VALUE"""),"₱ 46,580.00")</f>
        <v>₱ 46,580.00</v>
      </c>
      <c r="E4031" s="164" t="str">
        <f ca="1">IFERROR(__xludf.DUMMYFUNCTION("""COMPUTED_VALUE"""),"₱ -")</f>
        <v>₱ -</v>
      </c>
      <c r="F4031" s="164" t="str">
        <f ca="1">IFERROR(__xludf.DUMMYFUNCTION("""COMPUTED_VALUE"""),"2024-05-03-10202SP-318-01")</f>
        <v>2024-05-03-10202SP-318-01</v>
      </c>
      <c r="G4031" s="164" t="str">
        <f ca="1">IFERROR(__xludf.DUMMYFUNCTION("""COMPUTED_VALUE"""),"NXVXKSP0034193BDO07600")</f>
        <v>NXVXKSP0034193BDO07600</v>
      </c>
      <c r="H4031" s="164" t="str">
        <f ca="1">IFERROR(__xludf.DUMMYFUNCTION("""COMPUTED_VALUE"""),"JEHAN L. ALONGAN")</f>
        <v>JEHAN L. ALONGAN</v>
      </c>
      <c r="I4031" s="164" t="str">
        <f ca="1">IFERROR(__xludf.DUMMYFUNCTION("""COMPUTED_VALUE"""),"ESS SPECIALIST")</f>
        <v>ESS SPECIALIST</v>
      </c>
      <c r="J4031" s="164"/>
      <c r="K4031" s="164" t="str">
        <f ca="1">IFERROR(__xludf.DUMMYFUNCTION("""COMPUTED_VALUE"""),"JEHAN L. ALONGAN")</f>
        <v>JEHAN L. ALONGAN</v>
      </c>
      <c r="L4031" s="164" t="str">
        <f ca="1">IFERROR(__xludf.DUMMYFUNCTION("""COMPUTED_VALUE"""),"STOD")</f>
        <v>STOD</v>
      </c>
      <c r="M4031" s="164" t="str">
        <f ca="1">IFERROR(__xludf.DUMMYFUNCTION("""COMPUTED_VALUE"""),"SERVICEABLE")</f>
        <v>SERVICEABLE</v>
      </c>
      <c r="N4031" s="164"/>
    </row>
    <row r="4032" spans="1:14" ht="13.2" hidden="1">
      <c r="A4032" s="164" t="str">
        <f ca="1">IFERROR(__xludf.DUMMYFUNCTION("""COMPUTED_VALUE"""),"REGION XII")</f>
        <v>REGION XII</v>
      </c>
      <c r="B4032" s="164" t="str">
        <f ca="1">IFERROR(__xludf.DUMMYFUNCTION("""COMPUTED_VALUE"""),"DARRO")</f>
        <v>DARRO</v>
      </c>
      <c r="C4032" s="164" t="str">
        <f ca="1">IFERROR(__xludf.DUMMYFUNCTION("""COMPUTED_VALUE"""),"ACER TRAVELMATE")</f>
        <v>ACER TRAVELMATE</v>
      </c>
      <c r="D4032" s="164" t="str">
        <f ca="1">IFERROR(__xludf.DUMMYFUNCTION("""COMPUTED_VALUE"""),"₱ 46,580.00")</f>
        <v>₱ 46,580.00</v>
      </c>
      <c r="E4032" s="164" t="str">
        <f ca="1">IFERROR(__xludf.DUMMYFUNCTION("""COMPUTED_VALUE"""),"₱ -")</f>
        <v>₱ -</v>
      </c>
      <c r="F4032" s="164" t="str">
        <f ca="1">IFERROR(__xludf.DUMMYFUNCTION("""COMPUTED_VALUE"""),"2024-05-03-10202SP-257-01")</f>
        <v>2024-05-03-10202SP-257-01</v>
      </c>
      <c r="G4032" s="164"/>
      <c r="H4032" s="164" t="str">
        <f ca="1">IFERROR(__xludf.DUMMYFUNCTION("""COMPUTED_VALUE"""),"EVA JOY SILVINO")</f>
        <v>EVA JOY SILVINO</v>
      </c>
      <c r="I4032" s="164" t="str">
        <f ca="1">IFERROR(__xludf.DUMMYFUNCTION("""COMPUTED_VALUE"""),"SPLIT-MEDIA WRITER")</f>
        <v>SPLIT-MEDIA WRITER</v>
      </c>
      <c r="J4032" s="164"/>
      <c r="K4032" s="164" t="str">
        <f ca="1">IFERROR(__xludf.DUMMYFUNCTION("""COMPUTED_VALUE"""),"EVA JOY SILVINO")</f>
        <v>EVA JOY SILVINO</v>
      </c>
      <c r="L4032" s="164" t="str">
        <f ca="1">IFERROR(__xludf.DUMMYFUNCTION("""COMPUTED_VALUE"""),"RPMO OFFICE, DARO XII")</f>
        <v>RPMO OFFICE, DARO XII</v>
      </c>
      <c r="M4032" s="164" t="str">
        <f ca="1">IFERROR(__xludf.DUMMYFUNCTION("""COMPUTED_VALUE"""),"SERVICEABLE")</f>
        <v>SERVICEABLE</v>
      </c>
      <c r="N4032" s="164"/>
    </row>
    <row r="4033" spans="1:14" ht="13.2">
      <c r="A4033" s="164" t="str">
        <f ca="1">IFERROR(__xludf.DUMMYFUNCTION("""COMPUTED_VALUE"""),"REGION XII")</f>
        <v>REGION XII</v>
      </c>
      <c r="B4033" s="164" t="str">
        <f ca="1">IFERROR(__xludf.DUMMYFUNCTION("""COMPUTED_VALUE"""),"SARANGANI")</f>
        <v>SARANGANI</v>
      </c>
      <c r="C4033" s="164" t="str">
        <f ca="1">IFERROR(__xludf.DUMMYFUNCTION("""COMPUTED_VALUE"""),"Desktop Computer – (HP Pro SFF 280G9)")</f>
        <v>Desktop Computer – (HP Pro SFF 280G9)</v>
      </c>
      <c r="D4033" s="164" t="str">
        <f ca="1">IFERROR(__xludf.DUMMYFUNCTION("""COMPUTED_VALUE"""),"₱ 78,898.00")</f>
        <v>₱ 78,898.00</v>
      </c>
      <c r="E4033" s="164" t="str">
        <f ca="1">IFERROR(__xludf.DUMMYFUNCTION("""COMPUTED_VALUE"""),"₱ -")</f>
        <v>₱ -</v>
      </c>
      <c r="F4033" s="164" t="str">
        <f ca="1">IFERROR(__xludf.DUMMYFUNCTION("""COMPUTED_VALUE"""),"2023-05-03-10201SP425-01")</f>
        <v>2023-05-03-10201SP425-01</v>
      </c>
      <c r="G4033" s="164" t="str">
        <f ca="1">IFERROR(__xludf.DUMMYFUNCTION("""COMPUTED_VALUE"""),"4CE301DH6T")</f>
        <v>4CE301DH6T</v>
      </c>
      <c r="H4033" s="164" t="str">
        <f ca="1">IFERROR(__xludf.DUMMYFUNCTION("""COMPUTED_VALUE"""),"WAHIDA SANGKULA")</f>
        <v>WAHIDA SANGKULA</v>
      </c>
      <c r="I4033" s="164" t="str">
        <f ca="1">IFERROR(__xludf.DUMMYFUNCTION("""COMPUTED_VALUE"""),"ATTY")</f>
        <v>ATTY</v>
      </c>
      <c r="J4033" s="164" t="str">
        <f ca="1">IFERROR(__xludf.DUMMYFUNCTION("""COMPUTED_VALUE"""),"2023-10-099 to 102")</f>
        <v>2023-10-099 to 102</v>
      </c>
      <c r="K4033" s="164" t="str">
        <f ca="1">IFERROR(__xludf.DUMMYFUNCTION("""COMPUTED_VALUE"""),"WAHIDA SANGKULA")</f>
        <v>WAHIDA SANGKULA</v>
      </c>
      <c r="L4033" s="164" t="str">
        <f ca="1">IFERROR(__xludf.DUMMYFUNCTION("""COMPUTED_VALUE"""),"LEGAL")</f>
        <v>LEGAL</v>
      </c>
      <c r="M4033" s="164" t="str">
        <f ca="1">IFERROR(__xludf.DUMMYFUNCTION("""COMPUTED_VALUE"""),"SERVICEABLE")</f>
        <v>SERVICEABLE</v>
      </c>
      <c r="N4033" s="164"/>
    </row>
    <row r="4034" spans="1:14" ht="13.2">
      <c r="A4034" s="164" t="str">
        <f ca="1">IFERROR(__xludf.DUMMYFUNCTION("""COMPUTED_VALUE"""),"REGION XII")</f>
        <v>REGION XII</v>
      </c>
      <c r="B4034" s="164" t="str">
        <f ca="1">IFERROR(__xludf.DUMMYFUNCTION("""COMPUTED_VALUE"""),"SARANGANI")</f>
        <v>SARANGANI</v>
      </c>
      <c r="C4034" s="164" t="str">
        <f ca="1">IFERROR(__xludf.DUMMYFUNCTION("""COMPUTED_VALUE"""),"Desktop Computer – (HP Pro SFF 280G9)")</f>
        <v>Desktop Computer – (HP Pro SFF 280G9)</v>
      </c>
      <c r="D4034" s="164" t="str">
        <f ca="1">IFERROR(__xludf.DUMMYFUNCTION("""COMPUTED_VALUE"""),"₱ 78,898.00")</f>
        <v>₱ 78,898.00</v>
      </c>
      <c r="E4034" s="164" t="str">
        <f ca="1">IFERROR(__xludf.DUMMYFUNCTION("""COMPUTED_VALUE"""),"₱ -")</f>
        <v>₱ -</v>
      </c>
      <c r="F4034" s="164" t="str">
        <f ca="1">IFERROR(__xludf.DUMMYFUNCTION("""COMPUTED_VALUE"""),"2023-05-03-10201SP426-01")</f>
        <v>2023-05-03-10201SP426-01</v>
      </c>
      <c r="G4034" s="164" t="str">
        <f ca="1">IFERROR(__xludf.DUMMYFUNCTION("""COMPUTED_VALUE"""),"4CE301DH4F")</f>
        <v>4CE301DH4F</v>
      </c>
      <c r="H4034" s="164" t="str">
        <f ca="1">IFERROR(__xludf.DUMMYFUNCTION("""COMPUTED_VALUE"""),"PHOEBE ROSE ALAO")</f>
        <v>PHOEBE ROSE ALAO</v>
      </c>
      <c r="I4034" s="164" t="str">
        <f ca="1">IFERROR(__xludf.DUMMYFUNCTION("""COMPUTED_VALUE"""),"BUDGET OFFICER")</f>
        <v>BUDGET OFFICER</v>
      </c>
      <c r="J4034" s="164" t="str">
        <f ca="1">IFERROR(__xludf.DUMMYFUNCTION("""COMPUTED_VALUE"""),"2023-10-103 to 106")</f>
        <v>2023-10-103 to 106</v>
      </c>
      <c r="K4034" s="164" t="str">
        <f ca="1">IFERROR(__xludf.DUMMYFUNCTION("""COMPUTED_VALUE"""),"PHOEBE ROSE ALAO")</f>
        <v>PHOEBE ROSE ALAO</v>
      </c>
      <c r="L4034" s="164" t="str">
        <f ca="1">IFERROR(__xludf.DUMMYFUNCTION("""COMPUTED_VALUE"""),"STOD")</f>
        <v>STOD</v>
      </c>
      <c r="M4034" s="164" t="str">
        <f ca="1">IFERROR(__xludf.DUMMYFUNCTION("""COMPUTED_VALUE"""),"SERVICEABLE")</f>
        <v>SERVICEABLE</v>
      </c>
      <c r="N4034" s="164"/>
    </row>
    <row r="4035" spans="1:14" ht="13.2">
      <c r="A4035" s="164" t="str">
        <f ca="1">IFERROR(__xludf.DUMMYFUNCTION("""COMPUTED_VALUE"""),"REGION XII")</f>
        <v>REGION XII</v>
      </c>
      <c r="B4035" s="164" t="str">
        <f ca="1">IFERROR(__xludf.DUMMYFUNCTION("""COMPUTED_VALUE"""),"SARANGANI")</f>
        <v>SARANGANI</v>
      </c>
      <c r="C4035" s="164" t="str">
        <f ca="1">IFERROR(__xludf.DUMMYFUNCTION("""COMPUTED_VALUE"""),"Desktop Computer – (HP Pro SFF 280G9)")</f>
        <v>Desktop Computer – (HP Pro SFF 280G9)</v>
      </c>
      <c r="D4035" s="164" t="str">
        <f ca="1">IFERROR(__xludf.DUMMYFUNCTION("""COMPUTED_VALUE"""),"₱ 78,898.00")</f>
        <v>₱ 78,898.00</v>
      </c>
      <c r="E4035" s="164" t="str">
        <f ca="1">IFERROR(__xludf.DUMMYFUNCTION("""COMPUTED_VALUE"""),"₱ -")</f>
        <v>₱ -</v>
      </c>
      <c r="F4035" s="164" t="str">
        <f ca="1">IFERROR(__xludf.DUMMYFUNCTION("""COMPUTED_VALUE"""),"2023-05-03-10201SP427-01")</f>
        <v>2023-05-03-10201SP427-01</v>
      </c>
      <c r="G4035" s="164" t="str">
        <f ca="1">IFERROR(__xludf.DUMMYFUNCTION("""COMPUTED_VALUE"""),"4CE301DH9B")</f>
        <v>4CE301DH9B</v>
      </c>
      <c r="H4035" s="164" t="str">
        <f ca="1">IFERROR(__xludf.DUMMYFUNCTION("""COMPUTED_VALUE"""),"SHARON SETIAR")</f>
        <v>SHARON SETIAR</v>
      </c>
      <c r="I4035" s="164" t="str">
        <f ca="1">IFERROR(__xludf.DUMMYFUNCTION("""COMPUTED_VALUE"""),"ARPO I")</f>
        <v>ARPO I</v>
      </c>
      <c r="J4035" s="164" t="str">
        <f ca="1">IFERROR(__xludf.DUMMYFUNCTION("""COMPUTED_VALUE"""),"2023-10-107 to 110")</f>
        <v>2023-10-107 to 110</v>
      </c>
      <c r="K4035" s="164" t="str">
        <f ca="1">IFERROR(__xludf.DUMMYFUNCTION("""COMPUTED_VALUE"""),"SHARON SETIAR")</f>
        <v>SHARON SETIAR</v>
      </c>
      <c r="L4035" s="164" t="str">
        <f ca="1">IFERROR(__xludf.DUMMYFUNCTION("""COMPUTED_VALUE"""),"DARMO KIAMBA")</f>
        <v>DARMO KIAMBA</v>
      </c>
      <c r="M4035" s="164" t="str">
        <f ca="1">IFERROR(__xludf.DUMMYFUNCTION("""COMPUTED_VALUE"""),"SERVICEABLE")</f>
        <v>SERVICEABLE</v>
      </c>
      <c r="N4035" s="164"/>
    </row>
    <row r="4036" spans="1:14" ht="13.2">
      <c r="A4036" s="164" t="str">
        <f ca="1">IFERROR(__xludf.DUMMYFUNCTION("""COMPUTED_VALUE"""),"REGION XII")</f>
        <v>REGION XII</v>
      </c>
      <c r="B4036" s="164" t="str">
        <f ca="1">IFERROR(__xludf.DUMMYFUNCTION("""COMPUTED_VALUE"""),"SARANGANI")</f>
        <v>SARANGANI</v>
      </c>
      <c r="C4036" s="164" t="str">
        <f ca="1">IFERROR(__xludf.DUMMYFUNCTION("""COMPUTED_VALUE"""),"HP PRINTER")</f>
        <v>HP PRINTER</v>
      </c>
      <c r="D4036" s="164"/>
      <c r="E4036" s="164" t="str">
        <f ca="1">IFERROR(__xludf.DUMMYFUNCTION("""COMPUTED_VALUE"""),"₱ -")</f>
        <v>₱ -</v>
      </c>
      <c r="F4036" s="164" t="str">
        <f ca="1">IFERROR(__xludf.DUMMYFUNCTION("""COMPUTED_VALUE"""),"2023-05-03-10201SP443-01")</f>
        <v>2023-05-03-10201SP443-01</v>
      </c>
      <c r="G4036" s="164"/>
      <c r="H4036" s="164" t="str">
        <f ca="1">IFERROR(__xludf.DUMMYFUNCTION("""COMPUTED_VALUE"""),"NORLAISA S. HASSAN")</f>
        <v>NORLAISA S. HASSAN</v>
      </c>
      <c r="I4036" s="164" t="str">
        <f ca="1">IFERROR(__xludf.DUMMYFUNCTION("""COMPUTED_VALUE"""),"AO IV")</f>
        <v>AO IV</v>
      </c>
      <c r="J4036" s="164" t="str">
        <f ca="1">IFERROR(__xludf.DUMMYFUNCTION("""COMPUTED_VALUE"""),"2023-10-114")</f>
        <v>2023-10-114</v>
      </c>
      <c r="K4036" s="164" t="str">
        <f ca="1">IFERROR(__xludf.DUMMYFUNCTION("""COMPUTED_VALUE"""),"NORLAISA S. HASSAN")</f>
        <v>NORLAISA S. HASSAN</v>
      </c>
      <c r="L4036" s="164" t="str">
        <f ca="1">IFERROR(__xludf.DUMMYFUNCTION("""COMPUTED_VALUE"""),"STOD")</f>
        <v>STOD</v>
      </c>
      <c r="M4036" s="164" t="str">
        <f ca="1">IFERROR(__xludf.DUMMYFUNCTION("""COMPUTED_VALUE"""),"SERVICEABLE")</f>
        <v>SERVICEABLE</v>
      </c>
      <c r="N4036" s="164"/>
    </row>
    <row r="4037" spans="1:14" ht="13.2">
      <c r="A4037" s="164" t="str">
        <f ca="1">IFERROR(__xludf.DUMMYFUNCTION("""COMPUTED_VALUE"""),"REGION XII")</f>
        <v>REGION XII</v>
      </c>
      <c r="B4037" s="164" t="str">
        <f ca="1">IFERROR(__xludf.DUMMYFUNCTION("""COMPUTED_VALUE"""),"SARANGANI")</f>
        <v>SARANGANI</v>
      </c>
      <c r="C4037" s="164" t="str">
        <f ca="1">IFERROR(__xludf.DUMMYFUNCTION("""COMPUTED_VALUE"""),"Desktop Computer – (HP Pro SFF 280G9)")</f>
        <v>Desktop Computer – (HP Pro SFF 280G9)</v>
      </c>
      <c r="D4037" s="164" t="str">
        <f ca="1">IFERROR(__xludf.DUMMYFUNCTION("""COMPUTED_VALUE"""),"₱ 78,898.00")</f>
        <v>₱ 78,898.00</v>
      </c>
      <c r="E4037" s="164" t="str">
        <f ca="1">IFERROR(__xludf.DUMMYFUNCTION("""COMPUTED_VALUE"""),"₱ -")</f>
        <v>₱ -</v>
      </c>
      <c r="F4037" s="164" t="str">
        <f ca="1">IFERROR(__xludf.DUMMYFUNCTION("""COMPUTED_VALUE"""),"2023-05-03-10201SP437-01")</f>
        <v>2023-05-03-10201SP437-01</v>
      </c>
      <c r="G4037" s="164" t="str">
        <f ca="1">IFERROR(__xludf.DUMMYFUNCTION("""COMPUTED_VALUE"""),"4CE301DH4V")</f>
        <v>4CE301DH4V</v>
      </c>
      <c r="H4037" s="164" t="str">
        <f ca="1">IFERROR(__xludf.DUMMYFUNCTION("""COMPUTED_VALUE"""),"KRISTIN MYCEL C. MENSERA")</f>
        <v>KRISTIN MYCEL C. MENSERA</v>
      </c>
      <c r="I4037" s="164" t="str">
        <f ca="1">IFERROR(__xludf.DUMMYFUNCTION("""COMPUTED_VALUE"""),"ARPO I")</f>
        <v>ARPO I</v>
      </c>
      <c r="J4037" s="164" t="str">
        <f ca="1">IFERROR(__xludf.DUMMYFUNCTION("""COMPUTED_VALUE"""),"2023-10-111 to 113")</f>
        <v>2023-10-111 to 113</v>
      </c>
      <c r="K4037" s="164" t="str">
        <f ca="1">IFERROR(__xludf.DUMMYFUNCTION("""COMPUTED_VALUE"""),"KRISTIN MYCEL C. MENSERA")</f>
        <v>KRISTIN MYCEL C. MENSERA</v>
      </c>
      <c r="L4037" s="164" t="str">
        <f ca="1">IFERROR(__xludf.DUMMYFUNCTION("""COMPUTED_VALUE"""),"LTID")</f>
        <v>LTID</v>
      </c>
      <c r="M4037" s="164" t="str">
        <f ca="1">IFERROR(__xludf.DUMMYFUNCTION("""COMPUTED_VALUE"""),"SERVICEABLE")</f>
        <v>SERVICEABLE</v>
      </c>
      <c r="N4037" s="164"/>
    </row>
    <row r="4038" spans="1:14" ht="13.2">
      <c r="A4038" s="164" t="str">
        <f ca="1">IFERROR(__xludf.DUMMYFUNCTION("""COMPUTED_VALUE"""),"REGION XII")</f>
        <v>REGION XII</v>
      </c>
      <c r="B4038" s="164" t="str">
        <f ca="1">IFERROR(__xludf.DUMMYFUNCTION("""COMPUTED_VALUE"""),"SARANGANI")</f>
        <v>SARANGANI</v>
      </c>
      <c r="C4038" s="164" t="str">
        <f ca="1">IFERROR(__xludf.DUMMYFUNCTION("""COMPUTED_VALUE"""),"Desktop Computer – (HP Pro SFF 280G9)")</f>
        <v>Desktop Computer – (HP Pro SFF 280G9)</v>
      </c>
      <c r="D4038" s="164" t="str">
        <f ca="1">IFERROR(__xludf.DUMMYFUNCTION("""COMPUTED_VALUE"""),"₱ 78,898.00")</f>
        <v>₱ 78,898.00</v>
      </c>
      <c r="E4038" s="164" t="str">
        <f ca="1">IFERROR(__xludf.DUMMYFUNCTION("""COMPUTED_VALUE"""),"₱ -")</f>
        <v>₱ -</v>
      </c>
      <c r="F4038" s="164" t="str">
        <f ca="1">IFERROR(__xludf.DUMMYFUNCTION("""COMPUTED_VALUE"""),"2023-05-03-10201SP439-01")</f>
        <v>2023-05-03-10201SP439-01</v>
      </c>
      <c r="G4038" s="164" t="str">
        <f ca="1">IFERROR(__xludf.DUMMYFUNCTION("""COMPUTED_VALUE"""),"4C3301DSP5")</f>
        <v>4C3301DSP5</v>
      </c>
      <c r="H4038" s="164" t="str">
        <f ca="1">IFERROR(__xludf.DUMMYFUNCTION("""COMPUTED_VALUE"""),"ATTY. IVY A. CABINTA")</f>
        <v>ATTY. IVY A. CABINTA</v>
      </c>
      <c r="I4038" s="164" t="str">
        <f ca="1">IFERROR(__xludf.DUMMYFUNCTION("""COMPUTED_VALUE"""),"OIC-MARPO")</f>
        <v>OIC-MARPO</v>
      </c>
      <c r="J4038" s="164" t="str">
        <f ca="1">IFERROR(__xludf.DUMMYFUNCTION("""COMPUTED_VALUE"""),"2023-10-115 to 118")</f>
        <v>2023-10-115 to 118</v>
      </c>
      <c r="K4038" s="164" t="str">
        <f ca="1">IFERROR(__xludf.DUMMYFUNCTION("""COMPUTED_VALUE"""),"ELEANOR SERRA")</f>
        <v>ELEANOR SERRA</v>
      </c>
      <c r="L4038" s="164" t="str">
        <f ca="1">IFERROR(__xludf.DUMMYFUNCTION("""COMPUTED_VALUE"""),"DARMO ALABEL")</f>
        <v>DARMO ALABEL</v>
      </c>
      <c r="M4038" s="164" t="str">
        <f ca="1">IFERROR(__xludf.DUMMYFUNCTION("""COMPUTED_VALUE"""),"SERVICEABLE")</f>
        <v>SERVICEABLE</v>
      </c>
      <c r="N4038" s="164"/>
    </row>
    <row r="4039" spans="1:14" ht="13.2" hidden="1">
      <c r="A4039" s="164" t="str">
        <f ca="1">IFERROR(__xludf.DUMMYFUNCTION("""COMPUTED_VALUE"""),"REGION XII")</f>
        <v>REGION XII</v>
      </c>
      <c r="B4039" s="164" t="str">
        <f ca="1">IFERROR(__xludf.DUMMYFUNCTION("""COMPUTED_VALUE"""),"SULTAN KUDARAT")</f>
        <v>SULTAN KUDARAT</v>
      </c>
      <c r="C4039" s="164" t="str">
        <f ca="1">IFERROR(__xludf.DUMMYFUNCTION("""COMPUTED_VALUE"""),"Desktop Computer – (HP Pro SFF 280G9)")</f>
        <v>Desktop Computer – (HP Pro SFF 280G9)</v>
      </c>
      <c r="D4039" s="164" t="str">
        <f ca="1">IFERROR(__xludf.DUMMYFUNCTION("""COMPUTED_VALUE"""),"₱ 78,898.00")</f>
        <v>₱ 78,898.00</v>
      </c>
      <c r="E4039" s="164" t="str">
        <f ca="1">IFERROR(__xludf.DUMMYFUNCTION("""COMPUTED_VALUE"""),"₱ -")</f>
        <v>₱ -</v>
      </c>
      <c r="F4039" s="164" t="str">
        <f ca="1">IFERROR(__xludf.DUMMYFUNCTION("""COMPUTED_VALUE"""),"12-SULKUD-GF-S-23-05-01-110")</f>
        <v>12-SULKUD-GF-S-23-05-01-110</v>
      </c>
      <c r="G4039" s="164"/>
      <c r="H4039" s="164" t="str">
        <f ca="1">IFERROR(__xludf.DUMMYFUNCTION("""COMPUTED_VALUE"""),"RUEL M. ESPAÑOL")</f>
        <v>RUEL M. ESPAÑOL</v>
      </c>
      <c r="I4039" s="164" t="str">
        <f ca="1">IFERROR(__xludf.DUMMYFUNCTION("""COMPUTED_VALUE"""),"ARPT")</f>
        <v>ARPT</v>
      </c>
      <c r="J4039" s="164" t="str">
        <f ca="1">IFERROR(__xludf.DUMMYFUNCTION("""COMPUTED_VALUE"""),"2023-12-049")</f>
        <v>2023-12-049</v>
      </c>
      <c r="K4039" s="164" t="str">
        <f ca="1">IFERROR(__xludf.DUMMYFUNCTION("""COMPUTED_VALUE"""),"JOEL L. GELLANG JR.")</f>
        <v>JOEL L. GELLANG JR.</v>
      </c>
      <c r="L4039" s="164" t="str">
        <f ca="1">IFERROR(__xludf.DUMMYFUNCTION("""COMPUTED_VALUE"""),"LTSP")</f>
        <v>LTSP</v>
      </c>
      <c r="M4039" s="164" t="str">
        <f ca="1">IFERROR(__xludf.DUMMYFUNCTION("""COMPUTED_VALUE"""),"SERVICEABLE")</f>
        <v>SERVICEABLE</v>
      </c>
      <c r="N4039" s="164"/>
    </row>
    <row r="4040" spans="1:14" ht="13.2" hidden="1">
      <c r="A4040" s="164" t="str">
        <f ca="1">IFERROR(__xludf.DUMMYFUNCTION("""COMPUTED_VALUE"""),"REGION XII")</f>
        <v>REGION XII</v>
      </c>
      <c r="B4040" s="164" t="str">
        <f ca="1">IFERROR(__xludf.DUMMYFUNCTION("""COMPUTED_VALUE"""),"SULTAN KUDARAT")</f>
        <v>SULTAN KUDARAT</v>
      </c>
      <c r="C4040" s="164" t="str">
        <f ca="1">IFERROR(__xludf.DUMMYFUNCTION("""COMPUTED_VALUE"""),"Desktop Computer – (HP Pro SFF 280G9)")</f>
        <v>Desktop Computer – (HP Pro SFF 280G9)</v>
      </c>
      <c r="D4040" s="164" t="str">
        <f ca="1">IFERROR(__xludf.DUMMYFUNCTION("""COMPUTED_VALUE"""),"₱ 78,898.00")</f>
        <v>₱ 78,898.00</v>
      </c>
      <c r="E4040" s="164" t="str">
        <f ca="1">IFERROR(__xludf.DUMMYFUNCTION("""COMPUTED_VALUE"""),"₱ -")</f>
        <v>₱ -</v>
      </c>
      <c r="F4040" s="164" t="str">
        <f ca="1">IFERROR(__xludf.DUMMYFUNCTION("""COMPUTED_VALUE"""),"12-SULKUD-GF-S-23-05-01-111")</f>
        <v>12-SULKUD-GF-S-23-05-01-111</v>
      </c>
      <c r="G4040" s="164"/>
      <c r="H4040" s="164" t="str">
        <f ca="1">IFERROR(__xludf.DUMMYFUNCTION("""COMPUTED_VALUE"""),"JOEL L. GELLANG, JR.")</f>
        <v>JOEL L. GELLANG, JR.</v>
      </c>
      <c r="I4040" s="164" t="str">
        <f ca="1">IFERROR(__xludf.DUMMYFUNCTION("""COMPUTED_VALUE"""),"CARPO-LTID")</f>
        <v>CARPO-LTID</v>
      </c>
      <c r="J4040" s="164" t="str">
        <f ca="1">IFERROR(__xludf.DUMMYFUNCTION("""COMPUTED_VALUE"""),"2023-12-050")</f>
        <v>2023-12-050</v>
      </c>
      <c r="K4040" s="164" t="str">
        <f ca="1">IFERROR(__xludf.DUMMYFUNCTION("""COMPUTED_VALUE"""),"SUNSHINE MAHILUM")</f>
        <v>SUNSHINE MAHILUM</v>
      </c>
      <c r="L4040" s="164" t="str">
        <f ca="1">IFERROR(__xludf.DUMMYFUNCTION("""COMPUTED_VALUE"""),"LTSP")</f>
        <v>LTSP</v>
      </c>
      <c r="M4040" s="164" t="str">
        <f ca="1">IFERROR(__xludf.DUMMYFUNCTION("""COMPUTED_VALUE"""),"SERVICEABLE")</f>
        <v>SERVICEABLE</v>
      </c>
      <c r="N4040" s="164"/>
    </row>
    <row r="4041" spans="1:14" ht="13.2" hidden="1">
      <c r="A4041" s="164" t="str">
        <f ca="1">IFERROR(__xludf.DUMMYFUNCTION("""COMPUTED_VALUE"""),"REGION XII")</f>
        <v>REGION XII</v>
      </c>
      <c r="B4041" s="164" t="str">
        <f ca="1">IFERROR(__xludf.DUMMYFUNCTION("""COMPUTED_VALUE"""),"SULTAN KUDARAT")</f>
        <v>SULTAN KUDARAT</v>
      </c>
      <c r="C4041" s="164" t="str">
        <f ca="1">IFERROR(__xludf.DUMMYFUNCTION("""COMPUTED_VALUE"""),"Desktop Computer – (HP Pro SFF 280G9)")</f>
        <v>Desktop Computer – (HP Pro SFF 280G9)</v>
      </c>
      <c r="D4041" s="164" t="str">
        <f ca="1">IFERROR(__xludf.DUMMYFUNCTION("""COMPUTED_VALUE"""),"₱ 78,898.00")</f>
        <v>₱ 78,898.00</v>
      </c>
      <c r="E4041" s="164" t="str">
        <f ca="1">IFERROR(__xludf.DUMMYFUNCTION("""COMPUTED_VALUE"""),"₱ -")</f>
        <v>₱ -</v>
      </c>
      <c r="F4041" s="164" t="str">
        <f ca="1">IFERROR(__xludf.DUMMYFUNCTION("""COMPUTED_VALUE"""),"12-SULKUD-GF-S-23-05-01-113")</f>
        <v>12-SULKUD-GF-S-23-05-01-113</v>
      </c>
      <c r="G4041" s="164"/>
      <c r="H4041" s="164" t="str">
        <f ca="1">IFERROR(__xludf.DUMMYFUNCTION("""COMPUTED_VALUE"""),"RHETJANE H. RAMAS")</f>
        <v>RHETJANE H. RAMAS</v>
      </c>
      <c r="I4041" s="164" t="str">
        <f ca="1">IFERROR(__xludf.DUMMYFUNCTION("""COMPUTED_VALUE"""),"ACCOUNTANT II")</f>
        <v>ACCOUNTANT II</v>
      </c>
      <c r="J4041" s="164" t="str">
        <f ca="1">IFERROR(__xludf.DUMMYFUNCTION("""COMPUTED_VALUE"""),"2023-12-042")</f>
        <v>2023-12-042</v>
      </c>
      <c r="K4041" s="164" t="str">
        <f ca="1">IFERROR(__xludf.DUMMYFUNCTION("""COMPUTED_VALUE"""),"MARY JANE J. GENEZA")</f>
        <v>MARY JANE J. GENEZA</v>
      </c>
      <c r="L4041" s="164" t="str">
        <f ca="1">IFERROR(__xludf.DUMMYFUNCTION("""COMPUTED_VALUE"""),"STOD")</f>
        <v>STOD</v>
      </c>
      <c r="M4041" s="164" t="str">
        <f ca="1">IFERROR(__xludf.DUMMYFUNCTION("""COMPUTED_VALUE"""),"SERVICEABLE")</f>
        <v>SERVICEABLE</v>
      </c>
      <c r="N4041" s="164"/>
    </row>
    <row r="4042" spans="1:14" ht="13.2" hidden="1">
      <c r="A4042" s="164" t="str">
        <f ca="1">IFERROR(__xludf.DUMMYFUNCTION("""COMPUTED_VALUE"""),"REGION XII")</f>
        <v>REGION XII</v>
      </c>
      <c r="B4042" s="164" t="str">
        <f ca="1">IFERROR(__xludf.DUMMYFUNCTION("""COMPUTED_VALUE"""),"SULTAN KUDARAT")</f>
        <v>SULTAN KUDARAT</v>
      </c>
      <c r="C4042" s="164" t="str">
        <f ca="1">IFERROR(__xludf.DUMMYFUNCTION("""COMPUTED_VALUE"""),"Desktop Computer – (HP Pro SFF 280G9)")</f>
        <v>Desktop Computer – (HP Pro SFF 280G9)</v>
      </c>
      <c r="D4042" s="164" t="str">
        <f ca="1">IFERROR(__xludf.DUMMYFUNCTION("""COMPUTED_VALUE"""),"₱ 78,898.00")</f>
        <v>₱ 78,898.00</v>
      </c>
      <c r="E4042" s="164" t="str">
        <f ca="1">IFERROR(__xludf.DUMMYFUNCTION("""COMPUTED_VALUE"""),"₱ -")</f>
        <v>₱ -</v>
      </c>
      <c r="F4042" s="164" t="str">
        <f ca="1">IFERROR(__xludf.DUMMYFUNCTION("""COMPUTED_VALUE"""),"12-SULKUD-GF-S-23-05-01-112")</f>
        <v>12-SULKUD-GF-S-23-05-01-112</v>
      </c>
      <c r="G4042" s="164"/>
      <c r="H4042" s="164" t="str">
        <f ca="1">IFERROR(__xludf.DUMMYFUNCTION("""COMPUTED_VALUE"""),"RHEA MARIE P. BETQUE")</f>
        <v>RHEA MARIE P. BETQUE</v>
      </c>
      <c r="I4042" s="164" t="str">
        <f ca="1">IFERROR(__xludf.DUMMYFUNCTION("""COMPUTED_VALUE"""),"CARPO-PBDD")</f>
        <v>CARPO-PBDD</v>
      </c>
      <c r="J4042" s="164" t="str">
        <f ca="1">IFERROR(__xludf.DUMMYFUNCTION("""COMPUTED_VALUE"""),"2023-12-051")</f>
        <v>2023-12-051</v>
      </c>
      <c r="K4042" s="164" t="str">
        <f ca="1">IFERROR(__xludf.DUMMYFUNCTION("""COMPUTED_VALUE"""),"RHEA MARIE P. BETQUE")</f>
        <v>RHEA MARIE P. BETQUE</v>
      </c>
      <c r="L4042" s="164" t="str">
        <f ca="1">IFERROR(__xludf.DUMMYFUNCTION("""COMPUTED_VALUE"""),"ARBDSP")</f>
        <v>ARBDSP</v>
      </c>
      <c r="M4042" s="164" t="str">
        <f ca="1">IFERROR(__xludf.DUMMYFUNCTION("""COMPUTED_VALUE"""),"SERVICEABLE")</f>
        <v>SERVICEABLE</v>
      </c>
      <c r="N4042" s="164"/>
    </row>
    <row r="4043" spans="1:14" ht="13.2" hidden="1">
      <c r="A4043" s="164" t="str">
        <f ca="1">IFERROR(__xludf.DUMMYFUNCTION("""COMPUTED_VALUE"""),"REGION XII")</f>
        <v>REGION XII</v>
      </c>
      <c r="B4043" s="164" t="str">
        <f ca="1">IFERROR(__xludf.DUMMYFUNCTION("""COMPUTED_VALUE"""),"SULTAN KUDARAT")</f>
        <v>SULTAN KUDARAT</v>
      </c>
      <c r="C4043" s="164" t="str">
        <f ca="1">IFERROR(__xludf.DUMMYFUNCTION("""COMPUTED_VALUE"""),"Desktop Computer – (HP Pro SFF 280G9)")</f>
        <v>Desktop Computer – (HP Pro SFF 280G9)</v>
      </c>
      <c r="D4043" s="164" t="str">
        <f ca="1">IFERROR(__xludf.DUMMYFUNCTION("""COMPUTED_VALUE"""),"₱ 78,898.00")</f>
        <v>₱ 78,898.00</v>
      </c>
      <c r="E4043" s="164" t="str">
        <f ca="1">IFERROR(__xludf.DUMMYFUNCTION("""COMPUTED_VALUE"""),"₱ -")</f>
        <v>₱ -</v>
      </c>
      <c r="F4043" s="164" t="str">
        <f ca="1">IFERROR(__xludf.DUMMYFUNCTION("""COMPUTED_VALUE"""),"12-SULKUD-GF-S-23-05-01-114")</f>
        <v>12-SULKUD-GF-S-23-05-01-114</v>
      </c>
      <c r="G4043" s="164"/>
      <c r="H4043" s="164" t="str">
        <f ca="1">IFERROR(__xludf.DUMMYFUNCTION("""COMPUTED_VALUE"""),"JOSE G. HAPITAN, III")</f>
        <v>JOSE G. HAPITAN, III</v>
      </c>
      <c r="I4043" s="164" t="str">
        <f ca="1">IFERROR(__xludf.DUMMYFUNCTION("""COMPUTED_VALUE"""),"ARPT")</f>
        <v>ARPT</v>
      </c>
      <c r="J4043" s="164" t="str">
        <f ca="1">IFERROR(__xludf.DUMMYFUNCTION("""COMPUTED_VALUE"""),"2023-12-053")</f>
        <v>2023-12-053</v>
      </c>
      <c r="K4043" s="164" t="str">
        <f ca="1">IFERROR(__xludf.DUMMYFUNCTION("""COMPUTED_VALUE"""),"JOSE G. HAPITAN, III")</f>
        <v>JOSE G. HAPITAN, III</v>
      </c>
      <c r="L4043" s="164" t="str">
        <f ca="1">IFERROR(__xludf.DUMMYFUNCTION("""COMPUTED_VALUE"""),"STOD")</f>
        <v>STOD</v>
      </c>
      <c r="M4043" s="164" t="str">
        <f ca="1">IFERROR(__xludf.DUMMYFUNCTION("""COMPUTED_VALUE"""),"SERVICEABLE")</f>
        <v>SERVICEABLE</v>
      </c>
      <c r="N4043" s="164"/>
    </row>
    <row r="4044" spans="1:14" ht="13.2" hidden="1">
      <c r="A4044" s="164" t="str">
        <f ca="1">IFERROR(__xludf.DUMMYFUNCTION("""COMPUTED_VALUE"""),"REGION XII")</f>
        <v>REGION XII</v>
      </c>
      <c r="B4044" s="164" t="str">
        <f ca="1">IFERROR(__xludf.DUMMYFUNCTION("""COMPUTED_VALUE"""),"SOUTH COTABATO")</f>
        <v>SOUTH COTABATO</v>
      </c>
      <c r="C4044" s="164" t="str">
        <f ca="1">IFERROR(__xludf.DUMMYFUNCTION("""COMPUTED_VALUE"""),"Desktop Computer – (HP Pro SFF 280G9)")</f>
        <v>Desktop Computer – (HP Pro SFF 280G9)</v>
      </c>
      <c r="D4044" s="164" t="str">
        <f ca="1">IFERROR(__xludf.DUMMYFUNCTION("""COMPUTED_VALUE"""),"₱ 78,898.00")</f>
        <v>₱ 78,898.00</v>
      </c>
      <c r="E4044" s="164" t="str">
        <f ca="1">IFERROR(__xludf.DUMMYFUNCTION("""COMPUTED_VALUE"""),"₱ -")</f>
        <v>₱ -</v>
      </c>
      <c r="F4044" s="164"/>
      <c r="G4044" s="164" t="str">
        <f ca="1">IFERROR(__xludf.DUMMYFUNCTION("""COMPUTED_VALUE"""),"4CE301DSQJ")</f>
        <v>4CE301DSQJ</v>
      </c>
      <c r="H4044" s="164" t="str">
        <f ca="1">IFERROR(__xludf.DUMMYFUNCTION("""COMPUTED_VALUE"""),"NESS B. JUANDAY")</f>
        <v>NESS B. JUANDAY</v>
      </c>
      <c r="I4044" s="164" t="str">
        <f ca="1">IFERROR(__xludf.DUMMYFUNCTION("""COMPUTED_VALUE"""),"ARPT")</f>
        <v>ARPT</v>
      </c>
      <c r="J4044" s="164" t="str">
        <f ca="1">IFERROR(__xludf.DUMMYFUNCTION("""COMPUTED_VALUE"""),"2023-10-092")</f>
        <v>2023-10-092</v>
      </c>
      <c r="K4044" s="164" t="str">
        <f ca="1">IFERROR(__xludf.DUMMYFUNCTION("""COMPUTED_VALUE"""),"NESS B. JUANDAY")</f>
        <v>NESS B. JUANDAY</v>
      </c>
      <c r="L4044" s="164" t="str">
        <f ca="1">IFERROR(__xludf.DUMMYFUNCTION("""COMPUTED_VALUE"""),"STOD")</f>
        <v>STOD</v>
      </c>
      <c r="M4044" s="164" t="str">
        <f ca="1">IFERROR(__xludf.DUMMYFUNCTION("""COMPUTED_VALUE"""),"SERVICEABLE")</f>
        <v>SERVICEABLE</v>
      </c>
      <c r="N4044" s="164"/>
    </row>
    <row r="4045" spans="1:14" ht="13.2" hidden="1">
      <c r="A4045" s="164" t="str">
        <f ca="1">IFERROR(__xludf.DUMMYFUNCTION("""COMPUTED_VALUE"""),"REGION XII")</f>
        <v>REGION XII</v>
      </c>
      <c r="B4045" s="164" t="str">
        <f ca="1">IFERROR(__xludf.DUMMYFUNCTION("""COMPUTED_VALUE"""),"SOUTH COTABATO")</f>
        <v>SOUTH COTABATO</v>
      </c>
      <c r="C4045" s="164" t="str">
        <f ca="1">IFERROR(__xludf.DUMMYFUNCTION("""COMPUTED_VALUE"""),"Desktop Computer – (HP Pro SFF 280G9)")</f>
        <v>Desktop Computer – (HP Pro SFF 280G9)</v>
      </c>
      <c r="D4045" s="164" t="str">
        <f ca="1">IFERROR(__xludf.DUMMYFUNCTION("""COMPUTED_VALUE"""),"₱ 78,898.00")</f>
        <v>₱ 78,898.00</v>
      </c>
      <c r="E4045" s="164" t="str">
        <f ca="1">IFERROR(__xludf.DUMMYFUNCTION("""COMPUTED_VALUE"""),"₱ -")</f>
        <v>₱ -</v>
      </c>
      <c r="F4045" s="164"/>
      <c r="G4045" s="164" t="str">
        <f ca="1">IFERROR(__xludf.DUMMYFUNCTION("""COMPUTED_VALUE"""),"4CE301DH5B")</f>
        <v>4CE301DH5B</v>
      </c>
      <c r="H4045" s="164" t="str">
        <f ca="1">IFERROR(__xludf.DUMMYFUNCTION("""COMPUTED_VALUE"""),"RYNHEART DAROY")</f>
        <v>RYNHEART DAROY</v>
      </c>
      <c r="I4045" s="164" t="str">
        <f ca="1">IFERROR(__xludf.DUMMYFUNCTION("""COMPUTED_VALUE"""),"MARPO")</f>
        <v>MARPO</v>
      </c>
      <c r="J4045" s="164" t="str">
        <f ca="1">IFERROR(__xludf.DUMMYFUNCTION("""COMPUTED_VALUE"""),"2023-10-094")</f>
        <v>2023-10-094</v>
      </c>
      <c r="K4045" s="164" t="str">
        <f ca="1">IFERROR(__xludf.DUMMYFUNCTION("""COMPUTED_VALUE"""),"RECHEL ANN SALCEDO")</f>
        <v>RECHEL ANN SALCEDO</v>
      </c>
      <c r="L4045" s="164" t="str">
        <f ca="1">IFERROR(__xludf.DUMMYFUNCTION("""COMPUTED_VALUE"""),"STOD")</f>
        <v>STOD</v>
      </c>
      <c r="M4045" s="164" t="str">
        <f ca="1">IFERROR(__xludf.DUMMYFUNCTION("""COMPUTED_VALUE"""),"SERVICEABLE")</f>
        <v>SERVICEABLE</v>
      </c>
      <c r="N4045" s="164"/>
    </row>
    <row r="4046" spans="1:14" ht="13.2" hidden="1">
      <c r="A4046" s="164" t="str">
        <f ca="1">IFERROR(__xludf.DUMMYFUNCTION("""COMPUTED_VALUE"""),"REGION XII")</f>
        <v>REGION XII</v>
      </c>
      <c r="B4046" s="164" t="str">
        <f ca="1">IFERROR(__xludf.DUMMYFUNCTION("""COMPUTED_VALUE"""),"SOUTH COTABATO")</f>
        <v>SOUTH COTABATO</v>
      </c>
      <c r="C4046" s="164" t="str">
        <f ca="1">IFERROR(__xludf.DUMMYFUNCTION("""COMPUTED_VALUE"""),"Desktop Computer – (HP Pro SFF 280G9)")</f>
        <v>Desktop Computer – (HP Pro SFF 280G9)</v>
      </c>
      <c r="D4046" s="164" t="str">
        <f ca="1">IFERROR(__xludf.DUMMYFUNCTION("""COMPUTED_VALUE"""),"₱ 78,898.00")</f>
        <v>₱ 78,898.00</v>
      </c>
      <c r="E4046" s="164" t="str">
        <f ca="1">IFERROR(__xludf.DUMMYFUNCTION("""COMPUTED_VALUE"""),"₱ -")</f>
        <v>₱ -</v>
      </c>
      <c r="F4046" s="164"/>
      <c r="G4046" s="164" t="str">
        <f ca="1">IFERROR(__xludf.DUMMYFUNCTION("""COMPUTED_VALUE"""),"4CE301DH97")</f>
        <v>4CE301DH97</v>
      </c>
      <c r="H4046" s="164" t="str">
        <f ca="1">IFERROR(__xludf.DUMMYFUNCTION("""COMPUTED_VALUE"""),"JERUEL G. BINOYA, JR.")</f>
        <v>JERUEL G. BINOYA, JR.</v>
      </c>
      <c r="I4046" s="164" t="str">
        <f ca="1">IFERROR(__xludf.DUMMYFUNCTION("""COMPUTED_VALUE"""),"ARPT")</f>
        <v>ARPT</v>
      </c>
      <c r="J4046" s="164" t="str">
        <f ca="1">IFERROR(__xludf.DUMMYFUNCTION("""COMPUTED_VALUE"""),"2023-10-090")</f>
        <v>2023-10-090</v>
      </c>
      <c r="K4046" s="164" t="str">
        <f ca="1">IFERROR(__xludf.DUMMYFUNCTION("""COMPUTED_VALUE"""),"JERUEL G. BINOYA, JR.")</f>
        <v>JERUEL G. BINOYA, JR.</v>
      </c>
      <c r="L4046" s="164" t="str">
        <f ca="1">IFERROR(__xludf.DUMMYFUNCTION("""COMPUTED_VALUE"""),"STOD")</f>
        <v>STOD</v>
      </c>
      <c r="M4046" s="164" t="str">
        <f ca="1">IFERROR(__xludf.DUMMYFUNCTION("""COMPUTED_VALUE"""),"SERVICEABLE")</f>
        <v>SERVICEABLE</v>
      </c>
      <c r="N4046" s="164"/>
    </row>
    <row r="4047" spans="1:14" ht="13.2" hidden="1">
      <c r="A4047" s="164" t="str">
        <f ca="1">IFERROR(__xludf.DUMMYFUNCTION("""COMPUTED_VALUE"""),"REGION XII")</f>
        <v>REGION XII</v>
      </c>
      <c r="B4047" s="164" t="str">
        <f ca="1">IFERROR(__xludf.DUMMYFUNCTION("""COMPUTED_VALUE"""),"SOUTH COTABATO")</f>
        <v>SOUTH COTABATO</v>
      </c>
      <c r="C4047" s="164" t="str">
        <f ca="1">IFERROR(__xludf.DUMMYFUNCTION("""COMPUTED_VALUE"""),"Desktop Computer – (HP Pro SFF 280G9)")</f>
        <v>Desktop Computer – (HP Pro SFF 280G9)</v>
      </c>
      <c r="D4047" s="164" t="str">
        <f ca="1">IFERROR(__xludf.DUMMYFUNCTION("""COMPUTED_VALUE"""),"₱ 78,898.00")</f>
        <v>₱ 78,898.00</v>
      </c>
      <c r="E4047" s="164" t="str">
        <f ca="1">IFERROR(__xludf.DUMMYFUNCTION("""COMPUTED_VALUE"""),"₱ -")</f>
        <v>₱ -</v>
      </c>
      <c r="F4047" s="164"/>
      <c r="G4047" s="164" t="str">
        <f ca="1">IFERROR(__xludf.DUMMYFUNCTION("""COMPUTED_VALUE"""),"4CE301DSN1")</f>
        <v>4CE301DSN1</v>
      </c>
      <c r="H4047" s="164" t="str">
        <f ca="1">IFERROR(__xludf.DUMMYFUNCTION("""COMPUTED_VALUE"""),"JOHN RONELO B. MENSALVAS")</f>
        <v>JOHN RONELO B. MENSALVAS</v>
      </c>
      <c r="I4047" s="164" t="str">
        <f ca="1">IFERROR(__xludf.DUMMYFUNCTION("""COMPUTED_VALUE"""),"ARPT")</f>
        <v>ARPT</v>
      </c>
      <c r="J4047" s="164" t="str">
        <f ca="1">IFERROR(__xludf.DUMMYFUNCTION("""COMPUTED_VALUE"""),"2023-10-091")</f>
        <v>2023-10-091</v>
      </c>
      <c r="K4047" s="164" t="str">
        <f ca="1">IFERROR(__xludf.DUMMYFUNCTION("""COMPUTED_VALUE"""),"JOHN RONELO B. MENSALVAS")</f>
        <v>JOHN RONELO B. MENSALVAS</v>
      </c>
      <c r="L4047" s="164" t="str">
        <f ca="1">IFERROR(__xludf.DUMMYFUNCTION("""COMPUTED_VALUE"""),"STOD")</f>
        <v>STOD</v>
      </c>
      <c r="M4047" s="164" t="str">
        <f ca="1">IFERROR(__xludf.DUMMYFUNCTION("""COMPUTED_VALUE"""),"SERVICEABLE")</f>
        <v>SERVICEABLE</v>
      </c>
      <c r="N4047" s="164"/>
    </row>
    <row r="4048" spans="1:14" ht="13.2" hidden="1">
      <c r="A4048" s="164" t="str">
        <f ca="1">IFERROR(__xludf.DUMMYFUNCTION("""COMPUTED_VALUE"""),"REGION XII")</f>
        <v>REGION XII</v>
      </c>
      <c r="B4048" s="164" t="str">
        <f ca="1">IFERROR(__xludf.DUMMYFUNCTION("""COMPUTED_VALUE"""),"SOUTH COTABATO")</f>
        <v>SOUTH COTABATO</v>
      </c>
      <c r="C4048" s="164" t="str">
        <f ca="1">IFERROR(__xludf.DUMMYFUNCTION("""COMPUTED_VALUE"""),"Desktop Computer – (HP Pro SFF 280G9)")</f>
        <v>Desktop Computer – (HP Pro SFF 280G9)</v>
      </c>
      <c r="D4048" s="164" t="str">
        <f ca="1">IFERROR(__xludf.DUMMYFUNCTION("""COMPUTED_VALUE"""),"₱ 78,898.00")</f>
        <v>₱ 78,898.00</v>
      </c>
      <c r="E4048" s="164" t="str">
        <f ca="1">IFERROR(__xludf.DUMMYFUNCTION("""COMPUTED_VALUE"""),"₱ -")</f>
        <v>₱ -</v>
      </c>
      <c r="F4048" s="164"/>
      <c r="G4048" s="164" t="str">
        <f ca="1">IFERROR(__xludf.DUMMYFUNCTION("""COMPUTED_VALUE"""),"4CE301DSN1")</f>
        <v>4CE301DSN1</v>
      </c>
      <c r="H4048" s="164" t="str">
        <f ca="1">IFERROR(__xludf.DUMMYFUNCTION("""COMPUTED_VALUE"""),"JOSELITO DE NAVA")</f>
        <v>JOSELITO DE NAVA</v>
      </c>
      <c r="I4048" s="164" t="str">
        <f ca="1">IFERROR(__xludf.DUMMYFUNCTION("""COMPUTED_VALUE"""),"SURVEYMAN")</f>
        <v>SURVEYMAN</v>
      </c>
      <c r="J4048" s="164" t="str">
        <f ca="1">IFERROR(__xludf.DUMMYFUNCTION("""COMPUTED_VALUE"""),"2023-10-093")</f>
        <v>2023-10-093</v>
      </c>
      <c r="K4048" s="164" t="str">
        <f ca="1">IFERROR(__xludf.DUMMYFUNCTION("""COMPUTED_VALUE"""),"JOSELITO DE NAVA")</f>
        <v>JOSELITO DE NAVA</v>
      </c>
      <c r="L4048" s="164" t="str">
        <f ca="1">IFERROR(__xludf.DUMMYFUNCTION("""COMPUTED_VALUE"""),"STOD")</f>
        <v>STOD</v>
      </c>
      <c r="M4048" s="164" t="str">
        <f ca="1">IFERROR(__xludf.DUMMYFUNCTION("""COMPUTED_VALUE"""),"SERVICEABLE")</f>
        <v>SERVICEABLE</v>
      </c>
      <c r="N4048" s="164"/>
    </row>
    <row r="4049" spans="1:14" ht="13.2">
      <c r="A4049" s="164" t="str">
        <f ca="1">IFERROR(__xludf.DUMMYFUNCTION("""COMPUTED_VALUE"""),"REGION XII")</f>
        <v>REGION XII</v>
      </c>
      <c r="B4049" s="164" t="str">
        <f ca="1">IFERROR(__xludf.DUMMYFUNCTION("""COMPUTED_VALUE"""),"NORTH COTABATO")</f>
        <v>NORTH COTABATO</v>
      </c>
      <c r="C4049" s="164" t="str">
        <f ca="1">IFERROR(__xludf.DUMMYFUNCTION("""COMPUTED_VALUE"""),"Desktop Computer – (HP Pro SFF 280G9)")</f>
        <v>Desktop Computer – (HP Pro SFF 280G9)</v>
      </c>
      <c r="D4049" s="164"/>
      <c r="E4049" s="164" t="str">
        <f ca="1">IFERROR(__xludf.DUMMYFUNCTION("""COMPUTED_VALUE"""),"₱ -")</f>
        <v>₱ -</v>
      </c>
      <c r="F4049" s="164" t="str">
        <f ca="1">IFERROR(__xludf.DUMMYFUNCTION("""COMPUTED_VALUE"""),"2023-05-03-10201SP445-01")</f>
        <v>2023-05-03-10201SP445-01</v>
      </c>
      <c r="G4049" s="164" t="str">
        <f ca="1">IFERROR(__xludf.DUMMYFUNCTION("""COMPUTED_VALUE"""),"4CE301DSKP")</f>
        <v>4CE301DSKP</v>
      </c>
      <c r="H4049" s="164" t="str">
        <f ca="1">IFERROR(__xludf.DUMMYFUNCTION("""COMPUTED_VALUE"""),"DAYLEN D. VILLAMAR")</f>
        <v>DAYLEN D. VILLAMAR</v>
      </c>
      <c r="I4049" s="164" t="str">
        <f ca="1">IFERROR(__xludf.DUMMYFUNCTION("""COMPUTED_VALUE"""),"ARPO I")</f>
        <v>ARPO I</v>
      </c>
      <c r="J4049" s="164" t="str">
        <f ca="1">IFERROR(__xludf.DUMMYFUNCTION("""COMPUTED_VALUE"""),"102-2023-10-044")</f>
        <v>102-2023-10-044</v>
      </c>
      <c r="K4049" s="164" t="str">
        <f ca="1">IFERROR(__xludf.DUMMYFUNCTION("""COMPUTED_VALUE"""),"DAYLEN S. DALUMBAY")</f>
        <v>DAYLEN S. DALUMBAY</v>
      </c>
      <c r="L4049" s="164" t="str">
        <f ca="1">IFERROR(__xludf.DUMMYFUNCTION("""COMPUTED_VALUE"""),"DARPO-STOD")</f>
        <v>DARPO-STOD</v>
      </c>
      <c r="M4049" s="164" t="str">
        <f ca="1">IFERROR(__xludf.DUMMYFUNCTION("""COMPUTED_VALUE"""),"SERVICEABLE")</f>
        <v>SERVICEABLE</v>
      </c>
      <c r="N4049" s="164"/>
    </row>
    <row r="4050" spans="1:14" ht="13.2">
      <c r="A4050" s="164" t="str">
        <f ca="1">IFERROR(__xludf.DUMMYFUNCTION("""COMPUTED_VALUE"""),"REGION XII")</f>
        <v>REGION XII</v>
      </c>
      <c r="B4050" s="164" t="str">
        <f ca="1">IFERROR(__xludf.DUMMYFUNCTION("""COMPUTED_VALUE"""),"NORTH COTABATO")</f>
        <v>NORTH COTABATO</v>
      </c>
      <c r="C4050" s="164" t="str">
        <f ca="1">IFERROR(__xludf.DUMMYFUNCTION("""COMPUTED_VALUE"""),"Desktop Computer – (HP Pro SFF 280G9)")</f>
        <v>Desktop Computer – (HP Pro SFF 280G9)</v>
      </c>
      <c r="D4050" s="164" t="str">
        <f ca="1">IFERROR(__xludf.DUMMYFUNCTION("""COMPUTED_VALUE"""),"₱ 78,898.00")</f>
        <v>₱ 78,898.00</v>
      </c>
      <c r="E4050" s="164" t="str">
        <f ca="1">IFERROR(__xludf.DUMMYFUNCTION("""COMPUTED_VALUE"""),"₱ -")</f>
        <v>₱ -</v>
      </c>
      <c r="F4050" s="164" t="str">
        <f ca="1">IFERROR(__xludf.DUMMYFUNCTION("""COMPUTED_VALUE"""),"2023-05-03-10201SP433-01")</f>
        <v>2023-05-03-10201SP433-01</v>
      </c>
      <c r="G4050" s="164" t="str">
        <f ca="1">IFERROR(__xludf.DUMMYFUNCTION("""COMPUTED_VALUE"""),"4CE301DH8T")</f>
        <v>4CE301DH8T</v>
      </c>
      <c r="H4050" s="164" t="str">
        <f ca="1">IFERROR(__xludf.DUMMYFUNCTION("""COMPUTED_VALUE"""),"MARICEL G. BONA")</f>
        <v>MARICEL G. BONA</v>
      </c>
      <c r="I4050" s="164" t="str">
        <f ca="1">IFERROR(__xludf.DUMMYFUNCTION("""COMPUTED_VALUE"""),"MARPO")</f>
        <v>MARPO</v>
      </c>
      <c r="J4050" s="164" t="str">
        <f ca="1">IFERROR(__xludf.DUMMYFUNCTION("""COMPUTED_VALUE"""),"102-2023-10-045")</f>
        <v>102-2023-10-045</v>
      </c>
      <c r="K4050" s="164" t="str">
        <f ca="1">IFERROR(__xludf.DUMMYFUNCTION("""COMPUTED_VALUE"""),"MARICEL G. BONA")</f>
        <v>MARICEL G. BONA</v>
      </c>
      <c r="L4050" s="164" t="str">
        <f ca="1">IFERROR(__xludf.DUMMYFUNCTION("""COMPUTED_VALUE"""),"DARMO-PIGCAWAYAN")</f>
        <v>DARMO-PIGCAWAYAN</v>
      </c>
      <c r="M4050" s="164" t="str">
        <f ca="1">IFERROR(__xludf.DUMMYFUNCTION("""COMPUTED_VALUE"""),"SERVICEABLE")</f>
        <v>SERVICEABLE</v>
      </c>
      <c r="N4050" s="164"/>
    </row>
    <row r="4051" spans="1:14" ht="13.2">
      <c r="A4051" s="164" t="str">
        <f ca="1">IFERROR(__xludf.DUMMYFUNCTION("""COMPUTED_VALUE"""),"REGION XII")</f>
        <v>REGION XII</v>
      </c>
      <c r="B4051" s="164" t="str">
        <f ca="1">IFERROR(__xludf.DUMMYFUNCTION("""COMPUTED_VALUE"""),"NORTH COTABATO")</f>
        <v>NORTH COTABATO</v>
      </c>
      <c r="C4051" s="164" t="str">
        <f ca="1">IFERROR(__xludf.DUMMYFUNCTION("""COMPUTED_VALUE"""),"Desktop Computer – (HP Pro SFF 280G9)")</f>
        <v>Desktop Computer – (HP Pro SFF 280G9)</v>
      </c>
      <c r="D4051" s="164" t="str">
        <f ca="1">IFERROR(__xludf.DUMMYFUNCTION("""COMPUTED_VALUE"""),"₱ 78,898.00")</f>
        <v>₱ 78,898.00</v>
      </c>
      <c r="E4051" s="164" t="str">
        <f ca="1">IFERROR(__xludf.DUMMYFUNCTION("""COMPUTED_VALUE"""),"₱ -")</f>
        <v>₱ -</v>
      </c>
      <c r="F4051" s="164" t="str">
        <f ca="1">IFERROR(__xludf.DUMMYFUNCTION("""COMPUTED_VALUE"""),"2023-05-03-10201SP423-01")</f>
        <v>2023-05-03-10201SP423-01</v>
      </c>
      <c r="G4051" s="164" t="str">
        <f ca="1">IFERROR(__xludf.DUMMYFUNCTION("""COMPUTED_VALUE"""),"4CE301DSHP")</f>
        <v>4CE301DSHP</v>
      </c>
      <c r="H4051" s="164" t="str">
        <f ca="1">IFERROR(__xludf.DUMMYFUNCTION("""COMPUTED_VALUE"""),"DIVINA C. DELCANO")</f>
        <v>DIVINA C. DELCANO</v>
      </c>
      <c r="I4051" s="164" t="str">
        <f ca="1">IFERROR(__xludf.DUMMYFUNCTION("""COMPUTED_VALUE"""),"SARPO")</f>
        <v>SARPO</v>
      </c>
      <c r="J4051" s="164" t="str">
        <f ca="1">IFERROR(__xludf.DUMMYFUNCTION("""COMPUTED_VALUE"""),"102-2023-10-046")</f>
        <v>102-2023-10-046</v>
      </c>
      <c r="K4051" s="164" t="str">
        <f ca="1">IFERROR(__xludf.DUMMYFUNCTION("""COMPUTED_VALUE"""),"KENT JOUSEL S. AUSTRIA")</f>
        <v>KENT JOUSEL S. AUSTRIA</v>
      </c>
      <c r="L4051" s="164" t="str">
        <f ca="1">IFERROR(__xludf.DUMMYFUNCTION("""COMPUTED_VALUE"""),"DARPO-LTID")</f>
        <v>DARPO-LTID</v>
      </c>
      <c r="M4051" s="164" t="str">
        <f ca="1">IFERROR(__xludf.DUMMYFUNCTION("""COMPUTED_VALUE"""),"SERVICEABLE")</f>
        <v>SERVICEABLE</v>
      </c>
      <c r="N4051" s="164"/>
    </row>
    <row r="4052" spans="1:14" ht="13.2">
      <c r="A4052" s="164" t="str">
        <f ca="1">IFERROR(__xludf.DUMMYFUNCTION("""COMPUTED_VALUE"""),"REGION XII")</f>
        <v>REGION XII</v>
      </c>
      <c r="B4052" s="164" t="str">
        <f ca="1">IFERROR(__xludf.DUMMYFUNCTION("""COMPUTED_VALUE"""),"NORTH COTABATO")</f>
        <v>NORTH COTABATO</v>
      </c>
      <c r="C4052" s="164" t="str">
        <f ca="1">IFERROR(__xludf.DUMMYFUNCTION("""COMPUTED_VALUE"""),"Desktop Computer – (HP Pro SFF 280G9)")</f>
        <v>Desktop Computer – (HP Pro SFF 280G9)</v>
      </c>
      <c r="D4052" s="164" t="str">
        <f ca="1">IFERROR(__xludf.DUMMYFUNCTION("""COMPUTED_VALUE"""),"₱ 78,898.00")</f>
        <v>₱ 78,898.00</v>
      </c>
      <c r="E4052" s="164" t="str">
        <f ca="1">IFERROR(__xludf.DUMMYFUNCTION("""COMPUTED_VALUE"""),"₱ -")</f>
        <v>₱ -</v>
      </c>
      <c r="F4052" s="164" t="str">
        <f ca="1">IFERROR(__xludf.DUMMYFUNCTION("""COMPUTED_VALUE"""),"2023-05-03-10201SP422-01")</f>
        <v>2023-05-03-10201SP422-01</v>
      </c>
      <c r="G4052" s="164" t="str">
        <f ca="1">IFERROR(__xludf.DUMMYFUNCTION("""COMPUTED_VALUE"""),"4CE301DH61")</f>
        <v>4CE301DH61</v>
      </c>
      <c r="H4052" s="164" t="str">
        <f ca="1">IFERROR(__xludf.DUMMYFUNCTION("""COMPUTED_VALUE"""),"ENGR. MELODY SARIP")</f>
        <v>ENGR. MELODY SARIP</v>
      </c>
      <c r="I4052" s="164" t="str">
        <f ca="1">IFERROR(__xludf.DUMMYFUNCTION("""COMPUTED_VALUE"""),"PLANNING OFFICER II")</f>
        <v>PLANNING OFFICER II</v>
      </c>
      <c r="J4052" s="164" t="str">
        <f ca="1">IFERROR(__xludf.DUMMYFUNCTION("""COMPUTED_VALUE"""),"102-2023-10-047")</f>
        <v>102-2023-10-047</v>
      </c>
      <c r="K4052" s="164" t="str">
        <f ca="1">IFERROR(__xludf.DUMMYFUNCTION("""COMPUTED_VALUE"""),"ENGR. MELODY SARIP")</f>
        <v>ENGR. MELODY SARIP</v>
      </c>
      <c r="L4052" s="164" t="str">
        <f ca="1">IFERROR(__xludf.DUMMYFUNCTION("""COMPUTED_VALUE"""),"DARPO-STOD")</f>
        <v>DARPO-STOD</v>
      </c>
      <c r="M4052" s="164" t="str">
        <f ca="1">IFERROR(__xludf.DUMMYFUNCTION("""COMPUTED_VALUE"""),"SERVICEABLE")</f>
        <v>SERVICEABLE</v>
      </c>
      <c r="N4052" s="164"/>
    </row>
    <row r="4053" spans="1:14" ht="13.2">
      <c r="A4053" s="164" t="str">
        <f ca="1">IFERROR(__xludf.DUMMYFUNCTION("""COMPUTED_VALUE"""),"REGION XII")</f>
        <v>REGION XII</v>
      </c>
      <c r="B4053" s="164" t="str">
        <f ca="1">IFERROR(__xludf.DUMMYFUNCTION("""COMPUTED_VALUE"""),"NORTH COTABATO")</f>
        <v>NORTH COTABATO</v>
      </c>
      <c r="C4053" s="164" t="str">
        <f ca="1">IFERROR(__xludf.DUMMYFUNCTION("""COMPUTED_VALUE"""),"Desktop Computer – (HP Pro SFF 280G9)")</f>
        <v>Desktop Computer – (HP Pro SFF 280G9)</v>
      </c>
      <c r="D4053" s="164" t="str">
        <f ca="1">IFERROR(__xludf.DUMMYFUNCTION("""COMPUTED_VALUE"""),"₱ 78,898.00")</f>
        <v>₱ 78,898.00</v>
      </c>
      <c r="E4053" s="164" t="str">
        <f ca="1">IFERROR(__xludf.DUMMYFUNCTION("""COMPUTED_VALUE"""),"₱ -")</f>
        <v>₱ -</v>
      </c>
      <c r="F4053" s="164" t="str">
        <f ca="1">IFERROR(__xludf.DUMMYFUNCTION("""COMPUTED_VALUE"""),"2023-05-03-10201SP428-01")</f>
        <v>2023-05-03-10201SP428-01</v>
      </c>
      <c r="G4053" s="164" t="str">
        <f ca="1">IFERROR(__xludf.DUMMYFUNCTION("""COMPUTED_VALUE"""),"4CE301DHBH")</f>
        <v>4CE301DHBH</v>
      </c>
      <c r="H4053" s="164" t="str">
        <f ca="1">IFERROR(__xludf.DUMMYFUNCTION("""COMPUTED_VALUE"""),"ROHAIMA T. LATIP")</f>
        <v>ROHAIMA T. LATIP</v>
      </c>
      <c r="I4053" s="164" t="str">
        <f ca="1">IFERROR(__xludf.DUMMYFUNCTION("""COMPUTED_VALUE"""),"ARPO II")</f>
        <v>ARPO II</v>
      </c>
      <c r="J4053" s="164" t="str">
        <f ca="1">IFERROR(__xludf.DUMMYFUNCTION("""COMPUTED_VALUE"""),"102-2023-10-045")</f>
        <v>102-2023-10-045</v>
      </c>
      <c r="K4053" s="164" t="str">
        <f ca="1">IFERROR(__xludf.DUMMYFUNCTION("""COMPUTED_VALUE"""),"JHOANNA FE B. BOOC")</f>
        <v>JHOANNA FE B. BOOC</v>
      </c>
      <c r="L4053" s="164" t="str">
        <f ca="1">IFERROR(__xludf.DUMMYFUNCTION("""COMPUTED_VALUE"""),"DARPO-LEGAL")</f>
        <v>DARPO-LEGAL</v>
      </c>
      <c r="M4053" s="164" t="str">
        <f ca="1">IFERROR(__xludf.DUMMYFUNCTION("""COMPUTED_VALUE"""),"SERVICEABLE")</f>
        <v>SERVICEABLE</v>
      </c>
      <c r="N4053" s="164"/>
    </row>
    <row r="4054" spans="1:14" ht="13.2" hidden="1">
      <c r="A4054" s="164" t="str">
        <f ca="1">IFERROR(__xludf.DUMMYFUNCTION("""COMPUTED_VALUE"""),"REGION XII")</f>
        <v>REGION XII</v>
      </c>
      <c r="B4054" s="164" t="str">
        <f ca="1">IFERROR(__xludf.DUMMYFUNCTION("""COMPUTED_VALUE"""),"DARRO")</f>
        <v>DARRO</v>
      </c>
      <c r="C4054" s="164" t="str">
        <f ca="1">IFERROR(__xludf.DUMMYFUNCTION("""COMPUTED_VALUE"""),"Desktop Computer – (HP Pro SFF 280G9)")</f>
        <v>Desktop Computer – (HP Pro SFF 280G9)</v>
      </c>
      <c r="D4054" s="164" t="str">
        <f ca="1">IFERROR(__xludf.DUMMYFUNCTION("""COMPUTED_VALUE"""),"₱ 78,898.00")</f>
        <v>₱ 78,898.00</v>
      </c>
      <c r="E4054" s="164" t="str">
        <f ca="1">IFERROR(__xludf.DUMMYFUNCTION("""COMPUTED_VALUE"""),"₱ -")</f>
        <v>₱ -</v>
      </c>
      <c r="F4054" s="164" t="str">
        <f ca="1">IFERROR(__xludf.DUMMYFUNCTION("""COMPUTED_VALUE"""),"2023-05-03-10201SP429-01")</f>
        <v>2023-05-03-10201SP429-01</v>
      </c>
      <c r="G4054" s="164" t="str">
        <f ca="1">IFERROR(__xludf.DUMMYFUNCTION("""COMPUTED_VALUE"""),"4CE301DHB5")</f>
        <v>4CE301DHB5</v>
      </c>
      <c r="H4054" s="164" t="str">
        <f ca="1">IFERROR(__xludf.DUMMYFUNCTION("""COMPUTED_VALUE"""),"ALLIAH S. BANTO")</f>
        <v>ALLIAH S. BANTO</v>
      </c>
      <c r="I4054" s="164" t="str">
        <f ca="1">IFERROR(__xludf.DUMMYFUNCTION("""COMPUTED_VALUE"""),"ARPT")</f>
        <v>ARPT</v>
      </c>
      <c r="J4054" s="164" t="str">
        <f ca="1">IFERROR(__xludf.DUMMYFUNCTION("""COMPUTED_VALUE"""),"SPLIT-2023-017")</f>
        <v>SPLIT-2023-017</v>
      </c>
      <c r="K4054" s="164" t="str">
        <f ca="1">IFERROR(__xludf.DUMMYFUNCTION("""COMPUTED_VALUE"""),"ALLIAH S. BANTO")</f>
        <v>ALLIAH S. BANTO</v>
      </c>
      <c r="L4054" s="164" t="str">
        <f ca="1">IFERROR(__xludf.DUMMYFUNCTION("""COMPUTED_VALUE"""),"SUPPLY SECTION")</f>
        <v>SUPPLY SECTION</v>
      </c>
      <c r="M4054" s="164" t="str">
        <f ca="1">IFERROR(__xludf.DUMMYFUNCTION("""COMPUTED_VALUE"""),"SERVICEABLE")</f>
        <v>SERVICEABLE</v>
      </c>
      <c r="N4054" s="164"/>
    </row>
    <row r="4055" spans="1:14" ht="13.2" hidden="1">
      <c r="A4055" s="164" t="str">
        <f ca="1">IFERROR(__xludf.DUMMYFUNCTION("""COMPUTED_VALUE"""),"REGION XII")</f>
        <v>REGION XII</v>
      </c>
      <c r="B4055" s="164" t="str">
        <f ca="1">IFERROR(__xludf.DUMMYFUNCTION("""COMPUTED_VALUE"""),"DARRO")</f>
        <v>DARRO</v>
      </c>
      <c r="C4055" s="164" t="str">
        <f ca="1">IFERROR(__xludf.DUMMYFUNCTION("""COMPUTED_VALUE"""),"Desktop Computer – (HP Pro SFF 280G9)")</f>
        <v>Desktop Computer – (HP Pro SFF 280G9)</v>
      </c>
      <c r="D4055" s="164" t="str">
        <f ca="1">IFERROR(__xludf.DUMMYFUNCTION("""COMPUTED_VALUE"""),"₱ 78,898.00")</f>
        <v>₱ 78,898.00</v>
      </c>
      <c r="E4055" s="164" t="str">
        <f ca="1">IFERROR(__xludf.DUMMYFUNCTION("""COMPUTED_VALUE"""),"₱ -")</f>
        <v>₱ -</v>
      </c>
      <c r="F4055" s="164" t="str">
        <f ca="1">IFERROR(__xludf.DUMMYFUNCTION("""COMPUTED_VALUE"""),"2023-05-03-10201SP430-01")</f>
        <v>2023-05-03-10201SP430-01</v>
      </c>
      <c r="G4055" s="164" t="str">
        <f ca="1">IFERROR(__xludf.DUMMYFUNCTION("""COMPUTED_VALUE"""),"4CE301DH6T")</f>
        <v>4CE301DH6T</v>
      </c>
      <c r="H4055" s="164" t="str">
        <f ca="1">IFERROR(__xludf.DUMMYFUNCTION("""COMPUTED_VALUE"""),"ATTY. KEVIN LAVIÑA")</f>
        <v>ATTY. KEVIN LAVIÑA</v>
      </c>
      <c r="I4055" s="164" t="str">
        <f ca="1">IFERROR(__xludf.DUMMYFUNCTION("""COMPUTED_VALUE"""),"ATTORNEY III")</f>
        <v>ATTORNEY III</v>
      </c>
      <c r="J4055" s="164" t="str">
        <f ca="1">IFERROR(__xludf.DUMMYFUNCTION("""COMPUTED_VALUE"""),"SPLIT-2023-018")</f>
        <v>SPLIT-2023-018</v>
      </c>
      <c r="K4055" s="164" t="str">
        <f ca="1">IFERROR(__xludf.DUMMYFUNCTION("""COMPUTED_VALUE"""),"ATTY. KEVIN LAVIÑA")</f>
        <v>ATTY. KEVIN LAVIÑA</v>
      </c>
      <c r="L4055" s="164" t="str">
        <f ca="1">IFERROR(__xludf.DUMMYFUNCTION("""COMPUTED_VALUE"""),"LEGAL DIVISION")</f>
        <v>LEGAL DIVISION</v>
      </c>
      <c r="M4055" s="164" t="str">
        <f ca="1">IFERROR(__xludf.DUMMYFUNCTION("""COMPUTED_VALUE"""),"SERVICEABLE")</f>
        <v>SERVICEABLE</v>
      </c>
      <c r="N4055" s="164"/>
    </row>
    <row r="4056" spans="1:14" ht="13.2" hidden="1">
      <c r="A4056" s="164" t="str">
        <f ca="1">IFERROR(__xludf.DUMMYFUNCTION("""COMPUTED_VALUE"""),"REGION XII")</f>
        <v>REGION XII</v>
      </c>
      <c r="B4056" s="164" t="str">
        <f ca="1">IFERROR(__xludf.DUMMYFUNCTION("""COMPUTED_VALUE"""),"DARRO")</f>
        <v>DARRO</v>
      </c>
      <c r="C4056" s="164" t="str">
        <f ca="1">IFERROR(__xludf.DUMMYFUNCTION("""COMPUTED_VALUE"""),"Desktop Computer – (HP Pro SFF 280G9)")</f>
        <v>Desktop Computer – (HP Pro SFF 280G9)</v>
      </c>
      <c r="D4056" s="164" t="str">
        <f ca="1">IFERROR(__xludf.DUMMYFUNCTION("""COMPUTED_VALUE"""),"₱ 78,898.00")</f>
        <v>₱ 78,898.00</v>
      </c>
      <c r="E4056" s="164" t="str">
        <f ca="1">IFERROR(__xludf.DUMMYFUNCTION("""COMPUTED_VALUE"""),"₱ -")</f>
        <v>₱ -</v>
      </c>
      <c r="F4056" s="164" t="str">
        <f ca="1">IFERROR(__xludf.DUMMYFUNCTION("""COMPUTED_VALUE"""),"2023-05-03-10201SP431-01")</f>
        <v>2023-05-03-10201SP431-01</v>
      </c>
      <c r="G4056" s="164" t="str">
        <f ca="1">IFERROR(__xludf.DUMMYFUNCTION("""COMPUTED_VALUE"""),"4CE301DSJ9")</f>
        <v>4CE301DSJ9</v>
      </c>
      <c r="H4056" s="164" t="str">
        <f ca="1">IFERROR(__xludf.DUMMYFUNCTION("""COMPUTED_VALUE"""),"RACHEL S. GUERRA")</f>
        <v>RACHEL S. GUERRA</v>
      </c>
      <c r="I4056" s="164" t="str">
        <f ca="1">IFERROR(__xludf.DUMMYFUNCTION("""COMPUTED_VALUE"""),"ARPO II")</f>
        <v>ARPO II</v>
      </c>
      <c r="J4056" s="164" t="str">
        <f ca="1">IFERROR(__xludf.DUMMYFUNCTION("""COMPUTED_VALUE"""),"SPLIT-2023-019")</f>
        <v>SPLIT-2023-019</v>
      </c>
      <c r="K4056" s="164" t="str">
        <f ca="1">IFERROR(__xludf.DUMMYFUNCTION("""COMPUTED_VALUE"""),"RACHEL S. GUERRA")</f>
        <v>RACHEL S. GUERRA</v>
      </c>
      <c r="L4056" s="164" t="str">
        <f ca="1">IFERROR(__xludf.DUMMYFUNCTION("""COMPUTED_VALUE"""),"PBDD OFFICE")</f>
        <v>PBDD OFFICE</v>
      </c>
      <c r="M4056" s="164" t="str">
        <f ca="1">IFERROR(__xludf.DUMMYFUNCTION("""COMPUTED_VALUE"""),"SERVICEABLE")</f>
        <v>SERVICEABLE</v>
      </c>
      <c r="N4056" s="164"/>
    </row>
    <row r="4057" spans="1:14" ht="13.2" hidden="1">
      <c r="A4057" s="164" t="str">
        <f ca="1">IFERROR(__xludf.DUMMYFUNCTION("""COMPUTED_VALUE"""),"REGION XII")</f>
        <v>REGION XII</v>
      </c>
      <c r="B4057" s="164" t="str">
        <f ca="1">IFERROR(__xludf.DUMMYFUNCTION("""COMPUTED_VALUE"""),"DARRO")</f>
        <v>DARRO</v>
      </c>
      <c r="C4057" s="164" t="str">
        <f ca="1">IFERROR(__xludf.DUMMYFUNCTION("""COMPUTED_VALUE"""),"Desktop Computer – (HP Pro SFF 280G9)")</f>
        <v>Desktop Computer – (HP Pro SFF 280G9)</v>
      </c>
      <c r="D4057" s="164" t="str">
        <f ca="1">IFERROR(__xludf.DUMMYFUNCTION("""COMPUTED_VALUE"""),"₱ 78,898.00")</f>
        <v>₱ 78,898.00</v>
      </c>
      <c r="E4057" s="164" t="str">
        <f ca="1">IFERROR(__xludf.DUMMYFUNCTION("""COMPUTED_VALUE"""),"₱ -")</f>
        <v>₱ -</v>
      </c>
      <c r="F4057" s="164" t="str">
        <f ca="1">IFERROR(__xludf.DUMMYFUNCTION("""COMPUTED_VALUE"""),"2023-05-03-10201SP432-01")</f>
        <v>2023-05-03-10201SP432-01</v>
      </c>
      <c r="G4057" s="164" t="str">
        <f ca="1">IFERROR(__xludf.DUMMYFUNCTION("""COMPUTED_VALUE"""),"4CE301DH6B")</f>
        <v>4CE301DH6B</v>
      </c>
      <c r="H4057" s="164" t="str">
        <f ca="1">IFERROR(__xludf.DUMMYFUNCTION("""COMPUTED_VALUE"""),"ENGR. TADJODEN NAGA")</f>
        <v>ENGR. TADJODEN NAGA</v>
      </c>
      <c r="I4057" s="164" t="str">
        <f ca="1">IFERROR(__xludf.DUMMYFUNCTION("""COMPUTED_VALUE"""),"SURVEY SECTION CHIEF")</f>
        <v>SURVEY SECTION CHIEF</v>
      </c>
      <c r="J4057" s="164" t="str">
        <f ca="1">IFERROR(__xludf.DUMMYFUNCTION("""COMPUTED_VALUE"""),"SPLIT-2023-020")</f>
        <v>SPLIT-2023-020</v>
      </c>
      <c r="K4057" s="164" t="str">
        <f ca="1">IFERROR(__xludf.DUMMYFUNCTION("""COMPUTED_VALUE"""),"ENGR. TADJODEN NAGA")</f>
        <v>ENGR. TADJODEN NAGA</v>
      </c>
      <c r="L4057" s="164" t="str">
        <f ca="1">IFERROR(__xludf.DUMMYFUNCTION("""COMPUTED_VALUE"""),"DEPLOYED AT DENR REGIONAL OFFICE")</f>
        <v>DEPLOYED AT DENR REGIONAL OFFICE</v>
      </c>
      <c r="M4057" s="164" t="str">
        <f ca="1">IFERROR(__xludf.DUMMYFUNCTION("""COMPUTED_VALUE"""),"SERVICEABLE")</f>
        <v>SERVICEABLE</v>
      </c>
      <c r="N4057" s="164"/>
    </row>
    <row r="4058" spans="1:14" ht="13.2" hidden="1">
      <c r="A4058" s="164" t="str">
        <f ca="1">IFERROR(__xludf.DUMMYFUNCTION("""COMPUTED_VALUE"""),"REGION XII")</f>
        <v>REGION XII</v>
      </c>
      <c r="B4058" s="164" t="str">
        <f ca="1">IFERROR(__xludf.DUMMYFUNCTION("""COMPUTED_VALUE"""),"DARRO")</f>
        <v>DARRO</v>
      </c>
      <c r="C4058" s="164" t="str">
        <f ca="1">IFERROR(__xludf.DUMMYFUNCTION("""COMPUTED_VALUE"""),"Desktop Computer – (HP Pro SFF 280G9)")</f>
        <v>Desktop Computer – (HP Pro SFF 280G9)</v>
      </c>
      <c r="D4058" s="164" t="str">
        <f ca="1">IFERROR(__xludf.DUMMYFUNCTION("""COMPUTED_VALUE"""),"₱ 78,898.00")</f>
        <v>₱ 78,898.00</v>
      </c>
      <c r="E4058" s="164" t="str">
        <f ca="1">IFERROR(__xludf.DUMMYFUNCTION("""COMPUTED_VALUE"""),"₱ -")</f>
        <v>₱ -</v>
      </c>
      <c r="F4058" s="164" t="str">
        <f ca="1">IFERROR(__xludf.DUMMYFUNCTION("""COMPUTED_VALUE"""),"2023-05-03-10201SP433-01")</f>
        <v>2023-05-03-10201SP433-01</v>
      </c>
      <c r="G4058" s="164" t="str">
        <f ca="1">IFERROR(__xludf.DUMMYFUNCTION("""COMPUTED_VALUE"""),"4CE301DH8T")</f>
        <v>4CE301DH8T</v>
      </c>
      <c r="H4058" s="164" t="str">
        <f ca="1">IFERROR(__xludf.DUMMYFUNCTION("""COMPUTED_VALUE"""),"ENGR. TADJODEN NAGA")</f>
        <v>ENGR. TADJODEN NAGA</v>
      </c>
      <c r="I4058" s="164" t="str">
        <f ca="1">IFERROR(__xludf.DUMMYFUNCTION("""COMPUTED_VALUE"""),"SURVEY SECTION CHIEF")</f>
        <v>SURVEY SECTION CHIEF</v>
      </c>
      <c r="J4058" s="164" t="str">
        <f ca="1">IFERROR(__xludf.DUMMYFUNCTION("""COMPUTED_VALUE"""),"SPLIT-2023-021")</f>
        <v>SPLIT-2023-021</v>
      </c>
      <c r="K4058" s="164" t="str">
        <f ca="1">IFERROR(__xludf.DUMMYFUNCTION("""COMPUTED_VALUE"""),"ENGR. TADJODEN NAGA")</f>
        <v>ENGR. TADJODEN NAGA</v>
      </c>
      <c r="L4058" s="164" t="str">
        <f ca="1">IFERROR(__xludf.DUMMYFUNCTION("""COMPUTED_VALUE"""),"DEPLOYED AT DENR REGIONAL OFFICE")</f>
        <v>DEPLOYED AT DENR REGIONAL OFFICE</v>
      </c>
      <c r="M4058" s="164" t="str">
        <f ca="1">IFERROR(__xludf.DUMMYFUNCTION("""COMPUTED_VALUE"""),"SERVICEABLE")</f>
        <v>SERVICEABLE</v>
      </c>
      <c r="N4058" s="164"/>
    </row>
    <row r="4059" spans="1:14" ht="13.2">
      <c r="A4059" s="164" t="str">
        <f ca="1">IFERROR(__xludf.DUMMYFUNCTION("""COMPUTED_VALUE"""),"REGION XII")</f>
        <v>REGION XII</v>
      </c>
      <c r="B4059" s="164" t="str">
        <f ca="1">IFERROR(__xludf.DUMMYFUNCTION("""COMPUTED_VALUE"""),"SARANGANI")</f>
        <v>SARANGANI</v>
      </c>
      <c r="C4059" s="164" t="str">
        <f ca="1">IFERROR(__xludf.DUMMYFUNCTION("""COMPUTED_VALUE"""),"Laptop – (ACER EXTENSA EX215-55G i7)")</f>
        <v>Laptop – (ACER EXTENSA EX215-55G i7)</v>
      </c>
      <c r="D4059" s="164" t="str">
        <f ca="1">IFERROR(__xludf.DUMMYFUNCTION("""COMPUTED_VALUE"""),"₱ 59,500.00")</f>
        <v>₱ 59,500.00</v>
      </c>
      <c r="E4059" s="164" t="str">
        <f ca="1">IFERROR(__xludf.DUMMYFUNCTION("""COMPUTED_VALUE"""),"₱ -")</f>
        <v>₱ -</v>
      </c>
      <c r="F4059" s="164" t="str">
        <f ca="1">IFERROR(__xludf.DUMMYFUNCTION("""COMPUTED_VALUE"""),"2023-05-03-10202SP357-01")</f>
        <v>2023-05-03-10202SP357-01</v>
      </c>
      <c r="G4059" s="164" t="str">
        <f ca="1">IFERROR(__xludf.DUMMYFUNCTION("""COMPUTED_VALUE"""),"NXEGZSP00330801BE03400")</f>
        <v>NXEGZSP00330801BE03400</v>
      </c>
      <c r="H4059" s="164" t="str">
        <f ca="1">IFERROR(__xludf.DUMMYFUNCTION("""COMPUTED_VALUE"""),"JOHN REY TARRAJA")</f>
        <v>JOHN REY TARRAJA</v>
      </c>
      <c r="I4059" s="164" t="str">
        <f ca="1">IFERROR(__xludf.DUMMYFUNCTION("""COMPUTED_VALUE"""),"SARPO")</f>
        <v>SARPO</v>
      </c>
      <c r="J4059" s="164" t="str">
        <f ca="1">IFERROR(__xludf.DUMMYFUNCTION("""COMPUTED_VALUE"""),"2023-09-098")</f>
        <v>2023-09-098</v>
      </c>
      <c r="K4059" s="164" t="str">
        <f ca="1">IFERROR(__xludf.DUMMYFUNCTION("""COMPUTED_VALUE"""),"JOHN REY TARRAJA")</f>
        <v>JOHN REY TARRAJA</v>
      </c>
      <c r="L4059" s="164" t="str">
        <f ca="1">IFERROR(__xludf.DUMMYFUNCTION("""COMPUTED_VALUE"""),"LTID")</f>
        <v>LTID</v>
      </c>
      <c r="M4059" s="164" t="str">
        <f ca="1">IFERROR(__xludf.DUMMYFUNCTION("""COMPUTED_VALUE"""),"SERVICEABLE")</f>
        <v>SERVICEABLE</v>
      </c>
      <c r="N4059" s="164"/>
    </row>
    <row r="4060" spans="1:14" ht="13.2">
      <c r="A4060" s="164" t="str">
        <f ca="1">IFERROR(__xludf.DUMMYFUNCTION("""COMPUTED_VALUE"""),"REGION XII")</f>
        <v>REGION XII</v>
      </c>
      <c r="B4060" s="164" t="str">
        <f ca="1">IFERROR(__xludf.DUMMYFUNCTION("""COMPUTED_VALUE"""),"SARANGANI")</f>
        <v>SARANGANI</v>
      </c>
      <c r="C4060" s="164" t="str">
        <f ca="1">IFERROR(__xludf.DUMMYFUNCTION("""COMPUTED_VALUE"""),"Laptop – (ACER EXTENSA EX215-55G i7)")</f>
        <v>Laptop – (ACER EXTENSA EX215-55G i7)</v>
      </c>
      <c r="D4060" s="164" t="str">
        <f ca="1">IFERROR(__xludf.DUMMYFUNCTION("""COMPUTED_VALUE"""),"₱ 59,500.00")</f>
        <v>₱ 59,500.00</v>
      </c>
      <c r="E4060" s="164" t="str">
        <f ca="1">IFERROR(__xludf.DUMMYFUNCTION("""COMPUTED_VALUE"""),"₱ -")</f>
        <v>₱ -</v>
      </c>
      <c r="F4060" s="164" t="str">
        <f ca="1">IFERROR(__xludf.DUMMYFUNCTION("""COMPUTED_VALUE"""),"2023-05-03-10202SP363-01")</f>
        <v>2023-05-03-10202SP363-01</v>
      </c>
      <c r="G4060" s="164" t="str">
        <f ca="1">IFERROR(__xludf.DUMMYFUNCTION("""COMPUTED_VALUE"""),"NXEGZSP00330801B933400")</f>
        <v>NXEGZSP00330801B933400</v>
      </c>
      <c r="H4060" s="164" t="str">
        <f ca="1">IFERROR(__xludf.DUMMYFUNCTION("""COMPUTED_VALUE"""),"JOHN GAMAD")</f>
        <v>JOHN GAMAD</v>
      </c>
      <c r="I4060" s="164" t="str">
        <f ca="1">IFERROR(__xludf.DUMMYFUNCTION("""COMPUTED_VALUE"""),"CARPO-PBDD")</f>
        <v>CARPO-PBDD</v>
      </c>
      <c r="J4060" s="164" t="str">
        <f ca="1">IFERROR(__xludf.DUMMYFUNCTION("""COMPUTED_VALUE"""),"2023-09-097")</f>
        <v>2023-09-097</v>
      </c>
      <c r="K4060" s="164" t="str">
        <f ca="1">IFERROR(__xludf.DUMMYFUNCTION("""COMPUTED_VALUE"""),"JOHN GAMAD")</f>
        <v>JOHN GAMAD</v>
      </c>
      <c r="L4060" s="164" t="str">
        <f ca="1">IFERROR(__xludf.DUMMYFUNCTION("""COMPUTED_VALUE"""),"LTID")</f>
        <v>LTID</v>
      </c>
      <c r="M4060" s="164" t="str">
        <f ca="1">IFERROR(__xludf.DUMMYFUNCTION("""COMPUTED_VALUE"""),"SERVICEABLE")</f>
        <v>SERVICEABLE</v>
      </c>
      <c r="N4060" s="164"/>
    </row>
    <row r="4061" spans="1:14" ht="13.2">
      <c r="A4061" s="164" t="str">
        <f ca="1">IFERROR(__xludf.DUMMYFUNCTION("""COMPUTED_VALUE"""),"REGION XII")</f>
        <v>REGION XII</v>
      </c>
      <c r="B4061" s="164" t="str">
        <f ca="1">IFERROR(__xludf.DUMMYFUNCTION("""COMPUTED_VALUE"""),"SARANGANI")</f>
        <v>SARANGANI</v>
      </c>
      <c r="C4061" s="164" t="str">
        <f ca="1">IFERROR(__xludf.DUMMYFUNCTION("""COMPUTED_VALUE"""),"Laptop – (ACER EXTENSA EX215-55G i7)")</f>
        <v>Laptop – (ACER EXTENSA EX215-55G i7)</v>
      </c>
      <c r="D4061" s="164" t="str">
        <f ca="1">IFERROR(__xludf.DUMMYFUNCTION("""COMPUTED_VALUE"""),"₱ 59,500.00")</f>
        <v>₱ 59,500.00</v>
      </c>
      <c r="E4061" s="164" t="str">
        <f ca="1">IFERROR(__xludf.DUMMYFUNCTION("""COMPUTED_VALUE"""),"₱ -")</f>
        <v>₱ -</v>
      </c>
      <c r="F4061" s="164" t="str">
        <f ca="1">IFERROR(__xludf.DUMMYFUNCTION("""COMPUTED_VALUE"""),"2023-05-03-10202SP362-01")</f>
        <v>2023-05-03-10202SP362-01</v>
      </c>
      <c r="G4061" s="164" t="str">
        <f ca="1">IFERROR(__xludf.DUMMYFUNCTION("""COMPUTED_VALUE"""),"NXEGZSP00330801BC03400")</f>
        <v>NXEGZSP00330801BC03400</v>
      </c>
      <c r="H4061" s="164" t="str">
        <f ca="1">IFERROR(__xludf.DUMMYFUNCTION("""COMPUTED_VALUE"""),"ARMIE ORACION")</f>
        <v>ARMIE ORACION</v>
      </c>
      <c r="I4061" s="164" t="str">
        <f ca="1">IFERROR(__xludf.DUMMYFUNCTION("""COMPUTED_VALUE"""),"ARPO I")</f>
        <v>ARPO I</v>
      </c>
      <c r="J4061" s="164" t="str">
        <f ca="1">IFERROR(__xludf.DUMMYFUNCTION("""COMPUTED_VALUE"""),"2023-09-096")</f>
        <v>2023-09-096</v>
      </c>
      <c r="K4061" s="164" t="str">
        <f ca="1">IFERROR(__xludf.DUMMYFUNCTION("""COMPUTED_VALUE"""),"ARMIE ORACION")</f>
        <v>ARMIE ORACION</v>
      </c>
      <c r="L4061" s="164" t="str">
        <f ca="1">IFERROR(__xludf.DUMMYFUNCTION("""COMPUTED_VALUE"""),"LTID")</f>
        <v>LTID</v>
      </c>
      <c r="M4061" s="164" t="str">
        <f ca="1">IFERROR(__xludf.DUMMYFUNCTION("""COMPUTED_VALUE"""),"SERVICEABLE")</f>
        <v>SERVICEABLE</v>
      </c>
      <c r="N4061" s="164"/>
    </row>
    <row r="4062" spans="1:14" ht="13.2">
      <c r="A4062" s="164" t="str">
        <f ca="1">IFERROR(__xludf.DUMMYFUNCTION("""COMPUTED_VALUE"""),"REGION XII")</f>
        <v>REGION XII</v>
      </c>
      <c r="B4062" s="164" t="str">
        <f ca="1">IFERROR(__xludf.DUMMYFUNCTION("""COMPUTED_VALUE"""),"SARANGANI")</f>
        <v>SARANGANI</v>
      </c>
      <c r="C4062" s="164" t="str">
        <f ca="1">IFERROR(__xludf.DUMMYFUNCTION("""COMPUTED_VALUE"""),"Laptop – (ACER EXTENSA EX215-55G i7)")</f>
        <v>Laptop – (ACER EXTENSA EX215-55G i7)</v>
      </c>
      <c r="D4062" s="164" t="str">
        <f ca="1">IFERROR(__xludf.DUMMYFUNCTION("""COMPUTED_VALUE"""),"₱ 59,500.00")</f>
        <v>₱ 59,500.00</v>
      </c>
      <c r="E4062" s="164" t="str">
        <f ca="1">IFERROR(__xludf.DUMMYFUNCTION("""COMPUTED_VALUE"""),"₱ -")</f>
        <v>₱ -</v>
      </c>
      <c r="F4062" s="164" t="str">
        <f ca="1">IFERROR(__xludf.DUMMYFUNCTION("""COMPUTED_VALUE"""),"2023-05-03-10202SP356-01")</f>
        <v>2023-05-03-10202SP356-01</v>
      </c>
      <c r="G4062" s="164" t="str">
        <f ca="1">IFERROR(__xludf.DUMMYFUNCTION("""COMPUTED_VALUE"""),"NXEGZSP00330801D3A3400")</f>
        <v>NXEGZSP00330801D3A3400</v>
      </c>
      <c r="H4062" s="164" t="str">
        <f ca="1">IFERROR(__xludf.DUMMYFUNCTION("""COMPUTED_VALUE"""),"ABDUL KHARIM ODOYA")</f>
        <v>ABDUL KHARIM ODOYA</v>
      </c>
      <c r="I4062" s="164" t="str">
        <f ca="1">IFERROR(__xludf.DUMMYFUNCTION("""COMPUTED_VALUE"""),"OIC MARPO")</f>
        <v>OIC MARPO</v>
      </c>
      <c r="J4062" s="164" t="str">
        <f ca="1">IFERROR(__xludf.DUMMYFUNCTION("""COMPUTED_VALUE"""),"2023-09-095")</f>
        <v>2023-09-095</v>
      </c>
      <c r="K4062" s="164" t="str">
        <f ca="1">IFERROR(__xludf.DUMMYFUNCTION("""COMPUTED_VALUE"""),"ABDUL KHARIM ODOYA")</f>
        <v>ABDUL KHARIM ODOYA</v>
      </c>
      <c r="L4062" s="164" t="str">
        <f ca="1">IFERROR(__xludf.DUMMYFUNCTION("""COMPUTED_VALUE"""),"DARMO GLAN")</f>
        <v>DARMO GLAN</v>
      </c>
      <c r="M4062" s="164" t="str">
        <f ca="1">IFERROR(__xludf.DUMMYFUNCTION("""COMPUTED_VALUE"""),"SERVICEABLE")</f>
        <v>SERVICEABLE</v>
      </c>
      <c r="N4062" s="164"/>
    </row>
    <row r="4063" spans="1:14" ht="13.2" hidden="1">
      <c r="A4063" s="164" t="str">
        <f ca="1">IFERROR(__xludf.DUMMYFUNCTION("""COMPUTED_VALUE"""),"REGION XII")</f>
        <v>REGION XII</v>
      </c>
      <c r="B4063" s="164" t="str">
        <f ca="1">IFERROR(__xludf.DUMMYFUNCTION("""COMPUTED_VALUE"""),"SULTAN KUDARAT")</f>
        <v>SULTAN KUDARAT</v>
      </c>
      <c r="C4063" s="164" t="str">
        <f ca="1">IFERROR(__xludf.DUMMYFUNCTION("""COMPUTED_VALUE"""),"Laptop – (ACER EXTENSA EX215-55G i7)")</f>
        <v>Laptop – (ACER EXTENSA EX215-55G i7)</v>
      </c>
      <c r="D4063" s="164" t="str">
        <f ca="1">IFERROR(__xludf.DUMMYFUNCTION("""COMPUTED_VALUE"""),"₱ 59,500.00")</f>
        <v>₱ 59,500.00</v>
      </c>
      <c r="E4063" s="164" t="str">
        <f ca="1">IFERROR(__xludf.DUMMYFUNCTION("""COMPUTED_VALUE"""),"₱ -")</f>
        <v>₱ -</v>
      </c>
      <c r="F4063" s="164" t="str">
        <f ca="1">IFERROR(__xludf.DUMMYFUNCTION("""COMPUTED_VALUE"""),"12-SULKUD-GFF-S-23-05-10-107
 2023-05-03-10202SP372-01")</f>
        <v>12-SULKUD-GFF-S-23-05-10-107
 2023-05-03-10202SP372-01</v>
      </c>
      <c r="G4063" s="164" t="str">
        <f ca="1">IFERROR(__xludf.DUMMYFUNCTION("""COMPUTED_VALUE"""),"NXEG2P00330801CC83400")</f>
        <v>NXEG2P00330801CC83400</v>
      </c>
      <c r="H4063" s="164" t="str">
        <f ca="1">IFERROR(__xludf.DUMMYFUNCTION("""COMPUTED_VALUE"""),"ABDULLAH N. BALINDONG")</f>
        <v>ABDULLAH N. BALINDONG</v>
      </c>
      <c r="I4063" s="164" t="str">
        <f ca="1">IFERROR(__xludf.DUMMYFUNCTION("""COMPUTED_VALUE"""),"ARPO I")</f>
        <v>ARPO I</v>
      </c>
      <c r="J4063" s="164" t="str">
        <f ca="1">IFERROR(__xludf.DUMMYFUNCTION("""COMPUTED_VALUE"""),"2023-12-046")</f>
        <v>2023-12-046</v>
      </c>
      <c r="K4063" s="164" t="str">
        <f ca="1">IFERROR(__xludf.DUMMYFUNCTION("""COMPUTED_VALUE"""),"ABDULLAH N. BALINDONG")</f>
        <v>ABDULLAH N. BALINDONG</v>
      </c>
      <c r="L4063" s="164" t="str">
        <f ca="1">IFERROR(__xludf.DUMMYFUNCTION("""COMPUTED_VALUE"""),"STOD")</f>
        <v>STOD</v>
      </c>
      <c r="M4063" s="164" t="str">
        <f ca="1">IFERROR(__xludf.DUMMYFUNCTION("""COMPUTED_VALUE"""),"SERVICEABLE")</f>
        <v>SERVICEABLE</v>
      </c>
      <c r="N4063" s="164"/>
    </row>
    <row r="4064" spans="1:14" ht="13.2" hidden="1">
      <c r="A4064" s="164" t="str">
        <f ca="1">IFERROR(__xludf.DUMMYFUNCTION("""COMPUTED_VALUE"""),"REGION XII")</f>
        <v>REGION XII</v>
      </c>
      <c r="B4064" s="164" t="str">
        <f ca="1">IFERROR(__xludf.DUMMYFUNCTION("""COMPUTED_VALUE"""),"SULTAN KUDARAT")</f>
        <v>SULTAN KUDARAT</v>
      </c>
      <c r="C4064" s="164" t="str">
        <f ca="1">IFERROR(__xludf.DUMMYFUNCTION("""COMPUTED_VALUE"""),"Laptop – (ACER EXTENSA EX215-55G i7)")</f>
        <v>Laptop – (ACER EXTENSA EX215-55G i7)</v>
      </c>
      <c r="D4064" s="164" t="str">
        <f ca="1">IFERROR(__xludf.DUMMYFUNCTION("""COMPUTED_VALUE"""),"₱ 59,500.00")</f>
        <v>₱ 59,500.00</v>
      </c>
      <c r="E4064" s="164" t="str">
        <f ca="1">IFERROR(__xludf.DUMMYFUNCTION("""COMPUTED_VALUE"""),"₱ -")</f>
        <v>₱ -</v>
      </c>
      <c r="F4064" s="164" t="str">
        <f ca="1">IFERROR(__xludf.DUMMYFUNCTION("""COMPUTED_VALUE"""),"12-SULKUD-GFF-S-23-05-10-109
 2023-05-03-10202SP369-01")</f>
        <v>12-SULKUD-GFF-S-23-05-10-109
 2023-05-03-10202SP369-01</v>
      </c>
      <c r="G4064" s="164" t="str">
        <f ca="1">IFERROR(__xludf.DUMMYFUNCTION("""COMPUTED_VALUE"""),"NXEG2P00330801EC73400")</f>
        <v>NXEG2P00330801EC73400</v>
      </c>
      <c r="H4064" s="164" t="str">
        <f ca="1">IFERROR(__xludf.DUMMYFUNCTION("""COMPUTED_VALUE"""),"JOSEPH ALVIN C. CONSTANTINOPLA")</f>
        <v>JOSEPH ALVIN C. CONSTANTINOPLA</v>
      </c>
      <c r="I4064" s="164" t="str">
        <f ca="1">IFERROR(__xludf.DUMMYFUNCTION("""COMPUTED_VALUE"""),"ARPO I")</f>
        <v>ARPO I</v>
      </c>
      <c r="J4064" s="164" t="str">
        <f ca="1">IFERROR(__xludf.DUMMYFUNCTION("""COMPUTED_VALUE"""),"2023-12-048")</f>
        <v>2023-12-048</v>
      </c>
      <c r="K4064" s="164" t="str">
        <f ca="1">IFERROR(__xludf.DUMMYFUNCTION("""COMPUTED_VALUE"""),"JOSEPH ALVIN C. CONSTANTINOPLA")</f>
        <v>JOSEPH ALVIN C. CONSTANTINOPLA</v>
      </c>
      <c r="L4064" s="164" t="str">
        <f ca="1">IFERROR(__xludf.DUMMYFUNCTION("""COMPUTED_VALUE"""),"STOD")</f>
        <v>STOD</v>
      </c>
      <c r="M4064" s="164" t="str">
        <f ca="1">IFERROR(__xludf.DUMMYFUNCTION("""COMPUTED_VALUE"""),"SERVICEABLE")</f>
        <v>SERVICEABLE</v>
      </c>
      <c r="N4064" s="164"/>
    </row>
    <row r="4065" spans="1:14" ht="13.2" hidden="1">
      <c r="A4065" s="164" t="str">
        <f ca="1">IFERROR(__xludf.DUMMYFUNCTION("""COMPUTED_VALUE"""),"REGION XII")</f>
        <v>REGION XII</v>
      </c>
      <c r="B4065" s="164" t="str">
        <f ca="1">IFERROR(__xludf.DUMMYFUNCTION("""COMPUTED_VALUE"""),"SULTAN KUDARAT")</f>
        <v>SULTAN KUDARAT</v>
      </c>
      <c r="C4065" s="164" t="str">
        <f ca="1">IFERROR(__xludf.DUMMYFUNCTION("""COMPUTED_VALUE"""),"Laptop – (ACER EXTENSA EX215-55G i7)")</f>
        <v>Laptop – (ACER EXTENSA EX215-55G i7)</v>
      </c>
      <c r="D4065" s="164" t="str">
        <f ca="1">IFERROR(__xludf.DUMMYFUNCTION("""COMPUTED_VALUE"""),"₱ 59,500.00")</f>
        <v>₱ 59,500.00</v>
      </c>
      <c r="E4065" s="164" t="str">
        <f ca="1">IFERROR(__xludf.DUMMYFUNCTION("""COMPUTED_VALUE"""),"₱ -")</f>
        <v>₱ -</v>
      </c>
      <c r="F4065" s="164" t="str">
        <f ca="1">IFERROR(__xludf.DUMMYFUNCTION("""COMPUTED_VALUE"""),"12-SULKUD-GFF-S-23-05-10-106
 2023-05-03-10202SP370-01")</f>
        <v>12-SULKUD-GFF-S-23-05-10-106
 2023-05-03-10202SP370-01</v>
      </c>
      <c r="G4065" s="164" t="str">
        <f ca="1">IFERROR(__xludf.DUMMYFUNCTION("""COMPUTED_VALUE"""),"NXEG2P00330801B533400")</f>
        <v>NXEG2P00330801B533400</v>
      </c>
      <c r="H4065" s="164" t="str">
        <f ca="1">IFERROR(__xludf.DUMMYFUNCTION("""COMPUTED_VALUE"""),"JOEL L. GELLANG, JR.")</f>
        <v>JOEL L. GELLANG, JR.</v>
      </c>
      <c r="I4065" s="164" t="str">
        <f ca="1">IFERROR(__xludf.DUMMYFUNCTION("""COMPUTED_VALUE"""),"ARPO I")</f>
        <v>ARPO I</v>
      </c>
      <c r="J4065" s="164" t="str">
        <f ca="1">IFERROR(__xludf.DUMMYFUNCTION("""COMPUTED_VALUE"""),"2023-12-045")</f>
        <v>2023-12-045</v>
      </c>
      <c r="K4065" s="164" t="str">
        <f ca="1">IFERROR(__xludf.DUMMYFUNCTION("""COMPUTED_VALUE"""),"JOEL L. GELLANG, JR.")</f>
        <v>JOEL L. GELLANG, JR.</v>
      </c>
      <c r="L4065" s="164" t="str">
        <f ca="1">IFERROR(__xludf.DUMMYFUNCTION("""COMPUTED_VALUE"""),"STOD")</f>
        <v>STOD</v>
      </c>
      <c r="M4065" s="164" t="str">
        <f ca="1">IFERROR(__xludf.DUMMYFUNCTION("""COMPUTED_VALUE"""),"SERVICEABLE")</f>
        <v>SERVICEABLE</v>
      </c>
      <c r="N4065" s="164"/>
    </row>
    <row r="4066" spans="1:14" ht="13.2" hidden="1">
      <c r="A4066" s="164" t="str">
        <f ca="1">IFERROR(__xludf.DUMMYFUNCTION("""COMPUTED_VALUE"""),"REGION XII")</f>
        <v>REGION XII</v>
      </c>
      <c r="B4066" s="164" t="str">
        <f ca="1">IFERROR(__xludf.DUMMYFUNCTION("""COMPUTED_VALUE"""),"SULTAN KUDARAT")</f>
        <v>SULTAN KUDARAT</v>
      </c>
      <c r="C4066" s="164" t="str">
        <f ca="1">IFERROR(__xludf.DUMMYFUNCTION("""COMPUTED_VALUE"""),"Laptop – (ACER EXTENSA EX215-55G i7)")</f>
        <v>Laptop – (ACER EXTENSA EX215-55G i7)</v>
      </c>
      <c r="D4066" s="164" t="str">
        <f ca="1">IFERROR(__xludf.DUMMYFUNCTION("""COMPUTED_VALUE"""),"₱ 59,500.00")</f>
        <v>₱ 59,500.00</v>
      </c>
      <c r="E4066" s="164" t="str">
        <f ca="1">IFERROR(__xludf.DUMMYFUNCTION("""COMPUTED_VALUE"""),"₱ -")</f>
        <v>₱ -</v>
      </c>
      <c r="F4066" s="164" t="str">
        <f ca="1">IFERROR(__xludf.DUMMYFUNCTION("""COMPUTED_VALUE"""),"12-SULKUD-GFF-S-23-05-10-108")</f>
        <v>12-SULKUD-GFF-S-23-05-10-108</v>
      </c>
      <c r="G4066" s="164" t="str">
        <f ca="1">IFERROR(__xludf.DUMMYFUNCTION("""COMPUTED_VALUE"""),"NXEG2P00330801DBF3400")</f>
        <v>NXEG2P00330801DBF3400</v>
      </c>
      <c r="H4066" s="164" t="str">
        <f ca="1">IFERROR(__xludf.DUMMYFUNCTION("""COMPUTED_VALUE"""),"EILEEN S. LLARENAS")</f>
        <v>EILEEN S. LLARENAS</v>
      </c>
      <c r="I4066" s="164" t="str">
        <f ca="1">IFERROR(__xludf.DUMMYFUNCTION("""COMPUTED_VALUE"""),"ARPO I")</f>
        <v>ARPO I</v>
      </c>
      <c r="J4066" s="164" t="str">
        <f ca="1">IFERROR(__xludf.DUMMYFUNCTION("""COMPUTED_VALUE"""),"2023-12-047")</f>
        <v>2023-12-047</v>
      </c>
      <c r="K4066" s="164" t="str">
        <f ca="1">IFERROR(__xludf.DUMMYFUNCTION("""COMPUTED_VALUE"""),"EILEEN S. LLARENAS")</f>
        <v>EILEEN S. LLARENAS</v>
      </c>
      <c r="L4066" s="164" t="str">
        <f ca="1">IFERROR(__xludf.DUMMYFUNCTION("""COMPUTED_VALUE"""),"STOD")</f>
        <v>STOD</v>
      </c>
      <c r="M4066" s="164" t="str">
        <f ca="1">IFERROR(__xludf.DUMMYFUNCTION("""COMPUTED_VALUE"""),"SERVICEABLE")</f>
        <v>SERVICEABLE</v>
      </c>
      <c r="N4066" s="164"/>
    </row>
    <row r="4067" spans="1:14" ht="13.2">
      <c r="A4067" s="164" t="str">
        <f ca="1">IFERROR(__xludf.DUMMYFUNCTION("""COMPUTED_VALUE"""),"REGION XII")</f>
        <v>REGION XII</v>
      </c>
      <c r="B4067" s="164" t="str">
        <f ca="1">IFERROR(__xludf.DUMMYFUNCTION("""COMPUTED_VALUE"""),"NORTH COTABATO")</f>
        <v>NORTH COTABATO</v>
      </c>
      <c r="C4067" s="164" t="str">
        <f ca="1">IFERROR(__xludf.DUMMYFUNCTION("""COMPUTED_VALUE"""),"Laptop – (ACER EXTENSA EX215-55G i7)")</f>
        <v>Laptop – (ACER EXTENSA EX215-55G i7)</v>
      </c>
      <c r="D4067" s="164" t="str">
        <f ca="1">IFERROR(__xludf.DUMMYFUNCTION("""COMPUTED_VALUE"""),"₱ 59,500.00")</f>
        <v>₱ 59,500.00</v>
      </c>
      <c r="E4067" s="164" t="str">
        <f ca="1">IFERROR(__xludf.DUMMYFUNCTION("""COMPUTED_VALUE"""),"₱ -")</f>
        <v>₱ -</v>
      </c>
      <c r="F4067" s="164" t="str">
        <f ca="1">IFERROR(__xludf.DUMMYFUNCTION("""COMPUTED_VALUE"""),"2023-05-03-10202SP359-01")</f>
        <v>2023-05-03-10202SP359-01</v>
      </c>
      <c r="G4067" s="164"/>
      <c r="H4067" s="164" t="str">
        <f ca="1">IFERROR(__xludf.DUMMYFUNCTION("""COMPUTED_VALUE"""),"EMELITA A. MAYOL")</f>
        <v>EMELITA A. MAYOL</v>
      </c>
      <c r="I4067" s="164" t="str">
        <f ca="1">IFERROR(__xludf.DUMMYFUNCTION("""COMPUTED_VALUE"""),"CARPO-PBDD")</f>
        <v>CARPO-PBDD</v>
      </c>
      <c r="J4067" s="164" t="str">
        <f ca="1">IFERROR(__xludf.DUMMYFUNCTION("""COMPUTED_VALUE"""),"102-2023-09-039")</f>
        <v>102-2023-09-039</v>
      </c>
      <c r="K4067" s="164" t="str">
        <f ca="1">IFERROR(__xludf.DUMMYFUNCTION("""COMPUTED_VALUE"""),"EMELITA A. MAYOL")</f>
        <v>EMELITA A. MAYOL</v>
      </c>
      <c r="L4067" s="164" t="str">
        <f ca="1">IFERROR(__xludf.DUMMYFUNCTION("""COMPUTED_VALUE"""),"DARPO-PBDD")</f>
        <v>DARPO-PBDD</v>
      </c>
      <c r="M4067" s="164" t="str">
        <f ca="1">IFERROR(__xludf.DUMMYFUNCTION("""COMPUTED_VALUE"""),"SERVICEABLE")</f>
        <v>SERVICEABLE</v>
      </c>
      <c r="N4067" s="164"/>
    </row>
    <row r="4068" spans="1:14" ht="13.2">
      <c r="A4068" s="164" t="str">
        <f ca="1">IFERROR(__xludf.DUMMYFUNCTION("""COMPUTED_VALUE"""),"REGION XII")</f>
        <v>REGION XII</v>
      </c>
      <c r="B4068" s="164" t="str">
        <f ca="1">IFERROR(__xludf.DUMMYFUNCTION("""COMPUTED_VALUE"""),"NORTH COTABATO")</f>
        <v>NORTH COTABATO</v>
      </c>
      <c r="C4068" s="164" t="str">
        <f ca="1">IFERROR(__xludf.DUMMYFUNCTION("""COMPUTED_VALUE"""),"Laptop – (ACER EXTENSA EX215-55G i7)")</f>
        <v>Laptop – (ACER EXTENSA EX215-55G i7)</v>
      </c>
      <c r="D4068" s="164" t="str">
        <f ca="1">IFERROR(__xludf.DUMMYFUNCTION("""COMPUTED_VALUE"""),"₱ 59,500.00")</f>
        <v>₱ 59,500.00</v>
      </c>
      <c r="E4068" s="164" t="str">
        <f ca="1">IFERROR(__xludf.DUMMYFUNCTION("""COMPUTED_VALUE"""),"₱ -")</f>
        <v>₱ -</v>
      </c>
      <c r="F4068" s="164" t="str">
        <f ca="1">IFERROR(__xludf.DUMMYFUNCTION("""COMPUTED_VALUE"""),"2023-05-03-10202SP365-01")</f>
        <v>2023-05-03-10202SP365-01</v>
      </c>
      <c r="G4068" s="164"/>
      <c r="H4068" s="164" t="str">
        <f ca="1">IFERROR(__xludf.DUMMYFUNCTION("""COMPUTED_VALUE"""),"JAN IVY SALMORIN")</f>
        <v>JAN IVY SALMORIN</v>
      </c>
      <c r="I4068" s="164" t="str">
        <f ca="1">IFERROR(__xludf.DUMMYFUNCTION("""COMPUTED_VALUE"""),"ARPT")</f>
        <v>ARPT</v>
      </c>
      <c r="J4068" s="164" t="str">
        <f ca="1">IFERROR(__xludf.DUMMYFUNCTION("""COMPUTED_VALUE"""),"102-2023-09-040")</f>
        <v>102-2023-09-040</v>
      </c>
      <c r="K4068" s="164" t="str">
        <f ca="1">IFERROR(__xludf.DUMMYFUNCTION("""COMPUTED_VALUE"""),"JAN IVY SALMORIN")</f>
        <v>JAN IVY SALMORIN</v>
      </c>
      <c r="L4068" s="164" t="str">
        <f ca="1">IFERROR(__xludf.DUMMYFUNCTION("""COMPUTED_VALUE"""),"DARPO-STOD")</f>
        <v>DARPO-STOD</v>
      </c>
      <c r="M4068" s="164" t="str">
        <f ca="1">IFERROR(__xludf.DUMMYFUNCTION("""COMPUTED_VALUE"""),"SERVICEABLE")</f>
        <v>SERVICEABLE</v>
      </c>
      <c r="N4068" s="164"/>
    </row>
    <row r="4069" spans="1:14" ht="13.2">
      <c r="A4069" s="164" t="str">
        <f ca="1">IFERROR(__xludf.DUMMYFUNCTION("""COMPUTED_VALUE"""),"REGION XII")</f>
        <v>REGION XII</v>
      </c>
      <c r="B4069" s="164" t="str">
        <f ca="1">IFERROR(__xludf.DUMMYFUNCTION("""COMPUTED_VALUE"""),"NORTH COTABATO")</f>
        <v>NORTH COTABATO</v>
      </c>
      <c r="C4069" s="164" t="str">
        <f ca="1">IFERROR(__xludf.DUMMYFUNCTION("""COMPUTED_VALUE"""),"Laptop – (ACER EXTENSA EX215-55G i7)")</f>
        <v>Laptop – (ACER EXTENSA EX215-55G i7)</v>
      </c>
      <c r="D4069" s="164" t="str">
        <f ca="1">IFERROR(__xludf.DUMMYFUNCTION("""COMPUTED_VALUE"""),"₱ 59,500.00")</f>
        <v>₱ 59,500.00</v>
      </c>
      <c r="E4069" s="164" t="str">
        <f ca="1">IFERROR(__xludf.DUMMYFUNCTION("""COMPUTED_VALUE"""),"₱ -")</f>
        <v>₱ -</v>
      </c>
      <c r="F4069" s="164" t="str">
        <f ca="1">IFERROR(__xludf.DUMMYFUNCTION("""COMPUTED_VALUE"""),"2023-05-03-10202SP361-01")</f>
        <v>2023-05-03-10202SP361-01</v>
      </c>
      <c r="G4069" s="164"/>
      <c r="H4069" s="164" t="str">
        <f ca="1">IFERROR(__xludf.DUMMYFUNCTION("""COMPUTED_VALUE"""),"MARY JOY C. MINA")</f>
        <v>MARY JOY C. MINA</v>
      </c>
      <c r="I4069" s="164" t="str">
        <f ca="1">IFERROR(__xludf.DUMMYFUNCTION("""COMPUTED_VALUE"""),"ARPT")</f>
        <v>ARPT</v>
      </c>
      <c r="J4069" s="164" t="str">
        <f ca="1">IFERROR(__xludf.DUMMYFUNCTION("""COMPUTED_VALUE"""),"102-2023-09-041")</f>
        <v>102-2023-09-041</v>
      </c>
      <c r="K4069" s="164" t="str">
        <f ca="1">IFERROR(__xludf.DUMMYFUNCTION("""COMPUTED_VALUE"""),"MARY JOY C. MINA")</f>
        <v>MARY JOY C. MINA</v>
      </c>
      <c r="L4069" s="164" t="str">
        <f ca="1">IFERROR(__xludf.DUMMYFUNCTION("""COMPUTED_VALUE"""),"DARPO-STOD")</f>
        <v>DARPO-STOD</v>
      </c>
      <c r="M4069" s="164" t="str">
        <f ca="1">IFERROR(__xludf.DUMMYFUNCTION("""COMPUTED_VALUE"""),"SERVICEABLE")</f>
        <v>SERVICEABLE</v>
      </c>
      <c r="N4069" s="164"/>
    </row>
    <row r="4070" spans="1:14" ht="13.2">
      <c r="A4070" s="164" t="str">
        <f ca="1">IFERROR(__xludf.DUMMYFUNCTION("""COMPUTED_VALUE"""),"REGION XII")</f>
        <v>REGION XII</v>
      </c>
      <c r="B4070" s="164" t="str">
        <f ca="1">IFERROR(__xludf.DUMMYFUNCTION("""COMPUTED_VALUE"""),"NORTH COTABATO")</f>
        <v>NORTH COTABATO</v>
      </c>
      <c r="C4070" s="164" t="str">
        <f ca="1">IFERROR(__xludf.DUMMYFUNCTION("""COMPUTED_VALUE"""),"Laptop – (ACER EXTENSA EX215-55G i7)")</f>
        <v>Laptop – (ACER EXTENSA EX215-55G i7)</v>
      </c>
      <c r="D4070" s="164" t="str">
        <f ca="1">IFERROR(__xludf.DUMMYFUNCTION("""COMPUTED_VALUE"""),"₱ 59,500.00")</f>
        <v>₱ 59,500.00</v>
      </c>
      <c r="E4070" s="164" t="str">
        <f ca="1">IFERROR(__xludf.DUMMYFUNCTION("""COMPUTED_VALUE"""),"₱ -")</f>
        <v>₱ -</v>
      </c>
      <c r="F4070" s="164" t="str">
        <f ca="1">IFERROR(__xludf.DUMMYFUNCTION("""COMPUTED_VALUE"""),"2023-05-03-10202SP373-01")</f>
        <v>2023-05-03-10202SP373-01</v>
      </c>
      <c r="G4070" s="164"/>
      <c r="H4070" s="164" t="str">
        <f ca="1">IFERROR(__xludf.DUMMYFUNCTION("""COMPUTED_VALUE"""),"CHERRYLYN PEROCHO")</f>
        <v>CHERRYLYN PEROCHO</v>
      </c>
      <c r="I4070" s="164" t="str">
        <f ca="1">IFERROR(__xludf.DUMMYFUNCTION("""COMPUTED_VALUE"""),"ARPO II")</f>
        <v>ARPO II</v>
      </c>
      <c r="J4070" s="164" t="str">
        <f ca="1">IFERROR(__xludf.DUMMYFUNCTION("""COMPUTED_VALUE"""),"102-2023-09-042")</f>
        <v>102-2023-09-042</v>
      </c>
      <c r="K4070" s="164" t="str">
        <f ca="1">IFERROR(__xludf.DUMMYFUNCTION("""COMPUTED_VALUE"""),"CHERRYLYN PEROCHO")</f>
        <v>CHERRYLYN PEROCHO</v>
      </c>
      <c r="L4070" s="164" t="str">
        <f ca="1">IFERROR(__xludf.DUMMYFUNCTION("""COMPUTED_VALUE"""),"DARPO-LTID")</f>
        <v>DARPO-LTID</v>
      </c>
      <c r="M4070" s="164" t="str">
        <f ca="1">IFERROR(__xludf.DUMMYFUNCTION("""COMPUTED_VALUE"""),"SERVICEABLE")</f>
        <v>SERVICEABLE</v>
      </c>
      <c r="N4070" s="164"/>
    </row>
    <row r="4071" spans="1:14" ht="13.2" hidden="1">
      <c r="A4071" s="164" t="str">
        <f ca="1">IFERROR(__xludf.DUMMYFUNCTION("""COMPUTED_VALUE"""),"REGION XII")</f>
        <v>REGION XII</v>
      </c>
      <c r="B4071" s="164" t="str">
        <f ca="1">IFERROR(__xludf.DUMMYFUNCTION("""COMPUTED_VALUE"""),"SOUTH COTABATO")</f>
        <v>SOUTH COTABATO</v>
      </c>
      <c r="C4071" s="164" t="str">
        <f ca="1">IFERROR(__xludf.DUMMYFUNCTION("""COMPUTED_VALUE"""),"Laptop – (ACER EXTENSA EX215-55G i7)")</f>
        <v>Laptop – (ACER EXTENSA EX215-55G i7)</v>
      </c>
      <c r="D4071" s="164" t="str">
        <f ca="1">IFERROR(__xludf.DUMMYFUNCTION("""COMPUTED_VALUE"""),"₱ 59,500.00")</f>
        <v>₱ 59,500.00</v>
      </c>
      <c r="E4071" s="164" t="str">
        <f ca="1">IFERROR(__xludf.DUMMYFUNCTION("""COMPUTED_VALUE"""),"₱ -")</f>
        <v>₱ -</v>
      </c>
      <c r="F4071" s="164"/>
      <c r="G4071" s="164" t="str">
        <f ca="1">IFERROR(__xludf.DUMMYFUNCTION("""COMPUTED_VALUE"""),"S/N: NXEGZSP00330801B783400")</f>
        <v>S/N: NXEGZSP00330801B783400</v>
      </c>
      <c r="H4071" s="164" t="str">
        <f ca="1">IFERROR(__xludf.DUMMYFUNCTION("""COMPUTED_VALUE"""),"LOWELL ESPARAGOZA")</f>
        <v>LOWELL ESPARAGOZA</v>
      </c>
      <c r="I4071" s="164" t="str">
        <f ca="1">IFERROR(__xludf.DUMMYFUNCTION("""COMPUTED_VALUE"""),"ENGINEER II")</f>
        <v>ENGINEER II</v>
      </c>
      <c r="J4071" s="164" t="str">
        <f ca="1">IFERROR(__xludf.DUMMYFUNCTION("""COMPUTED_VALUE"""),"2023-11-083")</f>
        <v>2023-11-083</v>
      </c>
      <c r="K4071" s="164" t="str">
        <f ca="1">IFERROR(__xludf.DUMMYFUNCTION("""COMPUTED_VALUE"""),"LOWELL ESPARAGOZA")</f>
        <v>LOWELL ESPARAGOZA</v>
      </c>
      <c r="L4071" s="164" t="str">
        <f ca="1">IFERROR(__xludf.DUMMYFUNCTION("""COMPUTED_VALUE"""),"DARMO-ALAMADA")</f>
        <v>DARMO-ALAMADA</v>
      </c>
      <c r="M4071" s="164" t="str">
        <f ca="1">IFERROR(__xludf.DUMMYFUNCTION("""COMPUTED_VALUE"""),"SERVICEABLE")</f>
        <v>SERVICEABLE</v>
      </c>
      <c r="N4071" s="164"/>
    </row>
    <row r="4072" spans="1:14" ht="13.2" hidden="1">
      <c r="A4072" s="164" t="str">
        <f ca="1">IFERROR(__xludf.DUMMYFUNCTION("""COMPUTED_VALUE"""),"REGION XII")</f>
        <v>REGION XII</v>
      </c>
      <c r="B4072" s="164" t="str">
        <f ca="1">IFERROR(__xludf.DUMMYFUNCTION("""COMPUTED_VALUE"""),"SOUTH COTABATO")</f>
        <v>SOUTH COTABATO</v>
      </c>
      <c r="C4072" s="164" t="str">
        <f ca="1">IFERROR(__xludf.DUMMYFUNCTION("""COMPUTED_VALUE"""),"Laptop – (ACER EXTENSA EX215-55G i7)")</f>
        <v>Laptop – (ACER EXTENSA EX215-55G i7)</v>
      </c>
      <c r="D4072" s="164" t="str">
        <f ca="1">IFERROR(__xludf.DUMMYFUNCTION("""COMPUTED_VALUE"""),"₱ 59,500.00")</f>
        <v>₱ 59,500.00</v>
      </c>
      <c r="E4072" s="164" t="str">
        <f ca="1">IFERROR(__xludf.DUMMYFUNCTION("""COMPUTED_VALUE"""),"₱ -")</f>
        <v>₱ -</v>
      </c>
      <c r="F4072" s="164"/>
      <c r="G4072" s="164" t="str">
        <f ca="1">IFERROR(__xludf.DUMMYFUNCTION("""COMPUTED_VALUE"""),"S/N: NXEGZSP00330801C2243400")</f>
        <v>S/N: NXEGZSP00330801C2243400</v>
      </c>
      <c r="H4072" s="164" t="str">
        <f ca="1">IFERROR(__xludf.DUMMYFUNCTION("""COMPUTED_VALUE"""),"NESS B. JUANDAY")</f>
        <v>NESS B. JUANDAY</v>
      </c>
      <c r="I4072" s="164" t="str">
        <f ca="1">IFERROR(__xludf.DUMMYFUNCTION("""COMPUTED_VALUE"""),"ARPT")</f>
        <v>ARPT</v>
      </c>
      <c r="J4072" s="164" t="str">
        <f ca="1">IFERROR(__xludf.DUMMYFUNCTION("""COMPUTED_VALUE"""),"2023-11-084")</f>
        <v>2023-11-084</v>
      </c>
      <c r="K4072" s="164" t="str">
        <f ca="1">IFERROR(__xludf.DUMMYFUNCTION("""COMPUTED_VALUE"""),"NESS B. JUANDAY")</f>
        <v>NESS B. JUANDAY</v>
      </c>
      <c r="L4072" s="164" t="str">
        <f ca="1">IFERROR(__xludf.DUMMYFUNCTION("""COMPUTED_VALUE"""),"STOD")</f>
        <v>STOD</v>
      </c>
      <c r="M4072" s="164" t="str">
        <f ca="1">IFERROR(__xludf.DUMMYFUNCTION("""COMPUTED_VALUE"""),"SERVICEABLE")</f>
        <v>SERVICEABLE</v>
      </c>
      <c r="N4072" s="164"/>
    </row>
    <row r="4073" spans="1:14" ht="13.2" hidden="1">
      <c r="A4073" s="164" t="str">
        <f ca="1">IFERROR(__xludf.DUMMYFUNCTION("""COMPUTED_VALUE"""),"REGION XII")</f>
        <v>REGION XII</v>
      </c>
      <c r="B4073" s="164" t="str">
        <f ca="1">IFERROR(__xludf.DUMMYFUNCTION("""COMPUTED_VALUE"""),"SOUTH COTABATO")</f>
        <v>SOUTH COTABATO</v>
      </c>
      <c r="C4073" s="164" t="str">
        <f ca="1">IFERROR(__xludf.DUMMYFUNCTION("""COMPUTED_VALUE"""),"Laptop – (ACER EXTENSA EX215-55G i7)")</f>
        <v>Laptop – (ACER EXTENSA EX215-55G i7)</v>
      </c>
      <c r="D4073" s="164" t="str">
        <f ca="1">IFERROR(__xludf.DUMMYFUNCTION("""COMPUTED_VALUE"""),"₱ 59,500.00")</f>
        <v>₱ 59,500.00</v>
      </c>
      <c r="E4073" s="164" t="str">
        <f ca="1">IFERROR(__xludf.DUMMYFUNCTION("""COMPUTED_VALUE"""),"₱ -")</f>
        <v>₱ -</v>
      </c>
      <c r="F4073" s="164"/>
      <c r="G4073" s="164" t="str">
        <f ca="1">IFERROR(__xludf.DUMMYFUNCTION("""COMPUTED_VALUE"""),"S/N: NXEGZSP00330801D1A3400")</f>
        <v>S/N: NXEGZSP00330801D1A3400</v>
      </c>
      <c r="H4073" s="164" t="str">
        <f ca="1">IFERROR(__xludf.DUMMYFUNCTION("""COMPUTED_VALUE"""),"RENANTE T. MONTO")</f>
        <v>RENANTE T. MONTO</v>
      </c>
      <c r="I4073" s="164" t="str">
        <f ca="1">IFERROR(__xludf.DUMMYFUNCTION("""COMPUTED_VALUE"""),"BUDGET OFFICER")</f>
        <v>BUDGET OFFICER</v>
      </c>
      <c r="J4073" s="164" t="str">
        <f ca="1">IFERROR(__xludf.DUMMYFUNCTION("""COMPUTED_VALUE"""),"2023-11-085")</f>
        <v>2023-11-085</v>
      </c>
      <c r="K4073" s="164" t="str">
        <f ca="1">IFERROR(__xludf.DUMMYFUNCTION("""COMPUTED_VALUE"""),"RENANTE T. MONTO")</f>
        <v>RENANTE T. MONTO</v>
      </c>
      <c r="L4073" s="164" t="str">
        <f ca="1">IFERROR(__xludf.DUMMYFUNCTION("""COMPUTED_VALUE"""),"STOD")</f>
        <v>STOD</v>
      </c>
      <c r="M4073" s="164" t="str">
        <f ca="1">IFERROR(__xludf.DUMMYFUNCTION("""COMPUTED_VALUE"""),"SERVICEABLE")</f>
        <v>SERVICEABLE</v>
      </c>
      <c r="N4073" s="164"/>
    </row>
    <row r="4074" spans="1:14" ht="13.2" hidden="1">
      <c r="A4074" s="164" t="str">
        <f ca="1">IFERROR(__xludf.DUMMYFUNCTION("""COMPUTED_VALUE"""),"REGION XII")</f>
        <v>REGION XII</v>
      </c>
      <c r="B4074" s="164" t="str">
        <f ca="1">IFERROR(__xludf.DUMMYFUNCTION("""COMPUTED_VALUE"""),"SOUTH COTABATO")</f>
        <v>SOUTH COTABATO</v>
      </c>
      <c r="C4074" s="164" t="str">
        <f ca="1">IFERROR(__xludf.DUMMYFUNCTION("""COMPUTED_VALUE"""),"Laptop – (ACER EXTENSA EX215-55G i7)")</f>
        <v>Laptop – (ACER EXTENSA EX215-55G i7)</v>
      </c>
      <c r="D4074" s="164" t="str">
        <f ca="1">IFERROR(__xludf.DUMMYFUNCTION("""COMPUTED_VALUE"""),"₱ 59,500.00")</f>
        <v>₱ 59,500.00</v>
      </c>
      <c r="E4074" s="164" t="str">
        <f ca="1">IFERROR(__xludf.DUMMYFUNCTION("""COMPUTED_VALUE"""),"₱ -")</f>
        <v>₱ -</v>
      </c>
      <c r="F4074" s="164"/>
      <c r="G4074" s="164" t="str">
        <f ca="1">IFERROR(__xludf.DUMMYFUNCTION("""COMPUTED_VALUE"""),"S/N: NXEGZSP00330801B9D3401")</f>
        <v>S/N: NXEGZSP00330801B9D3401</v>
      </c>
      <c r="H4074" s="164" t="str">
        <f ca="1">IFERROR(__xludf.DUMMYFUNCTION("""COMPUTED_VALUE"""),"JESSIE MAE D. VILLALOBOS")</f>
        <v>JESSIE MAE D. VILLALOBOS</v>
      </c>
      <c r="I4074" s="164" t="str">
        <f ca="1">IFERROR(__xludf.DUMMYFUNCTION("""COMPUTED_VALUE"""),"PLANNING OFFICER")</f>
        <v>PLANNING OFFICER</v>
      </c>
      <c r="J4074" s="164" t="str">
        <f ca="1">IFERROR(__xludf.DUMMYFUNCTION("""COMPUTED_VALUE"""),"2023-11-086")</f>
        <v>2023-11-086</v>
      </c>
      <c r="K4074" s="164" t="str">
        <f ca="1">IFERROR(__xludf.DUMMYFUNCTION("""COMPUTED_VALUE"""),"JESSIE MAE D. VILLALOBOS")</f>
        <v>JESSIE MAE D. VILLALOBOS</v>
      </c>
      <c r="L4074" s="164" t="str">
        <f ca="1">IFERROR(__xludf.DUMMYFUNCTION("""COMPUTED_VALUE"""),"STOD")</f>
        <v>STOD</v>
      </c>
      <c r="M4074" s="164" t="str">
        <f ca="1">IFERROR(__xludf.DUMMYFUNCTION("""COMPUTED_VALUE"""),"SERVICEABLE")</f>
        <v>SERVICEABLE</v>
      </c>
      <c r="N4074" s="164"/>
    </row>
    <row r="4075" spans="1:14" ht="13.2" hidden="1">
      <c r="A4075" s="164" t="str">
        <f ca="1">IFERROR(__xludf.DUMMYFUNCTION("""COMPUTED_VALUE"""),"REGION XII")</f>
        <v>REGION XII</v>
      </c>
      <c r="B4075" s="164" t="str">
        <f ca="1">IFERROR(__xludf.DUMMYFUNCTION("""COMPUTED_VALUE"""),"DARRO")</f>
        <v>DARRO</v>
      </c>
      <c r="C4075" s="164" t="str">
        <f ca="1">IFERROR(__xludf.DUMMYFUNCTION("""COMPUTED_VALUE"""),"Laptop – (ACER EXTENSA EX215-55G i7)")</f>
        <v>Laptop – (ACER EXTENSA EX215-55G i7)</v>
      </c>
      <c r="D4075" s="164" t="str">
        <f ca="1">IFERROR(__xludf.DUMMYFUNCTION("""COMPUTED_VALUE"""),"₱ 59,500.00")</f>
        <v>₱ 59,500.00</v>
      </c>
      <c r="E4075" s="164" t="str">
        <f ca="1">IFERROR(__xludf.DUMMYFUNCTION("""COMPUTED_VALUE"""),"₱ -")</f>
        <v>₱ -</v>
      </c>
      <c r="F4075" s="164" t="str">
        <f ca="1">IFERROR(__xludf.DUMMYFUNCTION("""COMPUTED_VALUE"""),"2023-05-03-10202SP85-01")</f>
        <v>2023-05-03-10202SP85-01</v>
      </c>
      <c r="G4075" s="164" t="str">
        <f ca="1">IFERROR(__xludf.DUMMYFUNCTION("""COMPUTED_VALUE"""),"S/N: NXEGZSP00330801BA53400")</f>
        <v>S/N: NXEGZSP00330801BA53400</v>
      </c>
      <c r="H4075" s="164" t="str">
        <f ca="1">IFERROR(__xludf.DUMMYFUNCTION("""COMPUTED_VALUE"""),"EAULA MAE GUNSI")</f>
        <v>EAULA MAE GUNSI</v>
      </c>
      <c r="I4075" s="164" t="str">
        <f ca="1">IFERROR(__xludf.DUMMYFUNCTION("""COMPUTED_VALUE"""),"REGIONAL INFORMATION OFFICER")</f>
        <v>REGIONAL INFORMATION OFFICER</v>
      </c>
      <c r="J4075" s="164" t="str">
        <f ca="1">IFERROR(__xludf.DUMMYFUNCTION("""COMPUTED_VALUE"""),"2023-94")</f>
        <v>2023-94</v>
      </c>
      <c r="K4075" s="164" t="str">
        <f ca="1">IFERROR(__xludf.DUMMYFUNCTION("""COMPUTED_VALUE"""),"ROWHANIZA P. ABBAS")</f>
        <v>ROWHANIZA P. ABBAS</v>
      </c>
      <c r="L4075" s="164" t="str">
        <f ca="1">IFERROR(__xludf.DUMMYFUNCTION("""COMPUTED_VALUE"""),"STOD")</f>
        <v>STOD</v>
      </c>
      <c r="M4075" s="164" t="str">
        <f ca="1">IFERROR(__xludf.DUMMYFUNCTION("""COMPUTED_VALUE"""),"SERVICEABLE")</f>
        <v>SERVICEABLE</v>
      </c>
      <c r="N4075" s="164"/>
    </row>
    <row r="4076" spans="1:14" ht="13.2" hidden="1">
      <c r="A4076" s="164" t="str">
        <f ca="1">IFERROR(__xludf.DUMMYFUNCTION("""COMPUTED_VALUE"""),"REGION XII")</f>
        <v>REGION XII</v>
      </c>
      <c r="B4076" s="164" t="str">
        <f ca="1">IFERROR(__xludf.DUMMYFUNCTION("""COMPUTED_VALUE"""),"DARRO")</f>
        <v>DARRO</v>
      </c>
      <c r="C4076" s="164" t="str">
        <f ca="1">IFERROR(__xludf.DUMMYFUNCTION("""COMPUTED_VALUE"""),"Laptop – (ACER EXTENSA EX215-55G i7)")</f>
        <v>Laptop – (ACER EXTENSA EX215-55G i7)</v>
      </c>
      <c r="D4076" s="164" t="str">
        <f ca="1">IFERROR(__xludf.DUMMYFUNCTION("""COMPUTED_VALUE"""),"₱ 59,500.00")</f>
        <v>₱ 59,500.00</v>
      </c>
      <c r="E4076" s="164" t="str">
        <f ca="1">IFERROR(__xludf.DUMMYFUNCTION("""COMPUTED_VALUE"""),"₱ -")</f>
        <v>₱ -</v>
      </c>
      <c r="F4076" s="164" t="str">
        <f ca="1">IFERROR(__xludf.DUMMYFUNCTION("""COMPUTED_VALUE"""),"2023-05-03-10202SP86-01")</f>
        <v>2023-05-03-10202SP86-01</v>
      </c>
      <c r="G4076" s="164" t="str">
        <f ca="1">IFERROR(__xludf.DUMMYFUNCTION("""COMPUTED_VALUE"""),"S/N: NXEGZSP00330801D473400")</f>
        <v>S/N: NXEGZSP00330801D473400</v>
      </c>
      <c r="H4076" s="164" t="str">
        <f ca="1">IFERROR(__xludf.DUMMYFUNCTION("""COMPUTED_VALUE"""),"XYRIS APRIL G. AYSON, CPA")</f>
        <v>XYRIS APRIL G. AYSON, CPA</v>
      </c>
      <c r="I4076" s="164" t="str">
        <f ca="1">IFERROR(__xludf.DUMMYFUNCTION("""COMPUTED_VALUE"""),"SUPPLY OFFICER II")</f>
        <v>SUPPLY OFFICER II</v>
      </c>
      <c r="J4076" s="164" t="str">
        <f ca="1">IFERROR(__xludf.DUMMYFUNCTION("""COMPUTED_VALUE"""),"SPLIT-2023-023")</f>
        <v>SPLIT-2023-023</v>
      </c>
      <c r="K4076" s="164" t="str">
        <f ca="1">IFERROR(__xludf.DUMMYFUNCTION("""COMPUTED_VALUE"""),"XYRIS APRIL G. AYSON, CPA")</f>
        <v>XYRIS APRIL G. AYSON, CPA</v>
      </c>
      <c r="L4076" s="164" t="str">
        <f ca="1">IFERROR(__xludf.DUMMYFUNCTION("""COMPUTED_VALUE"""),"STOD")</f>
        <v>STOD</v>
      </c>
      <c r="M4076" s="164" t="str">
        <f ca="1">IFERROR(__xludf.DUMMYFUNCTION("""COMPUTED_VALUE"""),"SERVICEABLE")</f>
        <v>SERVICEABLE</v>
      </c>
      <c r="N4076" s="164"/>
    </row>
    <row r="4077" spans="1:14" ht="13.2" hidden="1">
      <c r="A4077" s="164" t="str">
        <f ca="1">IFERROR(__xludf.DUMMYFUNCTION("""COMPUTED_VALUE"""),"REGION XII")</f>
        <v>REGION XII</v>
      </c>
      <c r="B4077" s="164" t="str">
        <f ca="1">IFERROR(__xludf.DUMMYFUNCTION("""COMPUTED_VALUE"""),"DARRO")</f>
        <v>DARRO</v>
      </c>
      <c r="C4077" s="164" t="str">
        <f ca="1">IFERROR(__xludf.DUMMYFUNCTION("""COMPUTED_VALUE"""),"Laptop – (ACER EXTENSA EX215-55G i7)")</f>
        <v>Laptop – (ACER EXTENSA EX215-55G i7)</v>
      </c>
      <c r="D4077" s="164" t="str">
        <f ca="1">IFERROR(__xludf.DUMMYFUNCTION("""COMPUTED_VALUE"""),"₱ 59,500.00")</f>
        <v>₱ 59,500.00</v>
      </c>
      <c r="E4077" s="164" t="str">
        <f ca="1">IFERROR(__xludf.DUMMYFUNCTION("""COMPUTED_VALUE"""),"₱ -")</f>
        <v>₱ -</v>
      </c>
      <c r="F4077" s="164" t="str">
        <f ca="1">IFERROR(__xludf.DUMMYFUNCTION("""COMPUTED_VALUE"""),"2023-05-03-10202SP87-01")</f>
        <v>2023-05-03-10202SP87-01</v>
      </c>
      <c r="G4077" s="164" t="str">
        <f ca="1">IFERROR(__xludf.DUMMYFUNCTION("""COMPUTED_VALUE"""),"S/N: NXEGZSP00330801F3D3400")</f>
        <v>S/N: NXEGZSP00330801F3D3400</v>
      </c>
      <c r="H4077" s="164" t="str">
        <f ca="1">IFERROR(__xludf.DUMMYFUNCTION("""COMPUTED_VALUE"""),"ENGR. MARY JANE A. AGUILAR")</f>
        <v>ENGR. MARY JANE A. AGUILAR</v>
      </c>
      <c r="I4077" s="164" t="str">
        <f ca="1">IFERROR(__xludf.DUMMYFUNCTION("""COMPUTED_VALUE"""),"SUPPLY OFFICER II")</f>
        <v>SUPPLY OFFICER II</v>
      </c>
      <c r="J4077" s="164" t="str">
        <f ca="1">IFERROR(__xludf.DUMMYFUNCTION("""COMPUTED_VALUE"""),"SPLIT-2023-024")</f>
        <v>SPLIT-2023-024</v>
      </c>
      <c r="K4077" s="164" t="str">
        <f ca="1">IFERROR(__xludf.DUMMYFUNCTION("""COMPUTED_VALUE"""),"ENGR. MARY JANE A. AGUILAR")</f>
        <v>ENGR. MARY JANE A. AGUILAR</v>
      </c>
      <c r="L4077" s="164" t="str">
        <f ca="1">IFERROR(__xludf.DUMMYFUNCTION("""COMPUTED_VALUE"""),"STOD")</f>
        <v>STOD</v>
      </c>
      <c r="M4077" s="164" t="str">
        <f ca="1">IFERROR(__xludf.DUMMYFUNCTION("""COMPUTED_VALUE"""),"SERVICEABLE")</f>
        <v>SERVICEABLE</v>
      </c>
      <c r="N4077" s="164"/>
    </row>
    <row r="4078" spans="1:14" ht="13.2">
      <c r="A4078" s="164" t="str">
        <f ca="1">IFERROR(__xludf.DUMMYFUNCTION("""COMPUTED_VALUE"""),"REGION XII")</f>
        <v>REGION XII</v>
      </c>
      <c r="B4078" s="164" t="str">
        <f ca="1">IFERROR(__xludf.DUMMYFUNCTION("""COMPUTED_VALUE"""),"SARANGANI")</f>
        <v>SARANGANI</v>
      </c>
      <c r="C4078" s="164" t="str">
        <f ca="1">IFERROR(__xludf.DUMMYFUNCTION("""COMPUTED_VALUE"""),"Laptop – (ACER EXTENSA EX215-55G i7)")</f>
        <v>Laptop – (ACER EXTENSA EX215-55G i7)</v>
      </c>
      <c r="D4078" s="164" t="str">
        <f ca="1">IFERROR(__xludf.DUMMYFUNCTION("""COMPUTED_VALUE"""),"₱ 59,500.00")</f>
        <v>₱ 59,500.00</v>
      </c>
      <c r="E4078" s="164" t="str">
        <f ca="1">IFERROR(__xludf.DUMMYFUNCTION("""COMPUTED_VALUE"""),"₱ -")</f>
        <v>₱ -</v>
      </c>
      <c r="F4078" s="164" t="str">
        <f ca="1">IFERROR(__xludf.DUMMYFUNCTION("""COMPUTED_VALUE"""),"2023-05-03-10202SP84-01")</f>
        <v>2023-05-03-10202SP84-01</v>
      </c>
      <c r="G4078" s="164" t="str">
        <f ca="1">IFERROR(__xludf.DUMMYFUNCTION("""COMPUTED_VALUE"""),"NXEGZSP00330801F523400")</f>
        <v>NXEGZSP00330801F523400</v>
      </c>
      <c r="H4078" s="164" t="str">
        <f ca="1">IFERROR(__xludf.DUMMYFUNCTION("""COMPUTED_VALUE"""),"KATHLEEN S. PAGAYON")</f>
        <v>KATHLEEN S. PAGAYON</v>
      </c>
      <c r="I4078" s="164" t="str">
        <f ca="1">IFERROR(__xludf.DUMMYFUNCTION("""COMPUTED_VALUE"""),"REGIONAL INFORMATION OFFICER")</f>
        <v>REGIONAL INFORMATION OFFICER</v>
      </c>
      <c r="J4078" s="164" t="str">
        <f ca="1">IFERROR(__xludf.DUMMYFUNCTION("""COMPUTED_VALUE"""),"2024-01-090
 SPHV-2024-12-0588")</f>
        <v>2024-01-090
 SPHV-2024-12-0588</v>
      </c>
      <c r="K4078" s="164" t="str">
        <f ca="1">IFERROR(__xludf.DUMMYFUNCTION("""COMPUTED_VALUE"""),"KATHLEEN S. PAGAYON")</f>
        <v>KATHLEEN S. PAGAYON</v>
      </c>
      <c r="L4078" s="164" t="str">
        <f ca="1">IFERROR(__xludf.DUMMYFUNCTION("""COMPUTED_VALUE"""),"OPARO")</f>
        <v>OPARO</v>
      </c>
      <c r="M4078" s="164" t="str">
        <f ca="1">IFERROR(__xludf.DUMMYFUNCTION("""COMPUTED_VALUE"""),"SERVICEABLE")</f>
        <v>SERVICEABLE</v>
      </c>
      <c r="N4078" s="164" t="str">
        <f ca="1">IFERROR(__xludf.DUMMYFUNCTION("""COMPUTED_VALUE"""),"SERVICEABLE")</f>
        <v>SERVICEABLE</v>
      </c>
    </row>
    <row r="4079" spans="1:14" ht="13.2" hidden="1">
      <c r="A4079" s="164" t="str">
        <f ca="1">IFERROR(__xludf.DUMMYFUNCTION("""COMPUTED_VALUE"""),"REGION XII")</f>
        <v>REGION XII</v>
      </c>
      <c r="B4079" s="164" t="str">
        <f ca="1">IFERROR(__xludf.DUMMYFUNCTION("""COMPUTED_VALUE"""),"SOUTH COTABATO")</f>
        <v>SOUTH COTABATO</v>
      </c>
      <c r="C4079" s="164" t="str">
        <f ca="1">IFERROR(__xludf.DUMMYFUNCTION("""COMPUTED_VALUE"""),"Laptop – (ACER EXTENSA EX215-55G i7)")</f>
        <v>Laptop – (ACER EXTENSA EX215-55G i7)</v>
      </c>
      <c r="D4079" s="164" t="str">
        <f ca="1">IFERROR(__xludf.DUMMYFUNCTION("""COMPUTED_VALUE"""),"₱ 59,500.00")</f>
        <v>₱ 59,500.00</v>
      </c>
      <c r="E4079" s="164" t="str">
        <f ca="1">IFERROR(__xludf.DUMMYFUNCTION("""COMPUTED_VALUE"""),"₱ -")</f>
        <v>₱ -</v>
      </c>
      <c r="F4079" s="164" t="str">
        <f ca="1">IFERROR(__xludf.DUMMYFUNCTION("""COMPUTED_VALUE"""),"2023-05-03-10202SP87-01")</f>
        <v>2023-05-03-10202SP87-01</v>
      </c>
      <c r="G4079" s="164"/>
      <c r="H4079" s="164" t="str">
        <f ca="1">IFERROR(__xludf.DUMMYFUNCTION("""COMPUTED_VALUE"""),"EAULA MAE GUNSI")</f>
        <v>EAULA MAE GUNSI</v>
      </c>
      <c r="I4079" s="164" t="str">
        <f ca="1">IFERROR(__xludf.DUMMYFUNCTION("""COMPUTED_VALUE"""),"REGIONAL INFORMATION OFFICER")</f>
        <v>REGIONAL INFORMATION OFFICER</v>
      </c>
      <c r="J4079" s="164" t="str">
        <f ca="1">IFERROR(__xludf.DUMMYFUNCTION("""COMPUTED_VALUE"""),"2023-94")</f>
        <v>2023-94</v>
      </c>
      <c r="K4079" s="164" t="str">
        <f ca="1">IFERROR(__xludf.DUMMYFUNCTION("""COMPUTED_VALUE"""),"EALUA MAE GUNSI")</f>
        <v>EALUA MAE GUNSI</v>
      </c>
      <c r="L4079" s="164" t="str">
        <f ca="1">IFERROR(__xludf.DUMMYFUNCTION("""COMPUTED_VALUE"""),"STOD")</f>
        <v>STOD</v>
      </c>
      <c r="M4079" s="164" t="str">
        <f ca="1">IFERROR(__xludf.DUMMYFUNCTION("""COMPUTED_VALUE"""),"SERVICEABLE")</f>
        <v>SERVICEABLE</v>
      </c>
      <c r="N4079" s="164"/>
    </row>
    <row r="4080" spans="1:14" ht="13.2">
      <c r="A4080" s="164" t="str">
        <f ca="1">IFERROR(__xludf.DUMMYFUNCTION("""COMPUTED_VALUE"""),"REGION XII")</f>
        <v>REGION XII</v>
      </c>
      <c r="B4080" s="164" t="str">
        <f ca="1">IFERROR(__xludf.DUMMYFUNCTION("""COMPUTED_VALUE"""),"NORTH COTABATO")</f>
        <v>NORTH COTABATO</v>
      </c>
      <c r="C4080" s="164" t="str">
        <f ca="1">IFERROR(__xludf.DUMMYFUNCTION("""COMPUTED_VALUE"""),"Laptop – (ACER EXTENSA EX215-55G i7)")</f>
        <v>Laptop – (ACER EXTENSA EX215-55G i7)</v>
      </c>
      <c r="D4080" s="164" t="str">
        <f ca="1">IFERROR(__xludf.DUMMYFUNCTION("""COMPUTED_VALUE"""),"₱ 59,500.00")</f>
        <v>₱ 59,500.00</v>
      </c>
      <c r="E4080" s="164" t="str">
        <f ca="1">IFERROR(__xludf.DUMMYFUNCTION("""COMPUTED_VALUE"""),"₱ -")</f>
        <v>₱ -</v>
      </c>
      <c r="F4080" s="164" t="str">
        <f ca="1">IFERROR(__xludf.DUMMYFUNCTION("""COMPUTED_VALUE"""),"2023-05-03-10202SP86-01")</f>
        <v>2023-05-03-10202SP86-01</v>
      </c>
      <c r="G4080" s="164"/>
      <c r="H4080" s="164" t="str">
        <f ca="1">IFERROR(__xludf.DUMMYFUNCTION("""COMPUTED_VALUE"""),"RODEL D. OREJUDOS")</f>
        <v>RODEL D. OREJUDOS</v>
      </c>
      <c r="I4080" s="164" t="str">
        <f ca="1">IFERROR(__xludf.DUMMYFUNCTION("""COMPUTED_VALUE"""),"MARPO/REGIONAL INFORMATION OFFICER")</f>
        <v>MARPO/REGIONAL INFORMATION OFFICER</v>
      </c>
      <c r="J4080" s="164" t="str">
        <f ca="1">IFERROR(__xludf.DUMMYFUNCTION("""COMPUTED_VALUE"""),"PAR-03-01-2024")</f>
        <v>PAR-03-01-2024</v>
      </c>
      <c r="K4080" s="164" t="str">
        <f ca="1">IFERROR(__xludf.DUMMYFUNCTION("""COMPUTED_VALUE"""),"RODEL D. OREJUDOS")</f>
        <v>RODEL D. OREJUDOS</v>
      </c>
      <c r="L4080" s="164" t="str">
        <f ca="1">IFERROR(__xludf.DUMMYFUNCTION("""COMPUTED_VALUE"""),"DARMO-ALAMADA")</f>
        <v>DARMO-ALAMADA</v>
      </c>
      <c r="M4080" s="164" t="str">
        <f ca="1">IFERROR(__xludf.DUMMYFUNCTION("""COMPUTED_VALUE"""),"SERVICEABLE")</f>
        <v>SERVICEABLE</v>
      </c>
      <c r="N4080" s="164"/>
    </row>
    <row r="4081" spans="1:14" ht="13.2" hidden="1">
      <c r="A4081" s="164" t="str">
        <f ca="1">IFERROR(__xludf.DUMMYFUNCTION("""COMPUTED_VALUE"""),"REGION XII")</f>
        <v>REGION XII</v>
      </c>
      <c r="B4081" s="164" t="str">
        <f ca="1">IFERROR(__xludf.DUMMYFUNCTION("""COMPUTED_VALUE"""),"SULTAN KUDARAT")</f>
        <v>SULTAN KUDARAT</v>
      </c>
      <c r="C4081" s="164" t="str">
        <f ca="1">IFERROR(__xludf.DUMMYFUNCTION("""COMPUTED_VALUE"""),"Laptop – (ACER EXTENSA EX215-55G i7)")</f>
        <v>Laptop – (ACER EXTENSA EX215-55G i7)</v>
      </c>
      <c r="D4081" s="164" t="str">
        <f ca="1">IFERROR(__xludf.DUMMYFUNCTION("""COMPUTED_VALUE"""),"₱ 59,500.00")</f>
        <v>₱ 59,500.00</v>
      </c>
      <c r="E4081" s="164" t="str">
        <f ca="1">IFERROR(__xludf.DUMMYFUNCTION("""COMPUTED_VALUE"""),"₱ -")</f>
        <v>₱ -</v>
      </c>
      <c r="F4081" s="164" t="str">
        <f ca="1">IFERROR(__xludf.DUMMYFUNCTION("""COMPUTED_VALUE"""),"2023-05-03-10202SP85-01")</f>
        <v>2023-05-03-10202SP85-01</v>
      </c>
      <c r="G4081" s="164" t="str">
        <f ca="1">IFERROR(__xludf.DUMMYFUNCTION("""COMPUTED_VALUE"""),"NXEGZSP0030801B0A3400")</f>
        <v>NXEGZSP0030801B0A3400</v>
      </c>
      <c r="H4081" s="164" t="str">
        <f ca="1">IFERROR(__xludf.DUMMYFUNCTION("""COMPUTED_VALUE"""),"KATHLEAH F. PEBOJOT")</f>
        <v>KATHLEAH F. PEBOJOT</v>
      </c>
      <c r="I4081" s="164" t="str">
        <f ca="1">IFERROR(__xludf.DUMMYFUNCTION("""COMPUTED_VALUE"""),"REGIONAL INFORMATION OFFICER")</f>
        <v>REGIONAL INFORMATION OFFICER</v>
      </c>
      <c r="J4081" s="164" t="str">
        <f ca="1">IFERROR(__xludf.DUMMYFUNCTION("""COMPUTED_VALUE"""),"PAR2024-01-055")</f>
        <v>PAR2024-01-055</v>
      </c>
      <c r="K4081" s="164" t="str">
        <f ca="1">IFERROR(__xludf.DUMMYFUNCTION("""COMPUTED_VALUE"""),"KATHLEAH F. PEBOJOT")</f>
        <v>KATHLEAH F. PEBOJOT</v>
      </c>
      <c r="L4081" s="164" t="str">
        <f ca="1">IFERROR(__xludf.DUMMYFUNCTION("""COMPUTED_VALUE"""),"STOD")</f>
        <v>STOD</v>
      </c>
      <c r="M4081" s="164" t="str">
        <f ca="1">IFERROR(__xludf.DUMMYFUNCTION("""COMPUTED_VALUE"""),"SERVICEABLE")</f>
        <v>SERVICEABLE</v>
      </c>
      <c r="N4081" s="164"/>
    </row>
    <row r="4082" spans="1:14" ht="13.2" hidden="1">
      <c r="A4082" s="164" t="str">
        <f ca="1">IFERROR(__xludf.DUMMYFUNCTION("""COMPUTED_VALUE"""),"REGION XII")</f>
        <v>REGION XII</v>
      </c>
      <c r="B4082" s="164" t="str">
        <f ca="1">IFERROR(__xludf.DUMMYFUNCTION("""COMPUTED_VALUE"""),"DARRO")</f>
        <v>DARRO</v>
      </c>
      <c r="C4082" s="164" t="str">
        <f ca="1">IFERROR(__xludf.DUMMYFUNCTION("""COMPUTED_VALUE"""),"Laptop – (ACER EXTENSA EX215-55G i7)")</f>
        <v>Laptop – (ACER EXTENSA EX215-55G i7)</v>
      </c>
      <c r="D4082" s="164" t="str">
        <f ca="1">IFERROR(__xludf.DUMMYFUNCTION("""COMPUTED_VALUE"""),"₱ 59,500.00")</f>
        <v>₱ 59,500.00</v>
      </c>
      <c r="E4082" s="164" t="str">
        <f ca="1">IFERROR(__xludf.DUMMYFUNCTION("""COMPUTED_VALUE"""),"₱ -")</f>
        <v>₱ -</v>
      </c>
      <c r="F4082" s="164" t="str">
        <f ca="1">IFERROR(__xludf.DUMMYFUNCTION("""COMPUTED_VALUE"""),"2023-05-03-10202SP84-01")</f>
        <v>2023-05-03-10202SP84-01</v>
      </c>
      <c r="G4082" s="164"/>
      <c r="H4082" s="164" t="str">
        <f ca="1">IFERROR(__xludf.DUMMYFUNCTION("""COMPUTED_VALUE"""),"KATHLEEN S. PAGAYON")</f>
        <v>KATHLEEN S. PAGAYON</v>
      </c>
      <c r="I4082" s="164" t="str">
        <f ca="1">IFERROR(__xludf.DUMMYFUNCTION("""COMPUTED_VALUE"""),"REGIONAL INFORMATION OFFICER")</f>
        <v>REGIONAL INFORMATION OFFICER</v>
      </c>
      <c r="J4082" s="164" t="str">
        <f ca="1">IFERROR(__xludf.DUMMYFUNCTION("""COMPUTED_VALUE"""),"SPLIT-2023-025")</f>
        <v>SPLIT-2023-025</v>
      </c>
      <c r="K4082" s="164" t="str">
        <f ca="1">IFERROR(__xludf.DUMMYFUNCTION("""COMPUTED_VALUE"""),"KATHLEEN S. PAGAYON")</f>
        <v>KATHLEEN S. PAGAYON</v>
      </c>
      <c r="L4082" s="164" t="str">
        <f ca="1">IFERROR(__xludf.DUMMYFUNCTION("""COMPUTED_VALUE"""),"STOD")</f>
        <v>STOD</v>
      </c>
      <c r="M4082" s="164" t="str">
        <f ca="1">IFERROR(__xludf.DUMMYFUNCTION("""COMPUTED_VALUE"""),"SERVICEABLE")</f>
        <v>SERVICEABLE</v>
      </c>
      <c r="N4082" s="164"/>
    </row>
    <row r="4083" spans="1:14" ht="13.2" hidden="1">
      <c r="A4083" s="164" t="str">
        <f ca="1">IFERROR(__xludf.DUMMYFUNCTION("""COMPUTED_VALUE"""),"REGION XII")</f>
        <v>REGION XII</v>
      </c>
      <c r="B4083" s="164" t="str">
        <f ca="1">IFERROR(__xludf.DUMMYFUNCTION("""COMPUTED_VALUE"""),"SOUTH COTABATO")</f>
        <v>SOUTH COTABATO</v>
      </c>
      <c r="C4083" s="164" t="str">
        <f ca="1">IFERROR(__xludf.DUMMYFUNCTION("""COMPUTED_VALUE"""),"REAL-TIME KINEMATIC – GEOMAX ZENITH60")</f>
        <v>REAL-TIME KINEMATIC – GEOMAX ZENITH60</v>
      </c>
      <c r="D4083" s="164" t="str">
        <f ca="1">IFERROR(__xludf.DUMMYFUNCTION("""COMPUTED_VALUE"""),"₱ 1,849,000.00")</f>
        <v>₱ 1,849,000.00</v>
      </c>
      <c r="E4083" s="164" t="str">
        <f ca="1">IFERROR(__xludf.DUMMYFUNCTION("""COMPUTED_VALUE"""),"₱ -")</f>
        <v>₱ -</v>
      </c>
      <c r="F4083" s="164" t="str">
        <f ca="1">IFERROR(__xludf.DUMMYFUNCTION("""COMPUTED_VALUE"""),"2023-05-14-10201SP46-01")</f>
        <v>2023-05-14-10201SP46-01</v>
      </c>
      <c r="G4083" s="164"/>
      <c r="H4083" s="164" t="str">
        <f ca="1">IFERROR(__xludf.DUMMYFUNCTION("""COMPUTED_VALUE"""),"TRICIA SALVE E. BELO")</f>
        <v>TRICIA SALVE E. BELO</v>
      </c>
      <c r="I4083" s="164" t="str">
        <f ca="1">IFERROR(__xludf.DUMMYFUNCTION("""COMPUTED_VALUE"""),"ENGINEER II")</f>
        <v>ENGINEER II</v>
      </c>
      <c r="J4083" s="164" t="str">
        <f ca="1">IFERROR(__xludf.DUMMYFUNCTION("""COMPUTED_VALUE"""),"007-23")</f>
        <v>007-23</v>
      </c>
      <c r="K4083" s="164" t="str">
        <f ca="1">IFERROR(__xludf.DUMMYFUNCTION("""COMPUTED_VALUE"""),"TRICIA SALVE E. BELO")</f>
        <v>TRICIA SALVE E. BELO</v>
      </c>
      <c r="L4083" s="164" t="str">
        <f ca="1">IFERROR(__xludf.DUMMYFUNCTION("""COMPUTED_VALUE"""),"STOD")</f>
        <v>STOD</v>
      </c>
      <c r="M4083" s="164" t="str">
        <f ca="1">IFERROR(__xludf.DUMMYFUNCTION("""COMPUTED_VALUE"""),"SERVICEABLE")</f>
        <v>SERVICEABLE</v>
      </c>
      <c r="N4083" s="164"/>
    </row>
    <row r="4084" spans="1:14" ht="13.2" hidden="1">
      <c r="A4084" s="164" t="str">
        <f ca="1">IFERROR(__xludf.DUMMYFUNCTION("""COMPUTED_VALUE"""),"REGION XII")</f>
        <v>REGION XII</v>
      </c>
      <c r="B4084" s="164" t="str">
        <f ca="1">IFERROR(__xludf.DUMMYFUNCTION("""COMPUTED_VALUE"""),"DARRO")</f>
        <v>DARRO</v>
      </c>
      <c r="C4084" s="164" t="str">
        <f ca="1">IFERROR(__xludf.DUMMYFUNCTION("""COMPUTED_VALUE"""),"REAL-TIME KINEMATIC – GEOMAX ZENITH60")</f>
        <v>REAL-TIME KINEMATIC – GEOMAX ZENITH60</v>
      </c>
      <c r="D4084" s="164" t="str">
        <f ca="1">IFERROR(__xludf.DUMMYFUNCTION("""COMPUTED_VALUE"""),"₱ 1,849,000.00")</f>
        <v>₱ 1,849,000.00</v>
      </c>
      <c r="E4084" s="164" t="str">
        <f ca="1">IFERROR(__xludf.DUMMYFUNCTION("""COMPUTED_VALUE"""),"₱ -")</f>
        <v>₱ -</v>
      </c>
      <c r="F4084" s="164" t="str">
        <f ca="1">IFERROR(__xludf.DUMMYFUNCTION("""COMPUTED_VALUE"""),"2023-05-14-10201SP47-01")</f>
        <v>2023-05-14-10201SP47-01</v>
      </c>
      <c r="G4084" s="164"/>
      <c r="H4084" s="164" t="str">
        <f ca="1">IFERROR(__xludf.DUMMYFUNCTION("""COMPUTED_VALUE"""),"JONATHAN Y. DEDICATORIA")</f>
        <v>JONATHAN Y. DEDICATORIA</v>
      </c>
      <c r="I4084" s="164" t="str">
        <f ca="1">IFERROR(__xludf.DUMMYFUNCTION("""COMPUTED_VALUE"""),"ENGINEER II")</f>
        <v>ENGINEER II</v>
      </c>
      <c r="J4084" s="164" t="str">
        <f ca="1">IFERROR(__xludf.DUMMYFUNCTION("""COMPUTED_VALUE"""),"SPLIT-2023-028")</f>
        <v>SPLIT-2023-028</v>
      </c>
      <c r="K4084" s="164" t="str">
        <f ca="1">IFERROR(__xludf.DUMMYFUNCTION("""COMPUTED_VALUE"""),"JONATHAN Y. DEDICATORIA")</f>
        <v>JONATHAN Y. DEDICATORIA</v>
      </c>
      <c r="L4084" s="164" t="str">
        <f ca="1">IFERROR(__xludf.DUMMYFUNCTION("""COMPUTED_VALUE"""),"LTID OFFICE")</f>
        <v>LTID OFFICE</v>
      </c>
      <c r="M4084" s="164" t="str">
        <f ca="1">IFERROR(__xludf.DUMMYFUNCTION("""COMPUTED_VALUE"""),"SERVICEABLE")</f>
        <v>SERVICEABLE</v>
      </c>
      <c r="N4084" s="164"/>
    </row>
    <row r="4085" spans="1:14" ht="13.2" hidden="1">
      <c r="A4085" s="164" t="str">
        <f ca="1">IFERROR(__xludf.DUMMYFUNCTION("""COMPUTED_VALUE"""),"REGION XII")</f>
        <v>REGION XII</v>
      </c>
      <c r="B4085" s="164" t="str">
        <f ca="1">IFERROR(__xludf.DUMMYFUNCTION("""COMPUTED_VALUE"""),"SOUTH COTABATO")</f>
        <v>SOUTH COTABATO</v>
      </c>
      <c r="C4085" s="164" t="str">
        <f ca="1">IFERROR(__xludf.DUMMYFUNCTION("""COMPUTED_VALUE"""),"TOTAL STATION – GEOMAX TOTAL STATION ZOOM 50")</f>
        <v>TOTAL STATION – GEOMAX TOTAL STATION ZOOM 50</v>
      </c>
      <c r="D4085" s="164" t="str">
        <f ca="1">IFERROR(__xludf.DUMMYFUNCTION("""COMPUTED_VALUE"""),"₱ 648,000.00")</f>
        <v>₱ 648,000.00</v>
      </c>
      <c r="E4085" s="164" t="str">
        <f ca="1">IFERROR(__xludf.DUMMYFUNCTION("""COMPUTED_VALUE"""),"₱ -")</f>
        <v>₱ -</v>
      </c>
      <c r="F4085" s="164" t="str">
        <f ca="1">IFERROR(__xludf.DUMMYFUNCTION("""COMPUTED_VALUE"""),"2023-05-14-10201SP47-01")</f>
        <v>2023-05-14-10201SP47-01</v>
      </c>
      <c r="G4085" s="164"/>
      <c r="H4085" s="164" t="str">
        <f ca="1">IFERROR(__xludf.DUMMYFUNCTION("""COMPUTED_VALUE"""),"TRICIA SALVE E. BELO")</f>
        <v>TRICIA SALVE E. BELO</v>
      </c>
      <c r="I4085" s="164" t="str">
        <f ca="1">IFERROR(__xludf.DUMMYFUNCTION("""COMPUTED_VALUE"""),"ENGINEER II")</f>
        <v>ENGINEER II</v>
      </c>
      <c r="J4085" s="164" t="str">
        <f ca="1">IFERROR(__xludf.DUMMYFUNCTION("""COMPUTED_VALUE"""),"007-23")</f>
        <v>007-23</v>
      </c>
      <c r="K4085" s="164" t="str">
        <f ca="1">IFERROR(__xludf.DUMMYFUNCTION("""COMPUTED_VALUE"""),"TRICIA SALVE E. BELO")</f>
        <v>TRICIA SALVE E. BELO</v>
      </c>
      <c r="L4085" s="164" t="str">
        <f ca="1">IFERROR(__xludf.DUMMYFUNCTION("""COMPUTED_VALUE"""),"STOD")</f>
        <v>STOD</v>
      </c>
      <c r="M4085" s="164" t="str">
        <f ca="1">IFERROR(__xludf.DUMMYFUNCTION("""COMPUTED_VALUE"""),"SERVICEABLE")</f>
        <v>SERVICEABLE</v>
      </c>
      <c r="N4085" s="164"/>
    </row>
    <row r="4086" spans="1:14" ht="13.2" hidden="1">
      <c r="A4086" s="164" t="str">
        <f ca="1">IFERROR(__xludf.DUMMYFUNCTION("""COMPUTED_VALUE"""),"REGION XII")</f>
        <v>REGION XII</v>
      </c>
      <c r="B4086" s="164" t="str">
        <f ca="1">IFERROR(__xludf.DUMMYFUNCTION("""COMPUTED_VALUE"""),"DARRO")</f>
        <v>DARRO</v>
      </c>
      <c r="C4086" s="164" t="str">
        <f ca="1">IFERROR(__xludf.DUMMYFUNCTION("""COMPUTED_VALUE"""),"TOTAL STATION – GEOMAX TOTAL STATION ZOOM 50")</f>
        <v>TOTAL STATION – GEOMAX TOTAL STATION ZOOM 50</v>
      </c>
      <c r="D4086" s="164" t="str">
        <f ca="1">IFERROR(__xludf.DUMMYFUNCTION("""COMPUTED_VALUE"""),"₱ 648,000.00")</f>
        <v>₱ 648,000.00</v>
      </c>
      <c r="E4086" s="164" t="str">
        <f ca="1">IFERROR(__xludf.DUMMYFUNCTION("""COMPUTED_VALUE"""),"₱ -")</f>
        <v>₱ -</v>
      </c>
      <c r="F4086" s="164" t="str">
        <f ca="1">IFERROR(__xludf.DUMMYFUNCTION("""COMPUTED_VALUE"""),"2023-05-14-10201SP46-01")</f>
        <v>2023-05-14-10201SP46-01</v>
      </c>
      <c r="G4086" s="164"/>
      <c r="H4086" s="164" t="str">
        <f ca="1">IFERROR(__xludf.DUMMYFUNCTION("""COMPUTED_VALUE"""),"JONATHAN Y. DEDICATORIA")</f>
        <v>JONATHAN Y. DEDICATORIA</v>
      </c>
      <c r="I4086" s="164" t="str">
        <f ca="1">IFERROR(__xludf.DUMMYFUNCTION("""COMPUTED_VALUE"""),"SUPPLY OFFICER II")</f>
        <v>SUPPLY OFFICER II</v>
      </c>
      <c r="J4086" s="164" t="str">
        <f ca="1">IFERROR(__xludf.DUMMYFUNCTION("""COMPUTED_VALUE"""),"SPLIT-2023-030")</f>
        <v>SPLIT-2023-030</v>
      </c>
      <c r="K4086" s="164" t="str">
        <f ca="1">IFERROR(__xludf.DUMMYFUNCTION("""COMPUTED_VALUE"""),"JONATHAN Y. DEDICATORIA")</f>
        <v>JONATHAN Y. DEDICATORIA</v>
      </c>
      <c r="L4086" s="164" t="str">
        <f ca="1">IFERROR(__xludf.DUMMYFUNCTION("""COMPUTED_VALUE"""),"STOD")</f>
        <v>STOD</v>
      </c>
      <c r="M4086" s="164" t="str">
        <f ca="1">IFERROR(__xludf.DUMMYFUNCTION("""COMPUTED_VALUE"""),"SERVICEABLE")</f>
        <v>SERVICEABLE</v>
      </c>
      <c r="N4086" s="164"/>
    </row>
    <row r="4087" spans="1:14" ht="13.2" hidden="1">
      <c r="A4087" s="164" t="str">
        <f ca="1">IFERROR(__xludf.DUMMYFUNCTION("""COMPUTED_VALUE"""),"REGION XII")</f>
        <v>REGION XII</v>
      </c>
      <c r="B4087" s="164" t="str">
        <f ca="1">IFERROR(__xludf.DUMMYFUNCTION("""COMPUTED_VALUE"""),"SOUTH COTABATO")</f>
        <v>SOUTH COTABATO</v>
      </c>
      <c r="C4087" s="164" t="str">
        <f ca="1">IFERROR(__xludf.DUMMYFUNCTION("""COMPUTED_VALUE"""),"HANDHELD GPS – MODEL P6")</f>
        <v>HANDHELD GPS – MODEL P6</v>
      </c>
      <c r="D4087" s="164" t="str">
        <f ca="1">IFERROR(__xludf.DUMMYFUNCTION("""COMPUTED_VALUE"""),"₱ 79,000.00")</f>
        <v>₱ 79,000.00</v>
      </c>
      <c r="E4087" s="164" t="str">
        <f ca="1">IFERROR(__xludf.DUMMYFUNCTION("""COMPUTED_VALUE"""),"₱ -")</f>
        <v>₱ -</v>
      </c>
      <c r="F4087" s="164" t="str">
        <f ca="1">IFERROR(__xludf.DUMMYFUNCTION("""COMPUTED_VALUE"""),"2023-05-14-10202SP28-01")</f>
        <v>2023-05-14-10202SP28-01</v>
      </c>
      <c r="G4087" s="164"/>
      <c r="H4087" s="164" t="str">
        <f ca="1">IFERROR(__xludf.DUMMYFUNCTION("""COMPUTED_VALUE"""),"TRICIA SALVE E. BELO")</f>
        <v>TRICIA SALVE E. BELO</v>
      </c>
      <c r="I4087" s="164" t="str">
        <f ca="1">IFERROR(__xludf.DUMMYFUNCTION("""COMPUTED_VALUE"""),"ENGINEER II")</f>
        <v>ENGINEER II</v>
      </c>
      <c r="J4087" s="164" t="str">
        <f ca="1">IFERROR(__xludf.DUMMYFUNCTION("""COMPUTED_VALUE"""),"007-23")</f>
        <v>007-23</v>
      </c>
      <c r="K4087" s="164" t="str">
        <f ca="1">IFERROR(__xludf.DUMMYFUNCTION("""COMPUTED_VALUE"""),"TRICIA SALVE E. BELO")</f>
        <v>TRICIA SALVE E. BELO</v>
      </c>
      <c r="L4087" s="164" t="str">
        <f ca="1">IFERROR(__xludf.DUMMYFUNCTION("""COMPUTED_VALUE"""),"STOD")</f>
        <v>STOD</v>
      </c>
      <c r="M4087" s="164" t="str">
        <f ca="1">IFERROR(__xludf.DUMMYFUNCTION("""COMPUTED_VALUE"""),"SERVICEABLE")</f>
        <v>SERVICEABLE</v>
      </c>
      <c r="N4087" s="164"/>
    </row>
    <row r="4088" spans="1:14" ht="13.2" hidden="1">
      <c r="A4088" s="164" t="str">
        <f ca="1">IFERROR(__xludf.DUMMYFUNCTION("""COMPUTED_VALUE"""),"REGION XII")</f>
        <v>REGION XII</v>
      </c>
      <c r="B4088" s="164" t="str">
        <f ca="1">IFERROR(__xludf.DUMMYFUNCTION("""COMPUTED_VALUE"""),"DARRO")</f>
        <v>DARRO</v>
      </c>
      <c r="C4088" s="164" t="str">
        <f ca="1">IFERROR(__xludf.DUMMYFUNCTION("""COMPUTED_VALUE"""),"HANDHELD GPS – MODEL P6")</f>
        <v>HANDHELD GPS – MODEL P6</v>
      </c>
      <c r="D4088" s="164" t="str">
        <f ca="1">IFERROR(__xludf.DUMMYFUNCTION("""COMPUTED_VALUE"""),"₱ 79,000.00")</f>
        <v>₱ 79,000.00</v>
      </c>
      <c r="E4088" s="164" t="str">
        <f ca="1">IFERROR(__xludf.DUMMYFUNCTION("""COMPUTED_VALUE"""),"₱ -")</f>
        <v>₱ -</v>
      </c>
      <c r="F4088" s="164" t="str">
        <f ca="1">IFERROR(__xludf.DUMMYFUNCTION("""COMPUTED_VALUE"""),"2023-05-14-10202SP29-01")</f>
        <v>2023-05-14-10202SP29-01</v>
      </c>
      <c r="G4088" s="164"/>
      <c r="H4088" s="164" t="str">
        <f ca="1">IFERROR(__xludf.DUMMYFUNCTION("""COMPUTED_VALUE"""),"JONATHAN Y. DEDICATORIA")</f>
        <v>JONATHAN Y. DEDICATORIA</v>
      </c>
      <c r="I4088" s="164" t="str">
        <f ca="1">IFERROR(__xludf.DUMMYFUNCTION("""COMPUTED_VALUE"""),"SUPPLY OFFICER II")</f>
        <v>SUPPLY OFFICER II</v>
      </c>
      <c r="J4088" s="164" t="str">
        <f ca="1">IFERROR(__xludf.DUMMYFUNCTION("""COMPUTED_VALUE"""),"SPLIT-2023-029")</f>
        <v>SPLIT-2023-029</v>
      </c>
      <c r="K4088" s="164" t="str">
        <f ca="1">IFERROR(__xludf.DUMMYFUNCTION("""COMPUTED_VALUE"""),"JONATHAN Y. DEDICATORIA")</f>
        <v>JONATHAN Y. DEDICATORIA</v>
      </c>
      <c r="L4088" s="164" t="str">
        <f ca="1">IFERROR(__xludf.DUMMYFUNCTION("""COMPUTED_VALUE"""),"STOD")</f>
        <v>STOD</v>
      </c>
      <c r="M4088" s="164" t="str">
        <f ca="1">IFERROR(__xludf.DUMMYFUNCTION("""COMPUTED_VALUE"""),"SERVICEABLE")</f>
        <v>SERVICEABLE</v>
      </c>
      <c r="N4088" s="164"/>
    </row>
    <row r="4089" spans="1:14" ht="13.2">
      <c r="A4089" s="164" t="str">
        <f ca="1">IFERROR(__xludf.DUMMYFUNCTION("""COMPUTED_VALUE"""),"REGION XII")</f>
        <v>REGION XII</v>
      </c>
      <c r="B4089" s="164" t="str">
        <f ca="1">IFERROR(__xludf.DUMMYFUNCTION("""COMPUTED_VALUE"""),"SARANGANI")</f>
        <v>SARANGANI</v>
      </c>
      <c r="C4089" s="164" t="str">
        <f ca="1">IFERROR(__xludf.DUMMYFUNCTION("""COMPUTED_VALUE"""),"Desktop Computer – (MSI PRO DP180)")</f>
        <v>Desktop Computer – (MSI PRO DP180)</v>
      </c>
      <c r="D4089" s="164" t="str">
        <f ca="1">IFERROR(__xludf.DUMMYFUNCTION("""COMPUTED_VALUE"""),"₱ 49,300.00")</f>
        <v>₱ 49,300.00</v>
      </c>
      <c r="E4089" s="164" t="str">
        <f ca="1">IFERROR(__xludf.DUMMYFUNCTION("""COMPUTED_VALUE"""),"₱ -")</f>
        <v>₱ -</v>
      </c>
      <c r="F4089" s="164" t="str">
        <f ca="1">IFERROR(__xludf.DUMMYFUNCTION("""COMPUTED_VALUE"""),"HVSPLIT-102-24-05-01-496")</f>
        <v>HVSPLIT-102-24-05-01-496</v>
      </c>
      <c r="G4089" s="164" t="str">
        <f ca="1">IFERROR(__xludf.DUMMYFUNCTION("""COMPUTED_VALUE"""),"SN:MSBOA70450103950")</f>
        <v>SN:MSBOA70450103950</v>
      </c>
      <c r="H4089" s="164" t="str">
        <f ca="1">IFERROR(__xludf.DUMMYFUNCTION("""COMPUTED_VALUE"""),"MARK ANTHONY DELA TORRE")</f>
        <v>MARK ANTHONY DELA TORRE</v>
      </c>
      <c r="I4089" s="164" t="str">
        <f ca="1">IFERROR(__xludf.DUMMYFUNCTION("""COMPUTED_VALUE"""),"ACCT II")</f>
        <v>ACCT II</v>
      </c>
      <c r="J4089" s="164" t="str">
        <f ca="1">IFERROR(__xludf.DUMMYFUNCTION("""COMPUTED_VALUE"""),"SPHV-2024-11-0441")</f>
        <v>SPHV-2024-11-0441</v>
      </c>
      <c r="K4089" s="164" t="str">
        <f ca="1">IFERROR(__xludf.DUMMYFUNCTION("""COMPUTED_VALUE"""),"MARK ANTHONY DELA TORRE")</f>
        <v>MARK ANTHONY DELA TORRE</v>
      </c>
      <c r="L4089" s="164" t="str">
        <f ca="1">IFERROR(__xludf.DUMMYFUNCTION("""COMPUTED_VALUE"""),"DARPO-SAR")</f>
        <v>DARPO-SAR</v>
      </c>
      <c r="M4089" s="164" t="str">
        <f ca="1">IFERROR(__xludf.DUMMYFUNCTION("""COMPUTED_VALUE"""),"SERVICEABLE")</f>
        <v>SERVICEABLE</v>
      </c>
      <c r="N4089" s="164"/>
    </row>
    <row r="4090" spans="1:14" ht="13.2">
      <c r="A4090" s="164" t="str">
        <f ca="1">IFERROR(__xludf.DUMMYFUNCTION("""COMPUTED_VALUE"""),"REGION XII")</f>
        <v>REGION XII</v>
      </c>
      <c r="B4090" s="164" t="str">
        <f ca="1">IFERROR(__xludf.DUMMYFUNCTION("""COMPUTED_VALUE"""),"SARANGANI")</f>
        <v>SARANGANI</v>
      </c>
      <c r="C4090" s="164" t="str">
        <f ca="1">IFERROR(__xludf.DUMMYFUNCTION("""COMPUTED_VALUE"""),"Desktop Computer – (MSI PRO DP180)")</f>
        <v>Desktop Computer – (MSI PRO DP180)</v>
      </c>
      <c r="D4090" s="164" t="str">
        <f ca="1">IFERROR(__xludf.DUMMYFUNCTION("""COMPUTED_VALUE"""),"₱ 49,300.00")</f>
        <v>₱ 49,300.00</v>
      </c>
      <c r="E4090" s="164" t="str">
        <f ca="1">IFERROR(__xludf.DUMMYFUNCTION("""COMPUTED_VALUE"""),"₱ -")</f>
        <v>₱ -</v>
      </c>
      <c r="F4090" s="164" t="str">
        <f ca="1">IFERROR(__xludf.DUMMYFUNCTION("""COMPUTED_VALUE"""),"HVSPLIT-102-24-05-01-497")</f>
        <v>HVSPLIT-102-24-05-01-497</v>
      </c>
      <c r="G4090" s="164" t="str">
        <f ca="1">IFERROR(__xludf.DUMMYFUNCTION("""COMPUTED_VALUE"""),"SN:MSBOA70450103719")</f>
        <v>SN:MSBOA70450103719</v>
      </c>
      <c r="H4090" s="164" t="str">
        <f ca="1">IFERROR(__xludf.DUMMYFUNCTION("""COMPUTED_VALUE"""),"REDZMA. MINDALANO/ USED BY: SHARON ONDE")</f>
        <v>REDZMA. MINDALANO/ USED BY: SHARON ONDE</v>
      </c>
      <c r="I4090" s="164" t="str">
        <f ca="1">IFERROR(__xludf.DUMMYFUNCTION("""COMPUTED_VALUE"""),"PCAO")</f>
        <v>PCAO</v>
      </c>
      <c r="J4090" s="164" t="str">
        <f ca="1">IFERROR(__xludf.DUMMYFUNCTION("""COMPUTED_VALUE"""),"SPHV-2024-11-0442")</f>
        <v>SPHV-2024-11-0442</v>
      </c>
      <c r="K4090" s="164" t="str">
        <f ca="1">IFERROR(__xludf.DUMMYFUNCTION("""COMPUTED_VALUE"""),"REDZMA A. MINDALANO")</f>
        <v>REDZMA A. MINDALANO</v>
      </c>
      <c r="L4090" s="164" t="str">
        <f ca="1">IFERROR(__xludf.DUMMYFUNCTION("""COMPUTED_VALUE"""),"DARPO-SAR")</f>
        <v>DARPO-SAR</v>
      </c>
      <c r="M4090" s="164" t="str">
        <f ca="1">IFERROR(__xludf.DUMMYFUNCTION("""COMPUTED_VALUE"""),"SERVICEABLE")</f>
        <v>SERVICEABLE</v>
      </c>
      <c r="N4090" s="164"/>
    </row>
    <row r="4091" spans="1:14" ht="13.2">
      <c r="A4091" s="164" t="str">
        <f ca="1">IFERROR(__xludf.DUMMYFUNCTION("""COMPUTED_VALUE"""),"REGION XII")</f>
        <v>REGION XII</v>
      </c>
      <c r="B4091" s="164" t="str">
        <f ca="1">IFERROR(__xludf.DUMMYFUNCTION("""COMPUTED_VALUE"""),"SARANGANI")</f>
        <v>SARANGANI</v>
      </c>
      <c r="C4091" s="164" t="str">
        <f ca="1">IFERROR(__xludf.DUMMYFUNCTION("""COMPUTED_VALUE"""),"Desktop Computer – (MSI PRO DP180)")</f>
        <v>Desktop Computer – (MSI PRO DP180)</v>
      </c>
      <c r="D4091" s="164" t="str">
        <f ca="1">IFERROR(__xludf.DUMMYFUNCTION("""COMPUTED_VALUE"""),"₱ 49,300.00")</f>
        <v>₱ 49,300.00</v>
      </c>
      <c r="E4091" s="164" t="str">
        <f ca="1">IFERROR(__xludf.DUMMYFUNCTION("""COMPUTED_VALUE"""),"₱ -")</f>
        <v>₱ -</v>
      </c>
      <c r="F4091" s="164" t="str">
        <f ca="1">IFERROR(__xludf.DUMMYFUNCTION("""COMPUTED_VALUE"""),"HVSPLIT-102-24-05-01-498")</f>
        <v>HVSPLIT-102-24-05-01-498</v>
      </c>
      <c r="G4091" s="164" t="str">
        <f ca="1">IFERROR(__xludf.DUMMYFUNCTION("""COMPUTED_VALUE"""),"SN:MSB0A70450103992")</f>
        <v>SN:MSB0A70450103992</v>
      </c>
      <c r="H4091" s="164" t="str">
        <f ca="1">IFERROR(__xludf.DUMMYFUNCTION("""COMPUTED_VALUE"""),"KRISTIN AVELINO")</f>
        <v>KRISTIN AVELINO</v>
      </c>
      <c r="I4091" s="164" t="str">
        <f ca="1">IFERROR(__xludf.DUMMYFUNCTION("""COMPUTED_VALUE"""),"SARPT")</f>
        <v>SARPT</v>
      </c>
      <c r="J4091" s="164" t="str">
        <f ca="1">IFERROR(__xludf.DUMMYFUNCTION("""COMPUTED_VALUE"""),"SPHV-2024-11-0443")</f>
        <v>SPHV-2024-11-0443</v>
      </c>
      <c r="K4091" s="164" t="str">
        <f ca="1">IFERROR(__xludf.DUMMYFUNCTION("""COMPUTED_VALUE"""),"NANCY N. GREGORIO")</f>
        <v>NANCY N. GREGORIO</v>
      </c>
      <c r="L4091" s="164" t="str">
        <f ca="1">IFERROR(__xludf.DUMMYFUNCTION("""COMPUTED_VALUE"""),"DARPO-SAR")</f>
        <v>DARPO-SAR</v>
      </c>
      <c r="M4091" s="164" t="str">
        <f ca="1">IFERROR(__xludf.DUMMYFUNCTION("""COMPUTED_VALUE"""),"SERVICEABLE")</f>
        <v>SERVICEABLE</v>
      </c>
      <c r="N4091" s="164"/>
    </row>
    <row r="4092" spans="1:14" ht="13.2">
      <c r="A4092" s="164" t="str">
        <f ca="1">IFERROR(__xludf.DUMMYFUNCTION("""COMPUTED_VALUE"""),"REGION XII")</f>
        <v>REGION XII</v>
      </c>
      <c r="B4092" s="164" t="str">
        <f ca="1">IFERROR(__xludf.DUMMYFUNCTION("""COMPUTED_VALUE"""),"SARANGANI")</f>
        <v>SARANGANI</v>
      </c>
      <c r="C4092" s="164" t="str">
        <f ca="1">IFERROR(__xludf.DUMMYFUNCTION("""COMPUTED_VALUE"""),"Desktop Computer – (MSI PRO DP180)")</f>
        <v>Desktop Computer – (MSI PRO DP180)</v>
      </c>
      <c r="D4092" s="164" t="str">
        <f ca="1">IFERROR(__xludf.DUMMYFUNCTION("""COMPUTED_VALUE"""),"₱ 49,300.00")</f>
        <v>₱ 49,300.00</v>
      </c>
      <c r="E4092" s="164" t="str">
        <f ca="1">IFERROR(__xludf.DUMMYFUNCTION("""COMPUTED_VALUE"""),"₱ -")</f>
        <v>₱ -</v>
      </c>
      <c r="F4092" s="164" t="str">
        <f ca="1">IFERROR(__xludf.DUMMYFUNCTION("""COMPUTED_VALUE"""),"HVSPLIT-102-24-05-01-499")</f>
        <v>HVSPLIT-102-24-05-01-499</v>
      </c>
      <c r="G4092" s="164" t="str">
        <f ca="1">IFERROR(__xludf.DUMMYFUNCTION("""COMPUTED_VALUE"""),"SN:MSBOA70450103494")</f>
        <v>SN:MSBOA70450103494</v>
      </c>
      <c r="H4092" s="164" t="str">
        <f ca="1">IFERROR(__xludf.DUMMYFUNCTION("""COMPUTED_VALUE"""),"PBDD/ JOHN H. GAMAD")</f>
        <v>PBDD/ JOHN H. GAMAD</v>
      </c>
      <c r="I4092" s="164" t="str">
        <f ca="1">IFERROR(__xludf.DUMMYFUNCTION("""COMPUTED_VALUE"""),"CARPO")</f>
        <v>CARPO</v>
      </c>
      <c r="J4092" s="164" t="str">
        <f ca="1">IFERROR(__xludf.DUMMYFUNCTION("""COMPUTED_VALUE"""),"SPHV-2024-11-0444")</f>
        <v>SPHV-2024-11-0444</v>
      </c>
      <c r="K4092" s="164" t="str">
        <f ca="1">IFERROR(__xludf.DUMMYFUNCTION("""COMPUTED_VALUE"""),"JOHN G. GAMAD")</f>
        <v>JOHN G. GAMAD</v>
      </c>
      <c r="L4092" s="164" t="str">
        <f ca="1">IFERROR(__xludf.DUMMYFUNCTION("""COMPUTED_VALUE"""),"DARPO-SAR")</f>
        <v>DARPO-SAR</v>
      </c>
      <c r="M4092" s="164" t="str">
        <f ca="1">IFERROR(__xludf.DUMMYFUNCTION("""COMPUTED_VALUE"""),"SERVICEABLE")</f>
        <v>SERVICEABLE</v>
      </c>
      <c r="N4092" s="164"/>
    </row>
    <row r="4093" spans="1:14" ht="13.2">
      <c r="A4093" s="164" t="str">
        <f ca="1">IFERROR(__xludf.DUMMYFUNCTION("""COMPUTED_VALUE"""),"REGION XII")</f>
        <v>REGION XII</v>
      </c>
      <c r="B4093" s="164" t="str">
        <f ca="1">IFERROR(__xludf.DUMMYFUNCTION("""COMPUTED_VALUE"""),"NORTH COTABATO")</f>
        <v>NORTH COTABATO</v>
      </c>
      <c r="C4093" s="164" t="str">
        <f ca="1">IFERROR(__xludf.DUMMYFUNCTION("""COMPUTED_VALUE"""),"Desktop Computer – (MSI PRO DP180)")</f>
        <v>Desktop Computer – (MSI PRO DP180)</v>
      </c>
      <c r="D4093" s="164" t="str">
        <f ca="1">IFERROR(__xludf.DUMMYFUNCTION("""COMPUTED_VALUE"""),"₱ 49,300.00")</f>
        <v>₱ 49,300.00</v>
      </c>
      <c r="E4093" s="164" t="str">
        <f ca="1">IFERROR(__xludf.DUMMYFUNCTION("""COMPUTED_VALUE"""),"₱ -")</f>
        <v>₱ -</v>
      </c>
      <c r="F4093" s="164" t="str">
        <f ca="1">IFERROR(__xludf.DUMMYFUNCTION("""COMPUTED_VALUE"""),"HVSPLIT-102-24-05-01-492")</f>
        <v>HVSPLIT-102-24-05-01-492</v>
      </c>
      <c r="G4093" s="164"/>
      <c r="H4093" s="164" t="str">
        <f ca="1">IFERROR(__xludf.DUMMYFUNCTION("""COMPUTED_VALUE"""),"NORMAN JAKE B. GABRIEL")</f>
        <v>NORMAN JAKE B. GABRIEL</v>
      </c>
      <c r="I4093" s="164" t="str">
        <f ca="1">IFERROR(__xludf.DUMMYFUNCTION("""COMPUTED_VALUE"""),"ARPT")</f>
        <v>ARPT</v>
      </c>
      <c r="J4093" s="164" t="str">
        <f ca="1">IFERROR(__xludf.DUMMYFUNCTION("""COMPUTED_VALUE"""),"102-2024-10-290")</f>
        <v>102-2024-10-290</v>
      </c>
      <c r="K4093" s="164" t="str">
        <f ca="1">IFERROR(__xludf.DUMMYFUNCTION("""COMPUTED_VALUE"""),"ELSIE LAPAS")</f>
        <v>ELSIE LAPAS</v>
      </c>
      <c r="L4093" s="164" t="str">
        <f ca="1">IFERROR(__xludf.DUMMYFUNCTION("""COMPUTED_VALUE"""),"DARPO-STOD")</f>
        <v>DARPO-STOD</v>
      </c>
      <c r="M4093" s="164" t="str">
        <f ca="1">IFERROR(__xludf.DUMMYFUNCTION("""COMPUTED_VALUE"""),"SERVICEABLE")</f>
        <v>SERVICEABLE</v>
      </c>
      <c r="N4093" s="164"/>
    </row>
    <row r="4094" spans="1:14" ht="13.2">
      <c r="A4094" s="164" t="str">
        <f ca="1">IFERROR(__xludf.DUMMYFUNCTION("""COMPUTED_VALUE"""),"REGION XII")</f>
        <v>REGION XII</v>
      </c>
      <c r="B4094" s="164" t="str">
        <f ca="1">IFERROR(__xludf.DUMMYFUNCTION("""COMPUTED_VALUE"""),"NORTH COTABATO")</f>
        <v>NORTH COTABATO</v>
      </c>
      <c r="C4094" s="164" t="str">
        <f ca="1">IFERROR(__xludf.DUMMYFUNCTION("""COMPUTED_VALUE"""),"Desktop Computer – (MSI PRO DP180)")</f>
        <v>Desktop Computer – (MSI PRO DP180)</v>
      </c>
      <c r="D4094" s="164" t="str">
        <f ca="1">IFERROR(__xludf.DUMMYFUNCTION("""COMPUTED_VALUE"""),"₱ 49,300.00")</f>
        <v>₱ 49,300.00</v>
      </c>
      <c r="E4094" s="164" t="str">
        <f ca="1">IFERROR(__xludf.DUMMYFUNCTION("""COMPUTED_VALUE"""),"₱ -")</f>
        <v>₱ -</v>
      </c>
      <c r="F4094" s="164" t="str">
        <f ca="1">IFERROR(__xludf.DUMMYFUNCTION("""COMPUTED_VALUE"""),"HVSPLIT-102-24-05-01-493")</f>
        <v>HVSPLIT-102-24-05-01-493</v>
      </c>
      <c r="G4094" s="164"/>
      <c r="H4094" s="164" t="str">
        <f ca="1">IFERROR(__xludf.DUMMYFUNCTION("""COMPUTED_VALUE"""),"CAMILLE JONE L. ORIGINAL")</f>
        <v>CAMILLE JONE L. ORIGINAL</v>
      </c>
      <c r="I4094" s="164" t="str">
        <f ca="1">IFERROR(__xludf.DUMMYFUNCTION("""COMPUTED_VALUE"""),"ARPO II")</f>
        <v>ARPO II</v>
      </c>
      <c r="J4094" s="164" t="str">
        <f ca="1">IFERROR(__xludf.DUMMYFUNCTION("""COMPUTED_VALUE"""),"102-2024-10-291")</f>
        <v>102-2024-10-291</v>
      </c>
      <c r="K4094" s="164" t="str">
        <f ca="1">IFERROR(__xludf.DUMMYFUNCTION("""COMPUTED_VALUE"""),"CAMILLE JONE L. ORIGINAL")</f>
        <v>CAMILLE JONE L. ORIGINAL</v>
      </c>
      <c r="L4094" s="164" t="str">
        <f ca="1">IFERROR(__xludf.DUMMYFUNCTION("""COMPUTED_VALUE"""),"DARPO-LTID")</f>
        <v>DARPO-LTID</v>
      </c>
      <c r="M4094" s="164" t="str">
        <f ca="1">IFERROR(__xludf.DUMMYFUNCTION("""COMPUTED_VALUE"""),"SERVICEABLE")</f>
        <v>SERVICEABLE</v>
      </c>
      <c r="N4094" s="164"/>
    </row>
    <row r="4095" spans="1:14" ht="13.2">
      <c r="A4095" s="164" t="str">
        <f ca="1">IFERROR(__xludf.DUMMYFUNCTION("""COMPUTED_VALUE"""),"REGION XII")</f>
        <v>REGION XII</v>
      </c>
      <c r="B4095" s="164" t="str">
        <f ca="1">IFERROR(__xludf.DUMMYFUNCTION("""COMPUTED_VALUE"""),"NORTH COTABATO")</f>
        <v>NORTH COTABATO</v>
      </c>
      <c r="C4095" s="164" t="str">
        <f ca="1">IFERROR(__xludf.DUMMYFUNCTION("""COMPUTED_VALUE"""),"Desktop Computer – (MSI PRO DP180)")</f>
        <v>Desktop Computer – (MSI PRO DP180)</v>
      </c>
      <c r="D4095" s="164" t="str">
        <f ca="1">IFERROR(__xludf.DUMMYFUNCTION("""COMPUTED_VALUE"""),"₱ 49,300.00")</f>
        <v>₱ 49,300.00</v>
      </c>
      <c r="E4095" s="164" t="str">
        <f ca="1">IFERROR(__xludf.DUMMYFUNCTION("""COMPUTED_VALUE"""),"₱ -")</f>
        <v>₱ -</v>
      </c>
      <c r="F4095" s="164" t="str">
        <f ca="1">IFERROR(__xludf.DUMMYFUNCTION("""COMPUTED_VALUE"""),"HVSPLIT-102-24-05-01-494")</f>
        <v>HVSPLIT-102-24-05-01-494</v>
      </c>
      <c r="G4095" s="164"/>
      <c r="H4095" s="164" t="str">
        <f ca="1">IFERROR(__xludf.DUMMYFUNCTION("""COMPUTED_VALUE"""),"GRACE JOY L. ALOLOD")</f>
        <v>GRACE JOY L. ALOLOD</v>
      </c>
      <c r="I4095" s="164" t="str">
        <f ca="1">IFERROR(__xludf.DUMMYFUNCTION("""COMPUTED_VALUE"""),"SARPT")</f>
        <v>SARPT</v>
      </c>
      <c r="J4095" s="164" t="str">
        <f ca="1">IFERROR(__xludf.DUMMYFUNCTION("""COMPUTED_VALUE"""),"102-2024-10-292")</f>
        <v>102-2024-10-292</v>
      </c>
      <c r="K4095" s="164" t="str">
        <f ca="1">IFERROR(__xludf.DUMMYFUNCTION("""COMPUTED_VALUE"""),"GRACE JOY L. ALOLOD")</f>
        <v>GRACE JOY L. ALOLOD</v>
      </c>
      <c r="L4095" s="164" t="str">
        <f ca="1">IFERROR(__xludf.DUMMYFUNCTION("""COMPUTED_VALUE"""),"DARPO-LTID")</f>
        <v>DARPO-LTID</v>
      </c>
      <c r="M4095" s="164" t="str">
        <f ca="1">IFERROR(__xludf.DUMMYFUNCTION("""COMPUTED_VALUE"""),"SERVICEABLE")</f>
        <v>SERVICEABLE</v>
      </c>
      <c r="N4095" s="164"/>
    </row>
    <row r="4096" spans="1:14" ht="13.2">
      <c r="A4096" s="164" t="str">
        <f ca="1">IFERROR(__xludf.DUMMYFUNCTION("""COMPUTED_VALUE"""),"REGION XII")</f>
        <v>REGION XII</v>
      </c>
      <c r="B4096" s="164" t="str">
        <f ca="1">IFERROR(__xludf.DUMMYFUNCTION("""COMPUTED_VALUE"""),"NORTH COTABATO")</f>
        <v>NORTH COTABATO</v>
      </c>
      <c r="C4096" s="164" t="str">
        <f ca="1">IFERROR(__xludf.DUMMYFUNCTION("""COMPUTED_VALUE"""),"Desktop Computer – (MSI PRO DP180)")</f>
        <v>Desktop Computer – (MSI PRO DP180)</v>
      </c>
      <c r="D4096" s="164" t="str">
        <f ca="1">IFERROR(__xludf.DUMMYFUNCTION("""COMPUTED_VALUE"""),"₱ 49,300.00")</f>
        <v>₱ 49,300.00</v>
      </c>
      <c r="E4096" s="164" t="str">
        <f ca="1">IFERROR(__xludf.DUMMYFUNCTION("""COMPUTED_VALUE"""),"₱ -")</f>
        <v>₱ -</v>
      </c>
      <c r="F4096" s="164" t="str">
        <f ca="1">IFERROR(__xludf.DUMMYFUNCTION("""COMPUTED_VALUE"""),"HVSPLIT-102-24-05-01-495")</f>
        <v>HVSPLIT-102-24-05-01-495</v>
      </c>
      <c r="G4096" s="164"/>
      <c r="H4096" s="164" t="str">
        <f ca="1">IFERROR(__xludf.DUMMYFUNCTION("""COMPUTED_VALUE"""),"LEAH S. ORTEGA")</f>
        <v>LEAH S. ORTEGA</v>
      </c>
      <c r="I4096" s="164" t="str">
        <f ca="1">IFERROR(__xludf.DUMMYFUNCTION("""COMPUTED_VALUE"""),"CARPO-LTID")</f>
        <v>CARPO-LTID</v>
      </c>
      <c r="J4096" s="164" t="str">
        <f ca="1">IFERROR(__xludf.DUMMYFUNCTION("""COMPUTED_VALUE"""),"102-2024-10-293")</f>
        <v>102-2024-10-293</v>
      </c>
      <c r="K4096" s="164" t="str">
        <f ca="1">IFERROR(__xludf.DUMMYFUNCTION("""COMPUTED_VALUE"""),"LEAH S. ORTEGA")</f>
        <v>LEAH S. ORTEGA</v>
      </c>
      <c r="L4096" s="164" t="str">
        <f ca="1">IFERROR(__xludf.DUMMYFUNCTION("""COMPUTED_VALUE"""),"DARPO-LTID")</f>
        <v>DARPO-LTID</v>
      </c>
      <c r="M4096" s="164" t="str">
        <f ca="1">IFERROR(__xludf.DUMMYFUNCTION("""COMPUTED_VALUE"""),"SERVICEABLE")</f>
        <v>SERVICEABLE</v>
      </c>
      <c r="N4096" s="164"/>
    </row>
    <row r="4097" spans="1:14" ht="13.2" hidden="1">
      <c r="A4097" s="164" t="str">
        <f ca="1">IFERROR(__xludf.DUMMYFUNCTION("""COMPUTED_VALUE"""),"REGION XII")</f>
        <v>REGION XII</v>
      </c>
      <c r="B4097" s="164" t="str">
        <f ca="1">IFERROR(__xludf.DUMMYFUNCTION("""COMPUTED_VALUE"""),"DARRO")</f>
        <v>DARRO</v>
      </c>
      <c r="C4097" s="164" t="str">
        <f ca="1">IFERROR(__xludf.DUMMYFUNCTION("""COMPUTED_VALUE"""),"HANDHELD GPS – MODEL P6")</f>
        <v>HANDHELD GPS – MODEL P6</v>
      </c>
      <c r="D4097" s="164" t="str">
        <f ca="1">IFERROR(__xludf.DUMMYFUNCTION("""COMPUTED_VALUE"""),"₱ 79,000.00")</f>
        <v>₱ 79,000.00</v>
      </c>
      <c r="E4097" s="164"/>
      <c r="F4097" s="164" t="str">
        <f ca="1">IFERROR(__xludf.DUMMYFUNCTION("""COMPUTED_VALUE"""),"2023-05-14-10202SP75-01")</f>
        <v>2023-05-14-10202SP75-01</v>
      </c>
      <c r="G4097" s="164"/>
      <c r="H4097" s="164" t="str">
        <f ca="1">IFERROR(__xludf.DUMMYFUNCTION("""COMPUTED_VALUE"""),"JONATHAN Y. DEDICATORIA")</f>
        <v>JONATHAN Y. DEDICATORIA</v>
      </c>
      <c r="I4097" s="164" t="str">
        <f ca="1">IFERROR(__xludf.DUMMYFUNCTION("""COMPUTED_VALUE"""),"ENGINEER III")</f>
        <v>ENGINEER III</v>
      </c>
      <c r="J4097" s="164" t="str">
        <f ca="1">IFERROR(__xludf.DUMMYFUNCTION("""COMPUTED_VALUE"""),"SPLIT-2023-029")</f>
        <v>SPLIT-2023-029</v>
      </c>
      <c r="K4097" s="164" t="str">
        <f ca="1">IFERROR(__xludf.DUMMYFUNCTION("""COMPUTED_VALUE"""),"JONATHAN Y. DEDICATORIA")</f>
        <v>JONATHAN Y. DEDICATORIA</v>
      </c>
      <c r="L4097" s="164" t="str">
        <f ca="1">IFERROR(__xludf.DUMMYFUNCTION("""COMPUTED_VALUE"""),"LTID OFFICE")</f>
        <v>LTID OFFICE</v>
      </c>
      <c r="M4097" s="164" t="str">
        <f ca="1">IFERROR(__xludf.DUMMYFUNCTION("""COMPUTED_VALUE"""),"SERVICEABLE")</f>
        <v>SERVICEABLE</v>
      </c>
      <c r="N4097" s="164"/>
    </row>
    <row r="4098" spans="1:14" ht="13.2" hidden="1">
      <c r="A4098" s="164" t="str">
        <f ca="1">IFERROR(__xludf.DUMMYFUNCTION("""COMPUTED_VALUE"""),"REGION XII")</f>
        <v>REGION XII</v>
      </c>
      <c r="B4098" s="164" t="str">
        <f ca="1">IFERROR(__xludf.DUMMYFUNCTION("""COMPUTED_VALUE"""),"DARRO")</f>
        <v>DARRO</v>
      </c>
      <c r="C4098" s="164" t="str">
        <f ca="1">IFERROR(__xludf.DUMMYFUNCTION("""COMPUTED_VALUE"""),"HANDHELD GPS – MODEL P6")</f>
        <v>HANDHELD GPS – MODEL P6</v>
      </c>
      <c r="D4098" s="164" t="str">
        <f ca="1">IFERROR(__xludf.DUMMYFUNCTION("""COMPUTED_VALUE"""),"₱ 79,000.00")</f>
        <v>₱ 79,000.00</v>
      </c>
      <c r="E4098" s="164"/>
      <c r="F4098" s="164" t="str">
        <f ca="1">IFERROR(__xludf.DUMMYFUNCTION("""COMPUTED_VALUE"""),"2023-05-14-10202SP74-01")</f>
        <v>2023-05-14-10202SP74-01</v>
      </c>
      <c r="G4098" s="164"/>
      <c r="H4098" s="164" t="str">
        <f ca="1">IFERROR(__xludf.DUMMYFUNCTION("""COMPUTED_VALUE"""),"JONATHAN Y. DEDICATORIA")</f>
        <v>JONATHAN Y. DEDICATORIA</v>
      </c>
      <c r="I4098" s="164" t="str">
        <f ca="1">IFERROR(__xludf.DUMMYFUNCTION("""COMPUTED_VALUE"""),"ENGINEER III")</f>
        <v>ENGINEER III</v>
      </c>
      <c r="J4098" s="164" t="str">
        <f ca="1">IFERROR(__xludf.DUMMYFUNCTION("""COMPUTED_VALUE"""),"0")</f>
        <v>0</v>
      </c>
      <c r="K4098" s="164" t="str">
        <f ca="1">IFERROR(__xludf.DUMMYFUNCTION("""COMPUTED_VALUE"""),"JONATHAN Y. DEDICATORIA")</f>
        <v>JONATHAN Y. DEDICATORIA</v>
      </c>
      <c r="L4098" s="164" t="str">
        <f ca="1">IFERROR(__xludf.DUMMYFUNCTION("""COMPUTED_VALUE"""),"SPLIT RPMO OFFICE")</f>
        <v>SPLIT RPMO OFFICE</v>
      </c>
      <c r="M4098" s="164" t="str">
        <f ca="1">IFERROR(__xludf.DUMMYFUNCTION("""COMPUTED_VALUE"""),"SERVICEABLE")</f>
        <v>SERVICEABLE</v>
      </c>
      <c r="N4098" s="164"/>
    </row>
    <row r="4099" spans="1:14" ht="13.2" hidden="1">
      <c r="A4099" s="164" t="str">
        <f ca="1">IFERROR(__xludf.DUMMYFUNCTION("""COMPUTED_VALUE"""),"REGION XII")</f>
        <v>REGION XII</v>
      </c>
      <c r="B4099" s="164" t="str">
        <f ca="1">IFERROR(__xludf.DUMMYFUNCTION("""COMPUTED_VALUE"""),"DARRO")</f>
        <v>DARRO</v>
      </c>
      <c r="C4099" s="164" t="str">
        <f ca="1">IFERROR(__xludf.DUMMYFUNCTION("""COMPUTED_VALUE"""),"HANDHELD GPS – MODEL P6")</f>
        <v>HANDHELD GPS – MODEL P6</v>
      </c>
      <c r="D4099" s="164" t="str">
        <f ca="1">IFERROR(__xludf.DUMMYFUNCTION("""COMPUTED_VALUE"""),"₱ 79,000.00")</f>
        <v>₱ 79,000.00</v>
      </c>
      <c r="E4099" s="164"/>
      <c r="F4099" s="164" t="str">
        <f ca="1">IFERROR(__xludf.DUMMYFUNCTION("""COMPUTED_VALUE"""),"SP10730032")</f>
        <v>SP10730032</v>
      </c>
      <c r="G4099" s="164"/>
      <c r="H4099" s="164" t="str">
        <f ca="1">IFERROR(__xludf.DUMMYFUNCTION("""COMPUTED_VALUE"""),"ESTHER GRACE R. ONG")</f>
        <v>ESTHER GRACE R. ONG</v>
      </c>
      <c r="I4099" s="164" t="str">
        <f ca="1">IFERROR(__xludf.DUMMYFUNCTION("""COMPUTED_VALUE"""),"STATISTICIAN II")</f>
        <v>STATISTICIAN II</v>
      </c>
      <c r="J4099" s="164" t="str">
        <f ca="1">IFERROR(__xludf.DUMMYFUNCTION("""COMPUTED_VALUE"""),"0")</f>
        <v>0</v>
      </c>
      <c r="K4099" s="164" t="str">
        <f ca="1">IFERROR(__xludf.DUMMYFUNCTION("""COMPUTED_VALUE"""),"ESTHER GRACE R. ONG")</f>
        <v>ESTHER GRACE R. ONG</v>
      </c>
      <c r="L4099" s="164" t="str">
        <f ca="1">IFERROR(__xludf.DUMMYFUNCTION("""COMPUTED_VALUE"""),"LTID, DARRO XII")</f>
        <v>LTID, DARRO XII</v>
      </c>
      <c r="M4099" s="164" t="str">
        <f ca="1">IFERROR(__xludf.DUMMYFUNCTION("""COMPUTED_VALUE"""),"SERVICEABLE")</f>
        <v>SERVICEABLE</v>
      </c>
      <c r="N4099" s="164"/>
    </row>
    <row r="4100" spans="1:14" ht="13.2" hidden="1">
      <c r="A4100" s="164" t="str">
        <f ca="1">IFERROR(__xludf.DUMMYFUNCTION("""COMPUTED_VALUE"""),"REGION XII")</f>
        <v>REGION XII</v>
      </c>
      <c r="B4100" s="164" t="str">
        <f ca="1">IFERROR(__xludf.DUMMYFUNCTION("""COMPUTED_VALUE"""),"DARRO")</f>
        <v>DARRO</v>
      </c>
      <c r="C4100" s="164" t="str">
        <f ca="1">IFERROR(__xludf.DUMMYFUNCTION("""COMPUTED_VALUE"""),"HANDHELD GPS – MODEL P6")</f>
        <v>HANDHELD GPS – MODEL P6</v>
      </c>
      <c r="D4100" s="164" t="str">
        <f ca="1">IFERROR(__xludf.DUMMYFUNCTION("""COMPUTED_VALUE"""),"₱ 79,000.00")</f>
        <v>₱ 79,000.00</v>
      </c>
      <c r="E4100" s="164"/>
      <c r="F4100" s="164" t="str">
        <f ca="1">IFERROR(__xludf.DUMMYFUNCTION("""COMPUTED_VALUE"""),"SP10730027")</f>
        <v>SP10730027</v>
      </c>
      <c r="G4100" s="164"/>
      <c r="H4100" s="164" t="str">
        <f ca="1">IFERROR(__xludf.DUMMYFUNCTION("""COMPUTED_VALUE"""),"ABDULLAH M. RASOL")</f>
        <v>ABDULLAH M. RASOL</v>
      </c>
      <c r="I4100" s="164" t="str">
        <f ca="1">IFERROR(__xludf.DUMMYFUNCTION("""COMPUTED_VALUE"""),"SUPPLY OFFICER II")</f>
        <v>SUPPLY OFFICER II</v>
      </c>
      <c r="J4100" s="164" t="str">
        <f ca="1">IFERROR(__xludf.DUMMYFUNCTION("""COMPUTED_VALUE"""),"0")</f>
        <v>0</v>
      </c>
      <c r="K4100" s="164" t="str">
        <f ca="1">IFERROR(__xludf.DUMMYFUNCTION("""COMPUTED_VALUE"""),"ABDULLAH M. RASOL")</f>
        <v>ABDULLAH M. RASOL</v>
      </c>
      <c r="L4100" s="164" t="str">
        <f ca="1">IFERROR(__xludf.DUMMYFUNCTION("""COMPUTED_VALUE"""),"SPLIT RPMO OFFICE")</f>
        <v>SPLIT RPMO OFFICE</v>
      </c>
      <c r="M4100" s="164" t="str">
        <f ca="1">IFERROR(__xludf.DUMMYFUNCTION("""COMPUTED_VALUE"""),"SERVICEABLE")</f>
        <v>SERVICEABLE</v>
      </c>
      <c r="N4100" s="164"/>
    </row>
    <row r="4101" spans="1:14" ht="13.2" hidden="1">
      <c r="A4101" s="164" t="str">
        <f ca="1">IFERROR(__xludf.DUMMYFUNCTION("""COMPUTED_VALUE"""),"REGION XII")</f>
        <v>REGION XII</v>
      </c>
      <c r="B4101" s="164" t="str">
        <f ca="1">IFERROR(__xludf.DUMMYFUNCTION("""COMPUTED_VALUE"""),"DARRO")</f>
        <v>DARRO</v>
      </c>
      <c r="C4101" s="164" t="str">
        <f ca="1">IFERROR(__xludf.DUMMYFUNCTION("""COMPUTED_VALUE"""),"Desktop Computer – (MSI PRO DP180)")</f>
        <v>Desktop Computer – (MSI PRO DP180)</v>
      </c>
      <c r="D4101" s="164" t="str">
        <f ca="1">IFERROR(__xludf.DUMMYFUNCTION("""COMPUTED_VALUE"""),"₱ 49,300.00")</f>
        <v>₱ 49,300.00</v>
      </c>
      <c r="E4101" s="164" t="str">
        <f ca="1">IFERROR(__xludf.DUMMYFUNCTION("""COMPUTED_VALUE"""),"₱ -")</f>
        <v>₱ -</v>
      </c>
      <c r="F4101" s="164" t="str">
        <f ca="1">IFERROR(__xludf.DUMMYFUNCTION("""COMPUTED_VALUE"""),"HVSPLIT-102-24-05-01-504")</f>
        <v>HVSPLIT-102-24-05-01-504</v>
      </c>
      <c r="G4101" s="164"/>
      <c r="H4101" s="164" t="str">
        <f ca="1">IFERROR(__xludf.DUMMYFUNCTION("""COMPUTED_VALUE"""),"ENGR. MARY JANE A. AGULAR")</f>
        <v>ENGR. MARY JANE A. AGULAR</v>
      </c>
      <c r="I4101" s="164" t="str">
        <f ca="1">IFERROR(__xludf.DUMMYFUNCTION("""COMPUTED_VALUE"""),"OIC-ARDA")</f>
        <v>OIC-ARDA</v>
      </c>
      <c r="J4101" s="164" t="str">
        <f ca="1">IFERROR(__xludf.DUMMYFUNCTION("""COMPUTED_VALUE"""),"SPLIT-2024-10-117")</f>
        <v>SPLIT-2024-10-117</v>
      </c>
      <c r="K4101" s="164" t="str">
        <f ca="1">IFERROR(__xludf.DUMMYFUNCTION("""COMPUTED_VALUE"""),"ENGR. MARY JANE A. AGULAR")</f>
        <v>ENGR. MARY JANE A. AGULAR</v>
      </c>
      <c r="L4101" s="164" t="str">
        <f ca="1">IFERROR(__xludf.DUMMYFUNCTION("""COMPUTED_VALUE"""),"LTID, DARRO XII")</f>
        <v>LTID, DARRO XII</v>
      </c>
      <c r="M4101" s="164" t="str">
        <f ca="1">IFERROR(__xludf.DUMMYFUNCTION("""COMPUTED_VALUE"""),"SERVICEABLE")</f>
        <v>SERVICEABLE</v>
      </c>
      <c r="N4101" s="164"/>
    </row>
    <row r="4102" spans="1:14" ht="13.2" hidden="1">
      <c r="A4102" s="164" t="str">
        <f ca="1">IFERROR(__xludf.DUMMYFUNCTION("""COMPUTED_VALUE"""),"REGION XII")</f>
        <v>REGION XII</v>
      </c>
      <c r="B4102" s="164" t="str">
        <f ca="1">IFERROR(__xludf.DUMMYFUNCTION("""COMPUTED_VALUE"""),"DARRO")</f>
        <v>DARRO</v>
      </c>
      <c r="C4102" s="164" t="str">
        <f ca="1">IFERROR(__xludf.DUMMYFUNCTION("""COMPUTED_VALUE"""),"Desktop Computer – (MSI PRO DP180)")</f>
        <v>Desktop Computer – (MSI PRO DP180)</v>
      </c>
      <c r="D4102" s="164" t="str">
        <f ca="1">IFERROR(__xludf.DUMMYFUNCTION("""COMPUTED_VALUE"""),"₱ 49,300.00")</f>
        <v>₱ 49,300.00</v>
      </c>
      <c r="E4102" s="164" t="str">
        <f ca="1">IFERROR(__xludf.DUMMYFUNCTION("""COMPUTED_VALUE"""),"₱ -")</f>
        <v>₱ -</v>
      </c>
      <c r="F4102" s="164" t="str">
        <f ca="1">IFERROR(__xludf.DUMMYFUNCTION("""COMPUTED_VALUE"""),"HVSPLIT-102-24-05-01-505")</f>
        <v>HVSPLIT-102-24-05-01-505</v>
      </c>
      <c r="G4102" s="164"/>
      <c r="H4102" s="164" t="str">
        <f ca="1">IFERROR(__xludf.DUMMYFUNCTION("""COMPUTED_VALUE"""),"ROWHANIZA P. ABBAS")</f>
        <v>ROWHANIZA P. ABBAS</v>
      </c>
      <c r="I4102" s="164" t="str">
        <f ca="1">IFERROR(__xludf.DUMMYFUNCTION("""COMPUTED_VALUE"""),"RCAO")</f>
        <v>RCAO</v>
      </c>
      <c r="J4102" s="164" t="str">
        <f ca="1">IFERROR(__xludf.DUMMYFUNCTION("""COMPUTED_VALUE"""),"SPLIT-2024-10-118")</f>
        <v>SPLIT-2024-10-118</v>
      </c>
      <c r="K4102" s="164" t="str">
        <f ca="1">IFERROR(__xludf.DUMMYFUNCTION("""COMPUTED_VALUE"""),"ROWHANIZA P. ABBAS")</f>
        <v>ROWHANIZA P. ABBAS</v>
      </c>
      <c r="L4102" s="164" t="str">
        <f ca="1">IFERROR(__xludf.DUMMYFUNCTION("""COMPUTED_VALUE"""),"RCAO OFFICE, DARRO XII")</f>
        <v>RCAO OFFICE, DARRO XII</v>
      </c>
      <c r="M4102" s="164" t="str">
        <f ca="1">IFERROR(__xludf.DUMMYFUNCTION("""COMPUTED_VALUE"""),"SERVICEABLE")</f>
        <v>SERVICEABLE</v>
      </c>
      <c r="N4102" s="164"/>
    </row>
    <row r="4103" spans="1:14" ht="13.2" hidden="1">
      <c r="A4103" s="164" t="str">
        <f ca="1">IFERROR(__xludf.DUMMYFUNCTION("""COMPUTED_VALUE"""),"REGION XII")</f>
        <v>REGION XII</v>
      </c>
      <c r="B4103" s="164" t="str">
        <f ca="1">IFERROR(__xludf.DUMMYFUNCTION("""COMPUTED_VALUE"""),"DARRO")</f>
        <v>DARRO</v>
      </c>
      <c r="C4103" s="164" t="str">
        <f ca="1">IFERROR(__xludf.DUMMYFUNCTION("""COMPUTED_VALUE"""),"Desktop Computer – (MSI PRO DP180)")</f>
        <v>Desktop Computer – (MSI PRO DP180)</v>
      </c>
      <c r="D4103" s="164" t="str">
        <f ca="1">IFERROR(__xludf.DUMMYFUNCTION("""COMPUTED_VALUE"""),"₱ 49,300.00")</f>
        <v>₱ 49,300.00</v>
      </c>
      <c r="E4103" s="164" t="str">
        <f ca="1">IFERROR(__xludf.DUMMYFUNCTION("""COMPUTED_VALUE"""),"₱ -")</f>
        <v>₱ -</v>
      </c>
      <c r="F4103" s="164" t="str">
        <f ca="1">IFERROR(__xludf.DUMMYFUNCTION("""COMPUTED_VALUE"""),"HVSPLIT-102-24-05-01-506")</f>
        <v>HVSPLIT-102-24-05-01-506</v>
      </c>
      <c r="G4103" s="164"/>
      <c r="H4103" s="164" t="str">
        <f ca="1">IFERROR(__xludf.DUMMYFUNCTION("""COMPUTED_VALUE"""),"JASMIN EZRADIN TRIHANA SLA LINSO")</f>
        <v>JASMIN EZRADIN TRIHANA SLA LINSO</v>
      </c>
      <c r="I4103" s="164" t="str">
        <f ca="1">IFERROR(__xludf.DUMMYFUNCTION("""COMPUTED_VALUE"""),"SUARPO")</f>
        <v>SUARPO</v>
      </c>
      <c r="J4103" s="164" t="str">
        <f ca="1">IFERROR(__xludf.DUMMYFUNCTION("""COMPUTED_VALUE"""),"SPLIT-2024-10-119")</f>
        <v>SPLIT-2024-10-119</v>
      </c>
      <c r="K4103" s="164" t="str">
        <f ca="1">IFERROR(__xludf.DUMMYFUNCTION("""COMPUTED_VALUE"""),"MARIA CECILIA MACHAN")</f>
        <v>MARIA CECILIA MACHAN</v>
      </c>
      <c r="L4103" s="164" t="str">
        <f ca="1">IFERROR(__xludf.DUMMYFUNCTION("""COMPUTED_VALUE"""),"PBDD OFFICE, DARRO XII")</f>
        <v>PBDD OFFICE, DARRO XII</v>
      </c>
      <c r="M4103" s="164" t="str">
        <f ca="1">IFERROR(__xludf.DUMMYFUNCTION("""COMPUTED_VALUE"""),"SERVICEABLE")</f>
        <v>SERVICEABLE</v>
      </c>
      <c r="N4103" s="164"/>
    </row>
    <row r="4104" spans="1:14" ht="13.2" hidden="1">
      <c r="A4104" s="164" t="str">
        <f ca="1">IFERROR(__xludf.DUMMYFUNCTION("""COMPUTED_VALUE"""),"REGION XII")</f>
        <v>REGION XII</v>
      </c>
      <c r="B4104" s="164" t="str">
        <f ca="1">IFERROR(__xludf.DUMMYFUNCTION("""COMPUTED_VALUE"""),"DARRO")</f>
        <v>DARRO</v>
      </c>
      <c r="C4104" s="164" t="str">
        <f ca="1">IFERROR(__xludf.DUMMYFUNCTION("""COMPUTED_VALUE"""),"Desktop Computer – (MSI PRO DP180)")</f>
        <v>Desktop Computer – (MSI PRO DP180)</v>
      </c>
      <c r="D4104" s="164" t="str">
        <f ca="1">IFERROR(__xludf.DUMMYFUNCTION("""COMPUTED_VALUE"""),"₱ 49,300.00")</f>
        <v>₱ 49,300.00</v>
      </c>
      <c r="E4104" s="164" t="str">
        <f ca="1">IFERROR(__xludf.DUMMYFUNCTION("""COMPUTED_VALUE"""),"₱ -")</f>
        <v>₱ -</v>
      </c>
      <c r="F4104" s="164" t="str">
        <f ca="1">IFERROR(__xludf.DUMMYFUNCTION("""COMPUTED_VALUE"""),"HVSPLIT-102-24-05-01-507")</f>
        <v>HVSPLIT-102-24-05-01-507</v>
      </c>
      <c r="G4104" s="164"/>
      <c r="H4104" s="164" t="str">
        <f ca="1">IFERROR(__xludf.DUMMYFUNCTION("""COMPUTED_VALUE"""),"ENGR. JONATHAN Y. DEDICATORIA")</f>
        <v>ENGR. JONATHAN Y. DEDICATORIA</v>
      </c>
      <c r="I4104" s="164" t="str">
        <f ca="1">IFERROR(__xludf.DUMMYFUNCTION("""COMPUTED_VALUE"""),"ENGINEER III")</f>
        <v>ENGINEER III</v>
      </c>
      <c r="J4104" s="164" t="str">
        <f ca="1">IFERROR(__xludf.DUMMYFUNCTION("""COMPUTED_VALUE"""),"SPLIT-2024-10-120")</f>
        <v>SPLIT-2024-10-120</v>
      </c>
      <c r="K4104" s="164" t="str">
        <f ca="1">IFERROR(__xludf.DUMMYFUNCTION("""COMPUTED_VALUE"""),"ENGR. JONATHAN Y. DEDICATORIA")</f>
        <v>ENGR. JONATHAN Y. DEDICATORIA</v>
      </c>
      <c r="L4104" s="164" t="str">
        <f ca="1">IFERROR(__xludf.DUMMYFUNCTION("""COMPUTED_VALUE"""),"LTID, DARRO XII")</f>
        <v>LTID, DARRO XII</v>
      </c>
      <c r="M4104" s="164" t="str">
        <f ca="1">IFERROR(__xludf.DUMMYFUNCTION("""COMPUTED_VALUE"""),"SERVICEABLE")</f>
        <v>SERVICEABLE</v>
      </c>
      <c r="N4104" s="164"/>
    </row>
    <row r="4105" spans="1:14" ht="13.2" hidden="1">
      <c r="A4105" s="164" t="str">
        <f ca="1">IFERROR(__xludf.DUMMYFUNCTION("""COMPUTED_VALUE"""),"REGION XII")</f>
        <v>REGION XII</v>
      </c>
      <c r="B4105" s="164" t="str">
        <f ca="1">IFERROR(__xludf.DUMMYFUNCTION("""COMPUTED_VALUE"""),"DARRO")</f>
        <v>DARRO</v>
      </c>
      <c r="C4105" s="164" t="str">
        <f ca="1">IFERROR(__xludf.DUMMYFUNCTION("""COMPUTED_VALUE"""),"Desktop Computer – (MSI PRO DP180)")</f>
        <v>Desktop Computer – (MSI PRO DP180)</v>
      </c>
      <c r="D4105" s="164" t="str">
        <f ca="1">IFERROR(__xludf.DUMMYFUNCTION("""COMPUTED_VALUE"""),"₱ 49,300.00")</f>
        <v>₱ 49,300.00</v>
      </c>
      <c r="E4105" s="164" t="str">
        <f ca="1">IFERROR(__xludf.DUMMYFUNCTION("""COMPUTED_VALUE"""),"₱ -")</f>
        <v>₱ -</v>
      </c>
      <c r="F4105" s="164" t="str">
        <f ca="1">IFERROR(__xludf.DUMMYFUNCTION("""COMPUTED_VALUE"""),"HVSPLIT-102-24-05-01-508")</f>
        <v>HVSPLIT-102-24-05-01-508</v>
      </c>
      <c r="G4105" s="164"/>
      <c r="H4105" s="164" t="str">
        <f ca="1">IFERROR(__xludf.DUMMYFUNCTION("""COMPUTED_VALUE"""),"NASRODEN P. HADJI SERAD")</f>
        <v>NASRODEN P. HADJI SERAD</v>
      </c>
      <c r="I4105" s="164" t="str">
        <f ca="1">IFERROR(__xludf.DUMMYFUNCTION("""COMPUTED_VALUE"""),"RECORDS OFFICER")</f>
        <v>RECORDS OFFICER</v>
      </c>
      <c r="J4105" s="164" t="str">
        <f ca="1">IFERROR(__xludf.DUMMYFUNCTION("""COMPUTED_VALUE"""),"SPLIT-2024-10-121")</f>
        <v>SPLIT-2024-10-121</v>
      </c>
      <c r="K4105" s="164" t="str">
        <f ca="1">IFERROR(__xludf.DUMMYFUNCTION("""COMPUTED_VALUE"""),"NASRODEN P. HADJI SERAD")</f>
        <v>NASRODEN P. HADJI SERAD</v>
      </c>
      <c r="L4105" s="164" t="str">
        <f ca="1">IFERROR(__xludf.DUMMYFUNCTION("""COMPUTED_VALUE"""),"RECORDS SECTION, DARRO XII")</f>
        <v>RECORDS SECTION, DARRO XII</v>
      </c>
      <c r="M4105" s="164" t="str">
        <f ca="1">IFERROR(__xludf.DUMMYFUNCTION("""COMPUTED_VALUE"""),"SERVICEABLE")</f>
        <v>SERVICEABLE</v>
      </c>
      <c r="N4105" s="164"/>
    </row>
    <row r="4106" spans="1:14" ht="13.2" hidden="1">
      <c r="A4106" s="164" t="str">
        <f ca="1">IFERROR(__xludf.DUMMYFUNCTION("""COMPUTED_VALUE"""),"REGION XII")</f>
        <v>REGION XII</v>
      </c>
      <c r="B4106" s="164" t="str">
        <f ca="1">IFERROR(__xludf.DUMMYFUNCTION("""COMPUTED_VALUE"""),"DARRO")</f>
        <v>DARRO</v>
      </c>
      <c r="C4106" s="164" t="str">
        <f ca="1">IFERROR(__xludf.DUMMYFUNCTION("""COMPUTED_VALUE"""),"Desktop Computer – (MSI PRO DP180)")</f>
        <v>Desktop Computer – (MSI PRO DP180)</v>
      </c>
      <c r="D4106" s="164" t="str">
        <f ca="1">IFERROR(__xludf.DUMMYFUNCTION("""COMPUTED_VALUE"""),"₱ 49,300.00")</f>
        <v>₱ 49,300.00</v>
      </c>
      <c r="E4106" s="164" t="str">
        <f ca="1">IFERROR(__xludf.DUMMYFUNCTION("""COMPUTED_VALUE"""),"₱ -")</f>
        <v>₱ -</v>
      </c>
      <c r="F4106" s="164" t="str">
        <f ca="1">IFERROR(__xludf.DUMMYFUNCTION("""COMPUTED_VALUE"""),"HVSPLIT-102-24-05-01-180")</f>
        <v>HVSPLIT-102-24-05-01-180</v>
      </c>
      <c r="G4106" s="164"/>
      <c r="H4106" s="164" t="str">
        <f ca="1">IFERROR(__xludf.DUMMYFUNCTION("""COMPUTED_VALUE"""),"ENGR. ROGER P. IGBUS")</f>
        <v>ENGR. ROGER P. IGBUS</v>
      </c>
      <c r="I4106" s="164" t="str">
        <f ca="1">IFERROR(__xludf.DUMMYFUNCTION("""COMPUTED_VALUE"""),"PLANNING OFFICER IV")</f>
        <v>PLANNING OFFICER IV</v>
      </c>
      <c r="J4106" s="164" t="str">
        <f ca="1">IFERROR(__xludf.DUMMYFUNCTION("""COMPUTED_VALUE"""),"SPLIT-2024-10-122")</f>
        <v>SPLIT-2024-10-122</v>
      </c>
      <c r="K4106" s="164" t="str">
        <f ca="1">IFERROR(__xludf.DUMMYFUNCTION("""COMPUTED_VALUE"""),"ENGR. ROGER P. IGBUS")</f>
        <v>ENGR. ROGER P. IGBUS</v>
      </c>
      <c r="L4106" s="164" t="str">
        <f ca="1">IFERROR(__xludf.DUMMYFUNCTION("""COMPUTED_VALUE"""),"PLANNING OFFICE, DARRO XII")</f>
        <v>PLANNING OFFICE, DARRO XII</v>
      </c>
      <c r="M4106" s="164" t="str">
        <f ca="1">IFERROR(__xludf.DUMMYFUNCTION("""COMPUTED_VALUE"""),"SERVICEABLE")</f>
        <v>SERVICEABLE</v>
      </c>
      <c r="N4106" s="164"/>
    </row>
    <row r="4107" spans="1:14" ht="13.2" hidden="1">
      <c r="A4107" s="164" t="str">
        <f ca="1">IFERROR(__xludf.DUMMYFUNCTION("""COMPUTED_VALUE"""),"REGION XII")</f>
        <v>REGION XII</v>
      </c>
      <c r="B4107" s="164" t="str">
        <f ca="1">IFERROR(__xludf.DUMMYFUNCTION("""COMPUTED_VALUE"""),"DARRO")</f>
        <v>DARRO</v>
      </c>
      <c r="C4107" s="164" t="str">
        <f ca="1">IFERROR(__xludf.DUMMYFUNCTION("""COMPUTED_VALUE"""),"Desktop Computer – (MSI PRO DP180)")</f>
        <v>Desktop Computer – (MSI PRO DP180)</v>
      </c>
      <c r="D4107" s="164" t="str">
        <f ca="1">IFERROR(__xludf.DUMMYFUNCTION("""COMPUTED_VALUE"""),"₱ 49,300.00")</f>
        <v>₱ 49,300.00</v>
      </c>
      <c r="E4107" s="164" t="str">
        <f ca="1">IFERROR(__xludf.DUMMYFUNCTION("""COMPUTED_VALUE"""),"₱ -")</f>
        <v>₱ -</v>
      </c>
      <c r="F4107" s="164" t="str">
        <f ca="1">IFERROR(__xludf.DUMMYFUNCTION("""COMPUTED_VALUE"""),"HVSPLIT-102-24-05-01-508")</f>
        <v>HVSPLIT-102-24-05-01-508</v>
      </c>
      <c r="G4107" s="164"/>
      <c r="H4107" s="164" t="str">
        <f ca="1">IFERROR(__xludf.DUMMYFUNCTION("""COMPUTED_VALUE"""),"JOSH OSWALD S. GEPTE")</f>
        <v>JOSH OSWALD S. GEPTE</v>
      </c>
      <c r="I4107" s="164" t="str">
        <f ca="1">IFERROR(__xludf.DUMMYFUNCTION("""COMPUTED_VALUE"""),"SPLIT-GRAPHIC ARTIST")</f>
        <v>SPLIT-GRAPHIC ARTIST</v>
      </c>
      <c r="J4107" s="164" t="str">
        <f ca="1">IFERROR(__xludf.DUMMYFUNCTION("""COMPUTED_VALUE"""),"HV-SPLIT-102-24-05-01-180")</f>
        <v>HV-SPLIT-102-24-05-01-180</v>
      </c>
      <c r="K4107" s="164" t="str">
        <f ca="1">IFERROR(__xludf.DUMMYFUNCTION("""COMPUTED_VALUE"""),"JOSH OSWALD S. GEPTE")</f>
        <v>JOSH OSWALD S. GEPTE</v>
      </c>
      <c r="L4107" s="164" t="str">
        <f ca="1">IFERROR(__xludf.DUMMYFUNCTION("""COMPUTED_VALUE"""),"RPMO OFFICE, DARRO XII")</f>
        <v>RPMO OFFICE, DARRO XII</v>
      </c>
      <c r="M4107" s="164" t="str">
        <f ca="1">IFERROR(__xludf.DUMMYFUNCTION("""COMPUTED_VALUE"""),"SERVICEABLE")</f>
        <v>SERVICEABLE</v>
      </c>
      <c r="N4107" s="164"/>
    </row>
    <row r="4108" spans="1:14" ht="13.2" hidden="1">
      <c r="A4108" s="164" t="str">
        <f ca="1">IFERROR(__xludf.DUMMYFUNCTION("""COMPUTED_VALUE"""),"REGION XII")</f>
        <v>REGION XII</v>
      </c>
      <c r="B4108" s="164" t="str">
        <f ca="1">IFERROR(__xludf.DUMMYFUNCTION("""COMPUTED_VALUE"""),"SOUTH COTABATO")</f>
        <v>SOUTH COTABATO</v>
      </c>
      <c r="C4108" s="164" t="str">
        <f ca="1">IFERROR(__xludf.DUMMYFUNCTION("""COMPUTED_VALUE"""),"Desktop Computer – (MSI PRO DP180)")</f>
        <v>Desktop Computer – (MSI PRO DP180)</v>
      </c>
      <c r="D4108" s="164" t="str">
        <f ca="1">IFERROR(__xludf.DUMMYFUNCTION("""COMPUTED_VALUE"""),"₱ 49,300.00")</f>
        <v>₱ 49,300.00</v>
      </c>
      <c r="E4108" s="164" t="str">
        <f ca="1">IFERROR(__xludf.DUMMYFUNCTION("""COMPUTED_VALUE"""),"₱ -")</f>
        <v>₱ -</v>
      </c>
      <c r="F4108" s="164" t="str">
        <f ca="1">IFERROR(__xludf.DUMMYFUNCTION("""COMPUTED_VALUE"""),"HVSPLIT-102-24-05-01-488")</f>
        <v>HVSPLIT-102-24-05-01-488</v>
      </c>
      <c r="G4108" s="164"/>
      <c r="H4108" s="164" t="str">
        <f ca="1">IFERROR(__xludf.DUMMYFUNCTION("""COMPUTED_VALUE"""),"FRANCIS TE")</f>
        <v>FRANCIS TE</v>
      </c>
      <c r="I4108" s="164" t="str">
        <f ca="1">IFERROR(__xludf.DUMMYFUNCTION("""COMPUTED_VALUE"""),"MARPO")</f>
        <v>MARPO</v>
      </c>
      <c r="J4108" s="164"/>
      <c r="K4108" s="164" t="str">
        <f ca="1">IFERROR(__xludf.DUMMYFUNCTION("""COMPUTED_VALUE"""),"FRANCIS TE")</f>
        <v>FRANCIS TE</v>
      </c>
      <c r="L4108" s="164" t="str">
        <f ca="1">IFERROR(__xludf.DUMMYFUNCTION("""COMPUTED_VALUE"""),"DARPO-SOUTH COTABATO")</f>
        <v>DARPO-SOUTH COTABATO</v>
      </c>
      <c r="M4108" s="164" t="str">
        <f ca="1">IFERROR(__xludf.DUMMYFUNCTION("""COMPUTED_VALUE"""),"SERVICEABLE")</f>
        <v>SERVICEABLE</v>
      </c>
      <c r="N4108" s="164"/>
    </row>
    <row r="4109" spans="1:14" ht="13.2" hidden="1">
      <c r="A4109" s="164" t="str">
        <f ca="1">IFERROR(__xludf.DUMMYFUNCTION("""COMPUTED_VALUE"""),"REGION XII")</f>
        <v>REGION XII</v>
      </c>
      <c r="B4109" s="164" t="str">
        <f ca="1">IFERROR(__xludf.DUMMYFUNCTION("""COMPUTED_VALUE"""),"SOUTH COTABATO")</f>
        <v>SOUTH COTABATO</v>
      </c>
      <c r="C4109" s="164" t="str">
        <f ca="1">IFERROR(__xludf.DUMMYFUNCTION("""COMPUTED_VALUE"""),"Desktop Computer – (MSI PRO DP180)")</f>
        <v>Desktop Computer – (MSI PRO DP180)</v>
      </c>
      <c r="D4109" s="164" t="str">
        <f ca="1">IFERROR(__xludf.DUMMYFUNCTION("""COMPUTED_VALUE"""),"₱ 49,300.00")</f>
        <v>₱ 49,300.00</v>
      </c>
      <c r="E4109" s="164" t="str">
        <f ca="1">IFERROR(__xludf.DUMMYFUNCTION("""COMPUTED_VALUE"""),"₱ -")</f>
        <v>₱ -</v>
      </c>
      <c r="F4109" s="164" t="str">
        <f ca="1">IFERROR(__xludf.DUMMYFUNCTION("""COMPUTED_VALUE"""),"HVSPLIT-102-24-05-01-489")</f>
        <v>HVSPLIT-102-24-05-01-489</v>
      </c>
      <c r="G4109" s="164"/>
      <c r="H4109" s="164" t="str">
        <f ca="1">IFERROR(__xludf.DUMMYFUNCTION("""COMPUTED_VALUE"""),"JOANNE OGARIO")</f>
        <v>JOANNE OGARIO</v>
      </c>
      <c r="I4109" s="164" t="str">
        <f ca="1">IFERROR(__xludf.DUMMYFUNCTION("""COMPUTED_VALUE"""),"ARPT")</f>
        <v>ARPT</v>
      </c>
      <c r="J4109" s="164"/>
      <c r="K4109" s="164" t="str">
        <f ca="1">IFERROR(__xludf.DUMMYFUNCTION("""COMPUTED_VALUE"""),"JOANNE OGARIO")</f>
        <v>JOANNE OGARIO</v>
      </c>
      <c r="L4109" s="164" t="str">
        <f ca="1">IFERROR(__xludf.DUMMYFUNCTION("""COMPUTED_VALUE"""),"DARPO-SOUTH COTABATO")</f>
        <v>DARPO-SOUTH COTABATO</v>
      </c>
      <c r="M4109" s="164" t="str">
        <f ca="1">IFERROR(__xludf.DUMMYFUNCTION("""COMPUTED_VALUE"""),"SERVICEABLE")</f>
        <v>SERVICEABLE</v>
      </c>
      <c r="N4109" s="164"/>
    </row>
    <row r="4110" spans="1:14" ht="13.2" hidden="1">
      <c r="A4110" s="164" t="str">
        <f ca="1">IFERROR(__xludf.DUMMYFUNCTION("""COMPUTED_VALUE"""),"REGION XII")</f>
        <v>REGION XII</v>
      </c>
      <c r="B4110" s="164" t="str">
        <f ca="1">IFERROR(__xludf.DUMMYFUNCTION("""COMPUTED_VALUE"""),"SOUTH COTABATO")</f>
        <v>SOUTH COTABATO</v>
      </c>
      <c r="C4110" s="164" t="str">
        <f ca="1">IFERROR(__xludf.DUMMYFUNCTION("""COMPUTED_VALUE"""),"Desktop Computer – (MSI PRO DP180)")</f>
        <v>Desktop Computer – (MSI PRO DP180)</v>
      </c>
      <c r="D4110" s="164" t="str">
        <f ca="1">IFERROR(__xludf.DUMMYFUNCTION("""COMPUTED_VALUE"""),"₱ 49,300.00")</f>
        <v>₱ 49,300.00</v>
      </c>
      <c r="E4110" s="164" t="str">
        <f ca="1">IFERROR(__xludf.DUMMYFUNCTION("""COMPUTED_VALUE"""),"₱ -")</f>
        <v>₱ -</v>
      </c>
      <c r="F4110" s="164" t="str">
        <f ca="1">IFERROR(__xludf.DUMMYFUNCTION("""COMPUTED_VALUE"""),"HVSPLIT-102-24-05-01-490")</f>
        <v>HVSPLIT-102-24-05-01-490</v>
      </c>
      <c r="G4110" s="164"/>
      <c r="H4110" s="164" t="str">
        <f ca="1">IFERROR(__xludf.DUMMYFUNCTION("""COMPUTED_VALUE"""),"SHEILA F. RUBA")</f>
        <v>SHEILA F. RUBA</v>
      </c>
      <c r="I4110" s="164" t="str">
        <f ca="1">IFERROR(__xludf.DUMMYFUNCTION("""COMPUTED_VALUE"""),"ARPO I")</f>
        <v>ARPO I</v>
      </c>
      <c r="J4110" s="164"/>
      <c r="K4110" s="164" t="str">
        <f ca="1">IFERROR(__xludf.DUMMYFUNCTION("""COMPUTED_VALUE"""),"SHEILA F. RUBA")</f>
        <v>SHEILA F. RUBA</v>
      </c>
      <c r="L4110" s="164" t="str">
        <f ca="1">IFERROR(__xludf.DUMMYFUNCTION("""COMPUTED_VALUE"""),"DARPO-SOUTH COTABATO")</f>
        <v>DARPO-SOUTH COTABATO</v>
      </c>
      <c r="M4110" s="164" t="str">
        <f ca="1">IFERROR(__xludf.DUMMYFUNCTION("""COMPUTED_VALUE"""),"SERVICEABLE")</f>
        <v>SERVICEABLE</v>
      </c>
      <c r="N4110" s="164"/>
    </row>
    <row r="4111" spans="1:14" ht="13.2" hidden="1">
      <c r="A4111" s="164" t="str">
        <f ca="1">IFERROR(__xludf.DUMMYFUNCTION("""COMPUTED_VALUE"""),"REGION XII")</f>
        <v>REGION XII</v>
      </c>
      <c r="B4111" s="164" t="str">
        <f ca="1">IFERROR(__xludf.DUMMYFUNCTION("""COMPUTED_VALUE"""),"SOUTH COTABATO")</f>
        <v>SOUTH COTABATO</v>
      </c>
      <c r="C4111" s="164" t="str">
        <f ca="1">IFERROR(__xludf.DUMMYFUNCTION("""COMPUTED_VALUE"""),"Desktop Computer – (MSI PRO DP180)")</f>
        <v>Desktop Computer – (MSI PRO DP180)</v>
      </c>
      <c r="D4111" s="164" t="str">
        <f ca="1">IFERROR(__xludf.DUMMYFUNCTION("""COMPUTED_VALUE"""),"₱ 49,300.00")</f>
        <v>₱ 49,300.00</v>
      </c>
      <c r="E4111" s="164" t="str">
        <f ca="1">IFERROR(__xludf.DUMMYFUNCTION("""COMPUTED_VALUE"""),"₱ -")</f>
        <v>₱ -</v>
      </c>
      <c r="F4111" s="164" t="str">
        <f ca="1">IFERROR(__xludf.DUMMYFUNCTION("""COMPUTED_VALUE"""),"HVSPLIT-102-24-05-01-491")</f>
        <v>HVSPLIT-102-24-05-01-491</v>
      </c>
      <c r="G4111" s="164"/>
      <c r="H4111" s="164" t="str">
        <f ca="1">IFERROR(__xludf.DUMMYFUNCTION("""COMPUTED_VALUE"""),"ROLAN PADERNAL")</f>
        <v>ROLAN PADERNAL</v>
      </c>
      <c r="I4111" s="164" t="str">
        <f ca="1">IFERROR(__xludf.DUMMYFUNCTION("""COMPUTED_VALUE"""),"SURVEYMAN")</f>
        <v>SURVEYMAN</v>
      </c>
      <c r="J4111" s="164"/>
      <c r="K4111" s="164" t="str">
        <f ca="1">IFERROR(__xludf.DUMMYFUNCTION("""COMPUTED_VALUE"""),"ROLAN PADERNAL")</f>
        <v>ROLAN PADERNAL</v>
      </c>
      <c r="L4111" s="164" t="str">
        <f ca="1">IFERROR(__xludf.DUMMYFUNCTION("""COMPUTED_VALUE"""),"DARPO-SOUTH COTABATO")</f>
        <v>DARPO-SOUTH COTABATO</v>
      </c>
      <c r="M4111" s="164" t="str">
        <f ca="1">IFERROR(__xludf.DUMMYFUNCTION("""COMPUTED_VALUE"""),"SERVICEABLE")</f>
        <v>SERVICEABLE</v>
      </c>
      <c r="N4111" s="164"/>
    </row>
    <row r="4112" spans="1:14" ht="13.2" hidden="1">
      <c r="A4112" s="164" t="str">
        <f ca="1">IFERROR(__xludf.DUMMYFUNCTION("""COMPUTED_VALUE"""),"REGION XII")</f>
        <v>REGION XII</v>
      </c>
      <c r="B4112" s="164" t="str">
        <f ca="1">IFERROR(__xludf.DUMMYFUNCTION("""COMPUTED_VALUE"""),"SULTAN KUDARAT")</f>
        <v>SULTAN KUDARAT</v>
      </c>
      <c r="C4112" s="164" t="str">
        <f ca="1">IFERROR(__xludf.DUMMYFUNCTION("""COMPUTED_VALUE"""),"Desktop Computer – (MSI PRO DP180)")</f>
        <v>Desktop Computer – (MSI PRO DP180)</v>
      </c>
      <c r="D4112" s="164" t="str">
        <f ca="1">IFERROR(__xludf.DUMMYFUNCTION("""COMPUTED_VALUE"""),"₱ 49,300.00")</f>
        <v>₱ 49,300.00</v>
      </c>
      <c r="E4112" s="164" t="str">
        <f ca="1">IFERROR(__xludf.DUMMYFUNCTION("""COMPUTED_VALUE"""),"₱ -")</f>
        <v>₱ -</v>
      </c>
      <c r="F4112" s="164" t="str">
        <f ca="1">IFERROR(__xludf.DUMMYFUNCTION("""COMPUTED_VALUE"""),"HVSPLIT-102-24-05-01-500")</f>
        <v>HVSPLIT-102-24-05-01-500</v>
      </c>
      <c r="G4112" s="164"/>
      <c r="H4112" s="164" t="str">
        <f ca="1">IFERROR(__xludf.DUMMYFUNCTION("""COMPUTED_VALUE"""),"MARIA ESTRELLA Y. CURTIZ")</f>
        <v>MARIA ESTRELLA Y. CURTIZ</v>
      </c>
      <c r="I4112" s="164" t="str">
        <f ca="1">IFERROR(__xludf.DUMMYFUNCTION("""COMPUTED_VALUE"""),"AO IV (BUDGET OFFICER II)")</f>
        <v>AO IV (BUDGET OFFICER II)</v>
      </c>
      <c r="J4112" s="164" t="str">
        <f ca="1">IFERROR(__xludf.DUMMYFUNCTION("""COMPUTED_VALUE"""),"ICS2024-11-192")</f>
        <v>ICS2024-11-192</v>
      </c>
      <c r="K4112" s="164" t="str">
        <f ca="1">IFERROR(__xludf.DUMMYFUNCTION("""COMPUTED_VALUE"""),"MARIA ESTRELLA Y. CURTIZ")</f>
        <v>MARIA ESTRELLA Y. CURTIZ</v>
      </c>
      <c r="L4112" s="164" t="str">
        <f ca="1">IFERROR(__xludf.DUMMYFUNCTION("""COMPUTED_VALUE"""),"STOD")</f>
        <v>STOD</v>
      </c>
      <c r="M4112" s="164" t="str">
        <f ca="1">IFERROR(__xludf.DUMMYFUNCTION("""COMPUTED_VALUE"""),"SERVICEABLE")</f>
        <v>SERVICEABLE</v>
      </c>
      <c r="N4112" s="164"/>
    </row>
    <row r="4113" spans="1:14" ht="13.2" hidden="1">
      <c r="A4113" s="164" t="str">
        <f ca="1">IFERROR(__xludf.DUMMYFUNCTION("""COMPUTED_VALUE"""),"REGION XII")</f>
        <v>REGION XII</v>
      </c>
      <c r="B4113" s="164" t="str">
        <f ca="1">IFERROR(__xludf.DUMMYFUNCTION("""COMPUTED_VALUE"""),"SULTAN KUDARAT")</f>
        <v>SULTAN KUDARAT</v>
      </c>
      <c r="C4113" s="164" t="str">
        <f ca="1">IFERROR(__xludf.DUMMYFUNCTION("""COMPUTED_VALUE"""),"Desktop Computer – (MSI PRO DP180)")</f>
        <v>Desktop Computer – (MSI PRO DP180)</v>
      </c>
      <c r="D4113" s="164" t="str">
        <f ca="1">IFERROR(__xludf.DUMMYFUNCTION("""COMPUTED_VALUE"""),"₱ 49,300.00")</f>
        <v>₱ 49,300.00</v>
      </c>
      <c r="E4113" s="164" t="str">
        <f ca="1">IFERROR(__xludf.DUMMYFUNCTION("""COMPUTED_VALUE"""),"₱ -")</f>
        <v>₱ -</v>
      </c>
      <c r="F4113" s="164" t="str">
        <f ca="1">IFERROR(__xludf.DUMMYFUNCTION("""COMPUTED_VALUE"""),"HVSPLIT-102-24-05-01-501")</f>
        <v>HVSPLIT-102-24-05-01-501</v>
      </c>
      <c r="G4113" s="164"/>
      <c r="H4113" s="164" t="str">
        <f ca="1">IFERROR(__xludf.DUMMYFUNCTION("""COMPUTED_VALUE"""),"MARY JANE J. GENEZA")</f>
        <v>MARY JANE J. GENEZA</v>
      </c>
      <c r="I4113" s="164" t="str">
        <f ca="1">IFERROR(__xludf.DUMMYFUNCTION("""COMPUTED_VALUE"""),"PCAO")</f>
        <v>PCAO</v>
      </c>
      <c r="J4113" s="164" t="str">
        <f ca="1">IFERROR(__xludf.DUMMYFUNCTION("""COMPUTED_VALUE"""),"ICS2024-11-191")</f>
        <v>ICS2024-11-191</v>
      </c>
      <c r="K4113" s="164" t="str">
        <f ca="1">IFERROR(__xludf.DUMMYFUNCTION("""COMPUTED_VALUE"""),"MARY JANE J. GENEZA")</f>
        <v>MARY JANE J. GENEZA</v>
      </c>
      <c r="L4113" s="164" t="str">
        <f ca="1">IFERROR(__xludf.DUMMYFUNCTION("""COMPUTED_VALUE"""),"STOD")</f>
        <v>STOD</v>
      </c>
      <c r="M4113" s="164" t="str">
        <f ca="1">IFERROR(__xludf.DUMMYFUNCTION("""COMPUTED_VALUE"""),"SERVICEABLE")</f>
        <v>SERVICEABLE</v>
      </c>
      <c r="N4113" s="164"/>
    </row>
    <row r="4114" spans="1:14" ht="13.2" hidden="1">
      <c r="A4114" s="164" t="str">
        <f ca="1">IFERROR(__xludf.DUMMYFUNCTION("""COMPUTED_VALUE"""),"REGION XII")</f>
        <v>REGION XII</v>
      </c>
      <c r="B4114" s="164" t="str">
        <f ca="1">IFERROR(__xludf.DUMMYFUNCTION("""COMPUTED_VALUE"""),"SULTAN KUDARAT")</f>
        <v>SULTAN KUDARAT</v>
      </c>
      <c r="C4114" s="164" t="str">
        <f ca="1">IFERROR(__xludf.DUMMYFUNCTION("""COMPUTED_VALUE"""),"Desktop Computer – (MSI PRO DP180)")</f>
        <v>Desktop Computer – (MSI PRO DP180)</v>
      </c>
      <c r="D4114" s="164" t="str">
        <f ca="1">IFERROR(__xludf.DUMMYFUNCTION("""COMPUTED_VALUE"""),"₱ 49,300.00")</f>
        <v>₱ 49,300.00</v>
      </c>
      <c r="E4114" s="164" t="str">
        <f ca="1">IFERROR(__xludf.DUMMYFUNCTION("""COMPUTED_VALUE"""),"₱ -")</f>
        <v>₱ -</v>
      </c>
      <c r="F4114" s="164" t="str">
        <f ca="1">IFERROR(__xludf.DUMMYFUNCTION("""COMPUTED_VALUE"""),"HVSPLIT-102-24-05-01-502")</f>
        <v>HVSPLIT-102-24-05-01-502</v>
      </c>
      <c r="G4114" s="164"/>
      <c r="H4114" s="164" t="str">
        <f ca="1">IFERROR(__xludf.DUMMYFUNCTION("""COMPUTED_VALUE"""),"MISTY ROSE T. NGADAO")</f>
        <v>MISTY ROSE T. NGADAO</v>
      </c>
      <c r="I4114" s="164" t="str">
        <f ca="1">IFERROR(__xludf.DUMMYFUNCTION("""COMPUTED_VALUE"""),"ARPO II")</f>
        <v>ARPO II</v>
      </c>
      <c r="J4114" s="164" t="str">
        <f ca="1">IFERROR(__xludf.DUMMYFUNCTION("""COMPUTED_VALUE"""),"ICS2024-11-194")</f>
        <v>ICS2024-11-194</v>
      </c>
      <c r="K4114" s="164" t="str">
        <f ca="1">IFERROR(__xludf.DUMMYFUNCTION("""COMPUTED_VALUE"""),"MISTY ROSE T. NGADAO")</f>
        <v>MISTY ROSE T. NGADAO</v>
      </c>
      <c r="L4114" s="164" t="str">
        <f ca="1">IFERROR(__xludf.DUMMYFUNCTION("""COMPUTED_VALUE"""),"PARPO II")</f>
        <v>PARPO II</v>
      </c>
      <c r="M4114" s="164" t="str">
        <f ca="1">IFERROR(__xludf.DUMMYFUNCTION("""COMPUTED_VALUE"""),"SERVICEABLE")</f>
        <v>SERVICEABLE</v>
      </c>
      <c r="N4114" s="164"/>
    </row>
    <row r="4115" spans="1:14" ht="13.2" hidden="1">
      <c r="A4115" s="164" t="str">
        <f ca="1">IFERROR(__xludf.DUMMYFUNCTION("""COMPUTED_VALUE"""),"REGION XII")</f>
        <v>REGION XII</v>
      </c>
      <c r="B4115" s="164" t="str">
        <f ca="1">IFERROR(__xludf.DUMMYFUNCTION("""COMPUTED_VALUE"""),"SULTAN KUDARAT")</f>
        <v>SULTAN KUDARAT</v>
      </c>
      <c r="C4115" s="164" t="str">
        <f ca="1">IFERROR(__xludf.DUMMYFUNCTION("""COMPUTED_VALUE"""),"Desktop Computer – (MSI PRO DP180)")</f>
        <v>Desktop Computer – (MSI PRO DP180)</v>
      </c>
      <c r="D4115" s="164" t="str">
        <f ca="1">IFERROR(__xludf.DUMMYFUNCTION("""COMPUTED_VALUE"""),"₱ 49,300.00")</f>
        <v>₱ 49,300.00</v>
      </c>
      <c r="E4115" s="164" t="str">
        <f ca="1">IFERROR(__xludf.DUMMYFUNCTION("""COMPUTED_VALUE"""),"₱ -")</f>
        <v>₱ -</v>
      </c>
      <c r="F4115" s="164" t="str">
        <f ca="1">IFERROR(__xludf.DUMMYFUNCTION("""COMPUTED_VALUE"""),"HVSPLIT-102-24-05-01-503")</f>
        <v>HVSPLIT-102-24-05-01-503</v>
      </c>
      <c r="G4115" s="164"/>
      <c r="H4115" s="164" t="str">
        <f ca="1">IFERROR(__xludf.DUMMYFUNCTION("""COMPUTED_VALUE"""),"JOEL L. GELLANG, JR.")</f>
        <v>JOEL L. GELLANG, JR.</v>
      </c>
      <c r="I4115" s="164" t="str">
        <f ca="1">IFERROR(__xludf.DUMMYFUNCTION("""COMPUTED_VALUE"""),"CARPO-LTID")</f>
        <v>CARPO-LTID</v>
      </c>
      <c r="J4115" s="164" t="str">
        <f ca="1">IFERROR(__xludf.DUMMYFUNCTION("""COMPUTED_VALUE"""),"ICS2024-11-193")</f>
        <v>ICS2024-11-193</v>
      </c>
      <c r="K4115" s="164" t="str">
        <f ca="1">IFERROR(__xludf.DUMMYFUNCTION("""COMPUTED_VALUE"""),"JOEL L. GELLANG, JR.")</f>
        <v>JOEL L. GELLANG, JR.</v>
      </c>
      <c r="L4115" s="164" t="str">
        <f ca="1">IFERROR(__xludf.DUMMYFUNCTION("""COMPUTED_VALUE"""),"LTSP")</f>
        <v>LTSP</v>
      </c>
      <c r="M4115" s="164" t="str">
        <f ca="1">IFERROR(__xludf.DUMMYFUNCTION("""COMPUTED_VALUE"""),"SERVICEABLE")</f>
        <v>SERVICEABLE</v>
      </c>
      <c r="N4115" s="164"/>
    </row>
    <row r="4116" spans="1:14" ht="13.2" hidden="1">
      <c r="A4116" s="164" t="str">
        <f ca="1">IFERROR(__xludf.DUMMYFUNCTION("""COMPUTED_VALUE"""),"REGION XII")</f>
        <v>REGION XII</v>
      </c>
      <c r="B4116" s="164" t="str">
        <f ca="1">IFERROR(__xludf.DUMMYFUNCTION("""COMPUTED_VALUE"""),"DARRO")</f>
        <v>DARRO</v>
      </c>
      <c r="C4116" s="164" t="str">
        <f ca="1">IFERROR(__xludf.DUMMYFUNCTION("""COMPUTED_VALUE"""),"Desktop Computer – (HP Pro SFF 280G9)")</f>
        <v>Desktop Computer – (HP Pro SFF 280G9)</v>
      </c>
      <c r="D4116" s="164" t="str">
        <f ca="1">IFERROR(__xludf.DUMMYFUNCTION("""COMPUTED_VALUE"""),"₱ 78,898.00")</f>
        <v>₱ 78,898.00</v>
      </c>
      <c r="E4116" s="164"/>
      <c r="F4116" s="164" t="str">
        <f ca="1">IFERROR(__xludf.DUMMYFUNCTION("""COMPUTED_VALUE"""),"2023-05-03-10201SP434-01")</f>
        <v>2023-05-03-10201SP434-01</v>
      </c>
      <c r="G4116" s="164"/>
      <c r="H4116" s="164" t="str">
        <f ca="1">IFERROR(__xludf.DUMMYFUNCTION("""COMPUTED_VALUE"""),"RACHEL S. GUERRA")</f>
        <v>RACHEL S. GUERRA</v>
      </c>
      <c r="I4116" s="164" t="str">
        <f ca="1">IFERROR(__xludf.DUMMYFUNCTION("""COMPUTED_VALUE"""),"ARPO II")</f>
        <v>ARPO II</v>
      </c>
      <c r="J4116" s="164" t="str">
        <f ca="1">IFERROR(__xludf.DUMMYFUNCTION("""COMPUTED_VALUE"""),"SPLIT-2023-019")</f>
        <v>SPLIT-2023-019</v>
      </c>
      <c r="K4116" s="164" t="str">
        <f ca="1">IFERROR(__xludf.DUMMYFUNCTION("""COMPUTED_VALUE"""),"RACHEL S. GUERRA")</f>
        <v>RACHEL S. GUERRA</v>
      </c>
      <c r="L4116" s="164" t="str">
        <f ca="1">IFERROR(__xludf.DUMMYFUNCTION("""COMPUTED_VALUE"""),"PBDD OFFICE")</f>
        <v>PBDD OFFICE</v>
      </c>
      <c r="M4116" s="164" t="str">
        <f ca="1">IFERROR(__xludf.DUMMYFUNCTION("""COMPUTED_VALUE"""),"SERVICEABLE")</f>
        <v>SERVICEABLE</v>
      </c>
      <c r="N4116" s="164"/>
    </row>
    <row r="4117" spans="1:14" ht="13.2">
      <c r="A4117" s="164" t="str">
        <f ca="1">IFERROR(__xludf.DUMMYFUNCTION("""COMPUTED_VALUE"""),"REGION XII")</f>
        <v>REGION XII</v>
      </c>
      <c r="B4117" s="164" t="str">
        <f ca="1">IFERROR(__xludf.DUMMYFUNCTION("""COMPUTED_VALUE"""),"SARANGANI")</f>
        <v>SARANGANI</v>
      </c>
      <c r="C4117" s="164" t="str">
        <f ca="1">IFERROR(__xludf.DUMMYFUNCTION("""COMPUTED_VALUE"""),"Desktop Computer – (HP Pro SFF 280G9)")</f>
        <v>Desktop Computer – (HP Pro SFF 280G9)</v>
      </c>
      <c r="D4117" s="164" t="str">
        <f ca="1">IFERROR(__xludf.DUMMYFUNCTION("""COMPUTED_VALUE"""),"₱ 78,898.00")</f>
        <v>₱ 78,898.00</v>
      </c>
      <c r="E4117" s="164"/>
      <c r="F4117" s="164" t="str">
        <f ca="1">IFERROR(__xludf.DUMMYFUNCTION("""COMPUTED_VALUE"""),"2023-05-03-10201SP438-01")</f>
        <v>2023-05-03-10201SP438-01</v>
      </c>
      <c r="G4117" s="164"/>
      <c r="H4117" s="164" t="str">
        <f ca="1">IFERROR(__xludf.DUMMYFUNCTION("""COMPUTED_VALUE"""),"PHOEBE ROSE ALAO")</f>
        <v>PHOEBE ROSE ALAO</v>
      </c>
      <c r="I4117" s="164" t="str">
        <f ca="1">IFERROR(__xludf.DUMMYFUNCTION("""COMPUTED_VALUE"""),"BUDGET OFFICER")</f>
        <v>BUDGET OFFICER</v>
      </c>
      <c r="J4117" s="164" t="str">
        <f ca="1">IFERROR(__xludf.DUMMYFUNCTION("""COMPUTED_VALUE"""),"2023-10-103 to 106")</f>
        <v>2023-10-103 to 106</v>
      </c>
      <c r="K4117" s="164" t="str">
        <f ca="1">IFERROR(__xludf.DUMMYFUNCTION("""COMPUTED_VALUE"""),"PHOEBE ROSE ALAO")</f>
        <v>PHOEBE ROSE ALAO</v>
      </c>
      <c r="L4117" s="164" t="str">
        <f ca="1">IFERROR(__xludf.DUMMYFUNCTION("""COMPUTED_VALUE"""),"STOD")</f>
        <v>STOD</v>
      </c>
      <c r="M4117" s="164" t="str">
        <f ca="1">IFERROR(__xludf.DUMMYFUNCTION("""COMPUTED_VALUE"""),"SERVICEABLE")</f>
        <v>SERVICEABLE</v>
      </c>
      <c r="N4117" s="164"/>
    </row>
    <row r="4118" spans="1:14" ht="13.2">
      <c r="A4118" s="164" t="str">
        <f ca="1">IFERROR(__xludf.DUMMYFUNCTION("""COMPUTED_VALUE"""),"REGION XII")</f>
        <v>REGION XII</v>
      </c>
      <c r="B4118" s="164" t="str">
        <f ca="1">IFERROR(__xludf.DUMMYFUNCTION("""COMPUTED_VALUE"""),"SARANGANI")</f>
        <v>SARANGANI</v>
      </c>
      <c r="C4118" s="164" t="str">
        <f ca="1">IFERROR(__xludf.DUMMYFUNCTION("""COMPUTED_VALUE"""),"Motorcycle – (Honda XRL 150)")</f>
        <v>Motorcycle – (Honda XRL 150)</v>
      </c>
      <c r="D4118" s="164" t="str">
        <f ca="1">IFERROR(__xludf.DUMMYFUNCTION("""COMPUTED_VALUE"""),"₱ 124,900.00")</f>
        <v>₱ 124,900.00</v>
      </c>
      <c r="E4118" s="164"/>
      <c r="F4118" s="164" t="str">
        <f ca="1">IFERROR(__xludf.DUMMYFUNCTION("""COMPUTED_VALUE"""),"2023-06-01-10202SP714-01")</f>
        <v>2023-06-01-10202SP714-01</v>
      </c>
      <c r="G4118" s="164" t="str">
        <f ca="1">IFERROR(__xludf.DUMMYFUNCTION("""COMPUTED_VALUE"""),"no plate available")</f>
        <v>no plate available</v>
      </c>
      <c r="H4118" s="164" t="str">
        <f ca="1">IFERROR(__xludf.DUMMYFUNCTION("""COMPUTED_VALUE"""),"DAISY PENIDA")</f>
        <v>DAISY PENIDA</v>
      </c>
      <c r="I4118" s="164" t="str">
        <f ca="1">IFERROR(__xludf.DUMMYFUNCTION("""COMPUTED_VALUE"""),"AO IV")</f>
        <v>AO IV</v>
      </c>
      <c r="J4118" s="164" t="str">
        <f ca="1">IFERROR(__xludf.DUMMYFUNCTION("""COMPUTED_VALUE"""),"2023-10-119")</f>
        <v>2023-10-119</v>
      </c>
      <c r="K4118" s="164" t="str">
        <f ca="1">IFERROR(__xludf.DUMMYFUNCTION("""COMPUTED_VALUE"""),"DAISY PENIDA")</f>
        <v>DAISY PENIDA</v>
      </c>
      <c r="L4118" s="164" t="str">
        <f ca="1">IFERROR(__xludf.DUMMYFUNCTION("""COMPUTED_VALUE"""),"LTID")</f>
        <v>LTID</v>
      </c>
      <c r="M4118" s="164" t="str">
        <f ca="1">IFERROR(__xludf.DUMMYFUNCTION("""COMPUTED_VALUE"""),"SERVICEABLE")</f>
        <v>SERVICEABLE</v>
      </c>
      <c r="N4118" s="164"/>
    </row>
    <row r="4119" spans="1:14" ht="13.2">
      <c r="A4119" s="164" t="str">
        <f ca="1">IFERROR(__xludf.DUMMYFUNCTION("""COMPUTED_VALUE"""),"REGION XII")</f>
        <v>REGION XII</v>
      </c>
      <c r="B4119" s="164" t="str">
        <f ca="1">IFERROR(__xludf.DUMMYFUNCTION("""COMPUTED_VALUE"""),"SARANGANI")</f>
        <v>SARANGANI</v>
      </c>
      <c r="C4119" s="164" t="str">
        <f ca="1">IFERROR(__xludf.DUMMYFUNCTION("""COMPUTED_VALUE"""),"Motorcycle – (Honda XRL 150)")</f>
        <v>Motorcycle – (Honda XRL 150)</v>
      </c>
      <c r="D4119" s="164" t="str">
        <f ca="1">IFERROR(__xludf.DUMMYFUNCTION("""COMPUTED_VALUE"""),"₱ 124,900.00")</f>
        <v>₱ 124,900.00</v>
      </c>
      <c r="E4119" s="164"/>
      <c r="F4119" s="164" t="str">
        <f ca="1">IFERROR(__xludf.DUMMYFUNCTION("""COMPUTED_VALUE"""),"2023-06-01-10202SP713-01")</f>
        <v>2023-06-01-10202SP713-01</v>
      </c>
      <c r="G4119" s="164" t="str">
        <f ca="1">IFERROR(__xludf.DUMMYFUNCTION("""COMPUTED_VALUE"""),"no plate available")</f>
        <v>no plate available</v>
      </c>
      <c r="H4119" s="164" t="str">
        <f ca="1">IFERROR(__xludf.DUMMYFUNCTION("""COMPUTED_VALUE"""),"SONNY OCLARIT")</f>
        <v>SONNY OCLARIT</v>
      </c>
      <c r="I4119" s="164" t="str">
        <f ca="1">IFERROR(__xludf.DUMMYFUNCTION("""COMPUTED_VALUE"""),"AO IV")</f>
        <v>AO IV</v>
      </c>
      <c r="J4119" s="164" t="str">
        <f ca="1">IFERROR(__xludf.DUMMYFUNCTION("""COMPUTED_VALUE"""),"2023-10-120")</f>
        <v>2023-10-120</v>
      </c>
      <c r="K4119" s="164" t="str">
        <f ca="1">IFERROR(__xludf.DUMMYFUNCTION("""COMPUTED_VALUE"""),"SONNY OCLARIT")</f>
        <v>SONNY OCLARIT</v>
      </c>
      <c r="L4119" s="164" t="str">
        <f ca="1">IFERROR(__xludf.DUMMYFUNCTION("""COMPUTED_VALUE"""),"LTID")</f>
        <v>LTID</v>
      </c>
      <c r="M4119" s="164" t="str">
        <f ca="1">IFERROR(__xludf.DUMMYFUNCTION("""COMPUTED_VALUE"""),"SERVICEABLE")</f>
        <v>SERVICEABLE</v>
      </c>
      <c r="N4119" s="164"/>
    </row>
    <row r="4120" spans="1:14" ht="13.2">
      <c r="A4120" s="164" t="str">
        <f ca="1">IFERROR(__xludf.DUMMYFUNCTION("""COMPUTED_VALUE"""),"REGION XII")</f>
        <v>REGION XII</v>
      </c>
      <c r="B4120" s="164" t="str">
        <f ca="1">IFERROR(__xludf.DUMMYFUNCTION("""COMPUTED_VALUE"""),"SARANGANI")</f>
        <v>SARANGANI</v>
      </c>
      <c r="C4120" s="164" t="str">
        <f ca="1">IFERROR(__xludf.DUMMYFUNCTION("""COMPUTED_VALUE"""),"Motorcycle – (Honda XRL 150)")</f>
        <v>Motorcycle – (Honda XRL 150)</v>
      </c>
      <c r="D4120" s="164" t="str">
        <f ca="1">IFERROR(__xludf.DUMMYFUNCTION("""COMPUTED_VALUE"""),"₱ 124,900.00")</f>
        <v>₱ 124,900.00</v>
      </c>
      <c r="E4120" s="164"/>
      <c r="F4120" s="164" t="str">
        <f ca="1">IFERROR(__xludf.DUMMYFUNCTION("""COMPUTED_VALUE"""),"2023-06-01-10202SP712-01")</f>
        <v>2023-06-01-10202SP712-01</v>
      </c>
      <c r="G4120" s="164" t="str">
        <f ca="1">IFERROR(__xludf.DUMMYFUNCTION("""COMPUTED_VALUE"""),"no plate available")</f>
        <v>no plate available</v>
      </c>
      <c r="H4120" s="164" t="str">
        <f ca="1">IFERROR(__xludf.DUMMYFUNCTION("""COMPUTED_VALUE"""),"MICHAEL A. DOMINGO")</f>
        <v>MICHAEL A. DOMINGO</v>
      </c>
      <c r="I4120" s="164" t="str">
        <f ca="1">IFERROR(__xludf.DUMMYFUNCTION("""COMPUTED_VALUE"""),"AO IV")</f>
        <v>AO IV</v>
      </c>
      <c r="J4120" s="164" t="str">
        <f ca="1">IFERROR(__xludf.DUMMYFUNCTION("""COMPUTED_VALUE"""),"2023-10-121")</f>
        <v>2023-10-121</v>
      </c>
      <c r="K4120" s="164" t="str">
        <f ca="1">IFERROR(__xludf.DUMMYFUNCTION("""COMPUTED_VALUE"""),"MICHAEL A. DOMINGO")</f>
        <v>MICHAEL A. DOMINGO</v>
      </c>
      <c r="L4120" s="164" t="str">
        <f ca="1">IFERROR(__xludf.DUMMYFUNCTION("""COMPUTED_VALUE"""),"DARPO")</f>
        <v>DARPO</v>
      </c>
      <c r="M4120" s="164" t="str">
        <f ca="1">IFERROR(__xludf.DUMMYFUNCTION("""COMPUTED_VALUE"""),"SERVICEABLE")</f>
        <v>SERVICEABLE</v>
      </c>
      <c r="N4120" s="164"/>
    </row>
    <row r="4121" spans="1:14" ht="13.2">
      <c r="A4121" s="164" t="str">
        <f ca="1">IFERROR(__xludf.DUMMYFUNCTION("""COMPUTED_VALUE"""),"REGION XII")</f>
        <v>REGION XII</v>
      </c>
      <c r="B4121" s="164" t="str">
        <f ca="1">IFERROR(__xludf.DUMMYFUNCTION("""COMPUTED_VALUE"""),"SARANGANI")</f>
        <v>SARANGANI</v>
      </c>
      <c r="C4121" s="164" t="str">
        <f ca="1">IFERROR(__xludf.DUMMYFUNCTION("""COMPUTED_VALUE"""),"Motorcycle – (Honda XRL 150)")</f>
        <v>Motorcycle – (Honda XRL 150)</v>
      </c>
      <c r="D4121" s="164" t="str">
        <f ca="1">IFERROR(__xludf.DUMMYFUNCTION("""COMPUTED_VALUE"""),"₱ 124,900.00")</f>
        <v>₱ 124,900.00</v>
      </c>
      <c r="E4121" s="164"/>
      <c r="F4121" s="164" t="str">
        <f ca="1">IFERROR(__xludf.DUMMYFUNCTION("""COMPUTED_VALUE"""),"2023-06-01-10202SP711-01")</f>
        <v>2023-06-01-10202SP711-01</v>
      </c>
      <c r="G4121" s="164" t="str">
        <f ca="1">IFERROR(__xludf.DUMMYFUNCTION("""COMPUTED_VALUE"""),"no plate available")</f>
        <v>no plate available</v>
      </c>
      <c r="H4121" s="164" t="str">
        <f ca="1">IFERROR(__xludf.DUMMYFUNCTION("""COMPUTED_VALUE"""),"NUR ARHMAD UY")</f>
        <v>NUR ARHMAD UY</v>
      </c>
      <c r="I4121" s="164" t="str">
        <f ca="1">IFERROR(__xludf.DUMMYFUNCTION("""COMPUTED_VALUE"""),"AO IV")</f>
        <v>AO IV</v>
      </c>
      <c r="J4121" s="164" t="str">
        <f ca="1">IFERROR(__xludf.DUMMYFUNCTION("""COMPUTED_VALUE"""),"2023-10-122")</f>
        <v>2023-10-122</v>
      </c>
      <c r="K4121" s="164" t="str">
        <f ca="1">IFERROR(__xludf.DUMMYFUNCTION("""COMPUTED_VALUE"""),"NUR ARHMAD UY")</f>
        <v>NUR ARHMAD UY</v>
      </c>
      <c r="L4121" s="164" t="str">
        <f ca="1">IFERROR(__xludf.DUMMYFUNCTION("""COMPUTED_VALUE"""),"DARMO KIAMBA")</f>
        <v>DARMO KIAMBA</v>
      </c>
      <c r="M4121" s="164" t="str">
        <f ca="1">IFERROR(__xludf.DUMMYFUNCTION("""COMPUTED_VALUE"""),"SERVICEABLE")</f>
        <v>SERVICEABLE</v>
      </c>
      <c r="N4121" s="164"/>
    </row>
    <row r="4122" spans="1:14" ht="13.2">
      <c r="A4122" s="164" t="str">
        <f ca="1">IFERROR(__xludf.DUMMYFUNCTION("""COMPUTED_VALUE"""),"REGION XII")</f>
        <v>REGION XII</v>
      </c>
      <c r="B4122" s="164" t="str">
        <f ca="1">IFERROR(__xludf.DUMMYFUNCTION("""COMPUTED_VALUE"""),"SARANGANI")</f>
        <v>SARANGANI</v>
      </c>
      <c r="C4122" s="164" t="str">
        <f ca="1">IFERROR(__xludf.DUMMYFUNCTION("""COMPUTED_VALUE"""),"Motorcycle – (Honda XRL 150)")</f>
        <v>Motorcycle – (Honda XRL 150)</v>
      </c>
      <c r="D4122" s="164" t="str">
        <f ca="1">IFERROR(__xludf.DUMMYFUNCTION("""COMPUTED_VALUE"""),"₱ 124,900.00")</f>
        <v>₱ 124,900.00</v>
      </c>
      <c r="E4122" s="164"/>
      <c r="F4122" s="164" t="str">
        <f ca="1">IFERROR(__xludf.DUMMYFUNCTION("""COMPUTED_VALUE"""),"2023-06-01-10202SP710-01")</f>
        <v>2023-06-01-10202SP710-01</v>
      </c>
      <c r="G4122" s="164" t="str">
        <f ca="1">IFERROR(__xludf.DUMMYFUNCTION("""COMPUTED_VALUE"""),"no plate available")</f>
        <v>no plate available</v>
      </c>
      <c r="H4122" s="164" t="str">
        <f ca="1">IFERROR(__xludf.DUMMYFUNCTION("""COMPUTED_VALUE"""),"RYAN BADILLA")</f>
        <v>RYAN BADILLA</v>
      </c>
      <c r="I4122" s="164" t="str">
        <f ca="1">IFERROR(__xludf.DUMMYFUNCTION("""COMPUTED_VALUE"""),"AO IV")</f>
        <v>AO IV</v>
      </c>
      <c r="J4122" s="164" t="str">
        <f ca="1">IFERROR(__xludf.DUMMYFUNCTION("""COMPUTED_VALUE"""),"2023-10-123")</f>
        <v>2023-10-123</v>
      </c>
      <c r="K4122" s="164" t="str">
        <f ca="1">IFERROR(__xludf.DUMMYFUNCTION("""COMPUTED_VALUE"""),"RYAN BADILLA")</f>
        <v>RYAN BADILLA</v>
      </c>
      <c r="L4122" s="164" t="str">
        <f ca="1">IFERROR(__xludf.DUMMYFUNCTION("""COMPUTED_VALUE"""),"DARMO MAASIM")</f>
        <v>DARMO MAASIM</v>
      </c>
      <c r="M4122" s="164" t="str">
        <f ca="1">IFERROR(__xludf.DUMMYFUNCTION("""COMPUTED_VALUE"""),"SERVICEABLE")</f>
        <v>SERVICEABLE</v>
      </c>
      <c r="N4122" s="164"/>
    </row>
    <row r="4123" spans="1:14" ht="13.2">
      <c r="A4123" s="164" t="str">
        <f ca="1">IFERROR(__xludf.DUMMYFUNCTION("""COMPUTED_VALUE"""),"REGION XII")</f>
        <v>REGION XII</v>
      </c>
      <c r="B4123" s="164" t="str">
        <f ca="1">IFERROR(__xludf.DUMMYFUNCTION("""COMPUTED_VALUE"""),"SARANGANI")</f>
        <v>SARANGANI</v>
      </c>
      <c r="C4123" s="164" t="str">
        <f ca="1">IFERROR(__xludf.DUMMYFUNCTION("""COMPUTED_VALUE"""),"Motorcycle – (Honda XRL 150)")</f>
        <v>Motorcycle – (Honda XRL 150)</v>
      </c>
      <c r="D4123" s="164" t="str">
        <f ca="1">IFERROR(__xludf.DUMMYFUNCTION("""COMPUTED_VALUE"""),"₱ 124,900.00")</f>
        <v>₱ 124,900.00</v>
      </c>
      <c r="E4123" s="164"/>
      <c r="F4123" s="164" t="str">
        <f ca="1">IFERROR(__xludf.DUMMYFUNCTION("""COMPUTED_VALUE"""),"2023-06-01-10202SP709-01")</f>
        <v>2023-06-01-10202SP709-01</v>
      </c>
      <c r="G4123" s="164" t="str">
        <f ca="1">IFERROR(__xludf.DUMMYFUNCTION("""COMPUTED_VALUE"""),"no plate available")</f>
        <v>no plate available</v>
      </c>
      <c r="H4123" s="164" t="str">
        <f ca="1">IFERROR(__xludf.DUMMYFUNCTION("""COMPUTED_VALUE"""),"NORLAISA S. HASSAN")</f>
        <v>NORLAISA S. HASSAN</v>
      </c>
      <c r="I4123" s="164" t="str">
        <f ca="1">IFERROR(__xludf.DUMMYFUNCTION("""COMPUTED_VALUE"""),"AO IV")</f>
        <v>AO IV</v>
      </c>
      <c r="J4123" s="164" t="str">
        <f ca="1">IFERROR(__xludf.DUMMYFUNCTION("""COMPUTED_VALUE"""),"2023-10-124")</f>
        <v>2023-10-124</v>
      </c>
      <c r="K4123" s="164" t="str">
        <f ca="1">IFERROR(__xludf.DUMMYFUNCTION("""COMPUTED_VALUE"""),"NORLAISA S. HASSAN")</f>
        <v>NORLAISA S. HASSAN</v>
      </c>
      <c r="L4123" s="164" t="str">
        <f ca="1">IFERROR(__xludf.DUMMYFUNCTION("""COMPUTED_VALUE"""),"DARMO MALUNGON")</f>
        <v>DARMO MALUNGON</v>
      </c>
      <c r="M4123" s="164" t="str">
        <f ca="1">IFERROR(__xludf.DUMMYFUNCTION("""COMPUTED_VALUE"""),"SERVICEABLE")</f>
        <v>SERVICEABLE</v>
      </c>
      <c r="N4123" s="164"/>
    </row>
    <row r="4124" spans="1:14" ht="13.2">
      <c r="A4124" s="164" t="str">
        <f ca="1">IFERROR(__xludf.DUMMYFUNCTION("""COMPUTED_VALUE"""),"REGION XII")</f>
        <v>REGION XII</v>
      </c>
      <c r="B4124" s="164" t="str">
        <f ca="1">IFERROR(__xludf.DUMMYFUNCTION("""COMPUTED_VALUE"""),"SARANGANI")</f>
        <v>SARANGANI</v>
      </c>
      <c r="C4124" s="164" t="str">
        <f ca="1">IFERROR(__xludf.DUMMYFUNCTION("""COMPUTED_VALUE"""),"Motorcycle – (Honda XRL 150)")</f>
        <v>Motorcycle – (Honda XRL 150)</v>
      </c>
      <c r="D4124" s="164" t="str">
        <f ca="1">IFERROR(__xludf.DUMMYFUNCTION("""COMPUTED_VALUE"""),"₱ 124,900.00")</f>
        <v>₱ 124,900.00</v>
      </c>
      <c r="E4124" s="164"/>
      <c r="F4124" s="164" t="str">
        <f ca="1">IFERROR(__xludf.DUMMYFUNCTION("""COMPUTED_VALUE"""),"2023-06-01-10202SP708-01")</f>
        <v>2023-06-01-10202SP708-01</v>
      </c>
      <c r="G4124" s="164" t="str">
        <f ca="1">IFERROR(__xludf.DUMMYFUNCTION("""COMPUTED_VALUE"""),"no plate available")</f>
        <v>no plate available</v>
      </c>
      <c r="H4124" s="164" t="str">
        <f ca="1">IFERROR(__xludf.DUMMYFUNCTION("""COMPUTED_VALUE"""),"SERAPION L. BUENO JR.")</f>
        <v>SERAPION L. BUENO JR.</v>
      </c>
      <c r="I4124" s="164" t="str">
        <f ca="1">IFERROR(__xludf.DUMMYFUNCTION("""COMPUTED_VALUE"""),"AO IV")</f>
        <v>AO IV</v>
      </c>
      <c r="J4124" s="164" t="str">
        <f ca="1">IFERROR(__xludf.DUMMYFUNCTION("""COMPUTED_VALUE"""),"2023-10-125")</f>
        <v>2023-10-125</v>
      </c>
      <c r="K4124" s="164" t="str">
        <f ca="1">IFERROR(__xludf.DUMMYFUNCTION("""COMPUTED_VALUE"""),"SERAPION L. BUENO JR")</f>
        <v>SERAPION L. BUENO JR</v>
      </c>
      <c r="L4124" s="164" t="str">
        <f ca="1">IFERROR(__xludf.DUMMYFUNCTION("""COMPUTED_VALUE"""),"DARPO")</f>
        <v>DARPO</v>
      </c>
      <c r="M4124" s="164" t="str">
        <f ca="1">IFERROR(__xludf.DUMMYFUNCTION("""COMPUTED_VALUE"""),"SERVICEABLE")</f>
        <v>SERVICEABLE</v>
      </c>
      <c r="N4124" s="164"/>
    </row>
    <row r="4125" spans="1:14" ht="13.2">
      <c r="A4125" s="164" t="str">
        <f ca="1">IFERROR(__xludf.DUMMYFUNCTION("""COMPUTED_VALUE"""),"REGION XII")</f>
        <v>REGION XII</v>
      </c>
      <c r="B4125" s="164" t="str">
        <f ca="1">IFERROR(__xludf.DUMMYFUNCTION("""COMPUTED_VALUE"""),"SARANGANI")</f>
        <v>SARANGANI</v>
      </c>
      <c r="C4125" s="164" t="str">
        <f ca="1">IFERROR(__xludf.DUMMYFUNCTION("""COMPUTED_VALUE"""),"Motorcycle – (Honda XRL 150)")</f>
        <v>Motorcycle – (Honda XRL 150)</v>
      </c>
      <c r="D4125" s="164" t="str">
        <f ca="1">IFERROR(__xludf.DUMMYFUNCTION("""COMPUTED_VALUE"""),"₱ 124,900.00")</f>
        <v>₱ 124,900.00</v>
      </c>
      <c r="E4125" s="164"/>
      <c r="F4125" s="164" t="str">
        <f ca="1">IFERROR(__xludf.DUMMYFUNCTION("""COMPUTED_VALUE"""),"2023-06-01-10202SP707-01")</f>
        <v>2023-06-01-10202SP707-01</v>
      </c>
      <c r="G4125" s="164" t="str">
        <f ca="1">IFERROR(__xludf.DUMMYFUNCTION("""COMPUTED_VALUE"""),"no plate available")</f>
        <v>no plate available</v>
      </c>
      <c r="H4125" s="164" t="str">
        <f ca="1">IFERROR(__xludf.DUMMYFUNCTION("""COMPUTED_VALUE"""),"VON ANGELO CATALUNA")</f>
        <v>VON ANGELO CATALUNA</v>
      </c>
      <c r="I4125" s="164" t="str">
        <f ca="1">IFERROR(__xludf.DUMMYFUNCTION("""COMPUTED_VALUE"""),"AO IV")</f>
        <v>AO IV</v>
      </c>
      <c r="J4125" s="164" t="str">
        <f ca="1">IFERROR(__xludf.DUMMYFUNCTION("""COMPUTED_VALUE"""),"2023-10-126")</f>
        <v>2023-10-126</v>
      </c>
      <c r="K4125" s="164" t="str">
        <f ca="1">IFERROR(__xludf.DUMMYFUNCTION("""COMPUTED_VALUE"""),"VON ANGELO CATALUNA")</f>
        <v>VON ANGELO CATALUNA</v>
      </c>
      <c r="L4125" s="164" t="str">
        <f ca="1">IFERROR(__xludf.DUMMYFUNCTION("""COMPUTED_VALUE"""),"DARMO MALAPATAN")</f>
        <v>DARMO MALAPATAN</v>
      </c>
      <c r="M4125" s="164" t="str">
        <f ca="1">IFERROR(__xludf.DUMMYFUNCTION("""COMPUTED_VALUE"""),"SERVICEABLE")</f>
        <v>SERVICEABLE</v>
      </c>
      <c r="N4125" s="164"/>
    </row>
    <row r="4126" spans="1:14" ht="13.2">
      <c r="A4126" s="164" t="str">
        <f ca="1">IFERROR(__xludf.DUMMYFUNCTION("""COMPUTED_VALUE"""),"REGION XII")</f>
        <v>REGION XII</v>
      </c>
      <c r="B4126" s="164" t="str">
        <f ca="1">IFERROR(__xludf.DUMMYFUNCTION("""COMPUTED_VALUE"""),"SARANGANI")</f>
        <v>SARANGANI</v>
      </c>
      <c r="C4126" s="164" t="str">
        <f ca="1">IFERROR(__xludf.DUMMYFUNCTION("""COMPUTED_VALUE"""),"Motorcycle – (Honda XRL 150)")</f>
        <v>Motorcycle – (Honda XRL 150)</v>
      </c>
      <c r="D4126" s="164" t="str">
        <f ca="1">IFERROR(__xludf.DUMMYFUNCTION("""COMPUTED_VALUE"""),"₱ 124,900.00")</f>
        <v>₱ 124,900.00</v>
      </c>
      <c r="E4126" s="164"/>
      <c r="F4126" s="164" t="str">
        <f ca="1">IFERROR(__xludf.DUMMYFUNCTION("""COMPUTED_VALUE"""),"2023-06-01-10202SP706-01")</f>
        <v>2023-06-01-10202SP706-01</v>
      </c>
      <c r="G4126" s="164" t="str">
        <f ca="1">IFERROR(__xludf.DUMMYFUNCTION("""COMPUTED_VALUE"""),"no plate available")</f>
        <v>no plate available</v>
      </c>
      <c r="H4126" s="164" t="str">
        <f ca="1">IFERROR(__xludf.DUMMYFUNCTION("""COMPUTED_VALUE"""),"JESSA MAE ABUBO")</f>
        <v>JESSA MAE ABUBO</v>
      </c>
      <c r="I4126" s="164" t="str">
        <f ca="1">IFERROR(__xludf.DUMMYFUNCTION("""COMPUTED_VALUE"""),"AO IV")</f>
        <v>AO IV</v>
      </c>
      <c r="J4126" s="164" t="str">
        <f ca="1">IFERROR(__xludf.DUMMYFUNCTION("""COMPUTED_VALUE"""),"2023-10-127")</f>
        <v>2023-10-127</v>
      </c>
      <c r="K4126" s="164" t="str">
        <f ca="1">IFERROR(__xludf.DUMMYFUNCTION("""COMPUTED_VALUE"""),"JESSA MAE ABUBO")</f>
        <v>JESSA MAE ABUBO</v>
      </c>
      <c r="L4126" s="164" t="str">
        <f ca="1">IFERROR(__xludf.DUMMYFUNCTION("""COMPUTED_VALUE"""),"DARMO GLAN")</f>
        <v>DARMO GLAN</v>
      </c>
      <c r="M4126" s="164" t="str">
        <f ca="1">IFERROR(__xludf.DUMMYFUNCTION("""COMPUTED_VALUE"""),"SERVICEABLE")</f>
        <v>SERVICEABLE</v>
      </c>
      <c r="N4126" s="164"/>
    </row>
    <row r="4127" spans="1:14" ht="13.2">
      <c r="A4127" s="164" t="str">
        <f ca="1">IFERROR(__xludf.DUMMYFUNCTION("""COMPUTED_VALUE"""),"REGION XII")</f>
        <v>REGION XII</v>
      </c>
      <c r="B4127" s="164" t="str">
        <f ca="1">IFERROR(__xludf.DUMMYFUNCTION("""COMPUTED_VALUE"""),"SARANGANI")</f>
        <v>SARANGANI</v>
      </c>
      <c r="C4127" s="164" t="str">
        <f ca="1">IFERROR(__xludf.DUMMYFUNCTION("""COMPUTED_VALUE"""),"Motorcycle – (Honda XRL 150)")</f>
        <v>Motorcycle – (Honda XRL 150)</v>
      </c>
      <c r="D4127" s="164" t="str">
        <f ca="1">IFERROR(__xludf.DUMMYFUNCTION("""COMPUTED_VALUE"""),"₱ 124,900.00")</f>
        <v>₱ 124,900.00</v>
      </c>
      <c r="E4127" s="164"/>
      <c r="F4127" s="164" t="str">
        <f ca="1">IFERROR(__xludf.DUMMYFUNCTION("""COMPUTED_VALUE"""),"2023-06-01-10202SP705-01")</f>
        <v>2023-06-01-10202SP705-01</v>
      </c>
      <c r="G4127" s="164" t="str">
        <f ca="1">IFERROR(__xludf.DUMMYFUNCTION("""COMPUTED_VALUE"""),"no plate available")</f>
        <v>no plate available</v>
      </c>
      <c r="H4127" s="164" t="str">
        <f ca="1">IFERROR(__xludf.DUMMYFUNCTION("""COMPUTED_VALUE"""),"CLYDE DREXLER BIDAD")</f>
        <v>CLYDE DREXLER BIDAD</v>
      </c>
      <c r="I4127" s="164" t="str">
        <f ca="1">IFERROR(__xludf.DUMMYFUNCTION("""COMPUTED_VALUE"""),"AO IV")</f>
        <v>AO IV</v>
      </c>
      <c r="J4127" s="164" t="str">
        <f ca="1">IFERROR(__xludf.DUMMYFUNCTION("""COMPUTED_VALUE"""),"2023-10-128")</f>
        <v>2023-10-128</v>
      </c>
      <c r="K4127" s="164" t="str">
        <f ca="1">IFERROR(__xludf.DUMMYFUNCTION("""COMPUTED_VALUE"""),"CLYDE DREXLER BIDAD")</f>
        <v>CLYDE DREXLER BIDAD</v>
      </c>
      <c r="L4127" s="164" t="str">
        <f ca="1">IFERROR(__xludf.DUMMYFUNCTION("""COMPUTED_VALUE"""),"DARPO")</f>
        <v>DARPO</v>
      </c>
      <c r="M4127" s="164" t="str">
        <f ca="1">IFERROR(__xludf.DUMMYFUNCTION("""COMPUTED_VALUE"""),"SERVICEABLE")</f>
        <v>SERVICEABLE</v>
      </c>
      <c r="N4127" s="164"/>
    </row>
    <row r="4128" spans="1:14" ht="13.2">
      <c r="A4128" s="164" t="str">
        <f ca="1">IFERROR(__xludf.DUMMYFUNCTION("""COMPUTED_VALUE"""),"REGION XII")</f>
        <v>REGION XII</v>
      </c>
      <c r="B4128" s="164" t="str">
        <f ca="1">IFERROR(__xludf.DUMMYFUNCTION("""COMPUTED_VALUE"""),"SARANGANI")</f>
        <v>SARANGANI</v>
      </c>
      <c r="C4128" s="164" t="str">
        <f ca="1">IFERROR(__xludf.DUMMYFUNCTION("""COMPUTED_VALUE"""),"Motorcycle – (Honda XRL 150)")</f>
        <v>Motorcycle – (Honda XRL 150)</v>
      </c>
      <c r="D4128" s="164" t="str">
        <f ca="1">IFERROR(__xludf.DUMMYFUNCTION("""COMPUTED_VALUE"""),"₱ 124,900.00")</f>
        <v>₱ 124,900.00</v>
      </c>
      <c r="E4128" s="164"/>
      <c r="F4128" s="164" t="str">
        <f ca="1">IFERROR(__xludf.DUMMYFUNCTION("""COMPUTED_VALUE"""),"2023-06-01-10202SP704-01")</f>
        <v>2023-06-01-10202SP704-01</v>
      </c>
      <c r="G4128" s="164" t="str">
        <f ca="1">IFERROR(__xludf.DUMMYFUNCTION("""COMPUTED_VALUE"""),"no plate available")</f>
        <v>no plate available</v>
      </c>
      <c r="H4128" s="164" t="str">
        <f ca="1">IFERROR(__xludf.DUMMYFUNCTION("""COMPUTED_VALUE"""),"SHIELA MAE D. BERDOS")</f>
        <v>SHIELA MAE D. BERDOS</v>
      </c>
      <c r="I4128" s="164" t="str">
        <f ca="1">IFERROR(__xludf.DUMMYFUNCTION("""COMPUTED_VALUE"""),"AO IV")</f>
        <v>AO IV</v>
      </c>
      <c r="J4128" s="164" t="str">
        <f ca="1">IFERROR(__xludf.DUMMYFUNCTION("""COMPUTED_VALUE"""),"2023-10-129")</f>
        <v>2023-10-129</v>
      </c>
      <c r="K4128" s="164" t="str">
        <f ca="1">IFERROR(__xludf.DUMMYFUNCTION("""COMPUTED_VALUE"""),"SHIELA MAE D. BERDOS")</f>
        <v>SHIELA MAE D. BERDOS</v>
      </c>
      <c r="L4128" s="164" t="str">
        <f ca="1">IFERROR(__xludf.DUMMYFUNCTION("""COMPUTED_VALUE"""),"DARMO MAITUM")</f>
        <v>DARMO MAITUM</v>
      </c>
      <c r="M4128" s="164" t="str">
        <f ca="1">IFERROR(__xludf.DUMMYFUNCTION("""COMPUTED_VALUE"""),"SERVICEABLE")</f>
        <v>SERVICEABLE</v>
      </c>
      <c r="N4128" s="164"/>
    </row>
    <row r="4129" spans="1:14" ht="13.2">
      <c r="A4129" s="164" t="str">
        <f ca="1">IFERROR(__xludf.DUMMYFUNCTION("""COMPUTED_VALUE"""),"REGION XII")</f>
        <v>REGION XII</v>
      </c>
      <c r="B4129" s="164" t="str">
        <f ca="1">IFERROR(__xludf.DUMMYFUNCTION("""COMPUTED_VALUE"""),"SARANGANI")</f>
        <v>SARANGANI</v>
      </c>
      <c r="C4129" s="164" t="str">
        <f ca="1">IFERROR(__xludf.DUMMYFUNCTION("""COMPUTED_VALUE"""),"Motorcycle – (Honda XRL 150)")</f>
        <v>Motorcycle – (Honda XRL 150)</v>
      </c>
      <c r="D4129" s="164" t="str">
        <f ca="1">IFERROR(__xludf.DUMMYFUNCTION("""COMPUTED_VALUE"""),"₱ 124,900.00")</f>
        <v>₱ 124,900.00</v>
      </c>
      <c r="E4129" s="164"/>
      <c r="F4129" s="164" t="str">
        <f ca="1">IFERROR(__xludf.DUMMYFUNCTION("""COMPUTED_VALUE"""),"2023-06-01-10202SP703-01")</f>
        <v>2023-06-01-10202SP703-01</v>
      </c>
      <c r="G4129" s="164" t="str">
        <f ca="1">IFERROR(__xludf.DUMMYFUNCTION("""COMPUTED_VALUE"""),"no plate available")</f>
        <v>no plate available</v>
      </c>
      <c r="H4129" s="164" t="str">
        <f ca="1">IFERROR(__xludf.DUMMYFUNCTION("""COMPUTED_VALUE"""),"HALLENE GRACE C. BIERNEZA")</f>
        <v>HALLENE GRACE C. BIERNEZA</v>
      </c>
      <c r="I4129" s="164" t="str">
        <f ca="1">IFERROR(__xludf.DUMMYFUNCTION("""COMPUTED_VALUE"""),"AO IV")</f>
        <v>AO IV</v>
      </c>
      <c r="J4129" s="164" t="str">
        <f ca="1">IFERROR(__xludf.DUMMYFUNCTION("""COMPUTED_VALUE"""),"2023-10-130")</f>
        <v>2023-10-130</v>
      </c>
      <c r="K4129" s="164" t="str">
        <f ca="1">IFERROR(__xludf.DUMMYFUNCTION("""COMPUTED_VALUE"""),"HALLENE GRACE C. BIERNEZA")</f>
        <v>HALLENE GRACE C. BIERNEZA</v>
      </c>
      <c r="L4129" s="164" t="str">
        <f ca="1">IFERROR(__xludf.DUMMYFUNCTION("""COMPUTED_VALUE"""),"DARPO")</f>
        <v>DARPO</v>
      </c>
      <c r="M4129" s="164" t="str">
        <f ca="1">IFERROR(__xludf.DUMMYFUNCTION("""COMPUTED_VALUE"""),"SERVICEABLE")</f>
        <v>SERVICEABLE</v>
      </c>
      <c r="N4129" s="164"/>
    </row>
    <row r="4130" spans="1:14" ht="13.2">
      <c r="A4130" s="164" t="str">
        <f ca="1">IFERROR(__xludf.DUMMYFUNCTION("""COMPUTED_VALUE"""),"REGION XII")</f>
        <v>REGION XII</v>
      </c>
      <c r="B4130" s="164" t="str">
        <f ca="1">IFERROR(__xludf.DUMMYFUNCTION("""COMPUTED_VALUE"""),"SARANGANI")</f>
        <v>SARANGANI</v>
      </c>
      <c r="C4130" s="164" t="str">
        <f ca="1">IFERROR(__xludf.DUMMYFUNCTION("""COMPUTED_VALUE"""),"Motorcycle – (Honda XRL 150)")</f>
        <v>Motorcycle – (Honda XRL 150)</v>
      </c>
      <c r="D4130" s="164" t="str">
        <f ca="1">IFERROR(__xludf.DUMMYFUNCTION("""COMPUTED_VALUE"""),"₱ 124,900.00")</f>
        <v>₱ 124,900.00</v>
      </c>
      <c r="E4130" s="164"/>
      <c r="F4130" s="164" t="str">
        <f ca="1">IFERROR(__xludf.DUMMYFUNCTION("""COMPUTED_VALUE"""),"2023-06-01-10202SP702-01")</f>
        <v>2023-06-01-10202SP702-01</v>
      </c>
      <c r="G4130" s="164" t="str">
        <f ca="1">IFERROR(__xludf.DUMMYFUNCTION("""COMPUTED_VALUE"""),"no plate available")</f>
        <v>no plate available</v>
      </c>
      <c r="H4130" s="164" t="str">
        <f ca="1">IFERROR(__xludf.DUMMYFUNCTION("""COMPUTED_VALUE"""),"MOHAMMAD Q. BALAWAG")</f>
        <v>MOHAMMAD Q. BALAWAG</v>
      </c>
      <c r="I4130" s="164" t="str">
        <f ca="1">IFERROR(__xludf.DUMMYFUNCTION("""COMPUTED_VALUE"""),"AO IV")</f>
        <v>AO IV</v>
      </c>
      <c r="J4130" s="164" t="str">
        <f ca="1">IFERROR(__xludf.DUMMYFUNCTION("""COMPUTED_VALUE"""),"2023-10-131")</f>
        <v>2023-10-131</v>
      </c>
      <c r="K4130" s="164" t="str">
        <f ca="1">IFERROR(__xludf.DUMMYFUNCTION("""COMPUTED_VALUE"""),"MOHAMMAD Q. BALAWAG")</f>
        <v>MOHAMMAD Q. BALAWAG</v>
      </c>
      <c r="L4130" s="164" t="str">
        <f ca="1">IFERROR(__xludf.DUMMYFUNCTION("""COMPUTED_VALUE"""),"DARPO")</f>
        <v>DARPO</v>
      </c>
      <c r="M4130" s="164" t="str">
        <f ca="1">IFERROR(__xludf.DUMMYFUNCTION("""COMPUTED_VALUE"""),"SERVICEABLE")</f>
        <v>SERVICEABLE</v>
      </c>
      <c r="N4130" s="164"/>
    </row>
    <row r="4131" spans="1:14" ht="13.2" hidden="1">
      <c r="A4131" s="164" t="str">
        <f ca="1">IFERROR(__xludf.DUMMYFUNCTION("""COMPUTED_VALUE"""),"REGION XII")</f>
        <v>REGION XII</v>
      </c>
      <c r="B4131" s="164" t="str">
        <f ca="1">IFERROR(__xludf.DUMMYFUNCTION("""COMPUTED_VALUE"""),"SULTAN KUDARAT")</f>
        <v>SULTAN KUDARAT</v>
      </c>
      <c r="C4131" s="164" t="str">
        <f ca="1">IFERROR(__xludf.DUMMYFUNCTION("""COMPUTED_VALUE"""),"Motorcycle – (Honda XRL 150)")</f>
        <v>Motorcycle – (Honda XRL 150)</v>
      </c>
      <c r="D4131" s="164" t="str">
        <f ca="1">IFERROR(__xludf.DUMMYFUNCTION("""COMPUTED_VALUE"""),"₱ 124,900.00")</f>
        <v>₱ 124,900.00</v>
      </c>
      <c r="E4131" s="164"/>
      <c r="F4131" s="164" t="str">
        <f ca="1">IFERROR(__xludf.DUMMYFUNCTION("""COMPUTED_VALUE"""),"2023-06-01-10202SP758-01")</f>
        <v>2023-06-01-10202SP758-01</v>
      </c>
      <c r="G4131" s="164" t="str">
        <f ca="1">IFERROR(__xludf.DUMMYFUNCTION("""COMPUTED_VALUE"""),"no plate available")</f>
        <v>no plate available</v>
      </c>
      <c r="H4131" s="164" t="str">
        <f ca="1">IFERROR(__xludf.DUMMYFUNCTION("""COMPUTED_VALUE"""),"MENARD CARL B. LIM")</f>
        <v>MENARD CARL B. LIM</v>
      </c>
      <c r="I4131" s="164" t="str">
        <f ca="1">IFERROR(__xludf.DUMMYFUNCTION("""COMPUTED_VALUE"""),"DRIVER")</f>
        <v>DRIVER</v>
      </c>
      <c r="J4131" s="164" t="str">
        <f ca="1">IFERROR(__xludf.DUMMYFUNCTION("""COMPUTED_VALUE"""),"2023-SPLIT-07-027")</f>
        <v>2023-SPLIT-07-027</v>
      </c>
      <c r="K4131" s="164" t="str">
        <f ca="1">IFERROR(__xludf.DUMMYFUNCTION("""COMPUTED_VALUE"""),"MENARD CARL B. LIM")</f>
        <v>MENARD CARL B. LIM</v>
      </c>
      <c r="L4131" s="164" t="str">
        <f ca="1">IFERROR(__xludf.DUMMYFUNCTION("""COMPUTED_VALUE"""),"STOD")</f>
        <v>STOD</v>
      </c>
      <c r="M4131" s="164" t="str">
        <f ca="1">IFERROR(__xludf.DUMMYFUNCTION("""COMPUTED_VALUE"""),"SERVICEABLE")</f>
        <v>SERVICEABLE</v>
      </c>
      <c r="N4131" s="164"/>
    </row>
    <row r="4132" spans="1:14" ht="13.2" hidden="1">
      <c r="A4132" s="164" t="str">
        <f ca="1">IFERROR(__xludf.DUMMYFUNCTION("""COMPUTED_VALUE"""),"REGION XII")</f>
        <v>REGION XII</v>
      </c>
      <c r="B4132" s="164" t="str">
        <f ca="1">IFERROR(__xludf.DUMMYFUNCTION("""COMPUTED_VALUE"""),"SULTAN KUDARAT")</f>
        <v>SULTAN KUDARAT</v>
      </c>
      <c r="C4132" s="164" t="str">
        <f ca="1">IFERROR(__xludf.DUMMYFUNCTION("""COMPUTED_VALUE"""),"Motorcycle – (Honda XRL 150)")</f>
        <v>Motorcycle – (Honda XRL 150)</v>
      </c>
      <c r="D4132" s="164" t="str">
        <f ca="1">IFERROR(__xludf.DUMMYFUNCTION("""COMPUTED_VALUE"""),"₱ 124,900.00")</f>
        <v>₱ 124,900.00</v>
      </c>
      <c r="E4132" s="164"/>
      <c r="F4132" s="164" t="str">
        <f ca="1">IFERROR(__xludf.DUMMYFUNCTION("""COMPUTED_VALUE"""),"2023-06-01-10202SP757-01")</f>
        <v>2023-06-01-10202SP757-01</v>
      </c>
      <c r="G4132" s="164" t="str">
        <f ca="1">IFERROR(__xludf.DUMMYFUNCTION("""COMPUTED_VALUE"""),"no plate available")</f>
        <v>no plate available</v>
      </c>
      <c r="H4132" s="164" t="str">
        <f ca="1">IFERROR(__xludf.DUMMYFUNCTION("""COMPUTED_VALUE"""),"ROSELYN V. AGUSTIN")</f>
        <v>ROSELYN V. AGUSTIN</v>
      </c>
      <c r="I4132" s="164" t="str">
        <f ca="1">IFERROR(__xludf.DUMMYFUNCTION("""COMPUTED_VALUE"""),"SARPT")</f>
        <v>SARPT</v>
      </c>
      <c r="J4132" s="164" t="str">
        <f ca="1">IFERROR(__xludf.DUMMYFUNCTION("""COMPUTED_VALUE"""),"2023-SPLIT-07-026")</f>
        <v>2023-SPLIT-07-026</v>
      </c>
      <c r="K4132" s="164" t="str">
        <f ca="1">IFERROR(__xludf.DUMMYFUNCTION("""COMPUTED_VALUE"""),"ROSELYN V. AGUSTIN")</f>
        <v>ROSELYN V. AGUSTIN</v>
      </c>
      <c r="L4132" s="164" t="str">
        <f ca="1">IFERROR(__xludf.DUMMYFUNCTION("""COMPUTED_VALUE"""),"STOD")</f>
        <v>STOD</v>
      </c>
      <c r="M4132" s="164" t="str">
        <f ca="1">IFERROR(__xludf.DUMMYFUNCTION("""COMPUTED_VALUE"""),"SERVICEABLE")</f>
        <v>SERVICEABLE</v>
      </c>
      <c r="N4132" s="164"/>
    </row>
    <row r="4133" spans="1:14" ht="13.2" hidden="1">
      <c r="A4133" s="164" t="str">
        <f ca="1">IFERROR(__xludf.DUMMYFUNCTION("""COMPUTED_VALUE"""),"REGION XII")</f>
        <v>REGION XII</v>
      </c>
      <c r="B4133" s="164" t="str">
        <f ca="1">IFERROR(__xludf.DUMMYFUNCTION("""COMPUTED_VALUE"""),"SULTAN KUDARAT")</f>
        <v>SULTAN KUDARAT</v>
      </c>
      <c r="C4133" s="164" t="str">
        <f ca="1">IFERROR(__xludf.DUMMYFUNCTION("""COMPUTED_VALUE"""),"Motorcycle – (Honda XRL 150)")</f>
        <v>Motorcycle – (Honda XRL 150)</v>
      </c>
      <c r="D4133" s="164" t="str">
        <f ca="1">IFERROR(__xludf.DUMMYFUNCTION("""COMPUTED_VALUE"""),"₱ 124,900.00")</f>
        <v>₱ 124,900.00</v>
      </c>
      <c r="E4133" s="164"/>
      <c r="F4133" s="164" t="str">
        <f ca="1">IFERROR(__xludf.DUMMYFUNCTION("""COMPUTED_VALUE"""),"2023-06-01-10202SP756-01")</f>
        <v>2023-06-01-10202SP756-01</v>
      </c>
      <c r="G4133" s="164" t="str">
        <f ca="1">IFERROR(__xludf.DUMMYFUNCTION("""COMPUTED_VALUE"""),"no plate available")</f>
        <v>no plate available</v>
      </c>
      <c r="H4133" s="164" t="str">
        <f ca="1">IFERROR(__xludf.DUMMYFUNCTION("""COMPUTED_VALUE"""),"MARCHELYN P. GANIT")</f>
        <v>MARCHELYN P. GANIT</v>
      </c>
      <c r="I4133" s="164" t="str">
        <f ca="1">IFERROR(__xludf.DUMMYFUNCTION("""COMPUTED_VALUE"""),"PLANNING OFFICER II")</f>
        <v>PLANNING OFFICER II</v>
      </c>
      <c r="J4133" s="164" t="str">
        <f ca="1">IFERROR(__xludf.DUMMYFUNCTION("""COMPUTED_VALUE"""),"2023-SPLIT-07-025")</f>
        <v>2023-SPLIT-07-025</v>
      </c>
      <c r="K4133" s="164" t="str">
        <f ca="1">IFERROR(__xludf.DUMMYFUNCTION("""COMPUTED_VALUE"""),"MARCHELYN P. GANIT")</f>
        <v>MARCHELYN P. GANIT</v>
      </c>
      <c r="L4133" s="164" t="str">
        <f ca="1">IFERROR(__xludf.DUMMYFUNCTION("""COMPUTED_VALUE"""),"STOD")</f>
        <v>STOD</v>
      </c>
      <c r="M4133" s="164" t="str">
        <f ca="1">IFERROR(__xludf.DUMMYFUNCTION("""COMPUTED_VALUE"""),"SERVICEABLE")</f>
        <v>SERVICEABLE</v>
      </c>
      <c r="N4133" s="164"/>
    </row>
    <row r="4134" spans="1:14" ht="13.2" hidden="1">
      <c r="A4134" s="164" t="str">
        <f ca="1">IFERROR(__xludf.DUMMYFUNCTION("""COMPUTED_VALUE"""),"REGION XII")</f>
        <v>REGION XII</v>
      </c>
      <c r="B4134" s="164" t="str">
        <f ca="1">IFERROR(__xludf.DUMMYFUNCTION("""COMPUTED_VALUE"""),"SULTAN KUDARAT")</f>
        <v>SULTAN KUDARAT</v>
      </c>
      <c r="C4134" s="164" t="str">
        <f ca="1">IFERROR(__xludf.DUMMYFUNCTION("""COMPUTED_VALUE"""),"Motorcycle – (Honda XRL 150)")</f>
        <v>Motorcycle – (Honda XRL 150)</v>
      </c>
      <c r="D4134" s="164" t="str">
        <f ca="1">IFERROR(__xludf.DUMMYFUNCTION("""COMPUTED_VALUE"""),"₱ 124,900.00")</f>
        <v>₱ 124,900.00</v>
      </c>
      <c r="E4134" s="164"/>
      <c r="F4134" s="164" t="str">
        <f ca="1">IFERROR(__xludf.DUMMYFUNCTION("""COMPUTED_VALUE"""),"2023-06-01-10202SP755-01")</f>
        <v>2023-06-01-10202SP755-01</v>
      </c>
      <c r="G4134" s="164" t="str">
        <f ca="1">IFERROR(__xludf.DUMMYFUNCTION("""COMPUTED_VALUE"""),"no plate available")</f>
        <v>no plate available</v>
      </c>
      <c r="H4134" s="164" t="str">
        <f ca="1">IFERROR(__xludf.DUMMYFUNCTION("""COMPUTED_VALUE"""),"ENGR. ELZEVIR F. PAGAYON")</f>
        <v>ENGR. ELZEVIR F. PAGAYON</v>
      </c>
      <c r="I4134" s="164" t="str">
        <f ca="1">IFERROR(__xludf.DUMMYFUNCTION("""COMPUTED_VALUE"""),"ENGINEER II")</f>
        <v>ENGINEER II</v>
      </c>
      <c r="J4134" s="164" t="str">
        <f ca="1">IFERROR(__xludf.DUMMYFUNCTION("""COMPUTED_VALUE"""),"2023-SPLIT-07-024")</f>
        <v>2023-SPLIT-07-024</v>
      </c>
      <c r="K4134" s="164" t="str">
        <f ca="1">IFERROR(__xludf.DUMMYFUNCTION("""COMPUTED_VALUE"""),"ENGR. ELZEVIR F. PAGAYON")</f>
        <v>ENGR. ELZEVIR F. PAGAYON</v>
      </c>
      <c r="L4134" s="164" t="str">
        <f ca="1">IFERROR(__xludf.DUMMYFUNCTION("""COMPUTED_VALUE"""),"STOD")</f>
        <v>STOD</v>
      </c>
      <c r="M4134" s="164" t="str">
        <f ca="1">IFERROR(__xludf.DUMMYFUNCTION("""COMPUTED_VALUE"""),"SERVICEABLE")</f>
        <v>SERVICEABLE</v>
      </c>
      <c r="N4134" s="164"/>
    </row>
    <row r="4135" spans="1:14" ht="13.2" hidden="1">
      <c r="A4135" s="164" t="str">
        <f ca="1">IFERROR(__xludf.DUMMYFUNCTION("""COMPUTED_VALUE"""),"REGION XII")</f>
        <v>REGION XII</v>
      </c>
      <c r="B4135" s="164" t="str">
        <f ca="1">IFERROR(__xludf.DUMMYFUNCTION("""COMPUTED_VALUE"""),"SULTAN KUDARAT")</f>
        <v>SULTAN KUDARAT</v>
      </c>
      <c r="C4135" s="164" t="str">
        <f ca="1">IFERROR(__xludf.DUMMYFUNCTION("""COMPUTED_VALUE"""),"Motorcycle – (Honda XRL 150)")</f>
        <v>Motorcycle – (Honda XRL 150)</v>
      </c>
      <c r="D4135" s="164" t="str">
        <f ca="1">IFERROR(__xludf.DUMMYFUNCTION("""COMPUTED_VALUE"""),"₱ 124,900.00")</f>
        <v>₱ 124,900.00</v>
      </c>
      <c r="E4135" s="164"/>
      <c r="F4135" s="164" t="str">
        <f ca="1">IFERROR(__xludf.DUMMYFUNCTION("""COMPUTED_VALUE"""),"2023-06-01-10202SP754-01")</f>
        <v>2023-06-01-10202SP754-01</v>
      </c>
      <c r="G4135" s="164" t="str">
        <f ca="1">IFERROR(__xludf.DUMMYFUNCTION("""COMPUTED_VALUE"""),"no plate available")</f>
        <v>no plate available</v>
      </c>
      <c r="H4135" s="164" t="str">
        <f ca="1">IFERROR(__xludf.DUMMYFUNCTION("""COMPUTED_VALUE"""),"JOSEPH ALVIN C. CONSTANTINOPLA")</f>
        <v>JOSEPH ALVIN C. CONSTANTINOPLA</v>
      </c>
      <c r="I4135" s="164" t="str">
        <f ca="1">IFERROR(__xludf.DUMMYFUNCTION("""COMPUTED_VALUE"""),"PLANNING OFFICER II")</f>
        <v>PLANNING OFFICER II</v>
      </c>
      <c r="J4135" s="164" t="str">
        <f ca="1">IFERROR(__xludf.DUMMYFUNCTION("""COMPUTED_VALUE"""),"2023-SPLIT-07-023")</f>
        <v>2023-SPLIT-07-023</v>
      </c>
      <c r="K4135" s="164" t="str">
        <f ca="1">IFERROR(__xludf.DUMMYFUNCTION("""COMPUTED_VALUE"""),"JOSEPH ALVIN C. CONSTANTINOPLA")</f>
        <v>JOSEPH ALVIN C. CONSTANTINOPLA</v>
      </c>
      <c r="L4135" s="164" t="str">
        <f ca="1">IFERROR(__xludf.DUMMYFUNCTION("""COMPUTED_VALUE"""),"STOD")</f>
        <v>STOD</v>
      </c>
      <c r="M4135" s="164" t="str">
        <f ca="1">IFERROR(__xludf.DUMMYFUNCTION("""COMPUTED_VALUE"""),"SERVICEABLE")</f>
        <v>SERVICEABLE</v>
      </c>
      <c r="N4135" s="164"/>
    </row>
    <row r="4136" spans="1:14" ht="13.2" hidden="1">
      <c r="A4136" s="164" t="str">
        <f ca="1">IFERROR(__xludf.DUMMYFUNCTION("""COMPUTED_VALUE"""),"REGION XII")</f>
        <v>REGION XII</v>
      </c>
      <c r="B4136" s="164" t="str">
        <f ca="1">IFERROR(__xludf.DUMMYFUNCTION("""COMPUTED_VALUE"""),"SULTAN KUDARAT")</f>
        <v>SULTAN KUDARAT</v>
      </c>
      <c r="C4136" s="164" t="str">
        <f ca="1">IFERROR(__xludf.DUMMYFUNCTION("""COMPUTED_VALUE"""),"Motorcycle – (Honda XRL 150)")</f>
        <v>Motorcycle – (Honda XRL 150)</v>
      </c>
      <c r="D4136" s="164" t="str">
        <f ca="1">IFERROR(__xludf.DUMMYFUNCTION("""COMPUTED_VALUE"""),"₱ 124,900.00")</f>
        <v>₱ 124,900.00</v>
      </c>
      <c r="E4136" s="164"/>
      <c r="F4136" s="164" t="str">
        <f ca="1">IFERROR(__xludf.DUMMYFUNCTION("""COMPUTED_VALUE"""),"2023-06-01-10202SP752-01")</f>
        <v>2023-06-01-10202SP752-01</v>
      </c>
      <c r="G4136" s="164" t="str">
        <f ca="1">IFERROR(__xludf.DUMMYFUNCTION("""COMPUTED_VALUE"""),"no plate available")</f>
        <v>no plate available</v>
      </c>
      <c r="H4136" s="164" t="str">
        <f ca="1">IFERROR(__xludf.DUMMYFUNCTION("""COMPUTED_VALUE"""),"JAN EDWARD D. VILLARDE")</f>
        <v>JAN EDWARD D. VILLARDE</v>
      </c>
      <c r="I4136" s="164" t="str">
        <f ca="1">IFERROR(__xludf.DUMMYFUNCTION("""COMPUTED_VALUE"""),"ARPT")</f>
        <v>ARPT</v>
      </c>
      <c r="J4136" s="164" t="str">
        <f ca="1">IFERROR(__xludf.DUMMYFUNCTION("""COMPUTED_VALUE"""),"2023-SPLIT-07-021")</f>
        <v>2023-SPLIT-07-021</v>
      </c>
      <c r="K4136" s="164" t="str">
        <f ca="1">IFERROR(__xludf.DUMMYFUNCTION("""COMPUTED_VALUE"""),"JAN EDWARD D. VILLARDE")</f>
        <v>JAN EDWARD D. VILLARDE</v>
      </c>
      <c r="L4136" s="164" t="str">
        <f ca="1">IFERROR(__xludf.DUMMYFUNCTION("""COMPUTED_VALUE"""),"STOD")</f>
        <v>STOD</v>
      </c>
      <c r="M4136" s="164" t="str">
        <f ca="1">IFERROR(__xludf.DUMMYFUNCTION("""COMPUTED_VALUE"""),"SERVICEABLE")</f>
        <v>SERVICEABLE</v>
      </c>
      <c r="N4136" s="164"/>
    </row>
    <row r="4137" spans="1:14" ht="13.2" hidden="1">
      <c r="A4137" s="164" t="str">
        <f ca="1">IFERROR(__xludf.DUMMYFUNCTION("""COMPUTED_VALUE"""),"REGION XII")</f>
        <v>REGION XII</v>
      </c>
      <c r="B4137" s="164" t="str">
        <f ca="1">IFERROR(__xludf.DUMMYFUNCTION("""COMPUTED_VALUE"""),"SULTAN KUDARAT")</f>
        <v>SULTAN KUDARAT</v>
      </c>
      <c r="C4137" s="164" t="str">
        <f ca="1">IFERROR(__xludf.DUMMYFUNCTION("""COMPUTED_VALUE"""),"Motorcycle – (Honda XRL 150)")</f>
        <v>Motorcycle – (Honda XRL 150)</v>
      </c>
      <c r="D4137" s="164" t="str">
        <f ca="1">IFERROR(__xludf.DUMMYFUNCTION("""COMPUTED_VALUE"""),"₱ 124,900.00")</f>
        <v>₱ 124,900.00</v>
      </c>
      <c r="E4137" s="164"/>
      <c r="F4137" s="164" t="str">
        <f ca="1">IFERROR(__xludf.DUMMYFUNCTION("""COMPUTED_VALUE"""),"2023-06-01-10202SP740-01")</f>
        <v>2023-06-01-10202SP740-01</v>
      </c>
      <c r="G4137" s="164" t="str">
        <f ca="1">IFERROR(__xludf.DUMMYFUNCTION("""COMPUTED_VALUE"""),"no plate available")</f>
        <v>no plate available</v>
      </c>
      <c r="H4137" s="164" t="str">
        <f ca="1">IFERROR(__xludf.DUMMYFUNCTION("""COMPUTED_VALUE"""),"SELLA GRACE E. MUSALI")</f>
        <v>SELLA GRACE E. MUSALI</v>
      </c>
      <c r="I4137" s="164" t="str">
        <f ca="1">IFERROR(__xludf.DUMMYFUNCTION("""COMPUTED_VALUE"""),"ARPT")</f>
        <v>ARPT</v>
      </c>
      <c r="J4137" s="164" t="str">
        <f ca="1">IFERROR(__xludf.DUMMYFUNCTION("""COMPUTED_VALUE"""),"2023-SPLIT-07-009")</f>
        <v>2023-SPLIT-07-009</v>
      </c>
      <c r="K4137" s="164" t="str">
        <f ca="1">IFERROR(__xludf.DUMMYFUNCTION("""COMPUTED_VALUE"""),"SELLA GRACE E. MUSALI")</f>
        <v>SELLA GRACE E. MUSALI</v>
      </c>
      <c r="L4137" s="164" t="str">
        <f ca="1">IFERROR(__xludf.DUMMYFUNCTION("""COMPUTED_VALUE"""),"PARPO II")</f>
        <v>PARPO II</v>
      </c>
      <c r="M4137" s="164" t="str">
        <f ca="1">IFERROR(__xludf.DUMMYFUNCTION("""COMPUTED_VALUE"""),"SERVICEABLE")</f>
        <v>SERVICEABLE</v>
      </c>
      <c r="N4137" s="164"/>
    </row>
    <row r="4138" spans="1:14" ht="13.2" hidden="1">
      <c r="A4138" s="164" t="str">
        <f ca="1">IFERROR(__xludf.DUMMYFUNCTION("""COMPUTED_VALUE"""),"REGION XII")</f>
        <v>REGION XII</v>
      </c>
      <c r="B4138" s="164" t="str">
        <f ca="1">IFERROR(__xludf.DUMMYFUNCTION("""COMPUTED_VALUE"""),"SULTAN KUDARAT")</f>
        <v>SULTAN KUDARAT</v>
      </c>
      <c r="C4138" s="164" t="str">
        <f ca="1">IFERROR(__xludf.DUMMYFUNCTION("""COMPUTED_VALUE"""),"Motorcycle – (Honda XRL 150)")</f>
        <v>Motorcycle – (Honda XRL 150)</v>
      </c>
      <c r="D4138" s="164" t="str">
        <f ca="1">IFERROR(__xludf.DUMMYFUNCTION("""COMPUTED_VALUE"""),"₱ 124,900.00")</f>
        <v>₱ 124,900.00</v>
      </c>
      <c r="E4138" s="164"/>
      <c r="F4138" s="164" t="str">
        <f ca="1">IFERROR(__xludf.DUMMYFUNCTION("""COMPUTED_VALUE"""),"2023-06-01-10202SP748-01")</f>
        <v>2023-06-01-10202SP748-01</v>
      </c>
      <c r="G4138" s="164" t="str">
        <f ca="1">IFERROR(__xludf.DUMMYFUNCTION("""COMPUTED_VALUE"""),"no plate available")</f>
        <v>no plate available</v>
      </c>
      <c r="H4138" s="164" t="str">
        <f ca="1">IFERROR(__xludf.DUMMYFUNCTION("""COMPUTED_VALUE"""),"JOSE G. HAPITAN III")</f>
        <v>JOSE G. HAPITAN III</v>
      </c>
      <c r="I4138" s="164" t="str">
        <f ca="1">IFERROR(__xludf.DUMMYFUNCTION("""COMPUTED_VALUE"""),"ARPT")</f>
        <v>ARPT</v>
      </c>
      <c r="J4138" s="164" t="str">
        <f ca="1">IFERROR(__xludf.DUMMYFUNCTION("""COMPUTED_VALUE"""),"2023-SPLIT-07-017")</f>
        <v>2023-SPLIT-07-017</v>
      </c>
      <c r="K4138" s="164" t="str">
        <f ca="1">IFERROR(__xludf.DUMMYFUNCTION("""COMPUTED_VALUE"""),"JOSE G. HAPITAN III")</f>
        <v>JOSE G. HAPITAN III</v>
      </c>
      <c r="L4138" s="164" t="str">
        <f ca="1">IFERROR(__xludf.DUMMYFUNCTION("""COMPUTED_VALUE"""),"LTSP")</f>
        <v>LTSP</v>
      </c>
      <c r="M4138" s="164" t="str">
        <f ca="1">IFERROR(__xludf.DUMMYFUNCTION("""COMPUTED_VALUE"""),"SERVICEABLE")</f>
        <v>SERVICEABLE</v>
      </c>
      <c r="N4138" s="164"/>
    </row>
    <row r="4139" spans="1:14" ht="13.2" hidden="1">
      <c r="A4139" s="164" t="str">
        <f ca="1">IFERROR(__xludf.DUMMYFUNCTION("""COMPUTED_VALUE"""),"REGION XII")</f>
        <v>REGION XII</v>
      </c>
      <c r="B4139" s="164" t="str">
        <f ca="1">IFERROR(__xludf.DUMMYFUNCTION("""COMPUTED_VALUE"""),"SULTAN KUDARAT")</f>
        <v>SULTAN KUDARAT</v>
      </c>
      <c r="C4139" s="164" t="str">
        <f ca="1">IFERROR(__xludf.DUMMYFUNCTION("""COMPUTED_VALUE"""),"Motorcycle – (Honda XRL 150)")</f>
        <v>Motorcycle – (Honda XRL 150)</v>
      </c>
      <c r="D4139" s="164" t="str">
        <f ca="1">IFERROR(__xludf.DUMMYFUNCTION("""COMPUTED_VALUE"""),"₱ 124,900.00")</f>
        <v>₱ 124,900.00</v>
      </c>
      <c r="E4139" s="164"/>
      <c r="F4139" s="164" t="str">
        <f ca="1">IFERROR(__xludf.DUMMYFUNCTION("""COMPUTED_VALUE"""),"2023-06-01-10202SP733-01")</f>
        <v>2023-06-01-10202SP733-01</v>
      </c>
      <c r="G4139" s="164" t="str">
        <f ca="1">IFERROR(__xludf.DUMMYFUNCTION("""COMPUTED_VALUE"""),"no plate available")</f>
        <v>no plate available</v>
      </c>
      <c r="H4139" s="164" t="str">
        <f ca="1">IFERROR(__xludf.DUMMYFUNCTION("""COMPUTED_VALUE"""),"RASHIDA A. ARUMPAC")</f>
        <v>RASHIDA A. ARUMPAC</v>
      </c>
      <c r="I4139" s="164" t="str">
        <f ca="1">IFERROR(__xludf.DUMMYFUNCTION("""COMPUTED_VALUE"""),"ARPO II")</f>
        <v>ARPO II</v>
      </c>
      <c r="J4139" s="164" t="str">
        <f ca="1">IFERROR(__xludf.DUMMYFUNCTION("""COMPUTED_VALUE"""),"2023-SPLIT-07-002")</f>
        <v>2023-SPLIT-07-002</v>
      </c>
      <c r="K4139" s="164" t="str">
        <f ca="1">IFERROR(__xludf.DUMMYFUNCTION("""COMPUTED_VALUE"""),"RASHIDA A. ARUMPAC")</f>
        <v>RASHIDA A. ARUMPAC</v>
      </c>
      <c r="L4139" s="164" t="str">
        <f ca="1">IFERROR(__xludf.DUMMYFUNCTION("""COMPUTED_VALUE"""),"STOD")</f>
        <v>STOD</v>
      </c>
      <c r="M4139" s="164" t="str">
        <f ca="1">IFERROR(__xludf.DUMMYFUNCTION("""COMPUTED_VALUE"""),"SERVICEABLE")</f>
        <v>SERVICEABLE</v>
      </c>
      <c r="N4139" s="164"/>
    </row>
    <row r="4140" spans="1:14" ht="13.2" hidden="1">
      <c r="A4140" s="164" t="str">
        <f ca="1">IFERROR(__xludf.DUMMYFUNCTION("""COMPUTED_VALUE"""),"REGION XII")</f>
        <v>REGION XII</v>
      </c>
      <c r="B4140" s="164" t="str">
        <f ca="1">IFERROR(__xludf.DUMMYFUNCTION("""COMPUTED_VALUE"""),"SULTAN KUDARAT")</f>
        <v>SULTAN KUDARAT</v>
      </c>
      <c r="C4140" s="164" t="str">
        <f ca="1">IFERROR(__xludf.DUMMYFUNCTION("""COMPUTED_VALUE"""),"Motorcycle – (Honda XRL 150)")</f>
        <v>Motorcycle – (Honda XRL 150)</v>
      </c>
      <c r="D4140" s="164" t="str">
        <f ca="1">IFERROR(__xludf.DUMMYFUNCTION("""COMPUTED_VALUE"""),"₱ 124,900.00")</f>
        <v>₱ 124,900.00</v>
      </c>
      <c r="E4140" s="164"/>
      <c r="F4140" s="164" t="str">
        <f ca="1">IFERROR(__xludf.DUMMYFUNCTION("""COMPUTED_VALUE"""),"2023-06-01-10202SP732-01")</f>
        <v>2023-06-01-10202SP732-01</v>
      </c>
      <c r="G4140" s="164" t="str">
        <f ca="1">IFERROR(__xludf.DUMMYFUNCTION("""COMPUTED_VALUE"""),"no plate available")</f>
        <v>no plate available</v>
      </c>
      <c r="H4140" s="164" t="str">
        <f ca="1">IFERROR(__xludf.DUMMYFUNCTION("""COMPUTED_VALUE"""),"MISTY ROSE T. NGADAO")</f>
        <v>MISTY ROSE T. NGADAO</v>
      </c>
      <c r="I4140" s="164" t="str">
        <f ca="1">IFERROR(__xludf.DUMMYFUNCTION("""COMPUTED_VALUE"""),"ARPO II")</f>
        <v>ARPO II</v>
      </c>
      <c r="J4140" s="164" t="str">
        <f ca="1">IFERROR(__xludf.DUMMYFUNCTION("""COMPUTED_VALUE"""),"2023-SPLIT-07-001")</f>
        <v>2023-SPLIT-07-001</v>
      </c>
      <c r="K4140" s="164" t="str">
        <f ca="1">IFERROR(__xludf.DUMMYFUNCTION("""COMPUTED_VALUE"""),"MISTY ROSE T. NGADAO")</f>
        <v>MISTY ROSE T. NGADAO</v>
      </c>
      <c r="L4140" s="164" t="str">
        <f ca="1">IFERROR(__xludf.DUMMYFUNCTION("""COMPUTED_VALUE"""),"LTSP")</f>
        <v>LTSP</v>
      </c>
      <c r="M4140" s="164" t="str">
        <f ca="1">IFERROR(__xludf.DUMMYFUNCTION("""COMPUTED_VALUE"""),"SERVICEABLE")</f>
        <v>SERVICEABLE</v>
      </c>
      <c r="N4140" s="164"/>
    </row>
    <row r="4141" spans="1:14" ht="13.2" hidden="1">
      <c r="A4141" s="164" t="str">
        <f ca="1">IFERROR(__xludf.DUMMYFUNCTION("""COMPUTED_VALUE"""),"REGION XII")</f>
        <v>REGION XII</v>
      </c>
      <c r="B4141" s="164" t="str">
        <f ca="1">IFERROR(__xludf.DUMMYFUNCTION("""COMPUTED_VALUE"""),"SULTAN KUDARAT")</f>
        <v>SULTAN KUDARAT</v>
      </c>
      <c r="C4141" s="164" t="str">
        <f ca="1">IFERROR(__xludf.DUMMYFUNCTION("""COMPUTED_VALUE"""),"Motorcycle – (Honda XRL 150)")</f>
        <v>Motorcycle – (Honda XRL 150)</v>
      </c>
      <c r="D4141" s="164" t="str">
        <f ca="1">IFERROR(__xludf.DUMMYFUNCTION("""COMPUTED_VALUE"""),"₱ 124,900.00")</f>
        <v>₱ 124,900.00</v>
      </c>
      <c r="E4141" s="164"/>
      <c r="F4141" s="164" t="str">
        <f ca="1">IFERROR(__xludf.DUMMYFUNCTION("""COMPUTED_VALUE"""),"2023-06-01-10202SP737-01")</f>
        <v>2023-06-01-10202SP737-01</v>
      </c>
      <c r="G4141" s="164" t="str">
        <f ca="1">IFERROR(__xludf.DUMMYFUNCTION("""COMPUTED_VALUE"""),"no plate available")</f>
        <v>no plate available</v>
      </c>
      <c r="H4141" s="164" t="str">
        <f ca="1">IFERROR(__xludf.DUMMYFUNCTION("""COMPUTED_VALUE"""),"JAY H. EMBAJADOR")</f>
        <v>JAY H. EMBAJADOR</v>
      </c>
      <c r="I4141" s="164" t="str">
        <f ca="1">IFERROR(__xludf.DUMMYFUNCTION("""COMPUTED_VALUE"""),"ARPO II")</f>
        <v>ARPO II</v>
      </c>
      <c r="J4141" s="164" t="str">
        <f ca="1">IFERROR(__xludf.DUMMYFUNCTION("""COMPUTED_VALUE"""),"2023-SPLIT-07-006")</f>
        <v>2023-SPLIT-07-006</v>
      </c>
      <c r="K4141" s="164" t="str">
        <f ca="1">IFERROR(__xludf.DUMMYFUNCTION("""COMPUTED_VALUE"""),"JAY H. EMBAJADOR")</f>
        <v>JAY H. EMBAJADOR</v>
      </c>
      <c r="L4141" s="164" t="str">
        <f ca="1">IFERROR(__xludf.DUMMYFUNCTION("""COMPUTED_VALUE"""),"STOD")</f>
        <v>STOD</v>
      </c>
      <c r="M4141" s="164" t="str">
        <f ca="1">IFERROR(__xludf.DUMMYFUNCTION("""COMPUTED_VALUE"""),"SERVICEABLE")</f>
        <v>SERVICEABLE</v>
      </c>
      <c r="N4141" s="164"/>
    </row>
    <row r="4142" spans="1:14" ht="13.2" hidden="1">
      <c r="A4142" s="164" t="str">
        <f ca="1">IFERROR(__xludf.DUMMYFUNCTION("""COMPUTED_VALUE"""),"REGION XII")</f>
        <v>REGION XII</v>
      </c>
      <c r="B4142" s="164" t="str">
        <f ca="1">IFERROR(__xludf.DUMMYFUNCTION("""COMPUTED_VALUE"""),"SULTAN KUDARAT")</f>
        <v>SULTAN KUDARAT</v>
      </c>
      <c r="C4142" s="164" t="str">
        <f ca="1">IFERROR(__xludf.DUMMYFUNCTION("""COMPUTED_VALUE"""),"Motorcycle – (Honda XRL 150)")</f>
        <v>Motorcycle – (Honda XRL 150)</v>
      </c>
      <c r="D4142" s="164" t="str">
        <f ca="1">IFERROR(__xludf.DUMMYFUNCTION("""COMPUTED_VALUE"""),"₱ 124,900.00")</f>
        <v>₱ 124,900.00</v>
      </c>
      <c r="E4142" s="164"/>
      <c r="F4142" s="164" t="str">
        <f ca="1">IFERROR(__xludf.DUMMYFUNCTION("""COMPUTED_VALUE"""),"2023-06-01-10202SP749-01")</f>
        <v>2023-06-01-10202SP749-01</v>
      </c>
      <c r="G4142" s="164" t="str">
        <f ca="1">IFERROR(__xludf.DUMMYFUNCTION("""COMPUTED_VALUE"""),"no plate available")</f>
        <v>no plate available</v>
      </c>
      <c r="H4142" s="164" t="str">
        <f ca="1">IFERROR(__xludf.DUMMYFUNCTION("""COMPUTED_VALUE"""),"RUEL M. ESPAÑOL")</f>
        <v>RUEL M. ESPAÑOL</v>
      </c>
      <c r="I4142" s="164" t="str">
        <f ca="1">IFERROR(__xludf.DUMMYFUNCTION("""COMPUTED_VALUE"""),"ARPT")</f>
        <v>ARPT</v>
      </c>
      <c r="J4142" s="164" t="str">
        <f ca="1">IFERROR(__xludf.DUMMYFUNCTION("""COMPUTED_VALUE"""),"2023-SPLIT-07-018")</f>
        <v>2023-SPLIT-07-018</v>
      </c>
      <c r="K4142" s="164" t="str">
        <f ca="1">IFERROR(__xludf.DUMMYFUNCTION("""COMPUTED_VALUE"""),"RUEL M. ESPAÑOL")</f>
        <v>RUEL M. ESPAÑOL</v>
      </c>
      <c r="L4142" s="164" t="str">
        <f ca="1">IFERROR(__xludf.DUMMYFUNCTION("""COMPUTED_VALUE"""),"DARMO-SNA")</f>
        <v>DARMO-SNA</v>
      </c>
      <c r="M4142" s="164" t="str">
        <f ca="1">IFERROR(__xludf.DUMMYFUNCTION("""COMPUTED_VALUE"""),"SERVICEABLE")</f>
        <v>SERVICEABLE</v>
      </c>
      <c r="N4142" s="164"/>
    </row>
    <row r="4143" spans="1:14" ht="13.2" hidden="1">
      <c r="A4143" s="164" t="str">
        <f ca="1">IFERROR(__xludf.DUMMYFUNCTION("""COMPUTED_VALUE"""),"REGION XII")</f>
        <v>REGION XII</v>
      </c>
      <c r="B4143" s="164" t="str">
        <f ca="1">IFERROR(__xludf.DUMMYFUNCTION("""COMPUTED_VALUE"""),"SULTAN KUDARAT")</f>
        <v>SULTAN KUDARAT</v>
      </c>
      <c r="C4143" s="164" t="str">
        <f ca="1">IFERROR(__xludf.DUMMYFUNCTION("""COMPUTED_VALUE"""),"Motorcycle – (Honda XRL 150)")</f>
        <v>Motorcycle – (Honda XRL 150)</v>
      </c>
      <c r="D4143" s="164" t="str">
        <f ca="1">IFERROR(__xludf.DUMMYFUNCTION("""COMPUTED_VALUE"""),"₱ 124,900.00")</f>
        <v>₱ 124,900.00</v>
      </c>
      <c r="E4143" s="164"/>
      <c r="F4143" s="164" t="str">
        <f ca="1">IFERROR(__xludf.DUMMYFUNCTION("""COMPUTED_VALUE"""),"2023-06-01-10202SP734-01")</f>
        <v>2023-06-01-10202SP734-01</v>
      </c>
      <c r="G4143" s="164" t="str">
        <f ca="1">IFERROR(__xludf.DUMMYFUNCTION("""COMPUTED_VALUE"""),"no plate available")</f>
        <v>no plate available</v>
      </c>
      <c r="H4143" s="164" t="str">
        <f ca="1">IFERROR(__xludf.DUMMYFUNCTION("""COMPUTED_VALUE"""),"MENARD CARL B. LIM")</f>
        <v>MENARD CARL B. LIM</v>
      </c>
      <c r="I4143" s="164" t="str">
        <f ca="1">IFERROR(__xludf.DUMMYFUNCTION("""COMPUTED_VALUE"""),"AO III (CASHIER II)")</f>
        <v>AO III (CASHIER II)</v>
      </c>
      <c r="J4143" s="164" t="str">
        <f ca="1">IFERROR(__xludf.DUMMYFUNCTION("""COMPUTED_VALUE"""),"2023-SPLIT-07-003")</f>
        <v>2023-SPLIT-07-003</v>
      </c>
      <c r="K4143" s="164" t="str">
        <f ca="1">IFERROR(__xludf.DUMMYFUNCTION("""COMPUTED_VALUE"""),"EILEEN S. LLARENAS")</f>
        <v>EILEEN S. LLARENAS</v>
      </c>
      <c r="L4143" s="164" t="str">
        <f ca="1">IFERROR(__xludf.DUMMYFUNCTION("""COMPUTED_VALUE"""),"DARMO-COLUMBIO")</f>
        <v>DARMO-COLUMBIO</v>
      </c>
      <c r="M4143" s="164" t="str">
        <f ca="1">IFERROR(__xludf.DUMMYFUNCTION("""COMPUTED_VALUE"""),"SERVICEABLE")</f>
        <v>SERVICEABLE</v>
      </c>
      <c r="N4143" s="164"/>
    </row>
    <row r="4144" spans="1:14" ht="13.2" hidden="1">
      <c r="A4144" s="164" t="str">
        <f ca="1">IFERROR(__xludf.DUMMYFUNCTION("""COMPUTED_VALUE"""),"REGION XII")</f>
        <v>REGION XII</v>
      </c>
      <c r="B4144" s="164" t="str">
        <f ca="1">IFERROR(__xludf.DUMMYFUNCTION("""COMPUTED_VALUE"""),"SULTAN KUDARAT")</f>
        <v>SULTAN KUDARAT</v>
      </c>
      <c r="C4144" s="164" t="str">
        <f ca="1">IFERROR(__xludf.DUMMYFUNCTION("""COMPUTED_VALUE"""),"Motorcycle – (Honda XRL 150)")</f>
        <v>Motorcycle – (Honda XRL 150)</v>
      </c>
      <c r="D4144" s="164" t="str">
        <f ca="1">IFERROR(__xludf.DUMMYFUNCTION("""COMPUTED_VALUE"""),"₱ 124,900.00")</f>
        <v>₱ 124,900.00</v>
      </c>
      <c r="E4144" s="164"/>
      <c r="F4144" s="164" t="str">
        <f ca="1">IFERROR(__xludf.DUMMYFUNCTION("""COMPUTED_VALUE"""),"2023-06-01-10202SP744-01")</f>
        <v>2023-06-01-10202SP744-01</v>
      </c>
      <c r="G4144" s="164" t="str">
        <f ca="1">IFERROR(__xludf.DUMMYFUNCTION("""COMPUTED_VALUE"""),"no plate available")</f>
        <v>no plate available</v>
      </c>
      <c r="H4144" s="164" t="str">
        <f ca="1">IFERROR(__xludf.DUMMYFUNCTION("""COMPUTED_VALUE"""),"ROSELYN V. AGUSTIN")</f>
        <v>ROSELYN V. AGUSTIN</v>
      </c>
      <c r="I4144" s="164" t="str">
        <f ca="1">IFERROR(__xludf.DUMMYFUNCTION("""COMPUTED_VALUE"""),"ARPO I")</f>
        <v>ARPO I</v>
      </c>
      <c r="J4144" s="164" t="str">
        <f ca="1">IFERROR(__xludf.DUMMYFUNCTION("""COMPUTED_VALUE"""),"2023-SPLIT-07-013")</f>
        <v>2023-SPLIT-07-013</v>
      </c>
      <c r="K4144" s="164" t="str">
        <f ca="1">IFERROR(__xludf.DUMMYFUNCTION("""COMPUTED_VALUE"""),"NORAISA T. UMPA")</f>
        <v>NORAISA T. UMPA</v>
      </c>
      <c r="L4144" s="164" t="str">
        <f ca="1">IFERROR(__xludf.DUMMYFUNCTION("""COMPUTED_VALUE"""),"DARMO-PALIMBANG")</f>
        <v>DARMO-PALIMBANG</v>
      </c>
      <c r="M4144" s="164" t="str">
        <f ca="1">IFERROR(__xludf.DUMMYFUNCTION("""COMPUTED_VALUE"""),"SERVICEABLE")</f>
        <v>SERVICEABLE</v>
      </c>
      <c r="N4144" s="164"/>
    </row>
    <row r="4145" spans="1:14" ht="13.2" hidden="1">
      <c r="A4145" s="164" t="str">
        <f ca="1">IFERROR(__xludf.DUMMYFUNCTION("""COMPUTED_VALUE"""),"REGION XII")</f>
        <v>REGION XII</v>
      </c>
      <c r="B4145" s="164" t="str">
        <f ca="1">IFERROR(__xludf.DUMMYFUNCTION("""COMPUTED_VALUE"""),"SULTAN KUDARAT")</f>
        <v>SULTAN KUDARAT</v>
      </c>
      <c r="C4145" s="164" t="str">
        <f ca="1">IFERROR(__xludf.DUMMYFUNCTION("""COMPUTED_VALUE"""),"Motorcycle – (Honda XRL 150)")</f>
        <v>Motorcycle – (Honda XRL 150)</v>
      </c>
      <c r="D4145" s="164" t="str">
        <f ca="1">IFERROR(__xludf.DUMMYFUNCTION("""COMPUTED_VALUE"""),"₱ 124,900.00")</f>
        <v>₱ 124,900.00</v>
      </c>
      <c r="E4145" s="164"/>
      <c r="F4145" s="164" t="str">
        <f ca="1">IFERROR(__xludf.DUMMYFUNCTION("""COMPUTED_VALUE"""),"2023-06-01-10202SP738-01")</f>
        <v>2023-06-01-10202SP738-01</v>
      </c>
      <c r="G4145" s="164" t="str">
        <f ca="1">IFERROR(__xludf.DUMMYFUNCTION("""COMPUTED_VALUE"""),"no plate available")</f>
        <v>no plate available</v>
      </c>
      <c r="H4145" s="164" t="str">
        <f ca="1">IFERROR(__xludf.DUMMYFUNCTION("""COMPUTED_VALUE"""),"MARCHELYN P. GANIT")</f>
        <v>MARCHELYN P. GANIT</v>
      </c>
      <c r="I4145" s="164" t="str">
        <f ca="1">IFERROR(__xludf.DUMMYFUNCTION("""COMPUTED_VALUE"""),"SARPT")</f>
        <v>SARPT</v>
      </c>
      <c r="J4145" s="164" t="str">
        <f ca="1">IFERROR(__xludf.DUMMYFUNCTION("""COMPUTED_VALUE"""),"2023-SPLIT-07-007")</f>
        <v>2023-SPLIT-07-007</v>
      </c>
      <c r="K4145" s="164" t="str">
        <f ca="1">IFERROR(__xludf.DUMMYFUNCTION("""COMPUTED_VALUE"""),"MARIA RHODA R. VICTORIO")</f>
        <v>MARIA RHODA R. VICTORIO</v>
      </c>
      <c r="L4145" s="164" t="str">
        <f ca="1">IFERROR(__xludf.DUMMYFUNCTION("""COMPUTED_VALUE"""),"PARPO II")</f>
        <v>PARPO II</v>
      </c>
      <c r="M4145" s="164" t="str">
        <f ca="1">IFERROR(__xludf.DUMMYFUNCTION("""COMPUTED_VALUE"""),"SERVICEABLE")</f>
        <v>SERVICEABLE</v>
      </c>
      <c r="N4145" s="164"/>
    </row>
    <row r="4146" spans="1:14" ht="13.2" hidden="1">
      <c r="A4146" s="164" t="str">
        <f ca="1">IFERROR(__xludf.DUMMYFUNCTION("""COMPUTED_VALUE"""),"REGION XII")</f>
        <v>REGION XII</v>
      </c>
      <c r="B4146" s="164" t="str">
        <f ca="1">IFERROR(__xludf.DUMMYFUNCTION("""COMPUTED_VALUE"""),"SULTAN KUDARAT")</f>
        <v>SULTAN KUDARAT</v>
      </c>
      <c r="C4146" s="164" t="str">
        <f ca="1">IFERROR(__xludf.DUMMYFUNCTION("""COMPUTED_VALUE"""),"Motorcycle – (Honda XRL 150)")</f>
        <v>Motorcycle – (Honda XRL 150)</v>
      </c>
      <c r="D4146" s="164" t="str">
        <f ca="1">IFERROR(__xludf.DUMMYFUNCTION("""COMPUTED_VALUE"""),"₱ 124,900.00")</f>
        <v>₱ 124,900.00</v>
      </c>
      <c r="E4146" s="164"/>
      <c r="F4146" s="164" t="str">
        <f ca="1">IFERROR(__xludf.DUMMYFUNCTION("""COMPUTED_VALUE"""),"2023-06-01-10202SP736-01")</f>
        <v>2023-06-01-10202SP736-01</v>
      </c>
      <c r="G4146" s="164" t="str">
        <f ca="1">IFERROR(__xludf.DUMMYFUNCTION("""COMPUTED_VALUE"""),"no plate available")</f>
        <v>no plate available</v>
      </c>
      <c r="H4146" s="164" t="str">
        <f ca="1">IFERROR(__xludf.DUMMYFUNCTION("""COMPUTED_VALUE"""),"ENGR. ELZEVIR F. PAGAYON")</f>
        <v>ENGR. ELZEVIR F. PAGAYON</v>
      </c>
      <c r="I4146" s="164" t="str">
        <f ca="1">IFERROR(__xludf.DUMMYFUNCTION("""COMPUTED_VALUE"""),"ARPT")</f>
        <v>ARPT</v>
      </c>
      <c r="J4146" s="164" t="str">
        <f ca="1">IFERROR(__xludf.DUMMYFUNCTION("""COMPUTED_VALUE"""),"2023-SPLIT-07-005")</f>
        <v>2023-SPLIT-07-005</v>
      </c>
      <c r="K4146" s="164" t="str">
        <f ca="1">IFERROR(__xludf.DUMMYFUNCTION("""COMPUTED_VALUE"""),"AZMIE NORHAN M. BINANGON")</f>
        <v>AZMIE NORHAN M. BINANGON</v>
      </c>
      <c r="L4146" s="164" t="str">
        <f ca="1">IFERROR(__xludf.DUMMYFUNCTION("""COMPUTED_VALUE"""),"PARPO II")</f>
        <v>PARPO II</v>
      </c>
      <c r="M4146" s="164" t="str">
        <f ca="1">IFERROR(__xludf.DUMMYFUNCTION("""COMPUTED_VALUE"""),"SERVICEABLE")</f>
        <v>SERVICEABLE</v>
      </c>
      <c r="N4146" s="164"/>
    </row>
    <row r="4147" spans="1:14" ht="13.2" hidden="1">
      <c r="A4147" s="164" t="str">
        <f ca="1">IFERROR(__xludf.DUMMYFUNCTION("""COMPUTED_VALUE"""),"REGION XII")</f>
        <v>REGION XII</v>
      </c>
      <c r="B4147" s="164" t="str">
        <f ca="1">IFERROR(__xludf.DUMMYFUNCTION("""COMPUTED_VALUE"""),"SULTAN KUDARAT")</f>
        <v>SULTAN KUDARAT</v>
      </c>
      <c r="C4147" s="164" t="str">
        <f ca="1">IFERROR(__xludf.DUMMYFUNCTION("""COMPUTED_VALUE"""),"Motorcycle – (Honda XRL 150)")</f>
        <v>Motorcycle – (Honda XRL 150)</v>
      </c>
      <c r="D4147" s="164" t="str">
        <f ca="1">IFERROR(__xludf.DUMMYFUNCTION("""COMPUTED_VALUE"""),"₱ 124,900.00")</f>
        <v>₱ 124,900.00</v>
      </c>
      <c r="E4147" s="164"/>
      <c r="F4147" s="164" t="str">
        <f ca="1">IFERROR(__xludf.DUMMYFUNCTION("""COMPUTED_VALUE"""),"2023-06-01-10202SP741-01")</f>
        <v>2023-06-01-10202SP741-01</v>
      </c>
      <c r="G4147" s="164" t="str">
        <f ca="1">IFERROR(__xludf.DUMMYFUNCTION("""COMPUTED_VALUE"""),"no plate available")</f>
        <v>no plate available</v>
      </c>
      <c r="H4147" s="164" t="str">
        <f ca="1">IFERROR(__xludf.DUMMYFUNCTION("""COMPUTED_VALUE"""),"JOSEPH ALVIN C. CONSTANTINOPLA")</f>
        <v>JOSEPH ALVIN C. CONSTANTINOPLA</v>
      </c>
      <c r="I4147" s="164" t="str">
        <f ca="1">IFERROR(__xludf.DUMMYFUNCTION("""COMPUTED_VALUE"""),"SARPT")</f>
        <v>SARPT</v>
      </c>
      <c r="J4147" s="164" t="str">
        <f ca="1">IFERROR(__xludf.DUMMYFUNCTION("""COMPUTED_VALUE"""),"2023-SPLIT-07-010")</f>
        <v>2023-SPLIT-07-010</v>
      </c>
      <c r="K4147" s="164" t="str">
        <f ca="1">IFERROR(__xludf.DUMMYFUNCTION("""COMPUTED_VALUE"""),"SELLA GRACE E. MUSALI")</f>
        <v>SELLA GRACE E. MUSALI</v>
      </c>
      <c r="L4147" s="164" t="str">
        <f ca="1">IFERROR(__xludf.DUMMYFUNCTION("""COMPUTED_VALUE"""),"LEGAL")</f>
        <v>LEGAL</v>
      </c>
      <c r="M4147" s="164" t="str">
        <f ca="1">IFERROR(__xludf.DUMMYFUNCTION("""COMPUTED_VALUE"""),"SERVICEABLE")</f>
        <v>SERVICEABLE</v>
      </c>
      <c r="N4147" s="164"/>
    </row>
    <row r="4148" spans="1:14" ht="13.2" hidden="1">
      <c r="A4148" s="164" t="str">
        <f ca="1">IFERROR(__xludf.DUMMYFUNCTION("""COMPUTED_VALUE"""),"REGION XII")</f>
        <v>REGION XII</v>
      </c>
      <c r="B4148" s="164" t="str">
        <f ca="1">IFERROR(__xludf.DUMMYFUNCTION("""COMPUTED_VALUE"""),"SULTAN KUDARAT")</f>
        <v>SULTAN KUDARAT</v>
      </c>
      <c r="C4148" s="164" t="str">
        <f ca="1">IFERROR(__xludf.DUMMYFUNCTION("""COMPUTED_VALUE"""),"Motorcycle – (Honda XRL 150)")</f>
        <v>Motorcycle – (Honda XRL 150)</v>
      </c>
      <c r="D4148" s="164" t="str">
        <f ca="1">IFERROR(__xludf.DUMMYFUNCTION("""COMPUTED_VALUE"""),"₱ 124,900.00")</f>
        <v>₱ 124,900.00</v>
      </c>
      <c r="E4148" s="164"/>
      <c r="F4148" s="164" t="str">
        <f ca="1">IFERROR(__xludf.DUMMYFUNCTION("""COMPUTED_VALUE"""),"2023-06-01-10202SP743-01")</f>
        <v>2023-06-01-10202SP743-01</v>
      </c>
      <c r="G4148" s="164" t="str">
        <f ca="1">IFERROR(__xludf.DUMMYFUNCTION("""COMPUTED_VALUE"""),"no plate available")</f>
        <v>no plate available</v>
      </c>
      <c r="H4148" s="164" t="str">
        <f ca="1">IFERROR(__xludf.DUMMYFUNCTION("""COMPUTED_VALUE"""),"JAN EDWARD D. VILLARDE")</f>
        <v>JAN EDWARD D. VILLARDE</v>
      </c>
      <c r="I4148" s="164" t="str">
        <f ca="1">IFERROR(__xludf.DUMMYFUNCTION("""COMPUTED_VALUE"""),"SARPT")</f>
        <v>SARPT</v>
      </c>
      <c r="J4148" s="164" t="str">
        <f ca="1">IFERROR(__xludf.DUMMYFUNCTION("""COMPUTED_VALUE"""),"2023-SPLIT-07-012")</f>
        <v>2023-SPLIT-07-012</v>
      </c>
      <c r="K4148" s="164" t="str">
        <f ca="1">IFERROR(__xludf.DUMMYFUNCTION("""COMPUTED_VALUE"""),"SYLVIA M. SALARZA")</f>
        <v>SYLVIA M. SALARZA</v>
      </c>
      <c r="L4148" s="164" t="str">
        <f ca="1">IFERROR(__xludf.DUMMYFUNCTION("""COMPUTED_VALUE"""),"DARMO-PALIMBANG")</f>
        <v>DARMO-PALIMBANG</v>
      </c>
      <c r="M4148" s="164" t="str">
        <f ca="1">IFERROR(__xludf.DUMMYFUNCTION("""COMPUTED_VALUE"""),"SERVICEABLE")</f>
        <v>SERVICEABLE</v>
      </c>
      <c r="N4148" s="164"/>
    </row>
    <row r="4149" spans="1:14" ht="13.2" hidden="1">
      <c r="A4149" s="164" t="str">
        <f ca="1">IFERROR(__xludf.DUMMYFUNCTION("""COMPUTED_VALUE"""),"REGION XII")</f>
        <v>REGION XII</v>
      </c>
      <c r="B4149" s="164" t="str">
        <f ca="1">IFERROR(__xludf.DUMMYFUNCTION("""COMPUTED_VALUE"""),"SULTAN KUDARAT")</f>
        <v>SULTAN KUDARAT</v>
      </c>
      <c r="C4149" s="164" t="str">
        <f ca="1">IFERROR(__xludf.DUMMYFUNCTION("""COMPUTED_VALUE"""),"Motorcycle – (Honda XRL 150)")</f>
        <v>Motorcycle – (Honda XRL 150)</v>
      </c>
      <c r="D4149" s="164" t="str">
        <f ca="1">IFERROR(__xludf.DUMMYFUNCTION("""COMPUTED_VALUE"""),"₱ 124,900.00")</f>
        <v>₱ 124,900.00</v>
      </c>
      <c r="E4149" s="164"/>
      <c r="F4149" s="164" t="str">
        <f ca="1">IFERROR(__xludf.DUMMYFUNCTION("""COMPUTED_VALUE"""),"2023-06-01-10202SP745-01")</f>
        <v>2023-06-01-10202SP745-01</v>
      </c>
      <c r="G4149" s="164" t="str">
        <f ca="1">IFERROR(__xludf.DUMMYFUNCTION("""COMPUTED_VALUE"""),"no plate available")</f>
        <v>no plate available</v>
      </c>
      <c r="H4149" s="164" t="str">
        <f ca="1">IFERROR(__xludf.DUMMYFUNCTION("""COMPUTED_VALUE"""),"SELLA GRACE E. MUSALI")</f>
        <v>SELLA GRACE E. MUSALI</v>
      </c>
      <c r="I4149" s="164" t="str">
        <f ca="1">IFERROR(__xludf.DUMMYFUNCTION("""COMPUTED_VALUE"""),"ARPT")</f>
        <v>ARPT</v>
      </c>
      <c r="J4149" s="164" t="str">
        <f ca="1">IFERROR(__xludf.DUMMYFUNCTION("""COMPUTED_VALUE"""),"2023-SPLIT-07-014")</f>
        <v>2023-SPLIT-07-014</v>
      </c>
      <c r="K4149" s="164" t="str">
        <f ca="1">IFERROR(__xludf.DUMMYFUNCTION("""COMPUTED_VALUE"""),"JESUS M. ESCOTO, JR.")</f>
        <v>JESUS M. ESCOTO, JR.</v>
      </c>
      <c r="L4149" s="164" t="str">
        <f ca="1">IFERROR(__xludf.DUMMYFUNCTION("""COMPUTED_VALUE"""),"STOD")</f>
        <v>STOD</v>
      </c>
      <c r="M4149" s="164" t="str">
        <f ca="1">IFERROR(__xludf.DUMMYFUNCTION("""COMPUTED_VALUE"""),"SERVICEABLE")</f>
        <v>SERVICEABLE</v>
      </c>
      <c r="N4149" s="164"/>
    </row>
    <row r="4150" spans="1:14" ht="13.2" hidden="1">
      <c r="A4150" s="164" t="str">
        <f ca="1">IFERROR(__xludf.DUMMYFUNCTION("""COMPUTED_VALUE"""),"REGION XII")</f>
        <v>REGION XII</v>
      </c>
      <c r="B4150" s="164" t="str">
        <f ca="1">IFERROR(__xludf.DUMMYFUNCTION("""COMPUTED_VALUE"""),"SULTAN KUDARAT")</f>
        <v>SULTAN KUDARAT</v>
      </c>
      <c r="C4150" s="164" t="str">
        <f ca="1">IFERROR(__xludf.DUMMYFUNCTION("""COMPUTED_VALUE"""),"Motorcycle – (Honda XRL 150)")</f>
        <v>Motorcycle – (Honda XRL 150)</v>
      </c>
      <c r="D4150" s="164" t="str">
        <f ca="1">IFERROR(__xludf.DUMMYFUNCTION("""COMPUTED_VALUE"""),"₱ 124,900.00")</f>
        <v>₱ 124,900.00</v>
      </c>
      <c r="E4150" s="164"/>
      <c r="F4150" s="164" t="str">
        <f ca="1">IFERROR(__xludf.DUMMYFUNCTION("""COMPUTED_VALUE"""),"2023-06-01-10202SP746-01")</f>
        <v>2023-06-01-10202SP746-01</v>
      </c>
      <c r="G4150" s="164" t="str">
        <f ca="1">IFERROR(__xludf.DUMMYFUNCTION("""COMPUTED_VALUE"""),"no plate available")</f>
        <v>no plate available</v>
      </c>
      <c r="H4150" s="164" t="str">
        <f ca="1">IFERROR(__xludf.DUMMYFUNCTION("""COMPUTED_VALUE"""),"JOSE G. HAPITAN III")</f>
        <v>JOSE G. HAPITAN III</v>
      </c>
      <c r="I4150" s="164" t="str">
        <f ca="1">IFERROR(__xludf.DUMMYFUNCTION("""COMPUTED_VALUE"""),"SARPT")</f>
        <v>SARPT</v>
      </c>
      <c r="J4150" s="164" t="str">
        <f ca="1">IFERROR(__xludf.DUMMYFUNCTION("""COMPUTED_VALUE"""),"2023-SPLIT-07-015")</f>
        <v>2023-SPLIT-07-015</v>
      </c>
      <c r="K4150" s="164" t="str">
        <f ca="1">IFERROR(__xludf.DUMMYFUNCTION("""COMPUTED_VALUE"""),"WILSON D. ESPARTERO")</f>
        <v>WILSON D. ESPARTERO</v>
      </c>
      <c r="L4150" s="164" t="str">
        <f ca="1">IFERROR(__xludf.DUMMYFUNCTION("""COMPUTED_VALUE"""),"DARMO-KALAMANSIG")</f>
        <v>DARMO-KALAMANSIG</v>
      </c>
      <c r="M4150" s="164" t="str">
        <f ca="1">IFERROR(__xludf.DUMMYFUNCTION("""COMPUTED_VALUE"""),"SERVICEABLE")</f>
        <v>SERVICEABLE</v>
      </c>
      <c r="N4150" s="164"/>
    </row>
    <row r="4151" spans="1:14" ht="13.2" hidden="1">
      <c r="A4151" s="164" t="str">
        <f ca="1">IFERROR(__xludf.DUMMYFUNCTION("""COMPUTED_VALUE"""),"REGION XII")</f>
        <v>REGION XII</v>
      </c>
      <c r="B4151" s="164" t="str">
        <f ca="1">IFERROR(__xludf.DUMMYFUNCTION("""COMPUTED_VALUE"""),"SULTAN KUDARAT")</f>
        <v>SULTAN KUDARAT</v>
      </c>
      <c r="C4151" s="164" t="str">
        <f ca="1">IFERROR(__xludf.DUMMYFUNCTION("""COMPUTED_VALUE"""),"Motorcycle – (Honda XRL 150)")</f>
        <v>Motorcycle – (Honda XRL 150)</v>
      </c>
      <c r="D4151" s="164" t="str">
        <f ca="1">IFERROR(__xludf.DUMMYFUNCTION("""COMPUTED_VALUE"""),"₱ 124,900.00")</f>
        <v>₱ 124,900.00</v>
      </c>
      <c r="E4151" s="164"/>
      <c r="F4151" s="164" t="str">
        <f ca="1">IFERROR(__xludf.DUMMYFUNCTION("""COMPUTED_VALUE"""),"2023-06-01-10202SP753-01")</f>
        <v>2023-06-01-10202SP753-01</v>
      </c>
      <c r="G4151" s="164" t="str">
        <f ca="1">IFERROR(__xludf.DUMMYFUNCTION("""COMPUTED_VALUE"""),"no plate available")</f>
        <v>no plate available</v>
      </c>
      <c r="H4151" s="164" t="str">
        <f ca="1">IFERROR(__xludf.DUMMYFUNCTION("""COMPUTED_VALUE"""),"RASIDA A. ARUMPAC")</f>
        <v>RASIDA A. ARUMPAC</v>
      </c>
      <c r="I4151" s="164" t="str">
        <f ca="1">IFERROR(__xludf.DUMMYFUNCTION("""COMPUTED_VALUE"""),"SARPT")</f>
        <v>SARPT</v>
      </c>
      <c r="J4151" s="164" t="str">
        <f ca="1">IFERROR(__xludf.DUMMYFUNCTION("""COMPUTED_VALUE"""),"2023-SPLIT-07-022")</f>
        <v>2023-SPLIT-07-022</v>
      </c>
      <c r="K4151" s="164" t="str">
        <f ca="1">IFERROR(__xludf.DUMMYFUNCTION("""COMPUTED_VALUE"""),"MYRNA G. ABUOMAR")</f>
        <v>MYRNA G. ABUOMAR</v>
      </c>
      <c r="L4151" s="164" t="str">
        <f ca="1">IFERROR(__xludf.DUMMYFUNCTION("""COMPUTED_VALUE"""),"OPARO")</f>
        <v>OPARO</v>
      </c>
      <c r="M4151" s="164" t="str">
        <f ca="1">IFERROR(__xludf.DUMMYFUNCTION("""COMPUTED_VALUE"""),"SERVICEABLE")</f>
        <v>SERVICEABLE</v>
      </c>
      <c r="N4151" s="164"/>
    </row>
    <row r="4152" spans="1:14" ht="13.2" hidden="1">
      <c r="A4152" s="164" t="str">
        <f ca="1">IFERROR(__xludf.DUMMYFUNCTION("""COMPUTED_VALUE"""),"REGION XII")</f>
        <v>REGION XII</v>
      </c>
      <c r="B4152" s="164" t="str">
        <f ca="1">IFERROR(__xludf.DUMMYFUNCTION("""COMPUTED_VALUE"""),"SULTAN KUDARAT")</f>
        <v>SULTAN KUDARAT</v>
      </c>
      <c r="C4152" s="164" t="str">
        <f ca="1">IFERROR(__xludf.DUMMYFUNCTION("""COMPUTED_VALUE"""),"Motorcycle – (Honda XRL 150)")</f>
        <v>Motorcycle – (Honda XRL 150)</v>
      </c>
      <c r="D4152" s="164" t="str">
        <f ca="1">IFERROR(__xludf.DUMMYFUNCTION("""COMPUTED_VALUE"""),"₱ 124,900.00")</f>
        <v>₱ 124,900.00</v>
      </c>
      <c r="E4152" s="164"/>
      <c r="F4152" s="164" t="str">
        <f ca="1">IFERROR(__xludf.DUMMYFUNCTION("""COMPUTED_VALUE"""),"2023-06-01-10202SP739-01")</f>
        <v>2023-06-01-10202SP739-01</v>
      </c>
      <c r="G4152" s="164" t="str">
        <f ca="1">IFERROR(__xludf.DUMMYFUNCTION("""COMPUTED_VALUE"""),"no plate available")</f>
        <v>no plate available</v>
      </c>
      <c r="H4152" s="164" t="str">
        <f ca="1">IFERROR(__xludf.DUMMYFUNCTION("""COMPUTED_VALUE"""),"MISTY ROSE T. NGADAO")</f>
        <v>MISTY ROSE T. NGADAO</v>
      </c>
      <c r="I4152" s="164" t="str">
        <f ca="1">IFERROR(__xludf.DUMMYFUNCTION("""COMPUTED_VALUE"""),"ARPT")</f>
        <v>ARPT</v>
      </c>
      <c r="J4152" s="164" t="str">
        <f ca="1">IFERROR(__xludf.DUMMYFUNCTION("""COMPUTED_VALUE"""),"2023-SPLIT-07-008")</f>
        <v>2023-SPLIT-07-008</v>
      </c>
      <c r="K4152" s="164" t="str">
        <f ca="1">IFERROR(__xludf.DUMMYFUNCTION("""COMPUTED_VALUE"""),"JOSEPH F. CLAVERIA")</f>
        <v>JOSEPH F. CLAVERIA</v>
      </c>
      <c r="L4152" s="164" t="str">
        <f ca="1">IFERROR(__xludf.DUMMYFUNCTION("""COMPUTED_VALUE"""),"ARBDSP")</f>
        <v>ARBDSP</v>
      </c>
      <c r="M4152" s="164" t="str">
        <f ca="1">IFERROR(__xludf.DUMMYFUNCTION("""COMPUTED_VALUE"""),"SERVICEABLE")</f>
        <v>SERVICEABLE</v>
      </c>
      <c r="N4152" s="164"/>
    </row>
    <row r="4153" spans="1:14" ht="13.2" hidden="1">
      <c r="A4153" s="164" t="str">
        <f ca="1">IFERROR(__xludf.DUMMYFUNCTION("""COMPUTED_VALUE"""),"REGION XII")</f>
        <v>REGION XII</v>
      </c>
      <c r="B4153" s="164" t="str">
        <f ca="1">IFERROR(__xludf.DUMMYFUNCTION("""COMPUTED_VALUE"""),"SULTAN KUDARAT")</f>
        <v>SULTAN KUDARAT</v>
      </c>
      <c r="C4153" s="164" t="str">
        <f ca="1">IFERROR(__xludf.DUMMYFUNCTION("""COMPUTED_VALUE"""),"Motorcycle – (Honda XRL 150)")</f>
        <v>Motorcycle – (Honda XRL 150)</v>
      </c>
      <c r="D4153" s="164" t="str">
        <f ca="1">IFERROR(__xludf.DUMMYFUNCTION("""COMPUTED_VALUE"""),"₱ 124,900.00")</f>
        <v>₱ 124,900.00</v>
      </c>
      <c r="E4153" s="164"/>
      <c r="F4153" s="164" t="str">
        <f ca="1">IFERROR(__xludf.DUMMYFUNCTION("""COMPUTED_VALUE"""),"2023-06-01-10202SP750-01")</f>
        <v>2023-06-01-10202SP750-01</v>
      </c>
      <c r="G4153" s="164" t="str">
        <f ca="1">IFERROR(__xludf.DUMMYFUNCTION("""COMPUTED_VALUE"""),"no plate available")</f>
        <v>no plate available</v>
      </c>
      <c r="H4153" s="164" t="str">
        <f ca="1">IFERROR(__xludf.DUMMYFUNCTION("""COMPUTED_VALUE"""),"JAY H. EMBAJADOR")</f>
        <v>JAY H. EMBAJADOR</v>
      </c>
      <c r="I4153" s="164" t="str">
        <f ca="1">IFERROR(__xludf.DUMMYFUNCTION("""COMPUTED_VALUE"""),"SARPT")</f>
        <v>SARPT</v>
      </c>
      <c r="J4153" s="164" t="str">
        <f ca="1">IFERROR(__xludf.DUMMYFUNCTION("""COMPUTED_VALUE"""),"2023-SPLIT-07-019")</f>
        <v>2023-SPLIT-07-019</v>
      </c>
      <c r="K4153" s="164" t="str">
        <f ca="1">IFERROR(__xludf.DUMMYFUNCTION("""COMPUTED_VALUE"""),"SYRIA P. USOP")</f>
        <v>SYRIA P. USOP</v>
      </c>
      <c r="L4153" s="164" t="str">
        <f ca="1">IFERROR(__xludf.DUMMYFUNCTION("""COMPUTED_VALUE"""),"DARMO-COLUMBIO")</f>
        <v>DARMO-COLUMBIO</v>
      </c>
      <c r="M4153" s="164" t="str">
        <f ca="1">IFERROR(__xludf.DUMMYFUNCTION("""COMPUTED_VALUE"""),"SERVICEABLE")</f>
        <v>SERVICEABLE</v>
      </c>
      <c r="N4153" s="164"/>
    </row>
    <row r="4154" spans="1:14" ht="13.2" hidden="1">
      <c r="A4154" s="164" t="str">
        <f ca="1">IFERROR(__xludf.DUMMYFUNCTION("""COMPUTED_VALUE"""),"REGION XII")</f>
        <v>REGION XII</v>
      </c>
      <c r="B4154" s="164" t="str">
        <f ca="1">IFERROR(__xludf.DUMMYFUNCTION("""COMPUTED_VALUE"""),"SULTAN KUDARAT")</f>
        <v>SULTAN KUDARAT</v>
      </c>
      <c r="C4154" s="164" t="str">
        <f ca="1">IFERROR(__xludf.DUMMYFUNCTION("""COMPUTED_VALUE"""),"Motorcycle – (Honda XRL 150)")</f>
        <v>Motorcycle – (Honda XRL 150)</v>
      </c>
      <c r="D4154" s="164" t="str">
        <f ca="1">IFERROR(__xludf.DUMMYFUNCTION("""COMPUTED_VALUE"""),"₱ 124,900.00")</f>
        <v>₱ 124,900.00</v>
      </c>
      <c r="E4154" s="164"/>
      <c r="F4154" s="164" t="str">
        <f ca="1">IFERROR(__xludf.DUMMYFUNCTION("""COMPUTED_VALUE"""),"2023-06-01-10202SP735-01")</f>
        <v>2023-06-01-10202SP735-01</v>
      </c>
      <c r="G4154" s="164" t="str">
        <f ca="1">IFERROR(__xludf.DUMMYFUNCTION("""COMPUTED_VALUE"""),"no plate available")</f>
        <v>no plate available</v>
      </c>
      <c r="H4154" s="164" t="str">
        <f ca="1">IFERROR(__xludf.DUMMYFUNCTION("""COMPUTED_VALUE"""),"RUEL M. ESPAÑOL")</f>
        <v>RUEL M. ESPAÑOL</v>
      </c>
      <c r="I4154" s="164" t="str">
        <f ca="1">IFERROR(__xludf.DUMMYFUNCTION("""COMPUTED_VALUE"""),"ARPO I")</f>
        <v>ARPO I</v>
      </c>
      <c r="J4154" s="164" t="str">
        <f ca="1">IFERROR(__xludf.DUMMYFUNCTION("""COMPUTED_VALUE"""),"2023-SPLIT-07-004")</f>
        <v>2023-SPLIT-07-004</v>
      </c>
      <c r="K4154" s="164" t="str">
        <f ca="1">IFERROR(__xludf.DUMMYFUNCTION("""COMPUTED_VALUE"""),"ELNORA M. LAVARIAS")</f>
        <v>ELNORA M. LAVARIAS</v>
      </c>
      <c r="L4154" s="164" t="str">
        <f ca="1">IFERROR(__xludf.DUMMYFUNCTION("""COMPUTED_VALUE"""),"DARMO-ISULAN")</f>
        <v>DARMO-ISULAN</v>
      </c>
      <c r="M4154" s="164" t="str">
        <f ca="1">IFERROR(__xludf.DUMMYFUNCTION("""COMPUTED_VALUE"""),"SERVICEABLE")</f>
        <v>SERVICEABLE</v>
      </c>
      <c r="N4154" s="164"/>
    </row>
    <row r="4155" spans="1:14" ht="13.2" hidden="1">
      <c r="A4155" s="164" t="str">
        <f ca="1">IFERROR(__xludf.DUMMYFUNCTION("""COMPUTED_VALUE"""),"REGION XII")</f>
        <v>REGION XII</v>
      </c>
      <c r="B4155" s="164" t="str">
        <f ca="1">IFERROR(__xludf.DUMMYFUNCTION("""COMPUTED_VALUE"""),"SULTAN KUDARAT")</f>
        <v>SULTAN KUDARAT</v>
      </c>
      <c r="C4155" s="164" t="str">
        <f ca="1">IFERROR(__xludf.DUMMYFUNCTION("""COMPUTED_VALUE"""),"Motorcycle – (Honda XRL 150)")</f>
        <v>Motorcycle – (Honda XRL 150)</v>
      </c>
      <c r="D4155" s="164" t="str">
        <f ca="1">IFERROR(__xludf.DUMMYFUNCTION("""COMPUTED_VALUE"""),"₱ 124,900.00")</f>
        <v>₱ 124,900.00</v>
      </c>
      <c r="E4155" s="164"/>
      <c r="F4155" s="164" t="str">
        <f ca="1">IFERROR(__xludf.DUMMYFUNCTION("""COMPUTED_VALUE"""),"2023-06-01-10202SP742-01")</f>
        <v>2023-06-01-10202SP742-01</v>
      </c>
      <c r="G4155" s="164" t="str">
        <f ca="1">IFERROR(__xludf.DUMMYFUNCTION("""COMPUTED_VALUE"""),"no plate available")</f>
        <v>no plate available</v>
      </c>
      <c r="H4155" s="164" t="str">
        <f ca="1">IFERROR(__xludf.DUMMYFUNCTION("""COMPUTED_VALUE"""),"EILEEN S. LLARENAS")</f>
        <v>EILEEN S. LLARENAS</v>
      </c>
      <c r="I4155" s="164" t="str">
        <f ca="1">IFERROR(__xludf.DUMMYFUNCTION("""COMPUTED_VALUE"""),"SARPT")</f>
        <v>SARPT</v>
      </c>
      <c r="J4155" s="164" t="str">
        <f ca="1">IFERROR(__xludf.DUMMYFUNCTION("""COMPUTED_VALUE"""),"2023-SPLIT-07-011")</f>
        <v>2023-SPLIT-07-011</v>
      </c>
      <c r="K4155" s="164" t="str">
        <f ca="1">IFERROR(__xludf.DUMMYFUNCTION("""COMPUTED_VALUE"""),"MEL ' ADOR P. ESTIMADA")</f>
        <v>MEL ' ADOR P. ESTIMADA</v>
      </c>
      <c r="L4155" s="164" t="str">
        <f ca="1">IFERROR(__xludf.DUMMYFUNCTION("""COMPUTED_VALUE"""),"DARMO-LAMBAYONG")</f>
        <v>DARMO-LAMBAYONG</v>
      </c>
      <c r="M4155" s="164" t="str">
        <f ca="1">IFERROR(__xludf.DUMMYFUNCTION("""COMPUTED_VALUE"""),"SERVICEABLE")</f>
        <v>SERVICEABLE</v>
      </c>
      <c r="N4155" s="164"/>
    </row>
    <row r="4156" spans="1:14" ht="13.2" hidden="1">
      <c r="A4156" s="164" t="str">
        <f ca="1">IFERROR(__xludf.DUMMYFUNCTION("""COMPUTED_VALUE"""),"REGION XII")</f>
        <v>REGION XII</v>
      </c>
      <c r="B4156" s="164" t="str">
        <f ca="1">IFERROR(__xludf.DUMMYFUNCTION("""COMPUTED_VALUE"""),"SULTAN KUDARAT")</f>
        <v>SULTAN KUDARAT</v>
      </c>
      <c r="C4156" s="164" t="str">
        <f ca="1">IFERROR(__xludf.DUMMYFUNCTION("""COMPUTED_VALUE"""),"Motorcycle – (Honda XRL 150)")</f>
        <v>Motorcycle – (Honda XRL 150)</v>
      </c>
      <c r="D4156" s="164" t="str">
        <f ca="1">IFERROR(__xludf.DUMMYFUNCTION("""COMPUTED_VALUE"""),"₱ 124,900.00")</f>
        <v>₱ 124,900.00</v>
      </c>
      <c r="E4156" s="164"/>
      <c r="F4156" s="164" t="str">
        <f ca="1">IFERROR(__xludf.DUMMYFUNCTION("""COMPUTED_VALUE"""),"2023-06-01-10202SP747-39")</f>
        <v>2023-06-01-10202SP747-39</v>
      </c>
      <c r="G4156" s="164" t="str">
        <f ca="1">IFERROR(__xludf.DUMMYFUNCTION("""COMPUTED_VALUE"""),"no plate available")</f>
        <v>no plate available</v>
      </c>
      <c r="H4156" s="164" t="str">
        <f ca="1">IFERROR(__xludf.DUMMYFUNCTION("""COMPUTED_VALUE"""),"NORAISA T. UMPA")</f>
        <v>NORAISA T. UMPA</v>
      </c>
      <c r="I4156" s="164" t="str">
        <f ca="1">IFERROR(__xludf.DUMMYFUNCTION("""COMPUTED_VALUE"""),"SARPT")</f>
        <v>SARPT</v>
      </c>
      <c r="J4156" s="164" t="str">
        <f ca="1">IFERROR(__xludf.DUMMYFUNCTION("""COMPUTED_VALUE"""),"2023-SPLIT-07-016")</f>
        <v>2023-SPLIT-07-016</v>
      </c>
      <c r="K4156" s="164" t="str">
        <f ca="1">IFERROR(__xludf.DUMMYFUNCTION("""COMPUTED_VALUE"""),"GUIA D. LACAP")</f>
        <v>GUIA D. LACAP</v>
      </c>
      <c r="L4156" s="164" t="str">
        <f ca="1">IFERROR(__xludf.DUMMYFUNCTION("""COMPUTED_VALUE"""),"DAMOR-LEBAK")</f>
        <v>DAMOR-LEBAK</v>
      </c>
      <c r="M4156" s="164" t="str">
        <f ca="1">IFERROR(__xludf.DUMMYFUNCTION("""COMPUTED_VALUE"""),"SERVICEABLE")</f>
        <v>SERVICEABLE</v>
      </c>
      <c r="N4156" s="164"/>
    </row>
    <row r="4157" spans="1:14" ht="13.2" hidden="1">
      <c r="A4157" s="164" t="str">
        <f ca="1">IFERROR(__xludf.DUMMYFUNCTION("""COMPUTED_VALUE"""),"REGION XII")</f>
        <v>REGION XII</v>
      </c>
      <c r="B4157" s="164" t="str">
        <f ca="1">IFERROR(__xludf.DUMMYFUNCTION("""COMPUTED_VALUE"""),"SULTAN KUDARAT")</f>
        <v>SULTAN KUDARAT</v>
      </c>
      <c r="C4157" s="164" t="str">
        <f ca="1">IFERROR(__xludf.DUMMYFUNCTION("""COMPUTED_VALUE"""),"Motorcycle – (Honda XRL 150)")</f>
        <v>Motorcycle – (Honda XRL 150)</v>
      </c>
      <c r="D4157" s="164" t="str">
        <f ca="1">IFERROR(__xludf.DUMMYFUNCTION("""COMPUTED_VALUE"""),"₱ 124,900.00")</f>
        <v>₱ 124,900.00</v>
      </c>
      <c r="E4157" s="164"/>
      <c r="F4157" s="164" t="str">
        <f ca="1">IFERROR(__xludf.DUMMYFUNCTION("""COMPUTED_VALUE"""),"2023-06-01-10202SP751-01")</f>
        <v>2023-06-01-10202SP751-01</v>
      </c>
      <c r="G4157" s="164" t="str">
        <f ca="1">IFERROR(__xludf.DUMMYFUNCTION("""COMPUTED_VALUE"""),"no plate available")</f>
        <v>no plate available</v>
      </c>
      <c r="H4157" s="164" t="str">
        <f ca="1">IFERROR(__xludf.DUMMYFUNCTION("""COMPUTED_VALUE"""),"MARIA RHODA R. VICTORIO")</f>
        <v>MARIA RHODA R. VICTORIO</v>
      </c>
      <c r="I4157" s="164" t="str">
        <f ca="1">IFERROR(__xludf.DUMMYFUNCTION("""COMPUTED_VALUE"""),"ARPT")</f>
        <v>ARPT</v>
      </c>
      <c r="J4157" s="164" t="str">
        <f ca="1">IFERROR(__xludf.DUMMYFUNCTION("""COMPUTED_VALUE"""),"2023-SPLIT-07-020")</f>
        <v>2023-SPLIT-07-020</v>
      </c>
      <c r="K4157" s="164" t="str">
        <f ca="1">IFERROR(__xludf.DUMMYFUNCTION("""COMPUTED_VALUE"""),"ROMEO G. AYSON II")</f>
        <v>ROMEO G. AYSON II</v>
      </c>
      <c r="L4157" s="164" t="str">
        <f ca="1">IFERROR(__xludf.DUMMYFUNCTION("""COMPUTED_VALUE"""),"DARMO-TACURONG")</f>
        <v>DARMO-TACURONG</v>
      </c>
      <c r="M4157" s="164" t="str">
        <f ca="1">IFERROR(__xludf.DUMMYFUNCTION("""COMPUTED_VALUE"""),"SERVICEABLE")</f>
        <v>SERVICEABLE</v>
      </c>
      <c r="N4157" s="164"/>
    </row>
    <row r="4158" spans="1:14" ht="13.2" hidden="1">
      <c r="A4158" s="164" t="str">
        <f ca="1">IFERROR(__xludf.DUMMYFUNCTION("""COMPUTED_VALUE"""),"REGION XII")</f>
        <v>REGION XII</v>
      </c>
      <c r="B4158" s="164" t="str">
        <f ca="1">IFERROR(__xludf.DUMMYFUNCTION("""COMPUTED_VALUE"""),"COTABATO")</f>
        <v>COTABATO</v>
      </c>
      <c r="C4158" s="164" t="str">
        <f ca="1">IFERROR(__xludf.DUMMYFUNCTION("""COMPUTED_VALUE"""),"Motorcycle – (Honda XRL 150)")</f>
        <v>Motorcycle – (Honda XRL 150)</v>
      </c>
      <c r="D4158" s="164" t="str">
        <f ca="1">IFERROR(__xludf.DUMMYFUNCTION("""COMPUTED_VALUE"""),"₱ 124,900.00")</f>
        <v>₱ 124,900.00</v>
      </c>
      <c r="E4158" s="164"/>
      <c r="F4158" s="164" t="str">
        <f ca="1">IFERROR(__xludf.DUMMYFUNCTION("""COMPUTED_VALUE"""),"2023-06-01-10202SP671-01")</f>
        <v>2023-06-01-10202SP671-01</v>
      </c>
      <c r="G4158" s="164" t="str">
        <f ca="1">IFERROR(__xludf.DUMMYFUNCTION("""COMPUTED_VALUE"""),"no plate available")</f>
        <v>no plate available</v>
      </c>
      <c r="H4158" s="164" t="str">
        <f ca="1">IFERROR(__xludf.DUMMYFUNCTION("""COMPUTED_VALUE"""),"ALEXANDER OMAR")</f>
        <v>ALEXANDER OMAR</v>
      </c>
      <c r="I4158" s="164" t="str">
        <f ca="1">IFERROR(__xludf.DUMMYFUNCTION("""COMPUTED_VALUE"""),"PROPERTY CUSTODIAN/ADMIN.ASST.II")</f>
        <v>PROPERTY CUSTODIAN/ADMIN.ASST.II</v>
      </c>
      <c r="J4158" s="164" t="str">
        <f ca="1">IFERROR(__xludf.DUMMYFUNCTION("""COMPUTED_VALUE"""),"001-05-2023")</f>
        <v>001-05-2023</v>
      </c>
      <c r="K4158" s="164" t="str">
        <f ca="1">IFERROR(__xludf.DUMMYFUNCTION("""COMPUTED_VALUE"""),"MARBEN RESOMADERO")</f>
        <v>MARBEN RESOMADERO</v>
      </c>
      <c r="L4158" s="164" t="str">
        <f ca="1">IFERROR(__xludf.DUMMYFUNCTION("""COMPUTED_VALUE"""),"DARPO-STOD")</f>
        <v>DARPO-STOD</v>
      </c>
      <c r="M4158" s="164" t="str">
        <f ca="1">IFERROR(__xludf.DUMMYFUNCTION("""COMPUTED_VALUE"""),"SERVICEABLE")</f>
        <v>SERVICEABLE</v>
      </c>
      <c r="N4158" s="164"/>
    </row>
    <row r="4159" spans="1:14" ht="13.2" hidden="1">
      <c r="A4159" s="164" t="str">
        <f ca="1">IFERROR(__xludf.DUMMYFUNCTION("""COMPUTED_VALUE"""),"REGION XII")</f>
        <v>REGION XII</v>
      </c>
      <c r="B4159" s="164" t="str">
        <f ca="1">IFERROR(__xludf.DUMMYFUNCTION("""COMPUTED_VALUE"""),"COTABATO")</f>
        <v>COTABATO</v>
      </c>
      <c r="C4159" s="164" t="str">
        <f ca="1">IFERROR(__xludf.DUMMYFUNCTION("""COMPUTED_VALUE"""),"Motorcycle – (Honda XRL 150)")</f>
        <v>Motorcycle – (Honda XRL 150)</v>
      </c>
      <c r="D4159" s="164" t="str">
        <f ca="1">IFERROR(__xludf.DUMMYFUNCTION("""COMPUTED_VALUE"""),"₱ 124,900.00")</f>
        <v>₱ 124,900.00</v>
      </c>
      <c r="E4159" s="164"/>
      <c r="F4159" s="164" t="str">
        <f ca="1">IFERROR(__xludf.DUMMYFUNCTION("""COMPUTED_VALUE"""),"2023-06-01-10202SP673-01")</f>
        <v>2023-06-01-10202SP673-01</v>
      </c>
      <c r="G4159" s="164" t="str">
        <f ca="1">IFERROR(__xludf.DUMMYFUNCTION("""COMPUTED_VALUE"""),"no plate available")</f>
        <v>no plate available</v>
      </c>
      <c r="H4159" s="164" t="str">
        <f ca="1">IFERROR(__xludf.DUMMYFUNCTION("""COMPUTED_VALUE"""),"FRANCES JUN I. BAUTISTA")</f>
        <v>FRANCES JUN I. BAUTISTA</v>
      </c>
      <c r="I4159" s="164" t="str">
        <f ca="1">IFERROR(__xludf.DUMMYFUNCTION("""COMPUTED_VALUE"""),"ENGINEER II")</f>
        <v>ENGINEER II</v>
      </c>
      <c r="J4159" s="164" t="str">
        <f ca="1">IFERROR(__xludf.DUMMYFUNCTION("""COMPUTED_VALUE"""),"003-05-2023")</f>
        <v>003-05-2023</v>
      </c>
      <c r="K4159" s="164" t="str">
        <f ca="1">IFERROR(__xludf.DUMMYFUNCTION("""COMPUTED_VALUE"""),"FRANCES JUN I. BAUTISTA")</f>
        <v>FRANCES JUN I. BAUTISTA</v>
      </c>
      <c r="L4159" s="164" t="str">
        <f ca="1">IFERROR(__xludf.DUMMYFUNCTION("""COMPUTED_VALUE"""),"DARPO-LTID")</f>
        <v>DARPO-LTID</v>
      </c>
      <c r="M4159" s="164" t="str">
        <f ca="1">IFERROR(__xludf.DUMMYFUNCTION("""COMPUTED_VALUE"""),"SERVICEABLE")</f>
        <v>SERVICEABLE</v>
      </c>
      <c r="N4159" s="164"/>
    </row>
    <row r="4160" spans="1:14" ht="13.2" hidden="1">
      <c r="A4160" s="164" t="str">
        <f ca="1">IFERROR(__xludf.DUMMYFUNCTION("""COMPUTED_VALUE"""),"REGION XII")</f>
        <v>REGION XII</v>
      </c>
      <c r="B4160" s="164" t="str">
        <f ca="1">IFERROR(__xludf.DUMMYFUNCTION("""COMPUTED_VALUE"""),"COTABATO")</f>
        <v>COTABATO</v>
      </c>
      <c r="C4160" s="164" t="str">
        <f ca="1">IFERROR(__xludf.DUMMYFUNCTION("""COMPUTED_VALUE"""),"Motorcycle – (Honda XRL 150)")</f>
        <v>Motorcycle – (Honda XRL 150)</v>
      </c>
      <c r="D4160" s="164" t="str">
        <f ca="1">IFERROR(__xludf.DUMMYFUNCTION("""COMPUTED_VALUE"""),"₱ 124,900.00")</f>
        <v>₱ 124,900.00</v>
      </c>
      <c r="E4160" s="164"/>
      <c r="F4160" s="164" t="str">
        <f ca="1">IFERROR(__xludf.DUMMYFUNCTION("""COMPUTED_VALUE"""),"2023-06-01-10202SP674-01")</f>
        <v>2023-06-01-10202SP674-01</v>
      </c>
      <c r="G4160" s="164" t="str">
        <f ca="1">IFERROR(__xludf.DUMMYFUNCTION("""COMPUTED_VALUE"""),"no plate available")</f>
        <v>no plate available</v>
      </c>
      <c r="H4160" s="164" t="str">
        <f ca="1">IFERROR(__xludf.DUMMYFUNCTION("""COMPUTED_VALUE"""),"CARLO BACUS")</f>
        <v>CARLO BACUS</v>
      </c>
      <c r="I4160" s="164" t="str">
        <f ca="1">IFERROR(__xludf.DUMMYFUNCTION("""COMPUTED_VALUE"""),"ARPT")</f>
        <v>ARPT</v>
      </c>
      <c r="J4160" s="164" t="str">
        <f ca="1">IFERROR(__xludf.DUMMYFUNCTION("""COMPUTED_VALUE"""),"004-05-2023")</f>
        <v>004-05-2023</v>
      </c>
      <c r="K4160" s="164" t="str">
        <f ca="1">IFERROR(__xludf.DUMMYFUNCTION("""COMPUTED_VALUE"""),"CARLO BACUS")</f>
        <v>CARLO BACUS</v>
      </c>
      <c r="L4160" s="164" t="str">
        <f ca="1">IFERROR(__xludf.DUMMYFUNCTION("""COMPUTED_VALUE"""),"DARPO-LTID")</f>
        <v>DARPO-LTID</v>
      </c>
      <c r="M4160" s="164" t="str">
        <f ca="1">IFERROR(__xludf.DUMMYFUNCTION("""COMPUTED_VALUE"""),"SERVICEABLE")</f>
        <v>SERVICEABLE</v>
      </c>
      <c r="N4160" s="164"/>
    </row>
    <row r="4161" spans="1:14" ht="13.2" hidden="1">
      <c r="A4161" s="164" t="str">
        <f ca="1">IFERROR(__xludf.DUMMYFUNCTION("""COMPUTED_VALUE"""),"REGION XII")</f>
        <v>REGION XII</v>
      </c>
      <c r="B4161" s="164" t="str">
        <f ca="1">IFERROR(__xludf.DUMMYFUNCTION("""COMPUTED_VALUE"""),"COTABATO")</f>
        <v>COTABATO</v>
      </c>
      <c r="C4161" s="164" t="str">
        <f ca="1">IFERROR(__xludf.DUMMYFUNCTION("""COMPUTED_VALUE"""),"Motorcycle – (Honda XRL 150)")</f>
        <v>Motorcycle – (Honda XRL 150)</v>
      </c>
      <c r="D4161" s="164" t="str">
        <f ca="1">IFERROR(__xludf.DUMMYFUNCTION("""COMPUTED_VALUE"""),"₱ 124,900.00")</f>
        <v>₱ 124,900.00</v>
      </c>
      <c r="E4161" s="164"/>
      <c r="F4161" s="164" t="str">
        <f ca="1">IFERROR(__xludf.DUMMYFUNCTION("""COMPUTED_VALUE"""),"2023-06-01-10202SP675-01")</f>
        <v>2023-06-01-10202SP675-01</v>
      </c>
      <c r="G4161" s="164" t="str">
        <f ca="1">IFERROR(__xludf.DUMMYFUNCTION("""COMPUTED_VALUE"""),"no plate available")</f>
        <v>no plate available</v>
      </c>
      <c r="H4161" s="164" t="str">
        <f ca="1">IFERROR(__xludf.DUMMYFUNCTION("""COMPUTED_VALUE"""),"GENER PAGARAN")</f>
        <v>GENER PAGARAN</v>
      </c>
      <c r="I4161" s="164" t="str">
        <f ca="1">IFERROR(__xludf.DUMMYFUNCTION("""COMPUTED_VALUE"""),"ARPT")</f>
        <v>ARPT</v>
      </c>
      <c r="J4161" s="164" t="str">
        <f ca="1">IFERROR(__xludf.DUMMYFUNCTION("""COMPUTED_VALUE"""),"005-05-2023")</f>
        <v>005-05-2023</v>
      </c>
      <c r="K4161" s="164" t="str">
        <f ca="1">IFERROR(__xludf.DUMMYFUNCTION("""COMPUTED_VALUE"""),"GENER PAGARAN")</f>
        <v>GENER PAGARAN</v>
      </c>
      <c r="L4161" s="164" t="str">
        <f ca="1">IFERROR(__xludf.DUMMYFUNCTION("""COMPUTED_VALUE"""),"DARPO-PBDD")</f>
        <v>DARPO-PBDD</v>
      </c>
      <c r="M4161" s="164" t="str">
        <f ca="1">IFERROR(__xludf.DUMMYFUNCTION("""COMPUTED_VALUE"""),"SERVICEABLE")</f>
        <v>SERVICEABLE</v>
      </c>
      <c r="N4161" s="164"/>
    </row>
    <row r="4162" spans="1:14" ht="13.2" hidden="1">
      <c r="A4162" s="164" t="str">
        <f ca="1">IFERROR(__xludf.DUMMYFUNCTION("""COMPUTED_VALUE"""),"REGION XII")</f>
        <v>REGION XII</v>
      </c>
      <c r="B4162" s="164" t="str">
        <f ca="1">IFERROR(__xludf.DUMMYFUNCTION("""COMPUTED_VALUE"""),"COTABATO")</f>
        <v>COTABATO</v>
      </c>
      <c r="C4162" s="164" t="str">
        <f ca="1">IFERROR(__xludf.DUMMYFUNCTION("""COMPUTED_VALUE"""),"Motorcycle – (Honda XRL 150)")</f>
        <v>Motorcycle – (Honda XRL 150)</v>
      </c>
      <c r="D4162" s="164" t="str">
        <f ca="1">IFERROR(__xludf.DUMMYFUNCTION("""COMPUTED_VALUE"""),"₱ 124,900.00")</f>
        <v>₱ 124,900.00</v>
      </c>
      <c r="E4162" s="164"/>
      <c r="F4162" s="164" t="str">
        <f ca="1">IFERROR(__xludf.DUMMYFUNCTION("""COMPUTED_VALUE"""),"2023-06-01-10202SP676-01")</f>
        <v>2023-06-01-10202SP676-01</v>
      </c>
      <c r="G4162" s="164" t="str">
        <f ca="1">IFERROR(__xludf.DUMMYFUNCTION("""COMPUTED_VALUE"""),"no plate available")</f>
        <v>no plate available</v>
      </c>
      <c r="H4162" s="164" t="str">
        <f ca="1">IFERROR(__xludf.DUMMYFUNCTION("""COMPUTED_VALUE"""),"KEERO TOLERAN")</f>
        <v>KEERO TOLERAN</v>
      </c>
      <c r="I4162" s="164" t="str">
        <f ca="1">IFERROR(__xludf.DUMMYFUNCTION("""COMPUTED_VALUE"""),"ARPT")</f>
        <v>ARPT</v>
      </c>
      <c r="J4162" s="164" t="str">
        <f ca="1">IFERROR(__xludf.DUMMYFUNCTION("""COMPUTED_VALUE"""),"006-05-2023")</f>
        <v>006-05-2023</v>
      </c>
      <c r="K4162" s="164" t="str">
        <f ca="1">IFERROR(__xludf.DUMMYFUNCTION("""COMPUTED_VALUE"""),"KEERO TOLERAN")</f>
        <v>KEERO TOLERAN</v>
      </c>
      <c r="L4162" s="164" t="str">
        <f ca="1">IFERROR(__xludf.DUMMYFUNCTION("""COMPUTED_VALUE"""),"DARPO-PBDD")</f>
        <v>DARPO-PBDD</v>
      </c>
      <c r="M4162" s="164" t="str">
        <f ca="1">IFERROR(__xludf.DUMMYFUNCTION("""COMPUTED_VALUE"""),"SERVICEABLE")</f>
        <v>SERVICEABLE</v>
      </c>
      <c r="N4162" s="164" t="str">
        <f ca="1">IFERROR(__xludf.DUMMYFUNCTION("""COMPUTED_VALUE"""),"FAMADOR, RUSTAN JAY I. ANOTHER USER")</f>
        <v>FAMADOR, RUSTAN JAY I. ANOTHER USER</v>
      </c>
    </row>
    <row r="4163" spans="1:14" ht="13.2" hidden="1">
      <c r="A4163" s="164" t="str">
        <f ca="1">IFERROR(__xludf.DUMMYFUNCTION("""COMPUTED_VALUE"""),"REGION XII")</f>
        <v>REGION XII</v>
      </c>
      <c r="B4163" s="164" t="str">
        <f ca="1">IFERROR(__xludf.DUMMYFUNCTION("""COMPUTED_VALUE"""),"COTABATO")</f>
        <v>COTABATO</v>
      </c>
      <c r="C4163" s="164" t="str">
        <f ca="1">IFERROR(__xludf.DUMMYFUNCTION("""COMPUTED_VALUE"""),"Motorcycle – (Honda XRL 150)")</f>
        <v>Motorcycle – (Honda XRL 150)</v>
      </c>
      <c r="D4163" s="164" t="str">
        <f ca="1">IFERROR(__xludf.DUMMYFUNCTION("""COMPUTED_VALUE"""),"₱ 124,900.00")</f>
        <v>₱ 124,900.00</v>
      </c>
      <c r="E4163" s="164"/>
      <c r="F4163" s="164" t="str">
        <f ca="1">IFERROR(__xludf.DUMMYFUNCTION("""COMPUTED_VALUE"""),"2023-06-01-10202SP677-01")</f>
        <v>2023-06-01-10202SP677-01</v>
      </c>
      <c r="G4163" s="164" t="str">
        <f ca="1">IFERROR(__xludf.DUMMYFUNCTION("""COMPUTED_VALUE"""),"no plate available")</f>
        <v>no plate available</v>
      </c>
      <c r="H4163" s="164" t="str">
        <f ca="1">IFERROR(__xludf.DUMMYFUNCTION("""COMPUTED_VALUE"""),"ALEXIS UNTAL")</f>
        <v>ALEXIS UNTAL</v>
      </c>
      <c r="I4163" s="164" t="str">
        <f ca="1">IFERROR(__xludf.DUMMYFUNCTION("""COMPUTED_VALUE"""),"MARPO")</f>
        <v>MARPO</v>
      </c>
      <c r="J4163" s="164" t="str">
        <f ca="1">IFERROR(__xludf.DUMMYFUNCTION("""COMPUTED_VALUE"""),"007-05-2023")</f>
        <v>007-05-2023</v>
      </c>
      <c r="K4163" s="164" t="str">
        <f ca="1">IFERROR(__xludf.DUMMYFUNCTION("""COMPUTED_VALUE"""),"GENERAL DISPATCH")</f>
        <v>GENERAL DISPATCH</v>
      </c>
      <c r="L4163" s="164" t="str">
        <f ca="1">IFERROR(__xludf.DUMMYFUNCTION("""COMPUTED_VALUE"""),"DARPO-LEGAL")</f>
        <v>DARPO-LEGAL</v>
      </c>
      <c r="M4163" s="164" t="str">
        <f ca="1">IFERROR(__xludf.DUMMYFUNCTION("""COMPUTED_VALUE"""),"SERVICEABLE")</f>
        <v>SERVICEABLE</v>
      </c>
      <c r="N4163" s="164"/>
    </row>
    <row r="4164" spans="1:14" ht="13.2" hidden="1">
      <c r="A4164" s="164" t="str">
        <f ca="1">IFERROR(__xludf.DUMMYFUNCTION("""COMPUTED_VALUE"""),"REGION XII")</f>
        <v>REGION XII</v>
      </c>
      <c r="B4164" s="164" t="str">
        <f ca="1">IFERROR(__xludf.DUMMYFUNCTION("""COMPUTED_VALUE"""),"COTABATO")</f>
        <v>COTABATO</v>
      </c>
      <c r="C4164" s="164" t="str">
        <f ca="1">IFERROR(__xludf.DUMMYFUNCTION("""COMPUTED_VALUE"""),"Motorcycle – (Honda XRL 150)")</f>
        <v>Motorcycle – (Honda XRL 150)</v>
      </c>
      <c r="D4164" s="164" t="str">
        <f ca="1">IFERROR(__xludf.DUMMYFUNCTION("""COMPUTED_VALUE"""),"₱ 124,900.00")</f>
        <v>₱ 124,900.00</v>
      </c>
      <c r="E4164" s="164"/>
      <c r="F4164" s="164" t="str">
        <f ca="1">IFERROR(__xludf.DUMMYFUNCTION("""COMPUTED_VALUE"""),"2023-06-01-10202SP678-01")</f>
        <v>2023-06-01-10202SP678-01</v>
      </c>
      <c r="G4164" s="164" t="str">
        <f ca="1">IFERROR(__xludf.DUMMYFUNCTION("""COMPUTED_VALUE"""),"no plate available")</f>
        <v>no plate available</v>
      </c>
      <c r="H4164" s="164" t="str">
        <f ca="1">IFERROR(__xludf.DUMMYFUNCTION("""COMPUTED_VALUE"""),"JOEL D. PAJAC")</f>
        <v>JOEL D. PAJAC</v>
      </c>
      <c r="I4164" s="164" t="str">
        <f ca="1">IFERROR(__xludf.DUMMYFUNCTION("""COMPUTED_VALUE"""),"ARPO II")</f>
        <v>ARPO II</v>
      </c>
      <c r="J4164" s="164" t="str">
        <f ca="1">IFERROR(__xludf.DUMMYFUNCTION("""COMPUTED_VALUE"""),"008-05-2023")</f>
        <v>008-05-2023</v>
      </c>
      <c r="K4164" s="164" t="str">
        <f ca="1">IFERROR(__xludf.DUMMYFUNCTION("""COMPUTED_VALUE"""),"JOEL D. PAJAC")</f>
        <v>JOEL D. PAJAC</v>
      </c>
      <c r="L4164" s="164" t="str">
        <f ca="1">IFERROR(__xludf.DUMMYFUNCTION("""COMPUTED_VALUE"""),"DARPO-DARAB")</f>
        <v>DARPO-DARAB</v>
      </c>
      <c r="M4164" s="164" t="str">
        <f ca="1">IFERROR(__xludf.DUMMYFUNCTION("""COMPUTED_VALUE"""),"SERVICEABLE")</f>
        <v>SERVICEABLE</v>
      </c>
      <c r="N4164" s="164"/>
    </row>
    <row r="4165" spans="1:14" ht="13.2" hidden="1">
      <c r="A4165" s="164" t="str">
        <f ca="1">IFERROR(__xludf.DUMMYFUNCTION("""COMPUTED_VALUE"""),"REGION XII")</f>
        <v>REGION XII</v>
      </c>
      <c r="B4165" s="164" t="str">
        <f ca="1">IFERROR(__xludf.DUMMYFUNCTION("""COMPUTED_VALUE"""),"COTABATO")</f>
        <v>COTABATO</v>
      </c>
      <c r="C4165" s="164" t="str">
        <f ca="1">IFERROR(__xludf.DUMMYFUNCTION("""COMPUTED_VALUE"""),"Motorcycle – (Honda XRL 150)")</f>
        <v>Motorcycle – (Honda XRL 150)</v>
      </c>
      <c r="D4165" s="164" t="str">
        <f ca="1">IFERROR(__xludf.DUMMYFUNCTION("""COMPUTED_VALUE"""),"₱ 124,900.00")</f>
        <v>₱ 124,900.00</v>
      </c>
      <c r="E4165" s="164"/>
      <c r="F4165" s="164" t="str">
        <f ca="1">IFERROR(__xludf.DUMMYFUNCTION("""COMPUTED_VALUE"""),"2023-06-01-10202SP679-01")</f>
        <v>2023-06-01-10202SP679-01</v>
      </c>
      <c r="G4165" s="164" t="str">
        <f ca="1">IFERROR(__xludf.DUMMYFUNCTION("""COMPUTED_VALUE"""),"no plate available")</f>
        <v>no plate available</v>
      </c>
      <c r="H4165" s="164" t="str">
        <f ca="1">IFERROR(__xludf.DUMMYFUNCTION("""COMPUTED_VALUE"""),"REIAN E. SUMATRA")</f>
        <v>REIAN E. SUMATRA</v>
      </c>
      <c r="I4165" s="164" t="str">
        <f ca="1">IFERROR(__xludf.DUMMYFUNCTION("""COMPUTED_VALUE"""),"SARPT")</f>
        <v>SARPT</v>
      </c>
      <c r="J4165" s="164" t="str">
        <f ca="1">IFERROR(__xludf.DUMMYFUNCTION("""COMPUTED_VALUE"""),"009-05-2023")</f>
        <v>009-05-2023</v>
      </c>
      <c r="K4165" s="164" t="str">
        <f ca="1">IFERROR(__xludf.DUMMYFUNCTION("""COMPUTED_VALUE"""),"REIAN E. SUMATRA")</f>
        <v>REIAN E. SUMATRA</v>
      </c>
      <c r="L4165" s="164" t="str">
        <f ca="1">IFERROR(__xludf.DUMMYFUNCTION("""COMPUTED_VALUE"""),"DARMO-ALAMADA")</f>
        <v>DARMO-ALAMADA</v>
      </c>
      <c r="M4165" s="164" t="str">
        <f ca="1">IFERROR(__xludf.DUMMYFUNCTION("""COMPUTED_VALUE"""),"SERVICEABLE")</f>
        <v>SERVICEABLE</v>
      </c>
      <c r="N4165" s="164"/>
    </row>
    <row r="4166" spans="1:14" ht="13.2" hidden="1">
      <c r="A4166" s="164" t="str">
        <f ca="1">IFERROR(__xludf.DUMMYFUNCTION("""COMPUTED_VALUE"""),"REGION XII")</f>
        <v>REGION XII</v>
      </c>
      <c r="B4166" s="164" t="str">
        <f ca="1">IFERROR(__xludf.DUMMYFUNCTION("""COMPUTED_VALUE"""),"COTABATO")</f>
        <v>COTABATO</v>
      </c>
      <c r="C4166" s="164" t="str">
        <f ca="1">IFERROR(__xludf.DUMMYFUNCTION("""COMPUTED_VALUE"""),"Motorcycle – (Honda XRL 150)")</f>
        <v>Motorcycle – (Honda XRL 150)</v>
      </c>
      <c r="D4166" s="164" t="str">
        <f ca="1">IFERROR(__xludf.DUMMYFUNCTION("""COMPUTED_VALUE"""),"₱ 124,900.00")</f>
        <v>₱ 124,900.00</v>
      </c>
      <c r="E4166" s="164"/>
      <c r="F4166" s="164" t="str">
        <f ca="1">IFERROR(__xludf.DUMMYFUNCTION("""COMPUTED_VALUE"""),"2023-06-01-10202SP680-01")</f>
        <v>2023-06-01-10202SP680-01</v>
      </c>
      <c r="G4166" s="164" t="str">
        <f ca="1">IFERROR(__xludf.DUMMYFUNCTION("""COMPUTED_VALUE"""),"no plate available")</f>
        <v>no plate available</v>
      </c>
      <c r="H4166" s="164" t="str">
        <f ca="1">IFERROR(__xludf.DUMMYFUNCTION("""COMPUTED_VALUE"""),"LESTER JAY G. NONAN")</f>
        <v>LESTER JAY G. NONAN</v>
      </c>
      <c r="I4166" s="164" t="str">
        <f ca="1">IFERROR(__xludf.DUMMYFUNCTION("""COMPUTED_VALUE"""),"ARPT")</f>
        <v>ARPT</v>
      </c>
      <c r="J4166" s="164" t="str">
        <f ca="1">IFERROR(__xludf.DUMMYFUNCTION("""COMPUTED_VALUE"""),"010-05-2023")</f>
        <v>010-05-2023</v>
      </c>
      <c r="K4166" s="164" t="str">
        <f ca="1">IFERROR(__xludf.DUMMYFUNCTION("""COMPUTED_VALUE"""),"LESTER JAY G. NONAN")</f>
        <v>LESTER JAY G. NONAN</v>
      </c>
      <c r="L4166" s="164" t="str">
        <f ca="1">IFERROR(__xludf.DUMMYFUNCTION("""COMPUTED_VALUE"""),"DARMO-ALAMADA")</f>
        <v>DARMO-ALAMADA</v>
      </c>
      <c r="M4166" s="164" t="str">
        <f ca="1">IFERROR(__xludf.DUMMYFUNCTION("""COMPUTED_VALUE"""),"SERVICEABLE")</f>
        <v>SERVICEABLE</v>
      </c>
      <c r="N4166" s="164"/>
    </row>
    <row r="4167" spans="1:14" ht="13.2" hidden="1">
      <c r="A4167" s="164" t="str">
        <f ca="1">IFERROR(__xludf.DUMMYFUNCTION("""COMPUTED_VALUE"""),"REGION XII")</f>
        <v>REGION XII</v>
      </c>
      <c r="B4167" s="164" t="str">
        <f ca="1">IFERROR(__xludf.DUMMYFUNCTION("""COMPUTED_VALUE"""),"COTABATO")</f>
        <v>COTABATO</v>
      </c>
      <c r="C4167" s="164" t="str">
        <f ca="1">IFERROR(__xludf.DUMMYFUNCTION("""COMPUTED_VALUE"""),"Motorcycle – (Honda XRL 150)")</f>
        <v>Motorcycle – (Honda XRL 150)</v>
      </c>
      <c r="D4167" s="164" t="str">
        <f ca="1">IFERROR(__xludf.DUMMYFUNCTION("""COMPUTED_VALUE"""),"₱ 124,900.00")</f>
        <v>₱ 124,900.00</v>
      </c>
      <c r="E4167" s="164"/>
      <c r="F4167" s="164" t="str">
        <f ca="1">IFERROR(__xludf.DUMMYFUNCTION("""COMPUTED_VALUE"""),"2023-06-01-10202SP681-01")</f>
        <v>2023-06-01-10202SP681-01</v>
      </c>
      <c r="G4167" s="164" t="str">
        <f ca="1">IFERROR(__xludf.DUMMYFUNCTION("""COMPUTED_VALUE"""),"no plate available")</f>
        <v>no plate available</v>
      </c>
      <c r="H4167" s="164" t="str">
        <f ca="1">IFERROR(__xludf.DUMMYFUNCTION("""COMPUTED_VALUE"""),"RUSTAN JAY I. FAMADOR")</f>
        <v>RUSTAN JAY I. FAMADOR</v>
      </c>
      <c r="I4167" s="164" t="str">
        <f ca="1">IFERROR(__xludf.DUMMYFUNCTION("""COMPUTED_VALUE"""),"ATTORNEY IV")</f>
        <v>ATTORNEY IV</v>
      </c>
      <c r="J4167" s="164" t="str">
        <f ca="1">IFERROR(__xludf.DUMMYFUNCTION("""COMPUTED_VALUE"""),"011-05-2023")</f>
        <v>011-05-2023</v>
      </c>
      <c r="K4167" s="164" t="str">
        <f ca="1">IFERROR(__xludf.DUMMYFUNCTION("""COMPUTED_VALUE"""),"GENERAL DISPATCH")</f>
        <v>GENERAL DISPATCH</v>
      </c>
      <c r="L4167" s="164" t="str">
        <f ca="1">IFERROR(__xludf.DUMMYFUNCTION("""COMPUTED_VALUE"""),"DARPO-LEGAL")</f>
        <v>DARPO-LEGAL</v>
      </c>
      <c r="M4167" s="164" t="str">
        <f ca="1">IFERROR(__xludf.DUMMYFUNCTION("""COMPUTED_VALUE"""),"SERVICEABLE")</f>
        <v>SERVICEABLE</v>
      </c>
      <c r="N4167" s="164"/>
    </row>
    <row r="4168" spans="1:14" ht="13.2" hidden="1">
      <c r="A4168" s="164" t="str">
        <f ca="1">IFERROR(__xludf.DUMMYFUNCTION("""COMPUTED_VALUE"""),"REGION XII")</f>
        <v>REGION XII</v>
      </c>
      <c r="B4168" s="164" t="str">
        <f ca="1">IFERROR(__xludf.DUMMYFUNCTION("""COMPUTED_VALUE"""),"COTABATO")</f>
        <v>COTABATO</v>
      </c>
      <c r="C4168" s="164" t="str">
        <f ca="1">IFERROR(__xludf.DUMMYFUNCTION("""COMPUTED_VALUE"""),"Motorcycle – (Honda XRL 150)")</f>
        <v>Motorcycle – (Honda XRL 150)</v>
      </c>
      <c r="D4168" s="164" t="str">
        <f ca="1">IFERROR(__xludf.DUMMYFUNCTION("""COMPUTED_VALUE"""),"₱ 124,900.00")</f>
        <v>₱ 124,900.00</v>
      </c>
      <c r="E4168" s="164"/>
      <c r="F4168" s="164" t="str">
        <f ca="1">IFERROR(__xludf.DUMMYFUNCTION("""COMPUTED_VALUE"""),"2023-06-01-10202SP682-01")</f>
        <v>2023-06-01-10202SP682-01</v>
      </c>
      <c r="G4168" s="164" t="str">
        <f ca="1">IFERROR(__xludf.DUMMYFUNCTION("""COMPUTED_VALUE"""),"no plate available")</f>
        <v>no plate available</v>
      </c>
      <c r="H4168" s="164" t="str">
        <f ca="1">IFERROR(__xludf.DUMMYFUNCTION("""COMPUTED_VALUE"""),"MICHELLE G. BONA")</f>
        <v>MICHELLE G. BONA</v>
      </c>
      <c r="I4168" s="164" t="str">
        <f ca="1">IFERROR(__xludf.DUMMYFUNCTION("""COMPUTED_VALUE"""),"ARPT")</f>
        <v>ARPT</v>
      </c>
      <c r="J4168" s="164" t="str">
        <f ca="1">IFERROR(__xludf.DUMMYFUNCTION("""COMPUTED_VALUE"""),"012-05-2023")</f>
        <v>012-05-2023</v>
      </c>
      <c r="K4168" s="164" t="str">
        <f ca="1">IFERROR(__xludf.DUMMYFUNCTION("""COMPUTED_VALUE"""),"MICHELLE G. BONA")</f>
        <v>MICHELLE G. BONA</v>
      </c>
      <c r="L4168" s="164" t="str">
        <f ca="1">IFERROR(__xludf.DUMMYFUNCTION("""COMPUTED_VALUE"""),"DARMO-ALAMADA")</f>
        <v>DARMO-ALAMADA</v>
      </c>
      <c r="M4168" s="164" t="str">
        <f ca="1">IFERROR(__xludf.DUMMYFUNCTION("""COMPUTED_VALUE"""),"SERVICEABLE")</f>
        <v>SERVICEABLE</v>
      </c>
      <c r="N4168" s="164"/>
    </row>
    <row r="4169" spans="1:14" ht="13.2" hidden="1">
      <c r="A4169" s="164" t="str">
        <f ca="1">IFERROR(__xludf.DUMMYFUNCTION("""COMPUTED_VALUE"""),"REGION XII")</f>
        <v>REGION XII</v>
      </c>
      <c r="B4169" s="164" t="str">
        <f ca="1">IFERROR(__xludf.DUMMYFUNCTION("""COMPUTED_VALUE"""),"COTABATO")</f>
        <v>COTABATO</v>
      </c>
      <c r="C4169" s="164" t="str">
        <f ca="1">IFERROR(__xludf.DUMMYFUNCTION("""COMPUTED_VALUE"""),"Motorcycle – (Honda XRL 150)")</f>
        <v>Motorcycle – (Honda XRL 150)</v>
      </c>
      <c r="D4169" s="164" t="str">
        <f ca="1">IFERROR(__xludf.DUMMYFUNCTION("""COMPUTED_VALUE"""),"₱ 124,900.00")</f>
        <v>₱ 124,900.00</v>
      </c>
      <c r="E4169" s="164"/>
      <c r="F4169" s="164" t="str">
        <f ca="1">IFERROR(__xludf.DUMMYFUNCTION("""COMPUTED_VALUE"""),"2023-06-01-10202SP683-01")</f>
        <v>2023-06-01-10202SP683-01</v>
      </c>
      <c r="G4169" s="164" t="str">
        <f ca="1">IFERROR(__xludf.DUMMYFUNCTION("""COMPUTED_VALUE"""),"no plate available")</f>
        <v>no plate available</v>
      </c>
      <c r="H4169" s="164" t="str">
        <f ca="1">IFERROR(__xludf.DUMMYFUNCTION("""COMPUTED_VALUE"""),"RAENARD KENRICK LLANO")</f>
        <v>RAENARD KENRICK LLANO</v>
      </c>
      <c r="I4169" s="164" t="str">
        <f ca="1">IFERROR(__xludf.DUMMYFUNCTION("""COMPUTED_VALUE"""),"ARPT")</f>
        <v>ARPT</v>
      </c>
      <c r="J4169" s="164" t="str">
        <f ca="1">IFERROR(__xludf.DUMMYFUNCTION("""COMPUTED_VALUE"""),"013-05-2023")</f>
        <v>013-05-2023</v>
      </c>
      <c r="K4169" s="164" t="str">
        <f ca="1">IFERROR(__xludf.DUMMYFUNCTION("""COMPUTED_VALUE"""),"RAENARD KENRICK LLANO")</f>
        <v>RAENARD KENRICK LLANO</v>
      </c>
      <c r="L4169" s="164" t="str">
        <f ca="1">IFERROR(__xludf.DUMMYFUNCTION("""COMPUTED_VALUE"""),"DARMO-ALEOSAN")</f>
        <v>DARMO-ALEOSAN</v>
      </c>
      <c r="M4169" s="164" t="str">
        <f ca="1">IFERROR(__xludf.DUMMYFUNCTION("""COMPUTED_VALUE"""),"SERVICEABLE")</f>
        <v>SERVICEABLE</v>
      </c>
      <c r="N4169" s="164"/>
    </row>
    <row r="4170" spans="1:14" ht="13.2" hidden="1">
      <c r="A4170" s="164" t="str">
        <f ca="1">IFERROR(__xludf.DUMMYFUNCTION("""COMPUTED_VALUE"""),"REGION XII")</f>
        <v>REGION XII</v>
      </c>
      <c r="B4170" s="164" t="str">
        <f ca="1">IFERROR(__xludf.DUMMYFUNCTION("""COMPUTED_VALUE"""),"COTABATO")</f>
        <v>COTABATO</v>
      </c>
      <c r="C4170" s="164" t="str">
        <f ca="1">IFERROR(__xludf.DUMMYFUNCTION("""COMPUTED_VALUE"""),"Motorcycle – (Honda XRL 150)")</f>
        <v>Motorcycle – (Honda XRL 150)</v>
      </c>
      <c r="D4170" s="164" t="str">
        <f ca="1">IFERROR(__xludf.DUMMYFUNCTION("""COMPUTED_VALUE"""),"₱ 124,900.00")</f>
        <v>₱ 124,900.00</v>
      </c>
      <c r="E4170" s="164"/>
      <c r="F4170" s="164" t="str">
        <f ca="1">IFERROR(__xludf.DUMMYFUNCTION("""COMPUTED_VALUE"""),"2023-06-01-10202SP684-01")</f>
        <v>2023-06-01-10202SP684-01</v>
      </c>
      <c r="G4170" s="164" t="str">
        <f ca="1">IFERROR(__xludf.DUMMYFUNCTION("""COMPUTED_VALUE"""),"no plate available")</f>
        <v>no plate available</v>
      </c>
      <c r="H4170" s="164" t="str">
        <f ca="1">IFERROR(__xludf.DUMMYFUNCTION("""COMPUTED_VALUE"""),"JEFFREY CESAR M. EBORDA")</f>
        <v>JEFFREY CESAR M. EBORDA</v>
      </c>
      <c r="I4170" s="164" t="str">
        <f ca="1">IFERROR(__xludf.DUMMYFUNCTION("""COMPUTED_VALUE"""),"ARPT")</f>
        <v>ARPT</v>
      </c>
      <c r="J4170" s="164" t="str">
        <f ca="1">IFERROR(__xludf.DUMMYFUNCTION("""COMPUTED_VALUE"""),"014-05-2023")</f>
        <v>014-05-2023</v>
      </c>
      <c r="K4170" s="164" t="str">
        <f ca="1">IFERROR(__xludf.DUMMYFUNCTION("""COMPUTED_VALUE"""),"JEFFREY CESAR M. EBORDA")</f>
        <v>JEFFREY CESAR M. EBORDA</v>
      </c>
      <c r="L4170" s="164" t="str">
        <f ca="1">IFERROR(__xludf.DUMMYFUNCTION("""COMPUTED_VALUE"""),"DARMO-ARAKAN")</f>
        <v>DARMO-ARAKAN</v>
      </c>
      <c r="M4170" s="164" t="str">
        <f ca="1">IFERROR(__xludf.DUMMYFUNCTION("""COMPUTED_VALUE"""),"SERVICEABLE")</f>
        <v>SERVICEABLE</v>
      </c>
      <c r="N4170" s="164"/>
    </row>
    <row r="4171" spans="1:14" ht="13.2" hidden="1">
      <c r="A4171" s="164" t="str">
        <f ca="1">IFERROR(__xludf.DUMMYFUNCTION("""COMPUTED_VALUE"""),"REGION XII")</f>
        <v>REGION XII</v>
      </c>
      <c r="B4171" s="164" t="str">
        <f ca="1">IFERROR(__xludf.DUMMYFUNCTION("""COMPUTED_VALUE"""),"COTABATO")</f>
        <v>COTABATO</v>
      </c>
      <c r="C4171" s="164" t="str">
        <f ca="1">IFERROR(__xludf.DUMMYFUNCTION("""COMPUTED_VALUE"""),"Motorcycle – (Honda XRL 150)")</f>
        <v>Motorcycle – (Honda XRL 150)</v>
      </c>
      <c r="D4171" s="164" t="str">
        <f ca="1">IFERROR(__xludf.DUMMYFUNCTION("""COMPUTED_VALUE"""),"₱ 124,900.00")</f>
        <v>₱ 124,900.00</v>
      </c>
      <c r="E4171" s="164"/>
      <c r="F4171" s="164" t="str">
        <f ca="1">IFERROR(__xludf.DUMMYFUNCTION("""COMPUTED_VALUE"""),"2023-06-01-10202SP685-01")</f>
        <v>2023-06-01-10202SP685-01</v>
      </c>
      <c r="G4171" s="164" t="str">
        <f ca="1">IFERROR(__xludf.DUMMYFUNCTION("""COMPUTED_VALUE"""),"no plate available")</f>
        <v>no plate available</v>
      </c>
      <c r="H4171" s="164" t="str">
        <f ca="1">IFERROR(__xludf.DUMMYFUNCTION("""COMPUTED_VALUE"""),"ELPIDIO NIEL III PORRAS")</f>
        <v>ELPIDIO NIEL III PORRAS</v>
      </c>
      <c r="I4171" s="164" t="str">
        <f ca="1">IFERROR(__xludf.DUMMYFUNCTION("""COMPUTED_VALUE"""),"SARPT")</f>
        <v>SARPT</v>
      </c>
      <c r="J4171" s="164" t="str">
        <f ca="1">IFERROR(__xludf.DUMMYFUNCTION("""COMPUTED_VALUE"""),"015-05-2023")</f>
        <v>015-05-2023</v>
      </c>
      <c r="K4171" s="164" t="str">
        <f ca="1">IFERROR(__xludf.DUMMYFUNCTION("""COMPUTED_VALUE"""),"ELPIDIO NIEL III PORRAS")</f>
        <v>ELPIDIO NIEL III PORRAS</v>
      </c>
      <c r="L4171" s="164" t="str">
        <f ca="1">IFERROR(__xludf.DUMMYFUNCTION("""COMPUTED_VALUE"""),"DARMO-ANTIPAS")</f>
        <v>DARMO-ANTIPAS</v>
      </c>
      <c r="M4171" s="164" t="str">
        <f ca="1">IFERROR(__xludf.DUMMYFUNCTION("""COMPUTED_VALUE"""),"SERVICEABLE")</f>
        <v>SERVICEABLE</v>
      </c>
      <c r="N4171" s="164"/>
    </row>
    <row r="4172" spans="1:14" ht="13.2" hidden="1">
      <c r="A4172" s="164" t="str">
        <f ca="1">IFERROR(__xludf.DUMMYFUNCTION("""COMPUTED_VALUE"""),"REGION XII")</f>
        <v>REGION XII</v>
      </c>
      <c r="B4172" s="164" t="str">
        <f ca="1">IFERROR(__xludf.DUMMYFUNCTION("""COMPUTED_VALUE"""),"COTABATO")</f>
        <v>COTABATO</v>
      </c>
      <c r="C4172" s="164" t="str">
        <f ca="1">IFERROR(__xludf.DUMMYFUNCTION("""COMPUTED_VALUE"""),"Motorcycle – (Honda XRL 150)")</f>
        <v>Motorcycle – (Honda XRL 150)</v>
      </c>
      <c r="D4172" s="164" t="str">
        <f ca="1">IFERROR(__xludf.DUMMYFUNCTION("""COMPUTED_VALUE"""),"₱ 124,900.00")</f>
        <v>₱ 124,900.00</v>
      </c>
      <c r="E4172" s="164"/>
      <c r="F4172" s="164" t="str">
        <f ca="1">IFERROR(__xludf.DUMMYFUNCTION("""COMPUTED_VALUE"""),"2023-06-01-10202SP686-01")</f>
        <v>2023-06-01-10202SP686-01</v>
      </c>
      <c r="G4172" s="164" t="str">
        <f ca="1">IFERROR(__xludf.DUMMYFUNCTION("""COMPUTED_VALUE"""),"no plate available")</f>
        <v>no plate available</v>
      </c>
      <c r="H4172" s="164" t="str">
        <f ca="1">IFERROR(__xludf.DUMMYFUNCTION("""COMPUTED_VALUE"""),"CHARLES JELO GUMBAN")</f>
        <v>CHARLES JELO GUMBAN</v>
      </c>
      <c r="I4172" s="164" t="str">
        <f ca="1">IFERROR(__xludf.DUMMYFUNCTION("""COMPUTED_VALUE"""),"ARPT")</f>
        <v>ARPT</v>
      </c>
      <c r="J4172" s="164" t="str">
        <f ca="1">IFERROR(__xludf.DUMMYFUNCTION("""COMPUTED_VALUE"""),"016-05-2023")</f>
        <v>016-05-2023</v>
      </c>
      <c r="K4172" s="164" t="str">
        <f ca="1">IFERROR(__xludf.DUMMYFUNCTION("""COMPUTED_VALUE"""),"CHARLES JELO GUMBAN")</f>
        <v>CHARLES JELO GUMBAN</v>
      </c>
      <c r="L4172" s="164" t="str">
        <f ca="1">IFERROR(__xludf.DUMMYFUNCTION("""COMPUTED_VALUE"""),"DARMO-BANISILAN")</f>
        <v>DARMO-BANISILAN</v>
      </c>
      <c r="M4172" s="164" t="str">
        <f ca="1">IFERROR(__xludf.DUMMYFUNCTION("""COMPUTED_VALUE"""),"SERVICEABLE")</f>
        <v>SERVICEABLE</v>
      </c>
      <c r="N4172" s="164"/>
    </row>
    <row r="4173" spans="1:14" ht="13.2" hidden="1">
      <c r="A4173" s="164" t="str">
        <f ca="1">IFERROR(__xludf.DUMMYFUNCTION("""COMPUTED_VALUE"""),"REGION XII")</f>
        <v>REGION XII</v>
      </c>
      <c r="B4173" s="164" t="str">
        <f ca="1">IFERROR(__xludf.DUMMYFUNCTION("""COMPUTED_VALUE"""),"COTABATO")</f>
        <v>COTABATO</v>
      </c>
      <c r="C4173" s="164" t="str">
        <f ca="1">IFERROR(__xludf.DUMMYFUNCTION("""COMPUTED_VALUE"""),"Motorcycle – (Honda XRL 150)")</f>
        <v>Motorcycle – (Honda XRL 150)</v>
      </c>
      <c r="D4173" s="164" t="str">
        <f ca="1">IFERROR(__xludf.DUMMYFUNCTION("""COMPUTED_VALUE"""),"₱ 124,900.00")</f>
        <v>₱ 124,900.00</v>
      </c>
      <c r="E4173" s="164"/>
      <c r="F4173" s="164" t="str">
        <f ca="1">IFERROR(__xludf.DUMMYFUNCTION("""COMPUTED_VALUE"""),"2023-06-01-10202SP687-01")</f>
        <v>2023-06-01-10202SP687-01</v>
      </c>
      <c r="G4173" s="164" t="str">
        <f ca="1">IFERROR(__xludf.DUMMYFUNCTION("""COMPUTED_VALUE"""),"no plate available")</f>
        <v>no plate available</v>
      </c>
      <c r="H4173" s="164" t="str">
        <f ca="1">IFERROR(__xludf.DUMMYFUNCTION("""COMPUTED_VALUE"""),"ARESCON O. MALICAY-VANVUGT")</f>
        <v>ARESCON O. MALICAY-VANVUGT</v>
      </c>
      <c r="I4173" s="164" t="str">
        <f ca="1">IFERROR(__xludf.DUMMYFUNCTION("""COMPUTED_VALUE"""),"ARPT")</f>
        <v>ARPT</v>
      </c>
      <c r="J4173" s="164" t="str">
        <f ca="1">IFERROR(__xludf.DUMMYFUNCTION("""COMPUTED_VALUE"""),"017-05-2023")</f>
        <v>017-05-2023</v>
      </c>
      <c r="K4173" s="164" t="str">
        <f ca="1">IFERROR(__xludf.DUMMYFUNCTION("""COMPUTED_VALUE"""),"ARESCON O. MALICAY-VANVUGT")</f>
        <v>ARESCON O. MALICAY-VANVUGT</v>
      </c>
      <c r="L4173" s="164" t="str">
        <f ca="1">IFERROR(__xludf.DUMMYFUNCTION("""COMPUTED_VALUE"""),"DARMO-CARMEN")</f>
        <v>DARMO-CARMEN</v>
      </c>
      <c r="M4173" s="164" t="str">
        <f ca="1">IFERROR(__xludf.DUMMYFUNCTION("""COMPUTED_VALUE"""),"SERVICEABLE")</f>
        <v>SERVICEABLE</v>
      </c>
      <c r="N4173" s="164"/>
    </row>
    <row r="4174" spans="1:14" ht="13.2" hidden="1">
      <c r="A4174" s="164" t="str">
        <f ca="1">IFERROR(__xludf.DUMMYFUNCTION("""COMPUTED_VALUE"""),"REGION XII")</f>
        <v>REGION XII</v>
      </c>
      <c r="B4174" s="164" t="str">
        <f ca="1">IFERROR(__xludf.DUMMYFUNCTION("""COMPUTED_VALUE"""),"COTABATO")</f>
        <v>COTABATO</v>
      </c>
      <c r="C4174" s="164" t="str">
        <f ca="1">IFERROR(__xludf.DUMMYFUNCTION("""COMPUTED_VALUE"""),"Motorcycle – (Honda XRL 150)")</f>
        <v>Motorcycle – (Honda XRL 150)</v>
      </c>
      <c r="D4174" s="164" t="str">
        <f ca="1">IFERROR(__xludf.DUMMYFUNCTION("""COMPUTED_VALUE"""),"₱ 124,900.00")</f>
        <v>₱ 124,900.00</v>
      </c>
      <c r="E4174" s="164"/>
      <c r="F4174" s="164" t="str">
        <f ca="1">IFERROR(__xludf.DUMMYFUNCTION("""COMPUTED_VALUE"""),"2023-06-01-10202SP688-01")</f>
        <v>2023-06-01-10202SP688-01</v>
      </c>
      <c r="G4174" s="164" t="str">
        <f ca="1">IFERROR(__xludf.DUMMYFUNCTION("""COMPUTED_VALUE"""),"no plate available")</f>
        <v>no plate available</v>
      </c>
      <c r="H4174" s="164" t="str">
        <f ca="1">IFERROR(__xludf.DUMMYFUNCTION("""COMPUTED_VALUE"""),"WENILYN E. COMISSION")</f>
        <v>WENILYN E. COMISSION</v>
      </c>
      <c r="I4174" s="164" t="str">
        <f ca="1">IFERROR(__xludf.DUMMYFUNCTION("""COMPUTED_VALUE"""),"SARPT")</f>
        <v>SARPT</v>
      </c>
      <c r="J4174" s="164" t="str">
        <f ca="1">IFERROR(__xludf.DUMMYFUNCTION("""COMPUTED_VALUE"""),"018-05-2023")</f>
        <v>018-05-2023</v>
      </c>
      <c r="K4174" s="164" t="str">
        <f ca="1">IFERROR(__xludf.DUMMYFUNCTION("""COMPUTED_VALUE"""),"WENILYN E. COMISSION")</f>
        <v>WENILYN E. COMISSION</v>
      </c>
      <c r="L4174" s="164" t="str">
        <f ca="1">IFERROR(__xludf.DUMMYFUNCTION("""COMPUTED_VALUE"""),"DARMO-KABACAN")</f>
        <v>DARMO-KABACAN</v>
      </c>
      <c r="M4174" s="164" t="str">
        <f ca="1">IFERROR(__xludf.DUMMYFUNCTION("""COMPUTED_VALUE"""),"SERVICEABLE")</f>
        <v>SERVICEABLE</v>
      </c>
      <c r="N4174" s="164"/>
    </row>
    <row r="4175" spans="1:14" ht="13.2" hidden="1">
      <c r="A4175" s="164" t="str">
        <f ca="1">IFERROR(__xludf.DUMMYFUNCTION("""COMPUTED_VALUE"""),"REGION XII")</f>
        <v>REGION XII</v>
      </c>
      <c r="B4175" s="164" t="str">
        <f ca="1">IFERROR(__xludf.DUMMYFUNCTION("""COMPUTED_VALUE"""),"COTABATO")</f>
        <v>COTABATO</v>
      </c>
      <c r="C4175" s="164" t="str">
        <f ca="1">IFERROR(__xludf.DUMMYFUNCTION("""COMPUTED_VALUE"""),"Motorcycle – (Honda XRL 150)")</f>
        <v>Motorcycle – (Honda XRL 150)</v>
      </c>
      <c r="D4175" s="164" t="str">
        <f ca="1">IFERROR(__xludf.DUMMYFUNCTION("""COMPUTED_VALUE"""),"₱ 124,900.00")</f>
        <v>₱ 124,900.00</v>
      </c>
      <c r="E4175" s="164"/>
      <c r="F4175" s="164" t="str">
        <f ca="1">IFERROR(__xludf.DUMMYFUNCTION("""COMPUTED_VALUE"""),"2023-06-01-10202SP690-01")</f>
        <v>2023-06-01-10202SP690-01</v>
      </c>
      <c r="G4175" s="164" t="str">
        <f ca="1">IFERROR(__xludf.DUMMYFUNCTION("""COMPUTED_VALUE"""),"no plate available")</f>
        <v>no plate available</v>
      </c>
      <c r="H4175" s="164" t="str">
        <f ca="1">IFERROR(__xludf.DUMMYFUNCTION("""COMPUTED_VALUE"""),"MICHAEL D. ALCORDO")</f>
        <v>MICHAEL D. ALCORDO</v>
      </c>
      <c r="I4175" s="164" t="str">
        <f ca="1">IFERROR(__xludf.DUMMYFUNCTION("""COMPUTED_VALUE"""),"ARPT")</f>
        <v>ARPT</v>
      </c>
      <c r="J4175" s="164" t="str">
        <f ca="1">IFERROR(__xludf.DUMMYFUNCTION("""COMPUTED_VALUE"""),"020-05-2023")</f>
        <v>020-05-2023</v>
      </c>
      <c r="K4175" s="164" t="str">
        <f ca="1">IFERROR(__xludf.DUMMYFUNCTION("""COMPUTED_VALUE"""),"MICHAEL D. ALCORDO")</f>
        <v>MICHAEL D. ALCORDO</v>
      </c>
      <c r="L4175" s="164" t="str">
        <f ca="1">IFERROR(__xludf.DUMMYFUNCTION("""COMPUTED_VALUE"""),"DARMO-LIBUNGAN")</f>
        <v>DARMO-LIBUNGAN</v>
      </c>
      <c r="M4175" s="164" t="str">
        <f ca="1">IFERROR(__xludf.DUMMYFUNCTION("""COMPUTED_VALUE"""),"SERVICEABLE")</f>
        <v>SERVICEABLE</v>
      </c>
      <c r="N4175" s="164"/>
    </row>
    <row r="4176" spans="1:14" ht="13.2" hidden="1">
      <c r="A4176" s="164" t="str">
        <f ca="1">IFERROR(__xludf.DUMMYFUNCTION("""COMPUTED_VALUE"""),"REGION XII")</f>
        <v>REGION XII</v>
      </c>
      <c r="B4176" s="164" t="str">
        <f ca="1">IFERROR(__xludf.DUMMYFUNCTION("""COMPUTED_VALUE"""),"COTABATO")</f>
        <v>COTABATO</v>
      </c>
      <c r="C4176" s="164" t="str">
        <f ca="1">IFERROR(__xludf.DUMMYFUNCTION("""COMPUTED_VALUE"""),"Motorcycle – (Honda XRL 150)")</f>
        <v>Motorcycle – (Honda XRL 150)</v>
      </c>
      <c r="D4176" s="164" t="str">
        <f ca="1">IFERROR(__xludf.DUMMYFUNCTION("""COMPUTED_VALUE"""),"₱ 124,900.00")</f>
        <v>₱ 124,900.00</v>
      </c>
      <c r="E4176" s="164"/>
      <c r="F4176" s="164" t="str">
        <f ca="1">IFERROR(__xludf.DUMMYFUNCTION("""COMPUTED_VALUE"""),"2023-06-01-10202SP691-01")</f>
        <v>2023-06-01-10202SP691-01</v>
      </c>
      <c r="G4176" s="164" t="str">
        <f ca="1">IFERROR(__xludf.DUMMYFUNCTION("""COMPUTED_VALUE"""),"no plate available")</f>
        <v>no plate available</v>
      </c>
      <c r="H4176" s="164" t="str">
        <f ca="1">IFERROR(__xludf.DUMMYFUNCTION("""COMPUTED_VALUE"""),"IAN SIDNEY M. BELVIS")</f>
        <v>IAN SIDNEY M. BELVIS</v>
      </c>
      <c r="I4176" s="164" t="str">
        <f ca="1">IFERROR(__xludf.DUMMYFUNCTION("""COMPUTED_VALUE"""),"ARPT")</f>
        <v>ARPT</v>
      </c>
      <c r="J4176" s="164" t="str">
        <f ca="1">IFERROR(__xludf.DUMMYFUNCTION("""COMPUTED_VALUE"""),"021-05-2023")</f>
        <v>021-05-2023</v>
      </c>
      <c r="K4176" s="164" t="str">
        <f ca="1">IFERROR(__xludf.DUMMYFUNCTION("""COMPUTED_VALUE"""),"GENERAL DISPATCH")</f>
        <v>GENERAL DISPATCH</v>
      </c>
      <c r="L4176" s="164" t="str">
        <f ca="1">IFERROR(__xludf.DUMMYFUNCTION("""COMPUTED_VALUE"""),"DARMO-MAGPET")</f>
        <v>DARMO-MAGPET</v>
      </c>
      <c r="M4176" s="164" t="str">
        <f ca="1">IFERROR(__xludf.DUMMYFUNCTION("""COMPUTED_VALUE"""),"SERVICEABLE")</f>
        <v>SERVICEABLE</v>
      </c>
      <c r="N4176" s="164"/>
    </row>
    <row r="4177" spans="1:14" ht="13.2" hidden="1">
      <c r="A4177" s="164" t="str">
        <f ca="1">IFERROR(__xludf.DUMMYFUNCTION("""COMPUTED_VALUE"""),"REGION XII")</f>
        <v>REGION XII</v>
      </c>
      <c r="B4177" s="164" t="str">
        <f ca="1">IFERROR(__xludf.DUMMYFUNCTION("""COMPUTED_VALUE"""),"COTABATO")</f>
        <v>COTABATO</v>
      </c>
      <c r="C4177" s="164" t="str">
        <f ca="1">IFERROR(__xludf.DUMMYFUNCTION("""COMPUTED_VALUE"""),"Motorcycle – (Honda XRL 150)")</f>
        <v>Motorcycle – (Honda XRL 150)</v>
      </c>
      <c r="D4177" s="164" t="str">
        <f ca="1">IFERROR(__xludf.DUMMYFUNCTION("""COMPUTED_VALUE"""),"₱ 124,900.00")</f>
        <v>₱ 124,900.00</v>
      </c>
      <c r="E4177" s="164"/>
      <c r="F4177" s="164" t="str">
        <f ca="1">IFERROR(__xludf.DUMMYFUNCTION("""COMPUTED_VALUE"""),"2023-06-01-10202SP692-01")</f>
        <v>2023-06-01-10202SP692-01</v>
      </c>
      <c r="G4177" s="164" t="str">
        <f ca="1">IFERROR(__xludf.DUMMYFUNCTION("""COMPUTED_VALUE"""),"no plate available")</f>
        <v>no plate available</v>
      </c>
      <c r="H4177" s="164" t="str">
        <f ca="1">IFERROR(__xludf.DUMMYFUNCTION("""COMPUTED_VALUE"""),"ELMER T. YURAG")</f>
        <v>ELMER T. YURAG</v>
      </c>
      <c r="I4177" s="164" t="str">
        <f ca="1">IFERROR(__xludf.DUMMYFUNCTION("""COMPUTED_VALUE"""),"ARPT")</f>
        <v>ARPT</v>
      </c>
      <c r="J4177" s="164" t="str">
        <f ca="1">IFERROR(__xludf.DUMMYFUNCTION("""COMPUTED_VALUE"""),"022-05-2023")</f>
        <v>022-05-2023</v>
      </c>
      <c r="K4177" s="164" t="str">
        <f ca="1">IFERROR(__xludf.DUMMYFUNCTION("""COMPUTED_VALUE"""),"ELMER T. YURAG")</f>
        <v>ELMER T. YURAG</v>
      </c>
      <c r="L4177" s="164" t="str">
        <f ca="1">IFERROR(__xludf.DUMMYFUNCTION("""COMPUTED_VALUE"""),"DARMO-TULUNAN")</f>
        <v>DARMO-TULUNAN</v>
      </c>
      <c r="M4177" s="164" t="str">
        <f ca="1">IFERROR(__xludf.DUMMYFUNCTION("""COMPUTED_VALUE"""),"SERVICEABLE")</f>
        <v>SERVICEABLE</v>
      </c>
      <c r="N4177" s="164"/>
    </row>
    <row r="4178" spans="1:14" ht="13.2" hidden="1">
      <c r="A4178" s="164" t="str">
        <f ca="1">IFERROR(__xludf.DUMMYFUNCTION("""COMPUTED_VALUE"""),"REGION XII")</f>
        <v>REGION XII</v>
      </c>
      <c r="B4178" s="164" t="str">
        <f ca="1">IFERROR(__xludf.DUMMYFUNCTION("""COMPUTED_VALUE"""),"COTABATO")</f>
        <v>COTABATO</v>
      </c>
      <c r="C4178" s="164" t="str">
        <f ca="1">IFERROR(__xludf.DUMMYFUNCTION("""COMPUTED_VALUE"""),"Motorcycle – (Honda XRL 150)")</f>
        <v>Motorcycle – (Honda XRL 150)</v>
      </c>
      <c r="D4178" s="164" t="str">
        <f ca="1">IFERROR(__xludf.DUMMYFUNCTION("""COMPUTED_VALUE"""),"₱ 124,900.00")</f>
        <v>₱ 124,900.00</v>
      </c>
      <c r="E4178" s="164"/>
      <c r="F4178" s="164" t="str">
        <f ca="1">IFERROR(__xludf.DUMMYFUNCTION("""COMPUTED_VALUE"""),"2023-06-01-10202SP693-01")</f>
        <v>2023-06-01-10202SP693-01</v>
      </c>
      <c r="G4178" s="164" t="str">
        <f ca="1">IFERROR(__xludf.DUMMYFUNCTION("""COMPUTED_VALUE"""),"no plate available")</f>
        <v>no plate available</v>
      </c>
      <c r="H4178" s="164" t="str">
        <f ca="1">IFERROR(__xludf.DUMMYFUNCTION("""COMPUTED_VALUE"""),"LEA ANN CIMPRON")</f>
        <v>LEA ANN CIMPRON</v>
      </c>
      <c r="I4178" s="164" t="str">
        <f ca="1">IFERROR(__xludf.DUMMYFUNCTION("""COMPUTED_VALUE"""),"SARPT")</f>
        <v>SARPT</v>
      </c>
      <c r="J4178" s="164" t="str">
        <f ca="1">IFERROR(__xludf.DUMMYFUNCTION("""COMPUTED_VALUE"""),"023-05-2023")</f>
        <v>023-05-2023</v>
      </c>
      <c r="K4178" s="164" t="str">
        <f ca="1">IFERROR(__xludf.DUMMYFUNCTION("""COMPUTED_VALUE"""),"LEA ANN CIMPRON")</f>
        <v>LEA ANN CIMPRON</v>
      </c>
      <c r="L4178" s="164" t="str">
        <f ca="1">IFERROR(__xludf.DUMMYFUNCTION("""COMPUTED_VALUE"""),"DARMO-MAKILALA")</f>
        <v>DARMO-MAKILALA</v>
      </c>
      <c r="M4178" s="164" t="str">
        <f ca="1">IFERROR(__xludf.DUMMYFUNCTION("""COMPUTED_VALUE"""),"SERVICEABLE")</f>
        <v>SERVICEABLE</v>
      </c>
      <c r="N4178" s="164"/>
    </row>
    <row r="4179" spans="1:14" ht="13.2" hidden="1">
      <c r="A4179" s="164" t="str">
        <f ca="1">IFERROR(__xludf.DUMMYFUNCTION("""COMPUTED_VALUE"""),"REGION XII")</f>
        <v>REGION XII</v>
      </c>
      <c r="B4179" s="164" t="str">
        <f ca="1">IFERROR(__xludf.DUMMYFUNCTION("""COMPUTED_VALUE"""),"COTABATO")</f>
        <v>COTABATO</v>
      </c>
      <c r="C4179" s="164" t="str">
        <f ca="1">IFERROR(__xludf.DUMMYFUNCTION("""COMPUTED_VALUE"""),"Motorcycle – (Honda XRL 150)")</f>
        <v>Motorcycle – (Honda XRL 150)</v>
      </c>
      <c r="D4179" s="164" t="str">
        <f ca="1">IFERROR(__xludf.DUMMYFUNCTION("""COMPUTED_VALUE"""),"₱ 124,900.00")</f>
        <v>₱ 124,900.00</v>
      </c>
      <c r="E4179" s="164"/>
      <c r="F4179" s="164" t="str">
        <f ca="1">IFERROR(__xludf.DUMMYFUNCTION("""COMPUTED_VALUE"""),"2023-06-01-10202SP694-01")</f>
        <v>2023-06-01-10202SP694-01</v>
      </c>
      <c r="G4179" s="164" t="str">
        <f ca="1">IFERROR(__xludf.DUMMYFUNCTION("""COMPUTED_VALUE"""),"no plate available")</f>
        <v>no plate available</v>
      </c>
      <c r="H4179" s="164" t="str">
        <f ca="1">IFERROR(__xludf.DUMMYFUNCTION("""COMPUTED_VALUE"""),"JESSIE TACUYAN")</f>
        <v>JESSIE TACUYAN</v>
      </c>
      <c r="I4179" s="164" t="str">
        <f ca="1">IFERROR(__xludf.DUMMYFUNCTION("""COMPUTED_VALUE"""),"ARPT")</f>
        <v>ARPT</v>
      </c>
      <c r="J4179" s="164" t="str">
        <f ca="1">IFERROR(__xludf.DUMMYFUNCTION("""COMPUTED_VALUE"""),"024-05-2023")</f>
        <v>024-05-2023</v>
      </c>
      <c r="K4179" s="164" t="str">
        <f ca="1">IFERROR(__xludf.DUMMYFUNCTION("""COMPUTED_VALUE"""),"JESSIE TACUYAN")</f>
        <v>JESSIE TACUYAN</v>
      </c>
      <c r="L4179" s="164" t="str">
        <f ca="1">IFERROR(__xludf.DUMMYFUNCTION("""COMPUTED_VALUE"""),"DARMO-MATALAM")</f>
        <v>DARMO-MATALAM</v>
      </c>
      <c r="M4179" s="164" t="str">
        <f ca="1">IFERROR(__xludf.DUMMYFUNCTION("""COMPUTED_VALUE"""),"SERVICEABLE")</f>
        <v>SERVICEABLE</v>
      </c>
      <c r="N4179" s="164"/>
    </row>
    <row r="4180" spans="1:14" ht="13.2" hidden="1">
      <c r="A4180" s="164" t="str">
        <f ca="1">IFERROR(__xludf.DUMMYFUNCTION("""COMPUTED_VALUE"""),"REGION XII")</f>
        <v>REGION XII</v>
      </c>
      <c r="B4180" s="164" t="str">
        <f ca="1">IFERROR(__xludf.DUMMYFUNCTION("""COMPUTED_VALUE"""),"COTABATO")</f>
        <v>COTABATO</v>
      </c>
      <c r="C4180" s="164" t="str">
        <f ca="1">IFERROR(__xludf.DUMMYFUNCTION("""COMPUTED_VALUE"""),"Motorcycle – (Honda XRL 150)")</f>
        <v>Motorcycle – (Honda XRL 150)</v>
      </c>
      <c r="D4180" s="164" t="str">
        <f ca="1">IFERROR(__xludf.DUMMYFUNCTION("""COMPUTED_VALUE"""),"₱ 124,900.00")</f>
        <v>₱ 124,900.00</v>
      </c>
      <c r="E4180" s="164"/>
      <c r="F4180" s="164" t="str">
        <f ca="1">IFERROR(__xludf.DUMMYFUNCTION("""COMPUTED_VALUE"""),"2023-06-01-10202SP695-01")</f>
        <v>2023-06-01-10202SP695-01</v>
      </c>
      <c r="G4180" s="164" t="str">
        <f ca="1">IFERROR(__xludf.DUMMYFUNCTION("""COMPUTED_VALUE"""),"no plate available")</f>
        <v>no plate available</v>
      </c>
      <c r="H4180" s="164" t="str">
        <f ca="1">IFERROR(__xludf.DUMMYFUNCTION("""COMPUTED_VALUE"""),"RYANN Q. GELACIO")</f>
        <v>RYANN Q. GELACIO</v>
      </c>
      <c r="I4180" s="164" t="str">
        <f ca="1">IFERROR(__xludf.DUMMYFUNCTION("""COMPUTED_VALUE"""),"SARPT")</f>
        <v>SARPT</v>
      </c>
      <c r="J4180" s="164" t="str">
        <f ca="1">IFERROR(__xludf.DUMMYFUNCTION("""COMPUTED_VALUE"""),"025-05-2023")</f>
        <v>025-05-2023</v>
      </c>
      <c r="K4180" s="164" t="str">
        <f ca="1">IFERROR(__xludf.DUMMYFUNCTION("""COMPUTED_VALUE"""),"RYANN Q. GELACIO")</f>
        <v>RYANN Q. GELACIO</v>
      </c>
      <c r="L4180" s="164" t="str">
        <f ca="1">IFERROR(__xludf.DUMMYFUNCTION("""COMPUTED_VALUE"""),"DARMO-ALEOSAN")</f>
        <v>DARMO-ALEOSAN</v>
      </c>
      <c r="M4180" s="164" t="str">
        <f ca="1">IFERROR(__xludf.DUMMYFUNCTION("""COMPUTED_VALUE"""),"SERVICEABLE")</f>
        <v>SERVICEABLE</v>
      </c>
      <c r="N4180" s="164"/>
    </row>
    <row r="4181" spans="1:14" ht="13.2" hidden="1">
      <c r="A4181" s="164" t="str">
        <f ca="1">IFERROR(__xludf.DUMMYFUNCTION("""COMPUTED_VALUE"""),"REGION XII")</f>
        <v>REGION XII</v>
      </c>
      <c r="B4181" s="164" t="str">
        <f ca="1">IFERROR(__xludf.DUMMYFUNCTION("""COMPUTED_VALUE"""),"COTABATO")</f>
        <v>COTABATO</v>
      </c>
      <c r="C4181" s="164" t="str">
        <f ca="1">IFERROR(__xludf.DUMMYFUNCTION("""COMPUTED_VALUE"""),"Motorcycle – (Honda XRL 150)")</f>
        <v>Motorcycle – (Honda XRL 150)</v>
      </c>
      <c r="D4181" s="164" t="str">
        <f ca="1">IFERROR(__xludf.DUMMYFUNCTION("""COMPUTED_VALUE"""),"₱ 124,900.00")</f>
        <v>₱ 124,900.00</v>
      </c>
      <c r="E4181" s="164"/>
      <c r="F4181" s="164" t="str">
        <f ca="1">IFERROR(__xludf.DUMMYFUNCTION("""COMPUTED_VALUE"""),"2023-06-01-10202SP696-01")</f>
        <v>2023-06-01-10202SP696-01</v>
      </c>
      <c r="G4181" s="164" t="str">
        <f ca="1">IFERROR(__xludf.DUMMYFUNCTION("""COMPUTED_VALUE"""),"no plate available")</f>
        <v>no plate available</v>
      </c>
      <c r="H4181" s="164" t="str">
        <f ca="1">IFERROR(__xludf.DUMMYFUNCTION("""COMPUTED_VALUE"""),"JOSE MARIE V. GENTICA")</f>
        <v>JOSE MARIE V. GENTICA</v>
      </c>
      <c r="I4181" s="164" t="str">
        <f ca="1">IFERROR(__xludf.DUMMYFUNCTION("""COMPUTED_VALUE"""),"ARPT")</f>
        <v>ARPT</v>
      </c>
      <c r="J4181" s="164" t="str">
        <f ca="1">IFERROR(__xludf.DUMMYFUNCTION("""COMPUTED_VALUE"""),"026-05-2023")</f>
        <v>026-05-2023</v>
      </c>
      <c r="K4181" s="164" t="str">
        <f ca="1">IFERROR(__xludf.DUMMYFUNCTION("""COMPUTED_VALUE"""),"JOSE MARIE V. GENTICA")</f>
        <v>JOSE MARIE V. GENTICA</v>
      </c>
      <c r="L4181" s="164" t="str">
        <f ca="1">IFERROR(__xludf.DUMMYFUNCTION("""COMPUTED_VALUE"""),"DARMO-MLANG")</f>
        <v>DARMO-MLANG</v>
      </c>
      <c r="M4181" s="164" t="str">
        <f ca="1">IFERROR(__xludf.DUMMYFUNCTION("""COMPUTED_VALUE"""),"SERVICEABLE")</f>
        <v>SERVICEABLE</v>
      </c>
      <c r="N4181" s="164"/>
    </row>
    <row r="4182" spans="1:14" ht="13.2" hidden="1">
      <c r="A4182" s="164" t="str">
        <f ca="1">IFERROR(__xludf.DUMMYFUNCTION("""COMPUTED_VALUE"""),"REGION XII")</f>
        <v>REGION XII</v>
      </c>
      <c r="B4182" s="164" t="str">
        <f ca="1">IFERROR(__xludf.DUMMYFUNCTION("""COMPUTED_VALUE"""),"COTABATO")</f>
        <v>COTABATO</v>
      </c>
      <c r="C4182" s="164" t="str">
        <f ca="1">IFERROR(__xludf.DUMMYFUNCTION("""COMPUTED_VALUE"""),"Motorcycle – (Honda XRL 150)")</f>
        <v>Motorcycle – (Honda XRL 150)</v>
      </c>
      <c r="D4182" s="164" t="str">
        <f ca="1">IFERROR(__xludf.DUMMYFUNCTION("""COMPUTED_VALUE"""),"₱ 124,900.00")</f>
        <v>₱ 124,900.00</v>
      </c>
      <c r="E4182" s="164"/>
      <c r="F4182" s="164" t="str">
        <f ca="1">IFERROR(__xludf.DUMMYFUNCTION("""COMPUTED_VALUE"""),"2023-06-01-10202SP697-01")</f>
        <v>2023-06-01-10202SP697-01</v>
      </c>
      <c r="G4182" s="164" t="str">
        <f ca="1">IFERROR(__xludf.DUMMYFUNCTION("""COMPUTED_VALUE"""),"no plate available")</f>
        <v>no plate available</v>
      </c>
      <c r="H4182" s="164" t="str">
        <f ca="1">IFERROR(__xludf.DUMMYFUNCTION("""COMPUTED_VALUE"""),"HENRY T. GUILLERMO")</f>
        <v>HENRY T. GUILLERMO</v>
      </c>
      <c r="I4182" s="164" t="str">
        <f ca="1">IFERROR(__xludf.DUMMYFUNCTION("""COMPUTED_VALUE"""),"ARPT")</f>
        <v>ARPT</v>
      </c>
      <c r="J4182" s="164" t="str">
        <f ca="1">IFERROR(__xludf.DUMMYFUNCTION("""COMPUTED_VALUE"""),"027-05-2023")</f>
        <v>027-05-2023</v>
      </c>
      <c r="K4182" s="164" t="str">
        <f ca="1">IFERROR(__xludf.DUMMYFUNCTION("""COMPUTED_VALUE"""),"HENRY T. GUILLERMO")</f>
        <v>HENRY T. GUILLERMO</v>
      </c>
      <c r="L4182" s="164" t="str">
        <f ca="1">IFERROR(__xludf.DUMMYFUNCTION("""COMPUTED_VALUE"""),"DARMO-LIBUNGAN")</f>
        <v>DARMO-LIBUNGAN</v>
      </c>
      <c r="M4182" s="164" t="str">
        <f ca="1">IFERROR(__xludf.DUMMYFUNCTION("""COMPUTED_VALUE"""),"SERVICEABLE")</f>
        <v>SERVICEABLE</v>
      </c>
      <c r="N4182" s="164"/>
    </row>
    <row r="4183" spans="1:14" ht="13.2" hidden="1">
      <c r="A4183" s="164" t="str">
        <f ca="1">IFERROR(__xludf.DUMMYFUNCTION("""COMPUTED_VALUE"""),"REGION XII")</f>
        <v>REGION XII</v>
      </c>
      <c r="B4183" s="164" t="str">
        <f ca="1">IFERROR(__xludf.DUMMYFUNCTION("""COMPUTED_VALUE"""),"COTABATO")</f>
        <v>COTABATO</v>
      </c>
      <c r="C4183" s="164" t="str">
        <f ca="1">IFERROR(__xludf.DUMMYFUNCTION("""COMPUTED_VALUE"""),"Motorcycle – (Honda XRL 150)")</f>
        <v>Motorcycle – (Honda XRL 150)</v>
      </c>
      <c r="D4183" s="164" t="str">
        <f ca="1">IFERROR(__xludf.DUMMYFUNCTION("""COMPUTED_VALUE"""),"₱ 124,900.00")</f>
        <v>₱ 124,900.00</v>
      </c>
      <c r="E4183" s="164"/>
      <c r="F4183" s="164" t="str">
        <f ca="1">IFERROR(__xludf.DUMMYFUNCTION("""COMPUTED_VALUE"""),"2023-06-01-10202SP698-01")</f>
        <v>2023-06-01-10202SP698-01</v>
      </c>
      <c r="G4183" s="164" t="str">
        <f ca="1">IFERROR(__xludf.DUMMYFUNCTION("""COMPUTED_VALUE"""),"no plate available")</f>
        <v>no plate available</v>
      </c>
      <c r="H4183" s="164" t="str">
        <f ca="1">IFERROR(__xludf.DUMMYFUNCTION("""COMPUTED_VALUE"""),"MOHAMMAD NASSIF BASHERON")</f>
        <v>MOHAMMAD NASSIF BASHERON</v>
      </c>
      <c r="I4183" s="164" t="str">
        <f ca="1">IFERROR(__xludf.DUMMYFUNCTION("""COMPUTED_VALUE"""),"ARPT")</f>
        <v>ARPT</v>
      </c>
      <c r="J4183" s="164" t="str">
        <f ca="1">IFERROR(__xludf.DUMMYFUNCTION("""COMPUTED_VALUE"""),"028-05-2023")</f>
        <v>028-05-2023</v>
      </c>
      <c r="K4183" s="164" t="str">
        <f ca="1">IFERROR(__xludf.DUMMYFUNCTION("""COMPUTED_VALUE"""),"MOHAMMAD NASSIF BASHERON")</f>
        <v>MOHAMMAD NASSIF BASHERON</v>
      </c>
      <c r="L4183" s="164" t="str">
        <f ca="1">IFERROR(__xludf.DUMMYFUNCTION("""COMPUTED_VALUE"""),"DARMO-PIKIT")</f>
        <v>DARMO-PIKIT</v>
      </c>
      <c r="M4183" s="164" t="str">
        <f ca="1">IFERROR(__xludf.DUMMYFUNCTION("""COMPUTED_VALUE"""),"SERVICEABLE")</f>
        <v>SERVICEABLE</v>
      </c>
      <c r="N4183" s="164"/>
    </row>
    <row r="4184" spans="1:14" ht="13.2" hidden="1">
      <c r="A4184" s="164" t="str">
        <f ca="1">IFERROR(__xludf.DUMMYFUNCTION("""COMPUTED_VALUE"""),"REGION XII")</f>
        <v>REGION XII</v>
      </c>
      <c r="B4184" s="164" t="str">
        <f ca="1">IFERROR(__xludf.DUMMYFUNCTION("""COMPUTED_VALUE"""),"COTABATO")</f>
        <v>COTABATO</v>
      </c>
      <c r="C4184" s="164" t="str">
        <f ca="1">IFERROR(__xludf.DUMMYFUNCTION("""COMPUTED_VALUE"""),"Motorcycle – (Honda XRL 150)")</f>
        <v>Motorcycle – (Honda XRL 150)</v>
      </c>
      <c r="D4184" s="164" t="str">
        <f ca="1">IFERROR(__xludf.DUMMYFUNCTION("""COMPUTED_VALUE"""),"₱ 124,900.00")</f>
        <v>₱ 124,900.00</v>
      </c>
      <c r="E4184" s="164"/>
      <c r="F4184" s="164" t="str">
        <f ca="1">IFERROR(__xludf.DUMMYFUNCTION("""COMPUTED_VALUE"""),"2023-06-01-10202SP699-01")</f>
        <v>2023-06-01-10202SP699-01</v>
      </c>
      <c r="G4184" s="164" t="str">
        <f ca="1">IFERROR(__xludf.DUMMYFUNCTION("""COMPUTED_VALUE"""),"no plate available")</f>
        <v>no plate available</v>
      </c>
      <c r="H4184" s="164" t="str">
        <f ca="1">IFERROR(__xludf.DUMMYFUNCTION("""COMPUTED_VALUE"""),"NOLI A. AGUILAR")</f>
        <v>NOLI A. AGUILAR</v>
      </c>
      <c r="I4184" s="164" t="str">
        <f ca="1">IFERROR(__xludf.DUMMYFUNCTION("""COMPUTED_VALUE"""),"SARPT")</f>
        <v>SARPT</v>
      </c>
      <c r="J4184" s="164" t="str">
        <f ca="1">IFERROR(__xludf.DUMMYFUNCTION("""COMPUTED_VALUE"""),"029-05-2023")</f>
        <v>029-05-2023</v>
      </c>
      <c r="K4184" s="164" t="str">
        <f ca="1">IFERROR(__xludf.DUMMYFUNCTION("""COMPUTED_VALUE"""),"NOLI A. AGUILAR")</f>
        <v>NOLI A. AGUILAR</v>
      </c>
      <c r="L4184" s="164" t="str">
        <f ca="1">IFERROR(__xludf.DUMMYFUNCTION("""COMPUTED_VALUE"""),"DARMO-PRES.ROXAS")</f>
        <v>DARMO-PRES.ROXAS</v>
      </c>
      <c r="M4184" s="164" t="str">
        <f ca="1">IFERROR(__xludf.DUMMYFUNCTION("""COMPUTED_VALUE"""),"SERVICEABLE")</f>
        <v>SERVICEABLE</v>
      </c>
      <c r="N4184" s="164"/>
    </row>
    <row r="4185" spans="1:14" ht="13.2" hidden="1">
      <c r="A4185" s="164" t="str">
        <f ca="1">IFERROR(__xludf.DUMMYFUNCTION("""COMPUTED_VALUE"""),"REGION XII")</f>
        <v>REGION XII</v>
      </c>
      <c r="B4185" s="164" t="str">
        <f ca="1">IFERROR(__xludf.DUMMYFUNCTION("""COMPUTED_VALUE"""),"COTABATO")</f>
        <v>COTABATO</v>
      </c>
      <c r="C4185" s="164" t="str">
        <f ca="1">IFERROR(__xludf.DUMMYFUNCTION("""COMPUTED_VALUE"""),"Motorcycle – (Honda XRL 150)")</f>
        <v>Motorcycle – (Honda XRL 150)</v>
      </c>
      <c r="D4185" s="164" t="str">
        <f ca="1">IFERROR(__xludf.DUMMYFUNCTION("""COMPUTED_VALUE"""),"₱ 124,900.00")</f>
        <v>₱ 124,900.00</v>
      </c>
      <c r="E4185" s="164"/>
      <c r="F4185" s="164" t="str">
        <f ca="1">IFERROR(__xludf.DUMMYFUNCTION("""COMPUTED_VALUE"""),"2023-06-01-10202SP700-01")</f>
        <v>2023-06-01-10202SP700-01</v>
      </c>
      <c r="G4185" s="164" t="str">
        <f ca="1">IFERROR(__xludf.DUMMYFUNCTION("""COMPUTED_VALUE"""),"no plate available")</f>
        <v>no plate available</v>
      </c>
      <c r="H4185" s="164" t="str">
        <f ca="1">IFERROR(__xludf.DUMMYFUNCTION("""COMPUTED_VALUE"""),"NOR HASSSAN PANDAPATAN")</f>
        <v>NOR HASSSAN PANDAPATAN</v>
      </c>
      <c r="I4185" s="164" t="str">
        <f ca="1">IFERROR(__xludf.DUMMYFUNCTION("""COMPUTED_VALUE"""),"SARPT")</f>
        <v>SARPT</v>
      </c>
      <c r="J4185" s="164" t="str">
        <f ca="1">IFERROR(__xludf.DUMMYFUNCTION("""COMPUTED_VALUE"""),"030-05-2023")</f>
        <v>030-05-2023</v>
      </c>
      <c r="K4185" s="164" t="str">
        <f ca="1">IFERROR(__xludf.DUMMYFUNCTION("""COMPUTED_VALUE"""),"NOR HASSSAN PANDAPATAN")</f>
        <v>NOR HASSSAN PANDAPATAN</v>
      </c>
      <c r="L4185" s="164" t="str">
        <f ca="1">IFERROR(__xludf.DUMMYFUNCTION("""COMPUTED_VALUE"""),"DARMO-TULUNAN")</f>
        <v>DARMO-TULUNAN</v>
      </c>
      <c r="M4185" s="164" t="str">
        <f ca="1">IFERROR(__xludf.DUMMYFUNCTION("""COMPUTED_VALUE"""),"SERVICEABLE")</f>
        <v>SERVICEABLE</v>
      </c>
      <c r="N4185" s="164"/>
    </row>
    <row r="4186" spans="1:14" ht="13.2" hidden="1">
      <c r="A4186" s="164" t="str">
        <f ca="1">IFERROR(__xludf.DUMMYFUNCTION("""COMPUTED_VALUE"""),"REGION XII")</f>
        <v>REGION XII</v>
      </c>
      <c r="B4186" s="164" t="str">
        <f ca="1">IFERROR(__xludf.DUMMYFUNCTION("""COMPUTED_VALUE"""),"COTABATO")</f>
        <v>COTABATO</v>
      </c>
      <c r="C4186" s="164" t="str">
        <f ca="1">IFERROR(__xludf.DUMMYFUNCTION("""COMPUTED_VALUE"""),"Motorcycle – (Honda XRL 150)")</f>
        <v>Motorcycle – (Honda XRL 150)</v>
      </c>
      <c r="D4186" s="164" t="str">
        <f ca="1">IFERROR(__xludf.DUMMYFUNCTION("""COMPUTED_VALUE"""),"₱ 124,900.00")</f>
        <v>₱ 124,900.00</v>
      </c>
      <c r="E4186" s="164"/>
      <c r="F4186" s="164" t="str">
        <f ca="1">IFERROR(__xludf.DUMMYFUNCTION("""COMPUTED_VALUE"""),"2023-06-01-10202SP701-01")</f>
        <v>2023-06-01-10202SP701-01</v>
      </c>
      <c r="G4186" s="164" t="str">
        <f ca="1">IFERROR(__xludf.DUMMYFUNCTION("""COMPUTED_VALUE"""),"no plate available")</f>
        <v>no plate available</v>
      </c>
      <c r="H4186" s="164" t="str">
        <f ca="1">IFERROR(__xludf.DUMMYFUNCTION("""COMPUTED_VALUE"""),"JULIUS CEAZAR BAHINTING")</f>
        <v>JULIUS CEAZAR BAHINTING</v>
      </c>
      <c r="I4186" s="164" t="str">
        <f ca="1">IFERROR(__xludf.DUMMYFUNCTION("""COMPUTED_VALUE"""),"SARPT")</f>
        <v>SARPT</v>
      </c>
      <c r="J4186" s="164" t="str">
        <f ca="1">IFERROR(__xludf.DUMMYFUNCTION("""COMPUTED_VALUE"""),"032-05-2023")</f>
        <v>032-05-2023</v>
      </c>
      <c r="K4186" s="164" t="str">
        <f ca="1">IFERROR(__xludf.DUMMYFUNCTION("""COMPUTED_VALUE"""),"JULIUS CEAZAR BAHINTING")</f>
        <v>JULIUS CEAZAR BAHINTING</v>
      </c>
      <c r="L4186" s="164" t="str">
        <f ca="1">IFERROR(__xludf.DUMMYFUNCTION("""COMPUTED_VALUE"""),"DARMO-TULUNAN")</f>
        <v>DARMO-TULUNAN</v>
      </c>
      <c r="M4186" s="164" t="str">
        <f ca="1">IFERROR(__xludf.DUMMYFUNCTION("""COMPUTED_VALUE"""),"SERVICEABLE")</f>
        <v>SERVICEABLE</v>
      </c>
      <c r="N4186" s="164"/>
    </row>
    <row r="4187" spans="1:14" ht="13.2" hidden="1">
      <c r="A4187" s="164" t="str">
        <f ca="1">IFERROR(__xludf.DUMMYFUNCTION("""COMPUTED_VALUE"""),"REGION XII")</f>
        <v>REGION XII</v>
      </c>
      <c r="B4187" s="164" t="str">
        <f ca="1">IFERROR(__xludf.DUMMYFUNCTION("""COMPUTED_VALUE"""),"COTABATO")</f>
        <v>COTABATO</v>
      </c>
      <c r="C4187" s="164" t="str">
        <f ca="1">IFERROR(__xludf.DUMMYFUNCTION("""COMPUTED_VALUE"""),"Motorcycle – (Honda XRL 150)")</f>
        <v>Motorcycle – (Honda XRL 150)</v>
      </c>
      <c r="D4187" s="164" t="str">
        <f ca="1">IFERROR(__xludf.DUMMYFUNCTION("""COMPUTED_VALUE"""),"₱ 124,900.00")</f>
        <v>₱ 124,900.00</v>
      </c>
      <c r="E4187" s="164"/>
      <c r="F4187" s="164" t="str">
        <f ca="1">IFERROR(__xludf.DUMMYFUNCTION("""COMPUTED_VALUE"""),"2023-06-01-10202SP689-01")</f>
        <v>2023-06-01-10202SP689-01</v>
      </c>
      <c r="G4187" s="164" t="str">
        <f ca="1">IFERROR(__xludf.DUMMYFUNCTION("""COMPUTED_VALUE"""),"no plate available")</f>
        <v>no plate available</v>
      </c>
      <c r="H4187" s="164" t="str">
        <f ca="1">IFERROR(__xludf.DUMMYFUNCTION("""COMPUTED_VALUE"""),"JONA TRINIDAD")</f>
        <v>JONA TRINIDAD</v>
      </c>
      <c r="I4187" s="164" t="str">
        <f ca="1">IFERROR(__xludf.DUMMYFUNCTION("""COMPUTED_VALUE"""),"SARPT")</f>
        <v>SARPT</v>
      </c>
      <c r="J4187" s="164" t="str">
        <f ca="1">IFERROR(__xludf.DUMMYFUNCTION("""COMPUTED_VALUE"""),"034-05-2023")</f>
        <v>034-05-2023</v>
      </c>
      <c r="K4187" s="164" t="str">
        <f ca="1">IFERROR(__xludf.DUMMYFUNCTION("""COMPUTED_VALUE"""),"GENERAL DISPATCH")</f>
        <v>GENERAL DISPATCH</v>
      </c>
      <c r="L4187" s="164" t="str">
        <f ca="1">IFERROR(__xludf.DUMMYFUNCTION("""COMPUTED_VALUE"""),"CARO-KIDAPAWAN")</f>
        <v>CARO-KIDAPAWAN</v>
      </c>
      <c r="M4187" s="164" t="str">
        <f ca="1">IFERROR(__xludf.DUMMYFUNCTION("""COMPUTED_VALUE"""),"SERVICEABLE")</f>
        <v>SERVICEABLE</v>
      </c>
      <c r="N4187" s="164"/>
    </row>
    <row r="4188" spans="1:14" ht="13.2" hidden="1">
      <c r="A4188" s="164" t="str">
        <f ca="1">IFERROR(__xludf.DUMMYFUNCTION("""COMPUTED_VALUE"""),"REGION XII")</f>
        <v>REGION XII</v>
      </c>
      <c r="B4188" s="164" t="str">
        <f ca="1">IFERROR(__xludf.DUMMYFUNCTION("""COMPUTED_VALUE"""),"COTABATO")</f>
        <v>COTABATO</v>
      </c>
      <c r="C4188" s="164" t="str">
        <f ca="1">IFERROR(__xludf.DUMMYFUNCTION("""COMPUTED_VALUE"""),"Motorcycle – (Honda XRL 150)")</f>
        <v>Motorcycle – (Honda XRL 150)</v>
      </c>
      <c r="D4188" s="164" t="str">
        <f ca="1">IFERROR(__xludf.DUMMYFUNCTION("""COMPUTED_VALUE"""),"₱ 124,900.00")</f>
        <v>₱ 124,900.00</v>
      </c>
      <c r="E4188" s="164"/>
      <c r="F4188" s="164" t="str">
        <f ca="1">IFERROR(__xludf.DUMMYFUNCTION("""COMPUTED_VALUE"""),"2023-06-01-10202SP672-01")</f>
        <v>2023-06-01-10202SP672-01</v>
      </c>
      <c r="G4188" s="164" t="str">
        <f ca="1">IFERROR(__xludf.DUMMYFUNCTION("""COMPUTED_VALUE"""),"no plate available")</f>
        <v>no plate available</v>
      </c>
      <c r="H4188" s="164" t="str">
        <f ca="1">IFERROR(__xludf.DUMMYFUNCTION("""COMPUTED_VALUE"""),"AHIEZER BIÑAS")</f>
        <v>AHIEZER BIÑAS</v>
      </c>
      <c r="I4188" s="164" t="str">
        <f ca="1">IFERROR(__xludf.DUMMYFUNCTION("""COMPUTED_VALUE"""),"ARPT")</f>
        <v>ARPT</v>
      </c>
      <c r="J4188" s="164" t="str">
        <f ca="1">IFERROR(__xludf.DUMMYFUNCTION("""COMPUTED_VALUE"""),"033-07-2023")</f>
        <v>033-07-2023</v>
      </c>
      <c r="K4188" s="164" t="str">
        <f ca="1">IFERROR(__xludf.DUMMYFUNCTION("""COMPUTED_VALUE"""),"AHIEZER BIÑAS")</f>
        <v>AHIEZER BIÑAS</v>
      </c>
      <c r="L4188" s="164" t="str">
        <f ca="1">IFERROR(__xludf.DUMMYFUNCTION("""COMPUTED_VALUE"""),"DARMO-MATALAM")</f>
        <v>DARMO-MATALAM</v>
      </c>
      <c r="M4188" s="164" t="str">
        <f ca="1">IFERROR(__xludf.DUMMYFUNCTION("""COMPUTED_VALUE"""),"SERVICEABLE")</f>
        <v>SERVICEABLE</v>
      </c>
      <c r="N4188" s="164"/>
    </row>
    <row r="4189" spans="1:14" ht="13.2" hidden="1">
      <c r="A4189" s="164" t="str">
        <f ca="1">IFERROR(__xludf.DUMMYFUNCTION("""COMPUTED_VALUE"""),"REGION XII")</f>
        <v>REGION XII</v>
      </c>
      <c r="B4189" s="164" t="str">
        <f ca="1">IFERROR(__xludf.DUMMYFUNCTION("""COMPUTED_VALUE"""),"SOUTH COTABATO")</f>
        <v>SOUTH COTABATO</v>
      </c>
      <c r="C4189" s="164" t="str">
        <f ca="1">IFERROR(__xludf.DUMMYFUNCTION("""COMPUTED_VALUE"""),"Motorcycle – (Honda XRL 150)")</f>
        <v>Motorcycle – (Honda XRL 150)</v>
      </c>
      <c r="D4189" s="164" t="str">
        <f ca="1">IFERROR(__xludf.DUMMYFUNCTION("""COMPUTED_VALUE"""),"₱ 124,900.00")</f>
        <v>₱ 124,900.00</v>
      </c>
      <c r="E4189" s="164"/>
      <c r="F4189" s="164" t="str">
        <f ca="1">IFERROR(__xludf.DUMMYFUNCTION("""COMPUTED_VALUE"""),"2023-06-01-1020SP715-01")</f>
        <v>2023-06-01-1020SP715-01</v>
      </c>
      <c r="G4189" s="164" t="str">
        <f ca="1">IFERROR(__xludf.DUMMYFUNCTION("""COMPUTED_VALUE"""),"no plate available")</f>
        <v>no plate available</v>
      </c>
      <c r="H4189" s="164" t="str">
        <f ca="1">IFERROR(__xludf.DUMMYFUNCTION("""COMPUTED_VALUE"""),"RODRIGO OMAR GARDE III")</f>
        <v>RODRIGO OMAR GARDE III</v>
      </c>
      <c r="I4189" s="164" t="str">
        <f ca="1">IFERROR(__xludf.DUMMYFUNCTION("""COMPUTED_VALUE"""),"ARPT")</f>
        <v>ARPT</v>
      </c>
      <c r="J4189" s="164" t="str">
        <f ca="1">IFERROR(__xludf.DUMMYFUNCTION("""COMPUTED_VALUE"""),"029-23")</f>
        <v>029-23</v>
      </c>
      <c r="K4189" s="164" t="str">
        <f ca="1">IFERROR(__xludf.DUMMYFUNCTION("""COMPUTED_VALUE"""),"RODRIGO OMAR GARDE III")</f>
        <v>RODRIGO OMAR GARDE III</v>
      </c>
      <c r="L4189" s="164" t="str">
        <f ca="1">IFERROR(__xludf.DUMMYFUNCTION("""COMPUTED_VALUE"""),"STOD")</f>
        <v>STOD</v>
      </c>
      <c r="M4189" s="164" t="str">
        <f ca="1">IFERROR(__xludf.DUMMYFUNCTION("""COMPUTED_VALUE"""),"SERVICEABLE")</f>
        <v>SERVICEABLE</v>
      </c>
      <c r="N4189" s="164"/>
    </row>
    <row r="4190" spans="1:14" ht="13.2" hidden="1">
      <c r="A4190" s="164" t="str">
        <f ca="1">IFERROR(__xludf.DUMMYFUNCTION("""COMPUTED_VALUE"""),"REGION XII")</f>
        <v>REGION XII</v>
      </c>
      <c r="B4190" s="164" t="str">
        <f ca="1">IFERROR(__xludf.DUMMYFUNCTION("""COMPUTED_VALUE"""),"SOUTH COTABATO")</f>
        <v>SOUTH COTABATO</v>
      </c>
      <c r="C4190" s="164" t="str">
        <f ca="1">IFERROR(__xludf.DUMMYFUNCTION("""COMPUTED_VALUE"""),"Motorcycle – (Honda XRL 150)")</f>
        <v>Motorcycle – (Honda XRL 150)</v>
      </c>
      <c r="D4190" s="164" t="str">
        <f ca="1">IFERROR(__xludf.DUMMYFUNCTION("""COMPUTED_VALUE"""),"₱ 124,900.00")</f>
        <v>₱ 124,900.00</v>
      </c>
      <c r="E4190" s="164"/>
      <c r="F4190" s="164" t="str">
        <f ca="1">IFERROR(__xludf.DUMMYFUNCTION("""COMPUTED_VALUE"""),"2023-06-01-1020SP716-01")</f>
        <v>2023-06-01-1020SP716-01</v>
      </c>
      <c r="G4190" s="164" t="str">
        <f ca="1">IFERROR(__xludf.DUMMYFUNCTION("""COMPUTED_VALUE"""),"no plate available")</f>
        <v>no plate available</v>
      </c>
      <c r="H4190" s="164" t="str">
        <f ca="1">IFERROR(__xludf.DUMMYFUNCTION("""COMPUTED_VALUE"""),"VON ERIC T. BANDOY")</f>
        <v>VON ERIC T. BANDOY</v>
      </c>
      <c r="I4190" s="164" t="str">
        <f ca="1">IFERROR(__xludf.DUMMYFUNCTION("""COMPUTED_VALUE"""),"ARPT")</f>
        <v>ARPT</v>
      </c>
      <c r="J4190" s="164" t="str">
        <f ca="1">IFERROR(__xludf.DUMMYFUNCTION("""COMPUTED_VALUE"""),"030-23")</f>
        <v>030-23</v>
      </c>
      <c r="K4190" s="164" t="str">
        <f ca="1">IFERROR(__xludf.DUMMYFUNCTION("""COMPUTED_VALUE"""),"VON ERIC T. BANDOY")</f>
        <v>VON ERIC T. BANDOY</v>
      </c>
      <c r="L4190" s="164" t="str">
        <f ca="1">IFERROR(__xludf.DUMMYFUNCTION("""COMPUTED_VALUE"""),"STOD")</f>
        <v>STOD</v>
      </c>
      <c r="M4190" s="164" t="str">
        <f ca="1">IFERROR(__xludf.DUMMYFUNCTION("""COMPUTED_VALUE"""),"SERVICEABLE")</f>
        <v>SERVICEABLE</v>
      </c>
      <c r="N4190" s="164"/>
    </row>
    <row r="4191" spans="1:14" ht="13.2" hidden="1">
      <c r="A4191" s="164" t="str">
        <f ca="1">IFERROR(__xludf.DUMMYFUNCTION("""COMPUTED_VALUE"""),"REGION XII")</f>
        <v>REGION XII</v>
      </c>
      <c r="B4191" s="164" t="str">
        <f ca="1">IFERROR(__xludf.DUMMYFUNCTION("""COMPUTED_VALUE"""),"SOUTH COTABATO")</f>
        <v>SOUTH COTABATO</v>
      </c>
      <c r="C4191" s="164" t="str">
        <f ca="1">IFERROR(__xludf.DUMMYFUNCTION("""COMPUTED_VALUE"""),"Motorcycle – (Honda XRL 150)")</f>
        <v>Motorcycle – (Honda XRL 150)</v>
      </c>
      <c r="D4191" s="164" t="str">
        <f ca="1">IFERROR(__xludf.DUMMYFUNCTION("""COMPUTED_VALUE"""),"₱ 124,900.00")</f>
        <v>₱ 124,900.00</v>
      </c>
      <c r="E4191" s="164"/>
      <c r="F4191" s="164" t="str">
        <f ca="1">IFERROR(__xludf.DUMMYFUNCTION("""COMPUTED_VALUE"""),"2023-06-01-1020SP717-01")</f>
        <v>2023-06-01-1020SP717-01</v>
      </c>
      <c r="G4191" s="164" t="str">
        <f ca="1">IFERROR(__xludf.DUMMYFUNCTION("""COMPUTED_VALUE"""),"no plate available")</f>
        <v>no plate available</v>
      </c>
      <c r="H4191" s="164" t="str">
        <f ca="1">IFERROR(__xludf.DUMMYFUNCTION("""COMPUTED_VALUE"""),"JENITO G. PASCUAL, JR.")</f>
        <v>JENITO G. PASCUAL, JR.</v>
      </c>
      <c r="I4191" s="164" t="str">
        <f ca="1">IFERROR(__xludf.DUMMYFUNCTION("""COMPUTED_VALUE"""),"SARPT")</f>
        <v>SARPT</v>
      </c>
      <c r="J4191" s="164" t="str">
        <f ca="1">IFERROR(__xludf.DUMMYFUNCTION("""COMPUTED_VALUE"""),"031-23")</f>
        <v>031-23</v>
      </c>
      <c r="K4191" s="164" t="str">
        <f ca="1">IFERROR(__xludf.DUMMYFUNCTION("""COMPUTED_VALUE"""),"JENITO G. PASCUAL, JR.")</f>
        <v>JENITO G. PASCUAL, JR.</v>
      </c>
      <c r="L4191" s="164" t="str">
        <f ca="1">IFERROR(__xludf.DUMMYFUNCTION("""COMPUTED_VALUE"""),"STOD")</f>
        <v>STOD</v>
      </c>
      <c r="M4191" s="164" t="str">
        <f ca="1">IFERROR(__xludf.DUMMYFUNCTION("""COMPUTED_VALUE"""),"SERVICEABLE")</f>
        <v>SERVICEABLE</v>
      </c>
      <c r="N4191" s="164"/>
    </row>
    <row r="4192" spans="1:14" ht="13.2" hidden="1">
      <c r="A4192" s="164" t="str">
        <f ca="1">IFERROR(__xludf.DUMMYFUNCTION("""COMPUTED_VALUE"""),"REGION XII")</f>
        <v>REGION XII</v>
      </c>
      <c r="B4192" s="164" t="str">
        <f ca="1">IFERROR(__xludf.DUMMYFUNCTION("""COMPUTED_VALUE"""),"SOUTH COTABATO")</f>
        <v>SOUTH COTABATO</v>
      </c>
      <c r="C4192" s="164" t="str">
        <f ca="1">IFERROR(__xludf.DUMMYFUNCTION("""COMPUTED_VALUE"""),"Motorcycle – (Honda XRL 150)")</f>
        <v>Motorcycle – (Honda XRL 150)</v>
      </c>
      <c r="D4192" s="164" t="str">
        <f ca="1">IFERROR(__xludf.DUMMYFUNCTION("""COMPUTED_VALUE"""),"₱ 124,900.00")</f>
        <v>₱ 124,900.00</v>
      </c>
      <c r="E4192" s="164"/>
      <c r="F4192" s="164" t="str">
        <f ca="1">IFERROR(__xludf.DUMMYFUNCTION("""COMPUTED_VALUE"""),"2023-06-01-1020SP718-01")</f>
        <v>2023-06-01-1020SP718-01</v>
      </c>
      <c r="G4192" s="164" t="str">
        <f ca="1">IFERROR(__xludf.DUMMYFUNCTION("""COMPUTED_VALUE"""),"no plate available")</f>
        <v>no plate available</v>
      </c>
      <c r="H4192" s="164" t="str">
        <f ca="1">IFERROR(__xludf.DUMMYFUNCTION("""COMPUTED_VALUE"""),"JAYPEE S. DINOPOL")</f>
        <v>JAYPEE S. DINOPOL</v>
      </c>
      <c r="I4192" s="164" t="str">
        <f ca="1">IFERROR(__xludf.DUMMYFUNCTION("""COMPUTED_VALUE"""),"ARPT")</f>
        <v>ARPT</v>
      </c>
      <c r="J4192" s="164" t="str">
        <f ca="1">IFERROR(__xludf.DUMMYFUNCTION("""COMPUTED_VALUE"""),"032-23")</f>
        <v>032-23</v>
      </c>
      <c r="K4192" s="164" t="str">
        <f ca="1">IFERROR(__xludf.DUMMYFUNCTION("""COMPUTED_VALUE"""),"JAYPEE S. DINOPOL")</f>
        <v>JAYPEE S. DINOPOL</v>
      </c>
      <c r="L4192" s="164" t="str">
        <f ca="1">IFERROR(__xludf.DUMMYFUNCTION("""COMPUTED_VALUE"""),"STOD")</f>
        <v>STOD</v>
      </c>
      <c r="M4192" s="164" t="str">
        <f ca="1">IFERROR(__xludf.DUMMYFUNCTION("""COMPUTED_VALUE"""),"SERVICEABLE")</f>
        <v>SERVICEABLE</v>
      </c>
      <c r="N4192" s="164"/>
    </row>
    <row r="4193" spans="1:14" ht="13.2" hidden="1">
      <c r="A4193" s="164" t="str">
        <f ca="1">IFERROR(__xludf.DUMMYFUNCTION("""COMPUTED_VALUE"""),"REGION XII")</f>
        <v>REGION XII</v>
      </c>
      <c r="B4193" s="164" t="str">
        <f ca="1">IFERROR(__xludf.DUMMYFUNCTION("""COMPUTED_VALUE"""),"SOUTH COTABATO")</f>
        <v>SOUTH COTABATO</v>
      </c>
      <c r="C4193" s="164" t="str">
        <f ca="1">IFERROR(__xludf.DUMMYFUNCTION("""COMPUTED_VALUE"""),"Motorcycle – (Honda XRL 150)")</f>
        <v>Motorcycle – (Honda XRL 150)</v>
      </c>
      <c r="D4193" s="164" t="str">
        <f ca="1">IFERROR(__xludf.DUMMYFUNCTION("""COMPUTED_VALUE"""),"₱ 124,900.00")</f>
        <v>₱ 124,900.00</v>
      </c>
      <c r="E4193" s="164"/>
      <c r="F4193" s="164" t="str">
        <f ca="1">IFERROR(__xludf.DUMMYFUNCTION("""COMPUTED_VALUE"""),"2023-06-01-1020SP719-01")</f>
        <v>2023-06-01-1020SP719-01</v>
      </c>
      <c r="G4193" s="164" t="str">
        <f ca="1">IFERROR(__xludf.DUMMYFUNCTION("""COMPUTED_VALUE"""),"no plate available")</f>
        <v>no plate available</v>
      </c>
      <c r="H4193" s="164" t="str">
        <f ca="1">IFERROR(__xludf.DUMMYFUNCTION("""COMPUTED_VALUE"""),"LEI-J R. GUARDAYA")</f>
        <v>LEI-J R. GUARDAYA</v>
      </c>
      <c r="I4193" s="164" t="str">
        <f ca="1">IFERROR(__xludf.DUMMYFUNCTION("""COMPUTED_VALUE"""),"ARPT")</f>
        <v>ARPT</v>
      </c>
      <c r="J4193" s="164" t="str">
        <f ca="1">IFERROR(__xludf.DUMMYFUNCTION("""COMPUTED_VALUE"""),"033-23")</f>
        <v>033-23</v>
      </c>
      <c r="K4193" s="164" t="str">
        <f ca="1">IFERROR(__xludf.DUMMYFUNCTION("""COMPUTED_VALUE"""),"LEI-J R. GUARDAYA")</f>
        <v>LEI-J R. GUARDAYA</v>
      </c>
      <c r="L4193" s="164" t="str">
        <f ca="1">IFERROR(__xludf.DUMMYFUNCTION("""COMPUTED_VALUE"""),"STOD")</f>
        <v>STOD</v>
      </c>
      <c r="M4193" s="164" t="str">
        <f ca="1">IFERROR(__xludf.DUMMYFUNCTION("""COMPUTED_VALUE"""),"SERVICEABLE")</f>
        <v>SERVICEABLE</v>
      </c>
      <c r="N4193" s="164"/>
    </row>
    <row r="4194" spans="1:14" ht="13.2" hidden="1">
      <c r="A4194" s="164" t="str">
        <f ca="1">IFERROR(__xludf.DUMMYFUNCTION("""COMPUTED_VALUE"""),"REGION XII")</f>
        <v>REGION XII</v>
      </c>
      <c r="B4194" s="164" t="str">
        <f ca="1">IFERROR(__xludf.DUMMYFUNCTION("""COMPUTED_VALUE"""),"SOUTH COTABATO")</f>
        <v>SOUTH COTABATO</v>
      </c>
      <c r="C4194" s="164" t="str">
        <f ca="1">IFERROR(__xludf.DUMMYFUNCTION("""COMPUTED_VALUE"""),"Motorcycle – (Honda XRL 150)")</f>
        <v>Motorcycle – (Honda XRL 150)</v>
      </c>
      <c r="D4194" s="164" t="str">
        <f ca="1">IFERROR(__xludf.DUMMYFUNCTION("""COMPUTED_VALUE"""),"₱ 124,900.00")</f>
        <v>₱ 124,900.00</v>
      </c>
      <c r="E4194" s="164"/>
      <c r="F4194" s="164" t="str">
        <f ca="1">IFERROR(__xludf.DUMMYFUNCTION("""COMPUTED_VALUE"""),"2023-06-01-1020SP720-01")</f>
        <v>2023-06-01-1020SP720-01</v>
      </c>
      <c r="G4194" s="164" t="str">
        <f ca="1">IFERROR(__xludf.DUMMYFUNCTION("""COMPUTED_VALUE"""),"no plate available")</f>
        <v>no plate available</v>
      </c>
      <c r="H4194" s="164" t="str">
        <f ca="1">IFERROR(__xludf.DUMMYFUNCTION("""COMPUTED_VALUE"""),"ROLAINE JAY T. ELADIA")</f>
        <v>ROLAINE JAY T. ELADIA</v>
      </c>
      <c r="I4194" s="164" t="str">
        <f ca="1">IFERROR(__xludf.DUMMYFUNCTION("""COMPUTED_VALUE"""),"SARPT")</f>
        <v>SARPT</v>
      </c>
      <c r="J4194" s="164" t="str">
        <f ca="1">IFERROR(__xludf.DUMMYFUNCTION("""COMPUTED_VALUE"""),"034-23")</f>
        <v>034-23</v>
      </c>
      <c r="K4194" s="164" t="str">
        <f ca="1">IFERROR(__xludf.DUMMYFUNCTION("""COMPUTED_VALUE"""),"ROLAINE JAY T. ELADIA")</f>
        <v>ROLAINE JAY T. ELADIA</v>
      </c>
      <c r="L4194" s="164" t="str">
        <f ca="1">IFERROR(__xludf.DUMMYFUNCTION("""COMPUTED_VALUE"""),"STOD")</f>
        <v>STOD</v>
      </c>
      <c r="M4194" s="164" t="str">
        <f ca="1">IFERROR(__xludf.DUMMYFUNCTION("""COMPUTED_VALUE"""),"SERVICEABLE")</f>
        <v>SERVICEABLE</v>
      </c>
      <c r="N4194" s="164"/>
    </row>
    <row r="4195" spans="1:14" ht="13.2" hidden="1">
      <c r="A4195" s="164" t="str">
        <f ca="1">IFERROR(__xludf.DUMMYFUNCTION("""COMPUTED_VALUE"""),"REGION XII")</f>
        <v>REGION XII</v>
      </c>
      <c r="B4195" s="164" t="str">
        <f ca="1">IFERROR(__xludf.DUMMYFUNCTION("""COMPUTED_VALUE"""),"SOUTH COTABATO")</f>
        <v>SOUTH COTABATO</v>
      </c>
      <c r="C4195" s="164" t="str">
        <f ca="1">IFERROR(__xludf.DUMMYFUNCTION("""COMPUTED_VALUE"""),"Motorcycle – (Honda XRL 150)")</f>
        <v>Motorcycle – (Honda XRL 150)</v>
      </c>
      <c r="D4195" s="164" t="str">
        <f ca="1">IFERROR(__xludf.DUMMYFUNCTION("""COMPUTED_VALUE"""),"₱ 124,900.00")</f>
        <v>₱ 124,900.00</v>
      </c>
      <c r="E4195" s="164"/>
      <c r="F4195" s="164" t="str">
        <f ca="1">IFERROR(__xludf.DUMMYFUNCTION("""COMPUTED_VALUE"""),"2023-06-01-1020SP721-01")</f>
        <v>2023-06-01-1020SP721-01</v>
      </c>
      <c r="G4195" s="164" t="str">
        <f ca="1">IFERROR(__xludf.DUMMYFUNCTION("""COMPUTED_VALUE"""),"no plate available")</f>
        <v>no plate available</v>
      </c>
      <c r="H4195" s="164" t="str">
        <f ca="1">IFERROR(__xludf.DUMMYFUNCTION("""COMPUTED_VALUE"""),"ARTEMIO F. TIONSON")</f>
        <v>ARTEMIO F. TIONSON</v>
      </c>
      <c r="I4195" s="164" t="str">
        <f ca="1">IFERROR(__xludf.DUMMYFUNCTION("""COMPUTED_VALUE"""),"ARPT")</f>
        <v>ARPT</v>
      </c>
      <c r="J4195" s="164" t="str">
        <f ca="1">IFERROR(__xludf.DUMMYFUNCTION("""COMPUTED_VALUE"""),"035-23")</f>
        <v>035-23</v>
      </c>
      <c r="K4195" s="164" t="str">
        <f ca="1">IFERROR(__xludf.DUMMYFUNCTION("""COMPUTED_VALUE"""),"ARTEMIO F. TIONSON")</f>
        <v>ARTEMIO F. TIONSON</v>
      </c>
      <c r="L4195" s="164" t="str">
        <f ca="1">IFERROR(__xludf.DUMMYFUNCTION("""COMPUTED_VALUE"""),"STOD")</f>
        <v>STOD</v>
      </c>
      <c r="M4195" s="164" t="str">
        <f ca="1">IFERROR(__xludf.DUMMYFUNCTION("""COMPUTED_VALUE"""),"SERVICEABLE")</f>
        <v>SERVICEABLE</v>
      </c>
      <c r="N4195" s="164"/>
    </row>
    <row r="4196" spans="1:14" ht="13.2" hidden="1">
      <c r="A4196" s="164" t="str">
        <f ca="1">IFERROR(__xludf.DUMMYFUNCTION("""COMPUTED_VALUE"""),"REGION XII")</f>
        <v>REGION XII</v>
      </c>
      <c r="B4196" s="164" t="str">
        <f ca="1">IFERROR(__xludf.DUMMYFUNCTION("""COMPUTED_VALUE"""),"SOUTH COTABATO")</f>
        <v>SOUTH COTABATO</v>
      </c>
      <c r="C4196" s="164" t="str">
        <f ca="1">IFERROR(__xludf.DUMMYFUNCTION("""COMPUTED_VALUE"""),"Motorcycle – (Honda XRL 150)")</f>
        <v>Motorcycle – (Honda XRL 150)</v>
      </c>
      <c r="D4196" s="164" t="str">
        <f ca="1">IFERROR(__xludf.DUMMYFUNCTION("""COMPUTED_VALUE"""),"₱ 124,900.00")</f>
        <v>₱ 124,900.00</v>
      </c>
      <c r="E4196" s="164"/>
      <c r="F4196" s="164" t="str">
        <f ca="1">IFERROR(__xludf.DUMMYFUNCTION("""COMPUTED_VALUE"""),"2023-06-01-1020SP722-01")</f>
        <v>2023-06-01-1020SP722-01</v>
      </c>
      <c r="G4196" s="164" t="str">
        <f ca="1">IFERROR(__xludf.DUMMYFUNCTION("""COMPUTED_VALUE"""),"no plate available")</f>
        <v>no plate available</v>
      </c>
      <c r="H4196" s="164" t="str">
        <f ca="1">IFERROR(__xludf.DUMMYFUNCTION("""COMPUTED_VALUE"""),"KRYAN GONORA")</f>
        <v>KRYAN GONORA</v>
      </c>
      <c r="I4196" s="164" t="str">
        <f ca="1">IFERROR(__xludf.DUMMYFUNCTION("""COMPUTED_VALUE"""),"ARPT")</f>
        <v>ARPT</v>
      </c>
      <c r="J4196" s="164" t="str">
        <f ca="1">IFERROR(__xludf.DUMMYFUNCTION("""COMPUTED_VALUE"""),"036-23")</f>
        <v>036-23</v>
      </c>
      <c r="K4196" s="164" t="str">
        <f ca="1">IFERROR(__xludf.DUMMYFUNCTION("""COMPUTED_VALUE"""),"KRYAN GONORA")</f>
        <v>KRYAN GONORA</v>
      </c>
      <c r="L4196" s="164" t="str">
        <f ca="1">IFERROR(__xludf.DUMMYFUNCTION("""COMPUTED_VALUE"""),"STOD")</f>
        <v>STOD</v>
      </c>
      <c r="M4196" s="164" t="str">
        <f ca="1">IFERROR(__xludf.DUMMYFUNCTION("""COMPUTED_VALUE"""),"SERVICEABLE")</f>
        <v>SERVICEABLE</v>
      </c>
      <c r="N4196" s="164"/>
    </row>
    <row r="4197" spans="1:14" ht="13.2" hidden="1">
      <c r="A4197" s="164" t="str">
        <f ca="1">IFERROR(__xludf.DUMMYFUNCTION("""COMPUTED_VALUE"""),"REGION XII")</f>
        <v>REGION XII</v>
      </c>
      <c r="B4197" s="164" t="str">
        <f ca="1">IFERROR(__xludf.DUMMYFUNCTION("""COMPUTED_VALUE"""),"SOUTH COTABATO")</f>
        <v>SOUTH COTABATO</v>
      </c>
      <c r="C4197" s="164" t="str">
        <f ca="1">IFERROR(__xludf.DUMMYFUNCTION("""COMPUTED_VALUE"""),"Motorcycle – (Honda XRL 150)")</f>
        <v>Motorcycle – (Honda XRL 150)</v>
      </c>
      <c r="D4197" s="164" t="str">
        <f ca="1">IFERROR(__xludf.DUMMYFUNCTION("""COMPUTED_VALUE"""),"₱ 124,900.00")</f>
        <v>₱ 124,900.00</v>
      </c>
      <c r="E4197" s="164"/>
      <c r="F4197" s="164" t="str">
        <f ca="1">IFERROR(__xludf.DUMMYFUNCTION("""COMPUTED_VALUE"""),"2023-06-01-1020SP723-01")</f>
        <v>2023-06-01-1020SP723-01</v>
      </c>
      <c r="G4197" s="164" t="str">
        <f ca="1">IFERROR(__xludf.DUMMYFUNCTION("""COMPUTED_VALUE"""),"no plate available")</f>
        <v>no plate available</v>
      </c>
      <c r="H4197" s="164" t="str">
        <f ca="1">IFERROR(__xludf.DUMMYFUNCTION("""COMPUTED_VALUE"""),"ARNEL DIPANTAR")</f>
        <v>ARNEL DIPANTAR</v>
      </c>
      <c r="I4197" s="164" t="str">
        <f ca="1">IFERROR(__xludf.DUMMYFUNCTION("""COMPUTED_VALUE"""),"ARPT")</f>
        <v>ARPT</v>
      </c>
      <c r="J4197" s="164" t="str">
        <f ca="1">IFERROR(__xludf.DUMMYFUNCTION("""COMPUTED_VALUE"""),"037-23")</f>
        <v>037-23</v>
      </c>
      <c r="K4197" s="164" t="str">
        <f ca="1">IFERROR(__xludf.DUMMYFUNCTION("""COMPUTED_VALUE"""),"ARNEL DIPANTAR")</f>
        <v>ARNEL DIPANTAR</v>
      </c>
      <c r="L4197" s="164" t="str">
        <f ca="1">IFERROR(__xludf.DUMMYFUNCTION("""COMPUTED_VALUE"""),"STOD")</f>
        <v>STOD</v>
      </c>
      <c r="M4197" s="164" t="str">
        <f ca="1">IFERROR(__xludf.DUMMYFUNCTION("""COMPUTED_VALUE"""),"SERVICEABLE")</f>
        <v>SERVICEABLE</v>
      </c>
      <c r="N4197" s="164"/>
    </row>
    <row r="4198" spans="1:14" ht="13.2" hidden="1">
      <c r="A4198" s="164" t="str">
        <f ca="1">IFERROR(__xludf.DUMMYFUNCTION("""COMPUTED_VALUE"""),"REGION XII")</f>
        <v>REGION XII</v>
      </c>
      <c r="B4198" s="164" t="str">
        <f ca="1">IFERROR(__xludf.DUMMYFUNCTION("""COMPUTED_VALUE"""),"SOUTH COTABATO")</f>
        <v>SOUTH COTABATO</v>
      </c>
      <c r="C4198" s="164" t="str">
        <f ca="1">IFERROR(__xludf.DUMMYFUNCTION("""COMPUTED_VALUE"""),"Motorcycle – (Honda XRL 150)")</f>
        <v>Motorcycle – (Honda XRL 150)</v>
      </c>
      <c r="D4198" s="164" t="str">
        <f ca="1">IFERROR(__xludf.DUMMYFUNCTION("""COMPUTED_VALUE"""),"₱ 124,900.00")</f>
        <v>₱ 124,900.00</v>
      </c>
      <c r="E4198" s="164"/>
      <c r="F4198" s="164" t="str">
        <f ca="1">IFERROR(__xludf.DUMMYFUNCTION("""COMPUTED_VALUE"""),"2023-06-01-1020SP724-01")</f>
        <v>2023-06-01-1020SP724-01</v>
      </c>
      <c r="G4198" s="164" t="str">
        <f ca="1">IFERROR(__xludf.DUMMYFUNCTION("""COMPUTED_VALUE"""),"no plate available")</f>
        <v>no plate available</v>
      </c>
      <c r="H4198" s="164" t="str">
        <f ca="1">IFERROR(__xludf.DUMMYFUNCTION("""COMPUTED_VALUE"""),"GERMAR G. HOSPITAL")</f>
        <v>GERMAR G. HOSPITAL</v>
      </c>
      <c r="I4198" s="164" t="str">
        <f ca="1">IFERROR(__xludf.DUMMYFUNCTION("""COMPUTED_VALUE"""),"ARPT")</f>
        <v>ARPT</v>
      </c>
      <c r="J4198" s="164" t="str">
        <f ca="1">IFERROR(__xludf.DUMMYFUNCTION("""COMPUTED_VALUE"""),"038-23")</f>
        <v>038-23</v>
      </c>
      <c r="K4198" s="164" t="str">
        <f ca="1">IFERROR(__xludf.DUMMYFUNCTION("""COMPUTED_VALUE"""),"GERMAR G. HOSPITAL")</f>
        <v>GERMAR G. HOSPITAL</v>
      </c>
      <c r="L4198" s="164" t="str">
        <f ca="1">IFERROR(__xludf.DUMMYFUNCTION("""COMPUTED_VALUE"""),"STOD")</f>
        <v>STOD</v>
      </c>
      <c r="M4198" s="164" t="str">
        <f ca="1">IFERROR(__xludf.DUMMYFUNCTION("""COMPUTED_VALUE"""),"SERVICEABLE")</f>
        <v>SERVICEABLE</v>
      </c>
      <c r="N4198" s="164"/>
    </row>
    <row r="4199" spans="1:14" ht="13.2" hidden="1">
      <c r="A4199" s="164" t="str">
        <f ca="1">IFERROR(__xludf.DUMMYFUNCTION("""COMPUTED_VALUE"""),"REGION XII")</f>
        <v>REGION XII</v>
      </c>
      <c r="B4199" s="164" t="str">
        <f ca="1">IFERROR(__xludf.DUMMYFUNCTION("""COMPUTED_VALUE"""),"SOUTH COTABATO")</f>
        <v>SOUTH COTABATO</v>
      </c>
      <c r="C4199" s="164" t="str">
        <f ca="1">IFERROR(__xludf.DUMMYFUNCTION("""COMPUTED_VALUE"""),"Motorcycle – (Honda XRL 150)")</f>
        <v>Motorcycle – (Honda XRL 150)</v>
      </c>
      <c r="D4199" s="164" t="str">
        <f ca="1">IFERROR(__xludf.DUMMYFUNCTION("""COMPUTED_VALUE"""),"₱ 124,900.00")</f>
        <v>₱ 124,900.00</v>
      </c>
      <c r="E4199" s="164"/>
      <c r="F4199" s="164" t="str">
        <f ca="1">IFERROR(__xludf.DUMMYFUNCTION("""COMPUTED_VALUE"""),"2023-06-01-1020SP725-01")</f>
        <v>2023-06-01-1020SP725-01</v>
      </c>
      <c r="G4199" s="164" t="str">
        <f ca="1">IFERROR(__xludf.DUMMYFUNCTION("""COMPUTED_VALUE"""),"no plate available")</f>
        <v>no plate available</v>
      </c>
      <c r="H4199" s="164" t="str">
        <f ca="1">IFERROR(__xludf.DUMMYFUNCTION("""COMPUTED_VALUE"""),"REY G. ENGANE")</f>
        <v>REY G. ENGANE</v>
      </c>
      <c r="I4199" s="164" t="str">
        <f ca="1">IFERROR(__xludf.DUMMYFUNCTION("""COMPUTED_VALUE"""),"ARPT")</f>
        <v>ARPT</v>
      </c>
      <c r="J4199" s="164" t="str">
        <f ca="1">IFERROR(__xludf.DUMMYFUNCTION("""COMPUTED_VALUE"""),"039-23")</f>
        <v>039-23</v>
      </c>
      <c r="K4199" s="164" t="str">
        <f ca="1">IFERROR(__xludf.DUMMYFUNCTION("""COMPUTED_VALUE"""),"REY G. ENGANE")</f>
        <v>REY G. ENGANE</v>
      </c>
      <c r="L4199" s="164" t="str">
        <f ca="1">IFERROR(__xludf.DUMMYFUNCTION("""COMPUTED_VALUE"""),"STOD")</f>
        <v>STOD</v>
      </c>
      <c r="M4199" s="164" t="str">
        <f ca="1">IFERROR(__xludf.DUMMYFUNCTION("""COMPUTED_VALUE"""),"SERVICEABLE")</f>
        <v>SERVICEABLE</v>
      </c>
      <c r="N4199" s="164"/>
    </row>
    <row r="4200" spans="1:14" ht="13.2" hidden="1">
      <c r="A4200" s="164" t="str">
        <f ca="1">IFERROR(__xludf.DUMMYFUNCTION("""COMPUTED_VALUE"""),"REGION XII")</f>
        <v>REGION XII</v>
      </c>
      <c r="B4200" s="164" t="str">
        <f ca="1">IFERROR(__xludf.DUMMYFUNCTION("""COMPUTED_VALUE"""),"SOUTH COTABATO")</f>
        <v>SOUTH COTABATO</v>
      </c>
      <c r="C4200" s="164" t="str">
        <f ca="1">IFERROR(__xludf.DUMMYFUNCTION("""COMPUTED_VALUE"""),"Motorcycle – (Honda XRL 150)")</f>
        <v>Motorcycle – (Honda XRL 150)</v>
      </c>
      <c r="D4200" s="164" t="str">
        <f ca="1">IFERROR(__xludf.DUMMYFUNCTION("""COMPUTED_VALUE"""),"₱ 124,900.00")</f>
        <v>₱ 124,900.00</v>
      </c>
      <c r="E4200" s="164"/>
      <c r="F4200" s="164" t="str">
        <f ca="1">IFERROR(__xludf.DUMMYFUNCTION("""COMPUTED_VALUE"""),"2023-06-01-1020SP726-01")</f>
        <v>2023-06-01-1020SP726-01</v>
      </c>
      <c r="G4200" s="164" t="str">
        <f ca="1">IFERROR(__xludf.DUMMYFUNCTION("""COMPUTED_VALUE"""),"no plate available")</f>
        <v>no plate available</v>
      </c>
      <c r="H4200" s="164" t="str">
        <f ca="1">IFERROR(__xludf.DUMMYFUNCTION("""COMPUTED_VALUE"""),"SITTIE KHAYA B. FERMIN")</f>
        <v>SITTIE KHAYA B. FERMIN</v>
      </c>
      <c r="I4200" s="164" t="str">
        <f ca="1">IFERROR(__xludf.DUMMYFUNCTION("""COMPUTED_VALUE"""),"ARPT")</f>
        <v>ARPT</v>
      </c>
      <c r="J4200" s="164" t="str">
        <f ca="1">IFERROR(__xludf.DUMMYFUNCTION("""COMPUTED_VALUE"""),"040-23")</f>
        <v>040-23</v>
      </c>
      <c r="K4200" s="164" t="str">
        <f ca="1">IFERROR(__xludf.DUMMYFUNCTION("""COMPUTED_VALUE"""),"SITTIE KHAYA B. FERMIN")</f>
        <v>SITTIE KHAYA B. FERMIN</v>
      </c>
      <c r="L4200" s="164" t="str">
        <f ca="1">IFERROR(__xludf.DUMMYFUNCTION("""COMPUTED_VALUE"""),"STOD")</f>
        <v>STOD</v>
      </c>
      <c r="M4200" s="164" t="str">
        <f ca="1">IFERROR(__xludf.DUMMYFUNCTION("""COMPUTED_VALUE"""),"SERVICEABLE")</f>
        <v>SERVICEABLE</v>
      </c>
      <c r="N4200" s="164"/>
    </row>
    <row r="4201" spans="1:14" ht="13.2" hidden="1">
      <c r="A4201" s="164" t="str">
        <f ca="1">IFERROR(__xludf.DUMMYFUNCTION("""COMPUTED_VALUE"""),"REGION XII")</f>
        <v>REGION XII</v>
      </c>
      <c r="B4201" s="164" t="str">
        <f ca="1">IFERROR(__xludf.DUMMYFUNCTION("""COMPUTED_VALUE"""),"SOUTH COTABATO")</f>
        <v>SOUTH COTABATO</v>
      </c>
      <c r="C4201" s="164" t="str">
        <f ca="1">IFERROR(__xludf.DUMMYFUNCTION("""COMPUTED_VALUE"""),"Motorcycle – (Honda XRL 150)")</f>
        <v>Motorcycle – (Honda XRL 150)</v>
      </c>
      <c r="D4201" s="164" t="str">
        <f ca="1">IFERROR(__xludf.DUMMYFUNCTION("""COMPUTED_VALUE"""),"₱ 124,900.00")</f>
        <v>₱ 124,900.00</v>
      </c>
      <c r="E4201" s="164"/>
      <c r="F4201" s="164" t="str">
        <f ca="1">IFERROR(__xludf.DUMMYFUNCTION("""COMPUTED_VALUE"""),"2023-06-01-1020SP727-01")</f>
        <v>2023-06-01-1020SP727-01</v>
      </c>
      <c r="G4201" s="164" t="str">
        <f ca="1">IFERROR(__xludf.DUMMYFUNCTION("""COMPUTED_VALUE"""),"no plate available")</f>
        <v>no plate available</v>
      </c>
      <c r="H4201" s="164" t="str">
        <f ca="1">IFERROR(__xludf.DUMMYFUNCTION("""COMPUTED_VALUE"""),"NORKHAN CADATUAN")</f>
        <v>NORKHAN CADATUAN</v>
      </c>
      <c r="I4201" s="164" t="str">
        <f ca="1">IFERROR(__xludf.DUMMYFUNCTION("""COMPUTED_VALUE"""),"ARPT")</f>
        <v>ARPT</v>
      </c>
      <c r="J4201" s="164" t="str">
        <f ca="1">IFERROR(__xludf.DUMMYFUNCTION("""COMPUTED_VALUE"""),"041-23")</f>
        <v>041-23</v>
      </c>
      <c r="K4201" s="164" t="str">
        <f ca="1">IFERROR(__xludf.DUMMYFUNCTION("""COMPUTED_VALUE"""),"NORKHAN CADATUAN")</f>
        <v>NORKHAN CADATUAN</v>
      </c>
      <c r="L4201" s="164" t="str">
        <f ca="1">IFERROR(__xludf.DUMMYFUNCTION("""COMPUTED_VALUE"""),"STOD")</f>
        <v>STOD</v>
      </c>
      <c r="M4201" s="164" t="str">
        <f ca="1">IFERROR(__xludf.DUMMYFUNCTION("""COMPUTED_VALUE"""),"SERVICEABLE")</f>
        <v>SERVICEABLE</v>
      </c>
      <c r="N4201" s="164"/>
    </row>
    <row r="4202" spans="1:14" ht="13.2" hidden="1">
      <c r="A4202" s="164" t="str">
        <f ca="1">IFERROR(__xludf.DUMMYFUNCTION("""COMPUTED_VALUE"""),"REGION XII")</f>
        <v>REGION XII</v>
      </c>
      <c r="B4202" s="164" t="str">
        <f ca="1">IFERROR(__xludf.DUMMYFUNCTION("""COMPUTED_VALUE"""),"SOUTH COTABATO")</f>
        <v>SOUTH COTABATO</v>
      </c>
      <c r="C4202" s="164" t="str">
        <f ca="1">IFERROR(__xludf.DUMMYFUNCTION("""COMPUTED_VALUE"""),"Motorcycle – (Honda XRL 150)")</f>
        <v>Motorcycle – (Honda XRL 150)</v>
      </c>
      <c r="D4202" s="164" t="str">
        <f ca="1">IFERROR(__xludf.DUMMYFUNCTION("""COMPUTED_VALUE"""),"₱ 124,900.00")</f>
        <v>₱ 124,900.00</v>
      </c>
      <c r="E4202" s="164"/>
      <c r="F4202" s="164" t="str">
        <f ca="1">IFERROR(__xludf.DUMMYFUNCTION("""COMPUTED_VALUE"""),"2023-06-01-1020SP728-01")</f>
        <v>2023-06-01-1020SP728-01</v>
      </c>
      <c r="G4202" s="164" t="str">
        <f ca="1">IFERROR(__xludf.DUMMYFUNCTION("""COMPUTED_VALUE"""),"no plate available")</f>
        <v>no plate available</v>
      </c>
      <c r="H4202" s="164" t="str">
        <f ca="1">IFERROR(__xludf.DUMMYFUNCTION("""COMPUTED_VALUE"""),"RONNIE VAL S. RAÑO")</f>
        <v>RONNIE VAL S. RAÑO</v>
      </c>
      <c r="I4202" s="164" t="str">
        <f ca="1">IFERROR(__xludf.DUMMYFUNCTION("""COMPUTED_VALUE"""),"ARPT")</f>
        <v>ARPT</v>
      </c>
      <c r="J4202" s="164" t="str">
        <f ca="1">IFERROR(__xludf.DUMMYFUNCTION("""COMPUTED_VALUE"""),"042-23")</f>
        <v>042-23</v>
      </c>
      <c r="K4202" s="164" t="str">
        <f ca="1">IFERROR(__xludf.DUMMYFUNCTION("""COMPUTED_VALUE"""),"RONNIE VAL S. RAÑO")</f>
        <v>RONNIE VAL S. RAÑO</v>
      </c>
      <c r="L4202" s="164" t="str">
        <f ca="1">IFERROR(__xludf.DUMMYFUNCTION("""COMPUTED_VALUE"""),"STOD")</f>
        <v>STOD</v>
      </c>
      <c r="M4202" s="164" t="str">
        <f ca="1">IFERROR(__xludf.DUMMYFUNCTION("""COMPUTED_VALUE"""),"SERVICEABLE")</f>
        <v>SERVICEABLE</v>
      </c>
      <c r="N4202" s="164"/>
    </row>
    <row r="4203" spans="1:14" ht="13.2" hidden="1">
      <c r="A4203" s="164" t="str">
        <f ca="1">IFERROR(__xludf.DUMMYFUNCTION("""COMPUTED_VALUE"""),"REGION XII")</f>
        <v>REGION XII</v>
      </c>
      <c r="B4203" s="164" t="str">
        <f ca="1">IFERROR(__xludf.DUMMYFUNCTION("""COMPUTED_VALUE"""),"SOUTH COTABATO")</f>
        <v>SOUTH COTABATO</v>
      </c>
      <c r="C4203" s="164" t="str">
        <f ca="1">IFERROR(__xludf.DUMMYFUNCTION("""COMPUTED_VALUE"""),"Motorcycle – (Honda XRL 150)")</f>
        <v>Motorcycle – (Honda XRL 150)</v>
      </c>
      <c r="D4203" s="164" t="str">
        <f ca="1">IFERROR(__xludf.DUMMYFUNCTION("""COMPUTED_VALUE"""),"₱ 124,900.00")</f>
        <v>₱ 124,900.00</v>
      </c>
      <c r="E4203" s="164"/>
      <c r="F4203" s="164" t="str">
        <f ca="1">IFERROR(__xludf.DUMMYFUNCTION("""COMPUTED_VALUE"""),"2023-06-01-1020SP729-01")</f>
        <v>2023-06-01-1020SP729-01</v>
      </c>
      <c r="G4203" s="164" t="str">
        <f ca="1">IFERROR(__xludf.DUMMYFUNCTION("""COMPUTED_VALUE"""),"no plate available")</f>
        <v>no plate available</v>
      </c>
      <c r="H4203" s="164" t="str">
        <f ca="1">IFERROR(__xludf.DUMMYFUNCTION("""COMPUTED_VALUE"""),"PHILIP MIGUEL BASCO")</f>
        <v>PHILIP MIGUEL BASCO</v>
      </c>
      <c r="I4203" s="164" t="str">
        <f ca="1">IFERROR(__xludf.DUMMYFUNCTION("""COMPUTED_VALUE"""),"ARPT")</f>
        <v>ARPT</v>
      </c>
      <c r="J4203" s="164" t="str">
        <f ca="1">IFERROR(__xludf.DUMMYFUNCTION("""COMPUTED_VALUE"""),"043-23")</f>
        <v>043-23</v>
      </c>
      <c r="K4203" s="164" t="str">
        <f ca="1">IFERROR(__xludf.DUMMYFUNCTION("""COMPUTED_VALUE"""),"PHILIP MIGUEL BASCO")</f>
        <v>PHILIP MIGUEL BASCO</v>
      </c>
      <c r="L4203" s="164" t="str">
        <f ca="1">IFERROR(__xludf.DUMMYFUNCTION("""COMPUTED_VALUE"""),"STOD")</f>
        <v>STOD</v>
      </c>
      <c r="M4203" s="164" t="str">
        <f ca="1">IFERROR(__xludf.DUMMYFUNCTION("""COMPUTED_VALUE"""),"SERVICEABLE")</f>
        <v>SERVICEABLE</v>
      </c>
      <c r="N4203" s="164"/>
    </row>
    <row r="4204" spans="1:14" ht="13.2" hidden="1">
      <c r="A4204" s="164" t="str">
        <f ca="1">IFERROR(__xludf.DUMMYFUNCTION("""COMPUTED_VALUE"""),"REGION XII")</f>
        <v>REGION XII</v>
      </c>
      <c r="B4204" s="164" t="str">
        <f ca="1">IFERROR(__xludf.DUMMYFUNCTION("""COMPUTED_VALUE"""),"SOUTH COTABATO")</f>
        <v>SOUTH COTABATO</v>
      </c>
      <c r="C4204" s="164" t="str">
        <f ca="1">IFERROR(__xludf.DUMMYFUNCTION("""COMPUTED_VALUE"""),"Motorcycle – (Honda XRL 150)")</f>
        <v>Motorcycle – (Honda XRL 150)</v>
      </c>
      <c r="D4204" s="164" t="str">
        <f ca="1">IFERROR(__xludf.DUMMYFUNCTION("""COMPUTED_VALUE"""),"₱ 124,900.00")</f>
        <v>₱ 124,900.00</v>
      </c>
      <c r="E4204" s="164"/>
      <c r="F4204" s="164" t="str">
        <f ca="1">IFERROR(__xludf.DUMMYFUNCTION("""COMPUTED_VALUE"""),"2023-06-01-1020SP730-01")</f>
        <v>2023-06-01-1020SP730-01</v>
      </c>
      <c r="G4204" s="164" t="str">
        <f ca="1">IFERROR(__xludf.DUMMYFUNCTION("""COMPUTED_VALUE"""),"no plate available")</f>
        <v>no plate available</v>
      </c>
      <c r="H4204" s="164" t="str">
        <f ca="1">IFERROR(__xludf.DUMMYFUNCTION("""COMPUTED_VALUE"""),"KARL ANDREW DUMALAOS")</f>
        <v>KARL ANDREW DUMALAOS</v>
      </c>
      <c r="I4204" s="164" t="str">
        <f ca="1">IFERROR(__xludf.DUMMYFUNCTION("""COMPUTED_VALUE"""),"ARPT")</f>
        <v>ARPT</v>
      </c>
      <c r="J4204" s="164" t="str">
        <f ca="1">IFERROR(__xludf.DUMMYFUNCTION("""COMPUTED_VALUE"""),"044-23")</f>
        <v>044-23</v>
      </c>
      <c r="K4204" s="164" t="str">
        <f ca="1">IFERROR(__xludf.DUMMYFUNCTION("""COMPUTED_VALUE"""),"KARL ANDREW DUMALAOS")</f>
        <v>KARL ANDREW DUMALAOS</v>
      </c>
      <c r="L4204" s="164" t="str">
        <f ca="1">IFERROR(__xludf.DUMMYFUNCTION("""COMPUTED_VALUE"""),"STOD")</f>
        <v>STOD</v>
      </c>
      <c r="M4204" s="164" t="str">
        <f ca="1">IFERROR(__xludf.DUMMYFUNCTION("""COMPUTED_VALUE"""),"SERVICEABLE")</f>
        <v>SERVICEABLE</v>
      </c>
      <c r="N4204" s="164"/>
    </row>
    <row r="4205" spans="1:14" ht="13.2" hidden="1">
      <c r="A4205" s="164" t="str">
        <f ca="1">IFERROR(__xludf.DUMMYFUNCTION("""COMPUTED_VALUE"""),"REGION XII")</f>
        <v>REGION XII</v>
      </c>
      <c r="B4205" s="164" t="str">
        <f ca="1">IFERROR(__xludf.DUMMYFUNCTION("""COMPUTED_VALUE"""),"SOUTH COTABATO")</f>
        <v>SOUTH COTABATO</v>
      </c>
      <c r="C4205" s="164" t="str">
        <f ca="1">IFERROR(__xludf.DUMMYFUNCTION("""COMPUTED_VALUE"""),"Motorcycle – (Honda XRL 150)")</f>
        <v>Motorcycle – (Honda XRL 150)</v>
      </c>
      <c r="D4205" s="164" t="str">
        <f ca="1">IFERROR(__xludf.DUMMYFUNCTION("""COMPUTED_VALUE"""),"₱ 124,900.00")</f>
        <v>₱ 124,900.00</v>
      </c>
      <c r="E4205" s="164"/>
      <c r="F4205" s="164" t="str">
        <f ca="1">IFERROR(__xludf.DUMMYFUNCTION("""COMPUTED_VALUE"""),"2023-06-01-1020SP731-01")</f>
        <v>2023-06-01-1020SP731-01</v>
      </c>
      <c r="G4205" s="164" t="str">
        <f ca="1">IFERROR(__xludf.DUMMYFUNCTION("""COMPUTED_VALUE"""),"no plate available")</f>
        <v>no plate available</v>
      </c>
      <c r="H4205" s="164" t="str">
        <f ca="1">IFERROR(__xludf.DUMMYFUNCTION("""COMPUTED_VALUE"""),"VON VERGEL CUBILO")</f>
        <v>VON VERGEL CUBILO</v>
      </c>
      <c r="I4205" s="164" t="str">
        <f ca="1">IFERROR(__xludf.DUMMYFUNCTION("""COMPUTED_VALUE"""),"ARPT")</f>
        <v>ARPT</v>
      </c>
      <c r="J4205" s="164" t="str">
        <f ca="1">IFERROR(__xludf.DUMMYFUNCTION("""COMPUTED_VALUE"""),"045-23")</f>
        <v>045-23</v>
      </c>
      <c r="K4205" s="164" t="str">
        <f ca="1">IFERROR(__xludf.DUMMYFUNCTION("""COMPUTED_VALUE"""),"VON VERGEL CUBILO")</f>
        <v>VON VERGEL CUBILO</v>
      </c>
      <c r="L4205" s="164" t="str">
        <f ca="1">IFERROR(__xludf.DUMMYFUNCTION("""COMPUTED_VALUE"""),"STOD")</f>
        <v>STOD</v>
      </c>
      <c r="M4205" s="164" t="str">
        <f ca="1">IFERROR(__xludf.DUMMYFUNCTION("""COMPUTED_VALUE"""),"SERVICEABLE")</f>
        <v>SERVICEABLE</v>
      </c>
      <c r="N4205" s="164"/>
    </row>
    <row r="4206" spans="1:14" ht="13.2">
      <c r="A4206" s="164" t="str">
        <f ca="1">IFERROR(__xludf.DUMMYFUNCTION("""COMPUTED_VALUE"""),"REGION XII")</f>
        <v>REGION XII</v>
      </c>
      <c r="B4206" s="164" t="str">
        <f ca="1">IFERROR(__xludf.DUMMYFUNCTION("""COMPUTED_VALUE"""),"SARANGANI")</f>
        <v>SARANGANI</v>
      </c>
      <c r="C4206" s="164" t="str">
        <f ca="1">IFERROR(__xludf.DUMMYFUNCTION("""COMPUTED_VALUE"""),"Double Cabin Pick-up Vehicles – Mitsubishi Strada")</f>
        <v>Double Cabin Pick-up Vehicles – Mitsubishi Strada</v>
      </c>
      <c r="D4206" s="164" t="str">
        <f ca="1">IFERROR(__xludf.DUMMYFUNCTION("""COMPUTED_VALUE"""),"₱ 1,752,400.00")</f>
        <v>₱ 1,752,400.00</v>
      </c>
      <c r="E4206" s="164"/>
      <c r="F4206" s="164" t="str">
        <f ca="1">IFERROR(__xludf.DUMMYFUNCTION("""COMPUTED_VALUE"""),"XII-19-1012-13-08-064
 2023-06-01-10201SP131-01")</f>
        <v>XII-19-1012-13-08-064
 2023-06-01-10201SP131-01</v>
      </c>
      <c r="G4206" s="164" t="str">
        <f ca="1">IFERROR(__xludf.DUMMYFUNCTION("""COMPUTED_VALUE"""),"SNC 1161")</f>
        <v>SNC 1161</v>
      </c>
      <c r="H4206" s="164" t="str">
        <f ca="1">IFERROR(__xludf.DUMMYFUNCTION("""COMPUTED_VALUE"""),"HALLENE GRACE C. BIERNEZA")</f>
        <v>HALLENE GRACE C. BIERNEZA</v>
      </c>
      <c r="I4206" s="164" t="str">
        <f ca="1">IFERROR(__xludf.DUMMYFUNCTION("""COMPUTED_VALUE"""),"ARPT")</f>
        <v>ARPT</v>
      </c>
      <c r="J4206" s="164" t="str">
        <f ca="1">IFERROR(__xludf.DUMMYFUNCTION("""COMPUTED_VALUE"""),"SPHV-2025-02-0014")</f>
        <v>SPHV-2025-02-0014</v>
      </c>
      <c r="K4206" s="164" t="str">
        <f ca="1">IFERROR(__xludf.DUMMYFUNCTION("""COMPUTED_VALUE"""),"FOR OFFICE USE")</f>
        <v>FOR OFFICE USE</v>
      </c>
      <c r="L4206" s="164" t="str">
        <f ca="1">IFERROR(__xludf.DUMMYFUNCTION("""COMPUTED_VALUE"""),"DARPO")</f>
        <v>DARPO</v>
      </c>
      <c r="M4206" s="164" t="str">
        <f ca="1">IFERROR(__xludf.DUMMYFUNCTION("""COMPUTED_VALUE"""),"SERVICEABLE")</f>
        <v>SERVICEABLE</v>
      </c>
      <c r="N4206" s="164" t="str">
        <f ca="1">IFERROR(__xludf.DUMMYFUNCTION("""COMPUTED_VALUE"""),"FOR SPLIT PURPOSES")</f>
        <v>FOR SPLIT PURPOSES</v>
      </c>
    </row>
    <row r="4207" spans="1:14" ht="13.2" hidden="1">
      <c r="A4207" s="164" t="str">
        <f ca="1">IFERROR(__xludf.DUMMYFUNCTION("""COMPUTED_VALUE"""),"REGION XII")</f>
        <v>REGION XII</v>
      </c>
      <c r="B4207" s="164" t="str">
        <f ca="1">IFERROR(__xludf.DUMMYFUNCTION("""COMPUTED_VALUE"""),"SULTAN KUDARAT")</f>
        <v>SULTAN KUDARAT</v>
      </c>
      <c r="C4207" s="164" t="str">
        <f ca="1">IFERROR(__xludf.DUMMYFUNCTION("""COMPUTED_VALUE"""),"Double Cabin Pick-up Vehicles – Mitsubishi Strada")</f>
        <v>Double Cabin Pick-up Vehicles – Mitsubishi Strada</v>
      </c>
      <c r="D4207" s="164" t="str">
        <f ca="1">IFERROR(__xludf.DUMMYFUNCTION("""COMPUTED_VALUE"""),"₱ 1,752,400.00")</f>
        <v>₱ 1,752,400.00</v>
      </c>
      <c r="E4207" s="164"/>
      <c r="F4207" s="164" t="str">
        <f ca="1">IFERROR(__xludf.DUMMYFUNCTION("""COMPUTED_VALUE"""),"12-SULKUD-GF-23-13-01-105
 2023-06-01-10201SP132-01")</f>
        <v>12-SULKUD-GF-23-13-01-105
 2023-06-01-10201SP132-01</v>
      </c>
      <c r="G4207" s="164" t="str">
        <f ca="1">IFERROR(__xludf.DUMMYFUNCTION("""COMPUTED_VALUE"""),"SNC 1144")</f>
        <v>SNC 1144</v>
      </c>
      <c r="H4207" s="164" t="str">
        <f ca="1">IFERROR(__xludf.DUMMYFUNCTION("""COMPUTED_VALUE"""),"ABDULLAH N. BALINDONG")</f>
        <v>ABDULLAH N. BALINDONG</v>
      </c>
      <c r="I4207" s="164" t="str">
        <f ca="1">IFERROR(__xludf.DUMMYFUNCTION("""COMPUTED_VALUE"""),"PARPO II")</f>
        <v>PARPO II</v>
      </c>
      <c r="J4207" s="164" t="str">
        <f ca="1">IFERROR(__xludf.DUMMYFUNCTION("""COMPUTED_VALUE"""),"2023-11-044")</f>
        <v>2023-11-044</v>
      </c>
      <c r="K4207" s="164" t="str">
        <f ca="1">IFERROR(__xludf.DUMMYFUNCTION("""COMPUTED_VALUE"""),"ABDULLAH N. BALINDONG")</f>
        <v>ABDULLAH N. BALINDONG</v>
      </c>
      <c r="L4207" s="164" t="str">
        <f ca="1">IFERROR(__xludf.DUMMYFUNCTION("""COMPUTED_VALUE"""),"OPARO")</f>
        <v>OPARO</v>
      </c>
      <c r="M4207" s="164" t="str">
        <f ca="1">IFERROR(__xludf.DUMMYFUNCTION("""COMPUTED_VALUE"""),"SERVICEABLE")</f>
        <v>SERVICEABLE</v>
      </c>
      <c r="N4207" s="164" t="str">
        <f ca="1">IFERROR(__xludf.DUMMYFUNCTION("""COMPUTED_VALUE"""),"FOR SPLIT PURPOSES")</f>
        <v>FOR SPLIT PURPOSES</v>
      </c>
    </row>
    <row r="4208" spans="1:14" ht="13.2" hidden="1">
      <c r="A4208" s="164" t="str">
        <f ca="1">IFERROR(__xludf.DUMMYFUNCTION("""COMPUTED_VALUE"""),"REGION XII")</f>
        <v>REGION XII</v>
      </c>
      <c r="B4208" s="164" t="str">
        <f ca="1">IFERROR(__xludf.DUMMYFUNCTION("""COMPUTED_VALUE"""),"SOUTH COTABATO")</f>
        <v>SOUTH COTABATO</v>
      </c>
      <c r="C4208" s="164" t="str">
        <f ca="1">IFERROR(__xludf.DUMMYFUNCTION("""COMPUTED_VALUE"""),"Double Cabin Pick-up Vehicles – Mitsubishi Strada")</f>
        <v>Double Cabin Pick-up Vehicles – Mitsubishi Strada</v>
      </c>
      <c r="D4208" s="164" t="str">
        <f ca="1">IFERROR(__xludf.DUMMYFUNCTION("""COMPUTED_VALUE"""),"₱ 1,752,400.00")</f>
        <v>₱ 1,752,400.00</v>
      </c>
      <c r="E4208" s="164"/>
      <c r="F4208" s="164" t="str">
        <f ca="1">IFERROR(__xludf.DUMMYFUNCTION("""COMPUTED_VALUE"""),"2023-06-01-10201SP130-01")</f>
        <v>2023-06-01-10201SP130-01</v>
      </c>
      <c r="G4208" s="164" t="str">
        <f ca="1">IFERROR(__xludf.DUMMYFUNCTION("""COMPUTED_VALUE"""),"SNC 1067")</f>
        <v>SNC 1067</v>
      </c>
      <c r="H4208" s="164" t="str">
        <f ca="1">IFERROR(__xludf.DUMMYFUNCTION("""COMPUTED_VALUE"""),"VALERIE F. SEITON")</f>
        <v>VALERIE F. SEITON</v>
      </c>
      <c r="I4208" s="164" t="str">
        <f ca="1">IFERROR(__xludf.DUMMYFUNCTION("""COMPUTED_VALUE"""),"PARPO II")</f>
        <v>PARPO II</v>
      </c>
      <c r="J4208" s="164" t="str">
        <f ca="1">IFERROR(__xludf.DUMMYFUNCTION("""COMPUTED_VALUE"""),"2023-11-087")</f>
        <v>2023-11-087</v>
      </c>
      <c r="K4208" s="164" t="str">
        <f ca="1">IFERROR(__xludf.DUMMYFUNCTION("""COMPUTED_VALUE"""),"VALERIE F. SEITON")</f>
        <v>VALERIE F. SEITON</v>
      </c>
      <c r="L4208" s="164" t="str">
        <f ca="1">IFERROR(__xludf.DUMMYFUNCTION("""COMPUTED_VALUE"""),"OPARO")</f>
        <v>OPARO</v>
      </c>
      <c r="M4208" s="164" t="str">
        <f ca="1">IFERROR(__xludf.DUMMYFUNCTION("""COMPUTED_VALUE"""),"SERVICEABLE")</f>
        <v>SERVICEABLE</v>
      </c>
      <c r="N4208" s="164" t="str">
        <f ca="1">IFERROR(__xludf.DUMMYFUNCTION("""COMPUTED_VALUE"""),"FOR SPLIT PURPOSES")</f>
        <v>FOR SPLIT PURPOSES</v>
      </c>
    </row>
    <row r="4209" spans="1:14" ht="13.2" hidden="1">
      <c r="A4209" s="164" t="str">
        <f ca="1">IFERROR(__xludf.DUMMYFUNCTION("""COMPUTED_VALUE"""),"REGION XII")</f>
        <v>REGION XII</v>
      </c>
      <c r="B4209" s="164" t="str">
        <f ca="1">IFERROR(__xludf.DUMMYFUNCTION("""COMPUTED_VALUE"""),"COTABATO")</f>
        <v>COTABATO</v>
      </c>
      <c r="C4209" s="164" t="str">
        <f ca="1">IFERROR(__xludf.DUMMYFUNCTION("""COMPUTED_VALUE"""),"Double Cabin Pick-up Vehicles – Mitsubishi Strada")</f>
        <v>Double Cabin Pick-up Vehicles – Mitsubishi Strada</v>
      </c>
      <c r="D4209" s="164" t="str">
        <f ca="1">IFERROR(__xludf.DUMMYFUNCTION("""COMPUTED_VALUE"""),"₱ 1,752,400.00")</f>
        <v>₱ 1,752,400.00</v>
      </c>
      <c r="E4209" s="164"/>
      <c r="F4209" s="164" t="str">
        <f ca="1">IFERROR(__xludf.DUMMYFUNCTION("""COMPUTED_VALUE"""),"2023-06-01-10201SP129-01")</f>
        <v>2023-06-01-10201SP129-01</v>
      </c>
      <c r="G4209" s="164" t="str">
        <f ca="1">IFERROR(__xludf.DUMMYFUNCTION("""COMPUTED_VALUE"""),"SNC 1314")</f>
        <v>SNC 1314</v>
      </c>
      <c r="H4209" s="164" t="str">
        <f ca="1">IFERROR(__xludf.DUMMYFUNCTION("""COMPUTED_VALUE"""),"LELANIE L. CARUGDA")</f>
        <v>LELANIE L. CARUGDA</v>
      </c>
      <c r="I4209" s="164" t="str">
        <f ca="1">IFERROR(__xludf.DUMMYFUNCTION("""COMPUTED_VALUE"""),"PCAO")</f>
        <v>PCAO</v>
      </c>
      <c r="J4209" s="164" t="str">
        <f ca="1">IFERROR(__xludf.DUMMYFUNCTION("""COMPUTED_VALUE"""),"0036-10-2023")</f>
        <v>0036-10-2023</v>
      </c>
      <c r="K4209" s="164" t="str">
        <f ca="1">IFERROR(__xludf.DUMMYFUNCTION("""COMPUTED_VALUE"""),"LELANIE L. CARUGDA")</f>
        <v>LELANIE L. CARUGDA</v>
      </c>
      <c r="L4209" s="164" t="str">
        <f ca="1">IFERROR(__xludf.DUMMYFUNCTION("""COMPUTED_VALUE"""),"DARPO-STOD")</f>
        <v>DARPO-STOD</v>
      </c>
      <c r="M4209" s="164" t="str">
        <f ca="1">IFERROR(__xludf.DUMMYFUNCTION("""COMPUTED_VALUE"""),"SERVICEABLE")</f>
        <v>SERVICEABLE</v>
      </c>
      <c r="N4209" s="164" t="str">
        <f ca="1">IFERROR(__xludf.DUMMYFUNCTION("""COMPUTED_VALUE"""),"FOR SPLIT PURPOSES")</f>
        <v>FOR SPLIT PURPOSES</v>
      </c>
    </row>
    <row r="4210" spans="1:14" ht="13.2" hidden="1">
      <c r="A4210" s="164" t="str">
        <f ca="1">IFERROR(__xludf.DUMMYFUNCTION("""COMPUTED_VALUE"""),"REGION XII")</f>
        <v>REGION XII</v>
      </c>
      <c r="B4210" s="164" t="str">
        <f ca="1">IFERROR(__xludf.DUMMYFUNCTION("""COMPUTED_VALUE"""),"DARRO")</f>
        <v>DARRO</v>
      </c>
      <c r="C4210" s="164" t="str">
        <f ca="1">IFERROR(__xludf.DUMMYFUNCTION("""COMPUTED_VALUE"""),"Double Cabin Pick-up Vehicles – Mitsubishi Strada")</f>
        <v>Double Cabin Pick-up Vehicles – Mitsubishi Strada</v>
      </c>
      <c r="D4210" s="164" t="str">
        <f ca="1">IFERROR(__xludf.DUMMYFUNCTION("""COMPUTED_VALUE"""),"₱ 1,752,400.00")</f>
        <v>₱ 1,752,400.00</v>
      </c>
      <c r="E4210" s="164"/>
      <c r="F4210" s="164" t="str">
        <f ca="1">IFERROR(__xludf.DUMMYFUNCTION("""COMPUTED_VALUE"""),"2023-06-01-10201SP128-01")</f>
        <v>2023-06-01-10201SP128-01</v>
      </c>
      <c r="G4210" s="164" t="str">
        <f ca="1">IFERROR(__xludf.DUMMYFUNCTION("""COMPUTED_VALUE"""),"SNC 1202")</f>
        <v>SNC 1202</v>
      </c>
      <c r="H4210" s="164" t="str">
        <f ca="1">IFERROR(__xludf.DUMMYFUNCTION("""COMPUTED_VALUE"""),"MARIANNIE S. LAUBAN-BAUNTO")</f>
        <v>MARIANNIE S. LAUBAN-BAUNTO</v>
      </c>
      <c r="I4210" s="164" t="str">
        <f ca="1">IFERROR(__xludf.DUMMYFUNCTION("""COMPUTED_VALUE"""),"ORD")</f>
        <v>ORD</v>
      </c>
      <c r="J4210" s="164" t="str">
        <f ca="1">IFERROR(__xludf.DUMMYFUNCTION("""COMPUTED_VALUE"""),"SPLIT-2023-027
 SPLIT-2023-021 (NEW)")</f>
        <v>SPLIT-2023-027
 SPLIT-2023-021 (NEW)</v>
      </c>
      <c r="K4210" s="164" t="str">
        <f ca="1">IFERROR(__xludf.DUMMYFUNCTION("""COMPUTED_VALUE"""),"DRIVER")</f>
        <v>DRIVER</v>
      </c>
      <c r="L4210" s="164" t="str">
        <f ca="1">IFERROR(__xludf.DUMMYFUNCTION("""COMPUTED_VALUE"""),"ORD")</f>
        <v>ORD</v>
      </c>
      <c r="M4210" s="164" t="str">
        <f ca="1">IFERROR(__xludf.DUMMYFUNCTION("""COMPUTED_VALUE"""),"SERVICEABLE")</f>
        <v>SERVICEABLE</v>
      </c>
      <c r="N4210" s="164" t="str">
        <f ca="1">IFERROR(__xludf.DUMMYFUNCTION("""COMPUTED_VALUE"""),"FOR SPLIT PURPOSES")</f>
        <v>FOR SPLIT PURPOSES</v>
      </c>
    </row>
    <row r="4211" spans="1:14" ht="13.2" hidden="1">
      <c r="A4211" s="164" t="str">
        <f ca="1">IFERROR(__xludf.DUMMYFUNCTION("""COMPUTED_VALUE"""),"REGION XII")</f>
        <v>REGION XII</v>
      </c>
      <c r="B4211" s="164" t="str">
        <f ca="1">IFERROR(__xludf.DUMMYFUNCTION("""COMPUTED_VALUE"""),"DARRO")</f>
        <v>DARRO</v>
      </c>
      <c r="C4211" s="164" t="str">
        <f ca="1">IFERROR(__xludf.DUMMYFUNCTION("""COMPUTED_VALUE"""),"Double Cabin Pick-up Vehicles – Mitsubishi Strada")</f>
        <v>Double Cabin Pick-up Vehicles – Mitsubishi Strada</v>
      </c>
      <c r="D4211" s="164" t="str">
        <f ca="1">IFERROR(__xludf.DUMMYFUNCTION("""COMPUTED_VALUE"""),"₱ 1,752,400.00")</f>
        <v>₱ 1,752,400.00</v>
      </c>
      <c r="E4211" s="164"/>
      <c r="F4211" s="164" t="str">
        <f ca="1">IFERROR(__xludf.DUMMYFUNCTION("""COMPUTED_VALUE"""),"2023-06-01-10201SP133-01")</f>
        <v>2023-06-01-10201SP133-01</v>
      </c>
      <c r="G4211" s="164" t="str">
        <f ca="1">IFERROR(__xludf.DUMMYFUNCTION("""COMPUTED_VALUE"""),"SNC 1198")</f>
        <v>SNC 1198</v>
      </c>
      <c r="H4211" s="164" t="str">
        <f ca="1">IFERROR(__xludf.DUMMYFUNCTION("""COMPUTED_VALUE"""),"ATTY. RAHYLL SAGA")</f>
        <v>ATTY. RAHYLL SAGA</v>
      </c>
      <c r="I4211" s="164" t="str">
        <f ca="1">IFERROR(__xludf.DUMMYFUNCTION("""COMPUTED_VALUE"""),"ARDO")</f>
        <v>ARDO</v>
      </c>
      <c r="J4211" s="164" t="str">
        <f ca="1">IFERROR(__xludf.DUMMYFUNCTION("""COMPUTED_VALUE"""),"SPLIT-2023-026
 SPLIT-2023-020 (NEW)")</f>
        <v>SPLIT-2023-026
 SPLIT-2023-020 (NEW)</v>
      </c>
      <c r="K4211" s="164" t="str">
        <f ca="1">IFERROR(__xludf.DUMMYFUNCTION("""COMPUTED_VALUE"""),"DRIVER")</f>
        <v>DRIVER</v>
      </c>
      <c r="L4211" s="164" t="str">
        <f ca="1">IFERROR(__xludf.DUMMYFUNCTION("""COMPUTED_VALUE"""),"ARDO")</f>
        <v>ARDO</v>
      </c>
      <c r="M4211" s="164" t="str">
        <f ca="1">IFERROR(__xludf.DUMMYFUNCTION("""COMPUTED_VALUE"""),"SERVICEABLE")</f>
        <v>SERVICEABLE</v>
      </c>
      <c r="N4211" s="164" t="str">
        <f ca="1">IFERROR(__xludf.DUMMYFUNCTION("""COMPUTED_VALUE"""),"FOR SPLIT PURPOSES")</f>
        <v>FOR SPLIT PURPOSES</v>
      </c>
    </row>
    <row r="4212" spans="1:14" ht="13.2" hidden="1">
      <c r="A4212" s="164" t="str">
        <f ca="1">IFERROR(__xludf.DUMMYFUNCTION("""COMPUTED_VALUE"""),"REGION XII")</f>
        <v>REGION XII</v>
      </c>
      <c r="B4212" s="164"/>
      <c r="C4212" s="164" t="str">
        <f ca="1">IFERROR(__xludf.DUMMYFUNCTION("""COMPUTED_VALUE"""),"Double Cabin Pick-up Vehicles – Mitsubishi Strada")</f>
        <v>Double Cabin Pick-up Vehicles – Mitsubishi Strada</v>
      </c>
      <c r="D4212" s="164"/>
      <c r="E4212" s="164"/>
      <c r="F4212" s="164" t="str">
        <f ca="1">IFERROR(__xludf.DUMMYFUNCTION("""COMPUTED_VALUE"""),"2023-06-01-10201SP76-01")</f>
        <v>2023-06-01-10201SP76-01</v>
      </c>
      <c r="G4212" s="164" t="str">
        <f ca="1">IFERROR(__xludf.DUMMYFUNCTION("""COMPUTED_VALUE"""),"Y3-B177/SNC 1129/NFX 1660")</f>
        <v>Y3-B177/SNC 1129/NFX 1660</v>
      </c>
      <c r="H4212" s="164"/>
      <c r="I4212" s="164"/>
      <c r="J4212" s="164" t="str">
        <f ca="1">IFERROR(__xludf.DUMMYFUNCTION("""COMPUTED_VALUE"""),"2023-09-006MV")</f>
        <v>2023-09-006MV</v>
      </c>
      <c r="K4212" s="164"/>
      <c r="L4212" s="164"/>
      <c r="M4212" s="164" t="str">
        <f ca="1">IFERROR(__xludf.DUMMYFUNCTION("""COMPUTED_VALUE"""),"SERVICEABLE")</f>
        <v>SERVICEABLE</v>
      </c>
      <c r="N4212" s="164"/>
    </row>
    <row r="4213" spans="1:14" ht="13.2" hidden="1">
      <c r="A4213" s="164" t="str">
        <f ca="1">IFERROR(__xludf.DUMMYFUNCTION("""COMPUTED_VALUE"""),"CARAGA")</f>
        <v>CARAGA</v>
      </c>
      <c r="B4213" s="164" t="str">
        <f ca="1">IFERROR(__xludf.DUMMYFUNCTION("""COMPUTED_VALUE"""),"Agusan del Norte")</f>
        <v>Agusan del Norte</v>
      </c>
      <c r="C4213" s="164" t="str">
        <f ca="1">IFERROR(__xludf.DUMMYFUNCTION("""COMPUTED_VALUE"""),"Photocopier Machine – Kyocera")</f>
        <v>Photocopier Machine – Kyocera</v>
      </c>
      <c r="D4213" s="164"/>
      <c r="E4213" s="164" t="str">
        <f ca="1">IFERROR(__xludf.DUMMYFUNCTION("""COMPUTED_VALUE"""),"₱ -")</f>
        <v>₱ -</v>
      </c>
      <c r="F4213" s="164" t="str">
        <f ca="1">IFERROR(__xludf.DUMMYFUNCTION("""COMPUTED_VALUE"""),"2022-05-02-10202SP84-01")</f>
        <v>2022-05-02-10202SP84-01</v>
      </c>
      <c r="G4213" s="164" t="str">
        <f ca="1">IFERROR(__xludf.DUMMYFUNCTION("""COMPUTED_VALUE"""),"SN: RNK1600157")</f>
        <v>SN: RNK1600157</v>
      </c>
      <c r="H4213" s="164" t="str">
        <f ca="1">IFERROR(__xludf.DUMMYFUNCTION("""COMPUTED_VALUE"""),"Zilah May B. Nortega")</f>
        <v>Zilah May B. Nortega</v>
      </c>
      <c r="I4213" s="164" t="str">
        <f ca="1">IFERROR(__xludf.DUMMYFUNCTION("""COMPUTED_VALUE"""),"ARPT")</f>
        <v>ARPT</v>
      </c>
      <c r="J4213" s="164" t="str">
        <f ca="1">IFERROR(__xludf.DUMMYFUNCTION("""COMPUTED_VALUE"""),"PAR: 2025-07-0012")</f>
        <v>PAR: 2025-07-0012</v>
      </c>
      <c r="K4213" s="164" t="str">
        <f ca="1">IFERROR(__xludf.DUMMYFUNCTION("""COMPUTED_VALUE"""),"Zilah May B. Nortega")</f>
        <v>Zilah May B. Nortega</v>
      </c>
      <c r="L4213" s="164" t="str">
        <f ca="1">IFERROR(__xludf.DUMMYFUNCTION("""COMPUTED_VALUE"""),"PPMO - Agusan del Norte/LTID")</f>
        <v>PPMO - Agusan del Norte/LTID</v>
      </c>
      <c r="M4213" s="164" t="str">
        <f ca="1">IFERROR(__xludf.DUMMYFUNCTION("""COMPUTED_VALUE"""),"SERVICEABLE")</f>
        <v>SERVICEABLE</v>
      </c>
      <c r="N4213" s="164"/>
    </row>
    <row r="4214" spans="1:14" ht="13.2" hidden="1">
      <c r="A4214" s="164" t="str">
        <f ca="1">IFERROR(__xludf.DUMMYFUNCTION("""COMPUTED_VALUE"""),"CARAGA")</f>
        <v>CARAGA</v>
      </c>
      <c r="B4214" s="164" t="str">
        <f ca="1">IFERROR(__xludf.DUMMYFUNCTION("""COMPUTED_VALUE"""),"Agusan del Sur")</f>
        <v>Agusan del Sur</v>
      </c>
      <c r="C4214" s="164" t="str">
        <f ca="1">IFERROR(__xludf.DUMMYFUNCTION("""COMPUTED_VALUE"""),"Photocopier Machine – Kyocera")</f>
        <v>Photocopier Machine – Kyocera</v>
      </c>
      <c r="D4214" s="164"/>
      <c r="E4214" s="164" t="str">
        <f ca="1">IFERROR(__xludf.DUMMYFUNCTION("""COMPUTED_VALUE"""),"₱ -")</f>
        <v>₱ -</v>
      </c>
      <c r="F4214" s="164" t="str">
        <f ca="1">IFERROR(__xludf.DUMMYFUNCTION("""COMPUTED_VALUE""")," 2022-05-02-10202SP83-01")</f>
        <v xml:space="preserve"> 2022-05-02-10202SP83-01</v>
      </c>
      <c r="G4214" s="164" t="str">
        <f ca="1">IFERROR(__xludf.DUMMYFUNCTION("""COMPUTED_VALUE"""),"SN: RNK1600156")</f>
        <v>SN: RNK1600156</v>
      </c>
      <c r="H4214" s="164" t="str">
        <f ca="1">IFERROR(__xludf.DUMMYFUNCTION("""COMPUTED_VALUE"""),"Ruby Jane M. Salvado")</f>
        <v>Ruby Jane M. Salvado</v>
      </c>
      <c r="I4214" s="164" t="str">
        <f ca="1">IFERROR(__xludf.DUMMYFUNCTION("""COMPUTED_VALUE"""),"SARPT/ Acting GS Chief")</f>
        <v>SARPT/ Acting GS Chief</v>
      </c>
      <c r="J4214" s="164" t="str">
        <f ca="1">IFERROR(__xludf.DUMMYFUNCTION("""COMPUTED_VALUE"""),"PTR: 2022-11-006")</f>
        <v>PTR: 2022-11-006</v>
      </c>
      <c r="K4214" s="164" t="str">
        <f ca="1">IFERROR(__xludf.DUMMYFUNCTION("""COMPUTED_VALUE"""),"Ruby Jane M. Salvado")</f>
        <v>Ruby Jane M. Salvado</v>
      </c>
      <c r="L4214" s="164" t="str">
        <f ca="1">IFERROR(__xludf.DUMMYFUNCTION("""COMPUTED_VALUE"""),"PPMO - Agusan del Sur/ GS")</f>
        <v>PPMO - Agusan del Sur/ GS</v>
      </c>
      <c r="M4214" s="164" t="str">
        <f ca="1">IFERROR(__xludf.DUMMYFUNCTION("""COMPUTED_VALUE"""),"Serviceable")</f>
        <v>Serviceable</v>
      </c>
      <c r="N4214" s="164"/>
    </row>
    <row r="4215" spans="1:14" ht="13.2" hidden="1">
      <c r="A4215" s="164" t="str">
        <f ca="1">IFERROR(__xludf.DUMMYFUNCTION("""COMPUTED_VALUE"""),"CARAGA")</f>
        <v>CARAGA</v>
      </c>
      <c r="B4215" s="164" t="str">
        <f ca="1">IFERROR(__xludf.DUMMYFUNCTION("""COMPUTED_VALUE"""),"Surigao del Norte")</f>
        <v>Surigao del Norte</v>
      </c>
      <c r="C4215" s="164" t="str">
        <f ca="1">IFERROR(__xludf.DUMMYFUNCTION("""COMPUTED_VALUE"""),"Photocopier Machine – Kyocera")</f>
        <v>Photocopier Machine – Kyocera</v>
      </c>
      <c r="D4215" s="164" t="str">
        <f ca="1">IFERROR(__xludf.DUMMYFUNCTION("""COMPUTED_VALUE"""),"₱ 84,500.00")</f>
        <v>₱ 84,500.00</v>
      </c>
      <c r="E4215" s="164" t="str">
        <f ca="1">IFERROR(__xludf.DUMMYFUNCTION("""COMPUTED_VALUE"""),"₱ -")</f>
        <v>₱ -</v>
      </c>
      <c r="F4215" s="164" t="str">
        <f ca="1">IFERROR(__xludf.DUMMYFUNCTION("""COMPUTED_VALUE"""),"2022-05-02-10202SP81-01")</f>
        <v>2022-05-02-10202SP81-01</v>
      </c>
      <c r="G4215" s="164" t="str">
        <f ca="1">IFERROR(__xludf.DUMMYFUNCTION("""COMPUTED_VALUE"""),"SN: RNK1600147")</f>
        <v>SN: RNK1600147</v>
      </c>
      <c r="H4215" s="164" t="str">
        <f ca="1">IFERROR(__xludf.DUMMYFUNCTION("""COMPUTED_VALUE"""),"Engr. Grecita P. Calinawan")</f>
        <v>Engr. Grecita P. Calinawan</v>
      </c>
      <c r="I4215" s="164" t="str">
        <f ca="1">IFERROR(__xludf.DUMMYFUNCTION("""COMPUTED_VALUE"""),"OIC CARPO LTID")</f>
        <v>OIC CARPO LTID</v>
      </c>
      <c r="J4215" s="164" t="str">
        <f ca="1">IFERROR(__xludf.DUMMYFUNCTION("""COMPUTED_VALUE"""),"PTR: 2022-12-008")</f>
        <v>PTR: 2022-12-008</v>
      </c>
      <c r="K4215" s="164" t="str">
        <f ca="1">IFERROR(__xludf.DUMMYFUNCTION("""COMPUTED_VALUE"""),"SPLIT Personnel/Hired")</f>
        <v>SPLIT Personnel/Hired</v>
      </c>
      <c r="L4215" s="164" t="str">
        <f ca="1">IFERROR(__xludf.DUMMYFUNCTION("""COMPUTED_VALUE"""),"PPMO - Surigao del Norte/LTID")</f>
        <v>PPMO - Surigao del Norte/LTID</v>
      </c>
      <c r="M4215" s="164" t="str">
        <f ca="1">IFERROR(__xludf.DUMMYFUNCTION("""COMPUTED_VALUE"""),"Serviceable")</f>
        <v>Serviceable</v>
      </c>
      <c r="N4215" s="164"/>
    </row>
    <row r="4216" spans="1:14" ht="13.2" hidden="1">
      <c r="A4216" s="164" t="str">
        <f ca="1">IFERROR(__xludf.DUMMYFUNCTION("""COMPUTED_VALUE"""),"CARAGA")</f>
        <v>CARAGA</v>
      </c>
      <c r="B4216" s="164" t="str">
        <f ca="1">IFERROR(__xludf.DUMMYFUNCTION("""COMPUTED_VALUE"""),"Surigao del Norte")</f>
        <v>Surigao del Norte</v>
      </c>
      <c r="C4216" s="164" t="str">
        <f ca="1">IFERROR(__xludf.DUMMYFUNCTION("""COMPUTED_VALUE"""),"Photocopier Machine – Kyocera")</f>
        <v>Photocopier Machine – Kyocera</v>
      </c>
      <c r="D4216" s="164" t="str">
        <f ca="1">IFERROR(__xludf.DUMMYFUNCTION("""COMPUTED_VALUE"""),"₱ 84,500.00")</f>
        <v>₱ 84,500.00</v>
      </c>
      <c r="E4216" s="164" t="str">
        <f ca="1">IFERROR(__xludf.DUMMYFUNCTION("""COMPUTED_VALUE"""),"₱ -")</f>
        <v>₱ -</v>
      </c>
      <c r="F4216" s="164" t="str">
        <f ca="1">IFERROR(__xludf.DUMMYFUNCTION("""COMPUTED_VALUE"""),"2022-05-02-10202SP82-01")</f>
        <v>2022-05-02-10202SP82-01</v>
      </c>
      <c r="G4216" s="164" t="str">
        <f ca="1">IFERROR(__xludf.DUMMYFUNCTION("""COMPUTED_VALUE"""),"SN: RNK1600149")</f>
        <v>SN: RNK1600149</v>
      </c>
      <c r="H4216" s="164" t="str">
        <f ca="1">IFERROR(__xludf.DUMMYFUNCTION("""COMPUTED_VALUE"""),"Dante C. Manlimos")</f>
        <v>Dante C. Manlimos</v>
      </c>
      <c r="I4216" s="164" t="str">
        <f ca="1">IFERROR(__xludf.DUMMYFUNCTION("""COMPUTED_VALUE"""),"SARPO/OIC CARPO PDI")</f>
        <v>SARPO/OIC CARPO PDI</v>
      </c>
      <c r="J4216" s="164" t="str">
        <f ca="1">IFERROR(__xludf.DUMMYFUNCTION("""COMPUTED_VALUE"""),"PTR: 2022-11-003")</f>
        <v>PTR: 2022-11-003</v>
      </c>
      <c r="K4216" s="164" t="str">
        <f ca="1">IFERROR(__xludf.DUMMYFUNCTION("""COMPUTED_VALUE"""),"SPLIT Personnel/Hired")</f>
        <v>SPLIT Personnel/Hired</v>
      </c>
      <c r="L4216" s="164" t="str">
        <f ca="1">IFERROR(__xludf.DUMMYFUNCTION("""COMPUTED_VALUE"""),"PPMO -DARPO PDI")</f>
        <v>PPMO -DARPO PDI</v>
      </c>
      <c r="M4216" s="164" t="str">
        <f ca="1">IFERROR(__xludf.DUMMYFUNCTION("""COMPUTED_VALUE"""),"unserviceable")</f>
        <v>unserviceable</v>
      </c>
      <c r="N4216" s="164" t="str">
        <f ca="1">IFERROR(__xludf.DUMMYFUNCTION("""COMPUTED_VALUE"""),"For Repair")</f>
        <v>For Repair</v>
      </c>
    </row>
    <row r="4217" spans="1:14" ht="13.2" hidden="1">
      <c r="A4217" s="164" t="str">
        <f ca="1">IFERROR(__xludf.DUMMYFUNCTION("""COMPUTED_VALUE"""),"CARAGA")</f>
        <v>CARAGA</v>
      </c>
      <c r="B4217" s="164" t="str">
        <f ca="1">IFERROR(__xludf.DUMMYFUNCTION("""COMPUTED_VALUE"""),"Surigao del Sur")</f>
        <v>Surigao del Sur</v>
      </c>
      <c r="C4217" s="164" t="str">
        <f ca="1">IFERROR(__xludf.DUMMYFUNCTION("""COMPUTED_VALUE"""),"Photocopier Machine – Kyocera")</f>
        <v>Photocopier Machine – Kyocera</v>
      </c>
      <c r="D4217" s="164" t="str">
        <f ca="1">IFERROR(__xludf.DUMMYFUNCTION("""COMPUTED_VALUE"""),"₱ 84,500.00")</f>
        <v>₱ 84,500.00</v>
      </c>
      <c r="E4217" s="164" t="str">
        <f ca="1">IFERROR(__xludf.DUMMYFUNCTION("""COMPUTED_VALUE"""),"₱ -")</f>
        <v>₱ -</v>
      </c>
      <c r="F4217" s="164" t="str">
        <f ca="1">IFERROR(__xludf.DUMMYFUNCTION("""COMPUTED_VALUE"""),"2022-05-02-10202SP80-01")</f>
        <v>2022-05-02-10202SP80-01</v>
      </c>
      <c r="G4217" s="164" t="str">
        <f ca="1">IFERROR(__xludf.DUMMYFUNCTION("""COMPUTED_VALUE"""),"SN: RNK1600139")</f>
        <v>SN: RNK1600139</v>
      </c>
      <c r="H4217" s="164" t="str">
        <f ca="1">IFERROR(__xludf.DUMMYFUNCTION("""COMPUTED_VALUE"""),"Jesiel R. Romano")</f>
        <v>Jesiel R. Romano</v>
      </c>
      <c r="I4217" s="164" t="str">
        <f ca="1">IFERROR(__xludf.DUMMYFUNCTION("""COMPUTED_VALUE"""),"AO IV")</f>
        <v>AO IV</v>
      </c>
      <c r="J4217" s="164" t="str">
        <f ca="1">IFERROR(__xludf.DUMMYFUNCTION("""COMPUTED_VALUE"""),"PTR: 2022-11-004")</f>
        <v>PTR: 2022-11-004</v>
      </c>
      <c r="K4217" s="164" t="str">
        <f ca="1">IFERROR(__xludf.DUMMYFUNCTION("""COMPUTED_VALUE"""),"Jesiel R. Romano")</f>
        <v>Jesiel R. Romano</v>
      </c>
      <c r="L4217" s="164" t="str">
        <f ca="1">IFERROR(__xludf.DUMMYFUNCTION("""COMPUTED_VALUE"""),"PPMO - Surigao del Sur")</f>
        <v>PPMO - Surigao del Sur</v>
      </c>
      <c r="M4217" s="164" t="str">
        <f ca="1">IFERROR(__xludf.DUMMYFUNCTION("""COMPUTED_VALUE"""),"SERVICEABLE")</f>
        <v>SERVICEABLE</v>
      </c>
      <c r="N4217" s="164"/>
    </row>
    <row r="4218" spans="1:14" ht="13.2" hidden="1">
      <c r="A4218" s="164" t="str">
        <f ca="1">IFERROR(__xludf.DUMMYFUNCTION("""COMPUTED_VALUE"""),"CARAGA")</f>
        <v>CARAGA</v>
      </c>
      <c r="B4218" s="164" t="str">
        <f ca="1">IFERROR(__xludf.DUMMYFUNCTION("""COMPUTED_VALUE"""),"Regional Office")</f>
        <v>Regional Office</v>
      </c>
      <c r="C4218" s="164" t="str">
        <f ca="1">IFERROR(__xludf.DUMMYFUNCTION("""COMPUTED_VALUE"""),"Laptop – (ACER EXTENSA EX215-55G i7)")</f>
        <v>Laptop – (ACER EXTENSA EX215-55G i7)</v>
      </c>
      <c r="D4218" s="164" t="str">
        <f ca="1">IFERROR(__xludf.DUMMYFUNCTION("""COMPUTED_VALUE"""),"₱ 59,500.00")</f>
        <v>₱ 59,500.00</v>
      </c>
      <c r="E4218" s="164" t="str">
        <f ca="1">IFERROR(__xludf.DUMMYFUNCTION("""COMPUTED_VALUE"""),"₱ -")</f>
        <v>₱ -</v>
      </c>
      <c r="F4218" s="164" t="str">
        <f ca="1">IFERROR(__xludf.DUMMYFUNCTION("""COMPUTED_VALUE"""),"2023-05-03-10202SP171-01")</f>
        <v>2023-05-03-10202SP171-01</v>
      </c>
      <c r="G4218" s="164" t="str">
        <f ca="1">IFERROR(__xludf.DUMMYFUNCTION("""COMPUTED_VALUE"""),"NXEGZSP00330801EDB3400")</f>
        <v>NXEGZSP00330801EDB3400</v>
      </c>
      <c r="H4218" s="164" t="str">
        <f ca="1">IFERROR(__xludf.DUMMYFUNCTION("""COMPUTED_VALUE"""),"Engr. Roel C. Abesamis")</f>
        <v>Engr. Roel C. Abesamis</v>
      </c>
      <c r="I4218" s="164" t="str">
        <f ca="1">IFERROR(__xludf.DUMMYFUNCTION("""COMPUTED_VALUE"""),"DAR-DENR-ROD/LRA Coordinator")</f>
        <v>DAR-DENR-ROD/LRA Coordinator</v>
      </c>
      <c r="J4218" s="164" t="str">
        <f ca="1">IFERROR(__xludf.DUMMYFUNCTION("""COMPUTED_VALUE"""),"2023-09-019")</f>
        <v>2023-09-019</v>
      </c>
      <c r="K4218" s="164" t="str">
        <f ca="1">IFERROR(__xludf.DUMMYFUNCTION("""COMPUTED_VALUE"""),"Engr. Roel C. Abesamis")</f>
        <v>Engr. Roel C. Abesamis</v>
      </c>
      <c r="L4218" s="164" t="str">
        <f ca="1">IFERROR(__xludf.DUMMYFUNCTION("""COMPUTED_VALUE"""),"RPMO-Caraga/LTID")</f>
        <v>RPMO-Caraga/LTID</v>
      </c>
      <c r="M4218" s="164" t="str">
        <f ca="1">IFERROR(__xludf.DUMMYFUNCTION("""COMPUTED_VALUE"""),"Serviceable")</f>
        <v>Serviceable</v>
      </c>
      <c r="N4218" s="164"/>
    </row>
    <row r="4219" spans="1:14" ht="13.2" hidden="1">
      <c r="A4219" s="164" t="str">
        <f ca="1">IFERROR(__xludf.DUMMYFUNCTION("""COMPUTED_VALUE"""),"CARAGA")</f>
        <v>CARAGA</v>
      </c>
      <c r="B4219" s="164" t="str">
        <f ca="1">IFERROR(__xludf.DUMMYFUNCTION("""COMPUTED_VALUE"""),"Regional Office")</f>
        <v>Regional Office</v>
      </c>
      <c r="C4219" s="164" t="str">
        <f ca="1">IFERROR(__xludf.DUMMYFUNCTION("""COMPUTED_VALUE"""),"Laptop – (ACER EXTENSA EX215-55G i7)")</f>
        <v>Laptop – (ACER EXTENSA EX215-55G i7)</v>
      </c>
      <c r="D4219" s="164" t="str">
        <f ca="1">IFERROR(__xludf.DUMMYFUNCTION("""COMPUTED_VALUE"""),"₱ 59,500.00")</f>
        <v>₱ 59,500.00</v>
      </c>
      <c r="E4219" s="164" t="str">
        <f ca="1">IFERROR(__xludf.DUMMYFUNCTION("""COMPUTED_VALUE"""),"₱ -")</f>
        <v>₱ -</v>
      </c>
      <c r="F4219" s="164" t="str">
        <f ca="1">IFERROR(__xludf.DUMMYFUNCTION("""COMPUTED_VALUE"""),"2023-05-03-10201SP173-01")</f>
        <v>2023-05-03-10201SP173-01</v>
      </c>
      <c r="G4219" s="164" t="str">
        <f ca="1">IFERROR(__xludf.DUMMYFUNCTION("""COMPUTED_VALUE"""),"NXEGZSP00330801F1E3400")</f>
        <v>NXEGZSP00330801F1E3400</v>
      </c>
      <c r="H4219" s="164" t="str">
        <f ca="1">IFERROR(__xludf.DUMMYFUNCTION("""COMPUTED_VALUE"""),"Atty. Merlita S. Capinpuyan")</f>
        <v>Atty. Merlita S. Capinpuyan</v>
      </c>
      <c r="I4219" s="164" t="str">
        <f ca="1">IFERROR(__xludf.DUMMYFUNCTION("""COMPUTED_VALUE"""),"Regional Director")</f>
        <v>Regional Director</v>
      </c>
      <c r="J4219" s="164" t="str">
        <f ca="1">IFERROR(__xludf.DUMMYFUNCTION("""COMPUTED_VALUE"""),"2024-04-016")</f>
        <v>2024-04-016</v>
      </c>
      <c r="K4219" s="164" t="str">
        <f ca="1">IFERROR(__xludf.DUMMYFUNCTION("""COMPUTED_VALUE"""),"Atty. Merlita S. Capinpuyan")</f>
        <v>Atty. Merlita S. Capinpuyan</v>
      </c>
      <c r="L4219" s="164" t="str">
        <f ca="1">IFERROR(__xludf.DUMMYFUNCTION("""COMPUTED_VALUE"""),"RPMO-Caraga/ORD")</f>
        <v>RPMO-Caraga/ORD</v>
      </c>
      <c r="M4219" s="164" t="str">
        <f ca="1">IFERROR(__xludf.DUMMYFUNCTION("""COMPUTED_VALUE"""),"Serviceable")</f>
        <v>Serviceable</v>
      </c>
      <c r="N4219" s="164"/>
    </row>
    <row r="4220" spans="1:14" ht="13.2" hidden="1">
      <c r="A4220" s="164" t="str">
        <f ca="1">IFERROR(__xludf.DUMMYFUNCTION("""COMPUTED_VALUE"""),"CARAGA")</f>
        <v>CARAGA</v>
      </c>
      <c r="B4220" s="164" t="str">
        <f ca="1">IFERROR(__xludf.DUMMYFUNCTION("""COMPUTED_VALUE"""),"Regional Office")</f>
        <v>Regional Office</v>
      </c>
      <c r="C4220" s="164" t="str">
        <f ca="1">IFERROR(__xludf.DUMMYFUNCTION("""COMPUTED_VALUE"""),"Laptop – (ACER EXTENSA EX215-55G i7)")</f>
        <v>Laptop – (ACER EXTENSA EX215-55G i7)</v>
      </c>
      <c r="D4220" s="164" t="str">
        <f ca="1">IFERROR(__xludf.DUMMYFUNCTION("""COMPUTED_VALUE"""),"₱ 59,500.00")</f>
        <v>₱ 59,500.00</v>
      </c>
      <c r="E4220" s="164" t="str">
        <f ca="1">IFERROR(__xludf.DUMMYFUNCTION("""COMPUTED_VALUE"""),"₱ -")</f>
        <v>₱ -</v>
      </c>
      <c r="F4220" s="164" t="str">
        <f ca="1">IFERROR(__xludf.DUMMYFUNCTION("""COMPUTED_VALUE"""),"2023-05-03-10201SP172-01")</f>
        <v>2023-05-03-10201SP172-01</v>
      </c>
      <c r="G4220" s="164" t="str">
        <f ca="1">IFERROR(__xludf.DUMMYFUNCTION("""COMPUTED_VALUE"""),"NXEGZSP003308020553400")</f>
        <v>NXEGZSP003308020553400</v>
      </c>
      <c r="H4220" s="164" t="str">
        <f ca="1">IFERROR(__xludf.DUMMYFUNCTION("""COMPUTED_VALUE"""),"C. Lafuente")</f>
        <v>C. Lafuente</v>
      </c>
      <c r="I4220" s="164" t="str">
        <f ca="1">IFERROR(__xludf.DUMMYFUNCTION("""COMPUTED_VALUE"""),"StratCom Coordinator")</f>
        <v>StratCom Coordinator</v>
      </c>
      <c r="J4220" s="164" t="str">
        <f ca="1">IFERROR(__xludf.DUMMYFUNCTION("""COMPUTED_VALUE"""),"2023-06-010")</f>
        <v>2023-06-010</v>
      </c>
      <c r="K4220" s="164" t="str">
        <f ca="1">IFERROR(__xludf.DUMMYFUNCTION("""COMPUTED_VALUE"""),"Marvin Burdeos")</f>
        <v>Marvin Burdeos</v>
      </c>
      <c r="L4220" s="164" t="str">
        <f ca="1">IFERROR(__xludf.DUMMYFUNCTION("""COMPUTED_VALUE"""),"RPMO-Caraga/STOD- RIU")</f>
        <v>RPMO-Caraga/STOD- RIU</v>
      </c>
      <c r="M4220" s="164" t="str">
        <f ca="1">IFERROR(__xludf.DUMMYFUNCTION("""COMPUTED_VALUE"""),"Serviceable")</f>
        <v>Serviceable</v>
      </c>
      <c r="N4220" s="164"/>
    </row>
    <row r="4221" spans="1:14" ht="13.2" hidden="1">
      <c r="A4221" s="164" t="str">
        <f ca="1">IFERROR(__xludf.DUMMYFUNCTION("""COMPUTED_VALUE"""),"CARAGA")</f>
        <v>CARAGA</v>
      </c>
      <c r="B4221" s="164" t="str">
        <f ca="1">IFERROR(__xludf.DUMMYFUNCTION("""COMPUTED_VALUE"""),"Regional Office")</f>
        <v>Regional Office</v>
      </c>
      <c r="C4221" s="164" t="str">
        <f ca="1">IFERROR(__xludf.DUMMYFUNCTION("""COMPUTED_VALUE"""),"Laptop – (ACER EXTENSA EX215-55G i7)")</f>
        <v>Laptop – (ACER EXTENSA EX215-55G i7)</v>
      </c>
      <c r="D4221" s="164" t="str">
        <f ca="1">IFERROR(__xludf.DUMMYFUNCTION("""COMPUTED_VALUE"""),"₱ 59,500.00")</f>
        <v>₱ 59,500.00</v>
      </c>
      <c r="E4221" s="164" t="str">
        <f ca="1">IFERROR(__xludf.DUMMYFUNCTION("""COMPUTED_VALUE"""),"₱ -")</f>
        <v>₱ -</v>
      </c>
      <c r="F4221" s="164" t="str">
        <f ca="1">IFERROR(__xludf.DUMMYFUNCTION("""COMPUTED_VALUE"""),"2023-05-03-10202SP89-01")</f>
        <v>2023-05-03-10202SP89-01</v>
      </c>
      <c r="G4221" s="164" t="str">
        <f ca="1">IFERROR(__xludf.DUMMYFUNCTION("""COMPUTED_VALUE"""),"NXEGZSP00330801CBC3400")</f>
        <v>NXEGZSP00330801CBC3400</v>
      </c>
      <c r="H4221" s="164" t="str">
        <f ca="1">IFERROR(__xludf.DUMMYFUNCTION("""COMPUTED_VALUE"""),"R. Sambaan")</f>
        <v>R. Sambaan</v>
      </c>
      <c r="I4221" s="164" t="str">
        <f ca="1">IFERROR(__xludf.DUMMYFUNCTION("""COMPUTED_VALUE"""),"AO III")</f>
        <v>AO III</v>
      </c>
      <c r="J4221" s="164" t="str">
        <f ca="1">IFERROR(__xludf.DUMMYFUNCTION("""COMPUTED_VALUE"""),"2024-04-017")</f>
        <v>2024-04-017</v>
      </c>
      <c r="K4221" s="164" t="str">
        <f ca="1">IFERROR(__xludf.DUMMYFUNCTION("""COMPUTED_VALUE"""),"R. Sambaan")</f>
        <v>R. Sambaan</v>
      </c>
      <c r="L4221" s="164" t="str">
        <f ca="1">IFERROR(__xludf.DUMMYFUNCTION("""COMPUTED_VALUE"""),"RPMO-Caraga/STOD- GSS")</f>
        <v>RPMO-Caraga/STOD- GSS</v>
      </c>
      <c r="M4221" s="164" t="str">
        <f ca="1">IFERROR(__xludf.DUMMYFUNCTION("""COMPUTED_VALUE"""),"Serviceable")</f>
        <v>Serviceable</v>
      </c>
      <c r="N4221" s="164"/>
    </row>
    <row r="4222" spans="1:14" ht="13.2" hidden="1">
      <c r="A4222" s="164" t="str">
        <f ca="1">IFERROR(__xludf.DUMMYFUNCTION("""COMPUTED_VALUE"""),"CARAGA")</f>
        <v>CARAGA</v>
      </c>
      <c r="B4222" s="164" t="str">
        <f ca="1">IFERROR(__xludf.DUMMYFUNCTION("""COMPUTED_VALUE"""),"Agusan del Norte")</f>
        <v>Agusan del Norte</v>
      </c>
      <c r="C4222" s="164" t="str">
        <f ca="1">IFERROR(__xludf.DUMMYFUNCTION("""COMPUTED_VALUE"""),"Laptop – (ACER EXTENSA EX215-55G i7)")</f>
        <v>Laptop – (ACER EXTENSA EX215-55G i7)</v>
      </c>
      <c r="D4222" s="164" t="str">
        <f ca="1">IFERROR(__xludf.DUMMYFUNCTION("""COMPUTED_VALUE"""),"₱ 59,500.00")</f>
        <v>₱ 59,500.00</v>
      </c>
      <c r="E4222" s="164" t="str">
        <f ca="1">IFERROR(__xludf.DUMMYFUNCTION("""COMPUTED_VALUE"""),"₱ -")</f>
        <v>₱ -</v>
      </c>
      <c r="F4222" s="164" t="str">
        <f ca="1">IFERROR(__xludf.DUMMYFUNCTION("""COMPUTED_VALUE"""),"2023-05-03-10202SP158-01")</f>
        <v>2023-05-03-10202SP158-01</v>
      </c>
      <c r="G4222" s="164" t="str">
        <f ca="1">IFERROR(__xludf.DUMMYFUNCTION("""COMPUTED_VALUE"""),"SN: NXEGZSP00330801D223400")</f>
        <v>SN: NXEGZSP00330801D223400</v>
      </c>
      <c r="H4222" s="164" t="str">
        <f ca="1">IFERROR(__xludf.DUMMYFUNCTION("""COMPUTED_VALUE"""),"Atty. John Winston A. Baje")</f>
        <v>Atty. John Winston A. Baje</v>
      </c>
      <c r="I4222" s="164" t="str">
        <f ca="1">IFERROR(__xludf.DUMMYFUNCTION("""COMPUTED_VALUE"""),"Atty. IV")</f>
        <v>Atty. IV</v>
      </c>
      <c r="J4222" s="164" t="str">
        <f ca="1">IFERROR(__xludf.DUMMYFUNCTION("""COMPUTED_VALUE"""),"PAR: 2025-07-0021")</f>
        <v>PAR: 2025-07-0021</v>
      </c>
      <c r="K4222" s="164" t="str">
        <f ca="1">IFERROR(__xludf.DUMMYFUNCTION("""COMPUTED_VALUE"""),"Xyra Xena Amadeo")</f>
        <v>Xyra Xena Amadeo</v>
      </c>
      <c r="L4222" s="164" t="str">
        <f ca="1">IFERROR(__xludf.DUMMYFUNCTION("""COMPUTED_VALUE"""),"Legal Services Division/SPLIT")</f>
        <v>Legal Services Division/SPLIT</v>
      </c>
      <c r="M4222" s="164" t="str">
        <f ca="1">IFERROR(__xludf.DUMMYFUNCTION("""COMPUTED_VALUE"""),"SERVICEABLE")</f>
        <v>SERVICEABLE</v>
      </c>
      <c r="N4222" s="164"/>
    </row>
    <row r="4223" spans="1:14" ht="13.2" hidden="1">
      <c r="A4223" s="164" t="str">
        <f ca="1">IFERROR(__xludf.DUMMYFUNCTION("""COMPUTED_VALUE"""),"CARAGA")</f>
        <v>CARAGA</v>
      </c>
      <c r="B4223" s="164" t="str">
        <f ca="1">IFERROR(__xludf.DUMMYFUNCTION("""COMPUTED_VALUE"""),"Agusan del Norte")</f>
        <v>Agusan del Norte</v>
      </c>
      <c r="C4223" s="164" t="str">
        <f ca="1">IFERROR(__xludf.DUMMYFUNCTION("""COMPUTED_VALUE"""),"Laptop – (ACER EXTENSA EX215-55G i7)")</f>
        <v>Laptop – (ACER EXTENSA EX215-55G i7)</v>
      </c>
      <c r="D4223" s="164" t="str">
        <f ca="1">IFERROR(__xludf.DUMMYFUNCTION("""COMPUTED_VALUE"""),"₱ 59,500.00")</f>
        <v>₱ 59,500.00</v>
      </c>
      <c r="E4223" s="164" t="str">
        <f ca="1">IFERROR(__xludf.DUMMYFUNCTION("""COMPUTED_VALUE"""),"₱ -")</f>
        <v>₱ -</v>
      </c>
      <c r="F4223" s="164" t="str">
        <f ca="1">IFERROR(__xludf.DUMMYFUNCTION("""COMPUTED_VALUE"""),"2023-05-03-10202SP159-01")</f>
        <v>2023-05-03-10202SP159-01</v>
      </c>
      <c r="G4223" s="164" t="str">
        <f ca="1">IFERROR(__xludf.DUMMYFUNCTION("""COMPUTED_VALUE"""),"SN: NXEGZSP00330801C83400")</f>
        <v>SN: NXEGZSP00330801C83400</v>
      </c>
      <c r="H4223" s="164" t="str">
        <f ca="1">IFERROR(__xludf.DUMMYFUNCTION("""COMPUTED_VALUE"""),"Ester T. Cabalan")</f>
        <v>Ester T. Cabalan</v>
      </c>
      <c r="I4223" s="164" t="str">
        <f ca="1">IFERROR(__xludf.DUMMYFUNCTION("""COMPUTED_VALUE"""),"MARPO")</f>
        <v>MARPO</v>
      </c>
      <c r="J4223" s="164" t="str">
        <f ca="1">IFERROR(__xludf.DUMMYFUNCTION("""COMPUTED_VALUE"""),"PAR: 2025-07-0024")</f>
        <v>PAR: 2025-07-0024</v>
      </c>
      <c r="K4223" s="164" t="str">
        <f ca="1">IFERROR(__xludf.DUMMYFUNCTION("""COMPUTED_VALUE"""),"Ester T. Cabalan")</f>
        <v>Ester T. Cabalan</v>
      </c>
      <c r="L4223" s="164" t="str">
        <f ca="1">IFERROR(__xludf.DUMMYFUNCTION("""COMPUTED_VALUE"""),"PPMO - Agusan del Norte/ARBDSP")</f>
        <v>PPMO - Agusan del Norte/ARBDSP</v>
      </c>
      <c r="M4223" s="164" t="str">
        <f ca="1">IFERROR(__xludf.DUMMYFUNCTION("""COMPUTED_VALUE"""),"SERVICEABLE")</f>
        <v>SERVICEABLE</v>
      </c>
      <c r="N4223" s="164"/>
    </row>
    <row r="4224" spans="1:14" ht="13.2" hidden="1">
      <c r="A4224" s="164" t="str">
        <f ca="1">IFERROR(__xludf.DUMMYFUNCTION("""COMPUTED_VALUE"""),"CARAGA")</f>
        <v>CARAGA</v>
      </c>
      <c r="B4224" s="164" t="str">
        <f ca="1">IFERROR(__xludf.DUMMYFUNCTION("""COMPUTED_VALUE"""),"Agusan del Sur")</f>
        <v>Agusan del Sur</v>
      </c>
      <c r="C4224" s="164" t="str">
        <f ca="1">IFERROR(__xludf.DUMMYFUNCTION("""COMPUTED_VALUE"""),"Laptop – (ACER EXTENSA EX215-55G i7)")</f>
        <v>Laptop – (ACER EXTENSA EX215-55G i7)</v>
      </c>
      <c r="D4224" s="164" t="str">
        <f ca="1">IFERROR(__xludf.DUMMYFUNCTION("""COMPUTED_VALUE"""),"₱ 59,500.00")</f>
        <v>₱ 59,500.00</v>
      </c>
      <c r="E4224" s="164" t="str">
        <f ca="1">IFERROR(__xludf.DUMMYFUNCTION("""COMPUTED_VALUE"""),"₱ -")</f>
        <v>₱ -</v>
      </c>
      <c r="F4224" s="164" t="str">
        <f ca="1">IFERROR(__xludf.DUMMYFUNCTION("""COMPUTED_VALUE"""),"2023-05-03-10202SP160-01")</f>
        <v>2023-05-03-10202SP160-01</v>
      </c>
      <c r="G4224" s="164" t="str">
        <f ca="1">IFERROR(__xludf.DUMMYFUNCTION("""COMPUTED_VALUE"""),"SN: NXEGZSP00330801ACF3400")</f>
        <v>SN: NXEGZSP00330801ACF3400</v>
      </c>
      <c r="H4224" s="164" t="str">
        <f ca="1">IFERROR(__xludf.DUMMYFUNCTION("""COMPUTED_VALUE"""),"Hazel Desales")</f>
        <v>Hazel Desales</v>
      </c>
      <c r="I4224" s="164" t="str">
        <f ca="1">IFERROR(__xludf.DUMMYFUNCTION("""COMPUTED_VALUE"""),"MARPO/ Provincial Parcelization Coordinator")</f>
        <v>MARPO/ Provincial Parcelization Coordinator</v>
      </c>
      <c r="J4224" s="164" t="str">
        <f ca="1">IFERROR(__xludf.DUMMYFUNCTION("""COMPUTED_VALUE"""),"2023-10-45-SPLIT")</f>
        <v>2023-10-45-SPLIT</v>
      </c>
      <c r="K4224" s="164" t="str">
        <f ca="1">IFERROR(__xludf.DUMMYFUNCTION("""COMPUTED_VALUE"""),"Ace Cyril Awid")</f>
        <v>Ace Cyril Awid</v>
      </c>
      <c r="L4224" s="164" t="str">
        <f ca="1">IFERROR(__xludf.DUMMYFUNCTION("""COMPUTED_VALUE"""),"PPMO - AGUSAN DEL SUR/ SPLIT OFFICE")</f>
        <v>PPMO - AGUSAN DEL SUR/ SPLIT OFFICE</v>
      </c>
      <c r="M4224" s="164" t="str">
        <f ca="1">IFERROR(__xludf.DUMMYFUNCTION("""COMPUTED_VALUE"""),"Serviceable")</f>
        <v>Serviceable</v>
      </c>
      <c r="N4224" s="164"/>
    </row>
    <row r="4225" spans="1:14" ht="13.2" hidden="1">
      <c r="A4225" s="164" t="str">
        <f ca="1">IFERROR(__xludf.DUMMYFUNCTION("""COMPUTED_VALUE"""),"CARAGA")</f>
        <v>CARAGA</v>
      </c>
      <c r="B4225" s="164" t="str">
        <f ca="1">IFERROR(__xludf.DUMMYFUNCTION("""COMPUTED_VALUE"""),"Agusan del Sur")</f>
        <v>Agusan del Sur</v>
      </c>
      <c r="C4225" s="164" t="str">
        <f ca="1">IFERROR(__xludf.DUMMYFUNCTION("""COMPUTED_VALUE"""),"Laptop – (ACER EXTENSA EX215-55G i7)")</f>
        <v>Laptop – (ACER EXTENSA EX215-55G i7)</v>
      </c>
      <c r="D4225" s="164" t="str">
        <f ca="1">IFERROR(__xludf.DUMMYFUNCTION("""COMPUTED_VALUE"""),"₱ 59,500.00")</f>
        <v>₱ 59,500.00</v>
      </c>
      <c r="E4225" s="164" t="str">
        <f ca="1">IFERROR(__xludf.DUMMYFUNCTION("""COMPUTED_VALUE"""),"₱ -")</f>
        <v>₱ -</v>
      </c>
      <c r="F4225" s="164" t="str">
        <f ca="1">IFERROR(__xludf.DUMMYFUNCTION("""COMPUTED_VALUE"""),"2023-05-03-10202SP161-01")</f>
        <v>2023-05-03-10202SP161-01</v>
      </c>
      <c r="G4225" s="164" t="str">
        <f ca="1">IFERROR(__xludf.DUMMYFUNCTION("""COMPUTED_VALUE"""),"SN: NXEGZSP00330801D463400")</f>
        <v>SN: NXEGZSP00330801D463400</v>
      </c>
      <c r="H4225" s="164" t="str">
        <f ca="1">IFERROR(__xludf.DUMMYFUNCTION("""COMPUTED_VALUE"""),"Kate Veronica Dumanillo")</f>
        <v>Kate Veronica Dumanillo</v>
      </c>
      <c r="I4225" s="164" t="str">
        <f ca="1">IFERROR(__xludf.DUMMYFUNCTION("""COMPUTED_VALUE"""),"ARPT / CORD Coordinator")</f>
        <v>ARPT / CORD Coordinator</v>
      </c>
      <c r="J4225" s="164" t="str">
        <f ca="1">IFERROR(__xludf.DUMMYFUNCTION("""COMPUTED_VALUE"""),"2023-10-48-SPLIT")</f>
        <v>2023-10-48-SPLIT</v>
      </c>
      <c r="K4225" s="164" t="str">
        <f ca="1">IFERROR(__xludf.DUMMYFUNCTION("""COMPUTED_VALUE"""),"Kate Veronica Dumanillo")</f>
        <v>Kate Veronica Dumanillo</v>
      </c>
      <c r="L4225" s="164" t="str">
        <f ca="1">IFERROR(__xludf.DUMMYFUNCTION("""COMPUTED_VALUE"""),"PPMO - AGUSAN DEL SUR/ LTID")</f>
        <v>PPMO - AGUSAN DEL SUR/ LTID</v>
      </c>
      <c r="M4225" s="164" t="str">
        <f ca="1">IFERROR(__xludf.DUMMYFUNCTION("""COMPUTED_VALUE"""),"Serviceable")</f>
        <v>Serviceable</v>
      </c>
      <c r="N4225" s="164"/>
    </row>
    <row r="4226" spans="1:14" ht="13.2" hidden="1">
      <c r="A4226" s="164" t="str">
        <f ca="1">IFERROR(__xludf.DUMMYFUNCTION("""COMPUTED_VALUE"""),"CARAGA")</f>
        <v>CARAGA</v>
      </c>
      <c r="B4226" s="164" t="str">
        <f ca="1">IFERROR(__xludf.DUMMYFUNCTION("""COMPUTED_VALUE"""),"Agusan del Sur")</f>
        <v>Agusan del Sur</v>
      </c>
      <c r="C4226" s="164" t="str">
        <f ca="1">IFERROR(__xludf.DUMMYFUNCTION("""COMPUTED_VALUE"""),"Laptop – (ACER EXTENSA EX215-55G i7)")</f>
        <v>Laptop – (ACER EXTENSA EX215-55G i7)</v>
      </c>
      <c r="D4226" s="164" t="str">
        <f ca="1">IFERROR(__xludf.DUMMYFUNCTION("""COMPUTED_VALUE"""),"₱ 59,500.00")</f>
        <v>₱ 59,500.00</v>
      </c>
      <c r="E4226" s="164" t="str">
        <f ca="1">IFERROR(__xludf.DUMMYFUNCTION("""COMPUTED_VALUE"""),"₱ -")</f>
        <v>₱ -</v>
      </c>
      <c r="F4226" s="164" t="str">
        <f ca="1">IFERROR(__xludf.DUMMYFUNCTION("""COMPUTED_VALUE"""),"2023-05-03-10202SP162-01")</f>
        <v>2023-05-03-10202SP162-01</v>
      </c>
      <c r="G4226" s="164" t="str">
        <f ca="1">IFERROR(__xludf.DUMMYFUNCTION("""COMPUTED_VALUE"""),"SN: NXEGZSP00330801C783400")</f>
        <v>SN: NXEGZSP00330801C783400</v>
      </c>
      <c r="H4226" s="164" t="str">
        <f ca="1">IFERROR(__xludf.DUMMYFUNCTION("""COMPUTED_VALUE"""),"Jake Renier Capa")</f>
        <v>Jake Renier Capa</v>
      </c>
      <c r="I4226" s="164" t="str">
        <f ca="1">IFERROR(__xludf.DUMMYFUNCTION("""COMPUTED_VALUE"""),"ARPO I / Chief Survey Section")</f>
        <v>ARPO I / Chief Survey Section</v>
      </c>
      <c r="J4226" s="164" t="str">
        <f ca="1">IFERROR(__xludf.DUMMYFUNCTION("""COMPUTED_VALUE"""),"2023-10-47-SPLIT")</f>
        <v>2023-10-47-SPLIT</v>
      </c>
      <c r="K4226" s="164" t="str">
        <f ca="1">IFERROR(__xludf.DUMMYFUNCTION("""COMPUTED_VALUE"""),"Jake Renier Capa")</f>
        <v>Jake Renier Capa</v>
      </c>
      <c r="L4226" s="164" t="str">
        <f ca="1">IFERROR(__xludf.DUMMYFUNCTION("""COMPUTED_VALUE"""),"PPMO - AGUSAN DEL SUR/ SURVEY")</f>
        <v>PPMO - AGUSAN DEL SUR/ SURVEY</v>
      </c>
      <c r="M4226" s="164" t="str">
        <f ca="1">IFERROR(__xludf.DUMMYFUNCTION("""COMPUTED_VALUE"""),"Lost")</f>
        <v>Lost</v>
      </c>
      <c r="N4226" s="164"/>
    </row>
    <row r="4227" spans="1:14" ht="13.2" hidden="1">
      <c r="A4227" s="164" t="str">
        <f ca="1">IFERROR(__xludf.DUMMYFUNCTION("""COMPUTED_VALUE"""),"CARAGA")</f>
        <v>CARAGA</v>
      </c>
      <c r="B4227" s="164" t="str">
        <f ca="1">IFERROR(__xludf.DUMMYFUNCTION("""COMPUTED_VALUE"""),"Agusan del Sur")</f>
        <v>Agusan del Sur</v>
      </c>
      <c r="C4227" s="164" t="str">
        <f ca="1">IFERROR(__xludf.DUMMYFUNCTION("""COMPUTED_VALUE"""),"Laptop – (ACER EXTENSA EX215-55G i7)")</f>
        <v>Laptop – (ACER EXTENSA EX215-55G i7)</v>
      </c>
      <c r="D4227" s="164" t="str">
        <f ca="1">IFERROR(__xludf.DUMMYFUNCTION("""COMPUTED_VALUE"""),"₱ 59,500.00")</f>
        <v>₱ 59,500.00</v>
      </c>
      <c r="E4227" s="164" t="str">
        <f ca="1">IFERROR(__xludf.DUMMYFUNCTION("""COMPUTED_VALUE"""),"₱ -")</f>
        <v>₱ -</v>
      </c>
      <c r="F4227" s="164" t="str">
        <f ca="1">IFERROR(__xludf.DUMMYFUNCTION("""COMPUTED_VALUE"""),"2023-05-03-10202SP028-01")</f>
        <v>2023-05-03-10202SP028-01</v>
      </c>
      <c r="G4227" s="164" t="str">
        <f ca="1">IFERROR(__xludf.DUMMYFUNCTION("""COMPUTED_VALUE"""),"SN: NXEGZSP00330801F363400")</f>
        <v>SN: NXEGZSP00330801F363400</v>
      </c>
      <c r="H4227" s="164" t="str">
        <f ca="1">IFERROR(__xludf.DUMMYFUNCTION("""COMPUTED_VALUE"""),"Adelle Anciado")</f>
        <v>Adelle Anciado</v>
      </c>
      <c r="I4227" s="164" t="str">
        <f ca="1">IFERROR(__xludf.DUMMYFUNCTION("""COMPUTED_VALUE"""),"Assistant Statistician")</f>
        <v>Assistant Statistician</v>
      </c>
      <c r="J4227" s="164" t="str">
        <f ca="1">IFERROR(__xludf.DUMMYFUNCTION("""COMPUTED_VALUE"""),"2023-10-46-SPLIT")</f>
        <v>2023-10-46-SPLIT</v>
      </c>
      <c r="K4227" s="164" t="str">
        <f ca="1">IFERROR(__xludf.DUMMYFUNCTION("""COMPUTED_VALUE"""),"Adelle Anciado")</f>
        <v>Adelle Anciado</v>
      </c>
      <c r="L4227" s="164" t="str">
        <f ca="1">IFERROR(__xludf.DUMMYFUNCTION("""COMPUTED_VALUE"""),"PPMO - AGUSAN DEL SUR SPLIT OFFICE")</f>
        <v>PPMO - AGUSAN DEL SUR SPLIT OFFICE</v>
      </c>
      <c r="M4227" s="164" t="str">
        <f ca="1">IFERROR(__xludf.DUMMYFUNCTION("""COMPUTED_VALUE"""),"Serviceable")</f>
        <v>Serviceable</v>
      </c>
      <c r="N4227" s="164"/>
    </row>
    <row r="4228" spans="1:14" ht="13.2" hidden="1">
      <c r="A4228" s="164" t="str">
        <f ca="1">IFERROR(__xludf.DUMMYFUNCTION("""COMPUTED_VALUE"""),"CARAGA")</f>
        <v>CARAGA</v>
      </c>
      <c r="B4228" s="164" t="str">
        <f ca="1">IFERROR(__xludf.DUMMYFUNCTION("""COMPUTED_VALUE"""),"Agusan del Sur")</f>
        <v>Agusan del Sur</v>
      </c>
      <c r="C4228" s="164" t="str">
        <f ca="1">IFERROR(__xludf.DUMMYFUNCTION("""COMPUTED_VALUE"""),"Laptop – (ACER EXTENSA EX215-55G i7)")</f>
        <v>Laptop – (ACER EXTENSA EX215-55G i7)</v>
      </c>
      <c r="D4228" s="164" t="str">
        <f ca="1">IFERROR(__xludf.DUMMYFUNCTION("""COMPUTED_VALUE"""),"₱ 59,500.00")</f>
        <v>₱ 59,500.00</v>
      </c>
      <c r="E4228" s="164" t="str">
        <f ca="1">IFERROR(__xludf.DUMMYFUNCTION("""COMPUTED_VALUE"""),"₱ -")</f>
        <v>₱ -</v>
      </c>
      <c r="F4228" s="164" t="str">
        <f ca="1">IFERROR(__xludf.DUMMYFUNCTION("""COMPUTED_VALUE"""),"2023-05-03-10202SP163-01")</f>
        <v>2023-05-03-10202SP163-01</v>
      </c>
      <c r="G4228" s="164" t="str">
        <f ca="1">IFERROR(__xludf.DUMMYFUNCTION("""COMPUTED_VALUE"""),"SN: NXEGZSP00330801F373400")</f>
        <v>SN: NXEGZSP00330801F373400</v>
      </c>
      <c r="H4228" s="164" t="str">
        <f ca="1">IFERROR(__xludf.DUMMYFUNCTION("""COMPUTED_VALUE"""),"Justin Riel Caberos")</f>
        <v>Justin Riel Caberos</v>
      </c>
      <c r="I4228" s="164" t="str">
        <f ca="1">IFERROR(__xludf.DUMMYFUNCTION("""COMPUTED_VALUE"""),"ARPT")</f>
        <v>ARPT</v>
      </c>
      <c r="J4228" s="164"/>
      <c r="K4228" s="164" t="str">
        <f ca="1">IFERROR(__xludf.DUMMYFUNCTION("""COMPUTED_VALUE"""),"Justin Riel Caberos")</f>
        <v>Justin Riel Caberos</v>
      </c>
      <c r="L4228" s="164" t="str">
        <f ca="1">IFERROR(__xludf.DUMMYFUNCTION("""COMPUTED_VALUE"""),"PIO - AGUSAN DEL SUR SPLIT OFFICE")</f>
        <v>PIO - AGUSAN DEL SUR SPLIT OFFICE</v>
      </c>
      <c r="M4228" s="164" t="str">
        <f ca="1">IFERROR(__xludf.DUMMYFUNCTION("""COMPUTED_VALUE"""),"Serviceable")</f>
        <v>Serviceable</v>
      </c>
      <c r="N4228" s="164"/>
    </row>
    <row r="4229" spans="1:14" ht="13.2" hidden="1">
      <c r="A4229" s="164" t="str">
        <f ca="1">IFERROR(__xludf.DUMMYFUNCTION("""COMPUTED_VALUE"""),"CARAGA")</f>
        <v>CARAGA</v>
      </c>
      <c r="B4229" s="164" t="str">
        <f ca="1">IFERROR(__xludf.DUMMYFUNCTION("""COMPUTED_VALUE"""),"Surigao del Norte")</f>
        <v>Surigao del Norte</v>
      </c>
      <c r="C4229" s="164" t="str">
        <f ca="1">IFERROR(__xludf.DUMMYFUNCTION("""COMPUTED_VALUE"""),"Laptop – (ACER EXTENSA EX215-55G i7)")</f>
        <v>Laptop – (ACER EXTENSA EX215-55G i7)</v>
      </c>
      <c r="D4229" s="164" t="str">
        <f ca="1">IFERROR(__xludf.DUMMYFUNCTION("""COMPUTED_VALUE"""),"₱ 59,500.00")</f>
        <v>₱ 59,500.00</v>
      </c>
      <c r="E4229" s="164" t="str">
        <f ca="1">IFERROR(__xludf.DUMMYFUNCTION("""COMPUTED_VALUE"""),"₱ -")</f>
        <v>₱ -</v>
      </c>
      <c r="F4229" s="164" t="str">
        <f ca="1">IFERROR(__xludf.DUMMYFUNCTION("""COMPUTED_VALUE"""),"2023-05-03-10202SP164-01")</f>
        <v>2023-05-03-10202SP164-01</v>
      </c>
      <c r="G4229" s="164" t="str">
        <f ca="1">IFERROR(__xludf.DUMMYFUNCTION("""COMPUTED_VALUE"""),"SN: NXEGZSP00330801E963400")</f>
        <v>SN: NXEGZSP00330801E963400</v>
      </c>
      <c r="H4229" s="164" t="str">
        <f ca="1">IFERROR(__xludf.DUMMYFUNCTION("""COMPUTED_VALUE"""),"Grecita P. Calinawan")</f>
        <v>Grecita P. Calinawan</v>
      </c>
      <c r="I4229" s="164" t="str">
        <f ca="1">IFERROR(__xludf.DUMMYFUNCTION("""COMPUTED_VALUE"""),"OIC CARPO LTID")</f>
        <v>OIC CARPO LTID</v>
      </c>
      <c r="J4229" s="164" t="str">
        <f ca="1">IFERROR(__xludf.DUMMYFUNCTION("""COMPUTED_VALUE"""),"R13SDN-102-2023-05-ICT-029")</f>
        <v>R13SDN-102-2023-05-ICT-029</v>
      </c>
      <c r="K4229" s="164" t="str">
        <f ca="1">IFERROR(__xludf.DUMMYFUNCTION("""COMPUTED_VALUE"""),"Melencio C. Migullas, Jr.")</f>
        <v>Melencio C. Migullas, Jr.</v>
      </c>
      <c r="L4229" s="164" t="str">
        <f ca="1">IFERROR(__xludf.DUMMYFUNCTION("""COMPUTED_VALUE"""),"DARMO-Tubod")</f>
        <v>DARMO-Tubod</v>
      </c>
      <c r="M4229" s="164" t="str">
        <f ca="1">IFERROR(__xludf.DUMMYFUNCTION("""COMPUTED_VALUE"""),"Serviceable")</f>
        <v>Serviceable</v>
      </c>
      <c r="N4229" s="164"/>
    </row>
    <row r="4230" spans="1:14" ht="13.2" hidden="1">
      <c r="A4230" s="164" t="str">
        <f ca="1">IFERROR(__xludf.DUMMYFUNCTION("""COMPUTED_VALUE"""),"CARAGA")</f>
        <v>CARAGA</v>
      </c>
      <c r="B4230" s="164" t="str">
        <f ca="1">IFERROR(__xludf.DUMMYFUNCTION("""COMPUTED_VALUE"""),"Surigao del Norte")</f>
        <v>Surigao del Norte</v>
      </c>
      <c r="C4230" s="164" t="str">
        <f ca="1">IFERROR(__xludf.DUMMYFUNCTION("""COMPUTED_VALUE"""),"Laptop – (ACER EXTENSA EX215-55G i7)")</f>
        <v>Laptop – (ACER EXTENSA EX215-55G i7)</v>
      </c>
      <c r="D4230" s="164" t="str">
        <f ca="1">IFERROR(__xludf.DUMMYFUNCTION("""COMPUTED_VALUE"""),"₱ 59,500.00")</f>
        <v>₱ 59,500.00</v>
      </c>
      <c r="E4230" s="164" t="str">
        <f ca="1">IFERROR(__xludf.DUMMYFUNCTION("""COMPUTED_VALUE"""),"₱ -")</f>
        <v>₱ -</v>
      </c>
      <c r="F4230" s="164" t="str">
        <f ca="1">IFERROR(__xludf.DUMMYFUNCTION("""COMPUTED_VALUE"""),"2023-05-03-10202SP165-01")</f>
        <v>2023-05-03-10202SP165-01</v>
      </c>
      <c r="G4230" s="164" t="str">
        <f ca="1">IFERROR(__xludf.DUMMYFUNCTION("""COMPUTED_VALUE"""),"SN: NXEGZSP00330801CF43400")</f>
        <v>SN: NXEGZSP00330801CF43400</v>
      </c>
      <c r="H4230" s="164" t="str">
        <f ca="1">IFERROR(__xludf.DUMMYFUNCTION("""COMPUTED_VALUE"""),"Grecita P. Calinawan")</f>
        <v>Grecita P. Calinawan</v>
      </c>
      <c r="I4230" s="164" t="str">
        <f ca="1">IFERROR(__xludf.DUMMYFUNCTION("""COMPUTED_VALUE"""),"OIC-PARPO II")</f>
        <v>OIC-PARPO II</v>
      </c>
      <c r="J4230" s="164" t="str">
        <f ca="1">IFERROR(__xludf.DUMMYFUNCTION("""COMPUTED_VALUE"""),"R13SDN-102-2023-05-ICT-030")</f>
        <v>R13SDN-102-2023-05-ICT-030</v>
      </c>
      <c r="K4230" s="164" t="str">
        <f ca="1">IFERROR(__xludf.DUMMYFUNCTION("""COMPUTED_VALUE"""),"Felipe U. Requina Jr.")</f>
        <v>Felipe U. Requina Jr.</v>
      </c>
      <c r="L4230" s="164" t="str">
        <f ca="1">IFERROR(__xludf.DUMMYFUNCTION("""COMPUTED_VALUE"""),"DAR-PDI Office")</f>
        <v>DAR-PDI Office</v>
      </c>
      <c r="M4230" s="164" t="str">
        <f ca="1">IFERROR(__xludf.DUMMYFUNCTION("""COMPUTED_VALUE"""),"Serviceable")</f>
        <v>Serviceable</v>
      </c>
      <c r="N4230" s="164"/>
    </row>
    <row r="4231" spans="1:14" ht="13.2" hidden="1">
      <c r="A4231" s="164" t="str">
        <f ca="1">IFERROR(__xludf.DUMMYFUNCTION("""COMPUTED_VALUE"""),"CARAGA")</f>
        <v>CARAGA</v>
      </c>
      <c r="B4231" s="164" t="str">
        <f ca="1">IFERROR(__xludf.DUMMYFUNCTION("""COMPUTED_VALUE"""),"Surigao del Norte")</f>
        <v>Surigao del Norte</v>
      </c>
      <c r="C4231" s="164" t="str">
        <f ca="1">IFERROR(__xludf.DUMMYFUNCTION("""COMPUTED_VALUE"""),"Laptop – (ACER EXTENSA EX215-55G i7)")</f>
        <v>Laptop – (ACER EXTENSA EX215-55G i7)</v>
      </c>
      <c r="D4231" s="164" t="str">
        <f ca="1">IFERROR(__xludf.DUMMYFUNCTION("""COMPUTED_VALUE"""),"₱ 59,500.00")</f>
        <v>₱ 59,500.00</v>
      </c>
      <c r="E4231" s="164" t="str">
        <f ca="1">IFERROR(__xludf.DUMMYFUNCTION("""COMPUTED_VALUE"""),"₱ -")</f>
        <v>₱ -</v>
      </c>
      <c r="F4231" s="164" t="str">
        <f ca="1">IFERROR(__xludf.DUMMYFUNCTION("""COMPUTED_VALUE"""),"2023-05-03-10202SP166-01")</f>
        <v>2023-05-03-10202SP166-01</v>
      </c>
      <c r="G4231" s="164" t="str">
        <f ca="1">IFERROR(__xludf.DUMMYFUNCTION("""COMPUTED_VALUE"""),"SN: NXEGZSP00330801B4A3400")</f>
        <v>SN: NXEGZSP00330801B4A3400</v>
      </c>
      <c r="H4231" s="164" t="str">
        <f ca="1">IFERROR(__xludf.DUMMYFUNCTION("""COMPUTED_VALUE"""),"Dante Manlimos")</f>
        <v>Dante Manlimos</v>
      </c>
      <c r="I4231" s="164" t="str">
        <f ca="1">IFERROR(__xludf.DUMMYFUNCTION("""COMPUTED_VALUE"""),"OIC CARPO PDI")</f>
        <v>OIC CARPO PDI</v>
      </c>
      <c r="J4231" s="164" t="str">
        <f ca="1">IFERROR(__xludf.DUMMYFUNCTION("""COMPUTED_VALUE"""),"R13SDN-102-2023-05-ICT-031")</f>
        <v>R13SDN-102-2023-05-ICT-031</v>
      </c>
      <c r="K4231" s="164" t="str">
        <f ca="1">IFERROR(__xludf.DUMMYFUNCTION("""COMPUTED_VALUE"""),"Grecita P. Calinawan")</f>
        <v>Grecita P. Calinawan</v>
      </c>
      <c r="L4231" s="164" t="str">
        <f ca="1">IFERROR(__xludf.DUMMYFUNCTION("""COMPUTED_VALUE"""),"DARPO SDN PDI")</f>
        <v>DARPO SDN PDI</v>
      </c>
      <c r="M4231" s="164" t="str">
        <f ca="1">IFERROR(__xludf.DUMMYFUNCTION("""COMPUTED_VALUE"""),"Serviceable")</f>
        <v>Serviceable</v>
      </c>
      <c r="N4231" s="164"/>
    </row>
    <row r="4232" spans="1:14" ht="13.2" hidden="1">
      <c r="A4232" s="164" t="str">
        <f ca="1">IFERROR(__xludf.DUMMYFUNCTION("""COMPUTED_VALUE"""),"CARAGA")</f>
        <v>CARAGA</v>
      </c>
      <c r="B4232" s="164" t="str">
        <f ca="1">IFERROR(__xludf.DUMMYFUNCTION("""COMPUTED_VALUE"""),"Surigao del Norte")</f>
        <v>Surigao del Norte</v>
      </c>
      <c r="C4232" s="164" t="str">
        <f ca="1">IFERROR(__xludf.DUMMYFUNCTION("""COMPUTED_VALUE"""),"Laptop – (ACER EXTENSA EX215-55G i7)")</f>
        <v>Laptop – (ACER EXTENSA EX215-55G i7)</v>
      </c>
      <c r="D4232" s="164" t="str">
        <f ca="1">IFERROR(__xludf.DUMMYFUNCTION("""COMPUTED_VALUE"""),"₱ 59,500.00")</f>
        <v>₱ 59,500.00</v>
      </c>
      <c r="E4232" s="164" t="str">
        <f ca="1">IFERROR(__xludf.DUMMYFUNCTION("""COMPUTED_VALUE"""),"₱ -")</f>
        <v>₱ -</v>
      </c>
      <c r="F4232" s="164" t="str">
        <f ca="1">IFERROR(__xludf.DUMMYFUNCTION("""COMPUTED_VALUE"""),"2023-05-03-10202SP90-01")</f>
        <v>2023-05-03-10202SP90-01</v>
      </c>
      <c r="G4232" s="164" t="str">
        <f ca="1">IFERROR(__xludf.DUMMYFUNCTION("""COMPUTED_VALUE"""),"SN: NXEGZSP0030801EE734")</f>
        <v>SN: NXEGZSP0030801EE734</v>
      </c>
      <c r="H4232" s="164" t="str">
        <f ca="1">IFERROR(__xludf.DUMMYFUNCTION("""COMPUTED_VALUE"""),"Daryll M. Tumbaga")</f>
        <v>Daryll M. Tumbaga</v>
      </c>
      <c r="I4232" s="164" t="str">
        <f ca="1">IFERROR(__xludf.DUMMYFUNCTION("""COMPUTED_VALUE"""),"AO IV")</f>
        <v>AO IV</v>
      </c>
      <c r="J4232" s="164" t="str">
        <f ca="1">IFERROR(__xludf.DUMMYFUNCTION("""COMPUTED_VALUE"""),"R13SDN-102-2023-11-ICT-034")</f>
        <v>R13SDN-102-2023-11-ICT-034</v>
      </c>
      <c r="K4232" s="164" t="str">
        <f ca="1">IFERROR(__xludf.DUMMYFUNCTION("""COMPUTED_VALUE"""),"Daryll M. Tumbaga")</f>
        <v>Daryll M. Tumbaga</v>
      </c>
      <c r="L4232" s="164" t="str">
        <f ca="1">IFERROR(__xludf.DUMMYFUNCTION("""COMPUTED_VALUE"""),"PPMO - Surigao del Norte/PARPO II")</f>
        <v>PPMO - Surigao del Norte/PARPO II</v>
      </c>
      <c r="M4232" s="164" t="str">
        <f ca="1">IFERROR(__xludf.DUMMYFUNCTION("""COMPUTED_VALUE"""),"Serviceable")</f>
        <v>Serviceable</v>
      </c>
      <c r="N4232" s="164" t="str">
        <f ca="1">IFERROR(__xludf.DUMMYFUNCTION("""COMPUTED_VALUE"""),"from DARCO for Information Officers")</f>
        <v>from DARCO for Information Officers</v>
      </c>
    </row>
    <row r="4233" spans="1:14" ht="13.2" hidden="1">
      <c r="A4233" s="164" t="str">
        <f ca="1">IFERROR(__xludf.DUMMYFUNCTION("""COMPUTED_VALUE"""),"CARAGA")</f>
        <v>CARAGA</v>
      </c>
      <c r="B4233" s="164" t="str">
        <f ca="1">IFERROR(__xludf.DUMMYFUNCTION("""COMPUTED_VALUE"""),"Surigao del Sur")</f>
        <v>Surigao del Sur</v>
      </c>
      <c r="C4233" s="164" t="str">
        <f ca="1">IFERROR(__xludf.DUMMYFUNCTION("""COMPUTED_VALUE"""),"Laptop – (ACER EXTENSA EX215-55G i7)")</f>
        <v>Laptop – (ACER EXTENSA EX215-55G i7)</v>
      </c>
      <c r="D4233" s="164" t="str">
        <f ca="1">IFERROR(__xludf.DUMMYFUNCTION("""COMPUTED_VALUE"""),"₱ 59,500.00")</f>
        <v>₱ 59,500.00</v>
      </c>
      <c r="E4233" s="164" t="str">
        <f ca="1">IFERROR(__xludf.DUMMYFUNCTION("""COMPUTED_VALUE"""),"₱ -")</f>
        <v>₱ -</v>
      </c>
      <c r="F4233" s="164" t="str">
        <f ca="1">IFERROR(__xludf.DUMMYFUNCTION("""COMPUTED_VALUE"""),"2023-05-03-10202SP167-01")</f>
        <v>2023-05-03-10202SP167-01</v>
      </c>
      <c r="G4233" s="164" t="str">
        <f ca="1">IFERROR(__xludf.DUMMYFUNCTION("""COMPUTED_VALUE"""),"SN: NXEGZSP00330801B483400")</f>
        <v>SN: NXEGZSP00330801B483400</v>
      </c>
      <c r="H4233" s="164" t="str">
        <f ca="1">IFERROR(__xludf.DUMMYFUNCTION("""COMPUTED_VALUE"""),"Atty. Mardovic Dodge D. Benigian II")</f>
        <v>Atty. Mardovic Dodge D. Benigian II</v>
      </c>
      <c r="I4233" s="164" t="str">
        <f ca="1">IFERROR(__xludf.DUMMYFUNCTION("""COMPUTED_VALUE"""),"Attorney V")</f>
        <v>Attorney V</v>
      </c>
      <c r="J4233" s="164" t="str">
        <f ca="1">IFERROR(__xludf.DUMMYFUNCTION("""COMPUTED_VALUE"""),"2023-SPLIT-01")</f>
        <v>2023-SPLIT-01</v>
      </c>
      <c r="K4233" s="164" t="str">
        <f ca="1">IFERROR(__xludf.DUMMYFUNCTION("""COMPUTED_VALUE"""),"Atty. Mardovic Dodge D. Benegian II")</f>
        <v>Atty. Mardovic Dodge D. Benegian II</v>
      </c>
      <c r="L4233" s="164" t="str">
        <f ca="1">IFERROR(__xludf.DUMMYFUNCTION("""COMPUTED_VALUE"""),"PPMO - Legal Division, Surigao del Sur")</f>
        <v>PPMO - Legal Division, Surigao del Sur</v>
      </c>
      <c r="M4233" s="164" t="str">
        <f ca="1">IFERROR(__xludf.DUMMYFUNCTION("""COMPUTED_VALUE"""),"SERVICEABLE")</f>
        <v>SERVICEABLE</v>
      </c>
      <c r="N4233" s="164"/>
    </row>
    <row r="4234" spans="1:14" ht="13.2" hidden="1">
      <c r="A4234" s="164" t="str">
        <f ca="1">IFERROR(__xludf.DUMMYFUNCTION("""COMPUTED_VALUE"""),"CARAGA")</f>
        <v>CARAGA</v>
      </c>
      <c r="B4234" s="164" t="str">
        <f ca="1">IFERROR(__xludf.DUMMYFUNCTION("""COMPUTED_VALUE"""),"Surigao del Sur")</f>
        <v>Surigao del Sur</v>
      </c>
      <c r="C4234" s="164" t="str">
        <f ca="1">IFERROR(__xludf.DUMMYFUNCTION("""COMPUTED_VALUE"""),"Laptop – (ACER EXTENSA EX215-55G i7)")</f>
        <v>Laptop – (ACER EXTENSA EX215-55G i7)</v>
      </c>
      <c r="D4234" s="164" t="str">
        <f ca="1">IFERROR(__xludf.DUMMYFUNCTION("""COMPUTED_VALUE"""),"₱ 59,500.00")</f>
        <v>₱ 59,500.00</v>
      </c>
      <c r="E4234" s="164" t="str">
        <f ca="1">IFERROR(__xludf.DUMMYFUNCTION("""COMPUTED_VALUE"""),"₱ -")</f>
        <v>₱ -</v>
      </c>
      <c r="F4234" s="164" t="str">
        <f ca="1">IFERROR(__xludf.DUMMYFUNCTION("""COMPUTED_VALUE"""),"2023-05-03-10202SP168-01")</f>
        <v>2023-05-03-10202SP168-01</v>
      </c>
      <c r="G4234" s="164" t="str">
        <f ca="1">IFERROR(__xludf.DUMMYFUNCTION("""COMPUTED_VALUE"""),"SN: NXEGZSP00330801BBD3400")</f>
        <v>SN: NXEGZSP00330801BBD3400</v>
      </c>
      <c r="H4234" s="164" t="str">
        <f ca="1">IFERROR(__xludf.DUMMYFUNCTION("""COMPUTED_VALUE"""),"Atty. Mardovic Dodge D. Benigian II")</f>
        <v>Atty. Mardovic Dodge D. Benigian II</v>
      </c>
      <c r="I4234" s="164" t="str">
        <f ca="1">IFERROR(__xludf.DUMMYFUNCTION("""COMPUTED_VALUE"""),"Attorney V")</f>
        <v>Attorney V</v>
      </c>
      <c r="J4234" s="164" t="str">
        <f ca="1">IFERROR(__xludf.DUMMYFUNCTION("""COMPUTED_VALUE"""),"2023-SPLIT-02")</f>
        <v>2023-SPLIT-02</v>
      </c>
      <c r="K4234" s="164" t="str">
        <f ca="1">IFERROR(__xludf.DUMMYFUNCTION("""COMPUTED_VALUE"""),"Atty. Mardovic Dodge D. Benegian II (USER: Jobert Velasco)")</f>
        <v>Atty. Mardovic Dodge D. Benegian II (USER: Jobert Velasco)</v>
      </c>
      <c r="L4234" s="164" t="str">
        <f ca="1">IFERROR(__xludf.DUMMYFUNCTION("""COMPUTED_VALUE"""),"PPMO - Legal Division, Surigao del Sur")</f>
        <v>PPMO - Legal Division, Surigao del Sur</v>
      </c>
      <c r="M4234" s="164" t="str">
        <f ca="1">IFERROR(__xludf.DUMMYFUNCTION("""COMPUTED_VALUE"""),"SERVICEABLE")</f>
        <v>SERVICEABLE</v>
      </c>
      <c r="N4234" s="164"/>
    </row>
    <row r="4235" spans="1:14" ht="13.2" hidden="1">
      <c r="A4235" s="164" t="str">
        <f ca="1">IFERROR(__xludf.DUMMYFUNCTION("""COMPUTED_VALUE"""),"CARAGA")</f>
        <v>CARAGA</v>
      </c>
      <c r="B4235" s="164" t="str">
        <f ca="1">IFERROR(__xludf.DUMMYFUNCTION("""COMPUTED_VALUE"""),"Surigao del Sur")</f>
        <v>Surigao del Sur</v>
      </c>
      <c r="C4235" s="164" t="str">
        <f ca="1">IFERROR(__xludf.DUMMYFUNCTION("""COMPUTED_VALUE"""),"Laptop – (ACER EXTENSA EX215-55G i7)")</f>
        <v>Laptop – (ACER EXTENSA EX215-55G i7)</v>
      </c>
      <c r="D4235" s="164" t="str">
        <f ca="1">IFERROR(__xludf.DUMMYFUNCTION("""COMPUTED_VALUE"""),"₱ 59,500.00")</f>
        <v>₱ 59,500.00</v>
      </c>
      <c r="E4235" s="164" t="str">
        <f ca="1">IFERROR(__xludf.DUMMYFUNCTION("""COMPUTED_VALUE"""),"₱ -")</f>
        <v>₱ -</v>
      </c>
      <c r="F4235" s="164" t="str">
        <f ca="1">IFERROR(__xludf.DUMMYFUNCTION("""COMPUTED_VALUE"""),"2023-05-03-10202SP169-01")</f>
        <v>2023-05-03-10202SP169-01</v>
      </c>
      <c r="G4235" s="164" t="str">
        <f ca="1">IFERROR(__xludf.DUMMYFUNCTION("""COMPUTED_VALUE"""),"SN: NXEGZSP00330801BCB3400")</f>
        <v>SN: NXEGZSP00330801BCB3400</v>
      </c>
      <c r="H4235" s="164" t="str">
        <f ca="1">IFERROR(__xludf.DUMMYFUNCTION("""COMPUTED_VALUE"""),"April Annabelle C. Guarte")</f>
        <v>April Annabelle C. Guarte</v>
      </c>
      <c r="I4235" s="164" t="str">
        <f ca="1">IFERROR(__xludf.DUMMYFUNCTION("""COMPUTED_VALUE"""),"Planning Officer")</f>
        <v>Planning Officer</v>
      </c>
      <c r="J4235" s="164" t="str">
        <f ca="1">IFERROR(__xludf.DUMMYFUNCTION("""COMPUTED_VALUE"""),"2023-SPLIT-03")</f>
        <v>2023-SPLIT-03</v>
      </c>
      <c r="K4235" s="164" t="str">
        <f ca="1">IFERROR(__xludf.DUMMYFUNCTION("""COMPUTED_VALUE"""),"April Annabelle C. Guarte (User: Ellaine Rose M. Bautista)")</f>
        <v>April Annabelle C. Guarte (User: Ellaine Rose M. Bautista)</v>
      </c>
      <c r="L4235" s="164" t="str">
        <f ca="1">IFERROR(__xludf.DUMMYFUNCTION("""COMPUTED_VALUE"""),"PPMO -STOD, Surigao del Sur")</f>
        <v>PPMO -STOD, Surigao del Sur</v>
      </c>
      <c r="M4235" s="164" t="str">
        <f ca="1">IFERROR(__xludf.DUMMYFUNCTION("""COMPUTED_VALUE"""),"SERVICEABLE")</f>
        <v>SERVICEABLE</v>
      </c>
      <c r="N4235" s="164"/>
    </row>
    <row r="4236" spans="1:14" ht="13.2" hidden="1">
      <c r="A4236" s="164" t="str">
        <f ca="1">IFERROR(__xludf.DUMMYFUNCTION("""COMPUTED_VALUE"""),"CARAGA")</f>
        <v>CARAGA</v>
      </c>
      <c r="B4236" s="164" t="str">
        <f ca="1">IFERROR(__xludf.DUMMYFUNCTION("""COMPUTED_VALUE"""),"Surigao del Sur")</f>
        <v>Surigao del Sur</v>
      </c>
      <c r="C4236" s="164" t="str">
        <f ca="1">IFERROR(__xludf.DUMMYFUNCTION("""COMPUTED_VALUE"""),"Laptop – (ACER EXTENSA EX215-55G i7)")</f>
        <v>Laptop – (ACER EXTENSA EX215-55G i7)</v>
      </c>
      <c r="D4236" s="164" t="str">
        <f ca="1">IFERROR(__xludf.DUMMYFUNCTION("""COMPUTED_VALUE"""),"₱ 59,500.00")</f>
        <v>₱ 59,500.00</v>
      </c>
      <c r="E4236" s="164" t="str">
        <f ca="1">IFERROR(__xludf.DUMMYFUNCTION("""COMPUTED_VALUE"""),"₱ -")</f>
        <v>₱ -</v>
      </c>
      <c r="F4236" s="164" t="str">
        <f ca="1">IFERROR(__xludf.DUMMYFUNCTION("""COMPUTED_VALUE"""),"2023-05-03-10202SP170-01")</f>
        <v>2023-05-03-10202SP170-01</v>
      </c>
      <c r="G4236" s="164" t="str">
        <f ca="1">IFERROR(__xludf.DUMMYFUNCTION("""COMPUTED_VALUE"""),"SN: NXEGZSP00330801C013400")</f>
        <v>SN: NXEGZSP00330801C013400</v>
      </c>
      <c r="H4236" s="164" t="str">
        <f ca="1">IFERROR(__xludf.DUMMYFUNCTION("""COMPUTED_VALUE"""),"April Annabelle C. Guarte")</f>
        <v>April Annabelle C. Guarte</v>
      </c>
      <c r="I4236" s="164" t="str">
        <f ca="1">IFERROR(__xludf.DUMMYFUNCTION("""COMPUTED_VALUE"""),"Planning Officer")</f>
        <v>Planning Officer</v>
      </c>
      <c r="J4236" s="164" t="str">
        <f ca="1">IFERROR(__xludf.DUMMYFUNCTION("""COMPUTED_VALUE"""),"N/A")</f>
        <v>N/A</v>
      </c>
      <c r="K4236" s="164" t="str">
        <f ca="1">IFERROR(__xludf.DUMMYFUNCTION("""COMPUTED_VALUE"""),"April Annabelle C. Guarte")</f>
        <v>April Annabelle C. Guarte</v>
      </c>
      <c r="L4236" s="164" t="str">
        <f ca="1">IFERROR(__xludf.DUMMYFUNCTION("""COMPUTED_VALUE"""),"PPMO - STOD, Surigao del Sur")</f>
        <v>PPMO - STOD, Surigao del Sur</v>
      </c>
      <c r="M4236" s="164" t="str">
        <f ca="1">IFERROR(__xludf.DUMMYFUNCTION("""COMPUTED_VALUE"""),"SERVICEABLE")</f>
        <v>SERVICEABLE</v>
      </c>
      <c r="N4236" s="164"/>
    </row>
    <row r="4237" spans="1:14" ht="13.2" hidden="1">
      <c r="A4237" s="164" t="str">
        <f ca="1">IFERROR(__xludf.DUMMYFUNCTION("""COMPUTED_VALUE"""),"CARAGA")</f>
        <v>CARAGA</v>
      </c>
      <c r="B4237" s="164" t="str">
        <f ca="1">IFERROR(__xludf.DUMMYFUNCTION("""COMPUTED_VALUE"""),"Surigao del Sur")</f>
        <v>Surigao del Sur</v>
      </c>
      <c r="C4237" s="164" t="str">
        <f ca="1">IFERROR(__xludf.DUMMYFUNCTION("""COMPUTED_VALUE"""),"Laptop – (ACER EXTENSA EX215-55G i7)")</f>
        <v>Laptop – (ACER EXTENSA EX215-55G i7)</v>
      </c>
      <c r="D4237" s="164" t="str">
        <f ca="1">IFERROR(__xludf.DUMMYFUNCTION("""COMPUTED_VALUE"""),"₱ 59,500.00")</f>
        <v>₱ 59,500.00</v>
      </c>
      <c r="E4237" s="164" t="str">
        <f ca="1">IFERROR(__xludf.DUMMYFUNCTION("""COMPUTED_VALUE"""),"₱ -")</f>
        <v>₱ -</v>
      </c>
      <c r="F4237" s="164" t="str">
        <f ca="1">IFERROR(__xludf.DUMMYFUNCTION("""COMPUTED_VALUE"""),"2023-05-03-10202SP91-01")</f>
        <v>2023-05-03-10202SP91-01</v>
      </c>
      <c r="G4237" s="164" t="str">
        <f ca="1">IFERROR(__xludf.DUMMYFUNCTION("""COMPUTED_VALUE"""),"SN: NXEGZSP00330801F183400")</f>
        <v>SN: NXEGZSP00330801F183400</v>
      </c>
      <c r="H4237" s="164" t="str">
        <f ca="1">IFERROR(__xludf.DUMMYFUNCTION("""COMPUTED_VALUE"""),"Junelyn A. Pagaran")</f>
        <v>Junelyn A. Pagaran</v>
      </c>
      <c r="I4237" s="164" t="str">
        <f ca="1">IFERROR(__xludf.DUMMYFUNCTION("""COMPUTED_VALUE"""),"ARPO I")</f>
        <v>ARPO I</v>
      </c>
      <c r="J4237" s="164" t="str">
        <f ca="1">IFERROR(__xludf.DUMMYFUNCTION("""COMPUTED_VALUE"""),"2023-SPLIT-04")</f>
        <v>2023-SPLIT-04</v>
      </c>
      <c r="K4237" s="164" t="str">
        <f ca="1">IFERROR(__xludf.DUMMYFUNCTION("""COMPUTED_VALUE"""),"Junelyn A. Pagaran")</f>
        <v>Junelyn A. Pagaran</v>
      </c>
      <c r="L4237" s="164" t="str">
        <f ca="1">IFERROR(__xludf.DUMMYFUNCTION("""COMPUTED_VALUE"""),"PPMO -LTID, Surigao del Sur")</f>
        <v>PPMO -LTID, Surigao del Sur</v>
      </c>
      <c r="M4237" s="164" t="str">
        <f ca="1">IFERROR(__xludf.DUMMYFUNCTION("""COMPUTED_VALUE"""),"SERVICEABLE")</f>
        <v>SERVICEABLE</v>
      </c>
      <c r="N4237" s="164"/>
    </row>
    <row r="4238" spans="1:14" ht="13.2" hidden="1">
      <c r="A4238" s="164" t="str">
        <f ca="1">IFERROR(__xludf.DUMMYFUNCTION("""COMPUTED_VALUE"""),"CARAGA")</f>
        <v>CARAGA</v>
      </c>
      <c r="B4238" s="164" t="str">
        <f ca="1">IFERROR(__xludf.DUMMYFUNCTION("""COMPUTED_VALUE"""),"Regional Office")</f>
        <v>Regional Office</v>
      </c>
      <c r="C4238" s="164" t="str">
        <f ca="1">IFERROR(__xludf.DUMMYFUNCTION("""COMPUTED_VALUE"""),"Desktop Computer – (Lenovo M70T)")</f>
        <v>Desktop Computer – (Lenovo M70T)</v>
      </c>
      <c r="D4238" s="164" t="str">
        <f ca="1">IFERROR(__xludf.DUMMYFUNCTION("""COMPUTED_VALUE"""),"₱ 75,468.00")</f>
        <v>₱ 75,468.00</v>
      </c>
      <c r="E4238" s="164" t="str">
        <f ca="1">IFERROR(__xludf.DUMMYFUNCTION("""COMPUTED_VALUE"""),"₱ -")</f>
        <v>₱ -</v>
      </c>
      <c r="F4238" s="164" t="str">
        <f ca="1">IFERROR(__xludf.DUMMYFUNCTION("""COMPUTED_VALUE"""),"2023-05-03-10201SP1781-01")</f>
        <v>2023-05-03-10201SP1781-01</v>
      </c>
      <c r="G4238" s="164" t="str">
        <f ca="1">IFERROR(__xludf.DUMMYFUNCTION("""COMPUTED_VALUE"""),"SN: 1S11T5S16200GM041AV8")</f>
        <v>SN: 1S11T5S16200GM041AV8</v>
      </c>
      <c r="H4238" s="164" t="str">
        <f ca="1">IFERROR(__xludf.DUMMYFUNCTION("""COMPUTED_VALUE"""),"Engr. Roel C. Abesamis")</f>
        <v>Engr. Roel C. Abesamis</v>
      </c>
      <c r="I4238" s="164" t="str">
        <f ca="1">IFERROR(__xludf.DUMMYFUNCTION("""COMPUTED_VALUE"""),"DAR-DENR-ROD/LRA Coordinator")</f>
        <v>DAR-DENR-ROD/LRA Coordinator</v>
      </c>
      <c r="J4238" s="164" t="str">
        <f ca="1">IFERROR(__xludf.DUMMYFUNCTION("""COMPUTED_VALUE"""),"2023-09-033")</f>
        <v>2023-09-033</v>
      </c>
      <c r="K4238" s="164" t="str">
        <f ca="1">IFERROR(__xludf.DUMMYFUNCTION("""COMPUTED_VALUE"""),"Engr. Roel C. Abesamis")</f>
        <v>Engr. Roel C. Abesamis</v>
      </c>
      <c r="L4238" s="164" t="str">
        <f ca="1">IFERROR(__xludf.DUMMYFUNCTION("""COMPUTED_VALUE"""),"RPMO-Caraga/LTID")</f>
        <v>RPMO-Caraga/LTID</v>
      </c>
      <c r="M4238" s="164" t="str">
        <f ca="1">IFERROR(__xludf.DUMMYFUNCTION("""COMPUTED_VALUE"""),"Serviceable")</f>
        <v>Serviceable</v>
      </c>
      <c r="N4238" s="164"/>
    </row>
    <row r="4239" spans="1:14" ht="13.2" hidden="1">
      <c r="A4239" s="164" t="str">
        <f ca="1">IFERROR(__xludf.DUMMYFUNCTION("""COMPUTED_VALUE"""),"CARAGA")</f>
        <v>CARAGA</v>
      </c>
      <c r="B4239" s="164" t="str">
        <f ca="1">IFERROR(__xludf.DUMMYFUNCTION("""COMPUTED_VALUE"""),"Regional Office")</f>
        <v>Regional Office</v>
      </c>
      <c r="C4239" s="164" t="str">
        <f ca="1">IFERROR(__xludf.DUMMYFUNCTION("""COMPUTED_VALUE"""),"Desktop Computer – (Lenovo M70T)")</f>
        <v>Desktop Computer – (Lenovo M70T)</v>
      </c>
      <c r="D4239" s="164" t="str">
        <f ca="1">IFERROR(__xludf.DUMMYFUNCTION("""COMPUTED_VALUE"""),"₱ 75,468.00")</f>
        <v>₱ 75,468.00</v>
      </c>
      <c r="E4239" s="164" t="str">
        <f ca="1">IFERROR(__xludf.DUMMYFUNCTION("""COMPUTED_VALUE"""),"₱ -")</f>
        <v>₱ -</v>
      </c>
      <c r="F4239" s="164" t="str">
        <f ca="1">IFERROR(__xludf.DUMMYFUNCTION("""COMPUTED_VALUE"""),"2023-05-03-10201SP1803-01")</f>
        <v>2023-05-03-10201SP1803-01</v>
      </c>
      <c r="G4239" s="164" t="str">
        <f ca="1">IFERROR(__xludf.DUMMYFUNCTION("""COMPUTED_VALUE"""),"SN: 1S11T5S16200GM041B4F")</f>
        <v>SN: 1S11T5S16200GM041B4F</v>
      </c>
      <c r="H4239" s="164" t="str">
        <f ca="1">IFERROR(__xludf.DUMMYFUNCTION("""COMPUTED_VALUE"""),"Engr. Roel C. Abesamis")</f>
        <v>Engr. Roel C. Abesamis</v>
      </c>
      <c r="I4239" s="164" t="str">
        <f ca="1">IFERROR(__xludf.DUMMYFUNCTION("""COMPUTED_VALUE"""),"DAR-DENR-ROD/LRA Coordinator")</f>
        <v>DAR-DENR-ROD/LRA Coordinator</v>
      </c>
      <c r="J4239" s="164" t="str">
        <f ca="1">IFERROR(__xludf.DUMMYFUNCTION("""COMPUTED_VALUE"""),"2023-05-31-SPLIT")</f>
        <v>2023-05-31-SPLIT</v>
      </c>
      <c r="K4239" s="164" t="str">
        <f ca="1">IFERROR(__xludf.DUMMYFUNCTION("""COMPUTED_VALUE"""),"Engr. J. Torrentira")</f>
        <v>Engr. J. Torrentira</v>
      </c>
      <c r="L4239" s="164" t="str">
        <f ca="1">IFERROR(__xludf.DUMMYFUNCTION("""COMPUTED_VALUE"""),"RPMO-Caraga/LTID")</f>
        <v>RPMO-Caraga/LTID</v>
      </c>
      <c r="M4239" s="164" t="str">
        <f ca="1">IFERROR(__xludf.DUMMYFUNCTION("""COMPUTED_VALUE"""),"Serviceable")</f>
        <v>Serviceable</v>
      </c>
      <c r="N4239" s="164"/>
    </row>
    <row r="4240" spans="1:14" ht="13.2" hidden="1">
      <c r="A4240" s="164" t="str">
        <f ca="1">IFERROR(__xludf.DUMMYFUNCTION("""COMPUTED_VALUE"""),"CARAGA")</f>
        <v>CARAGA</v>
      </c>
      <c r="B4240" s="164" t="str">
        <f ca="1">IFERROR(__xludf.DUMMYFUNCTION("""COMPUTED_VALUE"""),"Regional Office")</f>
        <v>Regional Office</v>
      </c>
      <c r="C4240" s="164" t="str">
        <f ca="1">IFERROR(__xludf.DUMMYFUNCTION("""COMPUTED_VALUE"""),"Desktop Computer – (Lenovo M70T)")</f>
        <v>Desktop Computer – (Lenovo M70T)</v>
      </c>
      <c r="D4240" s="164" t="str">
        <f ca="1">IFERROR(__xludf.DUMMYFUNCTION("""COMPUTED_VALUE"""),"₱ 75,468.00")</f>
        <v>₱ 75,468.00</v>
      </c>
      <c r="E4240" s="164" t="str">
        <f ca="1">IFERROR(__xludf.DUMMYFUNCTION("""COMPUTED_VALUE"""),"₱ -")</f>
        <v>₱ -</v>
      </c>
      <c r="F4240" s="164" t="str">
        <f ca="1">IFERROR(__xludf.DUMMYFUNCTION("""COMPUTED_VALUE"""),"2023-05-03-10201SP1805-01")</f>
        <v>2023-05-03-10201SP1805-01</v>
      </c>
      <c r="G4240" s="164" t="str">
        <f ca="1">IFERROR(__xludf.DUMMYFUNCTION("""COMPUTED_VALUE"""),"SN:1S11T5S16200GM041B56")</f>
        <v>SN:1S11T5S16200GM041B56</v>
      </c>
      <c r="H4240" s="164" t="str">
        <f ca="1">IFERROR(__xludf.DUMMYFUNCTION("""COMPUTED_VALUE"""),"Atty. M. Ruiz")</f>
        <v>Atty. M. Ruiz</v>
      </c>
      <c r="I4240" s="164" t="str">
        <f ca="1">IFERROR(__xludf.DUMMYFUNCTION("""COMPUTED_VALUE"""),"Atty. V")</f>
        <v>Atty. V</v>
      </c>
      <c r="J4240" s="164" t="str">
        <f ca="1">IFERROR(__xludf.DUMMYFUNCTION("""COMPUTED_VALUE"""),"2024-04-014")</f>
        <v>2024-04-014</v>
      </c>
      <c r="K4240" s="164" t="str">
        <f ca="1">IFERROR(__xludf.DUMMYFUNCTION("""COMPUTED_VALUE"""),"J. Ali")</f>
        <v>J. Ali</v>
      </c>
      <c r="L4240" s="164" t="str">
        <f ca="1">IFERROR(__xludf.DUMMYFUNCTION("""COMPUTED_VALUE"""),"RPMO-Caraga/LSD")</f>
        <v>RPMO-Caraga/LSD</v>
      </c>
      <c r="M4240" s="164" t="str">
        <f ca="1">IFERROR(__xludf.DUMMYFUNCTION("""COMPUTED_VALUE"""),"Serviceable")</f>
        <v>Serviceable</v>
      </c>
      <c r="N4240" s="164"/>
    </row>
    <row r="4241" spans="1:14" ht="13.2" hidden="1">
      <c r="A4241" s="164" t="str">
        <f ca="1">IFERROR(__xludf.DUMMYFUNCTION("""COMPUTED_VALUE"""),"CARAGA")</f>
        <v>CARAGA</v>
      </c>
      <c r="B4241" s="164" t="str">
        <f ca="1">IFERROR(__xludf.DUMMYFUNCTION("""COMPUTED_VALUE"""),"Regional Office")</f>
        <v>Regional Office</v>
      </c>
      <c r="C4241" s="164" t="str">
        <f ca="1">IFERROR(__xludf.DUMMYFUNCTION("""COMPUTED_VALUE"""),"Desktop Computer – (Lenovo M70T)")</f>
        <v>Desktop Computer – (Lenovo M70T)</v>
      </c>
      <c r="D4241" s="164" t="str">
        <f ca="1">IFERROR(__xludf.DUMMYFUNCTION("""COMPUTED_VALUE"""),"₱ 75,468.00")</f>
        <v>₱ 75,468.00</v>
      </c>
      <c r="E4241" s="164" t="str">
        <f ca="1">IFERROR(__xludf.DUMMYFUNCTION("""COMPUTED_VALUE"""),"₱ -")</f>
        <v>₱ -</v>
      </c>
      <c r="F4241" s="164" t="str">
        <f ca="1">IFERROR(__xludf.DUMMYFUNCTION("""COMPUTED_VALUE"""),"2023-05-03-10201SP1815-01")</f>
        <v>2023-05-03-10201SP1815-01</v>
      </c>
      <c r="G4241" s="164" t="str">
        <f ca="1">IFERROR(__xludf.DUMMYFUNCTION("""COMPUTED_VALUE"""),"SN: 1S11T5S16200GM0418KY")</f>
        <v>SN: 1S11T5S16200GM0418KY</v>
      </c>
      <c r="H4241" s="164" t="str">
        <f ca="1">IFERROR(__xludf.DUMMYFUNCTION("""COMPUTED_VALUE"""),"E. Capitania")</f>
        <v>E. Capitania</v>
      </c>
      <c r="I4241" s="164" t="str">
        <f ca="1">IFERROR(__xludf.DUMMYFUNCTION("""COMPUTED_VALUE"""),"Cashier II")</f>
        <v>Cashier II</v>
      </c>
      <c r="J4241" s="164" t="str">
        <f ca="1">IFERROR(__xludf.DUMMYFUNCTION("""COMPUTED_VALUE"""),"2023-09-017")</f>
        <v>2023-09-017</v>
      </c>
      <c r="K4241" s="164" t="str">
        <f ca="1">IFERROR(__xludf.DUMMYFUNCTION("""COMPUTED_VALUE"""),"E. Capitania")</f>
        <v>E. Capitania</v>
      </c>
      <c r="L4241" s="164" t="str">
        <f ca="1">IFERROR(__xludf.DUMMYFUNCTION("""COMPUTED_VALUE"""),"RPMO-Caraga/Cashiering Section")</f>
        <v>RPMO-Caraga/Cashiering Section</v>
      </c>
      <c r="M4241" s="164" t="str">
        <f ca="1">IFERROR(__xludf.DUMMYFUNCTION("""COMPUTED_VALUE"""),"Serviceable")</f>
        <v>Serviceable</v>
      </c>
      <c r="N4241" s="164"/>
    </row>
    <row r="4242" spans="1:14" ht="13.2" hidden="1">
      <c r="A4242" s="164" t="str">
        <f ca="1">IFERROR(__xludf.DUMMYFUNCTION("""COMPUTED_VALUE"""),"CARAGA")</f>
        <v>CARAGA</v>
      </c>
      <c r="B4242" s="164" t="str">
        <f ca="1">IFERROR(__xludf.DUMMYFUNCTION("""COMPUTED_VALUE"""),"Regional Office")</f>
        <v>Regional Office</v>
      </c>
      <c r="C4242" s="164" t="str">
        <f ca="1">IFERROR(__xludf.DUMMYFUNCTION("""COMPUTED_VALUE"""),"Desktop Computer – (Lenovo M70T)")</f>
        <v>Desktop Computer – (Lenovo M70T)</v>
      </c>
      <c r="D4242" s="164" t="str">
        <f ca="1">IFERROR(__xludf.DUMMYFUNCTION("""COMPUTED_VALUE"""),"₱ 75,468.00")</f>
        <v>₱ 75,468.00</v>
      </c>
      <c r="E4242" s="164" t="str">
        <f ca="1">IFERROR(__xludf.DUMMYFUNCTION("""COMPUTED_VALUE"""),"₱ -")</f>
        <v>₱ -</v>
      </c>
      <c r="F4242" s="164" t="str">
        <f ca="1">IFERROR(__xludf.DUMMYFUNCTION("""COMPUTED_VALUE"""),"2023-05-03-10201SP1812-01")</f>
        <v>2023-05-03-10201SP1812-01</v>
      </c>
      <c r="G4242" s="164" t="str">
        <f ca="1">IFERROR(__xludf.DUMMYFUNCTION("""COMPUTED_VALUE"""),"SN: 1S11T5S16200GM041608")</f>
        <v>SN: 1S11T5S16200GM041608</v>
      </c>
      <c r="H4242" s="164" t="str">
        <f ca="1">IFERROR(__xludf.DUMMYFUNCTION("""COMPUTED_VALUE"""),"M. Daquipil")</f>
        <v>M. Daquipil</v>
      </c>
      <c r="I4242" s="164" t="str">
        <f ca="1">IFERROR(__xludf.DUMMYFUNCTION("""COMPUTED_VALUE"""),"Records Officer II")</f>
        <v>Records Officer II</v>
      </c>
      <c r="J4242" s="164" t="str">
        <f ca="1">IFERROR(__xludf.DUMMYFUNCTION("""COMPUTED_VALUE"""),"2023-09-024")</f>
        <v>2023-09-024</v>
      </c>
      <c r="K4242" s="164" t="str">
        <f ca="1">IFERROR(__xludf.DUMMYFUNCTION("""COMPUTED_VALUE"""),"M. Daquipil")</f>
        <v>M. Daquipil</v>
      </c>
      <c r="L4242" s="164" t="str">
        <f ca="1">IFERROR(__xludf.DUMMYFUNCTION("""COMPUTED_VALUE"""),"RPMO-Caraga/STOD- Records Section")</f>
        <v>RPMO-Caraga/STOD- Records Section</v>
      </c>
      <c r="M4242" s="164" t="str">
        <f ca="1">IFERROR(__xludf.DUMMYFUNCTION("""COMPUTED_VALUE"""),"Serviceable")</f>
        <v>Serviceable</v>
      </c>
      <c r="N4242" s="164"/>
    </row>
    <row r="4243" spans="1:14" ht="13.2" hidden="1">
      <c r="A4243" s="164" t="str">
        <f ca="1">IFERROR(__xludf.DUMMYFUNCTION("""COMPUTED_VALUE"""),"CARAGA")</f>
        <v>CARAGA</v>
      </c>
      <c r="B4243" s="164" t="str">
        <f ca="1">IFERROR(__xludf.DUMMYFUNCTION("""COMPUTED_VALUE"""),"Regional Office")</f>
        <v>Regional Office</v>
      </c>
      <c r="C4243" s="164" t="str">
        <f ca="1">IFERROR(__xludf.DUMMYFUNCTION("""COMPUTED_VALUE"""),"Desktop Computer – (Lenovo M70T)")</f>
        <v>Desktop Computer – (Lenovo M70T)</v>
      </c>
      <c r="D4243" s="164" t="str">
        <f ca="1">IFERROR(__xludf.DUMMYFUNCTION("""COMPUTED_VALUE"""),"₱ 75,468.00")</f>
        <v>₱ 75,468.00</v>
      </c>
      <c r="E4243" s="164" t="str">
        <f ca="1">IFERROR(__xludf.DUMMYFUNCTION("""COMPUTED_VALUE"""),"₱ -")</f>
        <v>₱ -</v>
      </c>
      <c r="F4243" s="164" t="str">
        <f ca="1">IFERROR(__xludf.DUMMYFUNCTION("""COMPUTED_VALUE"""),"2023-05-03-10201SP1816-01")</f>
        <v>2023-05-03-10201SP1816-01</v>
      </c>
      <c r="G4243" s="164" t="str">
        <f ca="1">IFERROR(__xludf.DUMMYFUNCTION("""COMPUTED_VALUE"""),"SN:1S11T5S16200GM0418LN")</f>
        <v>SN:1S11T5S16200GM0418LN</v>
      </c>
      <c r="H4243" s="164" t="str">
        <f ca="1">IFERROR(__xludf.DUMMYFUNCTION("""COMPUTED_VALUE"""),"N. Casil")</f>
        <v>N. Casil</v>
      </c>
      <c r="I4243" s="164" t="str">
        <f ca="1">IFERROR(__xludf.DUMMYFUNCTION("""COMPUTED_VALUE"""),"ARPO II")</f>
        <v>ARPO II</v>
      </c>
      <c r="J4243" s="164" t="str">
        <f ca="1">IFERROR(__xludf.DUMMYFUNCTION("""COMPUTED_VALUE"""),"2025-01-001")</f>
        <v>2025-01-001</v>
      </c>
      <c r="K4243" s="164" t="str">
        <f ca="1">IFERROR(__xludf.DUMMYFUNCTION("""COMPUTED_VALUE"""),"N. Casil")</f>
        <v>N. Casil</v>
      </c>
      <c r="L4243" s="164" t="str">
        <f ca="1">IFERROR(__xludf.DUMMYFUNCTION("""COMPUTED_VALUE"""),"RPMO-Caraga/STOD- Planning Section")</f>
        <v>RPMO-Caraga/STOD- Planning Section</v>
      </c>
      <c r="M4243" s="164" t="str">
        <f ca="1">IFERROR(__xludf.DUMMYFUNCTION("""COMPUTED_VALUE"""),"Serviceable")</f>
        <v>Serviceable</v>
      </c>
      <c r="N4243" s="164"/>
    </row>
    <row r="4244" spans="1:14" ht="13.2" hidden="1">
      <c r="A4244" s="164" t="str">
        <f ca="1">IFERROR(__xludf.DUMMYFUNCTION("""COMPUTED_VALUE"""),"CARAGA")</f>
        <v>CARAGA</v>
      </c>
      <c r="B4244" s="164" t="str">
        <f ca="1">IFERROR(__xludf.DUMMYFUNCTION("""COMPUTED_VALUE"""),"Regional Office")</f>
        <v>Regional Office</v>
      </c>
      <c r="C4244" s="164" t="str">
        <f ca="1">IFERROR(__xludf.DUMMYFUNCTION("""COMPUTED_VALUE"""),"Desktop Computer – (Lenovo M70T)")</f>
        <v>Desktop Computer – (Lenovo M70T)</v>
      </c>
      <c r="D4244" s="164" t="str">
        <f ca="1">IFERROR(__xludf.DUMMYFUNCTION("""COMPUTED_VALUE"""),"₱ 75,468.00")</f>
        <v>₱ 75,468.00</v>
      </c>
      <c r="E4244" s="164" t="str">
        <f ca="1">IFERROR(__xludf.DUMMYFUNCTION("""COMPUTED_VALUE"""),"₱ -")</f>
        <v>₱ -</v>
      </c>
      <c r="F4244" s="164" t="str">
        <f ca="1">IFERROR(__xludf.DUMMYFUNCTION("""COMPUTED_VALUE"""),"2023-05-03-10201SP1780-01")</f>
        <v>2023-05-03-10201SP1780-01</v>
      </c>
      <c r="G4244" s="164" t="str">
        <f ca="1">IFERROR(__xludf.DUMMYFUNCTION("""COMPUTED_VALUE"""),"SN:1S11T5S16200GM0418LC")</f>
        <v>SN:1S11T5S16200GM0418LC</v>
      </c>
      <c r="H4244" s="164" t="str">
        <f ca="1">IFERROR(__xludf.DUMMYFUNCTION("""COMPUTED_VALUE"""),"C. Lafuente")</f>
        <v>C. Lafuente</v>
      </c>
      <c r="I4244" s="164" t="str">
        <f ca="1">IFERROR(__xludf.DUMMYFUNCTION("""COMPUTED_VALUE"""),"StratCom Coordinator")</f>
        <v>StratCom Coordinator</v>
      </c>
      <c r="J4244" s="164" t="str">
        <f ca="1">IFERROR(__xludf.DUMMYFUNCTION("""COMPUTED_VALUE"""),"2023-09-026")</f>
        <v>2023-09-026</v>
      </c>
      <c r="K4244" s="164" t="str">
        <f ca="1">IFERROR(__xludf.DUMMYFUNCTION("""COMPUTED_VALUE"""),"C. Lafuente")</f>
        <v>C. Lafuente</v>
      </c>
      <c r="L4244" s="164" t="str">
        <f ca="1">IFERROR(__xludf.DUMMYFUNCTION("""COMPUTED_VALUE"""),"RPMO-Caraga/STOD- RIU")</f>
        <v>RPMO-Caraga/STOD- RIU</v>
      </c>
      <c r="M4244" s="164" t="str">
        <f ca="1">IFERROR(__xludf.DUMMYFUNCTION("""COMPUTED_VALUE"""),"Serviceable")</f>
        <v>Serviceable</v>
      </c>
      <c r="N4244" s="164" t="str">
        <f ca="1">IFERROR(__xludf.DUMMYFUNCTION("""COMPUTED_VALUE"""),"UPS Unserviceable")</f>
        <v>UPS Unserviceable</v>
      </c>
    </row>
    <row r="4245" spans="1:14" ht="13.2" hidden="1">
      <c r="A4245" s="164" t="str">
        <f ca="1">IFERROR(__xludf.DUMMYFUNCTION("""COMPUTED_VALUE"""),"CARAGA")</f>
        <v>CARAGA</v>
      </c>
      <c r="B4245" s="164" t="str">
        <f ca="1">IFERROR(__xludf.DUMMYFUNCTION("""COMPUTED_VALUE"""),"Regional Office")</f>
        <v>Regional Office</v>
      </c>
      <c r="C4245" s="164" t="str">
        <f ca="1">IFERROR(__xludf.DUMMYFUNCTION("""COMPUTED_VALUE"""),"Desktop Computer – (Lenovo M70T)")</f>
        <v>Desktop Computer – (Lenovo M70T)</v>
      </c>
      <c r="D4245" s="164" t="str">
        <f ca="1">IFERROR(__xludf.DUMMYFUNCTION("""COMPUTED_VALUE"""),"₱ 75,468.00")</f>
        <v>₱ 75,468.00</v>
      </c>
      <c r="E4245" s="164" t="str">
        <f ca="1">IFERROR(__xludf.DUMMYFUNCTION("""COMPUTED_VALUE"""),"₱ -")</f>
        <v>₱ -</v>
      </c>
      <c r="F4245" s="164" t="str">
        <f ca="1">IFERROR(__xludf.DUMMYFUNCTION("""COMPUTED_VALUE"""),"2023-05-03-10201SP1809-01")</f>
        <v>2023-05-03-10201SP1809-01</v>
      </c>
      <c r="G4245" s="164" t="str">
        <f ca="1">IFERROR(__xludf.DUMMYFUNCTION("""COMPUTED_VALUE"""),"SN:1S11T5S16200GM041B68")</f>
        <v>SN:1S11T5S16200GM041B68</v>
      </c>
      <c r="H4245" s="164" t="str">
        <f ca="1">IFERROR(__xludf.DUMMYFUNCTION("""COMPUTED_VALUE"""),"Atty. M. Ruiz")</f>
        <v>Atty. M. Ruiz</v>
      </c>
      <c r="I4245" s="164" t="str">
        <f ca="1">IFERROR(__xludf.DUMMYFUNCTION("""COMPUTED_VALUE"""),"Atty. V")</f>
        <v>Atty. V</v>
      </c>
      <c r="J4245" s="164" t="str">
        <f ca="1">IFERROR(__xludf.DUMMYFUNCTION("""COMPUTED_VALUE"""),"2023-09-030")</f>
        <v>2023-09-030</v>
      </c>
      <c r="K4245" s="164" t="str">
        <f ca="1">IFERROR(__xludf.DUMMYFUNCTION("""COMPUTED_VALUE"""),"C. Tantay")</f>
        <v>C. Tantay</v>
      </c>
      <c r="L4245" s="164" t="str">
        <f ca="1">IFERROR(__xludf.DUMMYFUNCTION("""COMPUTED_VALUE"""),"RPMO-Caraga/LSD")</f>
        <v>RPMO-Caraga/LSD</v>
      </c>
      <c r="M4245" s="164" t="str">
        <f ca="1">IFERROR(__xludf.DUMMYFUNCTION("""COMPUTED_VALUE"""),"Serviceable")</f>
        <v>Serviceable</v>
      </c>
      <c r="N4245" s="164"/>
    </row>
    <row r="4246" spans="1:14" ht="13.2" hidden="1">
      <c r="A4246" s="164" t="str">
        <f ca="1">IFERROR(__xludf.DUMMYFUNCTION("""COMPUTED_VALUE"""),"CARAGA")</f>
        <v>CARAGA</v>
      </c>
      <c r="B4246" s="164" t="str">
        <f ca="1">IFERROR(__xludf.DUMMYFUNCTION("""COMPUTED_VALUE"""),"Regional Office")</f>
        <v>Regional Office</v>
      </c>
      <c r="C4246" s="164" t="str">
        <f ca="1">IFERROR(__xludf.DUMMYFUNCTION("""COMPUTED_VALUE"""),"Desktop Computer – (Lenovo M70T)")</f>
        <v>Desktop Computer – (Lenovo M70T)</v>
      </c>
      <c r="D4246" s="164" t="str">
        <f ca="1">IFERROR(__xludf.DUMMYFUNCTION("""COMPUTED_VALUE"""),"₱ 75,468.00")</f>
        <v>₱ 75,468.00</v>
      </c>
      <c r="E4246" s="164" t="str">
        <f ca="1">IFERROR(__xludf.DUMMYFUNCTION("""COMPUTED_VALUE"""),"₱ -")</f>
        <v>₱ -</v>
      </c>
      <c r="F4246" s="164" t="str">
        <f ca="1">IFERROR(__xludf.DUMMYFUNCTION("""COMPUTED_VALUE"""),"2023-05-03-10201SP1814-01")</f>
        <v>2023-05-03-10201SP1814-01</v>
      </c>
      <c r="G4246" s="164" t="str">
        <f ca="1">IFERROR(__xludf.DUMMYFUNCTION("""COMPUTED_VALUE"""),"SN:1S11T5S16200GM0418J6")</f>
        <v>SN:1S11T5S16200GM0418J6</v>
      </c>
      <c r="H4246" s="164" t="str">
        <f ca="1">IFERROR(__xludf.DUMMYFUNCTION("""COMPUTED_VALUE"""),"A. Sanico")</f>
        <v>A. Sanico</v>
      </c>
      <c r="I4246" s="164" t="str">
        <f ca="1">IFERROR(__xludf.DUMMYFUNCTION("""COMPUTED_VALUE"""),"Accountant III")</f>
        <v>Accountant III</v>
      </c>
      <c r="J4246" s="164" t="str">
        <f ca="1">IFERROR(__xludf.DUMMYFUNCTION("""COMPUTED_VALUE"""),"2023-09-021")</f>
        <v>2023-09-021</v>
      </c>
      <c r="K4246" s="164" t="str">
        <f ca="1">IFERROR(__xludf.DUMMYFUNCTION("""COMPUTED_VALUE"""),"A. Sanico")</f>
        <v>A. Sanico</v>
      </c>
      <c r="L4246" s="164" t="str">
        <f ca="1">IFERROR(__xludf.DUMMYFUNCTION("""COMPUTED_VALUE"""),"RPMO-Caraga/STOD- Accounting Section")</f>
        <v>RPMO-Caraga/STOD- Accounting Section</v>
      </c>
      <c r="M4246" s="164" t="str">
        <f ca="1">IFERROR(__xludf.DUMMYFUNCTION("""COMPUTED_VALUE"""),"Serviceable")</f>
        <v>Serviceable</v>
      </c>
      <c r="N4246" s="164" t="str">
        <f ca="1">IFERROR(__xludf.DUMMYFUNCTION("""COMPUTED_VALUE"""),"UPS Unserviceable")</f>
        <v>UPS Unserviceable</v>
      </c>
    </row>
    <row r="4247" spans="1:14" ht="13.2" hidden="1">
      <c r="A4247" s="164" t="str">
        <f ca="1">IFERROR(__xludf.DUMMYFUNCTION("""COMPUTED_VALUE"""),"CARAGA")</f>
        <v>CARAGA</v>
      </c>
      <c r="B4247" s="164" t="str">
        <f ca="1">IFERROR(__xludf.DUMMYFUNCTION("""COMPUTED_VALUE"""),"Regional Office")</f>
        <v>Regional Office</v>
      </c>
      <c r="C4247" s="164" t="str">
        <f ca="1">IFERROR(__xludf.DUMMYFUNCTION("""COMPUTED_VALUE"""),"Desktop Computer – (Lenovo M70T)")</f>
        <v>Desktop Computer – (Lenovo M70T)</v>
      </c>
      <c r="D4247" s="164" t="str">
        <f ca="1">IFERROR(__xludf.DUMMYFUNCTION("""COMPUTED_VALUE"""),"₱ 75,468.00")</f>
        <v>₱ 75,468.00</v>
      </c>
      <c r="E4247" s="164" t="str">
        <f ca="1">IFERROR(__xludf.DUMMYFUNCTION("""COMPUTED_VALUE"""),"₱ -")</f>
        <v>₱ -</v>
      </c>
      <c r="F4247" s="164" t="str">
        <f ca="1">IFERROR(__xludf.DUMMYFUNCTION("""COMPUTED_VALUE"""),"2023-05-03-10201SP1813-01")</f>
        <v>2023-05-03-10201SP1813-01</v>
      </c>
      <c r="G4247" s="164" t="str">
        <f ca="1">IFERROR(__xludf.DUMMYFUNCTION("""COMPUTED_VALUE"""),"SN:1S11T5S16200GM0418CL")</f>
        <v>SN:1S11T5S16200GM0418CL</v>
      </c>
      <c r="H4247" s="164" t="str">
        <f ca="1">IFERROR(__xludf.DUMMYFUNCTION("""COMPUTED_VALUE"""),"Ma. Ethely A. Ylaya")</f>
        <v>Ma. Ethely A. Ylaya</v>
      </c>
      <c r="I4247" s="164" t="str">
        <f ca="1">IFERROR(__xludf.DUMMYFUNCTION("""COMPUTED_VALUE"""),"Budget Officer III")</f>
        <v>Budget Officer III</v>
      </c>
      <c r="J4247" s="164" t="str">
        <f ca="1">IFERROR(__xludf.DUMMYFUNCTION("""COMPUTED_VALUE"""),"2023-09-022")</f>
        <v>2023-09-022</v>
      </c>
      <c r="K4247" s="164" t="str">
        <f ca="1">IFERROR(__xludf.DUMMYFUNCTION("""COMPUTED_VALUE"""),"Ma. Ethely A. Ylaya")</f>
        <v>Ma. Ethely A. Ylaya</v>
      </c>
      <c r="L4247" s="164" t="str">
        <f ca="1">IFERROR(__xludf.DUMMYFUNCTION("""COMPUTED_VALUE"""),"RPMO-Caraga/STOD-Budget Section")</f>
        <v>RPMO-Caraga/STOD-Budget Section</v>
      </c>
      <c r="M4247" s="164" t="str">
        <f ca="1">IFERROR(__xludf.DUMMYFUNCTION("""COMPUTED_VALUE"""),"Serviceable")</f>
        <v>Serviceable</v>
      </c>
      <c r="N4247" s="164" t="str">
        <f ca="1">IFERROR(__xludf.DUMMYFUNCTION("""COMPUTED_VALUE"""),"SERVICEABLE")</f>
        <v>SERVICEABLE</v>
      </c>
    </row>
    <row r="4248" spans="1:14" ht="13.2" hidden="1">
      <c r="A4248" s="164" t="str">
        <f ca="1">IFERROR(__xludf.DUMMYFUNCTION("""COMPUTED_VALUE"""),"CARAGA")</f>
        <v>CARAGA</v>
      </c>
      <c r="B4248" s="164" t="str">
        <f ca="1">IFERROR(__xludf.DUMMYFUNCTION("""COMPUTED_VALUE"""),"Regional Office")</f>
        <v>Regional Office</v>
      </c>
      <c r="C4248" s="164" t="str">
        <f ca="1">IFERROR(__xludf.DUMMYFUNCTION("""COMPUTED_VALUE"""),"Desktop Computer – (Lenovo M70T)")</f>
        <v>Desktop Computer – (Lenovo M70T)</v>
      </c>
      <c r="D4248" s="164" t="str">
        <f ca="1">IFERROR(__xludf.DUMMYFUNCTION("""COMPUTED_VALUE"""),"₱ 75,468.00")</f>
        <v>₱ 75,468.00</v>
      </c>
      <c r="E4248" s="164" t="str">
        <f ca="1">IFERROR(__xludf.DUMMYFUNCTION("""COMPUTED_VALUE"""),"₱ -")</f>
        <v>₱ -</v>
      </c>
      <c r="F4248" s="164" t="str">
        <f ca="1">IFERROR(__xludf.DUMMYFUNCTION("""COMPUTED_VALUE"""),"2023-05-03-10201SP1800-01")</f>
        <v>2023-05-03-10201SP1800-01</v>
      </c>
      <c r="G4248" s="164" t="str">
        <f ca="1">IFERROR(__xludf.DUMMYFUNCTION("""COMPUTED_VALUE"""),"SN:1S11T5S16200GM041B42")</f>
        <v>SN:1S11T5S16200GM041B42</v>
      </c>
      <c r="H4248" s="164" t="str">
        <f ca="1">IFERROR(__xludf.DUMMYFUNCTION("""COMPUTED_VALUE"""),"R. Sambaan")</f>
        <v>R. Sambaan</v>
      </c>
      <c r="I4248" s="164" t="str">
        <f ca="1">IFERROR(__xludf.DUMMYFUNCTION("""COMPUTED_VALUE"""),"AO III")</f>
        <v>AO III</v>
      </c>
      <c r="J4248" s="164" t="str">
        <f ca="1">IFERROR(__xludf.DUMMYFUNCTION("""COMPUTED_VALUE"""),"2024-02-008")</f>
        <v>2024-02-008</v>
      </c>
      <c r="K4248" s="164" t="str">
        <f ca="1">IFERROR(__xludf.DUMMYFUNCTION("""COMPUTED_VALUE"""),"N. Cabeltis")</f>
        <v>N. Cabeltis</v>
      </c>
      <c r="L4248" s="164" t="str">
        <f ca="1">IFERROR(__xludf.DUMMYFUNCTION("""COMPUTED_VALUE"""),"RPMO-Caraga/STOD- GSS")</f>
        <v>RPMO-Caraga/STOD- GSS</v>
      </c>
      <c r="M4248" s="164" t="str">
        <f ca="1">IFERROR(__xludf.DUMMYFUNCTION("""COMPUTED_VALUE"""),"Serviceable")</f>
        <v>Serviceable</v>
      </c>
      <c r="N4248" s="164" t="str">
        <f ca="1">IFERROR(__xludf.DUMMYFUNCTION("""COMPUTED_VALUE"""),"Printer unserviceable")</f>
        <v>Printer unserviceable</v>
      </c>
    </row>
    <row r="4249" spans="1:14" ht="13.2" hidden="1">
      <c r="A4249" s="164" t="str">
        <f ca="1">IFERROR(__xludf.DUMMYFUNCTION("""COMPUTED_VALUE"""),"CARAGA")</f>
        <v>CARAGA</v>
      </c>
      <c r="B4249" s="164" t="str">
        <f ca="1">IFERROR(__xludf.DUMMYFUNCTION("""COMPUTED_VALUE"""),"Regional Office")</f>
        <v>Regional Office</v>
      </c>
      <c r="C4249" s="164" t="str">
        <f ca="1">IFERROR(__xludf.DUMMYFUNCTION("""COMPUTED_VALUE"""),"Desktop Computer – (Lenovo M70T)")</f>
        <v>Desktop Computer – (Lenovo M70T)</v>
      </c>
      <c r="D4249" s="164" t="str">
        <f ca="1">IFERROR(__xludf.DUMMYFUNCTION("""COMPUTED_VALUE"""),"₱ 75,468.00")</f>
        <v>₱ 75,468.00</v>
      </c>
      <c r="E4249" s="164" t="str">
        <f ca="1">IFERROR(__xludf.DUMMYFUNCTION("""COMPUTED_VALUE"""),"₱ -")</f>
        <v>₱ -</v>
      </c>
      <c r="F4249" s="164" t="str">
        <f ca="1">IFERROR(__xludf.DUMMYFUNCTION("""COMPUTED_VALUE"""),"2023-05-03-10201SP1808-01")</f>
        <v>2023-05-03-10201SP1808-01</v>
      </c>
      <c r="G4249" s="164" t="str">
        <f ca="1">IFERROR(__xludf.DUMMYFUNCTION("""COMPUTED_VALUE"""),"SN: 1S11T5S16200GM041B5P")</f>
        <v>SN: 1S11T5S16200GM041B5P</v>
      </c>
      <c r="H4249" s="164" t="str">
        <f ca="1">IFERROR(__xludf.DUMMYFUNCTION("""COMPUTED_VALUE"""),"Atty. John Winston A. Baje")</f>
        <v>Atty. John Winston A. Baje</v>
      </c>
      <c r="I4249" s="164" t="str">
        <f ca="1">IFERROR(__xludf.DUMMYFUNCTION("""COMPUTED_VALUE"""),"Atty IV")</f>
        <v>Atty IV</v>
      </c>
      <c r="J4249" s="164" t="str">
        <f ca="1">IFERROR(__xludf.DUMMYFUNCTION("""COMPUTED_VALUE"""),"2023-09-034")</f>
        <v>2023-09-034</v>
      </c>
      <c r="K4249" s="164" t="str">
        <f ca="1">IFERROR(__xludf.DUMMYFUNCTION("""COMPUTED_VALUE"""),"Atty. Elsie A. Alejandro")</f>
        <v>Atty. Elsie A. Alejandro</v>
      </c>
      <c r="L4249" s="164" t="str">
        <f ca="1">IFERROR(__xludf.DUMMYFUNCTION("""COMPUTED_VALUE"""),"RPMO-Caraga/LSD")</f>
        <v>RPMO-Caraga/LSD</v>
      </c>
      <c r="M4249" s="164" t="str">
        <f ca="1">IFERROR(__xludf.DUMMYFUNCTION("""COMPUTED_VALUE"""),"Serviceable")</f>
        <v>Serviceable</v>
      </c>
      <c r="N4249" s="164"/>
    </row>
    <row r="4250" spans="1:14" ht="13.2" hidden="1">
      <c r="A4250" s="164" t="str">
        <f ca="1">IFERROR(__xludf.DUMMYFUNCTION("""COMPUTED_VALUE"""),"CARAGA")</f>
        <v>CARAGA</v>
      </c>
      <c r="B4250" s="164" t="str">
        <f ca="1">IFERROR(__xludf.DUMMYFUNCTION("""COMPUTED_VALUE"""),"Regional Office")</f>
        <v>Regional Office</v>
      </c>
      <c r="C4250" s="164" t="str">
        <f ca="1">IFERROR(__xludf.DUMMYFUNCTION("""COMPUTED_VALUE"""),"Desktop Computer – (Lenovo M70T)")</f>
        <v>Desktop Computer – (Lenovo M70T)</v>
      </c>
      <c r="D4250" s="164" t="str">
        <f ca="1">IFERROR(__xludf.DUMMYFUNCTION("""COMPUTED_VALUE"""),"₱ 75,468.00")</f>
        <v>₱ 75,468.00</v>
      </c>
      <c r="E4250" s="164" t="str">
        <f ca="1">IFERROR(__xludf.DUMMYFUNCTION("""COMPUTED_VALUE"""),"₱ -")</f>
        <v>₱ -</v>
      </c>
      <c r="F4250" s="164" t="str">
        <f ca="1">IFERROR(__xludf.DUMMYFUNCTION("""COMPUTED_VALUE"""),"2023-05-03-10201SP1802-01")</f>
        <v>2023-05-03-10201SP1802-01</v>
      </c>
      <c r="G4250" s="164" t="str">
        <f ca="1">IFERROR(__xludf.DUMMYFUNCTION("""COMPUTED_VALUE"""),"SN: 1S11T5S16200GM041AW8")</f>
        <v>SN: 1S11T5S16200GM041AW8</v>
      </c>
      <c r="H4250" s="164" t="str">
        <f ca="1">IFERROR(__xludf.DUMMYFUNCTION("""COMPUTED_VALUE"""),"J. Ceballos")</f>
        <v>J. Ceballos</v>
      </c>
      <c r="I4250" s="164" t="str">
        <f ca="1">IFERROR(__xludf.DUMMYFUNCTION("""COMPUTED_VALUE"""),"ARDA")</f>
        <v>ARDA</v>
      </c>
      <c r="J4250" s="164" t="str">
        <f ca="1">IFERROR(__xludf.DUMMYFUNCTION("""COMPUTED_VALUE"""),"2023-09-023")</f>
        <v>2023-09-023</v>
      </c>
      <c r="K4250" s="164" t="str">
        <f ca="1">IFERROR(__xludf.DUMMYFUNCTION("""COMPUTED_VALUE"""),"J. Ceballos")</f>
        <v>J. Ceballos</v>
      </c>
      <c r="L4250" s="164" t="str">
        <f ca="1">IFERROR(__xludf.DUMMYFUNCTION("""COMPUTED_VALUE"""),"RPMO-Caraga/OARDA")</f>
        <v>RPMO-Caraga/OARDA</v>
      </c>
      <c r="M4250" s="164" t="str">
        <f ca="1">IFERROR(__xludf.DUMMYFUNCTION("""COMPUTED_VALUE"""),"Serviceable")</f>
        <v>Serviceable</v>
      </c>
      <c r="N4250" s="164"/>
    </row>
    <row r="4251" spans="1:14" ht="13.2" hidden="1">
      <c r="A4251" s="164" t="str">
        <f ca="1">IFERROR(__xludf.DUMMYFUNCTION("""COMPUTED_VALUE"""),"CARAGA")</f>
        <v>CARAGA</v>
      </c>
      <c r="B4251" s="164" t="str">
        <f ca="1">IFERROR(__xludf.DUMMYFUNCTION("""COMPUTED_VALUE"""),"Regional Office")</f>
        <v>Regional Office</v>
      </c>
      <c r="C4251" s="164" t="str">
        <f ca="1">IFERROR(__xludf.DUMMYFUNCTION("""COMPUTED_VALUE"""),"Desktop Computer – (HP Pro SFF 280G9)")</f>
        <v>Desktop Computer – (HP Pro SFF 280G9)</v>
      </c>
      <c r="D4251" s="164" t="str">
        <f ca="1">IFERROR(__xludf.DUMMYFUNCTION("""COMPUTED_VALUE"""),"₱ 78,898.00")</f>
        <v>₱ 78,898.00</v>
      </c>
      <c r="E4251" s="164" t="str">
        <f ca="1">IFERROR(__xludf.DUMMYFUNCTION("""COMPUTED_VALUE"""),"₱ -")</f>
        <v>₱ -</v>
      </c>
      <c r="F4251" s="164" t="str">
        <f ca="1">IFERROR(__xludf.DUMMYFUNCTION("""COMPUTED_VALUE"""),"2023-05-03-10201SP145-01")</f>
        <v>2023-05-03-10201SP145-01</v>
      </c>
      <c r="G4251" s="164" t="str">
        <f ca="1">IFERROR(__xludf.DUMMYFUNCTION("""COMPUTED_VALUE"""),"SN:4CE301DH6Y")</f>
        <v>SN:4CE301DH6Y</v>
      </c>
      <c r="H4251" s="164" t="str">
        <f ca="1">IFERROR(__xludf.DUMMYFUNCTION("""COMPUTED_VALUE"""),"P. Reyes")</f>
        <v>P. Reyes</v>
      </c>
      <c r="I4251" s="164" t="str">
        <f ca="1">IFERROR(__xludf.DUMMYFUNCTION("""COMPUTED_VALUE"""),"ARPT")</f>
        <v>ARPT</v>
      </c>
      <c r="J4251" s="164" t="str">
        <f ca="1">IFERROR(__xludf.DUMMYFUNCTION("""COMPUTED_VALUE"""),"2023-11-039")</f>
        <v>2023-11-039</v>
      </c>
      <c r="K4251" s="164" t="str">
        <f ca="1">IFERROR(__xludf.DUMMYFUNCTION("""COMPUTED_VALUE"""),"Atty. M. Ruiz")</f>
        <v>Atty. M. Ruiz</v>
      </c>
      <c r="L4251" s="164" t="str">
        <f ca="1">IFERROR(__xludf.DUMMYFUNCTION("""COMPUTED_VALUE"""),"RPMO-Caraga/LSD")</f>
        <v>RPMO-Caraga/LSD</v>
      </c>
      <c r="M4251" s="164" t="str">
        <f ca="1">IFERROR(__xludf.DUMMYFUNCTION("""COMPUTED_VALUE"""),"Serviceable")</f>
        <v>Serviceable</v>
      </c>
      <c r="N4251" s="164"/>
    </row>
    <row r="4252" spans="1:14" ht="13.2" hidden="1">
      <c r="A4252" s="164" t="str">
        <f ca="1">IFERROR(__xludf.DUMMYFUNCTION("""COMPUTED_VALUE"""),"CARAGA")</f>
        <v>CARAGA</v>
      </c>
      <c r="B4252" s="164" t="str">
        <f ca="1">IFERROR(__xludf.DUMMYFUNCTION("""COMPUTED_VALUE"""),"Regional Office")</f>
        <v>Regional Office</v>
      </c>
      <c r="C4252" s="164" t="str">
        <f ca="1">IFERROR(__xludf.DUMMYFUNCTION("""COMPUTED_VALUE"""),"Desktop Computer – (HP Pro SFF 280G9)")</f>
        <v>Desktop Computer – (HP Pro SFF 280G9)</v>
      </c>
      <c r="D4252" s="164" t="str">
        <f ca="1">IFERROR(__xludf.DUMMYFUNCTION("""COMPUTED_VALUE"""),"₱ 78,898.00")</f>
        <v>₱ 78,898.00</v>
      </c>
      <c r="E4252" s="164" t="str">
        <f ca="1">IFERROR(__xludf.DUMMYFUNCTION("""COMPUTED_VALUE"""),"₱ -")</f>
        <v>₱ -</v>
      </c>
      <c r="F4252" s="164" t="str">
        <f ca="1">IFERROR(__xludf.DUMMYFUNCTION("""COMPUTED_VALUE"""),"2023-05-03-10201SP146-01")</f>
        <v>2023-05-03-10201SP146-01</v>
      </c>
      <c r="G4252" s="164" t="str">
        <f ca="1">IFERROR(__xludf.DUMMYFUNCTION("""COMPUTED_VALUE"""),"SN: 4CE301DSNP")</f>
        <v>SN: 4CE301DSNP</v>
      </c>
      <c r="H4252" s="164" t="str">
        <f ca="1">IFERROR(__xludf.DUMMYFUNCTION("""COMPUTED_VALUE"""),"H. Tudlasan")</f>
        <v>H. Tudlasan</v>
      </c>
      <c r="I4252" s="164" t="str">
        <f ca="1">IFERROR(__xludf.DUMMYFUNCTION("""COMPUTED_VALUE"""),"CBTA Coordinator")</f>
        <v>CBTA Coordinator</v>
      </c>
      <c r="J4252" s="164" t="str">
        <f ca="1">IFERROR(__xludf.DUMMYFUNCTION("""COMPUTED_VALUE"""),"2023-11-040")</f>
        <v>2023-11-040</v>
      </c>
      <c r="K4252" s="164" t="str">
        <f ca="1">IFERROR(__xludf.DUMMYFUNCTION("""COMPUTED_VALUE"""),"M. Fernandez")</f>
        <v>M. Fernandez</v>
      </c>
      <c r="L4252" s="164" t="str">
        <f ca="1">IFERROR(__xludf.DUMMYFUNCTION("""COMPUTED_VALUE"""),"RPMO-Caraga/STOD- Personnel Section")</f>
        <v>RPMO-Caraga/STOD- Personnel Section</v>
      </c>
      <c r="M4252" s="164" t="str">
        <f ca="1">IFERROR(__xludf.DUMMYFUNCTION("""COMPUTED_VALUE"""),"Serviceable")</f>
        <v>Serviceable</v>
      </c>
      <c r="N4252" s="164"/>
    </row>
    <row r="4253" spans="1:14" ht="13.2" hidden="1">
      <c r="A4253" s="164" t="str">
        <f ca="1">IFERROR(__xludf.DUMMYFUNCTION("""COMPUTED_VALUE"""),"CARAGA")</f>
        <v>CARAGA</v>
      </c>
      <c r="B4253" s="164" t="str">
        <f ca="1">IFERROR(__xludf.DUMMYFUNCTION("""COMPUTED_VALUE"""),"Regional Office")</f>
        <v>Regional Office</v>
      </c>
      <c r="C4253" s="164" t="str">
        <f ca="1">IFERROR(__xludf.DUMMYFUNCTION("""COMPUTED_VALUE"""),"Desktop Computer – (HP Pro SFF 280G9)")</f>
        <v>Desktop Computer – (HP Pro SFF 280G9)</v>
      </c>
      <c r="D4253" s="164" t="str">
        <f ca="1">IFERROR(__xludf.DUMMYFUNCTION("""COMPUTED_VALUE"""),"₱ 78,898.00")</f>
        <v>₱ 78,898.00</v>
      </c>
      <c r="E4253" s="164" t="str">
        <f ca="1">IFERROR(__xludf.DUMMYFUNCTION("""COMPUTED_VALUE"""),"₱ -")</f>
        <v>₱ -</v>
      </c>
      <c r="F4253" s="164" t="str">
        <f ca="1">IFERROR(__xludf.DUMMYFUNCTION("""COMPUTED_VALUE"""),"2023-05-03-10201SP147-01")</f>
        <v>2023-05-03-10201SP147-01</v>
      </c>
      <c r="G4253" s="164" t="str">
        <f ca="1">IFERROR(__xludf.DUMMYFUNCTION("""COMPUTED_VALUE"""),"SN: 4CE301DSHDMonitor")</f>
        <v>SN: 4CE301DSHDMonitor</v>
      </c>
      <c r="H4253" s="164" t="str">
        <f ca="1">IFERROR(__xludf.DUMMYFUNCTION("""COMPUTED_VALUE"""),"Engr. Roel C. Abesamis")</f>
        <v>Engr. Roel C. Abesamis</v>
      </c>
      <c r="I4253" s="164" t="str">
        <f ca="1">IFERROR(__xludf.DUMMYFUNCTION("""COMPUTED_VALUE"""),"DAR-DENR-ROD/LRA Coordinator")</f>
        <v>DAR-DENR-ROD/LRA Coordinator</v>
      </c>
      <c r="J4253" s="164" t="str">
        <f ca="1">IFERROR(__xludf.DUMMYFUNCTION("""COMPUTED_VALUE"""),"2023-12-046")</f>
        <v>2023-12-046</v>
      </c>
      <c r="K4253" s="164" t="str">
        <f ca="1">IFERROR(__xludf.DUMMYFUNCTION("""COMPUTED_VALUE"""),"Joshua Acompañado")</f>
        <v>Joshua Acompañado</v>
      </c>
      <c r="L4253" s="164" t="str">
        <f ca="1">IFERROR(__xludf.DUMMYFUNCTION("""COMPUTED_VALUE"""),"DENR Region 13")</f>
        <v>DENR Region 13</v>
      </c>
      <c r="M4253" s="164" t="str">
        <f ca="1">IFERROR(__xludf.DUMMYFUNCTION("""COMPUTED_VALUE"""),"Serviceable")</f>
        <v>Serviceable</v>
      </c>
      <c r="N4253" s="164" t="str">
        <f ca="1">IFERROR(__xludf.DUMMYFUNCTION("""COMPUTED_VALUE"""),"Printer unserviceable")</f>
        <v>Printer unserviceable</v>
      </c>
    </row>
    <row r="4254" spans="1:14" ht="13.2" hidden="1">
      <c r="A4254" s="164" t="str">
        <f ca="1">IFERROR(__xludf.DUMMYFUNCTION("""COMPUTED_VALUE"""),"CARAGA")</f>
        <v>CARAGA</v>
      </c>
      <c r="B4254" s="164" t="str">
        <f ca="1">IFERROR(__xludf.DUMMYFUNCTION("""COMPUTED_VALUE"""),"Regional Office")</f>
        <v>Regional Office</v>
      </c>
      <c r="C4254" s="164" t="str">
        <f ca="1">IFERROR(__xludf.DUMMYFUNCTION("""COMPUTED_VALUE"""),"Desktop Computer – (HP Pro SFF 280G9)")</f>
        <v>Desktop Computer – (HP Pro SFF 280G9)</v>
      </c>
      <c r="D4254" s="164" t="str">
        <f ca="1">IFERROR(__xludf.DUMMYFUNCTION("""COMPUTED_VALUE"""),"₱ 78,898.00")</f>
        <v>₱ 78,898.00</v>
      </c>
      <c r="E4254" s="164" t="str">
        <f ca="1">IFERROR(__xludf.DUMMYFUNCTION("""COMPUTED_VALUE"""),"₱ -")</f>
        <v>₱ -</v>
      </c>
      <c r="F4254" s="164" t="str">
        <f ca="1">IFERROR(__xludf.DUMMYFUNCTION("""COMPUTED_VALUE"""),"2023-05-03-10201SP144-01")</f>
        <v>2023-05-03-10201SP144-01</v>
      </c>
      <c r="G4254" s="164" t="str">
        <f ca="1">IFERROR(__xludf.DUMMYFUNCTION("""COMPUTED_VALUE"""),"SN:4CE301DHB6")</f>
        <v>SN:4CE301DHB6</v>
      </c>
      <c r="H4254" s="164" t="str">
        <f ca="1">IFERROR(__xludf.DUMMYFUNCTION("""COMPUTED_VALUE"""),"M. Pizarro")</f>
        <v>M. Pizarro</v>
      </c>
      <c r="I4254" s="164" t="str">
        <f ca="1">IFERROR(__xludf.DUMMYFUNCTION("""COMPUTED_VALUE"""),"AA VI")</f>
        <v>AA VI</v>
      </c>
      <c r="J4254" s="164" t="str">
        <f ca="1">IFERROR(__xludf.DUMMYFUNCTION("""COMPUTED_VALUE"""),"2023-11-038")</f>
        <v>2023-11-038</v>
      </c>
      <c r="K4254" s="164" t="str">
        <f ca="1">IFERROR(__xludf.DUMMYFUNCTION("""COMPUTED_VALUE"""),"Atty. Fatima Madale")</f>
        <v>Atty. Fatima Madale</v>
      </c>
      <c r="L4254" s="164" t="str">
        <f ca="1">IFERROR(__xludf.DUMMYFUNCTION("""COMPUTED_VALUE"""),"RPMO-Caraga/LSD")</f>
        <v>RPMO-Caraga/LSD</v>
      </c>
      <c r="M4254" s="164" t="str">
        <f ca="1">IFERROR(__xludf.DUMMYFUNCTION("""COMPUTED_VALUE"""),"Serviceable")</f>
        <v>Serviceable</v>
      </c>
      <c r="N4254" s="164"/>
    </row>
    <row r="4255" spans="1:14" ht="13.2" hidden="1">
      <c r="A4255" s="164" t="str">
        <f ca="1">IFERROR(__xludf.DUMMYFUNCTION("""COMPUTED_VALUE"""),"CARAGA")</f>
        <v>CARAGA</v>
      </c>
      <c r="B4255" s="164" t="str">
        <f ca="1">IFERROR(__xludf.DUMMYFUNCTION("""COMPUTED_VALUE"""),"Regional Office")</f>
        <v>Regional Office</v>
      </c>
      <c r="C4255" s="164" t="str">
        <f ca="1">IFERROR(__xludf.DUMMYFUNCTION("""COMPUTED_VALUE"""),"Desktop Computer – (Lenovo M70T)")</f>
        <v>Desktop Computer – (Lenovo M70T)</v>
      </c>
      <c r="D4255" s="164"/>
      <c r="E4255" s="164" t="str">
        <f ca="1">IFERROR(__xludf.DUMMYFUNCTION("""COMPUTED_VALUE"""),"₱ -")</f>
        <v>₱ -</v>
      </c>
      <c r="F4255" s="164" t="str">
        <f ca="1">IFERROR(__xludf.DUMMYFUNCTION("""COMPUTED_VALUE"""),"2023-05-03-110201SP1782-01")</f>
        <v>2023-05-03-110201SP1782-01</v>
      </c>
      <c r="G4255" s="164" t="str">
        <f ca="1">IFERROR(__xludf.DUMMYFUNCTION("""COMPUTED_VALUE"""),"SN: 1S11T5S16200GM041AV9")</f>
        <v>SN: 1S11T5S16200GM041AV9</v>
      </c>
      <c r="H4255" s="164" t="str">
        <f ca="1">IFERROR(__xludf.DUMMYFUNCTION("""COMPUTED_VALUE"""),"Engr. Roel C. Abesamis")</f>
        <v>Engr. Roel C. Abesamis</v>
      </c>
      <c r="I4255" s="164" t="str">
        <f ca="1">IFERROR(__xludf.DUMMYFUNCTION("""COMPUTED_VALUE"""),"DAR-DENR-ROD/LRA Coordinator")</f>
        <v>DAR-DENR-ROD/LRA Coordinator</v>
      </c>
      <c r="J4255" s="164" t="str">
        <f ca="1">IFERROR(__xludf.DUMMYFUNCTION("""COMPUTED_VALUE"""),"2023-09-013")</f>
        <v>2023-09-013</v>
      </c>
      <c r="K4255" s="164" t="str">
        <f ca="1">IFERROR(__xludf.DUMMYFUNCTION("""COMPUTED_VALUE"""),"Alexa Barsobia")</f>
        <v>Alexa Barsobia</v>
      </c>
      <c r="L4255" s="164" t="str">
        <f ca="1">IFERROR(__xludf.DUMMYFUNCTION("""COMPUTED_VALUE"""),"DENR Region 13")</f>
        <v>DENR Region 13</v>
      </c>
      <c r="M4255" s="164" t="str">
        <f ca="1">IFERROR(__xludf.DUMMYFUNCTION("""COMPUTED_VALUE"""),"Serviceable")</f>
        <v>Serviceable</v>
      </c>
      <c r="N4255" s="164"/>
    </row>
    <row r="4256" spans="1:14" ht="13.2" hidden="1">
      <c r="A4256" s="164" t="str">
        <f ca="1">IFERROR(__xludf.DUMMYFUNCTION("""COMPUTED_VALUE"""),"CARAGA")</f>
        <v>CARAGA</v>
      </c>
      <c r="B4256" s="164" t="str">
        <f ca="1">IFERROR(__xludf.DUMMYFUNCTION("""COMPUTED_VALUE"""),"Regional Office")</f>
        <v>Regional Office</v>
      </c>
      <c r="C4256" s="164" t="str">
        <f ca="1">IFERROR(__xludf.DUMMYFUNCTION("""COMPUTED_VALUE"""),"Desktop Computer – (HP Pro SFF 280G9)")</f>
        <v>Desktop Computer – (HP Pro SFF 280G9)</v>
      </c>
      <c r="D4256" s="164" t="str">
        <f ca="1">IFERROR(__xludf.DUMMYFUNCTION("""COMPUTED_VALUE"""),"₱ 78,898.00")</f>
        <v>₱ 78,898.00</v>
      </c>
      <c r="E4256" s="164" t="str">
        <f ca="1">IFERROR(__xludf.DUMMYFUNCTION("""COMPUTED_VALUE"""),"₱ -")</f>
        <v>₱ -</v>
      </c>
      <c r="F4256" s="164" t="str">
        <f ca="1">IFERROR(__xludf.DUMMYFUNCTION("""COMPUTED_VALUE"""),"2023-05-03-10201SP141-01")</f>
        <v>2023-05-03-10201SP141-01</v>
      </c>
      <c r="G4256" s="164" t="str">
        <f ca="1">IFERROR(__xludf.DUMMYFUNCTION("""COMPUTED_VALUE"""),"SN: 4CE301DSQP")</f>
        <v>SN: 4CE301DSQP</v>
      </c>
      <c r="H4256" s="164" t="str">
        <f ca="1">IFERROR(__xludf.DUMMYFUNCTION("""COMPUTED_VALUE"""),"Sharon S. Azote")</f>
        <v>Sharon S. Azote</v>
      </c>
      <c r="I4256" s="164" t="str">
        <f ca="1">IFERROR(__xludf.DUMMYFUNCTION("""COMPUTED_VALUE"""),"COA")</f>
        <v>COA</v>
      </c>
      <c r="J4256" s="164" t="str">
        <f ca="1">IFERROR(__xludf.DUMMYFUNCTION("""COMPUTED_VALUE"""),"2023-09-016")</f>
        <v>2023-09-016</v>
      </c>
      <c r="K4256" s="164" t="str">
        <f ca="1">IFERROR(__xludf.DUMMYFUNCTION("""COMPUTED_VALUE"""),"Sharon S. Azote")</f>
        <v>Sharon S. Azote</v>
      </c>
      <c r="L4256" s="164" t="str">
        <f ca="1">IFERROR(__xludf.DUMMYFUNCTION("""COMPUTED_VALUE"""),"COA")</f>
        <v>COA</v>
      </c>
      <c r="M4256" s="164" t="str">
        <f ca="1">IFERROR(__xludf.DUMMYFUNCTION("""COMPUTED_VALUE"""),"Serviceable")</f>
        <v>Serviceable</v>
      </c>
      <c r="N4256" s="164"/>
    </row>
    <row r="4257" spans="1:14" ht="13.2" hidden="1">
      <c r="A4257" s="164" t="str">
        <f ca="1">IFERROR(__xludf.DUMMYFUNCTION("""COMPUTED_VALUE"""),"CARAGA")</f>
        <v>CARAGA</v>
      </c>
      <c r="B4257" s="164" t="str">
        <f ca="1">IFERROR(__xludf.DUMMYFUNCTION("""COMPUTED_VALUE"""),"Regional Office")</f>
        <v>Regional Office</v>
      </c>
      <c r="C4257" s="164" t="str">
        <f ca="1">IFERROR(__xludf.DUMMYFUNCTION("""COMPUTED_VALUE"""),"Desktop Computer – (HP Pro SFF 280G9)")</f>
        <v>Desktop Computer – (HP Pro SFF 280G9)</v>
      </c>
      <c r="D4257" s="164" t="str">
        <f ca="1">IFERROR(__xludf.DUMMYFUNCTION("""COMPUTED_VALUE"""),"₱ 78,898.00")</f>
        <v>₱ 78,898.00</v>
      </c>
      <c r="E4257" s="164" t="str">
        <f ca="1">IFERROR(__xludf.DUMMYFUNCTION("""COMPUTED_VALUE"""),"₱ -")</f>
        <v>₱ -</v>
      </c>
      <c r="F4257" s="164" t="str">
        <f ca="1">IFERROR(__xludf.DUMMYFUNCTION("""COMPUTED_VALUE"""),"2023-05-03-10201SP142-01")</f>
        <v>2023-05-03-10201SP142-01</v>
      </c>
      <c r="G4257" s="164" t="str">
        <f ca="1">IFERROR(__xludf.DUMMYFUNCTION("""COMPUTED_VALUE"""),"SN: 4CE301DSQW")</f>
        <v>SN: 4CE301DSQW</v>
      </c>
      <c r="H4257" s="164" t="str">
        <f ca="1">IFERROR(__xludf.DUMMYFUNCTION("""COMPUTED_VALUE"""),"Engr. Roel C. Abesamis")</f>
        <v>Engr. Roel C. Abesamis</v>
      </c>
      <c r="I4257" s="164" t="str">
        <f ca="1">IFERROR(__xludf.DUMMYFUNCTION("""COMPUTED_VALUE"""),"DAR-DENR-ROD/LRA Coordinator")</f>
        <v>DAR-DENR-ROD/LRA Coordinator</v>
      </c>
      <c r="J4257" s="164" t="str">
        <f ca="1">IFERROR(__xludf.DUMMYFUNCTION("""COMPUTED_VALUE"""),"2023-09-019")</f>
        <v>2023-09-019</v>
      </c>
      <c r="K4257" s="164" t="str">
        <f ca="1">IFERROR(__xludf.DUMMYFUNCTION("""COMPUTED_VALUE"""),"Jeremy Corvera")</f>
        <v>Jeremy Corvera</v>
      </c>
      <c r="L4257" s="164" t="str">
        <f ca="1">IFERROR(__xludf.DUMMYFUNCTION("""COMPUTED_VALUE"""),"DENR Region 13")</f>
        <v>DENR Region 13</v>
      </c>
      <c r="M4257" s="164" t="str">
        <f ca="1">IFERROR(__xludf.DUMMYFUNCTION("""COMPUTED_VALUE"""),"Serviceable")</f>
        <v>Serviceable</v>
      </c>
      <c r="N4257" s="164" t="str">
        <f ca="1">IFERROR(__xludf.DUMMYFUNCTION("""COMPUTED_VALUE"""),"Printer unserviceable")</f>
        <v>Printer unserviceable</v>
      </c>
    </row>
    <row r="4258" spans="1:14" ht="13.2" hidden="1">
      <c r="A4258" s="164" t="str">
        <f ca="1">IFERROR(__xludf.DUMMYFUNCTION("""COMPUTED_VALUE"""),"CARAGA")</f>
        <v>CARAGA</v>
      </c>
      <c r="B4258" s="164" t="str">
        <f ca="1">IFERROR(__xludf.DUMMYFUNCTION("""COMPUTED_VALUE"""),"Regional Office")</f>
        <v>Regional Office</v>
      </c>
      <c r="C4258" s="164" t="str">
        <f ca="1">IFERROR(__xludf.DUMMYFUNCTION("""COMPUTED_VALUE"""),"Desktop Computer – (HP Pro SFF 280G9)")</f>
        <v>Desktop Computer – (HP Pro SFF 280G9)</v>
      </c>
      <c r="D4258" s="164" t="str">
        <f ca="1">IFERROR(__xludf.DUMMYFUNCTION("""COMPUTED_VALUE"""),"₱ 78,898.00")</f>
        <v>₱ 78,898.00</v>
      </c>
      <c r="E4258" s="164" t="str">
        <f ca="1">IFERROR(__xludf.DUMMYFUNCTION("""COMPUTED_VALUE"""),"₱ -")</f>
        <v>₱ -</v>
      </c>
      <c r="F4258" s="164" t="str">
        <f ca="1">IFERROR(__xludf.DUMMYFUNCTION("""COMPUTED_VALUE"""),"2023-05-03-10201SP143-01")</f>
        <v>2023-05-03-10201SP143-01</v>
      </c>
      <c r="G4258" s="164" t="str">
        <f ca="1">IFERROR(__xludf.DUMMYFUNCTION("""COMPUTED_VALUE"""),"SN:4CE301DH2X")</f>
        <v>SN:4CE301DH2X</v>
      </c>
      <c r="H4258" s="164" t="str">
        <f ca="1">IFERROR(__xludf.DUMMYFUNCTION("""COMPUTED_VALUE"""),"R. Sambaan")</f>
        <v>R. Sambaan</v>
      </c>
      <c r="I4258" s="164" t="str">
        <f ca="1">IFERROR(__xludf.DUMMYFUNCTION("""COMPUTED_VALUE"""),"AO III")</f>
        <v>AO III</v>
      </c>
      <c r="J4258" s="164" t="str">
        <f ca="1">IFERROR(__xludf.DUMMYFUNCTION("""COMPUTED_VALUE"""),"2024-02-007")</f>
        <v>2024-02-007</v>
      </c>
      <c r="K4258" s="164" t="str">
        <f ca="1">IFERROR(__xludf.DUMMYFUNCTION("""COMPUTED_VALUE"""),"R. Sambaan")</f>
        <v>R. Sambaan</v>
      </c>
      <c r="L4258" s="164" t="str">
        <f ca="1">IFERROR(__xludf.DUMMYFUNCTION("""COMPUTED_VALUE"""),"RPMO-Caraga/STOD- GSS")</f>
        <v>RPMO-Caraga/STOD- GSS</v>
      </c>
      <c r="M4258" s="164" t="str">
        <f ca="1">IFERROR(__xludf.DUMMYFUNCTION("""COMPUTED_VALUE"""),"Serviceable")</f>
        <v>Serviceable</v>
      </c>
      <c r="N4258" s="164" t="str">
        <f ca="1">IFERROR(__xludf.DUMMYFUNCTION("""COMPUTED_VALUE"""),"Printer unserviceable")</f>
        <v>Printer unserviceable</v>
      </c>
    </row>
    <row r="4259" spans="1:14" ht="13.2" hidden="1">
      <c r="A4259" s="164" t="str">
        <f ca="1">IFERROR(__xludf.DUMMYFUNCTION("""COMPUTED_VALUE"""),"CARAGA")</f>
        <v>CARAGA</v>
      </c>
      <c r="B4259" s="164" t="str">
        <f ca="1">IFERROR(__xludf.DUMMYFUNCTION("""COMPUTED_VALUE"""),"Regional Office")</f>
        <v>Regional Office</v>
      </c>
      <c r="C4259" s="164" t="str">
        <f ca="1">IFERROR(__xludf.DUMMYFUNCTION("""COMPUTED_VALUE"""),"Desktop Computer – (Lenovo M70T)")</f>
        <v>Desktop Computer – (Lenovo M70T)</v>
      </c>
      <c r="D4259" s="164" t="str">
        <f ca="1">IFERROR(__xludf.DUMMYFUNCTION("""COMPUTED_VALUE"""),"₱ 75,468.00")</f>
        <v>₱ 75,468.00</v>
      </c>
      <c r="E4259" s="164" t="str">
        <f ca="1">IFERROR(__xludf.DUMMYFUNCTION("""COMPUTED_VALUE"""),"₱ -")</f>
        <v>₱ -</v>
      </c>
      <c r="F4259" s="164" t="str">
        <f ca="1">IFERROR(__xludf.DUMMYFUNCTION("""COMPUTED_VALUE"""),"2023-05-03-10201SP1801-01")</f>
        <v>2023-05-03-10201SP1801-01</v>
      </c>
      <c r="G4259" s="164" t="str">
        <f ca="1">IFERROR(__xludf.DUMMYFUNCTION("""COMPUTED_VALUE"""),"SN: 1S11T5S16200GM0418I2")</f>
        <v>SN: 1S11T5S16200GM0418I2</v>
      </c>
      <c r="H4259" s="164" t="str">
        <f ca="1">IFERROR(__xludf.DUMMYFUNCTION("""COMPUTED_VALUE"""),"Engr. Roel C. Abesamis")</f>
        <v>Engr. Roel C. Abesamis</v>
      </c>
      <c r="I4259" s="164" t="str">
        <f ca="1">IFERROR(__xludf.DUMMYFUNCTION("""COMPUTED_VALUE"""),"DAR-DENR-ROD/LRA Coordinator")</f>
        <v>DAR-DENR-ROD/LRA Coordinator</v>
      </c>
      <c r="J4259" s="164" t="str">
        <f ca="1">IFERROR(__xludf.DUMMYFUNCTION("""COMPUTED_VALUE"""),"2023-05-31-SPLIT")</f>
        <v>2023-05-31-SPLIT</v>
      </c>
      <c r="K4259" s="164" t="str">
        <f ca="1">IFERROR(__xludf.DUMMYFUNCTION("""COMPUTED_VALUE"""),"Engr. J. Torrentira")</f>
        <v>Engr. J. Torrentira</v>
      </c>
      <c r="L4259" s="164" t="str">
        <f ca="1">IFERROR(__xludf.DUMMYFUNCTION("""COMPUTED_VALUE"""),"RPMO-Caraga/LTID")</f>
        <v>RPMO-Caraga/LTID</v>
      </c>
      <c r="M4259" s="164" t="str">
        <f ca="1">IFERROR(__xludf.DUMMYFUNCTION("""COMPUTED_VALUE"""),"Serviceable")</f>
        <v>Serviceable</v>
      </c>
      <c r="N4259" s="164"/>
    </row>
    <row r="4260" spans="1:14" ht="13.2" hidden="1">
      <c r="A4260" s="164" t="str">
        <f ca="1">IFERROR(__xludf.DUMMYFUNCTION("""COMPUTED_VALUE"""),"CARAGA")</f>
        <v>CARAGA</v>
      </c>
      <c r="B4260" s="164" t="str">
        <f ca="1">IFERROR(__xludf.DUMMYFUNCTION("""COMPUTED_VALUE"""),"Regional Office")</f>
        <v>Regional Office</v>
      </c>
      <c r="C4260" s="164" t="str">
        <f ca="1">IFERROR(__xludf.DUMMYFUNCTION("""COMPUTED_VALUE"""),"Desktop Computer – (Lenovo M70T)")</f>
        <v>Desktop Computer – (Lenovo M70T)</v>
      </c>
      <c r="D4260" s="164" t="str">
        <f ca="1">IFERROR(__xludf.DUMMYFUNCTION("""COMPUTED_VALUE"""),"₱ 75,468.00")</f>
        <v>₱ 75,468.00</v>
      </c>
      <c r="E4260" s="164" t="str">
        <f ca="1">IFERROR(__xludf.DUMMYFUNCTION("""COMPUTED_VALUE"""),"₱ -")</f>
        <v>₱ -</v>
      </c>
      <c r="F4260" s="164" t="str">
        <f ca="1">IFERROR(__xludf.DUMMYFUNCTION("""COMPUTED_VALUE"""),"2023-05-03-10201SP1806-01")</f>
        <v>2023-05-03-10201SP1806-01</v>
      </c>
      <c r="G4260" s="164" t="str">
        <f ca="1">IFERROR(__xludf.DUMMYFUNCTION("""COMPUTED_VALUE"""),"SN: 1S11T5S16200GM041B59")</f>
        <v>SN: 1S11T5S16200GM041B59</v>
      </c>
      <c r="H4260" s="164" t="str">
        <f ca="1">IFERROR(__xludf.DUMMYFUNCTION("""COMPUTED_VALUE"""),"Agnes L. Dela Cerna")</f>
        <v>Agnes L. Dela Cerna</v>
      </c>
      <c r="I4260" s="164" t="str">
        <f ca="1">IFERROR(__xludf.DUMMYFUNCTION("""COMPUTED_VALUE"""),"ARDO")</f>
        <v>ARDO</v>
      </c>
      <c r="J4260" s="164" t="str">
        <f ca="1">IFERROR(__xludf.DUMMYFUNCTION("""COMPUTED_VALUE"""),"2024-01-003")</f>
        <v>2024-01-003</v>
      </c>
      <c r="K4260" s="164" t="str">
        <f ca="1">IFERROR(__xludf.DUMMYFUNCTION("""COMPUTED_VALUE"""),"Agnes L. Dela Cerna")</f>
        <v>Agnes L. Dela Cerna</v>
      </c>
      <c r="L4260" s="164" t="str">
        <f ca="1">IFERROR(__xludf.DUMMYFUNCTION("""COMPUTED_VALUE"""),"RPMO-Caraga/OARDO")</f>
        <v>RPMO-Caraga/OARDO</v>
      </c>
      <c r="M4260" s="164" t="str">
        <f ca="1">IFERROR(__xludf.DUMMYFUNCTION("""COMPUTED_VALUE"""),"Serviceable")</f>
        <v>Serviceable</v>
      </c>
      <c r="N4260" s="164"/>
    </row>
    <row r="4261" spans="1:14" ht="13.2" hidden="1">
      <c r="A4261" s="164" t="str">
        <f ca="1">IFERROR(__xludf.DUMMYFUNCTION("""COMPUTED_VALUE"""),"CARAGA")</f>
        <v>CARAGA</v>
      </c>
      <c r="B4261" s="164" t="str">
        <f ca="1">IFERROR(__xludf.DUMMYFUNCTION("""COMPUTED_VALUE"""),"Regional Office")</f>
        <v>Regional Office</v>
      </c>
      <c r="C4261" s="164" t="str">
        <f ca="1">IFERROR(__xludf.DUMMYFUNCTION("""COMPUTED_VALUE"""),"Desktop Computer – (Lenovo M70T)")</f>
        <v>Desktop Computer – (Lenovo M70T)</v>
      </c>
      <c r="D4261" s="164" t="str">
        <f ca="1">IFERROR(__xludf.DUMMYFUNCTION("""COMPUTED_VALUE"""),"₱ 75,468.00")</f>
        <v>₱ 75,468.00</v>
      </c>
      <c r="E4261" s="164" t="str">
        <f ca="1">IFERROR(__xludf.DUMMYFUNCTION("""COMPUTED_VALUE"""),"₱ -")</f>
        <v>₱ -</v>
      </c>
      <c r="F4261" s="164" t="str">
        <f ca="1">IFERROR(__xludf.DUMMYFUNCTION("""COMPUTED_VALUE"""),"2023-05-03-10201SP1807-01")</f>
        <v>2023-05-03-10201SP1807-01</v>
      </c>
      <c r="G4261" s="164" t="str">
        <f ca="1">IFERROR(__xludf.DUMMYFUNCTION("""COMPUTED_VALUE"""),"SN:1S11T5S16200GM041B5H")</f>
        <v>SN:1S11T5S16200GM041B5H</v>
      </c>
      <c r="H4261" s="164" t="str">
        <f ca="1">IFERROR(__xludf.DUMMYFUNCTION("""COMPUTED_VALUE"""),"Glizel Estorque")</f>
        <v>Glizel Estorque</v>
      </c>
      <c r="I4261" s="164" t="str">
        <f ca="1">IFERROR(__xludf.DUMMYFUNCTION("""COMPUTED_VALUE"""),"MIS Coordinator")</f>
        <v>MIS Coordinator</v>
      </c>
      <c r="J4261" s="164" t="str">
        <f ca="1">IFERROR(__xludf.DUMMYFUNCTION("""COMPUTED_VALUE"""),"2024-01-002")</f>
        <v>2024-01-002</v>
      </c>
      <c r="K4261" s="164" t="str">
        <f ca="1">IFERROR(__xludf.DUMMYFUNCTION("""COMPUTED_VALUE"""),"Glizel Estorque")</f>
        <v>Glizel Estorque</v>
      </c>
      <c r="L4261" s="164" t="str">
        <f ca="1">IFERROR(__xludf.DUMMYFUNCTION("""COMPUTED_VALUE"""),"RPMO-Caraga/LTID")</f>
        <v>RPMO-Caraga/LTID</v>
      </c>
      <c r="M4261" s="164" t="str">
        <f ca="1">IFERROR(__xludf.DUMMYFUNCTION("""COMPUTED_VALUE"""),"Serviceable")</f>
        <v>Serviceable</v>
      </c>
      <c r="N4261" s="164"/>
    </row>
    <row r="4262" spans="1:14" ht="13.2" hidden="1">
      <c r="A4262" s="164" t="str">
        <f ca="1">IFERROR(__xludf.DUMMYFUNCTION("""COMPUTED_VALUE"""),"CARAGA")</f>
        <v>CARAGA</v>
      </c>
      <c r="B4262" s="164" t="str">
        <f ca="1">IFERROR(__xludf.DUMMYFUNCTION("""COMPUTED_VALUE"""),"Regional Office")</f>
        <v>Regional Office</v>
      </c>
      <c r="C4262" s="164" t="str">
        <f ca="1">IFERROR(__xludf.DUMMYFUNCTION("""COMPUTED_VALUE"""),"Desktop Computer – (Lenovo M70T)")</f>
        <v>Desktop Computer – (Lenovo M70T)</v>
      </c>
      <c r="D4262" s="164" t="str">
        <f ca="1">IFERROR(__xludf.DUMMYFUNCTION("""COMPUTED_VALUE"""),"₱ 75,468.00")</f>
        <v>₱ 75,468.00</v>
      </c>
      <c r="E4262" s="164" t="str">
        <f ca="1">IFERROR(__xludf.DUMMYFUNCTION("""COMPUTED_VALUE"""),"₱ -")</f>
        <v>₱ -</v>
      </c>
      <c r="F4262" s="164" t="str">
        <f ca="1">IFERROR(__xludf.DUMMYFUNCTION("""COMPUTED_VALUE"""),"2023-05-03-10201SP1810-01")</f>
        <v>2023-05-03-10201SP1810-01</v>
      </c>
      <c r="G4262" s="164" t="str">
        <f ca="1">IFERROR(__xludf.DUMMYFUNCTION("""COMPUTED_VALUE"""),"SN: 1S11T5S16200GM041B69")</f>
        <v>SN: 1S11T5S16200GM041B69</v>
      </c>
      <c r="H4262" s="164" t="str">
        <f ca="1">IFERROR(__xludf.DUMMYFUNCTION("""COMPUTED_VALUE"""),"Edhel Love M. Bautista")</f>
        <v>Edhel Love M. Bautista</v>
      </c>
      <c r="I4262" s="164" t="str">
        <f ca="1">IFERROR(__xludf.DUMMYFUNCTION("""COMPUTED_VALUE"""),"Acting ARPO II")</f>
        <v>Acting ARPO II</v>
      </c>
      <c r="J4262" s="164" t="str">
        <f ca="1">IFERROR(__xludf.DUMMYFUNCTION("""COMPUTED_VALUE"""),"2024-06-001")</f>
        <v>2024-06-001</v>
      </c>
      <c r="K4262" s="164" t="str">
        <f ca="1">IFERROR(__xludf.DUMMYFUNCTION("""COMPUTED_VALUE"""),"V. Lastimado")</f>
        <v>V. Lastimado</v>
      </c>
      <c r="L4262" s="164" t="str">
        <f ca="1">IFERROR(__xludf.DUMMYFUNCTION("""COMPUTED_VALUE"""),"RPMO-Caraga/SSD")</f>
        <v>RPMO-Caraga/SSD</v>
      </c>
      <c r="M4262" s="164" t="str">
        <f ca="1">IFERROR(__xludf.DUMMYFUNCTION("""COMPUTED_VALUE"""),"Serviceable")</f>
        <v>Serviceable</v>
      </c>
      <c r="N4262" s="164"/>
    </row>
    <row r="4263" spans="1:14" ht="13.2" hidden="1">
      <c r="A4263" s="164" t="str">
        <f ca="1">IFERROR(__xludf.DUMMYFUNCTION("""COMPUTED_VALUE"""),"CARAGA")</f>
        <v>CARAGA</v>
      </c>
      <c r="B4263" s="164" t="str">
        <f ca="1">IFERROR(__xludf.DUMMYFUNCTION("""COMPUTED_VALUE"""),"Regional Office")</f>
        <v>Regional Office</v>
      </c>
      <c r="C4263" s="164" t="str">
        <f ca="1">IFERROR(__xludf.DUMMYFUNCTION("""COMPUTED_VALUE"""),"Desktop Computer – (Lenovo M70T)")</f>
        <v>Desktop Computer – (Lenovo M70T)</v>
      </c>
      <c r="D4263" s="164" t="str">
        <f ca="1">IFERROR(__xludf.DUMMYFUNCTION("""COMPUTED_VALUE"""),"₱ 75,468.00")</f>
        <v>₱ 75,468.00</v>
      </c>
      <c r="E4263" s="164" t="str">
        <f ca="1">IFERROR(__xludf.DUMMYFUNCTION("""COMPUTED_VALUE"""),"₱ -")</f>
        <v>₱ -</v>
      </c>
      <c r="F4263" s="164" t="str">
        <f ca="1">IFERROR(__xludf.DUMMYFUNCTION("""COMPUTED_VALUE"""),"2023-05-03-10201SP1811-01")</f>
        <v>2023-05-03-10201SP1811-01</v>
      </c>
      <c r="G4263" s="164" t="str">
        <f ca="1">IFERROR(__xludf.DUMMYFUNCTION("""COMPUTED_VALUE"""),"SN: 1S11T5S16200GM041B6G")</f>
        <v>SN: 1S11T5S16200GM041B6G</v>
      </c>
      <c r="H4263" s="164" t="str">
        <f ca="1">IFERROR(__xludf.DUMMYFUNCTION("""COMPUTED_VALUE"""),"Edhel Love M. Bautista")</f>
        <v>Edhel Love M. Bautista</v>
      </c>
      <c r="I4263" s="164" t="str">
        <f ca="1">IFERROR(__xludf.DUMMYFUNCTION("""COMPUTED_VALUE"""),"Acting ARPO II")</f>
        <v>Acting ARPO II</v>
      </c>
      <c r="J4263" s="164" t="str">
        <f ca="1">IFERROR(__xludf.DUMMYFUNCTION("""COMPUTED_VALUE"""),"2024-06-002")</f>
        <v>2024-06-002</v>
      </c>
      <c r="K4263" s="164" t="str">
        <f ca="1">IFERROR(__xludf.DUMMYFUNCTION("""COMPUTED_VALUE"""),"A. Miso")</f>
        <v>A. Miso</v>
      </c>
      <c r="L4263" s="164" t="str">
        <f ca="1">IFERROR(__xludf.DUMMYFUNCTION("""COMPUTED_VALUE"""),"RPMO-Caraga/SSD")</f>
        <v>RPMO-Caraga/SSD</v>
      </c>
      <c r="M4263" s="164" t="str">
        <f ca="1">IFERROR(__xludf.DUMMYFUNCTION("""COMPUTED_VALUE"""),"Serviceable")</f>
        <v>Serviceable</v>
      </c>
      <c r="N4263" s="164"/>
    </row>
    <row r="4264" spans="1:14" ht="13.2" hidden="1">
      <c r="A4264" s="164" t="str">
        <f ca="1">IFERROR(__xludf.DUMMYFUNCTION("""COMPUTED_VALUE"""),"CARAGA")</f>
        <v>CARAGA</v>
      </c>
      <c r="B4264" s="164" t="str">
        <f ca="1">IFERROR(__xludf.DUMMYFUNCTION("""COMPUTED_VALUE"""),"Regional Office")</f>
        <v>Regional Office</v>
      </c>
      <c r="C4264" s="164" t="str">
        <f ca="1">IFERROR(__xludf.DUMMYFUNCTION("""COMPUTED_VALUE"""),"Desktop Computer – (Lenovo M70T)")</f>
        <v>Desktop Computer – (Lenovo M70T)</v>
      </c>
      <c r="D4264" s="164" t="str">
        <f ca="1">IFERROR(__xludf.DUMMYFUNCTION("""COMPUTED_VALUE"""),"₱ 75,468.00")</f>
        <v>₱ 75,468.00</v>
      </c>
      <c r="E4264" s="164" t="str">
        <f ca="1">IFERROR(__xludf.DUMMYFUNCTION("""COMPUTED_VALUE"""),"₱ -")</f>
        <v>₱ -</v>
      </c>
      <c r="F4264" s="164" t="str">
        <f ca="1">IFERROR(__xludf.DUMMYFUNCTION("""COMPUTED_VALUE"""),"2023-05-03-10201SP1804-01")</f>
        <v>2023-05-03-10201SP1804-01</v>
      </c>
      <c r="G4264" s="164" t="str">
        <f ca="1">IFERROR(__xludf.DUMMYFUNCTION("""COMPUTED_VALUE"""),"SN:1S11T5S16200GM041B4P")</f>
        <v>SN:1S11T5S16200GM041B4P</v>
      </c>
      <c r="H4264" s="164" t="str">
        <f ca="1">IFERROR(__xludf.DUMMYFUNCTION("""COMPUTED_VALUE"""),"R. Manoay")</f>
        <v>R. Manoay</v>
      </c>
      <c r="I4264" s="164" t="str">
        <f ca="1">IFERROR(__xludf.DUMMYFUNCTION("""COMPUTED_VALUE"""),"Acting ARPO II")</f>
        <v>Acting ARPO II</v>
      </c>
      <c r="J4264" s="164" t="str">
        <f ca="1">IFERROR(__xludf.DUMMYFUNCTION("""COMPUTED_VALUE"""),"2024-01-005")</f>
        <v>2024-01-005</v>
      </c>
      <c r="K4264" s="164" t="str">
        <f ca="1">IFERROR(__xludf.DUMMYFUNCTION("""COMPUTED_VALUE"""),"A. Eboa")</f>
        <v>A. Eboa</v>
      </c>
      <c r="L4264" s="164" t="str">
        <f ca="1">IFERROR(__xludf.DUMMYFUNCTION("""COMPUTED_VALUE"""),"RPMO-Caraga/LTID")</f>
        <v>RPMO-Caraga/LTID</v>
      </c>
      <c r="M4264" s="164" t="str">
        <f ca="1">IFERROR(__xludf.DUMMYFUNCTION("""COMPUTED_VALUE"""),"Serviceable")</f>
        <v>Serviceable</v>
      </c>
      <c r="N4264" s="164"/>
    </row>
    <row r="4265" spans="1:14" ht="13.2" hidden="1">
      <c r="A4265" s="164" t="str">
        <f ca="1">IFERROR(__xludf.DUMMYFUNCTION("""COMPUTED_VALUE"""),"CARAGA")</f>
        <v>CARAGA</v>
      </c>
      <c r="B4265" s="164" t="str">
        <f ca="1">IFERROR(__xludf.DUMMYFUNCTION("""COMPUTED_VALUE"""),"Regional Office")</f>
        <v>Regional Office</v>
      </c>
      <c r="C4265" s="164" t="str">
        <f ca="1">IFERROR(__xludf.DUMMYFUNCTION("""COMPUTED_VALUE"""),"Desktop Computer – (Lenovo M70T)")</f>
        <v>Desktop Computer – (Lenovo M70T)</v>
      </c>
      <c r="D4265" s="164" t="str">
        <f ca="1">IFERROR(__xludf.DUMMYFUNCTION("""COMPUTED_VALUE"""),"₱ 75,468.00")</f>
        <v>₱ 75,468.00</v>
      </c>
      <c r="E4265" s="164" t="str">
        <f ca="1">IFERROR(__xludf.DUMMYFUNCTION("""COMPUTED_VALUE"""),"₱ -")</f>
        <v>₱ -</v>
      </c>
      <c r="F4265" s="164" t="str">
        <f ca="1">IFERROR(__xludf.DUMMYFUNCTION("""COMPUTED_VALUE"""),"2023-05-03-10201SP1783-01")</f>
        <v>2023-05-03-10201SP1783-01</v>
      </c>
      <c r="G4265" s="164" t="str">
        <f ca="1">IFERROR(__xludf.DUMMYFUNCTION("""COMPUTED_VALUE"""),"SN: 1S11T5S16200GM041AW8")</f>
        <v>SN: 1S11T5S16200GM041AW8</v>
      </c>
      <c r="H4265" s="164" t="str">
        <f ca="1">IFERROR(__xludf.DUMMYFUNCTION("""COMPUTED_VALUE"""),"C. Chua")</f>
        <v>C. Chua</v>
      </c>
      <c r="I4265" s="164" t="str">
        <f ca="1">IFERROR(__xludf.DUMMYFUNCTION("""COMPUTED_VALUE"""),"ARPT")</f>
        <v>ARPT</v>
      </c>
      <c r="J4265" s="164" t="str">
        <f ca="1">IFERROR(__xludf.DUMMYFUNCTION("""COMPUTED_VALUE"""),"2024-01-006")</f>
        <v>2024-01-006</v>
      </c>
      <c r="K4265" s="164" t="str">
        <f ca="1">IFERROR(__xludf.DUMMYFUNCTION("""COMPUTED_VALUE"""),"D. De Guzman")</f>
        <v>D. De Guzman</v>
      </c>
      <c r="L4265" s="164" t="str">
        <f ca="1">IFERROR(__xludf.DUMMYFUNCTION("""COMPUTED_VALUE"""),"RPMO-Caraga")</f>
        <v>RPMO-Caraga</v>
      </c>
      <c r="M4265" s="164" t="str">
        <f ca="1">IFERROR(__xludf.DUMMYFUNCTION("""COMPUTED_VALUE"""),"Serviceable")</f>
        <v>Serviceable</v>
      </c>
      <c r="N4265" s="164"/>
    </row>
    <row r="4266" spans="1:14" ht="13.2" hidden="1">
      <c r="A4266" s="164" t="str">
        <f ca="1">IFERROR(__xludf.DUMMYFUNCTION("""COMPUTED_VALUE"""),"CARAGA")</f>
        <v>CARAGA</v>
      </c>
      <c r="B4266" s="164" t="str">
        <f ca="1">IFERROR(__xludf.DUMMYFUNCTION("""COMPUTED_VALUE"""),"Regional Office")</f>
        <v>Regional Office</v>
      </c>
      <c r="C4266" s="164" t="str">
        <f ca="1">IFERROR(__xludf.DUMMYFUNCTION("""COMPUTED_VALUE"""),"PLOTTER (3IN1)")</f>
        <v>PLOTTER (3IN1)</v>
      </c>
      <c r="D4266" s="164" t="str">
        <f ca="1">IFERROR(__xludf.DUMMYFUNCTION("""COMPUTED_VALUE"""),"₱ 49,300.00")</f>
        <v>₱ 49,300.00</v>
      </c>
      <c r="E4266" s="164" t="str">
        <f ca="1">IFERROR(__xludf.DUMMYFUNCTION("""COMPUTED_VALUE"""),"₱ -")</f>
        <v>₱ -</v>
      </c>
      <c r="F4266" s="164" t="str">
        <f ca="1">IFERROR(__xludf.DUMMYFUNCTION("""COMPUTED_VALUE"""),"2024-05-13-10204SP16-O1")</f>
        <v>2024-05-13-10204SP16-O1</v>
      </c>
      <c r="G4266" s="164"/>
      <c r="H4266" s="164" t="str">
        <f ca="1">IFERROR(__xludf.DUMMYFUNCTION("""COMPUTED_VALUE"""),"TBD")</f>
        <v>TBD</v>
      </c>
      <c r="I4266" s="164" t="str">
        <f ca="1">IFERROR(__xludf.DUMMYFUNCTION("""COMPUTED_VALUE"""),"TBD")</f>
        <v>TBD</v>
      </c>
      <c r="J4266" s="164" t="str">
        <f ca="1">IFERROR(__xludf.DUMMYFUNCTION("""COMPUTED_VALUE"""),"TBD")</f>
        <v>TBD</v>
      </c>
      <c r="K4266" s="164" t="str">
        <f ca="1">IFERROR(__xludf.DUMMYFUNCTION("""COMPUTED_VALUE"""),"TBD")</f>
        <v>TBD</v>
      </c>
      <c r="L4266" s="164" t="str">
        <f ca="1">IFERROR(__xludf.DUMMYFUNCTION("""COMPUTED_VALUE"""),"TBD")</f>
        <v>TBD</v>
      </c>
      <c r="M4266" s="164" t="str">
        <f ca="1">IFERROR(__xludf.DUMMYFUNCTION("""COMPUTED_VALUE"""),"SERVICEABLE")</f>
        <v>SERVICEABLE</v>
      </c>
      <c r="N4266" s="164"/>
    </row>
    <row r="4267" spans="1:14" ht="13.2" hidden="1">
      <c r="A4267" s="164" t="str">
        <f ca="1">IFERROR(__xludf.DUMMYFUNCTION("""COMPUTED_VALUE"""),"CARAGA")</f>
        <v>CARAGA</v>
      </c>
      <c r="B4267" s="164" t="str">
        <f ca="1">IFERROR(__xludf.DUMMYFUNCTION("""COMPUTED_VALUE"""),"Regional Office")</f>
        <v>Regional Office</v>
      </c>
      <c r="C4267" s="164" t="str">
        <f ca="1">IFERROR(__xludf.DUMMYFUNCTION("""COMPUTED_VALUE"""),"A3 PRINTER (BROTHER)")</f>
        <v>A3 PRINTER (BROTHER)</v>
      </c>
      <c r="D4267" s="164" t="str">
        <f ca="1">IFERROR(__xludf.DUMMYFUNCTION("""COMPUTED_VALUE"""),"₱ 33,508.00")</f>
        <v>₱ 33,508.00</v>
      </c>
      <c r="E4267" s="164" t="str">
        <f ca="1">IFERROR(__xludf.DUMMYFUNCTION("""COMPUTED_VALUE"""),"₱ -")</f>
        <v>₱ -</v>
      </c>
      <c r="F4267" s="164" t="str">
        <f ca="1">IFERROR(__xludf.DUMMYFUNCTION("""COMPUTED_VALUE"""),"HV-SPLIT-102-24-05-59")</f>
        <v>HV-SPLIT-102-24-05-59</v>
      </c>
      <c r="G4267" s="164"/>
      <c r="H4267" s="164" t="str">
        <f ca="1">IFERROR(__xludf.DUMMYFUNCTION("""COMPUTED_VALUE"""),"RECHEL D. BESONIA")</f>
        <v>RECHEL D. BESONIA</v>
      </c>
      <c r="I4267" s="164" t="str">
        <f ca="1">IFERROR(__xludf.DUMMYFUNCTION("""COMPUTED_VALUE"""),"SUPPLY OFFICER")</f>
        <v>SUPPLY OFFICER</v>
      </c>
      <c r="J4267" s="164" t="str">
        <f ca="1">IFERROR(__xludf.DUMMYFUNCTION("""COMPUTED_VALUE"""),"2024-03-014")</f>
        <v>2024-03-014</v>
      </c>
      <c r="K4267" s="164"/>
      <c r="L4267" s="164" t="str">
        <f ca="1">IFERROR(__xludf.DUMMYFUNCTION("""COMPUTED_VALUE"""),"DARRO CARAGA")</f>
        <v>DARRO CARAGA</v>
      </c>
      <c r="M4267" s="164"/>
      <c r="N4267" s="164"/>
    </row>
    <row r="4268" spans="1:14" ht="13.2" hidden="1">
      <c r="A4268" s="164" t="str">
        <f ca="1">IFERROR(__xludf.DUMMYFUNCTION("""COMPUTED_VALUE"""),"CARAGA")</f>
        <v>CARAGA</v>
      </c>
      <c r="B4268" s="164" t="str">
        <f ca="1">IFERROR(__xludf.DUMMYFUNCTION("""COMPUTED_VALUE"""),"Regional Office")</f>
        <v>Regional Office</v>
      </c>
      <c r="C4268" s="164" t="str">
        <f ca="1">IFERROR(__xludf.DUMMYFUNCTION("""COMPUTED_VALUE"""),"ACER TRAVELMATE")</f>
        <v>ACER TRAVELMATE</v>
      </c>
      <c r="D4268" s="164" t="str">
        <f ca="1">IFERROR(__xludf.DUMMYFUNCTION("""COMPUTED_VALUE"""),"₱ 46,580.00")</f>
        <v>₱ 46,580.00</v>
      </c>
      <c r="E4268" s="164" t="str">
        <f ca="1">IFERROR(__xludf.DUMMYFUNCTION("""COMPUTED_VALUE"""),"₱ -")</f>
        <v>₱ -</v>
      </c>
      <c r="F4268" s="164" t="str">
        <f ca="1">IFERROR(__xludf.DUMMYFUNCTION("""COMPUTED_VALUE"""),"2024-05-03-10202SP-319-01")</f>
        <v>2024-05-03-10202SP-319-01</v>
      </c>
      <c r="G4268" s="164"/>
      <c r="H4268" s="164" t="str">
        <f ca="1">IFERROR(__xludf.DUMMYFUNCTION("""COMPUTED_VALUE"""),"CHRISTIAN I LA FUENTE")</f>
        <v>CHRISTIAN I LA FUENTE</v>
      </c>
      <c r="I4268" s="164" t="str">
        <f ca="1">IFERROR(__xludf.DUMMYFUNCTION("""COMPUTED_VALUE"""),"ACTING IO III")</f>
        <v>ACTING IO III</v>
      </c>
      <c r="J4268" s="164"/>
      <c r="K4268" s="164" t="str">
        <f ca="1">IFERROR(__xludf.DUMMYFUNCTION("""COMPUTED_VALUE"""),"CHRISTIAN I LA FUENTE")</f>
        <v>CHRISTIAN I LA FUENTE</v>
      </c>
      <c r="L4268" s="164" t="str">
        <f ca="1">IFERROR(__xludf.DUMMYFUNCTION("""COMPUTED_VALUE"""),"RPMO - Caraga")</f>
        <v>RPMO - Caraga</v>
      </c>
      <c r="M4268" s="164" t="str">
        <f ca="1">IFERROR(__xludf.DUMMYFUNCTION("""COMPUTED_VALUE"""),"SERVICEABLE")</f>
        <v>SERVICEABLE</v>
      </c>
      <c r="N4268" s="164"/>
    </row>
    <row r="4269" spans="1:14" ht="13.2" hidden="1">
      <c r="A4269" s="164" t="str">
        <f ca="1">IFERROR(__xludf.DUMMYFUNCTION("""COMPUTED_VALUE"""),"CARAGA")</f>
        <v>CARAGA</v>
      </c>
      <c r="B4269" s="164" t="str">
        <f ca="1">IFERROR(__xludf.DUMMYFUNCTION("""COMPUTED_VALUE"""),"Regional Office")</f>
        <v>Regional Office</v>
      </c>
      <c r="C4269" s="164" t="str">
        <f ca="1">IFERROR(__xludf.DUMMYFUNCTION("""COMPUTED_VALUE"""),"ACER TRAVELMATE")</f>
        <v>ACER TRAVELMATE</v>
      </c>
      <c r="D4269" s="164" t="str">
        <f ca="1">IFERROR(__xludf.DUMMYFUNCTION("""COMPUTED_VALUE"""),"₱ 46,580.00")</f>
        <v>₱ 46,580.00</v>
      </c>
      <c r="E4269" s="164" t="str">
        <f ca="1">IFERROR(__xludf.DUMMYFUNCTION("""COMPUTED_VALUE"""),"₱ -")</f>
        <v>₱ -</v>
      </c>
      <c r="F4269" s="164" t="str">
        <f ca="1">IFERROR(__xludf.DUMMYFUNCTION("""COMPUTED_VALUE"""),"2024-05-03-10202SP-334-01")</f>
        <v>2024-05-03-10202SP-334-01</v>
      </c>
      <c r="G4269" s="164"/>
      <c r="H4269" s="164" t="str">
        <f ca="1">IFERROR(__xludf.DUMMYFUNCTION("""COMPUTED_VALUE"""),"CHRISTIAN I LA FUENTE")</f>
        <v>CHRISTIAN I LA FUENTE</v>
      </c>
      <c r="I4269" s="164" t="str">
        <f ca="1">IFERROR(__xludf.DUMMYFUNCTION("""COMPUTED_VALUE"""),"ACTING IO III")</f>
        <v>ACTING IO III</v>
      </c>
      <c r="J4269" s="164"/>
      <c r="K4269" s="164" t="str">
        <f ca="1">IFERROR(__xludf.DUMMYFUNCTION("""COMPUTED_VALUE"""),"CHRISTIAN I LA FUENTE")</f>
        <v>CHRISTIAN I LA FUENTE</v>
      </c>
      <c r="L4269" s="164" t="str">
        <f ca="1">IFERROR(__xludf.DUMMYFUNCTION("""COMPUTED_VALUE"""),"RPMO - Caraga")</f>
        <v>RPMO - Caraga</v>
      </c>
      <c r="M4269" s="164" t="str">
        <f ca="1">IFERROR(__xludf.DUMMYFUNCTION("""COMPUTED_VALUE"""),"SERVICEABLE")</f>
        <v>SERVICEABLE</v>
      </c>
      <c r="N4269" s="164"/>
    </row>
    <row r="4270" spans="1:14" ht="13.2" hidden="1">
      <c r="A4270" s="164" t="str">
        <f ca="1">IFERROR(__xludf.DUMMYFUNCTION("""COMPUTED_VALUE"""),"CARAGA")</f>
        <v>CARAGA</v>
      </c>
      <c r="B4270" s="164" t="str">
        <f ca="1">IFERROR(__xludf.DUMMYFUNCTION("""COMPUTED_VALUE"""),"Agusan del Norte")</f>
        <v>Agusan del Norte</v>
      </c>
      <c r="C4270" s="164" t="str">
        <f ca="1">IFERROR(__xludf.DUMMYFUNCTION("""COMPUTED_VALUE"""),"Desktop Computer – (Lenovo M70T)")</f>
        <v>Desktop Computer – (Lenovo M70T)</v>
      </c>
      <c r="D4270" s="164" t="str">
        <f ca="1">IFERROR(__xludf.DUMMYFUNCTION("""COMPUTED_VALUE"""),"₱ 75,468.00")</f>
        <v>₱ 75,468.00</v>
      </c>
      <c r="E4270" s="164" t="str">
        <f ca="1">IFERROR(__xludf.DUMMYFUNCTION("""COMPUTED_VALUE"""),"₱ -")</f>
        <v>₱ -</v>
      </c>
      <c r="F4270" s="164" t="str">
        <f ca="1">IFERROR(__xludf.DUMMYFUNCTION("""COMPUTED_VALUE"""),"2023-05-03-10201SPI732-01")</f>
        <v>2023-05-03-10201SPI732-01</v>
      </c>
      <c r="G4270" s="164"/>
      <c r="H4270" s="164" t="str">
        <f ca="1">IFERROR(__xludf.DUMMYFUNCTION("""COMPUTED_VALUE"""),"Rica Joyce B. Ortillano")</f>
        <v>Rica Joyce B. Ortillano</v>
      </c>
      <c r="I4270" s="164" t="str">
        <f ca="1">IFERROR(__xludf.DUMMYFUNCTION("""COMPUTED_VALUE"""),"APRT")</f>
        <v>APRT</v>
      </c>
      <c r="J4270" s="164" t="str">
        <f ca="1">IFERROR(__xludf.DUMMYFUNCTION("""COMPUTED_VALUE"""),"PAR: 2025-07-0014")</f>
        <v>PAR: 2025-07-0014</v>
      </c>
      <c r="K4270" s="164" t="str">
        <f ca="1">IFERROR(__xludf.DUMMYFUNCTION("""COMPUTED_VALUE"""),"Rica Joyce B. Ortillano")</f>
        <v>Rica Joyce B. Ortillano</v>
      </c>
      <c r="L4270" s="164" t="str">
        <f ca="1">IFERROR(__xludf.DUMMYFUNCTION("""COMPUTED_VALUE"""),"DARMO-Butuan (PSSPLIT)")</f>
        <v>DARMO-Butuan (PSSPLIT)</v>
      </c>
      <c r="M4270" s="164" t="str">
        <f ca="1">IFERROR(__xludf.DUMMYFUNCTION("""COMPUTED_VALUE"""),"SERVICEABLE")</f>
        <v>SERVICEABLE</v>
      </c>
      <c r="N4270" s="164"/>
    </row>
    <row r="4271" spans="1:14" ht="13.2" hidden="1">
      <c r="A4271" s="164" t="str">
        <f ca="1">IFERROR(__xludf.DUMMYFUNCTION("""COMPUTED_VALUE"""),"CARAGA")</f>
        <v>CARAGA</v>
      </c>
      <c r="B4271" s="164" t="str">
        <f ca="1">IFERROR(__xludf.DUMMYFUNCTION("""COMPUTED_VALUE"""),"Agusan del Norte")</f>
        <v>Agusan del Norte</v>
      </c>
      <c r="C4271" s="164" t="str">
        <f ca="1">IFERROR(__xludf.DUMMYFUNCTION("""COMPUTED_VALUE"""),"Desktop Computer – (Lenovo M70T)")</f>
        <v>Desktop Computer – (Lenovo M70T)</v>
      </c>
      <c r="D4271" s="164" t="str">
        <f ca="1">IFERROR(__xludf.DUMMYFUNCTION("""COMPUTED_VALUE"""),"₱ 75,468.00")</f>
        <v>₱ 75,468.00</v>
      </c>
      <c r="E4271" s="164" t="str">
        <f ca="1">IFERROR(__xludf.DUMMYFUNCTION("""COMPUTED_VALUE"""),"₱ -")</f>
        <v>₱ -</v>
      </c>
      <c r="F4271" s="164" t="str">
        <f ca="1">IFERROR(__xludf.DUMMYFUNCTION("""COMPUTED_VALUE"""),"2023-05-03-10201SPI733-01")</f>
        <v>2023-05-03-10201SPI733-01</v>
      </c>
      <c r="G4271" s="164"/>
      <c r="H4271" s="164" t="str">
        <f ca="1">IFERROR(__xludf.DUMMYFUNCTION("""COMPUTED_VALUE"""),"Charles Aldous A. Sabuga-a")</f>
        <v>Charles Aldous A. Sabuga-a</v>
      </c>
      <c r="I4271" s="164" t="str">
        <f ca="1">IFERROR(__xludf.DUMMYFUNCTION("""COMPUTED_VALUE"""),"ARPT")</f>
        <v>ARPT</v>
      </c>
      <c r="J4271" s="164" t="str">
        <f ca="1">IFERROR(__xludf.DUMMYFUNCTION("""COMPUTED_VALUE"""),"PAR: 2025-07-0015")</f>
        <v>PAR: 2025-07-0015</v>
      </c>
      <c r="K4271" s="164" t="str">
        <f ca="1">IFERROR(__xludf.DUMMYFUNCTION("""COMPUTED_VALUE"""),"Charles Aldous A. Sabuga-a")</f>
        <v>Charles Aldous A. Sabuga-a</v>
      </c>
      <c r="L4271" s="164" t="str">
        <f ca="1">IFERROR(__xludf.DUMMYFUNCTION("""COMPUTED_VALUE"""),"MARPO-Magallanes (PSSPLIT)")</f>
        <v>MARPO-Magallanes (PSSPLIT)</v>
      </c>
      <c r="M4271" s="164" t="str">
        <f ca="1">IFERROR(__xludf.DUMMYFUNCTION("""COMPUTED_VALUE"""),"SERVICEABLE")</f>
        <v>SERVICEABLE</v>
      </c>
      <c r="N4271" s="164"/>
    </row>
    <row r="4272" spans="1:14" ht="13.2" hidden="1">
      <c r="A4272" s="164" t="str">
        <f ca="1">IFERROR(__xludf.DUMMYFUNCTION("""COMPUTED_VALUE"""),"CARAGA")</f>
        <v>CARAGA</v>
      </c>
      <c r="B4272" s="164" t="str">
        <f ca="1">IFERROR(__xludf.DUMMYFUNCTION("""COMPUTED_VALUE"""),"Agusan del Norte")</f>
        <v>Agusan del Norte</v>
      </c>
      <c r="C4272" s="164" t="str">
        <f ca="1">IFERROR(__xludf.DUMMYFUNCTION("""COMPUTED_VALUE"""),"Desktop Computer – (Lenovo M70T)")</f>
        <v>Desktop Computer – (Lenovo M70T)</v>
      </c>
      <c r="D4272" s="164" t="str">
        <f ca="1">IFERROR(__xludf.DUMMYFUNCTION("""COMPUTED_VALUE"""),"₱ 75,468.00")</f>
        <v>₱ 75,468.00</v>
      </c>
      <c r="E4272" s="164" t="str">
        <f ca="1">IFERROR(__xludf.DUMMYFUNCTION("""COMPUTED_VALUE"""),"₱ -")</f>
        <v>₱ -</v>
      </c>
      <c r="F4272" s="164" t="str">
        <f ca="1">IFERROR(__xludf.DUMMYFUNCTION("""COMPUTED_VALUE"""),"2023-05-03-10201SPI734-01")</f>
        <v>2023-05-03-10201SPI734-01</v>
      </c>
      <c r="G4272" s="164"/>
      <c r="H4272" s="164" t="str">
        <f ca="1">IFERROR(__xludf.DUMMYFUNCTION("""COMPUTED_VALUE"""),"Shallemar H. Maturan")</f>
        <v>Shallemar H. Maturan</v>
      </c>
      <c r="I4272" s="164" t="str">
        <f ca="1">IFERROR(__xludf.DUMMYFUNCTION("""COMPUTED_VALUE"""),"ARPT")</f>
        <v>ARPT</v>
      </c>
      <c r="J4272" s="164" t="str">
        <f ca="1">IFERROR(__xludf.DUMMYFUNCTION("""COMPUTED_VALUE"""),"PAR: 2025-07-0016")</f>
        <v>PAR: 2025-07-0016</v>
      </c>
      <c r="K4272" s="164" t="str">
        <f ca="1">IFERROR(__xludf.DUMMYFUNCTION("""COMPUTED_VALUE"""),"Shallemar H. Maturan")</f>
        <v>Shallemar H. Maturan</v>
      </c>
      <c r="L4272" s="164" t="str">
        <f ca="1">IFERROR(__xludf.DUMMYFUNCTION("""COMPUTED_VALUE"""),"MARPO-Santiago (PSSPLIT)")</f>
        <v>MARPO-Santiago (PSSPLIT)</v>
      </c>
      <c r="M4272" s="164" t="str">
        <f ca="1">IFERROR(__xludf.DUMMYFUNCTION("""COMPUTED_VALUE"""),"SERVICEABLE")</f>
        <v>SERVICEABLE</v>
      </c>
      <c r="N4272" s="164"/>
    </row>
    <row r="4273" spans="1:14" ht="13.2" hidden="1">
      <c r="A4273" s="164" t="str">
        <f ca="1">IFERROR(__xludf.DUMMYFUNCTION("""COMPUTED_VALUE"""),"CARAGA")</f>
        <v>CARAGA</v>
      </c>
      <c r="B4273" s="164" t="str">
        <f ca="1">IFERROR(__xludf.DUMMYFUNCTION("""COMPUTED_VALUE"""),"Agusan del Norte")</f>
        <v>Agusan del Norte</v>
      </c>
      <c r="C4273" s="164" t="str">
        <f ca="1">IFERROR(__xludf.DUMMYFUNCTION("""COMPUTED_VALUE"""),"Desktop Computer – (Lenovo M70T)")</f>
        <v>Desktop Computer – (Lenovo M70T)</v>
      </c>
      <c r="D4273" s="164" t="str">
        <f ca="1">IFERROR(__xludf.DUMMYFUNCTION("""COMPUTED_VALUE"""),"₱ 75,468.00")</f>
        <v>₱ 75,468.00</v>
      </c>
      <c r="E4273" s="164" t="str">
        <f ca="1">IFERROR(__xludf.DUMMYFUNCTION("""COMPUTED_VALUE"""),"₱ -")</f>
        <v>₱ -</v>
      </c>
      <c r="F4273" s="164" t="str">
        <f ca="1">IFERROR(__xludf.DUMMYFUNCTION("""COMPUTED_VALUE"""),"2023-05-03-10201SPI735-01")</f>
        <v>2023-05-03-10201SPI735-01</v>
      </c>
      <c r="G4273" s="164"/>
      <c r="H4273" s="164" t="str">
        <f ca="1">IFERROR(__xludf.DUMMYFUNCTION("""COMPUTED_VALUE"""),"Lorjessa E. Bongosia")</f>
        <v>Lorjessa E. Bongosia</v>
      </c>
      <c r="I4273" s="164" t="str">
        <f ca="1">IFERROR(__xludf.DUMMYFUNCTION("""COMPUTED_VALUE"""),"MARPO")</f>
        <v>MARPO</v>
      </c>
      <c r="J4273" s="164" t="str">
        <f ca="1">IFERROR(__xludf.DUMMYFUNCTION("""COMPUTED_VALUE"""),"PAR: 2025-07-0017")</f>
        <v>PAR: 2025-07-0017</v>
      </c>
      <c r="K4273" s="164" t="str">
        <f ca="1">IFERROR(__xludf.DUMMYFUNCTION("""COMPUTED_VALUE"""),"Lorjessa E. Bongosia")</f>
        <v>Lorjessa E. Bongosia</v>
      </c>
      <c r="L4273" s="164" t="str">
        <f ca="1">IFERROR(__xludf.DUMMYFUNCTION("""COMPUTED_VALUE"""),"MARPO-Jabonga (PSSPLIT)")</f>
        <v>MARPO-Jabonga (PSSPLIT)</v>
      </c>
      <c r="M4273" s="164" t="str">
        <f ca="1">IFERROR(__xludf.DUMMYFUNCTION("""COMPUTED_VALUE"""),"SERVICEABLE")</f>
        <v>SERVICEABLE</v>
      </c>
      <c r="N4273" s="164"/>
    </row>
    <row r="4274" spans="1:14" ht="13.2" hidden="1">
      <c r="A4274" s="164" t="str">
        <f ca="1">IFERROR(__xludf.DUMMYFUNCTION("""COMPUTED_VALUE"""),"CARAGA")</f>
        <v>CARAGA</v>
      </c>
      <c r="B4274" s="164" t="str">
        <f ca="1">IFERROR(__xludf.DUMMYFUNCTION("""COMPUTED_VALUE"""),"Agusan del Norte")</f>
        <v>Agusan del Norte</v>
      </c>
      <c r="C4274" s="164" t="str">
        <f ca="1">IFERROR(__xludf.DUMMYFUNCTION("""COMPUTED_VALUE"""),"Desktop Computer – (Lenovo M70T)")</f>
        <v>Desktop Computer – (Lenovo M70T)</v>
      </c>
      <c r="D4274" s="164" t="str">
        <f ca="1">IFERROR(__xludf.DUMMYFUNCTION("""COMPUTED_VALUE"""),"₱ 75,468.00")</f>
        <v>₱ 75,468.00</v>
      </c>
      <c r="E4274" s="164" t="str">
        <f ca="1">IFERROR(__xludf.DUMMYFUNCTION("""COMPUTED_VALUE"""),"₱ -")</f>
        <v>₱ -</v>
      </c>
      <c r="F4274" s="164" t="str">
        <f ca="1">IFERROR(__xludf.DUMMYFUNCTION("""COMPUTED_VALUE"""),"2023-05-03-10201SPI736-01")</f>
        <v>2023-05-03-10201SPI736-01</v>
      </c>
      <c r="G4274" s="164"/>
      <c r="H4274" s="164" t="str">
        <f ca="1">IFERROR(__xludf.DUMMYFUNCTION("""COMPUTED_VALUE"""),"Jocelyn P. Mindajao")</f>
        <v>Jocelyn P. Mindajao</v>
      </c>
      <c r="I4274" s="164" t="str">
        <f ca="1">IFERROR(__xludf.DUMMYFUNCTION("""COMPUTED_VALUE"""),"AO IV")</f>
        <v>AO IV</v>
      </c>
      <c r="J4274" s="164" t="str">
        <f ca="1">IFERROR(__xludf.DUMMYFUNCTION("""COMPUTED_VALUE"""),"PAR: 2025-07-0018")</f>
        <v>PAR: 2025-07-0018</v>
      </c>
      <c r="K4274" s="164" t="str">
        <f ca="1">IFERROR(__xludf.DUMMYFUNCTION("""COMPUTED_VALUE"""),"Jocelyn P. Mindajao")</f>
        <v>Jocelyn P. Mindajao</v>
      </c>
      <c r="L4274" s="164" t="str">
        <f ca="1">IFERROR(__xludf.DUMMYFUNCTION("""COMPUTED_VALUE"""),"STOD-Budget (PSSPLIT)")</f>
        <v>STOD-Budget (PSSPLIT)</v>
      </c>
      <c r="M4274" s="164" t="str">
        <f ca="1">IFERROR(__xludf.DUMMYFUNCTION("""COMPUTED_VALUE"""),"SERVICEABLE")</f>
        <v>SERVICEABLE</v>
      </c>
      <c r="N4274" s="164"/>
    </row>
    <row r="4275" spans="1:14" ht="13.2" hidden="1">
      <c r="A4275" s="164" t="str">
        <f ca="1">IFERROR(__xludf.DUMMYFUNCTION("""COMPUTED_VALUE"""),"CARAGA")</f>
        <v>CARAGA</v>
      </c>
      <c r="B4275" s="164" t="str">
        <f ca="1">IFERROR(__xludf.DUMMYFUNCTION("""COMPUTED_VALUE"""),"Agusan del Norte")</f>
        <v>Agusan del Norte</v>
      </c>
      <c r="C4275" s="164" t="str">
        <f ca="1">IFERROR(__xludf.DUMMYFUNCTION("""COMPUTED_VALUE"""),"Desktop Computer – (Lenovo M70T)")</f>
        <v>Desktop Computer – (Lenovo M70T)</v>
      </c>
      <c r="D4275" s="164" t="str">
        <f ca="1">IFERROR(__xludf.DUMMYFUNCTION("""COMPUTED_VALUE"""),"₱ 75,468.00")</f>
        <v>₱ 75,468.00</v>
      </c>
      <c r="E4275" s="164" t="str">
        <f ca="1">IFERROR(__xludf.DUMMYFUNCTION("""COMPUTED_VALUE"""),"₱ -")</f>
        <v>₱ -</v>
      </c>
      <c r="F4275" s="164" t="str">
        <f ca="1">IFERROR(__xludf.DUMMYFUNCTION("""COMPUTED_VALUE"""),"2023-05-03-10201SPI737-01")</f>
        <v>2023-05-03-10201SPI737-01</v>
      </c>
      <c r="G4275" s="164"/>
      <c r="H4275" s="164" t="str">
        <f ca="1">IFERROR(__xludf.DUMMYFUNCTION("""COMPUTED_VALUE"""),"Teresita N. Ledesma")</f>
        <v>Teresita N. Ledesma</v>
      </c>
      <c r="I4275" s="164" t="str">
        <f ca="1">IFERROR(__xludf.DUMMYFUNCTION("""COMPUTED_VALUE"""),"Accountant II")</f>
        <v>Accountant II</v>
      </c>
      <c r="J4275" s="164" t="str">
        <f ca="1">IFERROR(__xludf.DUMMYFUNCTION("""COMPUTED_VALUE"""),"PAR: 2025-07-0019")</f>
        <v>PAR: 2025-07-0019</v>
      </c>
      <c r="K4275" s="164" t="str">
        <f ca="1">IFERROR(__xludf.DUMMYFUNCTION("""COMPUTED_VALUE"""),"Nelzen Thrill C. Garay")</f>
        <v>Nelzen Thrill C. Garay</v>
      </c>
      <c r="L4275" s="164" t="str">
        <f ca="1">IFERROR(__xludf.DUMMYFUNCTION("""COMPUTED_VALUE"""),"STOD-Accounting (PSSPLIT)")</f>
        <v>STOD-Accounting (PSSPLIT)</v>
      </c>
      <c r="M4275" s="164" t="str">
        <f ca="1">IFERROR(__xludf.DUMMYFUNCTION("""COMPUTED_VALUE"""),"SERVICEABLE")</f>
        <v>SERVICEABLE</v>
      </c>
      <c r="N4275" s="164"/>
    </row>
    <row r="4276" spans="1:14" ht="13.2" hidden="1">
      <c r="A4276" s="164" t="str">
        <f ca="1">IFERROR(__xludf.DUMMYFUNCTION("""COMPUTED_VALUE"""),"CARAGA")</f>
        <v>CARAGA</v>
      </c>
      <c r="B4276" s="164" t="str">
        <f ca="1">IFERROR(__xludf.DUMMYFUNCTION("""COMPUTED_VALUE"""),"Agusan del Norte")</f>
        <v>Agusan del Norte</v>
      </c>
      <c r="C4276" s="164" t="str">
        <f ca="1">IFERROR(__xludf.DUMMYFUNCTION("""COMPUTED_VALUE"""),"Desktop Computer – (Lenovo M70T)")</f>
        <v>Desktop Computer – (Lenovo M70T)</v>
      </c>
      <c r="D4276" s="164" t="str">
        <f ca="1">IFERROR(__xludf.DUMMYFUNCTION("""COMPUTED_VALUE"""),"₱ 75,468.00")</f>
        <v>₱ 75,468.00</v>
      </c>
      <c r="E4276" s="164" t="str">
        <f ca="1">IFERROR(__xludf.DUMMYFUNCTION("""COMPUTED_VALUE"""),"₱ -")</f>
        <v>₱ -</v>
      </c>
      <c r="F4276" s="164" t="str">
        <f ca="1">IFERROR(__xludf.DUMMYFUNCTION("""COMPUTED_VALUE"""),"2023-05-03-10201SPI738-01")</f>
        <v>2023-05-03-10201SPI738-01</v>
      </c>
      <c r="G4276" s="164"/>
      <c r="H4276" s="164" t="str">
        <f ca="1">IFERROR(__xludf.DUMMYFUNCTION("""COMPUTED_VALUE"""),"Maegan C. Tiu")</f>
        <v>Maegan C. Tiu</v>
      </c>
      <c r="I4276" s="164" t="str">
        <f ca="1">IFERROR(__xludf.DUMMYFUNCTION("""COMPUTED_VALUE"""),"Planning Officer II")</f>
        <v>Planning Officer II</v>
      </c>
      <c r="J4276" s="164" t="str">
        <f ca="1">IFERROR(__xludf.DUMMYFUNCTION("""COMPUTED_VALUE"""),"PAR: 2025-07-0010")</f>
        <v>PAR: 2025-07-0010</v>
      </c>
      <c r="K4276" s="164" t="str">
        <f ca="1">IFERROR(__xludf.DUMMYFUNCTION("""COMPUTED_VALUE"""),"Maegan C. Tiu")</f>
        <v>Maegan C. Tiu</v>
      </c>
      <c r="L4276" s="164" t="str">
        <f ca="1">IFERROR(__xludf.DUMMYFUNCTION("""COMPUTED_VALUE"""),"STOD-PMEU (PSSPLIT)")</f>
        <v>STOD-PMEU (PSSPLIT)</v>
      </c>
      <c r="M4276" s="164" t="str">
        <f ca="1">IFERROR(__xludf.DUMMYFUNCTION("""COMPUTED_VALUE"""),"SERVICEABLE")</f>
        <v>SERVICEABLE</v>
      </c>
      <c r="N4276" s="164"/>
    </row>
    <row r="4277" spans="1:14" ht="13.2" hidden="1">
      <c r="A4277" s="164" t="str">
        <f ca="1">IFERROR(__xludf.DUMMYFUNCTION("""COMPUTED_VALUE"""),"CARAGA")</f>
        <v>CARAGA</v>
      </c>
      <c r="B4277" s="164" t="str">
        <f ca="1">IFERROR(__xludf.DUMMYFUNCTION("""COMPUTED_VALUE"""),"Agusan del Norte")</f>
        <v>Agusan del Norte</v>
      </c>
      <c r="C4277" s="164" t="str">
        <f ca="1">IFERROR(__xludf.DUMMYFUNCTION("""COMPUTED_VALUE"""),"Desktop Computer – (Lenovo M70T)")</f>
        <v>Desktop Computer – (Lenovo M70T)</v>
      </c>
      <c r="D4277" s="164" t="str">
        <f ca="1">IFERROR(__xludf.DUMMYFUNCTION("""COMPUTED_VALUE"""),"₱ 75,468.00")</f>
        <v>₱ 75,468.00</v>
      </c>
      <c r="E4277" s="164" t="str">
        <f ca="1">IFERROR(__xludf.DUMMYFUNCTION("""COMPUTED_VALUE"""),"₱ -")</f>
        <v>₱ -</v>
      </c>
      <c r="F4277" s="164" t="str">
        <f ca="1">IFERROR(__xludf.DUMMYFUNCTION("""COMPUTED_VALUE"""),"2023-05-03-10201SPI739-01")</f>
        <v>2023-05-03-10201SPI739-01</v>
      </c>
      <c r="G4277" s="164"/>
      <c r="H4277" s="164" t="str">
        <f ca="1">IFERROR(__xludf.DUMMYFUNCTION("""COMPUTED_VALUE"""),"George D. Balibay")</f>
        <v>George D. Balibay</v>
      </c>
      <c r="I4277" s="164" t="str">
        <f ca="1">IFERROR(__xludf.DUMMYFUNCTION("""COMPUTED_VALUE"""),"ARPO I")</f>
        <v>ARPO I</v>
      </c>
      <c r="J4277" s="164" t="str">
        <f ca="1">IFERROR(__xludf.DUMMYFUNCTION("""COMPUTED_VALUE"""),"PAR: 2025-07-0020")</f>
        <v>PAR: 2025-07-0020</v>
      </c>
      <c r="K4277" s="164" t="str">
        <f ca="1">IFERROR(__xludf.DUMMYFUNCTION("""COMPUTED_VALUE"""),"George D. Balibay")</f>
        <v>George D. Balibay</v>
      </c>
      <c r="L4277" s="164" t="str">
        <f ca="1">IFERROR(__xludf.DUMMYFUNCTION("""COMPUTED_VALUE"""),"LTI-A (PSSPLIT)")</f>
        <v>LTI-A (PSSPLIT)</v>
      </c>
      <c r="M4277" s="164" t="str">
        <f ca="1">IFERROR(__xludf.DUMMYFUNCTION("""COMPUTED_VALUE"""),"SERVICEABLE")</f>
        <v>SERVICEABLE</v>
      </c>
      <c r="N4277" s="164"/>
    </row>
    <row r="4278" spans="1:14" ht="13.2" hidden="1">
      <c r="A4278" s="164" t="str">
        <f ca="1">IFERROR(__xludf.DUMMYFUNCTION("""COMPUTED_VALUE"""),"CARAGA")</f>
        <v>CARAGA</v>
      </c>
      <c r="B4278" s="164" t="str">
        <f ca="1">IFERROR(__xludf.DUMMYFUNCTION("""COMPUTED_VALUE"""),"Agusan del Norte")</f>
        <v>Agusan del Norte</v>
      </c>
      <c r="C4278" s="164" t="str">
        <f ca="1">IFERROR(__xludf.DUMMYFUNCTION("""COMPUTED_VALUE"""),"Desktop Computer – (Lenovo M70T)")</f>
        <v>Desktop Computer – (Lenovo M70T)</v>
      </c>
      <c r="D4278" s="164" t="str">
        <f ca="1">IFERROR(__xludf.DUMMYFUNCTION("""COMPUTED_VALUE"""),"₱ 75,468.00")</f>
        <v>₱ 75,468.00</v>
      </c>
      <c r="E4278" s="164" t="str">
        <f ca="1">IFERROR(__xludf.DUMMYFUNCTION("""COMPUTED_VALUE"""),"₱ -")</f>
        <v>₱ -</v>
      </c>
      <c r="F4278" s="164" t="str">
        <f ca="1">IFERROR(__xludf.DUMMYFUNCTION("""COMPUTED_VALUE"""),"2023-05-03-10201SPI740-01")</f>
        <v>2023-05-03-10201SPI740-01</v>
      </c>
      <c r="G4278" s="164"/>
      <c r="H4278" s="164" t="str">
        <f ca="1">IFERROR(__xludf.DUMMYFUNCTION("""COMPUTED_VALUE"""),"Deanna T. Semine")</f>
        <v>Deanna T. Semine</v>
      </c>
      <c r="I4278" s="164" t="str">
        <f ca="1">IFERROR(__xludf.DUMMYFUNCTION("""COMPUTED_VALUE"""),"AO IV/ Chief-GSS")</f>
        <v>AO IV/ Chief-GSS</v>
      </c>
      <c r="J4278" s="164" t="str">
        <f ca="1">IFERROR(__xludf.DUMMYFUNCTION("""COMPUTED_VALUE"""),"PAR: 2025-07-0011")</f>
        <v>PAR: 2025-07-0011</v>
      </c>
      <c r="K4278" s="164" t="str">
        <f ca="1">IFERROR(__xludf.DUMMYFUNCTION("""COMPUTED_VALUE"""),"Yancy James C. Alaba")</f>
        <v>Yancy James C. Alaba</v>
      </c>
      <c r="L4278" s="164" t="str">
        <f ca="1">IFERROR(__xludf.DUMMYFUNCTION("""COMPUTED_VALUE"""),"STOD-GSS (PSSPLIT)")</f>
        <v>STOD-GSS (PSSPLIT)</v>
      </c>
      <c r="M4278" s="164" t="str">
        <f ca="1">IFERROR(__xludf.DUMMYFUNCTION("""COMPUTED_VALUE"""),"SERVICEABLE")</f>
        <v>SERVICEABLE</v>
      </c>
      <c r="N4278" s="164"/>
    </row>
    <row r="4279" spans="1:14" ht="13.2" hidden="1">
      <c r="A4279" s="164" t="str">
        <f ca="1">IFERROR(__xludf.DUMMYFUNCTION("""COMPUTED_VALUE"""),"CARAGA")</f>
        <v>CARAGA</v>
      </c>
      <c r="B4279" s="164" t="str">
        <f ca="1">IFERROR(__xludf.DUMMYFUNCTION("""COMPUTED_VALUE"""),"Agusan del Norte")</f>
        <v>Agusan del Norte</v>
      </c>
      <c r="C4279" s="164" t="str">
        <f ca="1">IFERROR(__xludf.DUMMYFUNCTION("""COMPUTED_VALUE"""),"Desktop Computer – (Lenovo M70T)")</f>
        <v>Desktop Computer – (Lenovo M70T)</v>
      </c>
      <c r="D4279" s="164" t="str">
        <f ca="1">IFERROR(__xludf.DUMMYFUNCTION("""COMPUTED_VALUE"""),"₱ 75,468.00")</f>
        <v>₱ 75,468.00</v>
      </c>
      <c r="E4279" s="164" t="str">
        <f ca="1">IFERROR(__xludf.DUMMYFUNCTION("""COMPUTED_VALUE"""),"₱ -")</f>
        <v>₱ -</v>
      </c>
      <c r="F4279" s="164" t="str">
        <f ca="1">IFERROR(__xludf.DUMMYFUNCTION("""COMPUTED_VALUE"""),"2023-05-03-10201SPI741-01")</f>
        <v>2023-05-03-10201SPI741-01</v>
      </c>
      <c r="G4279" s="164"/>
      <c r="H4279" s="164" t="str">
        <f ca="1">IFERROR(__xludf.DUMMYFUNCTION("""COMPUTED_VALUE"""),"Miguel Al Louis L. Legaspi")</f>
        <v>Miguel Al Louis L. Legaspi</v>
      </c>
      <c r="I4279" s="164" t="str">
        <f ca="1">IFERROR(__xludf.DUMMYFUNCTION("""COMPUTED_VALUE"""),"ARPT")</f>
        <v>ARPT</v>
      </c>
      <c r="J4279" s="164" t="str">
        <f ca="1">IFERROR(__xludf.DUMMYFUNCTION("""COMPUTED_VALUE"""),"PAR: 2025-07-0021")</f>
        <v>PAR: 2025-07-0021</v>
      </c>
      <c r="K4279" s="164" t="str">
        <f ca="1">IFERROR(__xludf.DUMMYFUNCTION("""COMPUTED_VALUE"""),"Rikki Mae Yamit")</f>
        <v>Rikki Mae Yamit</v>
      </c>
      <c r="L4279" s="164" t="str">
        <f ca="1">IFERROR(__xludf.DUMMYFUNCTION("""COMPUTED_VALUE"""),"LSD (PSSPLIT)")</f>
        <v>LSD (PSSPLIT)</v>
      </c>
      <c r="M4279" s="164" t="str">
        <f ca="1">IFERROR(__xludf.DUMMYFUNCTION("""COMPUTED_VALUE"""),"SERVICEABLE")</f>
        <v>SERVICEABLE</v>
      </c>
      <c r="N4279" s="164"/>
    </row>
    <row r="4280" spans="1:14" ht="13.2" hidden="1">
      <c r="A4280" s="164" t="str">
        <f ca="1">IFERROR(__xludf.DUMMYFUNCTION("""COMPUTED_VALUE"""),"CARAGA")</f>
        <v>CARAGA</v>
      </c>
      <c r="B4280" s="164" t="str">
        <f ca="1">IFERROR(__xludf.DUMMYFUNCTION("""COMPUTED_VALUE"""),"Agusan del Norte")</f>
        <v>Agusan del Norte</v>
      </c>
      <c r="C4280" s="164" t="str">
        <f ca="1">IFERROR(__xludf.DUMMYFUNCTION("""COMPUTED_VALUE"""),"Desktop Computer – (Lenovo M70T)")</f>
        <v>Desktop Computer – (Lenovo M70T)</v>
      </c>
      <c r="D4280" s="164" t="str">
        <f ca="1">IFERROR(__xludf.DUMMYFUNCTION("""COMPUTED_VALUE"""),"₱ 75,468.00")</f>
        <v>₱ 75,468.00</v>
      </c>
      <c r="E4280" s="164" t="str">
        <f ca="1">IFERROR(__xludf.DUMMYFUNCTION("""COMPUTED_VALUE"""),"₱ -")</f>
        <v>₱ -</v>
      </c>
      <c r="F4280" s="164" t="str">
        <f ca="1">IFERROR(__xludf.DUMMYFUNCTION("""COMPUTED_VALUE"""),"2023-05-03-10201SPI742-01")</f>
        <v>2023-05-03-10201SPI742-01</v>
      </c>
      <c r="G4280" s="164"/>
      <c r="H4280" s="164" t="str">
        <f ca="1">IFERROR(__xludf.DUMMYFUNCTION("""COMPUTED_VALUE"""),"Atty. John Winston A. Baje")</f>
        <v>Atty. John Winston A. Baje</v>
      </c>
      <c r="I4280" s="164" t="str">
        <f ca="1">IFERROR(__xludf.DUMMYFUNCTION("""COMPUTED_VALUE"""),"APRT")</f>
        <v>APRT</v>
      </c>
      <c r="J4280" s="164" t="str">
        <f ca="1">IFERROR(__xludf.DUMMYFUNCTION("""COMPUTED_VALUE"""),"PAR: 2025-07-0026")</f>
        <v>PAR: 2025-07-0026</v>
      </c>
      <c r="K4280" s="164" t="str">
        <f ca="1">IFERROR(__xludf.DUMMYFUNCTION("""COMPUTED_VALUE"""),"Joseph M. Tuburan")</f>
        <v>Joseph M. Tuburan</v>
      </c>
      <c r="L4280" s="164" t="str">
        <f ca="1">IFERROR(__xludf.DUMMYFUNCTION("""COMPUTED_VALUE"""),"LTI-C (PSSPLIT)")</f>
        <v>LTI-C (PSSPLIT)</v>
      </c>
      <c r="M4280" s="164" t="str">
        <f ca="1">IFERROR(__xludf.DUMMYFUNCTION("""COMPUTED_VALUE"""),"SERVICEABLE")</f>
        <v>SERVICEABLE</v>
      </c>
      <c r="N4280" s="164"/>
    </row>
    <row r="4281" spans="1:14" ht="13.2" hidden="1">
      <c r="A4281" s="164" t="str">
        <f ca="1">IFERROR(__xludf.DUMMYFUNCTION("""COMPUTED_VALUE"""),"CARAGA")</f>
        <v>CARAGA</v>
      </c>
      <c r="B4281" s="164" t="str">
        <f ca="1">IFERROR(__xludf.DUMMYFUNCTION("""COMPUTED_VALUE"""),"Agusan del Norte")</f>
        <v>Agusan del Norte</v>
      </c>
      <c r="C4281" s="164" t="str">
        <f ca="1">IFERROR(__xludf.DUMMYFUNCTION("""COMPUTED_VALUE"""),"Desktop Computer – (Lenovo M70T)")</f>
        <v>Desktop Computer – (Lenovo M70T)</v>
      </c>
      <c r="D4281" s="164" t="str">
        <f ca="1">IFERROR(__xludf.DUMMYFUNCTION("""COMPUTED_VALUE"""),"₱ 75,468.00")</f>
        <v>₱ 75,468.00</v>
      </c>
      <c r="E4281" s="164" t="str">
        <f ca="1">IFERROR(__xludf.DUMMYFUNCTION("""COMPUTED_VALUE"""),"₱ -")</f>
        <v>₱ -</v>
      </c>
      <c r="F4281" s="164" t="str">
        <f ca="1">IFERROR(__xludf.DUMMYFUNCTION("""COMPUTED_VALUE"""),"2023-05-03-10201SPI743-01")</f>
        <v>2023-05-03-10201SPI743-01</v>
      </c>
      <c r="G4281" s="164"/>
      <c r="H4281" s="164" t="str">
        <f ca="1">IFERROR(__xludf.DUMMYFUNCTION("""COMPUTED_VALUE"""),"Mauriel T. Fesalboni")</f>
        <v>Mauriel T. Fesalboni</v>
      </c>
      <c r="I4281" s="164" t="str">
        <f ca="1">IFERROR(__xludf.DUMMYFUNCTION("""COMPUTED_VALUE"""),"ARPT")</f>
        <v>ARPT</v>
      </c>
      <c r="J4281" s="164" t="str">
        <f ca="1">IFERROR(__xludf.DUMMYFUNCTION("""COMPUTED_VALUE"""),"PAR: 2025-07-0025")</f>
        <v>PAR: 2025-07-0025</v>
      </c>
      <c r="K4281" s="164" t="str">
        <f ca="1">IFERROR(__xludf.DUMMYFUNCTION("""COMPUTED_VALUE"""),"Carmina Bacol")</f>
        <v>Carmina Bacol</v>
      </c>
      <c r="L4281" s="164" t="str">
        <f ca="1">IFERROR(__xludf.DUMMYFUNCTION("""COMPUTED_VALUE"""),"LTI-C (PSSPLIT)")</f>
        <v>LTI-C (PSSPLIT)</v>
      </c>
      <c r="M4281" s="164" t="str">
        <f ca="1">IFERROR(__xludf.DUMMYFUNCTION("""COMPUTED_VALUE"""),"SERVICEABLE")</f>
        <v>SERVICEABLE</v>
      </c>
      <c r="N4281" s="164"/>
    </row>
    <row r="4282" spans="1:14" ht="13.2" hidden="1">
      <c r="A4282" s="164" t="str">
        <f ca="1">IFERROR(__xludf.DUMMYFUNCTION("""COMPUTED_VALUE"""),"CARAGA")</f>
        <v>CARAGA</v>
      </c>
      <c r="B4282" s="164" t="str">
        <f ca="1">IFERROR(__xludf.DUMMYFUNCTION("""COMPUTED_VALUE"""),"Agusan del Norte")</f>
        <v>Agusan del Norte</v>
      </c>
      <c r="C4282" s="164" t="str">
        <f ca="1">IFERROR(__xludf.DUMMYFUNCTION("""COMPUTED_VALUE"""),"Desktop Computer – (Lenovo M70T)")</f>
        <v>Desktop Computer – (Lenovo M70T)</v>
      </c>
      <c r="D4282" s="164" t="str">
        <f ca="1">IFERROR(__xludf.DUMMYFUNCTION("""COMPUTED_VALUE"""),"₱ 75,468.00")</f>
        <v>₱ 75,468.00</v>
      </c>
      <c r="E4282" s="164" t="str">
        <f ca="1">IFERROR(__xludf.DUMMYFUNCTION("""COMPUTED_VALUE"""),"₱ -")</f>
        <v>₱ -</v>
      </c>
      <c r="F4282" s="164" t="str">
        <f ca="1">IFERROR(__xludf.DUMMYFUNCTION("""COMPUTED_VALUE"""),"2023-05-03-10201SPI744-01")</f>
        <v>2023-05-03-10201SPI744-01</v>
      </c>
      <c r="G4282" s="164"/>
      <c r="H4282" s="164" t="str">
        <f ca="1">IFERROR(__xludf.DUMMYFUNCTION("""COMPUTED_VALUE"""),"Sherryl Vim l. Austral")</f>
        <v>Sherryl Vim l. Austral</v>
      </c>
      <c r="I4282" s="164" t="str">
        <f ca="1">IFERROR(__xludf.DUMMYFUNCTION("""COMPUTED_VALUE"""),"ARPT")</f>
        <v>ARPT</v>
      </c>
      <c r="J4282" s="164" t="str">
        <f ca="1">IFERROR(__xludf.DUMMYFUNCTION("""COMPUTED_VALUE"""),"PAR: 2025-07-0012")</f>
        <v>PAR: 2025-07-0012</v>
      </c>
      <c r="K4282" s="164" t="str">
        <f ca="1">IFERROR(__xludf.DUMMYFUNCTION("""COMPUTED_VALUE"""),"Cindy Rose J. Silagan")</f>
        <v>Cindy Rose J. Silagan</v>
      </c>
      <c r="L4282" s="164" t="str">
        <f ca="1">IFERROR(__xludf.DUMMYFUNCTION("""COMPUTED_VALUE"""),"LTI-C (PSSPLIT)")</f>
        <v>LTI-C (PSSPLIT)</v>
      </c>
      <c r="M4282" s="164" t="str">
        <f ca="1">IFERROR(__xludf.DUMMYFUNCTION("""COMPUTED_VALUE"""),"SERVICEABLE")</f>
        <v>SERVICEABLE</v>
      </c>
      <c r="N4282" s="164"/>
    </row>
    <row r="4283" spans="1:14" ht="13.2" hidden="1">
      <c r="A4283" s="164" t="str">
        <f ca="1">IFERROR(__xludf.DUMMYFUNCTION("""COMPUTED_VALUE"""),"CARAGA")</f>
        <v>CARAGA</v>
      </c>
      <c r="B4283" s="164" t="str">
        <f ca="1">IFERROR(__xludf.DUMMYFUNCTION("""COMPUTED_VALUE"""),"Agusan del Norte")</f>
        <v>Agusan del Norte</v>
      </c>
      <c r="C4283" s="164" t="str">
        <f ca="1">IFERROR(__xludf.DUMMYFUNCTION("""COMPUTED_VALUE"""),"Desktop Computer – (Lenovo M70T)")</f>
        <v>Desktop Computer – (Lenovo M70T)</v>
      </c>
      <c r="D4283" s="164" t="str">
        <f ca="1">IFERROR(__xludf.DUMMYFUNCTION("""COMPUTED_VALUE"""),"₱ 75,468.00")</f>
        <v>₱ 75,468.00</v>
      </c>
      <c r="E4283" s="164" t="str">
        <f ca="1">IFERROR(__xludf.DUMMYFUNCTION("""COMPUTED_VALUE"""),"₱ -")</f>
        <v>₱ -</v>
      </c>
      <c r="F4283" s="164" t="str">
        <f ca="1">IFERROR(__xludf.DUMMYFUNCTION("""COMPUTED_VALUE"""),"2023-05-03-10201SPI745-01")</f>
        <v>2023-05-03-10201SPI745-01</v>
      </c>
      <c r="G4283" s="164"/>
      <c r="H4283" s="164" t="str">
        <f ca="1">IFERROR(__xludf.DUMMYFUNCTION("""COMPUTED_VALUE"""),"Zilah May B. Nortega")</f>
        <v>Zilah May B. Nortega</v>
      </c>
      <c r="I4283" s="164" t="str">
        <f ca="1">IFERROR(__xludf.DUMMYFUNCTION("""COMPUTED_VALUE"""),"MARPO")</f>
        <v>MARPO</v>
      </c>
      <c r="J4283" s="164" t="str">
        <f ca="1">IFERROR(__xludf.DUMMYFUNCTION("""COMPUTED_VALUE"""),"PAR: 2025-07-0022")</f>
        <v>PAR: 2025-07-0022</v>
      </c>
      <c r="K4283" s="164" t="str">
        <f ca="1">IFERROR(__xludf.DUMMYFUNCTION("""COMPUTED_VALUE"""),"CPU: Leonard Quitorio
 Monitor: Rosalyn Lagura
 UPS: Rosalyn Lagura
 Printer: Leonard Quitori")</f>
        <v>CPU: Leonard Quitorio
 Monitor: Rosalyn Lagura
 UPS: Rosalyn Lagura
 Printer: Leonard Quitori</v>
      </c>
      <c r="L4283" s="164" t="str">
        <f ca="1">IFERROR(__xludf.DUMMYFUNCTION("""COMPUTED_VALUE"""),"LTI-C (PSSPLIT)")</f>
        <v>LTI-C (PSSPLIT)</v>
      </c>
      <c r="M4283" s="164" t="str">
        <f ca="1">IFERROR(__xludf.DUMMYFUNCTION("""COMPUTED_VALUE"""),"SERVICEABLE")</f>
        <v>SERVICEABLE</v>
      </c>
      <c r="N4283" s="164"/>
    </row>
    <row r="4284" spans="1:14" ht="13.2" hidden="1">
      <c r="A4284" s="164" t="str">
        <f ca="1">IFERROR(__xludf.DUMMYFUNCTION("""COMPUTED_VALUE"""),"CARAGA")</f>
        <v>CARAGA</v>
      </c>
      <c r="B4284" s="164" t="str">
        <f ca="1">IFERROR(__xludf.DUMMYFUNCTION("""COMPUTED_VALUE"""),"Agusan del Norte")</f>
        <v>Agusan del Norte</v>
      </c>
      <c r="C4284" s="164" t="str">
        <f ca="1">IFERROR(__xludf.DUMMYFUNCTION("""COMPUTED_VALUE"""),"Desktop Computer – (Lenovo M70T)")</f>
        <v>Desktop Computer – (Lenovo M70T)</v>
      </c>
      <c r="D4284" s="164" t="str">
        <f ca="1">IFERROR(__xludf.DUMMYFUNCTION("""COMPUTED_VALUE"""),"₱ 75,468.00")</f>
        <v>₱ 75,468.00</v>
      </c>
      <c r="E4284" s="164" t="str">
        <f ca="1">IFERROR(__xludf.DUMMYFUNCTION("""COMPUTED_VALUE"""),"₱ -")</f>
        <v>₱ -</v>
      </c>
      <c r="F4284" s="164" t="str">
        <f ca="1">IFERROR(__xludf.DUMMYFUNCTION("""COMPUTED_VALUE"""),"2023-05-03-10201SPI746-01")</f>
        <v>2023-05-03-10201SPI746-01</v>
      </c>
      <c r="G4284" s="164"/>
      <c r="H4284" s="164" t="str">
        <f ca="1">IFERROR(__xludf.DUMMYFUNCTION("""COMPUTED_VALUE"""),"Daryl Mae Ruego")</f>
        <v>Daryl Mae Ruego</v>
      </c>
      <c r="I4284" s="164" t="str">
        <f ca="1">IFERROR(__xludf.DUMMYFUNCTION("""COMPUTED_VALUE"""),"AO IV")</f>
        <v>AO IV</v>
      </c>
      <c r="J4284" s="164" t="str">
        <f ca="1">IFERROR(__xludf.DUMMYFUNCTION("""COMPUTED_VALUE"""),"PAR: 2025-07-0026")</f>
        <v>PAR: 2025-07-0026</v>
      </c>
      <c r="K4284" s="164" t="str">
        <f ca="1">IFERROR(__xludf.DUMMYFUNCTION("""COMPUTED_VALUE"""),"CPU: Vanessa Sordilla
 Monitor: Vanessa Sordilla
 UPS: Vanessa Sordilla
 Printer: Rosalyn Lagura")</f>
        <v>CPU: Vanessa Sordilla
 Monitor: Vanessa Sordilla
 UPS: Vanessa Sordilla
 Printer: Rosalyn Lagura</v>
      </c>
      <c r="L4284" s="164" t="str">
        <f ca="1">IFERROR(__xludf.DUMMYFUNCTION("""COMPUTED_VALUE"""),"LTI-C (PSSPLIT)")</f>
        <v>LTI-C (PSSPLIT)</v>
      </c>
      <c r="M4284" s="164" t="str">
        <f ca="1">IFERROR(__xludf.DUMMYFUNCTION("""COMPUTED_VALUE"""),"SERVICEABLE")</f>
        <v>SERVICEABLE</v>
      </c>
      <c r="N4284" s="164"/>
    </row>
    <row r="4285" spans="1:14" ht="13.2" hidden="1">
      <c r="A4285" s="164" t="str">
        <f ca="1">IFERROR(__xludf.DUMMYFUNCTION("""COMPUTED_VALUE"""),"CARAGA")</f>
        <v>CARAGA</v>
      </c>
      <c r="B4285" s="164" t="str">
        <f ca="1">IFERROR(__xludf.DUMMYFUNCTION("""COMPUTED_VALUE"""),"Agusan del Norte")</f>
        <v>Agusan del Norte</v>
      </c>
      <c r="C4285" s="164" t="str">
        <f ca="1">IFERROR(__xludf.DUMMYFUNCTION("""COMPUTED_VALUE"""),"Desktop Computer – (Lenovo M70T)")</f>
        <v>Desktop Computer – (Lenovo M70T)</v>
      </c>
      <c r="D4285" s="164" t="str">
        <f ca="1">IFERROR(__xludf.DUMMYFUNCTION("""COMPUTED_VALUE"""),"₱ 75,468.00")</f>
        <v>₱ 75,468.00</v>
      </c>
      <c r="E4285" s="164" t="str">
        <f ca="1">IFERROR(__xludf.DUMMYFUNCTION("""COMPUTED_VALUE"""),"₱ -")</f>
        <v>₱ -</v>
      </c>
      <c r="F4285" s="164" t="str">
        <f ca="1">IFERROR(__xludf.DUMMYFUNCTION("""COMPUTED_VALUE"""),"2023-05-03-10201SPI747-01")</f>
        <v>2023-05-03-10201SPI747-01</v>
      </c>
      <c r="G4285" s="164"/>
      <c r="H4285" s="164" t="str">
        <f ca="1">IFERROR(__xludf.DUMMYFUNCTION("""COMPUTED_VALUE"""),"Mauriel T. Fesalboni")</f>
        <v>Mauriel T. Fesalboni</v>
      </c>
      <c r="I4285" s="164" t="str">
        <f ca="1">IFERROR(__xludf.DUMMYFUNCTION("""COMPUTED_VALUE"""),"Accountant II")</f>
        <v>Accountant II</v>
      </c>
      <c r="J4285" s="164" t="str">
        <f ca="1">IFERROR(__xludf.DUMMYFUNCTION("""COMPUTED_VALUE"""),"PAR: 2025-07-0023")</f>
        <v>PAR: 2025-07-0023</v>
      </c>
      <c r="K4285" s="164" t="str">
        <f ca="1">IFERROR(__xludf.DUMMYFUNCTION("""COMPUTED_VALUE"""),"Rosalyn Lagura")</f>
        <v>Rosalyn Lagura</v>
      </c>
      <c r="L4285" s="164" t="str">
        <f ca="1">IFERROR(__xludf.DUMMYFUNCTION("""COMPUTED_VALUE"""),"LTI-C (PSSPLIT)")</f>
        <v>LTI-C (PSSPLIT)</v>
      </c>
      <c r="M4285" s="164" t="str">
        <f ca="1">IFERROR(__xludf.DUMMYFUNCTION("""COMPUTED_VALUE"""),"SERVICEABLE")</f>
        <v>SERVICEABLE</v>
      </c>
      <c r="N4285" s="164"/>
    </row>
    <row r="4286" spans="1:14" ht="13.2" hidden="1">
      <c r="A4286" s="164" t="str">
        <f ca="1">IFERROR(__xludf.DUMMYFUNCTION("""COMPUTED_VALUE"""),"CARAGA")</f>
        <v>CARAGA</v>
      </c>
      <c r="B4286" s="164" t="str">
        <f ca="1">IFERROR(__xludf.DUMMYFUNCTION("""COMPUTED_VALUE"""),"Agusan del Norte")</f>
        <v>Agusan del Norte</v>
      </c>
      <c r="C4286" s="164" t="str">
        <f ca="1">IFERROR(__xludf.DUMMYFUNCTION("""COMPUTED_VALUE"""),"Desktop Computer – (HP Pro SFF 280G9)")</f>
        <v>Desktop Computer – (HP Pro SFF 280G9)</v>
      </c>
      <c r="D4286" s="164" t="str">
        <f ca="1">IFERROR(__xludf.DUMMYFUNCTION("""COMPUTED_VALUE"""),"₱ 78,898.00")</f>
        <v>₱ 78,898.00</v>
      </c>
      <c r="E4286" s="164" t="str">
        <f ca="1">IFERROR(__xludf.DUMMYFUNCTION("""COMPUTED_VALUE"""),"₱ -")</f>
        <v>₱ -</v>
      </c>
      <c r="F4286" s="164" t="str">
        <f ca="1">IFERROR(__xludf.DUMMYFUNCTION("""COMPUTED_VALUE"""),"2023-05-03-10201SP148-01")</f>
        <v>2023-05-03-10201SP148-01</v>
      </c>
      <c r="G4286" s="164"/>
      <c r="H4286" s="164" t="str">
        <f ca="1">IFERROR(__xludf.DUMMYFUNCTION("""COMPUTED_VALUE"""),"Zenaida A. Paloma")</f>
        <v>Zenaida A. Paloma</v>
      </c>
      <c r="I4286" s="164" t="str">
        <f ca="1">IFERROR(__xludf.DUMMYFUNCTION("""COMPUTED_VALUE"""),"SARPO")</f>
        <v>SARPO</v>
      </c>
      <c r="J4286" s="164" t="str">
        <f ca="1">IFERROR(__xludf.DUMMYFUNCTION("""COMPUTED_VALUE"""),"PAR: 2025-07-0023")</f>
        <v>PAR: 2025-07-0023</v>
      </c>
      <c r="K4286" s="164" t="str">
        <f ca="1">IFERROR(__xludf.DUMMYFUNCTION("""COMPUTED_VALUE"""),"Zenaida A. Paloma")</f>
        <v>Zenaida A. Paloma</v>
      </c>
      <c r="L4286" s="164" t="str">
        <f ca="1">IFERROR(__xludf.DUMMYFUNCTION("""COMPUTED_VALUE"""),"Records Office")</f>
        <v>Records Office</v>
      </c>
      <c r="M4286" s="164" t="str">
        <f ca="1">IFERROR(__xludf.DUMMYFUNCTION("""COMPUTED_VALUE"""),"SERVICEABLE")</f>
        <v>SERVICEABLE</v>
      </c>
      <c r="N4286" s="164"/>
    </row>
    <row r="4287" spans="1:14" ht="13.2" hidden="1">
      <c r="A4287" s="164" t="str">
        <f ca="1">IFERROR(__xludf.DUMMYFUNCTION("""COMPUTED_VALUE"""),"CARAGA")</f>
        <v>CARAGA</v>
      </c>
      <c r="B4287" s="164" t="str">
        <f ca="1">IFERROR(__xludf.DUMMYFUNCTION("""COMPUTED_VALUE"""),"Agusan del Norte")</f>
        <v>Agusan del Norte</v>
      </c>
      <c r="C4287" s="164" t="str">
        <f ca="1">IFERROR(__xludf.DUMMYFUNCTION("""COMPUTED_VALUE"""),"Desktop Computer – (HP Pro SFF 280G9)")</f>
        <v>Desktop Computer – (HP Pro SFF 280G9)</v>
      </c>
      <c r="D4287" s="164" t="str">
        <f ca="1">IFERROR(__xludf.DUMMYFUNCTION("""COMPUTED_VALUE"""),"₱ 78,898.00")</f>
        <v>₱ 78,898.00</v>
      </c>
      <c r="E4287" s="164" t="str">
        <f ca="1">IFERROR(__xludf.DUMMYFUNCTION("""COMPUTED_VALUE"""),"₱ -")</f>
        <v>₱ -</v>
      </c>
      <c r="F4287" s="164" t="str">
        <f ca="1">IFERROR(__xludf.DUMMYFUNCTION("""COMPUTED_VALUE"""),"2023-05-03-10201SP149-01")</f>
        <v>2023-05-03-10201SP149-01</v>
      </c>
      <c r="G4287" s="164"/>
      <c r="H4287" s="164" t="str">
        <f ca="1">IFERROR(__xludf.DUMMYFUNCTION("""COMPUTED_VALUE"""),"DARYL MAE RUEGO")</f>
        <v>DARYL MAE RUEGO</v>
      </c>
      <c r="I4287" s="164" t="str">
        <f ca="1">IFERROR(__xludf.DUMMYFUNCTION("""COMPUTED_VALUE"""),"ARPT")</f>
        <v>ARPT</v>
      </c>
      <c r="J4287" s="164" t="str">
        <f ca="1">IFERROR(__xludf.DUMMYFUNCTION("""COMPUTED_VALUE"""),"PAR: 2025-07-0022")</f>
        <v>PAR: 2025-07-0022</v>
      </c>
      <c r="K4287" s="164" t="str">
        <f ca="1">IFERROR(__xludf.DUMMYFUNCTION("""COMPUTED_VALUE"""),"DARYL MAE RUEGO")</f>
        <v>DARYL MAE RUEGO</v>
      </c>
      <c r="L4287" s="164" t="str">
        <f ca="1">IFERROR(__xludf.DUMMYFUNCTION("""COMPUTED_VALUE"""),"LTSP/SPLIT")</f>
        <v>LTSP/SPLIT</v>
      </c>
      <c r="M4287" s="164" t="str">
        <f ca="1">IFERROR(__xludf.DUMMYFUNCTION("""COMPUTED_VALUE"""),"SERVICEABLE")</f>
        <v>SERVICEABLE</v>
      </c>
      <c r="N4287" s="164"/>
    </row>
    <row r="4288" spans="1:14" ht="13.2" hidden="1">
      <c r="A4288" s="164" t="str">
        <f ca="1">IFERROR(__xludf.DUMMYFUNCTION("""COMPUTED_VALUE"""),"CARAGA")</f>
        <v>CARAGA</v>
      </c>
      <c r="B4288" s="164" t="str">
        <f ca="1">IFERROR(__xludf.DUMMYFUNCTION("""COMPUTED_VALUE"""),"Agusan del Norte")</f>
        <v>Agusan del Norte</v>
      </c>
      <c r="C4288" s="164" t="str">
        <f ca="1">IFERROR(__xludf.DUMMYFUNCTION("""COMPUTED_VALUE"""),"Desktop Computer – (HP Pro SFF 280G9)")</f>
        <v>Desktop Computer – (HP Pro SFF 280G9)</v>
      </c>
      <c r="D4288" s="164" t="str">
        <f ca="1">IFERROR(__xludf.DUMMYFUNCTION("""COMPUTED_VALUE"""),"₱ 78,898.00")</f>
        <v>₱ 78,898.00</v>
      </c>
      <c r="E4288" s="164" t="str">
        <f ca="1">IFERROR(__xludf.DUMMYFUNCTION("""COMPUTED_VALUE"""),"₱ -")</f>
        <v>₱ -</v>
      </c>
      <c r="F4288" s="164" t="str">
        <f ca="1">IFERROR(__xludf.DUMMYFUNCTION("""COMPUTED_VALUE"""),"2023-05-03-10201SP150-01")</f>
        <v>2023-05-03-10201SP150-01</v>
      </c>
      <c r="G4288" s="164"/>
      <c r="H4288" s="164" t="str">
        <f ca="1">IFERROR(__xludf.DUMMYFUNCTION("""COMPUTED_VALUE"""),"Maegan C. Tiu")</f>
        <v>Maegan C. Tiu</v>
      </c>
      <c r="I4288" s="164" t="str">
        <f ca="1">IFERROR(__xludf.DUMMYFUNCTION("""COMPUTED_VALUE"""),"Accountant II")</f>
        <v>Accountant II</v>
      </c>
      <c r="J4288" s="164" t="str">
        <f ca="1">IFERROR(__xludf.DUMMYFUNCTION("""COMPUTED_VALUE"""),"PAR: 2025-07-0019")</f>
        <v>PAR: 2025-07-0019</v>
      </c>
      <c r="K4288" s="164" t="str">
        <f ca="1">IFERROR(__xludf.DUMMYFUNCTION("""COMPUTED_VALUE"""),"NOEL LECIONES")</f>
        <v>NOEL LECIONES</v>
      </c>
      <c r="L4288" s="164" t="str">
        <f ca="1">IFERROR(__xludf.DUMMYFUNCTION("""COMPUTED_VALUE"""),"STOD-Accounting (PSSPLIT)")</f>
        <v>STOD-Accounting (PSSPLIT)</v>
      </c>
      <c r="M4288" s="164" t="str">
        <f ca="1">IFERROR(__xludf.DUMMYFUNCTION("""COMPUTED_VALUE"""),"SERVICEABLE")</f>
        <v>SERVICEABLE</v>
      </c>
      <c r="N4288" s="164"/>
    </row>
    <row r="4289" spans="1:14" ht="13.2" hidden="1">
      <c r="A4289" s="164" t="str">
        <f ca="1">IFERROR(__xludf.DUMMYFUNCTION("""COMPUTED_VALUE"""),"CARAGA")</f>
        <v>CARAGA</v>
      </c>
      <c r="B4289" s="164" t="str">
        <f ca="1">IFERROR(__xludf.DUMMYFUNCTION("""COMPUTED_VALUE"""),"Agusan del Norte")</f>
        <v>Agusan del Norte</v>
      </c>
      <c r="C4289" s="164" t="str">
        <f ca="1">IFERROR(__xludf.DUMMYFUNCTION("""COMPUTED_VALUE"""),"A3 PRINTER (BROTHER)")</f>
        <v>A3 PRINTER (BROTHER)</v>
      </c>
      <c r="D4289" s="164" t="str">
        <f ca="1">IFERROR(__xludf.DUMMYFUNCTION("""COMPUTED_VALUE"""),"₱ 33,508.00")</f>
        <v>₱ 33,508.00</v>
      </c>
      <c r="E4289" s="164" t="str">
        <f ca="1">IFERROR(__xludf.DUMMYFUNCTION("""COMPUTED_VALUE"""),"₱ -")</f>
        <v>₱ -</v>
      </c>
      <c r="F4289" s="164" t="str">
        <f ca="1">IFERROR(__xludf.DUMMYFUNCTION("""COMPUTED_VALUE"""),"HV-SPLIT-102-24-05-72
 HV-SPLIT-102-24-05-04-084")</f>
        <v>HV-SPLIT-102-24-05-72
 HV-SPLIT-102-24-05-04-084</v>
      </c>
      <c r="G4289" s="164" t="str">
        <f ca="1">IFERROR(__xludf.DUMMYFUNCTION("""COMPUTED_VALUE"""),"SN: E78947H3H284293")</f>
        <v>SN: E78947H3H284293</v>
      </c>
      <c r="H4289" s="164" t="str">
        <f ca="1">IFERROR(__xludf.DUMMYFUNCTION("""COMPUTED_VALUE"""),"Henry M. Lee")</f>
        <v>Henry M. Lee</v>
      </c>
      <c r="I4289" s="164" t="str">
        <f ca="1">IFERROR(__xludf.DUMMYFUNCTION("""COMPUTED_VALUE"""),"SARPO")</f>
        <v>SARPO</v>
      </c>
      <c r="J4289" s="164" t="str">
        <f ca="1">IFERROR(__xludf.DUMMYFUNCTION("""COMPUTED_VALUE"""),"1")</f>
        <v>1</v>
      </c>
      <c r="K4289" s="164" t="str">
        <f ca="1">IFERROR(__xludf.DUMMYFUNCTION("""COMPUTED_VALUE"""),"Henry M. Lee")</f>
        <v>Henry M. Lee</v>
      </c>
      <c r="L4289" s="164" t="str">
        <f ca="1">IFERROR(__xludf.DUMMYFUNCTION("""COMPUTED_VALUE"""),"PPMO - Agusan del Norte/LTID")</f>
        <v>PPMO - Agusan del Norte/LTID</v>
      </c>
      <c r="M4289" s="164" t="str">
        <f ca="1">IFERROR(__xludf.DUMMYFUNCTION("""COMPUTED_VALUE"""),"Serviceable")</f>
        <v>Serviceable</v>
      </c>
      <c r="N4289" s="164"/>
    </row>
    <row r="4290" spans="1:14" ht="13.2" hidden="1">
      <c r="A4290" s="164" t="str">
        <f ca="1">IFERROR(__xludf.DUMMYFUNCTION("""COMPUTED_VALUE"""),"CARAGA")</f>
        <v>CARAGA</v>
      </c>
      <c r="B4290" s="164" t="str">
        <f ca="1">IFERROR(__xludf.DUMMYFUNCTION("""COMPUTED_VALUE"""),"Agusan del Sur")</f>
        <v>Agusan del Sur</v>
      </c>
      <c r="C4290" s="164" t="str">
        <f ca="1">IFERROR(__xludf.DUMMYFUNCTION("""COMPUTED_VALUE"""),"Desktop Computer – (Lenovo M70T)")</f>
        <v>Desktop Computer – (Lenovo M70T)</v>
      </c>
      <c r="D4290" s="164" t="str">
        <f ca="1">IFERROR(__xludf.DUMMYFUNCTION("""COMPUTED_VALUE"""),"₱ 75,468.00")</f>
        <v>₱ 75,468.00</v>
      </c>
      <c r="E4290" s="164" t="str">
        <f ca="1">IFERROR(__xludf.DUMMYFUNCTION("""COMPUTED_VALUE"""),"₱ -")</f>
        <v>₱ -</v>
      </c>
      <c r="F4290" s="164" t="str">
        <f ca="1">IFERROR(__xludf.DUMMYFUNCTION("""COMPUTED_VALUE"""),"2023-05-03-10201SP1748-01")</f>
        <v>2023-05-03-10201SP1748-01</v>
      </c>
      <c r="G4290" s="164" t="str">
        <f ca="1">IFERROR(__xludf.DUMMYFUNCTION("""COMPUTED_VALUE"""),"SN: 1S11T5S16200GM0418HI")</f>
        <v>SN: 1S11T5S16200GM0418HI</v>
      </c>
      <c r="H4290" s="164" t="str">
        <f ca="1">IFERROR(__xludf.DUMMYFUNCTION("""COMPUTED_VALUE"""),"Hazel S. Desales")</f>
        <v>Hazel S. Desales</v>
      </c>
      <c r="I4290" s="164" t="str">
        <f ca="1">IFERROR(__xludf.DUMMYFUNCTION("""COMPUTED_VALUE"""),"MARPO/ Provincial Parcelization Coordinator")</f>
        <v>MARPO/ Provincial Parcelization Coordinator</v>
      </c>
      <c r="J4290" s="164" t="str">
        <f ca="1">IFERROR(__xludf.DUMMYFUNCTION("""COMPUTED_VALUE"""),"2023-05-29-SPLIT")</f>
        <v>2023-05-29-SPLIT</v>
      </c>
      <c r="K4290" s="164" t="str">
        <f ca="1">IFERROR(__xludf.DUMMYFUNCTION("""COMPUTED_VALUE"""),"AIZA LIBANDO")</f>
        <v>AIZA LIBANDO</v>
      </c>
      <c r="L4290" s="164" t="str">
        <f ca="1">IFERROR(__xludf.DUMMYFUNCTION("""COMPUTED_VALUE"""),"PPMO - Agusan del Sur/ SPLIT OFFICE")</f>
        <v>PPMO - Agusan del Sur/ SPLIT OFFICE</v>
      </c>
      <c r="M4290" s="164" t="str">
        <f ca="1">IFERROR(__xludf.DUMMYFUNCTION("""COMPUTED_VALUE"""),"Serviceable")</f>
        <v>Serviceable</v>
      </c>
      <c r="N4290" s="164"/>
    </row>
    <row r="4291" spans="1:14" ht="13.2" hidden="1">
      <c r="A4291" s="164" t="str">
        <f ca="1">IFERROR(__xludf.DUMMYFUNCTION("""COMPUTED_VALUE"""),"CARAGA")</f>
        <v>CARAGA</v>
      </c>
      <c r="B4291" s="164" t="str">
        <f ca="1">IFERROR(__xludf.DUMMYFUNCTION("""COMPUTED_VALUE"""),"Agusan del Sur")</f>
        <v>Agusan del Sur</v>
      </c>
      <c r="C4291" s="164" t="str">
        <f ca="1">IFERROR(__xludf.DUMMYFUNCTION("""COMPUTED_VALUE"""),"Desktop Computer – (Lenovo M70T)")</f>
        <v>Desktop Computer – (Lenovo M70T)</v>
      </c>
      <c r="D4291" s="164" t="str">
        <f ca="1">IFERROR(__xludf.DUMMYFUNCTION("""COMPUTED_VALUE"""),"₱ 75,468.00")</f>
        <v>₱ 75,468.00</v>
      </c>
      <c r="E4291" s="164" t="str">
        <f ca="1">IFERROR(__xludf.DUMMYFUNCTION("""COMPUTED_VALUE"""),"₱ -")</f>
        <v>₱ -</v>
      </c>
      <c r="F4291" s="164" t="str">
        <f ca="1">IFERROR(__xludf.DUMMYFUNCTION("""COMPUTED_VALUE"""),"2023-05-03-10201SP1749-01")</f>
        <v>2023-05-03-10201SP1749-01</v>
      </c>
      <c r="G4291" s="164" t="str">
        <f ca="1">IFERROR(__xludf.DUMMYFUNCTION("""COMPUTED_VALUE"""),"SN: 1S11T5S16200GM0418HF")</f>
        <v>SN: 1S11T5S16200GM0418HF</v>
      </c>
      <c r="H4291" s="164" t="str">
        <f ca="1">IFERROR(__xludf.DUMMYFUNCTION("""COMPUTED_VALUE"""),"Hazel S. Desales")</f>
        <v>Hazel S. Desales</v>
      </c>
      <c r="I4291" s="164" t="str">
        <f ca="1">IFERROR(__xludf.DUMMYFUNCTION("""COMPUTED_VALUE"""),"MARPO/ Provincial Parcelization Coordinator")</f>
        <v>MARPO/ Provincial Parcelization Coordinator</v>
      </c>
      <c r="J4291" s="164" t="str">
        <f ca="1">IFERROR(__xludf.DUMMYFUNCTION("""COMPUTED_VALUE"""),"2023-05-30-SPLIT")</f>
        <v>2023-05-30-SPLIT</v>
      </c>
      <c r="K4291" s="164" t="str">
        <f ca="1">IFERROR(__xludf.DUMMYFUNCTION("""COMPUTED_VALUE"""),"DANIEL PALER")</f>
        <v>DANIEL PALER</v>
      </c>
      <c r="L4291" s="164" t="str">
        <f ca="1">IFERROR(__xludf.DUMMYFUNCTION("""COMPUTED_VALUE"""),"PPMO - Agusan del Sur/ SPLIT OFFICE")</f>
        <v>PPMO - Agusan del Sur/ SPLIT OFFICE</v>
      </c>
      <c r="M4291" s="164" t="str">
        <f ca="1">IFERROR(__xludf.DUMMYFUNCTION("""COMPUTED_VALUE"""),"Serviceable")</f>
        <v>Serviceable</v>
      </c>
      <c r="N4291" s="164"/>
    </row>
    <row r="4292" spans="1:14" ht="13.2" hidden="1">
      <c r="A4292" s="164" t="str">
        <f ca="1">IFERROR(__xludf.DUMMYFUNCTION("""COMPUTED_VALUE"""),"CARAGA")</f>
        <v>CARAGA</v>
      </c>
      <c r="B4292" s="164" t="str">
        <f ca="1">IFERROR(__xludf.DUMMYFUNCTION("""COMPUTED_VALUE"""),"Agusan del Sur")</f>
        <v>Agusan del Sur</v>
      </c>
      <c r="C4292" s="164" t="str">
        <f ca="1">IFERROR(__xludf.DUMMYFUNCTION("""COMPUTED_VALUE"""),"Desktop Computer – (Lenovo M70T)")</f>
        <v>Desktop Computer – (Lenovo M70T)</v>
      </c>
      <c r="D4292" s="164" t="str">
        <f ca="1">IFERROR(__xludf.DUMMYFUNCTION("""COMPUTED_VALUE"""),"₱ 75,468.00")</f>
        <v>₱ 75,468.00</v>
      </c>
      <c r="E4292" s="164" t="str">
        <f ca="1">IFERROR(__xludf.DUMMYFUNCTION("""COMPUTED_VALUE"""),"₱ -")</f>
        <v>₱ -</v>
      </c>
      <c r="F4292" s="164" t="str">
        <f ca="1">IFERROR(__xludf.DUMMYFUNCTION("""COMPUTED_VALUE"""),"2023-05-03-10201SP1750-01")</f>
        <v>2023-05-03-10201SP1750-01</v>
      </c>
      <c r="G4292" s="164" t="str">
        <f ca="1">IFERROR(__xludf.DUMMYFUNCTION("""COMPUTED_VALUE"""),"SN: 
 1S11T5S16200GM0418HJ")</f>
        <v>SN: 
 1S11T5S16200GM0418HJ</v>
      </c>
      <c r="H4292" s="164" t="str">
        <f ca="1">IFERROR(__xludf.DUMMYFUNCTION("""COMPUTED_VALUE"""),"Ruth A. Galvez")</f>
        <v>Ruth A. Galvez</v>
      </c>
      <c r="I4292" s="164" t="str">
        <f ca="1">IFERROR(__xludf.DUMMYFUNCTION("""COMPUTED_VALUE"""),"CARPO / LTID")</f>
        <v>CARPO / LTID</v>
      </c>
      <c r="J4292" s="164" t="str">
        <f ca="1">IFERROR(__xludf.DUMMYFUNCTION("""COMPUTED_VALUE"""),"2023-05-31-SPLIT")</f>
        <v>2023-05-31-SPLIT</v>
      </c>
      <c r="K4292" s="164" t="str">
        <f ca="1">IFERROR(__xludf.DUMMYFUNCTION("""COMPUTED_VALUE"""),"Shem Apura")</f>
        <v>Shem Apura</v>
      </c>
      <c r="L4292" s="164" t="str">
        <f ca="1">IFERROR(__xludf.DUMMYFUNCTION("""COMPUTED_VALUE"""),"PPMO - Agusan del Sur/ LTID")</f>
        <v>PPMO - Agusan del Sur/ LTID</v>
      </c>
      <c r="M4292" s="164" t="str">
        <f ca="1">IFERROR(__xludf.DUMMYFUNCTION("""COMPUTED_VALUE"""),"Serviceable")</f>
        <v>Serviceable</v>
      </c>
      <c r="N4292" s="164"/>
    </row>
    <row r="4293" spans="1:14" ht="13.2" hidden="1">
      <c r="A4293" s="164" t="str">
        <f ca="1">IFERROR(__xludf.DUMMYFUNCTION("""COMPUTED_VALUE"""),"CARAGA")</f>
        <v>CARAGA</v>
      </c>
      <c r="B4293" s="164" t="str">
        <f ca="1">IFERROR(__xludf.DUMMYFUNCTION("""COMPUTED_VALUE"""),"Agusan del Sur")</f>
        <v>Agusan del Sur</v>
      </c>
      <c r="C4293" s="164" t="str">
        <f ca="1">IFERROR(__xludf.DUMMYFUNCTION("""COMPUTED_VALUE"""),"Desktop Computer – (Lenovo M70T)")</f>
        <v>Desktop Computer – (Lenovo M70T)</v>
      </c>
      <c r="D4293" s="164" t="str">
        <f ca="1">IFERROR(__xludf.DUMMYFUNCTION("""COMPUTED_VALUE"""),"₱ 75,468.00")</f>
        <v>₱ 75,468.00</v>
      </c>
      <c r="E4293" s="164" t="str">
        <f ca="1">IFERROR(__xludf.DUMMYFUNCTION("""COMPUTED_VALUE"""),"₱ -")</f>
        <v>₱ -</v>
      </c>
      <c r="F4293" s="164" t="str">
        <f ca="1">IFERROR(__xludf.DUMMYFUNCTION("""COMPUTED_VALUE"""),"2023-05-03-10201SP1751-01")</f>
        <v>2023-05-03-10201SP1751-01</v>
      </c>
      <c r="G4293" s="164" t="str">
        <f ca="1">IFERROR(__xludf.DUMMYFUNCTION("""COMPUTED_VALUE"""),"SN: 1S11T5S16200GM0418HK")</f>
        <v>SN: 1S11T5S16200GM0418HK</v>
      </c>
      <c r="H4293" s="164" t="str">
        <f ca="1">IFERROR(__xludf.DUMMYFUNCTION("""COMPUTED_VALUE"""),"Jay Ann Lou Advincula")</f>
        <v>Jay Ann Lou Advincula</v>
      </c>
      <c r="I4293" s="164" t="str">
        <f ca="1">IFERROR(__xludf.DUMMYFUNCTION("""COMPUTED_VALUE"""),"Accountant/ Project Accountant")</f>
        <v>Accountant/ Project Accountant</v>
      </c>
      <c r="J4293" s="164" t="str">
        <f ca="1">IFERROR(__xludf.DUMMYFUNCTION("""COMPUTED_VALUE"""),"2023-05-32-SPLIT")</f>
        <v>2023-05-32-SPLIT</v>
      </c>
      <c r="K4293" s="164" t="str">
        <f ca="1">IFERROR(__xludf.DUMMYFUNCTION("""COMPUTED_VALUE"""),"Jay Ann Lou Advincula")</f>
        <v>Jay Ann Lou Advincula</v>
      </c>
      <c r="L4293" s="164" t="str">
        <f ca="1">IFERROR(__xludf.DUMMYFUNCTION("""COMPUTED_VALUE"""),"PPMO - Agusan del Sur/ Accounting Office")</f>
        <v>PPMO - Agusan del Sur/ Accounting Office</v>
      </c>
      <c r="M4293" s="164" t="str">
        <f ca="1">IFERROR(__xludf.DUMMYFUNCTION("""COMPUTED_VALUE"""),"Serviceable")</f>
        <v>Serviceable</v>
      </c>
      <c r="N4293" s="164"/>
    </row>
    <row r="4294" spans="1:14" ht="13.2" hidden="1">
      <c r="A4294" s="164" t="str">
        <f ca="1">IFERROR(__xludf.DUMMYFUNCTION("""COMPUTED_VALUE"""),"CARAGA")</f>
        <v>CARAGA</v>
      </c>
      <c r="B4294" s="164" t="str">
        <f ca="1">IFERROR(__xludf.DUMMYFUNCTION("""COMPUTED_VALUE"""),"Agusan del Sur")</f>
        <v>Agusan del Sur</v>
      </c>
      <c r="C4294" s="164" t="str">
        <f ca="1">IFERROR(__xludf.DUMMYFUNCTION("""COMPUTED_VALUE"""),"Desktop Computer – (Lenovo M70T)")</f>
        <v>Desktop Computer – (Lenovo M70T)</v>
      </c>
      <c r="D4294" s="164" t="str">
        <f ca="1">IFERROR(__xludf.DUMMYFUNCTION("""COMPUTED_VALUE"""),"₱ 75,468.00")</f>
        <v>₱ 75,468.00</v>
      </c>
      <c r="E4294" s="164" t="str">
        <f ca="1">IFERROR(__xludf.DUMMYFUNCTION("""COMPUTED_VALUE"""),"₱ -")</f>
        <v>₱ -</v>
      </c>
      <c r="F4294" s="164" t="str">
        <f ca="1">IFERROR(__xludf.DUMMYFUNCTION("""COMPUTED_VALUE"""),"2023-05-03-10201SP1752-01")</f>
        <v>2023-05-03-10201SP1752-01</v>
      </c>
      <c r="G4294" s="164" t="str">
        <f ca="1">IFERROR(__xludf.DUMMYFUNCTION("""COMPUTED_VALUE"""),"SN: 1S11T5S16200GM0418HX")</f>
        <v>SN: 1S11T5S16200GM0418HX</v>
      </c>
      <c r="H4294" s="164" t="str">
        <f ca="1">IFERROR(__xludf.DUMMYFUNCTION("""COMPUTED_VALUE"""),"Jefree Romero")</f>
        <v>Jefree Romero</v>
      </c>
      <c r="I4294" s="164" t="str">
        <f ca="1">IFERROR(__xludf.DUMMYFUNCTION("""COMPUTED_VALUE"""),"ARPT/ IT CHIEF")</f>
        <v>ARPT/ IT CHIEF</v>
      </c>
      <c r="J4294" s="164"/>
      <c r="K4294" s="164" t="str">
        <f ca="1">IFERROR(__xludf.DUMMYFUNCTION("""COMPUTED_VALUE"""),"Jefree Romero")</f>
        <v>Jefree Romero</v>
      </c>
      <c r="L4294" s="164" t="str">
        <f ca="1">IFERROR(__xludf.DUMMYFUNCTION("""COMPUTED_VALUE"""),"PPMO - Agusan del Sur/ IT Room")</f>
        <v>PPMO - Agusan del Sur/ IT Room</v>
      </c>
      <c r="M4294" s="164" t="str">
        <f ca="1">IFERROR(__xludf.DUMMYFUNCTION("""COMPUTED_VALUE"""),"Serviceable")</f>
        <v>Serviceable</v>
      </c>
      <c r="N4294" s="164"/>
    </row>
    <row r="4295" spans="1:14" ht="13.2" hidden="1">
      <c r="A4295" s="164" t="str">
        <f ca="1">IFERROR(__xludf.DUMMYFUNCTION("""COMPUTED_VALUE"""),"CARAGA")</f>
        <v>CARAGA</v>
      </c>
      <c r="B4295" s="164" t="str">
        <f ca="1">IFERROR(__xludf.DUMMYFUNCTION("""COMPUTED_VALUE"""),"Agusan del Sur")</f>
        <v>Agusan del Sur</v>
      </c>
      <c r="C4295" s="164" t="str">
        <f ca="1">IFERROR(__xludf.DUMMYFUNCTION("""COMPUTED_VALUE"""),"Desktop Computer – (Lenovo M70T)")</f>
        <v>Desktop Computer – (Lenovo M70T)</v>
      </c>
      <c r="D4295" s="164" t="str">
        <f ca="1">IFERROR(__xludf.DUMMYFUNCTION("""COMPUTED_VALUE"""),"₱ 75,468.00")</f>
        <v>₱ 75,468.00</v>
      </c>
      <c r="E4295" s="164" t="str">
        <f ca="1">IFERROR(__xludf.DUMMYFUNCTION("""COMPUTED_VALUE"""),"₱ -")</f>
        <v>₱ -</v>
      </c>
      <c r="F4295" s="164" t="str">
        <f ca="1">IFERROR(__xludf.DUMMYFUNCTION("""COMPUTED_VALUE"""),"2023-05-03-10201SP1753-01")</f>
        <v>2023-05-03-10201SP1753-01</v>
      </c>
      <c r="G4295" s="164" t="str">
        <f ca="1">IFERROR(__xludf.DUMMYFUNCTION("""COMPUTED_VALUE"""),"SN: 1S11T5S16200GM0418I2")</f>
        <v>SN: 1S11T5S16200GM0418I2</v>
      </c>
      <c r="H4295" s="164" t="str">
        <f ca="1">IFERROR(__xludf.DUMMYFUNCTION("""COMPUTED_VALUE"""),"Gretchen Ranoco")</f>
        <v>Gretchen Ranoco</v>
      </c>
      <c r="I4295" s="164" t="str">
        <f ca="1">IFERROR(__xludf.DUMMYFUNCTION("""COMPUTED_VALUE"""),"ARPT")</f>
        <v>ARPT</v>
      </c>
      <c r="J4295" s="164" t="str">
        <f ca="1">IFERROR(__xludf.DUMMYFUNCTION("""COMPUTED_VALUE"""),"2023-05-34-SPLIT")</f>
        <v>2023-05-34-SPLIT</v>
      </c>
      <c r="K4295" s="164" t="str">
        <f ca="1">IFERROR(__xludf.DUMMYFUNCTION("""COMPUTED_VALUE"""),"Gretchen Ranoco")</f>
        <v>Gretchen Ranoco</v>
      </c>
      <c r="L4295" s="164" t="str">
        <f ca="1">IFERROR(__xludf.DUMMYFUNCTION("""COMPUTED_VALUE"""),"PPMO - Agusan del Sur/ STOD-GS")</f>
        <v>PPMO - Agusan del Sur/ STOD-GS</v>
      </c>
      <c r="M4295" s="164" t="str">
        <f ca="1">IFERROR(__xludf.DUMMYFUNCTION("""COMPUTED_VALUE"""),"Serviceable")</f>
        <v>Serviceable</v>
      </c>
      <c r="N4295" s="164"/>
    </row>
    <row r="4296" spans="1:14" ht="13.2" hidden="1">
      <c r="A4296" s="164" t="str">
        <f ca="1">IFERROR(__xludf.DUMMYFUNCTION("""COMPUTED_VALUE"""),"CARAGA")</f>
        <v>CARAGA</v>
      </c>
      <c r="B4296" s="164" t="str">
        <f ca="1">IFERROR(__xludf.DUMMYFUNCTION("""COMPUTED_VALUE"""),"Agusan del Sur")</f>
        <v>Agusan del Sur</v>
      </c>
      <c r="C4296" s="164" t="str">
        <f ca="1">IFERROR(__xludf.DUMMYFUNCTION("""COMPUTED_VALUE"""),"Desktop Computer – (Lenovo M70T)")</f>
        <v>Desktop Computer – (Lenovo M70T)</v>
      </c>
      <c r="D4296" s="164" t="str">
        <f ca="1">IFERROR(__xludf.DUMMYFUNCTION("""COMPUTED_VALUE"""),"₱ 75,468.00")</f>
        <v>₱ 75,468.00</v>
      </c>
      <c r="E4296" s="164" t="str">
        <f ca="1">IFERROR(__xludf.DUMMYFUNCTION("""COMPUTED_VALUE"""),"₱ -")</f>
        <v>₱ -</v>
      </c>
      <c r="F4296" s="164" t="str">
        <f ca="1">IFERROR(__xludf.DUMMYFUNCTION("""COMPUTED_VALUE"""),"2023-05-03-10201SP1754-01")</f>
        <v>2023-05-03-10201SP1754-01</v>
      </c>
      <c r="G4296" s="164" t="str">
        <f ca="1">IFERROR(__xludf.DUMMYFUNCTION("""COMPUTED_VALUE"""),"SN: 1S11T5S16200GM0418I3")</f>
        <v>SN: 1S11T5S16200GM0418I3</v>
      </c>
      <c r="H4296" s="164" t="str">
        <f ca="1">IFERROR(__xludf.DUMMYFUNCTION("""COMPUTED_VALUE"""),"Lorei Mae Delos Santos")</f>
        <v>Lorei Mae Delos Santos</v>
      </c>
      <c r="I4296" s="164" t="str">
        <f ca="1">IFERROR(__xludf.DUMMYFUNCTION("""COMPUTED_VALUE"""),"AO IV / Personnel Officer")</f>
        <v>AO IV / Personnel Officer</v>
      </c>
      <c r="J4296" s="164" t="str">
        <f ca="1">IFERROR(__xludf.DUMMYFUNCTION("""COMPUTED_VALUE"""),"2023-05-35-SPLIT")</f>
        <v>2023-05-35-SPLIT</v>
      </c>
      <c r="K4296" s="164" t="str">
        <f ca="1">IFERROR(__xludf.DUMMYFUNCTION("""COMPUTED_VALUE"""),"Lorei Mae Delos Santos")</f>
        <v>Lorei Mae Delos Santos</v>
      </c>
      <c r="L4296" s="164" t="str">
        <f ca="1">IFERROR(__xludf.DUMMYFUNCTION("""COMPUTED_VALUE"""),"PPMO - Agusan del Sur/ Personnel Office")</f>
        <v>PPMO - Agusan del Sur/ Personnel Office</v>
      </c>
      <c r="M4296" s="164" t="str">
        <f ca="1">IFERROR(__xludf.DUMMYFUNCTION("""COMPUTED_VALUE"""),"Serviceable")</f>
        <v>Serviceable</v>
      </c>
      <c r="N4296" s="164"/>
    </row>
    <row r="4297" spans="1:14" ht="13.2" hidden="1">
      <c r="A4297" s="164" t="str">
        <f ca="1">IFERROR(__xludf.DUMMYFUNCTION("""COMPUTED_VALUE"""),"CARAGA")</f>
        <v>CARAGA</v>
      </c>
      <c r="B4297" s="164" t="str">
        <f ca="1">IFERROR(__xludf.DUMMYFUNCTION("""COMPUTED_VALUE"""),"Agusan del Sur")</f>
        <v>Agusan del Sur</v>
      </c>
      <c r="C4297" s="164" t="str">
        <f ca="1">IFERROR(__xludf.DUMMYFUNCTION("""COMPUTED_VALUE"""),"Desktop Computer – (Lenovo M70T)")</f>
        <v>Desktop Computer – (Lenovo M70T)</v>
      </c>
      <c r="D4297" s="164" t="str">
        <f ca="1">IFERROR(__xludf.DUMMYFUNCTION("""COMPUTED_VALUE"""),"₱ 75,468.00")</f>
        <v>₱ 75,468.00</v>
      </c>
      <c r="E4297" s="164" t="str">
        <f ca="1">IFERROR(__xludf.DUMMYFUNCTION("""COMPUTED_VALUE"""),"₱ -")</f>
        <v>₱ -</v>
      </c>
      <c r="F4297" s="164" t="str">
        <f ca="1">IFERROR(__xludf.DUMMYFUNCTION("""COMPUTED_VALUE"""),"2023-05-03-10201SP1755-01")</f>
        <v>2023-05-03-10201SP1755-01</v>
      </c>
      <c r="G4297" s="164" t="str">
        <f ca="1">IFERROR(__xludf.DUMMYFUNCTION("""COMPUTED_VALUE"""),"SN: 1S11T5S16200GM0418I4")</f>
        <v>SN: 1S11T5S16200GM0418I4</v>
      </c>
      <c r="H4297" s="164" t="str">
        <f ca="1">IFERROR(__xludf.DUMMYFUNCTION("""COMPUTED_VALUE"""),"Dhel Yosna Yyain Panggo")</f>
        <v>Dhel Yosna Yyain Panggo</v>
      </c>
      <c r="I4297" s="164" t="str">
        <f ca="1">IFERROR(__xludf.DUMMYFUNCTION("""COMPUTED_VALUE"""),"AO III / Records Officer")</f>
        <v>AO III / Records Officer</v>
      </c>
      <c r="J4297" s="164" t="str">
        <f ca="1">IFERROR(__xludf.DUMMYFUNCTION("""COMPUTED_VALUE"""),"2023-05-36-SPLIT")</f>
        <v>2023-05-36-SPLIT</v>
      </c>
      <c r="K4297" s="164" t="str">
        <f ca="1">IFERROR(__xludf.DUMMYFUNCTION("""COMPUTED_VALUE"""),"Dhel Yosna Yyain Panggo")</f>
        <v>Dhel Yosna Yyain Panggo</v>
      </c>
      <c r="L4297" s="164" t="str">
        <f ca="1">IFERROR(__xludf.DUMMYFUNCTION("""COMPUTED_VALUE"""),"PPMO - Agusan del Sur/ Records Office")</f>
        <v>PPMO - Agusan del Sur/ Records Office</v>
      </c>
      <c r="M4297" s="164" t="str">
        <f ca="1">IFERROR(__xludf.DUMMYFUNCTION("""COMPUTED_VALUE"""),"Serviceable")</f>
        <v>Serviceable</v>
      </c>
      <c r="N4297" s="164"/>
    </row>
    <row r="4298" spans="1:14" ht="13.2" hidden="1">
      <c r="A4298" s="164" t="str">
        <f ca="1">IFERROR(__xludf.DUMMYFUNCTION("""COMPUTED_VALUE"""),"CARAGA")</f>
        <v>CARAGA</v>
      </c>
      <c r="B4298" s="164" t="str">
        <f ca="1">IFERROR(__xludf.DUMMYFUNCTION("""COMPUTED_VALUE"""),"Agusan del Sur")</f>
        <v>Agusan del Sur</v>
      </c>
      <c r="C4298" s="164" t="str">
        <f ca="1">IFERROR(__xludf.DUMMYFUNCTION("""COMPUTED_VALUE"""),"Desktop Computer – (Lenovo M70T)")</f>
        <v>Desktop Computer – (Lenovo M70T)</v>
      </c>
      <c r="D4298" s="164" t="str">
        <f ca="1">IFERROR(__xludf.DUMMYFUNCTION("""COMPUTED_VALUE"""),"₱ 75,468.00")</f>
        <v>₱ 75,468.00</v>
      </c>
      <c r="E4298" s="164" t="str">
        <f ca="1">IFERROR(__xludf.DUMMYFUNCTION("""COMPUTED_VALUE"""),"₱ -")</f>
        <v>₱ -</v>
      </c>
      <c r="F4298" s="164" t="str">
        <f ca="1">IFERROR(__xludf.DUMMYFUNCTION("""COMPUTED_VALUE"""),"2023-05-03-10201SP1756-01")</f>
        <v>2023-05-03-10201SP1756-01</v>
      </c>
      <c r="G4298" s="164" t="str">
        <f ca="1">IFERROR(__xludf.DUMMYFUNCTION("""COMPUTED_VALUE"""),"SN: 1S11T5S16200GM0418I5")</f>
        <v>SN: 1S11T5S16200GM0418I5</v>
      </c>
      <c r="H4298" s="164" t="str">
        <f ca="1">IFERROR(__xludf.DUMMYFUNCTION("""COMPUTED_VALUE"""),"Kenneth Salabao")</f>
        <v>Kenneth Salabao</v>
      </c>
      <c r="I4298" s="164" t="str">
        <f ca="1">IFERROR(__xludf.DUMMYFUNCTION("""COMPUTED_VALUE"""),"Budget Officer II")</f>
        <v>Budget Officer II</v>
      </c>
      <c r="J4298" s="164" t="str">
        <f ca="1">IFERROR(__xludf.DUMMYFUNCTION("""COMPUTED_VALUE"""),"2023-05-37-SPLIT")</f>
        <v>2023-05-37-SPLIT</v>
      </c>
      <c r="K4298" s="164" t="str">
        <f ca="1">IFERROR(__xludf.DUMMYFUNCTION("""COMPUTED_VALUE"""),"NGAS server")</f>
        <v>NGAS server</v>
      </c>
      <c r="L4298" s="164" t="str">
        <f ca="1">IFERROR(__xludf.DUMMYFUNCTION("""COMPUTED_VALUE"""),"PPMO - Agusan del Sur/ Budget Office")</f>
        <v>PPMO - Agusan del Sur/ Budget Office</v>
      </c>
      <c r="M4298" s="164" t="str">
        <f ca="1">IFERROR(__xludf.DUMMYFUNCTION("""COMPUTED_VALUE"""),"Serviceable")</f>
        <v>Serviceable</v>
      </c>
      <c r="N4298" s="164"/>
    </row>
    <row r="4299" spans="1:14" ht="13.2" hidden="1">
      <c r="A4299" s="164" t="str">
        <f ca="1">IFERROR(__xludf.DUMMYFUNCTION("""COMPUTED_VALUE"""),"CARAGA")</f>
        <v>CARAGA</v>
      </c>
      <c r="B4299" s="164" t="str">
        <f ca="1">IFERROR(__xludf.DUMMYFUNCTION("""COMPUTED_VALUE"""),"Agusan del Sur")</f>
        <v>Agusan del Sur</v>
      </c>
      <c r="C4299" s="164" t="str">
        <f ca="1">IFERROR(__xludf.DUMMYFUNCTION("""COMPUTED_VALUE"""),"Desktop Computer – (Lenovo M70T)")</f>
        <v>Desktop Computer – (Lenovo M70T)</v>
      </c>
      <c r="D4299" s="164" t="str">
        <f ca="1">IFERROR(__xludf.DUMMYFUNCTION("""COMPUTED_VALUE"""),"₱ 75,468.00")</f>
        <v>₱ 75,468.00</v>
      </c>
      <c r="E4299" s="164" t="str">
        <f ca="1">IFERROR(__xludf.DUMMYFUNCTION("""COMPUTED_VALUE"""),"₱ -")</f>
        <v>₱ -</v>
      </c>
      <c r="F4299" s="164" t="str">
        <f ca="1">IFERROR(__xludf.DUMMYFUNCTION("""COMPUTED_VALUE"""),"2023-05-03-10201SP1757-01")</f>
        <v>2023-05-03-10201SP1757-01</v>
      </c>
      <c r="G4299" s="164" t="str">
        <f ca="1">IFERROR(__xludf.DUMMYFUNCTION("""COMPUTED_VALUE"""),"SN: 1S11T5S16200GM0418I7")</f>
        <v>SN: 1S11T5S16200GM0418I7</v>
      </c>
      <c r="H4299" s="164" t="str">
        <f ca="1">IFERROR(__xludf.DUMMYFUNCTION("""COMPUTED_VALUE"""),"Kenneth Salabao")</f>
        <v>Kenneth Salabao</v>
      </c>
      <c r="I4299" s="164" t="str">
        <f ca="1">IFERROR(__xludf.DUMMYFUNCTION("""COMPUTED_VALUE"""),"Budget Officer II")</f>
        <v>Budget Officer II</v>
      </c>
      <c r="J4299" s="164" t="str">
        <f ca="1">IFERROR(__xludf.DUMMYFUNCTION("""COMPUTED_VALUE"""),"2023-05-38-SPLIT")</f>
        <v>2023-05-38-SPLIT</v>
      </c>
      <c r="K4299" s="164" t="str">
        <f ca="1">IFERROR(__xludf.DUMMYFUNCTION("""COMPUTED_VALUE"""),"Maricel Lugaos")</f>
        <v>Maricel Lugaos</v>
      </c>
      <c r="L4299" s="164" t="str">
        <f ca="1">IFERROR(__xludf.DUMMYFUNCTION("""COMPUTED_VALUE"""),"PPMO - Agusan del Sur/' Budget Office")</f>
        <v>PPMO - Agusan del Sur/' Budget Office</v>
      </c>
      <c r="M4299" s="164" t="str">
        <f ca="1">IFERROR(__xludf.DUMMYFUNCTION("""COMPUTED_VALUE"""),"Serviceable")</f>
        <v>Serviceable</v>
      </c>
      <c r="N4299" s="164"/>
    </row>
    <row r="4300" spans="1:14" ht="13.2" hidden="1">
      <c r="A4300" s="164" t="str">
        <f ca="1">IFERROR(__xludf.DUMMYFUNCTION("""COMPUTED_VALUE"""),"CARAGA")</f>
        <v>CARAGA</v>
      </c>
      <c r="B4300" s="164" t="str">
        <f ca="1">IFERROR(__xludf.DUMMYFUNCTION("""COMPUTED_VALUE"""),"Agusan del Sur")</f>
        <v>Agusan del Sur</v>
      </c>
      <c r="C4300" s="164" t="str">
        <f ca="1">IFERROR(__xludf.DUMMYFUNCTION("""COMPUTED_VALUE"""),"Desktop Computer – (Lenovo M70T)")</f>
        <v>Desktop Computer – (Lenovo M70T)</v>
      </c>
      <c r="D4300" s="164" t="str">
        <f ca="1">IFERROR(__xludf.DUMMYFUNCTION("""COMPUTED_VALUE"""),"₱ 75,468.00")</f>
        <v>₱ 75,468.00</v>
      </c>
      <c r="E4300" s="164" t="str">
        <f ca="1">IFERROR(__xludf.DUMMYFUNCTION("""COMPUTED_VALUE"""),"₱ -")</f>
        <v>₱ -</v>
      </c>
      <c r="F4300" s="164" t="str">
        <f ca="1">IFERROR(__xludf.DUMMYFUNCTION("""COMPUTED_VALUE"""),"2023-05-03-10201SP1758-01")</f>
        <v>2023-05-03-10201SP1758-01</v>
      </c>
      <c r="G4300" s="164" t="str">
        <f ca="1">IFERROR(__xludf.DUMMYFUNCTION("""COMPUTED_VALUE"""),"SN: 1S11T5S16200GM0418I8")</f>
        <v>SN: 1S11T5S16200GM0418I8</v>
      </c>
      <c r="H4300" s="164" t="str">
        <f ca="1">IFERROR(__xludf.DUMMYFUNCTION("""COMPUTED_VALUE"""),"Giovanni Rosado")</f>
        <v>Giovanni Rosado</v>
      </c>
      <c r="I4300" s="164" t="str">
        <f ca="1">IFERROR(__xludf.DUMMYFUNCTION("""COMPUTED_VALUE"""),"ARPT/ LSD")</f>
        <v>ARPT/ LSD</v>
      </c>
      <c r="J4300" s="164" t="str">
        <f ca="1">IFERROR(__xludf.DUMMYFUNCTION("""COMPUTED_VALUE"""),"2023-05-39-SPLIT")</f>
        <v>2023-05-39-SPLIT</v>
      </c>
      <c r="K4300" s="164" t="str">
        <f ca="1">IFERROR(__xludf.DUMMYFUNCTION("""COMPUTED_VALUE"""),"Giovanni Rosado")</f>
        <v>Giovanni Rosado</v>
      </c>
      <c r="L4300" s="164" t="str">
        <f ca="1">IFERROR(__xludf.DUMMYFUNCTION("""COMPUTED_VALUE"""),"PPMO - Agusan del Sur/ LSD")</f>
        <v>PPMO - Agusan del Sur/ LSD</v>
      </c>
      <c r="M4300" s="164" t="str">
        <f ca="1">IFERROR(__xludf.DUMMYFUNCTION("""COMPUTED_VALUE"""),"Serviceable")</f>
        <v>Serviceable</v>
      </c>
      <c r="N4300" s="164"/>
    </row>
    <row r="4301" spans="1:14" ht="13.2" hidden="1">
      <c r="A4301" s="164" t="str">
        <f ca="1">IFERROR(__xludf.DUMMYFUNCTION("""COMPUTED_VALUE"""),"CARAGA")</f>
        <v>CARAGA</v>
      </c>
      <c r="B4301" s="164" t="str">
        <f ca="1">IFERROR(__xludf.DUMMYFUNCTION("""COMPUTED_VALUE"""),"Agusan del Sur")</f>
        <v>Agusan del Sur</v>
      </c>
      <c r="C4301" s="164" t="str">
        <f ca="1">IFERROR(__xludf.DUMMYFUNCTION("""COMPUTED_VALUE"""),"Desktop Computer – (Lenovo M70T)")</f>
        <v>Desktop Computer – (Lenovo M70T)</v>
      </c>
      <c r="D4301" s="164" t="str">
        <f ca="1">IFERROR(__xludf.DUMMYFUNCTION("""COMPUTED_VALUE"""),"₱ 75,468.00")</f>
        <v>₱ 75,468.00</v>
      </c>
      <c r="E4301" s="164" t="str">
        <f ca="1">IFERROR(__xludf.DUMMYFUNCTION("""COMPUTED_VALUE"""),"₱ -")</f>
        <v>₱ -</v>
      </c>
      <c r="F4301" s="164" t="str">
        <f ca="1">IFERROR(__xludf.DUMMYFUNCTION("""COMPUTED_VALUE"""),"2023-05-03-10201SP1759-01")</f>
        <v>2023-05-03-10201SP1759-01</v>
      </c>
      <c r="G4301" s="164" t="str">
        <f ca="1">IFERROR(__xludf.DUMMYFUNCTION("""COMPUTED_VALUE"""),"SN: 1S11T5S16200GM0418JH")</f>
        <v>SN: 1S11T5S16200GM0418JH</v>
      </c>
      <c r="H4301" s="164" t="str">
        <f ca="1">IFERROR(__xludf.DUMMYFUNCTION("""COMPUTED_VALUE"""),"Leonida A. Betita")</f>
        <v>Leonida A. Betita</v>
      </c>
      <c r="I4301" s="164" t="str">
        <f ca="1">IFERROR(__xludf.DUMMYFUNCTION("""COMPUTED_VALUE"""),"MARPO")</f>
        <v>MARPO</v>
      </c>
      <c r="J4301" s="164" t="str">
        <f ca="1">IFERROR(__xludf.DUMMYFUNCTION("""COMPUTED_VALUE"""),"2023-05-40-SPLIT")</f>
        <v>2023-05-40-SPLIT</v>
      </c>
      <c r="K4301" s="164" t="str">
        <f ca="1">IFERROR(__xludf.DUMMYFUNCTION("""COMPUTED_VALUE"""),"Kristine Donor")</f>
        <v>Kristine Donor</v>
      </c>
      <c r="L4301" s="164" t="str">
        <f ca="1">IFERROR(__xludf.DUMMYFUNCTION("""COMPUTED_VALUE"""),"PPMO - Agusan del Sur/ DARMO Talacogon")</f>
        <v>PPMO - Agusan del Sur/ DARMO Talacogon</v>
      </c>
      <c r="M4301" s="164" t="str">
        <f ca="1">IFERROR(__xludf.DUMMYFUNCTION("""COMPUTED_VALUE"""),"Serviceable")</f>
        <v>Serviceable</v>
      </c>
      <c r="N4301" s="164"/>
    </row>
    <row r="4302" spans="1:14" ht="13.2" hidden="1">
      <c r="A4302" s="164" t="str">
        <f ca="1">IFERROR(__xludf.DUMMYFUNCTION("""COMPUTED_VALUE"""),"CARAGA")</f>
        <v>CARAGA</v>
      </c>
      <c r="B4302" s="164" t="str">
        <f ca="1">IFERROR(__xludf.DUMMYFUNCTION("""COMPUTED_VALUE"""),"Agusan del Sur")</f>
        <v>Agusan del Sur</v>
      </c>
      <c r="C4302" s="164" t="str">
        <f ca="1">IFERROR(__xludf.DUMMYFUNCTION("""COMPUTED_VALUE"""),"Desktop Computer – (Lenovo M70T)")</f>
        <v>Desktop Computer – (Lenovo M70T)</v>
      </c>
      <c r="D4302" s="164" t="str">
        <f ca="1">IFERROR(__xludf.DUMMYFUNCTION("""COMPUTED_VALUE"""),"₱ 75,468.00")</f>
        <v>₱ 75,468.00</v>
      </c>
      <c r="E4302" s="164" t="str">
        <f ca="1">IFERROR(__xludf.DUMMYFUNCTION("""COMPUTED_VALUE"""),"₱ -")</f>
        <v>₱ -</v>
      </c>
      <c r="F4302" s="164" t="str">
        <f ca="1">IFERROR(__xludf.DUMMYFUNCTION("""COMPUTED_VALUE"""),"2023-05-03-10201SP1760-01")</f>
        <v>2023-05-03-10201SP1760-01</v>
      </c>
      <c r="G4302" s="164" t="str">
        <f ca="1">IFERROR(__xludf.DUMMYFUNCTION("""COMPUTED_VALUE"""),"SN: 1S11T5S16200GM0418JJ")</f>
        <v>SN: 1S11T5S16200GM0418JJ</v>
      </c>
      <c r="H4302" s="164" t="str">
        <f ca="1">IFERROR(__xludf.DUMMYFUNCTION("""COMPUTED_VALUE"""),"Alexander O. Germo")</f>
        <v>Alexander O. Germo</v>
      </c>
      <c r="I4302" s="164" t="str">
        <f ca="1">IFERROR(__xludf.DUMMYFUNCTION("""COMPUTED_VALUE"""),"MARPO")</f>
        <v>MARPO</v>
      </c>
      <c r="J4302" s="164" t="str">
        <f ca="1">IFERROR(__xludf.DUMMYFUNCTION("""COMPUTED_VALUE"""),"2023-05-41-SPLIT")</f>
        <v>2023-05-41-SPLIT</v>
      </c>
      <c r="K4302" s="164" t="str">
        <f ca="1">IFERROR(__xludf.DUMMYFUNCTION("""COMPUTED_VALUE"""),"Diana Jane Canata")</f>
        <v>Diana Jane Canata</v>
      </c>
      <c r="L4302" s="164" t="str">
        <f ca="1">IFERROR(__xludf.DUMMYFUNCTION("""COMPUTED_VALUE"""),"PPMO - Agusan del Sur/ DARMO Prosperidad")</f>
        <v>PPMO - Agusan del Sur/ DARMO Prosperidad</v>
      </c>
      <c r="M4302" s="164" t="str">
        <f ca="1">IFERROR(__xludf.DUMMYFUNCTION("""COMPUTED_VALUE"""),"Serviceable")</f>
        <v>Serviceable</v>
      </c>
      <c r="N4302" s="164"/>
    </row>
    <row r="4303" spans="1:14" ht="13.2" hidden="1">
      <c r="A4303" s="164" t="str">
        <f ca="1">IFERROR(__xludf.DUMMYFUNCTION("""COMPUTED_VALUE"""),"CARAGA")</f>
        <v>CARAGA</v>
      </c>
      <c r="B4303" s="164" t="str">
        <f ca="1">IFERROR(__xludf.DUMMYFUNCTION("""COMPUTED_VALUE"""),"Agusan del Sur")</f>
        <v>Agusan del Sur</v>
      </c>
      <c r="C4303" s="164" t="str">
        <f ca="1">IFERROR(__xludf.DUMMYFUNCTION("""COMPUTED_VALUE"""),"Desktop Computer – (Lenovo M70T)")</f>
        <v>Desktop Computer – (Lenovo M70T)</v>
      </c>
      <c r="D4303" s="164" t="str">
        <f ca="1">IFERROR(__xludf.DUMMYFUNCTION("""COMPUTED_VALUE"""),"₱ 75,468.00")</f>
        <v>₱ 75,468.00</v>
      </c>
      <c r="E4303" s="164" t="str">
        <f ca="1">IFERROR(__xludf.DUMMYFUNCTION("""COMPUTED_VALUE"""),"₱ -")</f>
        <v>₱ -</v>
      </c>
      <c r="F4303" s="164" t="str">
        <f ca="1">IFERROR(__xludf.DUMMYFUNCTION("""COMPUTED_VALUE"""),"2023-05-03-10201SP1761-01")</f>
        <v>2023-05-03-10201SP1761-01</v>
      </c>
      <c r="G4303" s="164" t="str">
        <f ca="1">IFERROR(__xludf.DUMMYFUNCTION("""COMPUTED_VALUE"""),"SN: 1S11T5S16200GM0418JN")</f>
        <v>SN: 1S11T5S16200GM0418JN</v>
      </c>
      <c r="H4303" s="164" t="str">
        <f ca="1">IFERROR(__xludf.DUMMYFUNCTION("""COMPUTED_VALUE"""),"Leah Nario")</f>
        <v>Leah Nario</v>
      </c>
      <c r="I4303" s="164" t="str">
        <f ca="1">IFERROR(__xludf.DUMMYFUNCTION("""COMPUTED_VALUE"""),"MARPO")</f>
        <v>MARPO</v>
      </c>
      <c r="J4303" s="164" t="str">
        <f ca="1">IFERROR(__xludf.DUMMYFUNCTION("""COMPUTED_VALUE"""),"2023-05-42-SPLIT")</f>
        <v>2023-05-42-SPLIT</v>
      </c>
      <c r="K4303" s="164" t="str">
        <f ca="1">IFERROR(__xludf.DUMMYFUNCTION("""COMPUTED_VALUE"""),"Princess Dalagon")</f>
        <v>Princess Dalagon</v>
      </c>
      <c r="L4303" s="164" t="str">
        <f ca="1">IFERROR(__xludf.DUMMYFUNCTION("""COMPUTED_VALUE"""),"PPMO - Agusan del Sur/ DARMO Bunawan")</f>
        <v>PPMO - Agusan del Sur/ DARMO Bunawan</v>
      </c>
      <c r="M4303" s="164" t="str">
        <f ca="1">IFERROR(__xludf.DUMMYFUNCTION("""COMPUTED_VALUE"""),"Serviceable")</f>
        <v>Serviceable</v>
      </c>
      <c r="N4303" s="164"/>
    </row>
    <row r="4304" spans="1:14" ht="13.2" hidden="1">
      <c r="A4304" s="164" t="str">
        <f ca="1">IFERROR(__xludf.DUMMYFUNCTION("""COMPUTED_VALUE"""),"CARAGA")</f>
        <v>CARAGA</v>
      </c>
      <c r="B4304" s="164" t="str">
        <f ca="1">IFERROR(__xludf.DUMMYFUNCTION("""COMPUTED_VALUE"""),"Agusan del Sur")</f>
        <v>Agusan del Sur</v>
      </c>
      <c r="C4304" s="164" t="str">
        <f ca="1">IFERROR(__xludf.DUMMYFUNCTION("""COMPUTED_VALUE"""),"Desktop Computer – (Lenovo M70T)")</f>
        <v>Desktop Computer – (Lenovo M70T)</v>
      </c>
      <c r="D4304" s="164" t="str">
        <f ca="1">IFERROR(__xludf.DUMMYFUNCTION("""COMPUTED_VALUE"""),"₱ 75,468.00")</f>
        <v>₱ 75,468.00</v>
      </c>
      <c r="E4304" s="164" t="str">
        <f ca="1">IFERROR(__xludf.DUMMYFUNCTION("""COMPUTED_VALUE"""),"₱ -")</f>
        <v>₱ -</v>
      </c>
      <c r="F4304" s="164" t="str">
        <f ca="1">IFERROR(__xludf.DUMMYFUNCTION("""COMPUTED_VALUE"""),"2023-05-03-10201SP1762-01")</f>
        <v>2023-05-03-10201SP1762-01</v>
      </c>
      <c r="G4304" s="164" t="str">
        <f ca="1">IFERROR(__xludf.DUMMYFUNCTION("""COMPUTED_VALUE"""),"SN: 1S11T5S16200GM0418JW")</f>
        <v>SN: 1S11T5S16200GM0418JW</v>
      </c>
      <c r="H4304" s="164" t="str">
        <f ca="1">IFERROR(__xludf.DUMMYFUNCTION("""COMPUTED_VALUE"""),"Clemencia Adem")</f>
        <v>Clemencia Adem</v>
      </c>
      <c r="I4304" s="164" t="str">
        <f ca="1">IFERROR(__xludf.DUMMYFUNCTION("""COMPUTED_VALUE"""),"MARPO")</f>
        <v>MARPO</v>
      </c>
      <c r="J4304" s="164" t="str">
        <f ca="1">IFERROR(__xludf.DUMMYFUNCTION("""COMPUTED_VALUE"""),"2023-05-43-SPLIT")</f>
        <v>2023-05-43-SPLIT</v>
      </c>
      <c r="K4304" s="164" t="str">
        <f ca="1">IFERROR(__xludf.DUMMYFUNCTION("""COMPUTED_VALUE"""),"Hizel Rodriguez")</f>
        <v>Hizel Rodriguez</v>
      </c>
      <c r="L4304" s="164" t="str">
        <f ca="1">IFERROR(__xludf.DUMMYFUNCTION("""COMPUTED_VALUE"""),"PPMO - Agusan del Sur/ DARMO Veruela")</f>
        <v>PPMO - Agusan del Sur/ DARMO Veruela</v>
      </c>
      <c r="M4304" s="164" t="str">
        <f ca="1">IFERROR(__xludf.DUMMYFUNCTION("""COMPUTED_VALUE"""),"Serviceable")</f>
        <v>Serviceable</v>
      </c>
      <c r="N4304" s="164"/>
    </row>
    <row r="4305" spans="1:14" ht="13.2" hidden="1">
      <c r="A4305" s="164" t="str">
        <f ca="1">IFERROR(__xludf.DUMMYFUNCTION("""COMPUTED_VALUE"""),"CARAGA")</f>
        <v>CARAGA</v>
      </c>
      <c r="B4305" s="164" t="str">
        <f ca="1">IFERROR(__xludf.DUMMYFUNCTION("""COMPUTED_VALUE"""),"Agusan del Sur")</f>
        <v>Agusan del Sur</v>
      </c>
      <c r="C4305" s="164" t="str">
        <f ca="1">IFERROR(__xludf.DUMMYFUNCTION("""COMPUTED_VALUE"""),"Desktop Computer – (Lenovo M70T)")</f>
        <v>Desktop Computer – (Lenovo M70T)</v>
      </c>
      <c r="D4305" s="164" t="str">
        <f ca="1">IFERROR(__xludf.DUMMYFUNCTION("""COMPUTED_VALUE"""),"₱ 75,468.00")</f>
        <v>₱ 75,468.00</v>
      </c>
      <c r="E4305" s="164" t="str">
        <f ca="1">IFERROR(__xludf.DUMMYFUNCTION("""COMPUTED_VALUE"""),"₱ -")</f>
        <v>₱ -</v>
      </c>
      <c r="F4305" s="164" t="str">
        <f ca="1">IFERROR(__xludf.DUMMYFUNCTION("""COMPUTED_VALUE"""),"2023-05-03-10201SP1763-01")</f>
        <v>2023-05-03-10201SP1763-01</v>
      </c>
      <c r="G4305" s="164" t="str">
        <f ca="1">IFERROR(__xludf.DUMMYFUNCTION("""COMPUTED_VALUE"""),"SN: 1S11T5S16200GM0418K1")</f>
        <v>SN: 1S11T5S16200GM0418K1</v>
      </c>
      <c r="H4305" s="164" t="str">
        <f ca="1">IFERROR(__xludf.DUMMYFUNCTION("""COMPUTED_VALUE"""),"Shirley Salcedo")</f>
        <v>Shirley Salcedo</v>
      </c>
      <c r="I4305" s="164" t="str">
        <f ca="1">IFERROR(__xludf.DUMMYFUNCTION("""COMPUTED_VALUE"""),"MARPO")</f>
        <v>MARPO</v>
      </c>
      <c r="J4305" s="164" t="str">
        <f ca="1">IFERROR(__xludf.DUMMYFUNCTION("""COMPUTED_VALUE"""),"2023-05-44-SPLIT")</f>
        <v>2023-05-44-SPLIT</v>
      </c>
      <c r="K4305" s="164" t="str">
        <f ca="1">IFERROR(__xludf.DUMMYFUNCTION("""COMPUTED_VALUE"""),"Karen Rutuerto")</f>
        <v>Karen Rutuerto</v>
      </c>
      <c r="L4305" s="164" t="str">
        <f ca="1">IFERROR(__xludf.DUMMYFUNCTION("""COMPUTED_VALUE"""),"PPMO - Agusan del Sur/ DARMO San Francisco")</f>
        <v>PPMO - Agusan del Sur/ DARMO San Francisco</v>
      </c>
      <c r="M4305" s="164" t="str">
        <f ca="1">IFERROR(__xludf.DUMMYFUNCTION("""COMPUTED_VALUE"""),"Serviceable")</f>
        <v>Serviceable</v>
      </c>
      <c r="N4305" s="164"/>
    </row>
    <row r="4306" spans="1:14" ht="13.2" hidden="1">
      <c r="A4306" s="164" t="str">
        <f ca="1">IFERROR(__xludf.DUMMYFUNCTION("""COMPUTED_VALUE"""),"CARAGA")</f>
        <v>CARAGA</v>
      </c>
      <c r="B4306" s="164" t="str">
        <f ca="1">IFERROR(__xludf.DUMMYFUNCTION("""COMPUTED_VALUE"""),"Agusan del Sur")</f>
        <v>Agusan del Sur</v>
      </c>
      <c r="C4306" s="164" t="str">
        <f ca="1">IFERROR(__xludf.DUMMYFUNCTION("""COMPUTED_VALUE"""),"Desktop Computer – (HP Pro SFF 280G9)")</f>
        <v>Desktop Computer – (HP Pro SFF 280G9)</v>
      </c>
      <c r="D4306" s="164" t="str">
        <f ca="1">IFERROR(__xludf.DUMMYFUNCTION("""COMPUTED_VALUE"""),"₱ 78,898.00")</f>
        <v>₱ 78,898.00</v>
      </c>
      <c r="E4306" s="164" t="str">
        <f ca="1">IFERROR(__xludf.DUMMYFUNCTION("""COMPUTED_VALUE"""),"₱ -")</f>
        <v>₱ -</v>
      </c>
      <c r="F4306" s="164" t="str">
        <f ca="1">IFERROR(__xludf.DUMMYFUNCTION("""COMPUTED_VALUE"""),"2023-05-03-10201SP151-01")</f>
        <v>2023-05-03-10201SP151-01</v>
      </c>
      <c r="G4306" s="164" t="str">
        <f ca="1">IFERROR(__xludf.DUMMYFUNCTION("""COMPUTED_VALUE"""),"SN: 4CE301DSKT")</f>
        <v>SN: 4CE301DSKT</v>
      </c>
      <c r="H4306" s="164" t="str">
        <f ca="1">IFERROR(__xludf.DUMMYFUNCTION("""COMPUTED_VALUE"""),"Mary Joy Salido")</f>
        <v>Mary Joy Salido</v>
      </c>
      <c r="I4306" s="164" t="str">
        <f ca="1">IFERROR(__xludf.DUMMYFUNCTION("""COMPUTED_VALUE"""),"Legal Assistant")</f>
        <v>Legal Assistant</v>
      </c>
      <c r="J4306" s="164" t="str">
        <f ca="1">IFERROR(__xludf.DUMMYFUNCTION("""COMPUTED_VALUE"""),"2023-10-49-SPLIT")</f>
        <v>2023-10-49-SPLIT</v>
      </c>
      <c r="K4306" s="164" t="str">
        <f ca="1">IFERROR(__xludf.DUMMYFUNCTION("""COMPUTED_VALUE"""),"Mary Joy Salido")</f>
        <v>Mary Joy Salido</v>
      </c>
      <c r="L4306" s="164" t="str">
        <f ca="1">IFERROR(__xludf.DUMMYFUNCTION("""COMPUTED_VALUE"""),"PPMO - Agusan del Sur/ DARAB")</f>
        <v>PPMO - Agusan del Sur/ DARAB</v>
      </c>
      <c r="M4306" s="164" t="str">
        <f ca="1">IFERROR(__xludf.DUMMYFUNCTION("""COMPUTED_VALUE"""),"Serviceable")</f>
        <v>Serviceable</v>
      </c>
      <c r="N4306" s="164"/>
    </row>
    <row r="4307" spans="1:14" ht="13.2" hidden="1">
      <c r="A4307" s="164" t="str">
        <f ca="1">IFERROR(__xludf.DUMMYFUNCTION("""COMPUTED_VALUE"""),"CARAGA")</f>
        <v>CARAGA</v>
      </c>
      <c r="B4307" s="164" t="str">
        <f ca="1">IFERROR(__xludf.DUMMYFUNCTION("""COMPUTED_VALUE"""),"Agusan del Sur")</f>
        <v>Agusan del Sur</v>
      </c>
      <c r="C4307" s="164" t="str">
        <f ca="1">IFERROR(__xludf.DUMMYFUNCTION("""COMPUTED_VALUE"""),"Desktop Computer – (HP Pro SFF 280G9)")</f>
        <v>Desktop Computer – (HP Pro SFF 280G9)</v>
      </c>
      <c r="D4307" s="164" t="str">
        <f ca="1">IFERROR(__xludf.DUMMYFUNCTION("""COMPUTED_VALUE"""),"₱ 78,898.00")</f>
        <v>₱ 78,898.00</v>
      </c>
      <c r="E4307" s="164" t="str">
        <f ca="1">IFERROR(__xludf.DUMMYFUNCTION("""COMPUTED_VALUE"""),"₱ -")</f>
        <v>₱ -</v>
      </c>
      <c r="F4307" s="164" t="str">
        <f ca="1">IFERROR(__xludf.DUMMYFUNCTION("""COMPUTED_VALUE"""),"2023-05-03-10201SP152-01")</f>
        <v>2023-05-03-10201SP152-01</v>
      </c>
      <c r="G4307" s="164" t="str">
        <f ca="1">IFERROR(__xludf.DUMMYFUNCTION("""COMPUTED_VALUE"""),"SN: 4CE301DSNK")</f>
        <v>SN: 4CE301DSNK</v>
      </c>
      <c r="H4307" s="164" t="str">
        <f ca="1">IFERROR(__xludf.DUMMYFUNCTION("""COMPUTED_VALUE"""),"Atty. Oliver Baylosis")</f>
        <v>Atty. Oliver Baylosis</v>
      </c>
      <c r="I4307" s="164" t="str">
        <f ca="1">IFERROR(__xludf.DUMMYFUNCTION("""COMPUTED_VALUE"""),"Atty V")</f>
        <v>Atty V</v>
      </c>
      <c r="J4307" s="164" t="str">
        <f ca="1">IFERROR(__xludf.DUMMYFUNCTION("""COMPUTED_VALUE"""),"2023-10-50-SPLIT")</f>
        <v>2023-10-50-SPLIT</v>
      </c>
      <c r="K4307" s="164" t="str">
        <f ca="1">IFERROR(__xludf.DUMMYFUNCTION("""COMPUTED_VALUE"""),"Antolin Lacea")</f>
        <v>Antolin Lacea</v>
      </c>
      <c r="L4307" s="164" t="str">
        <f ca="1">IFERROR(__xludf.DUMMYFUNCTION("""COMPUTED_VALUE"""),"PPMO - Agusan del Sur/ LSD")</f>
        <v>PPMO - Agusan del Sur/ LSD</v>
      </c>
      <c r="M4307" s="164" t="str">
        <f ca="1">IFERROR(__xludf.DUMMYFUNCTION("""COMPUTED_VALUE"""),"Serviceable")</f>
        <v>Serviceable</v>
      </c>
      <c r="N4307" s="164"/>
    </row>
    <row r="4308" spans="1:14" ht="13.2" hidden="1">
      <c r="A4308" s="164" t="str">
        <f ca="1">IFERROR(__xludf.DUMMYFUNCTION("""COMPUTED_VALUE"""),"CARAGA")</f>
        <v>CARAGA</v>
      </c>
      <c r="B4308" s="164" t="str">
        <f ca="1">IFERROR(__xludf.DUMMYFUNCTION("""COMPUTED_VALUE"""),"Agusan del Sur")</f>
        <v>Agusan del Sur</v>
      </c>
      <c r="C4308" s="164" t="str">
        <f ca="1">IFERROR(__xludf.DUMMYFUNCTION("""COMPUTED_VALUE"""),"Desktop Computer – (HP Pro SFF 280G9)")</f>
        <v>Desktop Computer – (HP Pro SFF 280G9)</v>
      </c>
      <c r="D4308" s="164" t="str">
        <f ca="1">IFERROR(__xludf.DUMMYFUNCTION("""COMPUTED_VALUE"""),"₱ 78,898.00")</f>
        <v>₱ 78,898.00</v>
      </c>
      <c r="E4308" s="164" t="str">
        <f ca="1">IFERROR(__xludf.DUMMYFUNCTION("""COMPUTED_VALUE"""),"₱ -")</f>
        <v>₱ -</v>
      </c>
      <c r="F4308" s="164" t="str">
        <f ca="1">IFERROR(__xludf.DUMMYFUNCTION("""COMPUTED_VALUE"""),"2023-05-03-10201SP153-01")</f>
        <v>2023-05-03-10201SP153-01</v>
      </c>
      <c r="G4308" s="164" t="str">
        <f ca="1">IFERROR(__xludf.DUMMYFUNCTION("""COMPUTED_VALUE"""),"SN: 4CE301DSRB")</f>
        <v>SN: 4CE301DSRB</v>
      </c>
      <c r="H4308" s="164" t="str">
        <f ca="1">IFERROR(__xludf.DUMMYFUNCTION("""COMPUTED_VALUE"""),"Juvilyn Patalan")</f>
        <v>Juvilyn Patalan</v>
      </c>
      <c r="I4308" s="164" t="str">
        <f ca="1">IFERROR(__xludf.DUMMYFUNCTION("""COMPUTED_VALUE"""),"ARPO I / HEA")</f>
        <v>ARPO I / HEA</v>
      </c>
      <c r="J4308" s="164" t="str">
        <f ca="1">IFERROR(__xludf.DUMMYFUNCTION("""COMPUTED_VALUE"""),"2023-10-51-SPLIT")</f>
        <v>2023-10-51-SPLIT</v>
      </c>
      <c r="K4308" s="164" t="str">
        <f ca="1">IFERROR(__xludf.DUMMYFUNCTION("""COMPUTED_VALUE"""),"Aida Lorns Castro")</f>
        <v>Aida Lorns Castro</v>
      </c>
      <c r="L4308" s="164" t="str">
        <f ca="1">IFERROR(__xludf.DUMMYFUNCTION("""COMPUTED_VALUE"""),"PPMO - Agusan del Sur/ OPARPO II")</f>
        <v>PPMO - Agusan del Sur/ OPARPO II</v>
      </c>
      <c r="M4308" s="164" t="str">
        <f ca="1">IFERROR(__xludf.DUMMYFUNCTION("""COMPUTED_VALUE"""),"Serviceable")</f>
        <v>Serviceable</v>
      </c>
      <c r="N4308" s="164"/>
    </row>
    <row r="4309" spans="1:14" ht="13.2" hidden="1">
      <c r="A4309" s="164" t="str">
        <f ca="1">IFERROR(__xludf.DUMMYFUNCTION("""COMPUTED_VALUE"""),"CARAGA")</f>
        <v>CARAGA</v>
      </c>
      <c r="B4309" s="164" t="str">
        <f ca="1">IFERROR(__xludf.DUMMYFUNCTION("""COMPUTED_VALUE"""),"Agusan del Sur")</f>
        <v>Agusan del Sur</v>
      </c>
      <c r="C4309" s="164" t="str">
        <f ca="1">IFERROR(__xludf.DUMMYFUNCTION("""COMPUTED_VALUE"""),"Desktop Computer – (HP Pro SFF 280G9)")</f>
        <v>Desktop Computer – (HP Pro SFF 280G9)</v>
      </c>
      <c r="D4309" s="164" t="str">
        <f ca="1">IFERROR(__xludf.DUMMYFUNCTION("""COMPUTED_VALUE"""),"₱ 78,898.00")</f>
        <v>₱ 78,898.00</v>
      </c>
      <c r="E4309" s="164" t="str">
        <f ca="1">IFERROR(__xludf.DUMMYFUNCTION("""COMPUTED_VALUE"""),"₱ -")</f>
        <v>₱ -</v>
      </c>
      <c r="F4309" s="164" t="str">
        <f ca="1">IFERROR(__xludf.DUMMYFUNCTION("""COMPUTED_VALUE"""),"2023-05-03-10201SP154-01")</f>
        <v>2023-05-03-10201SP154-01</v>
      </c>
      <c r="G4309" s="164" t="str">
        <f ca="1">IFERROR(__xludf.DUMMYFUNCTION("""COMPUTED_VALUE"""),"SN: 4CE301DSND")</f>
        <v>SN: 4CE301DSND</v>
      </c>
      <c r="H4309" s="164" t="str">
        <f ca="1">IFERROR(__xludf.DUMMYFUNCTION("""COMPUTED_VALUE"""),"Ruth Galvez")</f>
        <v>Ruth Galvez</v>
      </c>
      <c r="I4309" s="164" t="str">
        <f ca="1">IFERROR(__xludf.DUMMYFUNCTION("""COMPUTED_VALUE"""),"CARPO / LTID")</f>
        <v>CARPO / LTID</v>
      </c>
      <c r="J4309" s="164" t="str">
        <f ca="1">IFERROR(__xludf.DUMMYFUNCTION("""COMPUTED_VALUE"""),"2023-10-52-SPLIT")</f>
        <v>2023-10-52-SPLIT</v>
      </c>
      <c r="K4309" s="164" t="str">
        <f ca="1">IFERROR(__xludf.DUMMYFUNCTION("""COMPUTED_VALUE"""),"Florimae Teves")</f>
        <v>Florimae Teves</v>
      </c>
      <c r="L4309" s="164" t="str">
        <f ca="1">IFERROR(__xludf.DUMMYFUNCTION("""COMPUTED_VALUE"""),"PPMO - Agusan del Sur/ LTID")</f>
        <v>PPMO - Agusan del Sur/ LTID</v>
      </c>
      <c r="M4309" s="164" t="str">
        <f ca="1">IFERROR(__xludf.DUMMYFUNCTION("""COMPUTED_VALUE"""),"Serviceable")</f>
        <v>Serviceable</v>
      </c>
      <c r="N4309" s="164"/>
    </row>
    <row r="4310" spans="1:14" ht="13.2" hidden="1">
      <c r="A4310" s="164" t="str">
        <f ca="1">IFERROR(__xludf.DUMMYFUNCTION("""COMPUTED_VALUE"""),"CARAGA")</f>
        <v>CARAGA</v>
      </c>
      <c r="B4310" s="164" t="str">
        <f ca="1">IFERROR(__xludf.DUMMYFUNCTION("""COMPUTED_VALUE"""),"Agusan del Sur")</f>
        <v>Agusan del Sur</v>
      </c>
      <c r="C4310" s="164" t="str">
        <f ca="1">IFERROR(__xludf.DUMMYFUNCTION("""COMPUTED_VALUE"""),"Desktop Computer – (HP Pro SFF 280G9)")</f>
        <v>Desktop Computer – (HP Pro SFF 280G9)</v>
      </c>
      <c r="D4310" s="164" t="str">
        <f ca="1">IFERROR(__xludf.DUMMYFUNCTION("""COMPUTED_VALUE"""),"₱ 78,898.00")</f>
        <v>₱ 78,898.00</v>
      </c>
      <c r="E4310" s="164" t="str">
        <f ca="1">IFERROR(__xludf.DUMMYFUNCTION("""COMPUTED_VALUE"""),"₱ -")</f>
        <v>₱ -</v>
      </c>
      <c r="F4310" s="164" t="str">
        <f ca="1">IFERROR(__xludf.DUMMYFUNCTION("""COMPUTED_VALUE"""),"2023-05-03-10201SP155-01")</f>
        <v>2023-05-03-10201SP155-01</v>
      </c>
      <c r="G4310" s="164" t="str">
        <f ca="1">IFERROR(__xludf.DUMMYFUNCTION("""COMPUTED_VALUE"""),"SN: 4CE301DSRC")</f>
        <v>SN: 4CE301DSRC</v>
      </c>
      <c r="H4310" s="164" t="str">
        <f ca="1">IFERROR(__xludf.DUMMYFUNCTION("""COMPUTED_VALUE"""),"Ruby Jane M. Salvado")</f>
        <v>Ruby Jane M. Salvado</v>
      </c>
      <c r="I4310" s="164" t="str">
        <f ca="1">IFERROR(__xludf.DUMMYFUNCTION("""COMPUTED_VALUE"""),"SARPT/ Project Procurement Officer")</f>
        <v>SARPT/ Project Procurement Officer</v>
      </c>
      <c r="J4310" s="164" t="str">
        <f ca="1">IFERROR(__xludf.DUMMYFUNCTION("""COMPUTED_VALUE"""),"2023-10-53-SPLIT")</f>
        <v>2023-10-53-SPLIT</v>
      </c>
      <c r="K4310" s="164" t="str">
        <f ca="1">IFERROR(__xludf.DUMMYFUNCTION("""COMPUTED_VALUE"""),"Ruby Jane M. Salvado")</f>
        <v>Ruby Jane M. Salvado</v>
      </c>
      <c r="L4310" s="164" t="str">
        <f ca="1">IFERROR(__xludf.DUMMYFUNCTION("""COMPUTED_VALUE"""),"PPMO - Agusan del Sur/ STOD GS")</f>
        <v>PPMO - Agusan del Sur/ STOD GS</v>
      </c>
      <c r="M4310" s="164" t="str">
        <f ca="1">IFERROR(__xludf.DUMMYFUNCTION("""COMPUTED_VALUE"""),"Serviceable")</f>
        <v>Serviceable</v>
      </c>
      <c r="N4310" s="164"/>
    </row>
    <row r="4311" spans="1:14" ht="13.2" hidden="1">
      <c r="A4311" s="164" t="str">
        <f ca="1">IFERROR(__xludf.DUMMYFUNCTION("""COMPUTED_VALUE"""),"CARAGA")</f>
        <v>CARAGA</v>
      </c>
      <c r="B4311" s="164" t="str">
        <f ca="1">IFERROR(__xludf.DUMMYFUNCTION("""COMPUTED_VALUE"""),"Agusan del Sur")</f>
        <v>Agusan del Sur</v>
      </c>
      <c r="C4311" s="164" t="str">
        <f ca="1">IFERROR(__xludf.DUMMYFUNCTION("""COMPUTED_VALUE"""),"A3 PRINTER (BROTHER)")</f>
        <v>A3 PRINTER (BROTHER)</v>
      </c>
      <c r="D4311" s="164" t="str">
        <f ca="1">IFERROR(__xludf.DUMMYFUNCTION("""COMPUTED_VALUE"""),"₱ 33,508.00")</f>
        <v>₱ 33,508.00</v>
      </c>
      <c r="E4311" s="164" t="str">
        <f ca="1">IFERROR(__xludf.DUMMYFUNCTION("""COMPUTED_VALUE"""),"₱ -")</f>
        <v>₱ -</v>
      </c>
      <c r="F4311" s="164" t="str">
        <f ca="1">IFERROR(__xludf.DUMMYFUNCTION("""COMPUTED_VALUE"""),"HV-SPLIT-102-24-05-84")</f>
        <v>HV-SPLIT-102-24-05-84</v>
      </c>
      <c r="G4311" s="164"/>
      <c r="H4311" s="164" t="str">
        <f ca="1">IFERROR(__xludf.DUMMYFUNCTION("""COMPUTED_VALUE"""),"RECHEL D. BESONIA")</f>
        <v>RECHEL D. BESONIA</v>
      </c>
      <c r="I4311" s="164" t="str">
        <f ca="1">IFERROR(__xludf.DUMMYFUNCTION("""COMPUTED_VALUE"""),"SUPPLY OFFICER")</f>
        <v>SUPPLY OFFICER</v>
      </c>
      <c r="J4311" s="164" t="str">
        <f ca="1">IFERROR(__xludf.DUMMYFUNCTION("""COMPUTED_VALUE"""),"2024-03-014")</f>
        <v>2024-03-014</v>
      </c>
      <c r="K4311" s="164"/>
      <c r="L4311" s="164" t="str">
        <f ca="1">IFERROR(__xludf.DUMMYFUNCTION("""COMPUTED_VALUE"""),"DARPO AGUSAN SUR")</f>
        <v>DARPO AGUSAN SUR</v>
      </c>
      <c r="M4311" s="164"/>
      <c r="N4311" s="164"/>
    </row>
    <row r="4312" spans="1:14" ht="13.2" hidden="1">
      <c r="A4312" s="164" t="str">
        <f ca="1">IFERROR(__xludf.DUMMYFUNCTION("""COMPUTED_VALUE"""),"CARAGA")</f>
        <v>CARAGA</v>
      </c>
      <c r="B4312" s="164" t="str">
        <f ca="1">IFERROR(__xludf.DUMMYFUNCTION("""COMPUTED_VALUE"""),"Surigao del Norte")</f>
        <v>Surigao del Norte</v>
      </c>
      <c r="C4312" s="164" t="str">
        <f ca="1">IFERROR(__xludf.DUMMYFUNCTION("""COMPUTED_VALUE"""),"Desktop Computer – (Lenovo M70T)")</f>
        <v>Desktop Computer – (Lenovo M70T)</v>
      </c>
      <c r="D4312" s="164" t="str">
        <f ca="1">IFERROR(__xludf.DUMMYFUNCTION("""COMPUTED_VALUE"""),"₱ 75,468.00")</f>
        <v>₱ 75,468.00</v>
      </c>
      <c r="E4312" s="164" t="str">
        <f ca="1">IFERROR(__xludf.DUMMYFUNCTION("""COMPUTED_VALUE"""),"₱ -")</f>
        <v>₱ -</v>
      </c>
      <c r="F4312" s="164" t="str">
        <f ca="1">IFERROR(__xludf.DUMMYFUNCTION("""COMPUTED_VALUE"""),"2023-05-03-10201SP1764-01")</f>
        <v>2023-05-03-10201SP1764-01</v>
      </c>
      <c r="G4312" s="164"/>
      <c r="H4312" s="164" t="str">
        <f ca="1">IFERROR(__xludf.DUMMYFUNCTION("""COMPUTED_VALUE"""),"Felipe U. Requina, Jr.")</f>
        <v>Felipe U. Requina, Jr.</v>
      </c>
      <c r="I4312" s="164" t="str">
        <f ca="1">IFERROR(__xludf.DUMMYFUNCTION("""COMPUTED_VALUE"""),"OIC-CARPO PDI")</f>
        <v>OIC-CARPO PDI</v>
      </c>
      <c r="J4312" s="164" t="str">
        <f ca="1">IFERROR(__xludf.DUMMYFUNCTION("""COMPUTED_VALUE"""),"R13SDN-102-2022-10-ICT-003")</f>
        <v>R13SDN-102-2022-10-ICT-003</v>
      </c>
      <c r="K4312" s="164" t="str">
        <f ca="1">IFERROR(__xludf.DUMMYFUNCTION("""COMPUTED_VALUE"""),"Felipe U. Requina, Jr.")</f>
        <v>Felipe U. Requina, Jr.</v>
      </c>
      <c r="L4312" s="164" t="str">
        <f ca="1">IFERROR(__xludf.DUMMYFUNCTION("""COMPUTED_VALUE"""),"PPMO - Surigao del Norte")</f>
        <v>PPMO - Surigao del Norte</v>
      </c>
      <c r="M4312" s="164" t="str">
        <f ca="1">IFERROR(__xludf.DUMMYFUNCTION("""COMPUTED_VALUE"""),"SERVICEABLE")</f>
        <v>SERVICEABLE</v>
      </c>
      <c r="N4312" s="164"/>
    </row>
    <row r="4313" spans="1:14" ht="13.2" hidden="1">
      <c r="A4313" s="164" t="str">
        <f ca="1">IFERROR(__xludf.DUMMYFUNCTION("""COMPUTED_VALUE"""),"CARAGA")</f>
        <v>CARAGA</v>
      </c>
      <c r="B4313" s="164" t="str">
        <f ca="1">IFERROR(__xludf.DUMMYFUNCTION("""COMPUTED_VALUE"""),"Surigao del Norte")</f>
        <v>Surigao del Norte</v>
      </c>
      <c r="C4313" s="164" t="str">
        <f ca="1">IFERROR(__xludf.DUMMYFUNCTION("""COMPUTED_VALUE"""),"Desktop Computer – (Lenovo M70T)")</f>
        <v>Desktop Computer – (Lenovo M70T)</v>
      </c>
      <c r="D4313" s="164" t="str">
        <f ca="1">IFERROR(__xludf.DUMMYFUNCTION("""COMPUTED_VALUE"""),"₱ 75,468.00")</f>
        <v>₱ 75,468.00</v>
      </c>
      <c r="E4313" s="164" t="str">
        <f ca="1">IFERROR(__xludf.DUMMYFUNCTION("""COMPUTED_VALUE"""),"₱ -")</f>
        <v>₱ -</v>
      </c>
      <c r="F4313" s="164" t="str">
        <f ca="1">IFERROR(__xludf.DUMMYFUNCTION("""COMPUTED_VALUE"""),"2023-05-03-10201SP1765-01")</f>
        <v>2023-05-03-10201SP1765-01</v>
      </c>
      <c r="G4313" s="164"/>
      <c r="H4313" s="164" t="str">
        <f ca="1">IFERROR(__xludf.DUMMYFUNCTION("""COMPUTED_VALUE"""),"Felipe U. Requina, Jr.")</f>
        <v>Felipe U. Requina, Jr.</v>
      </c>
      <c r="I4313" s="164" t="str">
        <f ca="1">IFERROR(__xludf.DUMMYFUNCTION("""COMPUTED_VALUE"""),"OIC-CARPO PDI")</f>
        <v>OIC-CARPO PDI</v>
      </c>
      <c r="J4313" s="164" t="str">
        <f ca="1">IFERROR(__xludf.DUMMYFUNCTION("""COMPUTED_VALUE"""),"R13SDN-102-2022-10-ICT-004")</f>
        <v>R13SDN-102-2022-10-ICT-004</v>
      </c>
      <c r="K4313" s="164" t="str">
        <f ca="1">IFERROR(__xludf.DUMMYFUNCTION("""COMPUTED_VALUE"""),"Felipe U. Requina, Jr.")</f>
        <v>Felipe U. Requina, Jr.</v>
      </c>
      <c r="L4313" s="164" t="str">
        <f ca="1">IFERROR(__xludf.DUMMYFUNCTION("""COMPUTED_VALUE"""),"PPMO - Surigao del Norte")</f>
        <v>PPMO - Surigao del Norte</v>
      </c>
      <c r="M4313" s="164" t="str">
        <f ca="1">IFERROR(__xludf.DUMMYFUNCTION("""COMPUTED_VALUE"""),"SERVICEABLE")</f>
        <v>SERVICEABLE</v>
      </c>
      <c r="N4313" s="164"/>
    </row>
    <row r="4314" spans="1:14" ht="13.2" hidden="1">
      <c r="A4314" s="164" t="str">
        <f ca="1">IFERROR(__xludf.DUMMYFUNCTION("""COMPUTED_VALUE"""),"CARAGA")</f>
        <v>CARAGA</v>
      </c>
      <c r="B4314" s="164" t="str">
        <f ca="1">IFERROR(__xludf.DUMMYFUNCTION("""COMPUTED_VALUE"""),"Surigao del Norte")</f>
        <v>Surigao del Norte</v>
      </c>
      <c r="C4314" s="164" t="str">
        <f ca="1">IFERROR(__xludf.DUMMYFUNCTION("""COMPUTED_VALUE"""),"Desktop Computer – (Lenovo M70T)")</f>
        <v>Desktop Computer – (Lenovo M70T)</v>
      </c>
      <c r="D4314" s="164" t="str">
        <f ca="1">IFERROR(__xludf.DUMMYFUNCTION("""COMPUTED_VALUE"""),"₱ 75,468.00")</f>
        <v>₱ 75,468.00</v>
      </c>
      <c r="E4314" s="164" t="str">
        <f ca="1">IFERROR(__xludf.DUMMYFUNCTION("""COMPUTED_VALUE"""),"₱ -")</f>
        <v>₱ -</v>
      </c>
      <c r="F4314" s="164" t="str">
        <f ca="1">IFERROR(__xludf.DUMMYFUNCTION("""COMPUTED_VALUE"""),"2023-05-03-10201SP1766-01")</f>
        <v>2023-05-03-10201SP1766-01</v>
      </c>
      <c r="G4314" s="164"/>
      <c r="H4314" s="164" t="str">
        <f ca="1">IFERROR(__xludf.DUMMYFUNCTION("""COMPUTED_VALUE"""),"Felipe U. Requina, Jr.")</f>
        <v>Felipe U. Requina, Jr.</v>
      </c>
      <c r="I4314" s="164" t="str">
        <f ca="1">IFERROR(__xludf.DUMMYFUNCTION("""COMPUTED_VALUE"""),"OIC-CARPO PDI")</f>
        <v>OIC-CARPO PDI</v>
      </c>
      <c r="J4314" s="164" t="str">
        <f ca="1">IFERROR(__xludf.DUMMYFUNCTION("""COMPUTED_VALUE"""),"R13SDN-102-2022-10-ICT-005")</f>
        <v>R13SDN-102-2022-10-ICT-005</v>
      </c>
      <c r="K4314" s="164" t="str">
        <f ca="1">IFERROR(__xludf.DUMMYFUNCTION("""COMPUTED_VALUE"""),"Felipe U. Requina, Jr.")</f>
        <v>Felipe U. Requina, Jr.</v>
      </c>
      <c r="L4314" s="164" t="str">
        <f ca="1">IFERROR(__xludf.DUMMYFUNCTION("""COMPUTED_VALUE"""),"PPMO - Surigao del Norte")</f>
        <v>PPMO - Surigao del Norte</v>
      </c>
      <c r="M4314" s="164" t="str">
        <f ca="1">IFERROR(__xludf.DUMMYFUNCTION("""COMPUTED_VALUE"""),"SERVICEABLE")</f>
        <v>SERVICEABLE</v>
      </c>
      <c r="N4314" s="164"/>
    </row>
    <row r="4315" spans="1:14" ht="13.2" hidden="1">
      <c r="A4315" s="164" t="str">
        <f ca="1">IFERROR(__xludf.DUMMYFUNCTION("""COMPUTED_VALUE"""),"CARAGA")</f>
        <v>CARAGA</v>
      </c>
      <c r="B4315" s="164" t="str">
        <f ca="1">IFERROR(__xludf.DUMMYFUNCTION("""COMPUTED_VALUE"""),"Surigao del Norte")</f>
        <v>Surigao del Norte</v>
      </c>
      <c r="C4315" s="164" t="str">
        <f ca="1">IFERROR(__xludf.DUMMYFUNCTION("""COMPUTED_VALUE"""),"Desktop Computer – (Lenovo M70T)")</f>
        <v>Desktop Computer – (Lenovo M70T)</v>
      </c>
      <c r="D4315" s="164" t="str">
        <f ca="1">IFERROR(__xludf.DUMMYFUNCTION("""COMPUTED_VALUE"""),"₱ 75,468.00")</f>
        <v>₱ 75,468.00</v>
      </c>
      <c r="E4315" s="164" t="str">
        <f ca="1">IFERROR(__xludf.DUMMYFUNCTION("""COMPUTED_VALUE"""),"₱ -")</f>
        <v>₱ -</v>
      </c>
      <c r="F4315" s="164" t="str">
        <f ca="1">IFERROR(__xludf.DUMMYFUNCTION("""COMPUTED_VALUE"""),"2023-05-03-10201SP1767-01")</f>
        <v>2023-05-03-10201SP1767-01</v>
      </c>
      <c r="G4315" s="164"/>
      <c r="H4315" s="164" t="str">
        <f ca="1">IFERROR(__xludf.DUMMYFUNCTION("""COMPUTED_VALUE"""),"Milagrosa B. Bulawan")</f>
        <v>Milagrosa B. Bulawan</v>
      </c>
      <c r="I4315" s="164" t="str">
        <f ca="1">IFERROR(__xludf.DUMMYFUNCTION("""COMPUTED_VALUE"""),"OIC-PARPO II")</f>
        <v>OIC-PARPO II</v>
      </c>
      <c r="J4315" s="164" t="str">
        <f ca="1">IFERROR(__xludf.DUMMYFUNCTION("""COMPUTED_VALUE"""),"R13SDN-102-2022-10-ICT-006")</f>
        <v>R13SDN-102-2022-10-ICT-006</v>
      </c>
      <c r="K4315" s="164" t="str">
        <f ca="1">IFERROR(__xludf.DUMMYFUNCTION("""COMPUTED_VALUE"""),"Marilou Tinambacan/M&amp;E SDN")</f>
        <v>Marilou Tinambacan/M&amp;E SDN</v>
      </c>
      <c r="L4315" s="164" t="str">
        <f ca="1">IFERROR(__xludf.DUMMYFUNCTION("""COMPUTED_VALUE"""),"PPMO - Surigao del Norte")</f>
        <v>PPMO - Surigao del Norte</v>
      </c>
      <c r="M4315" s="164" t="str">
        <f ca="1">IFERROR(__xludf.DUMMYFUNCTION("""COMPUTED_VALUE"""),"SERVICEABLE")</f>
        <v>SERVICEABLE</v>
      </c>
      <c r="N4315" s="164"/>
    </row>
    <row r="4316" spans="1:14" ht="13.2" hidden="1">
      <c r="A4316" s="164" t="str">
        <f ca="1">IFERROR(__xludf.DUMMYFUNCTION("""COMPUTED_VALUE"""),"CARAGA")</f>
        <v>CARAGA</v>
      </c>
      <c r="B4316" s="164" t="str">
        <f ca="1">IFERROR(__xludf.DUMMYFUNCTION("""COMPUTED_VALUE"""),"Surigao del Norte")</f>
        <v>Surigao del Norte</v>
      </c>
      <c r="C4316" s="164" t="str">
        <f ca="1">IFERROR(__xludf.DUMMYFUNCTION("""COMPUTED_VALUE"""),"Desktop Computer – (Lenovo M70T)")</f>
        <v>Desktop Computer – (Lenovo M70T)</v>
      </c>
      <c r="D4316" s="164" t="str">
        <f ca="1">IFERROR(__xludf.DUMMYFUNCTION("""COMPUTED_VALUE"""),"₱ 75,468.00")</f>
        <v>₱ 75,468.00</v>
      </c>
      <c r="E4316" s="164" t="str">
        <f ca="1">IFERROR(__xludf.DUMMYFUNCTION("""COMPUTED_VALUE"""),"₱ -")</f>
        <v>₱ -</v>
      </c>
      <c r="F4316" s="164" t="str">
        <f ca="1">IFERROR(__xludf.DUMMYFUNCTION("""COMPUTED_VALUE"""),"2023-05-03-10201SP1768-01")</f>
        <v>2023-05-03-10201SP1768-01</v>
      </c>
      <c r="G4316" s="164"/>
      <c r="H4316" s="164" t="str">
        <f ca="1">IFERROR(__xludf.DUMMYFUNCTION("""COMPUTED_VALUE"""),"Milagrosa B. Bulawan")</f>
        <v>Milagrosa B. Bulawan</v>
      </c>
      <c r="I4316" s="164" t="str">
        <f ca="1">IFERROR(__xludf.DUMMYFUNCTION("""COMPUTED_VALUE"""),"OIC-PARPO II")</f>
        <v>OIC-PARPO II</v>
      </c>
      <c r="J4316" s="164" t="str">
        <f ca="1">IFERROR(__xludf.DUMMYFUNCTION("""COMPUTED_VALUE"""),"R13SDN-102-2022-10-ICT-007")</f>
        <v>R13SDN-102-2022-10-ICT-007</v>
      </c>
      <c r="K4316" s="164" t="str">
        <f ca="1">IFERROR(__xludf.DUMMYFUNCTION("""COMPUTED_VALUE"""),"Syme Harvey Chua/ MIS SDN")</f>
        <v>Syme Harvey Chua/ MIS SDN</v>
      </c>
      <c r="L4316" s="164" t="str">
        <f ca="1">IFERROR(__xludf.DUMMYFUNCTION("""COMPUTED_VALUE"""),"PPMO - Surigao del Norte")</f>
        <v>PPMO - Surigao del Norte</v>
      </c>
      <c r="M4316" s="164" t="str">
        <f ca="1">IFERROR(__xludf.DUMMYFUNCTION("""COMPUTED_VALUE"""),"SERVICEABLE")</f>
        <v>SERVICEABLE</v>
      </c>
      <c r="N4316" s="164"/>
    </row>
    <row r="4317" spans="1:14" ht="13.2" hidden="1">
      <c r="A4317" s="164" t="str">
        <f ca="1">IFERROR(__xludf.DUMMYFUNCTION("""COMPUTED_VALUE"""),"CARAGA")</f>
        <v>CARAGA</v>
      </c>
      <c r="B4317" s="164" t="str">
        <f ca="1">IFERROR(__xludf.DUMMYFUNCTION("""COMPUTED_VALUE"""),"Surigao del Norte")</f>
        <v>Surigao del Norte</v>
      </c>
      <c r="C4317" s="164" t="str">
        <f ca="1">IFERROR(__xludf.DUMMYFUNCTION("""COMPUTED_VALUE"""),"Desktop Computer – (Lenovo M70T)")</f>
        <v>Desktop Computer – (Lenovo M70T)</v>
      </c>
      <c r="D4317" s="164" t="str">
        <f ca="1">IFERROR(__xludf.DUMMYFUNCTION("""COMPUTED_VALUE"""),"₱ 75,468.00")</f>
        <v>₱ 75,468.00</v>
      </c>
      <c r="E4317" s="164" t="str">
        <f ca="1">IFERROR(__xludf.DUMMYFUNCTION("""COMPUTED_VALUE"""),"₱ -")</f>
        <v>₱ -</v>
      </c>
      <c r="F4317" s="164" t="str">
        <f ca="1">IFERROR(__xludf.DUMMYFUNCTION("""COMPUTED_VALUE"""),"2023-05-03-10201SP1769-01")</f>
        <v>2023-05-03-10201SP1769-01</v>
      </c>
      <c r="G4317" s="164"/>
      <c r="H4317" s="164" t="str">
        <f ca="1">IFERROR(__xludf.DUMMYFUNCTION("""COMPUTED_VALUE"""),"Milagrosa B. Bulawan")</f>
        <v>Milagrosa B. Bulawan</v>
      </c>
      <c r="I4317" s="164" t="str">
        <f ca="1">IFERROR(__xludf.DUMMYFUNCTION("""COMPUTED_VALUE"""),"OIC-PARPO II")</f>
        <v>OIC-PARPO II</v>
      </c>
      <c r="J4317" s="164" t="str">
        <f ca="1">IFERROR(__xludf.DUMMYFUNCTION("""COMPUTED_VALUE"""),"R13SDN-102-2022-10-ICT-008")</f>
        <v>R13SDN-102-2022-10-ICT-008</v>
      </c>
      <c r="K4317" s="164" t="str">
        <f ca="1">IFERROR(__xludf.DUMMYFUNCTION("""COMPUTED_VALUE"""),"Jaymel Diegas/ Validator PDI")</f>
        <v>Jaymel Diegas/ Validator PDI</v>
      </c>
      <c r="L4317" s="164" t="str">
        <f ca="1">IFERROR(__xludf.DUMMYFUNCTION("""COMPUTED_VALUE"""),"PPMO - Surigao del Norte")</f>
        <v>PPMO - Surigao del Norte</v>
      </c>
      <c r="M4317" s="164" t="str">
        <f ca="1">IFERROR(__xludf.DUMMYFUNCTION("""COMPUTED_VALUE"""),"SERVICEABLE")</f>
        <v>SERVICEABLE</v>
      </c>
      <c r="N4317" s="164"/>
    </row>
    <row r="4318" spans="1:14" ht="13.2" hidden="1">
      <c r="A4318" s="164" t="str">
        <f ca="1">IFERROR(__xludf.DUMMYFUNCTION("""COMPUTED_VALUE"""),"CARAGA")</f>
        <v>CARAGA</v>
      </c>
      <c r="B4318" s="164" t="str">
        <f ca="1">IFERROR(__xludf.DUMMYFUNCTION("""COMPUTED_VALUE"""),"Surigao del Norte")</f>
        <v>Surigao del Norte</v>
      </c>
      <c r="C4318" s="164" t="str">
        <f ca="1">IFERROR(__xludf.DUMMYFUNCTION("""COMPUTED_VALUE"""),"Desktop Computer – (Lenovo M70T)")</f>
        <v>Desktop Computer – (Lenovo M70T)</v>
      </c>
      <c r="D4318" s="164" t="str">
        <f ca="1">IFERROR(__xludf.DUMMYFUNCTION("""COMPUTED_VALUE"""),"₱ 75,468.00")</f>
        <v>₱ 75,468.00</v>
      </c>
      <c r="E4318" s="164" t="str">
        <f ca="1">IFERROR(__xludf.DUMMYFUNCTION("""COMPUTED_VALUE"""),"₱ -")</f>
        <v>₱ -</v>
      </c>
      <c r="F4318" s="164" t="str">
        <f ca="1">IFERROR(__xludf.DUMMYFUNCTION("""COMPUTED_VALUE"""),"2023-05-03-10201SP1770-01")</f>
        <v>2023-05-03-10201SP1770-01</v>
      </c>
      <c r="G4318" s="164"/>
      <c r="H4318" s="164" t="str">
        <f ca="1">IFERROR(__xludf.DUMMYFUNCTION("""COMPUTED_VALUE"""),"Milagrosa B. Bulawan")</f>
        <v>Milagrosa B. Bulawan</v>
      </c>
      <c r="I4318" s="164" t="str">
        <f ca="1">IFERROR(__xludf.DUMMYFUNCTION("""COMPUTED_VALUE"""),"OIC-PARPO II")</f>
        <v>OIC-PARPO II</v>
      </c>
      <c r="J4318" s="164" t="str">
        <f ca="1">IFERROR(__xludf.DUMMYFUNCTION("""COMPUTED_VALUE"""),"R13SDN-102-2022-10-ICT-009")</f>
        <v>R13SDN-102-2022-10-ICT-009</v>
      </c>
      <c r="K4318" s="164" t="str">
        <f ca="1">IFERROR(__xludf.DUMMYFUNCTION("""COMPUTED_VALUE"""),"Cynthia Jaculba/Validator SDN")</f>
        <v>Cynthia Jaculba/Validator SDN</v>
      </c>
      <c r="L4318" s="164" t="str">
        <f ca="1">IFERROR(__xludf.DUMMYFUNCTION("""COMPUTED_VALUE"""),"PPMO - Surigao del Norte")</f>
        <v>PPMO - Surigao del Norte</v>
      </c>
      <c r="M4318" s="164" t="str">
        <f ca="1">IFERROR(__xludf.DUMMYFUNCTION("""COMPUTED_VALUE"""),"SERVICEABLE")</f>
        <v>SERVICEABLE</v>
      </c>
      <c r="N4318" s="164"/>
    </row>
    <row r="4319" spans="1:14" ht="13.2" hidden="1">
      <c r="A4319" s="164" t="str">
        <f ca="1">IFERROR(__xludf.DUMMYFUNCTION("""COMPUTED_VALUE"""),"CARAGA")</f>
        <v>CARAGA</v>
      </c>
      <c r="B4319" s="164" t="str">
        <f ca="1">IFERROR(__xludf.DUMMYFUNCTION("""COMPUTED_VALUE"""),"Surigao del Norte")</f>
        <v>Surigao del Norte</v>
      </c>
      <c r="C4319" s="164" t="str">
        <f ca="1">IFERROR(__xludf.DUMMYFUNCTION("""COMPUTED_VALUE"""),"Desktop Computer – (Lenovo M70T)")</f>
        <v>Desktop Computer – (Lenovo M70T)</v>
      </c>
      <c r="D4319" s="164" t="str">
        <f ca="1">IFERROR(__xludf.DUMMYFUNCTION("""COMPUTED_VALUE"""),"₱ 75,468.00")</f>
        <v>₱ 75,468.00</v>
      </c>
      <c r="E4319" s="164" t="str">
        <f ca="1">IFERROR(__xludf.DUMMYFUNCTION("""COMPUTED_VALUE"""),"₱ -")</f>
        <v>₱ -</v>
      </c>
      <c r="F4319" s="164" t="str">
        <f ca="1">IFERROR(__xludf.DUMMYFUNCTION("""COMPUTED_VALUE"""),"2023-05-03-10201SP1771-01")</f>
        <v>2023-05-03-10201SP1771-01</v>
      </c>
      <c r="G4319" s="164"/>
      <c r="H4319" s="164" t="str">
        <f ca="1">IFERROR(__xludf.DUMMYFUNCTION("""COMPUTED_VALUE"""),"Milagrosa B. Bulawan")</f>
        <v>Milagrosa B. Bulawan</v>
      </c>
      <c r="I4319" s="164" t="str">
        <f ca="1">IFERROR(__xludf.DUMMYFUNCTION("""COMPUTED_VALUE"""),"OIC-PARPO II")</f>
        <v>OIC-PARPO II</v>
      </c>
      <c r="J4319" s="164" t="str">
        <f ca="1">IFERROR(__xludf.DUMMYFUNCTION("""COMPUTED_VALUE"""),"R13SDN-102-2022-10-ICT-010")</f>
        <v>R13SDN-102-2022-10-ICT-010</v>
      </c>
      <c r="K4319" s="164" t="str">
        <f ca="1">IFERROR(__xludf.DUMMYFUNCTION("""COMPUTED_VALUE"""),"Jess Marie Araneta/Autocad PDI")</f>
        <v>Jess Marie Araneta/Autocad PDI</v>
      </c>
      <c r="L4319" s="164" t="str">
        <f ca="1">IFERROR(__xludf.DUMMYFUNCTION("""COMPUTED_VALUE"""),"PPMO - Surigao del Norte")</f>
        <v>PPMO - Surigao del Norte</v>
      </c>
      <c r="M4319" s="164" t="str">
        <f ca="1">IFERROR(__xludf.DUMMYFUNCTION("""COMPUTED_VALUE"""),"SERVICEABLE")</f>
        <v>SERVICEABLE</v>
      </c>
      <c r="N4319" s="164"/>
    </row>
    <row r="4320" spans="1:14" ht="13.2" hidden="1">
      <c r="A4320" s="164" t="str">
        <f ca="1">IFERROR(__xludf.DUMMYFUNCTION("""COMPUTED_VALUE"""),"CARAGA")</f>
        <v>CARAGA</v>
      </c>
      <c r="B4320" s="164" t="str">
        <f ca="1">IFERROR(__xludf.DUMMYFUNCTION("""COMPUTED_VALUE"""),"Surigao del Norte")</f>
        <v>Surigao del Norte</v>
      </c>
      <c r="C4320" s="164" t="str">
        <f ca="1">IFERROR(__xludf.DUMMYFUNCTION("""COMPUTED_VALUE"""),"Desktop Computer – (Lenovo M70T)")</f>
        <v>Desktop Computer – (Lenovo M70T)</v>
      </c>
      <c r="D4320" s="164" t="str">
        <f ca="1">IFERROR(__xludf.DUMMYFUNCTION("""COMPUTED_VALUE"""),"₱ 75,468.00")</f>
        <v>₱ 75,468.00</v>
      </c>
      <c r="E4320" s="164" t="str">
        <f ca="1">IFERROR(__xludf.DUMMYFUNCTION("""COMPUTED_VALUE"""),"₱ -")</f>
        <v>₱ -</v>
      </c>
      <c r="F4320" s="164" t="str">
        <f ca="1">IFERROR(__xludf.DUMMYFUNCTION("""COMPUTED_VALUE"""),"2023-05-03-10201SP1772-01")</f>
        <v>2023-05-03-10201SP1772-01</v>
      </c>
      <c r="G4320" s="164"/>
      <c r="H4320" s="164" t="str">
        <f ca="1">IFERROR(__xludf.DUMMYFUNCTION("""COMPUTED_VALUE"""),"Milagrosa B. Bulawan")</f>
        <v>Milagrosa B. Bulawan</v>
      </c>
      <c r="I4320" s="164" t="str">
        <f ca="1">IFERROR(__xludf.DUMMYFUNCTION("""COMPUTED_VALUE"""),"OIC-PARPO II")</f>
        <v>OIC-PARPO II</v>
      </c>
      <c r="J4320" s="164" t="str">
        <f ca="1">IFERROR(__xludf.DUMMYFUNCTION("""COMPUTED_VALUE"""),"R13SDN-102-2022-10-ICT-011")</f>
        <v>R13SDN-102-2022-10-ICT-011</v>
      </c>
      <c r="K4320" s="164" t="str">
        <f ca="1">IFERROR(__xludf.DUMMYFUNCTION("""COMPUTED_VALUE"""),"Cris Vincent Perez/Autocad SDN")</f>
        <v>Cris Vincent Perez/Autocad SDN</v>
      </c>
      <c r="L4320" s="164" t="str">
        <f ca="1">IFERROR(__xludf.DUMMYFUNCTION("""COMPUTED_VALUE"""),"PPMO - Surigao del Norte")</f>
        <v>PPMO - Surigao del Norte</v>
      </c>
      <c r="M4320" s="164" t="str">
        <f ca="1">IFERROR(__xludf.DUMMYFUNCTION("""COMPUTED_VALUE"""),"SERVICEABLE")</f>
        <v>SERVICEABLE</v>
      </c>
      <c r="N4320" s="164"/>
    </row>
    <row r="4321" spans="1:14" ht="13.2" hidden="1">
      <c r="A4321" s="164" t="str">
        <f ca="1">IFERROR(__xludf.DUMMYFUNCTION("""COMPUTED_VALUE"""),"CARAGA")</f>
        <v>CARAGA</v>
      </c>
      <c r="B4321" s="164" t="str">
        <f ca="1">IFERROR(__xludf.DUMMYFUNCTION("""COMPUTED_VALUE"""),"Surigao del Norte")</f>
        <v>Surigao del Norte</v>
      </c>
      <c r="C4321" s="164" t="str">
        <f ca="1">IFERROR(__xludf.DUMMYFUNCTION("""COMPUTED_VALUE"""),"Desktop Computer – (Lenovo M70T)")</f>
        <v>Desktop Computer – (Lenovo M70T)</v>
      </c>
      <c r="D4321" s="164" t="str">
        <f ca="1">IFERROR(__xludf.DUMMYFUNCTION("""COMPUTED_VALUE"""),"₱ 75,468.00")</f>
        <v>₱ 75,468.00</v>
      </c>
      <c r="E4321" s="164" t="str">
        <f ca="1">IFERROR(__xludf.DUMMYFUNCTION("""COMPUTED_VALUE"""),"₱ -")</f>
        <v>₱ -</v>
      </c>
      <c r="F4321" s="164" t="str">
        <f ca="1">IFERROR(__xludf.DUMMYFUNCTION("""COMPUTED_VALUE"""),"2023-05-03-10201SP1773-01")</f>
        <v>2023-05-03-10201SP1773-01</v>
      </c>
      <c r="G4321" s="164"/>
      <c r="H4321" s="164" t="str">
        <f ca="1">IFERROR(__xludf.DUMMYFUNCTION("""COMPUTED_VALUE"""),"Milagrosa B. Bulawan")</f>
        <v>Milagrosa B. Bulawan</v>
      </c>
      <c r="I4321" s="164" t="str">
        <f ca="1">IFERROR(__xludf.DUMMYFUNCTION("""COMPUTED_VALUE"""),"OIC-PARPO II")</f>
        <v>OIC-PARPO II</v>
      </c>
      <c r="J4321" s="164" t="str">
        <f ca="1">IFERROR(__xludf.DUMMYFUNCTION("""COMPUTED_VALUE"""),"R13SDN-102-2022-10-ICT-012")</f>
        <v>R13SDN-102-2022-10-ICT-012</v>
      </c>
      <c r="K4321" s="164" t="str">
        <f ca="1">IFERROR(__xludf.DUMMYFUNCTION("""COMPUTED_VALUE"""),"Rafael Arlan/Technical Staff SDN")</f>
        <v>Rafael Arlan/Technical Staff SDN</v>
      </c>
      <c r="L4321" s="164" t="str">
        <f ca="1">IFERROR(__xludf.DUMMYFUNCTION("""COMPUTED_VALUE"""),"PPMO - Surigao del Norte")</f>
        <v>PPMO - Surigao del Norte</v>
      </c>
      <c r="M4321" s="164" t="str">
        <f ca="1">IFERROR(__xludf.DUMMYFUNCTION("""COMPUTED_VALUE"""),"SERVICEABLE")</f>
        <v>SERVICEABLE</v>
      </c>
      <c r="N4321" s="164"/>
    </row>
    <row r="4322" spans="1:14" ht="13.2" hidden="1">
      <c r="A4322" s="164" t="str">
        <f ca="1">IFERROR(__xludf.DUMMYFUNCTION("""COMPUTED_VALUE"""),"CARAGA")</f>
        <v>CARAGA</v>
      </c>
      <c r="B4322" s="164" t="str">
        <f ca="1">IFERROR(__xludf.DUMMYFUNCTION("""COMPUTED_VALUE"""),"Surigao del Norte")</f>
        <v>Surigao del Norte</v>
      </c>
      <c r="C4322" s="164" t="str">
        <f ca="1">IFERROR(__xludf.DUMMYFUNCTION("""COMPUTED_VALUE"""),"Desktop Computer – (Lenovo M70T)")</f>
        <v>Desktop Computer – (Lenovo M70T)</v>
      </c>
      <c r="D4322" s="164" t="str">
        <f ca="1">IFERROR(__xludf.DUMMYFUNCTION("""COMPUTED_VALUE"""),"₱ 75,468.00")</f>
        <v>₱ 75,468.00</v>
      </c>
      <c r="E4322" s="164" t="str">
        <f ca="1">IFERROR(__xludf.DUMMYFUNCTION("""COMPUTED_VALUE"""),"₱ -")</f>
        <v>₱ -</v>
      </c>
      <c r="F4322" s="164" t="str">
        <f ca="1">IFERROR(__xludf.DUMMYFUNCTION("""COMPUTED_VALUE"""),"2023-05-03-10201SP1774-01")</f>
        <v>2023-05-03-10201SP1774-01</v>
      </c>
      <c r="G4322" s="164"/>
      <c r="H4322" s="164" t="str">
        <f ca="1">IFERROR(__xludf.DUMMYFUNCTION("""COMPUTED_VALUE"""),"Milagrosa B. Bulawan")</f>
        <v>Milagrosa B. Bulawan</v>
      </c>
      <c r="I4322" s="164" t="str">
        <f ca="1">IFERROR(__xludf.DUMMYFUNCTION("""COMPUTED_VALUE"""),"OIC-PARPO II")</f>
        <v>OIC-PARPO II</v>
      </c>
      <c r="J4322" s="164" t="str">
        <f ca="1">IFERROR(__xludf.DUMMYFUNCTION("""COMPUTED_VALUE"""),"R13SDN-102-2022-10-ICT-013")</f>
        <v>R13SDN-102-2022-10-ICT-013</v>
      </c>
      <c r="K4322" s="164" t="str">
        <f ca="1">IFERROR(__xludf.DUMMYFUNCTION("""COMPUTED_VALUE"""),"Lance Pangilinan/ MIS PDI")</f>
        <v>Lance Pangilinan/ MIS PDI</v>
      </c>
      <c r="L4322" s="164" t="str">
        <f ca="1">IFERROR(__xludf.DUMMYFUNCTION("""COMPUTED_VALUE"""),"PPMO - Surigao del Norte")</f>
        <v>PPMO - Surigao del Norte</v>
      </c>
      <c r="M4322" s="164" t="str">
        <f ca="1">IFERROR(__xludf.DUMMYFUNCTION("""COMPUTED_VALUE"""),"SERVICEABLE")</f>
        <v>SERVICEABLE</v>
      </c>
      <c r="N4322" s="164"/>
    </row>
    <row r="4323" spans="1:14" ht="13.2" hidden="1">
      <c r="A4323" s="164" t="str">
        <f ca="1">IFERROR(__xludf.DUMMYFUNCTION("""COMPUTED_VALUE"""),"CARAGA")</f>
        <v>CARAGA</v>
      </c>
      <c r="B4323" s="164" t="str">
        <f ca="1">IFERROR(__xludf.DUMMYFUNCTION("""COMPUTED_VALUE"""),"Surigao del Norte")</f>
        <v>Surigao del Norte</v>
      </c>
      <c r="C4323" s="164" t="str">
        <f ca="1">IFERROR(__xludf.DUMMYFUNCTION("""COMPUTED_VALUE"""),"Desktop Computer – (Lenovo M70T)")</f>
        <v>Desktop Computer – (Lenovo M70T)</v>
      </c>
      <c r="D4323" s="164" t="str">
        <f ca="1">IFERROR(__xludf.DUMMYFUNCTION("""COMPUTED_VALUE"""),"₱ 75,468.00")</f>
        <v>₱ 75,468.00</v>
      </c>
      <c r="E4323" s="164" t="str">
        <f ca="1">IFERROR(__xludf.DUMMYFUNCTION("""COMPUTED_VALUE"""),"₱ -")</f>
        <v>₱ -</v>
      </c>
      <c r="F4323" s="164" t="str">
        <f ca="1">IFERROR(__xludf.DUMMYFUNCTION("""COMPUTED_VALUE"""),"2023-05-03-10201SP1775-01")</f>
        <v>2023-05-03-10201SP1775-01</v>
      </c>
      <c r="G4323" s="164"/>
      <c r="H4323" s="164" t="str">
        <f ca="1">IFERROR(__xludf.DUMMYFUNCTION("""COMPUTED_VALUE"""),"Milagrosa B. Bulawan")</f>
        <v>Milagrosa B. Bulawan</v>
      </c>
      <c r="I4323" s="164" t="str">
        <f ca="1">IFERROR(__xludf.DUMMYFUNCTION("""COMPUTED_VALUE"""),"OIC-PARPO II")</f>
        <v>OIC-PARPO II</v>
      </c>
      <c r="J4323" s="164" t="str">
        <f ca="1">IFERROR(__xludf.DUMMYFUNCTION("""COMPUTED_VALUE"""),"R13SDN-102-2022-10-ICT-014")</f>
        <v>R13SDN-102-2022-10-ICT-014</v>
      </c>
      <c r="K4323" s="164" t="str">
        <f ca="1">IFERROR(__xludf.DUMMYFUNCTION("""COMPUTED_VALUE"""),"Lorevey Noriega/M&amp;E PDI")</f>
        <v>Lorevey Noriega/M&amp;E PDI</v>
      </c>
      <c r="L4323" s="164" t="str">
        <f ca="1">IFERROR(__xludf.DUMMYFUNCTION("""COMPUTED_VALUE"""),"PPMO - Surigao del Norte")</f>
        <v>PPMO - Surigao del Norte</v>
      </c>
      <c r="M4323" s="164" t="str">
        <f ca="1">IFERROR(__xludf.DUMMYFUNCTION("""COMPUTED_VALUE"""),"SERVICEABLE")</f>
        <v>SERVICEABLE</v>
      </c>
      <c r="N4323" s="164"/>
    </row>
    <row r="4324" spans="1:14" ht="13.2" hidden="1">
      <c r="A4324" s="164" t="str">
        <f ca="1">IFERROR(__xludf.DUMMYFUNCTION("""COMPUTED_VALUE"""),"CARAGA")</f>
        <v>CARAGA</v>
      </c>
      <c r="B4324" s="164" t="str">
        <f ca="1">IFERROR(__xludf.DUMMYFUNCTION("""COMPUTED_VALUE"""),"Surigao del Norte")</f>
        <v>Surigao del Norte</v>
      </c>
      <c r="C4324" s="164" t="str">
        <f ca="1">IFERROR(__xludf.DUMMYFUNCTION("""COMPUTED_VALUE"""),"Desktop Computer – (Lenovo M70T)")</f>
        <v>Desktop Computer – (Lenovo M70T)</v>
      </c>
      <c r="D4324" s="164" t="str">
        <f ca="1">IFERROR(__xludf.DUMMYFUNCTION("""COMPUTED_VALUE"""),"₱ 75,468.00")</f>
        <v>₱ 75,468.00</v>
      </c>
      <c r="E4324" s="164" t="str">
        <f ca="1">IFERROR(__xludf.DUMMYFUNCTION("""COMPUTED_VALUE"""),"₱ -")</f>
        <v>₱ -</v>
      </c>
      <c r="F4324" s="164" t="str">
        <f ca="1">IFERROR(__xludf.DUMMYFUNCTION("""COMPUTED_VALUE"""),"2023-05-03-10201SP1776-01")</f>
        <v>2023-05-03-10201SP1776-01</v>
      </c>
      <c r="G4324" s="164"/>
      <c r="H4324" s="164" t="str">
        <f ca="1">IFERROR(__xludf.DUMMYFUNCTION("""COMPUTED_VALUE"""),"Apolonio L. Macalos")</f>
        <v>Apolonio L. Macalos</v>
      </c>
      <c r="I4324" s="164" t="str">
        <f ca="1">IFERROR(__xludf.DUMMYFUNCTION("""COMPUTED_VALUE"""),"ACCOUNTANT II")</f>
        <v>ACCOUNTANT II</v>
      </c>
      <c r="J4324" s="164" t="str">
        <f ca="1">IFERROR(__xludf.DUMMYFUNCTION("""COMPUTED_VALUE"""),"R13SDN-102-2022-10-ICT-015")</f>
        <v>R13SDN-102-2022-10-ICT-015</v>
      </c>
      <c r="K4324" s="164" t="str">
        <f ca="1">IFERROR(__xludf.DUMMYFUNCTION("""COMPUTED_VALUE"""),"Rowena Bayogbog/Admin Fiannce PDI")</f>
        <v>Rowena Bayogbog/Admin Fiannce PDI</v>
      </c>
      <c r="L4324" s="164" t="str">
        <f ca="1">IFERROR(__xludf.DUMMYFUNCTION("""COMPUTED_VALUE"""),"PPMO - Surigao del Norte")</f>
        <v>PPMO - Surigao del Norte</v>
      </c>
      <c r="M4324" s="164" t="str">
        <f ca="1">IFERROR(__xludf.DUMMYFUNCTION("""COMPUTED_VALUE"""),"SERVICEABLE")</f>
        <v>SERVICEABLE</v>
      </c>
      <c r="N4324" s="164"/>
    </row>
    <row r="4325" spans="1:14" ht="13.2" hidden="1">
      <c r="A4325" s="164" t="str">
        <f ca="1">IFERROR(__xludf.DUMMYFUNCTION("""COMPUTED_VALUE"""),"CARAGA")</f>
        <v>CARAGA</v>
      </c>
      <c r="B4325" s="164" t="str">
        <f ca="1">IFERROR(__xludf.DUMMYFUNCTION("""COMPUTED_VALUE"""),"Surigao del Norte")</f>
        <v>Surigao del Norte</v>
      </c>
      <c r="C4325" s="164" t="str">
        <f ca="1">IFERROR(__xludf.DUMMYFUNCTION("""COMPUTED_VALUE"""),"Desktop Computer – (Lenovo M70T)")</f>
        <v>Desktop Computer – (Lenovo M70T)</v>
      </c>
      <c r="D4325" s="164" t="str">
        <f ca="1">IFERROR(__xludf.DUMMYFUNCTION("""COMPUTED_VALUE"""),"₱ 75,468.00")</f>
        <v>₱ 75,468.00</v>
      </c>
      <c r="E4325" s="164" t="str">
        <f ca="1">IFERROR(__xludf.DUMMYFUNCTION("""COMPUTED_VALUE"""),"₱ -")</f>
        <v>₱ -</v>
      </c>
      <c r="F4325" s="164" t="str">
        <f ca="1">IFERROR(__xludf.DUMMYFUNCTION("""COMPUTED_VALUE"""),"2023-05-03-10201SP1777-01")</f>
        <v>2023-05-03-10201SP1777-01</v>
      </c>
      <c r="G4325" s="164"/>
      <c r="H4325" s="164" t="str">
        <f ca="1">IFERROR(__xludf.DUMMYFUNCTION("""COMPUTED_VALUE"""),"Milagrosa B. Bulawan")</f>
        <v>Milagrosa B. Bulawan</v>
      </c>
      <c r="I4325" s="164" t="str">
        <f ca="1">IFERROR(__xludf.DUMMYFUNCTION("""COMPUTED_VALUE"""),"OIC-PARPO II")</f>
        <v>OIC-PARPO II</v>
      </c>
      <c r="J4325" s="164" t="str">
        <f ca="1">IFERROR(__xludf.DUMMYFUNCTION("""COMPUTED_VALUE"""),"R13SDN-102-2022-10-ICT-016")</f>
        <v>R13SDN-102-2022-10-ICT-016</v>
      </c>
      <c r="K4325" s="164" t="str">
        <f ca="1">IFERROR(__xludf.DUMMYFUNCTION("""COMPUTED_VALUE"""),"Jireh Quisto/ It Support SDN")</f>
        <v>Jireh Quisto/ It Support SDN</v>
      </c>
      <c r="L4325" s="164" t="str">
        <f ca="1">IFERROR(__xludf.DUMMYFUNCTION("""COMPUTED_VALUE"""),"PPMO - Surigao del Norte")</f>
        <v>PPMO - Surigao del Norte</v>
      </c>
      <c r="M4325" s="164" t="str">
        <f ca="1">IFERROR(__xludf.DUMMYFUNCTION("""COMPUTED_VALUE"""),"SERVICEABLE")</f>
        <v>SERVICEABLE</v>
      </c>
      <c r="N4325" s="164"/>
    </row>
    <row r="4326" spans="1:14" ht="13.2" hidden="1">
      <c r="A4326" s="164" t="str">
        <f ca="1">IFERROR(__xludf.DUMMYFUNCTION("""COMPUTED_VALUE"""),"CARAGA")</f>
        <v>CARAGA</v>
      </c>
      <c r="B4326" s="164" t="str">
        <f ca="1">IFERROR(__xludf.DUMMYFUNCTION("""COMPUTED_VALUE"""),"Surigao del Norte")</f>
        <v>Surigao del Norte</v>
      </c>
      <c r="C4326" s="164" t="str">
        <f ca="1">IFERROR(__xludf.DUMMYFUNCTION("""COMPUTED_VALUE"""),"Desktop Computer – (Lenovo M70T)")</f>
        <v>Desktop Computer – (Lenovo M70T)</v>
      </c>
      <c r="D4326" s="164" t="str">
        <f ca="1">IFERROR(__xludf.DUMMYFUNCTION("""COMPUTED_VALUE"""),"₱ 75,468.00")</f>
        <v>₱ 75,468.00</v>
      </c>
      <c r="E4326" s="164" t="str">
        <f ca="1">IFERROR(__xludf.DUMMYFUNCTION("""COMPUTED_VALUE"""),"₱ -")</f>
        <v>₱ -</v>
      </c>
      <c r="F4326" s="164" t="str">
        <f ca="1">IFERROR(__xludf.DUMMYFUNCTION("""COMPUTED_VALUE"""),"2023-05-03-10201SP1778-01")</f>
        <v>2023-05-03-10201SP1778-01</v>
      </c>
      <c r="G4326" s="164"/>
      <c r="H4326" s="164" t="str">
        <f ca="1">IFERROR(__xludf.DUMMYFUNCTION("""COMPUTED_VALUE"""),"Rafael Nicolas R. Febrero")</f>
        <v>Rafael Nicolas R. Febrero</v>
      </c>
      <c r="I4326" s="164" t="str">
        <f ca="1">IFERROR(__xludf.DUMMYFUNCTION("""COMPUTED_VALUE"""),"AO IV")</f>
        <v>AO IV</v>
      </c>
      <c r="J4326" s="164" t="str">
        <f ca="1">IFERROR(__xludf.DUMMYFUNCTION("""COMPUTED_VALUE"""),"R13SDN-102-2022-10-ICT-017")</f>
        <v>R13SDN-102-2022-10-ICT-017</v>
      </c>
      <c r="K4326" s="164" t="str">
        <f ca="1">IFERROR(__xludf.DUMMYFUNCTION("""COMPUTED_VALUE"""),"Charlie Nogaliza/Admin PDI")</f>
        <v>Charlie Nogaliza/Admin PDI</v>
      </c>
      <c r="L4326" s="164" t="str">
        <f ca="1">IFERROR(__xludf.DUMMYFUNCTION("""COMPUTED_VALUE"""),"PPMO - Surigao del Norte")</f>
        <v>PPMO - Surigao del Norte</v>
      </c>
      <c r="M4326" s="164" t="str">
        <f ca="1">IFERROR(__xludf.DUMMYFUNCTION("""COMPUTED_VALUE"""),"SERVICEABLE")</f>
        <v>SERVICEABLE</v>
      </c>
      <c r="N4326" s="164"/>
    </row>
    <row r="4327" spans="1:14" ht="13.2" hidden="1">
      <c r="A4327" s="164" t="str">
        <f ca="1">IFERROR(__xludf.DUMMYFUNCTION("""COMPUTED_VALUE"""),"CARAGA")</f>
        <v>CARAGA</v>
      </c>
      <c r="B4327" s="164" t="str">
        <f ca="1">IFERROR(__xludf.DUMMYFUNCTION("""COMPUTED_VALUE"""),"Surigao del Norte")</f>
        <v>Surigao del Norte</v>
      </c>
      <c r="C4327" s="164" t="str">
        <f ca="1">IFERROR(__xludf.DUMMYFUNCTION("""COMPUTED_VALUE"""),"Desktop Computer – (Lenovo M70T)")</f>
        <v>Desktop Computer – (Lenovo M70T)</v>
      </c>
      <c r="D4327" s="164" t="str">
        <f ca="1">IFERROR(__xludf.DUMMYFUNCTION("""COMPUTED_VALUE"""),"₱ 75,468.00")</f>
        <v>₱ 75,468.00</v>
      </c>
      <c r="E4327" s="164" t="str">
        <f ca="1">IFERROR(__xludf.DUMMYFUNCTION("""COMPUTED_VALUE"""),"₱ -")</f>
        <v>₱ -</v>
      </c>
      <c r="F4327" s="164" t="str">
        <f ca="1">IFERROR(__xludf.DUMMYFUNCTION("""COMPUTED_VALUE"""),"2023-05-03-10201SP1779-01")</f>
        <v>2023-05-03-10201SP1779-01</v>
      </c>
      <c r="G4327" s="164"/>
      <c r="H4327" s="164" t="str">
        <f ca="1">IFERROR(__xludf.DUMMYFUNCTION("""COMPUTED_VALUE"""),"Rafael Nicolas R. Febrero")</f>
        <v>Rafael Nicolas R. Febrero</v>
      </c>
      <c r="I4327" s="164" t="str">
        <f ca="1">IFERROR(__xludf.DUMMYFUNCTION("""COMPUTED_VALUE"""),"GSS HEAD")</f>
        <v>GSS HEAD</v>
      </c>
      <c r="J4327" s="164" t="str">
        <f ca="1">IFERROR(__xludf.DUMMYFUNCTION("""COMPUTED_VALUE"""),"R13SDN-102-2022-10-ICT-018")</f>
        <v>R13SDN-102-2022-10-ICT-018</v>
      </c>
      <c r="K4327" s="164" t="str">
        <f ca="1">IFERROR(__xludf.DUMMYFUNCTION("""COMPUTED_VALUE"""),"Jestony Makalolot/Procurement PDI")</f>
        <v>Jestony Makalolot/Procurement PDI</v>
      </c>
      <c r="L4327" s="164" t="str">
        <f ca="1">IFERROR(__xludf.DUMMYFUNCTION("""COMPUTED_VALUE"""),"PPMO - Surigao del Norte")</f>
        <v>PPMO - Surigao del Norte</v>
      </c>
      <c r="M4327" s="164" t="str">
        <f ca="1">IFERROR(__xludf.DUMMYFUNCTION("""COMPUTED_VALUE"""),"SERVICEABLE")</f>
        <v>SERVICEABLE</v>
      </c>
      <c r="N4327" s="164"/>
    </row>
    <row r="4328" spans="1:14" ht="13.2" hidden="1">
      <c r="A4328" s="164" t="str">
        <f ca="1">IFERROR(__xludf.DUMMYFUNCTION("""COMPUTED_VALUE"""),"CARAGA")</f>
        <v>CARAGA</v>
      </c>
      <c r="B4328" s="164" t="str">
        <f ca="1">IFERROR(__xludf.DUMMYFUNCTION("""COMPUTED_VALUE"""),"Surigao del Norte")</f>
        <v>Surigao del Norte</v>
      </c>
      <c r="C4328" s="164" t="str">
        <f ca="1">IFERROR(__xludf.DUMMYFUNCTION("""COMPUTED_VALUE"""),"A3 PRINTER (BROTHER)")</f>
        <v>A3 PRINTER (BROTHER)</v>
      </c>
      <c r="D4328" s="164" t="str">
        <f ca="1">IFERROR(__xludf.DUMMYFUNCTION("""COMPUTED_VALUE"""),"₱ 33,508.00")</f>
        <v>₱ 33,508.00</v>
      </c>
      <c r="E4328" s="164" t="str">
        <f ca="1">IFERROR(__xludf.DUMMYFUNCTION("""COMPUTED_VALUE"""),"₱ -")</f>
        <v>₱ -</v>
      </c>
      <c r="F4328" s="164" t="str">
        <f ca="1">IFERROR(__xludf.DUMMYFUNCTION("""COMPUTED_VALUE"""),"HV-SPLIT-102-24-05-63")</f>
        <v>HV-SPLIT-102-24-05-63</v>
      </c>
      <c r="G4328" s="164"/>
      <c r="H4328" s="164" t="str">
        <f ca="1">IFERROR(__xludf.DUMMYFUNCTION("""COMPUTED_VALUE"""),"RECHEL D. BESONIA")</f>
        <v>RECHEL D. BESONIA</v>
      </c>
      <c r="I4328" s="164" t="str">
        <f ca="1">IFERROR(__xludf.DUMMYFUNCTION("""COMPUTED_VALUE"""),"SUPPLY OFFICER")</f>
        <v>SUPPLY OFFICER</v>
      </c>
      <c r="J4328" s="164" t="str">
        <f ca="1">IFERROR(__xludf.DUMMYFUNCTION("""COMPUTED_VALUE"""),"2024-03-014")</f>
        <v>2024-03-014</v>
      </c>
      <c r="K4328" s="164"/>
      <c r="L4328" s="164" t="str">
        <f ca="1">IFERROR(__xludf.DUMMYFUNCTION("""COMPUTED_VALUE"""),"DARPO SURIGAO NORTE")</f>
        <v>DARPO SURIGAO NORTE</v>
      </c>
      <c r="M4328" s="164"/>
      <c r="N4328" s="164"/>
    </row>
    <row r="4329" spans="1:14" ht="13.2" hidden="1">
      <c r="A4329" s="164" t="str">
        <f ca="1">IFERROR(__xludf.DUMMYFUNCTION("""COMPUTED_VALUE"""),"CARAGA")</f>
        <v>CARAGA</v>
      </c>
      <c r="B4329" s="164" t="str">
        <f ca="1">IFERROR(__xludf.DUMMYFUNCTION("""COMPUTED_VALUE"""),"Surigao del Sur")</f>
        <v>Surigao del Sur</v>
      </c>
      <c r="C4329" s="164" t="str">
        <f ca="1">IFERROR(__xludf.DUMMYFUNCTION("""COMPUTED_VALUE"""),"Desktop Computer – (Lenovo M70T)")</f>
        <v>Desktop Computer – (Lenovo M70T)</v>
      </c>
      <c r="D4329" s="164" t="str">
        <f ca="1">IFERROR(__xludf.DUMMYFUNCTION("""COMPUTED_VALUE"""),"₱ 75,468.00")</f>
        <v>₱ 75,468.00</v>
      </c>
      <c r="E4329" s="164" t="str">
        <f ca="1">IFERROR(__xludf.DUMMYFUNCTION("""COMPUTED_VALUE"""),"₱ -")</f>
        <v>₱ -</v>
      </c>
      <c r="F4329" s="164" t="str">
        <f ca="1">IFERROR(__xludf.DUMMYFUNCTION("""COMPUTED_VALUE"""),"2023-05-03-10201SP1784-01")</f>
        <v>2023-05-03-10201SP1784-01</v>
      </c>
      <c r="G4329" s="164" t="str">
        <f ca="1">IFERROR(__xludf.DUMMYFUNCTION("""COMPUTED_VALUE"""),"1S11T5S16200GM041AWB")</f>
        <v>1S11T5S16200GM041AWB</v>
      </c>
      <c r="H4329" s="164" t="str">
        <f ca="1">IFERROR(__xludf.DUMMYFUNCTION("""COMPUTED_VALUE"""),"Jacinto L. Diaz Jr.")</f>
        <v>Jacinto L. Diaz Jr.</v>
      </c>
      <c r="I4329" s="164" t="str">
        <f ca="1">IFERROR(__xludf.DUMMYFUNCTION("""COMPUTED_VALUE"""),"OIC-CARPO")</f>
        <v>OIC-CARPO</v>
      </c>
      <c r="J4329" s="164" t="str">
        <f ca="1">IFERROR(__xludf.DUMMYFUNCTION("""COMPUTED_VALUE"""),"2023-SPLIT-01")</f>
        <v>2023-SPLIT-01</v>
      </c>
      <c r="K4329" s="164" t="str">
        <f ca="1">IFERROR(__xludf.DUMMYFUNCTION("""COMPUTED_VALUE"""),"Christine Dawn Japson")</f>
        <v>Christine Dawn Japson</v>
      </c>
      <c r="L4329" s="164" t="str">
        <f ca="1">IFERROR(__xludf.DUMMYFUNCTION("""COMPUTED_VALUE"""),"PPMO -LTID, Surigao del Sur")</f>
        <v>PPMO -LTID, Surigao del Sur</v>
      </c>
      <c r="M4329" s="164" t="str">
        <f ca="1">IFERROR(__xludf.DUMMYFUNCTION("""COMPUTED_VALUE"""),"SERVICEABLE")</f>
        <v>SERVICEABLE</v>
      </c>
      <c r="N4329" s="164"/>
    </row>
    <row r="4330" spans="1:14" ht="13.2" hidden="1">
      <c r="A4330" s="164" t="str">
        <f ca="1">IFERROR(__xludf.DUMMYFUNCTION("""COMPUTED_VALUE"""),"CARAGA")</f>
        <v>CARAGA</v>
      </c>
      <c r="B4330" s="164" t="str">
        <f ca="1">IFERROR(__xludf.DUMMYFUNCTION("""COMPUTED_VALUE"""),"Surigao del Sur")</f>
        <v>Surigao del Sur</v>
      </c>
      <c r="C4330" s="164" t="str">
        <f ca="1">IFERROR(__xludf.DUMMYFUNCTION("""COMPUTED_VALUE"""),"Desktop Computer – (Lenovo M70T)")</f>
        <v>Desktop Computer – (Lenovo M70T)</v>
      </c>
      <c r="D4330" s="164" t="str">
        <f ca="1">IFERROR(__xludf.DUMMYFUNCTION("""COMPUTED_VALUE"""),"₱ 75,468.00")</f>
        <v>₱ 75,468.00</v>
      </c>
      <c r="E4330" s="164" t="str">
        <f ca="1">IFERROR(__xludf.DUMMYFUNCTION("""COMPUTED_VALUE"""),"₱ -")</f>
        <v>₱ -</v>
      </c>
      <c r="F4330" s="164" t="str">
        <f ca="1">IFERROR(__xludf.DUMMYFUNCTION("""COMPUTED_VALUE"""),"2023-05-03-10201SP1785-01")</f>
        <v>2023-05-03-10201SP1785-01</v>
      </c>
      <c r="G4330" s="164" t="str">
        <f ca="1">IFERROR(__xludf.DUMMYFUNCTION("""COMPUTED_VALUE"""),"1S11T5S16200GM041AWE")</f>
        <v>1S11T5S16200GM041AWE</v>
      </c>
      <c r="H4330" s="164" t="str">
        <f ca="1">IFERROR(__xludf.DUMMYFUNCTION("""COMPUTED_VALUE"""),"Jacinto L. Diaz Jr.")</f>
        <v>Jacinto L. Diaz Jr.</v>
      </c>
      <c r="I4330" s="164" t="str">
        <f ca="1">IFERROR(__xludf.DUMMYFUNCTION("""COMPUTED_VALUE"""),"OIC-CARPO")</f>
        <v>OIC-CARPO</v>
      </c>
      <c r="J4330" s="164" t="str">
        <f ca="1">IFERROR(__xludf.DUMMYFUNCTION("""COMPUTED_VALUE"""),"2023-SPLIT-02")</f>
        <v>2023-SPLIT-02</v>
      </c>
      <c r="K4330" s="164" t="str">
        <f ca="1">IFERROR(__xludf.DUMMYFUNCTION("""COMPUTED_VALUE"""),"Jeryl Villason")</f>
        <v>Jeryl Villason</v>
      </c>
      <c r="L4330" s="164" t="str">
        <f ca="1">IFERROR(__xludf.DUMMYFUNCTION("""COMPUTED_VALUE"""),"PPMO -LTID, Surigao del Sur")</f>
        <v>PPMO -LTID, Surigao del Sur</v>
      </c>
      <c r="M4330" s="164" t="str">
        <f ca="1">IFERROR(__xludf.DUMMYFUNCTION("""COMPUTED_VALUE"""),"SERVICEABLE")</f>
        <v>SERVICEABLE</v>
      </c>
      <c r="N4330" s="164"/>
    </row>
    <row r="4331" spans="1:14" ht="13.2" hidden="1">
      <c r="A4331" s="164" t="str">
        <f ca="1">IFERROR(__xludf.DUMMYFUNCTION("""COMPUTED_VALUE"""),"CARAGA")</f>
        <v>CARAGA</v>
      </c>
      <c r="B4331" s="164" t="str">
        <f ca="1">IFERROR(__xludf.DUMMYFUNCTION("""COMPUTED_VALUE"""),"Surigao del Sur")</f>
        <v>Surigao del Sur</v>
      </c>
      <c r="C4331" s="164" t="str">
        <f ca="1">IFERROR(__xludf.DUMMYFUNCTION("""COMPUTED_VALUE"""),"Desktop Computer – (Lenovo M70T)")</f>
        <v>Desktop Computer – (Lenovo M70T)</v>
      </c>
      <c r="D4331" s="164" t="str">
        <f ca="1">IFERROR(__xludf.DUMMYFUNCTION("""COMPUTED_VALUE"""),"₱ 75,468.00")</f>
        <v>₱ 75,468.00</v>
      </c>
      <c r="E4331" s="164" t="str">
        <f ca="1">IFERROR(__xludf.DUMMYFUNCTION("""COMPUTED_VALUE"""),"₱ -")</f>
        <v>₱ -</v>
      </c>
      <c r="F4331" s="164" t="str">
        <f ca="1">IFERROR(__xludf.DUMMYFUNCTION("""COMPUTED_VALUE"""),"2023-05-03-10201SP1786-01")</f>
        <v>2023-05-03-10201SP1786-01</v>
      </c>
      <c r="G4331" s="164" t="str">
        <f ca="1">IFERROR(__xludf.DUMMYFUNCTION("""COMPUTED_VALUE"""),"1S11T5S16200GM041AWG")</f>
        <v>1S11T5S16200GM041AWG</v>
      </c>
      <c r="H4331" s="164" t="str">
        <f ca="1">IFERROR(__xludf.DUMMYFUNCTION("""COMPUTED_VALUE"""),"Jacinto L. Diaz Jr.")</f>
        <v>Jacinto L. Diaz Jr.</v>
      </c>
      <c r="I4331" s="164" t="str">
        <f ca="1">IFERROR(__xludf.DUMMYFUNCTION("""COMPUTED_VALUE"""),"OIC-CARPO")</f>
        <v>OIC-CARPO</v>
      </c>
      <c r="J4331" s="164" t="str">
        <f ca="1">IFERROR(__xludf.DUMMYFUNCTION("""COMPUTED_VALUE"""),"2023-SPLIT-03")</f>
        <v>2023-SPLIT-03</v>
      </c>
      <c r="K4331" s="164" t="str">
        <f ca="1">IFERROR(__xludf.DUMMYFUNCTION("""COMPUTED_VALUE"""),"Ruben Carlo R. Clenur")</f>
        <v>Ruben Carlo R. Clenur</v>
      </c>
      <c r="L4331" s="164" t="str">
        <f ca="1">IFERROR(__xludf.DUMMYFUNCTION("""COMPUTED_VALUE"""),"PPMO -LTID, Surigao del Sur")</f>
        <v>PPMO -LTID, Surigao del Sur</v>
      </c>
      <c r="M4331" s="164" t="str">
        <f ca="1">IFERROR(__xludf.DUMMYFUNCTION("""COMPUTED_VALUE"""),"SERVICEABLE")</f>
        <v>SERVICEABLE</v>
      </c>
      <c r="N4331" s="164" t="str">
        <f ca="1">IFERROR(__xludf.DUMMYFUNCTION("""COMPUTED_VALUE"""),"UPS is unserviceable")</f>
        <v>UPS is unserviceable</v>
      </c>
    </row>
    <row r="4332" spans="1:14" ht="13.2" hidden="1">
      <c r="A4332" s="164" t="str">
        <f ca="1">IFERROR(__xludf.DUMMYFUNCTION("""COMPUTED_VALUE"""),"CARAGA")</f>
        <v>CARAGA</v>
      </c>
      <c r="B4332" s="164" t="str">
        <f ca="1">IFERROR(__xludf.DUMMYFUNCTION("""COMPUTED_VALUE"""),"Surigao del Sur")</f>
        <v>Surigao del Sur</v>
      </c>
      <c r="C4332" s="164" t="str">
        <f ca="1">IFERROR(__xludf.DUMMYFUNCTION("""COMPUTED_VALUE"""),"Desktop Computer – (Lenovo M70T)")</f>
        <v>Desktop Computer – (Lenovo M70T)</v>
      </c>
      <c r="D4332" s="164" t="str">
        <f ca="1">IFERROR(__xludf.DUMMYFUNCTION("""COMPUTED_VALUE"""),"₱ 75,468.00")</f>
        <v>₱ 75,468.00</v>
      </c>
      <c r="E4332" s="164" t="str">
        <f ca="1">IFERROR(__xludf.DUMMYFUNCTION("""COMPUTED_VALUE"""),"₱ -")</f>
        <v>₱ -</v>
      </c>
      <c r="F4332" s="164" t="str">
        <f ca="1">IFERROR(__xludf.DUMMYFUNCTION("""COMPUTED_VALUE"""),"2023-05-03-10201SP1787-01")</f>
        <v>2023-05-03-10201SP1787-01</v>
      </c>
      <c r="G4332" s="164" t="str">
        <f ca="1">IFERROR(__xludf.DUMMYFUNCTION("""COMPUTED_VALUE"""),"1S11T5S16200GM041AWM")</f>
        <v>1S11T5S16200GM041AWM</v>
      </c>
      <c r="H4332" s="164" t="str">
        <f ca="1">IFERROR(__xludf.DUMMYFUNCTION("""COMPUTED_VALUE"""),"Jacinto L. Diaz Jr.")</f>
        <v>Jacinto L. Diaz Jr.</v>
      </c>
      <c r="I4332" s="164" t="str">
        <f ca="1">IFERROR(__xludf.DUMMYFUNCTION("""COMPUTED_VALUE"""),"OIC-CARPO")</f>
        <v>OIC-CARPO</v>
      </c>
      <c r="J4332" s="164" t="str">
        <f ca="1">IFERROR(__xludf.DUMMYFUNCTION("""COMPUTED_VALUE"""),"2023-SPLIT-04")</f>
        <v>2023-SPLIT-04</v>
      </c>
      <c r="K4332" s="164" t="str">
        <f ca="1">IFERROR(__xludf.DUMMYFUNCTION("""COMPUTED_VALUE"""),"Ellaine Rose Bautista")</f>
        <v>Ellaine Rose Bautista</v>
      </c>
      <c r="L4332" s="164" t="str">
        <f ca="1">IFERROR(__xludf.DUMMYFUNCTION("""COMPUTED_VALUE"""),"PPMO -LTID, Surigao del Sur")</f>
        <v>PPMO -LTID, Surigao del Sur</v>
      </c>
      <c r="M4332" s="164" t="str">
        <f ca="1">IFERROR(__xludf.DUMMYFUNCTION("""COMPUTED_VALUE"""),"SERVICEABLE")</f>
        <v>SERVICEABLE</v>
      </c>
      <c r="N4332" s="164"/>
    </row>
    <row r="4333" spans="1:14" ht="13.2" hidden="1">
      <c r="A4333" s="164" t="str">
        <f ca="1">IFERROR(__xludf.DUMMYFUNCTION("""COMPUTED_VALUE"""),"CARAGA")</f>
        <v>CARAGA</v>
      </c>
      <c r="B4333" s="164" t="str">
        <f ca="1">IFERROR(__xludf.DUMMYFUNCTION("""COMPUTED_VALUE"""),"Surigao del Sur")</f>
        <v>Surigao del Sur</v>
      </c>
      <c r="C4333" s="164" t="str">
        <f ca="1">IFERROR(__xludf.DUMMYFUNCTION("""COMPUTED_VALUE"""),"Desktop Computer – (Lenovo M70T)")</f>
        <v>Desktop Computer – (Lenovo M70T)</v>
      </c>
      <c r="D4333" s="164" t="str">
        <f ca="1">IFERROR(__xludf.DUMMYFUNCTION("""COMPUTED_VALUE"""),"₱ 75,468.00")</f>
        <v>₱ 75,468.00</v>
      </c>
      <c r="E4333" s="164" t="str">
        <f ca="1">IFERROR(__xludf.DUMMYFUNCTION("""COMPUTED_VALUE"""),"₱ -")</f>
        <v>₱ -</v>
      </c>
      <c r="F4333" s="164" t="str">
        <f ca="1">IFERROR(__xludf.DUMMYFUNCTION("""COMPUTED_VALUE"""),"2023-05-03-10201SP1788-01")</f>
        <v>2023-05-03-10201SP1788-01</v>
      </c>
      <c r="G4333" s="164" t="str">
        <f ca="1">IFERROR(__xludf.DUMMYFUNCTION("""COMPUTED_VALUE"""),"1S11T5S16200GM041AWP")</f>
        <v>1S11T5S16200GM041AWP</v>
      </c>
      <c r="H4333" s="164" t="str">
        <f ca="1">IFERROR(__xludf.DUMMYFUNCTION("""COMPUTED_VALUE"""),"Atty. Glenn L. Auza")</f>
        <v>Atty. Glenn L. Auza</v>
      </c>
      <c r="I4333" s="164" t="str">
        <f ca="1">IFERROR(__xludf.DUMMYFUNCTION("""COMPUTED_VALUE"""),"RARAD")</f>
        <v>RARAD</v>
      </c>
      <c r="J4333" s="164" t="str">
        <f ca="1">IFERROR(__xludf.DUMMYFUNCTION("""COMPUTED_VALUE"""),"2023-SPLIT-05")</f>
        <v>2023-SPLIT-05</v>
      </c>
      <c r="K4333" s="164" t="str">
        <f ca="1">IFERROR(__xludf.DUMMYFUNCTION("""COMPUTED_VALUE"""),"Atty. Glenn L. Auza")</f>
        <v>Atty. Glenn L. Auza</v>
      </c>
      <c r="L4333" s="164" t="str">
        <f ca="1">IFERROR(__xludf.DUMMYFUNCTION("""COMPUTED_VALUE"""),"PARAD, Surigao del Sur")</f>
        <v>PARAD, Surigao del Sur</v>
      </c>
      <c r="M4333" s="164" t="str">
        <f ca="1">IFERROR(__xludf.DUMMYFUNCTION("""COMPUTED_VALUE"""),"SERVICEABLE")</f>
        <v>SERVICEABLE</v>
      </c>
      <c r="N4333" s="164" t="str">
        <f ca="1">IFERROR(__xludf.DUMMYFUNCTION("""COMPUTED_VALUE"""),"Printer is unserviceable")</f>
        <v>Printer is unserviceable</v>
      </c>
    </row>
    <row r="4334" spans="1:14" ht="13.2" hidden="1">
      <c r="A4334" s="164" t="str">
        <f ca="1">IFERROR(__xludf.DUMMYFUNCTION("""COMPUTED_VALUE"""),"CARAGA")</f>
        <v>CARAGA</v>
      </c>
      <c r="B4334" s="164" t="str">
        <f ca="1">IFERROR(__xludf.DUMMYFUNCTION("""COMPUTED_VALUE"""),"Surigao del Sur")</f>
        <v>Surigao del Sur</v>
      </c>
      <c r="C4334" s="164" t="str">
        <f ca="1">IFERROR(__xludf.DUMMYFUNCTION("""COMPUTED_VALUE"""),"Desktop Computer – (Lenovo M70T)")</f>
        <v>Desktop Computer – (Lenovo M70T)</v>
      </c>
      <c r="D4334" s="164" t="str">
        <f ca="1">IFERROR(__xludf.DUMMYFUNCTION("""COMPUTED_VALUE"""),"₱ 75,468.00")</f>
        <v>₱ 75,468.00</v>
      </c>
      <c r="E4334" s="164" t="str">
        <f ca="1">IFERROR(__xludf.DUMMYFUNCTION("""COMPUTED_VALUE"""),"₱ -")</f>
        <v>₱ -</v>
      </c>
      <c r="F4334" s="164" t="str">
        <f ca="1">IFERROR(__xludf.DUMMYFUNCTION("""COMPUTED_VALUE"""),"2023-05-03-10201SP1789-01")</f>
        <v>2023-05-03-10201SP1789-01</v>
      </c>
      <c r="G4334" s="164" t="str">
        <f ca="1">IFERROR(__xludf.DUMMYFUNCTION("""COMPUTED_VALUE"""),"1S11T5S16200GM041AX0")</f>
        <v>1S11T5S16200GM041AX0</v>
      </c>
      <c r="H4334" s="164" t="str">
        <f ca="1">IFERROR(__xludf.DUMMYFUNCTION("""COMPUTED_VALUE"""),"Mayluna P. Simplicio")</f>
        <v>Mayluna P. Simplicio</v>
      </c>
      <c r="I4334" s="164" t="str">
        <f ca="1">IFERROR(__xludf.DUMMYFUNCTION("""COMPUTED_VALUE"""),"MARPO")</f>
        <v>MARPO</v>
      </c>
      <c r="J4334" s="164" t="str">
        <f ca="1">IFERROR(__xludf.DUMMYFUNCTION("""COMPUTED_VALUE"""),"2023-SPLIT-06")</f>
        <v>2023-SPLIT-06</v>
      </c>
      <c r="K4334" s="164" t="str">
        <f ca="1">IFERROR(__xludf.DUMMYFUNCTION("""COMPUTED_VALUE"""),"Merbeth Jean Quilisadio")</f>
        <v>Merbeth Jean Quilisadio</v>
      </c>
      <c r="L4334" s="164" t="str">
        <f ca="1">IFERROR(__xludf.DUMMYFUNCTION("""COMPUTED_VALUE"""),"DARMO-TANDAG, SDS")</f>
        <v>DARMO-TANDAG, SDS</v>
      </c>
      <c r="M4334" s="164" t="str">
        <f ca="1">IFERROR(__xludf.DUMMYFUNCTION("""COMPUTED_VALUE"""),"SERVICEABLE")</f>
        <v>SERVICEABLE</v>
      </c>
      <c r="N4334" s="164"/>
    </row>
    <row r="4335" spans="1:14" ht="13.2" hidden="1">
      <c r="A4335" s="164" t="str">
        <f ca="1">IFERROR(__xludf.DUMMYFUNCTION("""COMPUTED_VALUE"""),"CARAGA")</f>
        <v>CARAGA</v>
      </c>
      <c r="B4335" s="164" t="str">
        <f ca="1">IFERROR(__xludf.DUMMYFUNCTION("""COMPUTED_VALUE"""),"Surigao del Sur")</f>
        <v>Surigao del Sur</v>
      </c>
      <c r="C4335" s="164" t="str">
        <f ca="1">IFERROR(__xludf.DUMMYFUNCTION("""COMPUTED_VALUE"""),"Desktop Computer – (Lenovo M70T)")</f>
        <v>Desktop Computer – (Lenovo M70T)</v>
      </c>
      <c r="D4335" s="164" t="str">
        <f ca="1">IFERROR(__xludf.DUMMYFUNCTION("""COMPUTED_VALUE"""),"₱ 75,468.00")</f>
        <v>₱ 75,468.00</v>
      </c>
      <c r="E4335" s="164" t="str">
        <f ca="1">IFERROR(__xludf.DUMMYFUNCTION("""COMPUTED_VALUE"""),"₱ -")</f>
        <v>₱ -</v>
      </c>
      <c r="F4335" s="164" t="str">
        <f ca="1">IFERROR(__xludf.DUMMYFUNCTION("""COMPUTED_VALUE"""),"2023-05-03-10201SP1790-01")</f>
        <v>2023-05-03-10201SP1790-01</v>
      </c>
      <c r="G4335" s="164" t="str">
        <f ca="1">IFERROR(__xludf.DUMMYFUNCTION("""COMPUTED_VALUE"""),"1S11T5S16200GM041AX1")</f>
        <v>1S11T5S16200GM041AX1</v>
      </c>
      <c r="H4335" s="164" t="str">
        <f ca="1">IFERROR(__xludf.DUMMYFUNCTION("""COMPUTED_VALUE"""),"Karen D. Cagalawan")</f>
        <v>Karen D. Cagalawan</v>
      </c>
      <c r="I4335" s="164" t="str">
        <f ca="1">IFERROR(__xludf.DUMMYFUNCTION("""COMPUTED_VALUE"""),"MARPO")</f>
        <v>MARPO</v>
      </c>
      <c r="J4335" s="164" t="str">
        <f ca="1">IFERROR(__xludf.DUMMYFUNCTION("""COMPUTED_VALUE"""),"2023-SPLIT-07")</f>
        <v>2023-SPLIT-07</v>
      </c>
      <c r="K4335" s="164" t="str">
        <f ca="1">IFERROR(__xludf.DUMMYFUNCTION("""COMPUTED_VALUE"""),"Karen D. Cagalawan")</f>
        <v>Karen D. Cagalawan</v>
      </c>
      <c r="L4335" s="164" t="str">
        <f ca="1">IFERROR(__xludf.DUMMYFUNCTION("""COMPUTED_VALUE"""),"DARMO- TAGO, SDS")</f>
        <v>DARMO- TAGO, SDS</v>
      </c>
      <c r="M4335" s="164" t="str">
        <f ca="1">IFERROR(__xludf.DUMMYFUNCTION("""COMPUTED_VALUE"""),"SERVICEABLE")</f>
        <v>SERVICEABLE</v>
      </c>
      <c r="N4335" s="164"/>
    </row>
    <row r="4336" spans="1:14" ht="13.2" hidden="1">
      <c r="A4336" s="164" t="str">
        <f ca="1">IFERROR(__xludf.DUMMYFUNCTION("""COMPUTED_VALUE"""),"CARAGA")</f>
        <v>CARAGA</v>
      </c>
      <c r="B4336" s="164" t="str">
        <f ca="1">IFERROR(__xludf.DUMMYFUNCTION("""COMPUTED_VALUE"""),"Surigao del Sur")</f>
        <v>Surigao del Sur</v>
      </c>
      <c r="C4336" s="164" t="str">
        <f ca="1">IFERROR(__xludf.DUMMYFUNCTION("""COMPUTED_VALUE"""),"Desktop Computer – (Lenovo M70T)")</f>
        <v>Desktop Computer – (Lenovo M70T)</v>
      </c>
      <c r="D4336" s="164" t="str">
        <f ca="1">IFERROR(__xludf.DUMMYFUNCTION("""COMPUTED_VALUE"""),"₱ 75,468.00")</f>
        <v>₱ 75,468.00</v>
      </c>
      <c r="E4336" s="164" t="str">
        <f ca="1">IFERROR(__xludf.DUMMYFUNCTION("""COMPUTED_VALUE"""),"₱ -")</f>
        <v>₱ -</v>
      </c>
      <c r="F4336" s="164" t="str">
        <f ca="1">IFERROR(__xludf.DUMMYFUNCTION("""COMPUTED_VALUE"""),"2023-05-03-10201SP1791-01")</f>
        <v>2023-05-03-10201SP1791-01</v>
      </c>
      <c r="G4336" s="164" t="str">
        <f ca="1">IFERROR(__xludf.DUMMYFUNCTION("""COMPUTED_VALUE"""),"1S11T5S16200GM041AX4")</f>
        <v>1S11T5S16200GM041AX4</v>
      </c>
      <c r="H4336" s="164" t="str">
        <f ca="1">IFERROR(__xludf.DUMMYFUNCTION("""COMPUTED_VALUE"""),"Roselyn Y. Rendon")</f>
        <v>Roselyn Y. Rendon</v>
      </c>
      <c r="I4336" s="164" t="str">
        <f ca="1">IFERROR(__xludf.DUMMYFUNCTION("""COMPUTED_VALUE"""),"MARPO")</f>
        <v>MARPO</v>
      </c>
      <c r="J4336" s="164" t="str">
        <f ca="1">IFERROR(__xludf.DUMMYFUNCTION("""COMPUTED_VALUE"""),"2023-SPLIT-08")</f>
        <v>2023-SPLIT-08</v>
      </c>
      <c r="K4336" s="164" t="str">
        <f ca="1">IFERROR(__xludf.DUMMYFUNCTION("""COMPUTED_VALUE"""),"Roselyn Y. Rendon")</f>
        <v>Roselyn Y. Rendon</v>
      </c>
      <c r="L4336" s="164" t="str">
        <f ca="1">IFERROR(__xludf.DUMMYFUNCTION("""COMPUTED_VALUE"""),"DARMO- SAN MIGUEL, SDS")</f>
        <v>DARMO- SAN MIGUEL, SDS</v>
      </c>
      <c r="M4336" s="164" t="str">
        <f ca="1">IFERROR(__xludf.DUMMYFUNCTION("""COMPUTED_VALUE"""),"SERVICEABLE")</f>
        <v>SERVICEABLE</v>
      </c>
      <c r="N4336" s="164"/>
    </row>
    <row r="4337" spans="1:14" ht="13.2" hidden="1">
      <c r="A4337" s="164" t="str">
        <f ca="1">IFERROR(__xludf.DUMMYFUNCTION("""COMPUTED_VALUE"""),"CARAGA")</f>
        <v>CARAGA</v>
      </c>
      <c r="B4337" s="164" t="str">
        <f ca="1">IFERROR(__xludf.DUMMYFUNCTION("""COMPUTED_VALUE"""),"Surigao del Sur")</f>
        <v>Surigao del Sur</v>
      </c>
      <c r="C4337" s="164" t="str">
        <f ca="1">IFERROR(__xludf.DUMMYFUNCTION("""COMPUTED_VALUE"""),"Desktop Computer – (Lenovo M70T)")</f>
        <v>Desktop Computer – (Lenovo M70T)</v>
      </c>
      <c r="D4337" s="164" t="str">
        <f ca="1">IFERROR(__xludf.DUMMYFUNCTION("""COMPUTED_VALUE"""),"₱ 75,468.00")</f>
        <v>₱ 75,468.00</v>
      </c>
      <c r="E4337" s="164" t="str">
        <f ca="1">IFERROR(__xludf.DUMMYFUNCTION("""COMPUTED_VALUE"""),"₱ -")</f>
        <v>₱ -</v>
      </c>
      <c r="F4337" s="164" t="str">
        <f ca="1">IFERROR(__xludf.DUMMYFUNCTION("""COMPUTED_VALUE"""),"2023-05-03-10201SP1792-01")</f>
        <v>2023-05-03-10201SP1792-01</v>
      </c>
      <c r="G4337" s="164" t="str">
        <f ca="1">IFERROR(__xludf.DUMMYFUNCTION("""COMPUTED_VALUE"""),"1S11T5S16200GM041AX5")</f>
        <v>1S11T5S16200GM041AX5</v>
      </c>
      <c r="H4337" s="164" t="str">
        <f ca="1">IFERROR(__xludf.DUMMYFUNCTION("""COMPUTED_VALUE"""),"Cheryl Zoe O. Pelayo")</f>
        <v>Cheryl Zoe O. Pelayo</v>
      </c>
      <c r="I4337" s="164" t="str">
        <f ca="1">IFERROR(__xludf.DUMMYFUNCTION("""COMPUTED_VALUE"""),"MARPO")</f>
        <v>MARPO</v>
      </c>
      <c r="J4337" s="164" t="str">
        <f ca="1">IFERROR(__xludf.DUMMYFUNCTION("""COMPUTED_VALUE"""),"2023-SPLIT-09")</f>
        <v>2023-SPLIT-09</v>
      </c>
      <c r="K4337" s="164" t="str">
        <f ca="1">IFERROR(__xludf.DUMMYFUNCTION("""COMPUTED_VALUE"""),"Cheryl Zoe O. Pelayo")</f>
        <v>Cheryl Zoe O. Pelayo</v>
      </c>
      <c r="L4337" s="164" t="str">
        <f ca="1">IFERROR(__xludf.DUMMYFUNCTION("""COMPUTED_VALUE"""),"DARMO- MADRID, SDS")</f>
        <v>DARMO- MADRID, SDS</v>
      </c>
      <c r="M4337" s="164" t="str">
        <f ca="1">IFERROR(__xludf.DUMMYFUNCTION("""COMPUTED_VALUE"""),"SERVICEABLE")</f>
        <v>SERVICEABLE</v>
      </c>
      <c r="N4337" s="164"/>
    </row>
    <row r="4338" spans="1:14" ht="13.2" hidden="1">
      <c r="A4338" s="164" t="str">
        <f ca="1">IFERROR(__xludf.DUMMYFUNCTION("""COMPUTED_VALUE"""),"CARAGA")</f>
        <v>CARAGA</v>
      </c>
      <c r="B4338" s="164" t="str">
        <f ca="1">IFERROR(__xludf.DUMMYFUNCTION("""COMPUTED_VALUE"""),"Surigao del Sur")</f>
        <v>Surigao del Sur</v>
      </c>
      <c r="C4338" s="164" t="str">
        <f ca="1">IFERROR(__xludf.DUMMYFUNCTION("""COMPUTED_VALUE"""),"Desktop Computer – (Lenovo M70T)")</f>
        <v>Desktop Computer – (Lenovo M70T)</v>
      </c>
      <c r="D4338" s="164" t="str">
        <f ca="1">IFERROR(__xludf.DUMMYFUNCTION("""COMPUTED_VALUE"""),"₱ 75,468.00")</f>
        <v>₱ 75,468.00</v>
      </c>
      <c r="E4338" s="164" t="str">
        <f ca="1">IFERROR(__xludf.DUMMYFUNCTION("""COMPUTED_VALUE"""),"₱ -")</f>
        <v>₱ -</v>
      </c>
      <c r="F4338" s="164" t="str">
        <f ca="1">IFERROR(__xludf.DUMMYFUNCTION("""COMPUTED_VALUE"""),"2023-05-03-10201SP1793-01")</f>
        <v>2023-05-03-10201SP1793-01</v>
      </c>
      <c r="G4338" s="164" t="str">
        <f ca="1">IFERROR(__xludf.DUMMYFUNCTION("""COMPUTED_VALUE"""),"1S11T5S16200GM041AX8")</f>
        <v>1S11T5S16200GM041AX8</v>
      </c>
      <c r="H4338" s="164" t="str">
        <f ca="1">IFERROR(__xludf.DUMMYFUNCTION("""COMPUTED_VALUE"""),"Gregorio L. Casimiro")</f>
        <v>Gregorio L. Casimiro</v>
      </c>
      <c r="I4338" s="164" t="str">
        <f ca="1">IFERROR(__xludf.DUMMYFUNCTION("""COMPUTED_VALUE"""),"MARPO")</f>
        <v>MARPO</v>
      </c>
      <c r="J4338" s="164" t="str">
        <f ca="1">IFERROR(__xludf.DUMMYFUNCTION("""COMPUTED_VALUE"""),"2023-SPLIT-10")</f>
        <v>2023-SPLIT-10</v>
      </c>
      <c r="K4338" s="164" t="str">
        <f ca="1">IFERROR(__xludf.DUMMYFUNCTION("""COMPUTED_VALUE"""),"Gregorio L. Casimiro")</f>
        <v>Gregorio L. Casimiro</v>
      </c>
      <c r="L4338" s="164" t="str">
        <f ca="1">IFERROR(__xludf.DUMMYFUNCTION("""COMPUTED_VALUE"""),"DARMO- HINATUAN, SDS")</f>
        <v>DARMO- HINATUAN, SDS</v>
      </c>
      <c r="M4338" s="164" t="str">
        <f ca="1">IFERROR(__xludf.DUMMYFUNCTION("""COMPUTED_VALUE"""),"SERVICEABLE")</f>
        <v>SERVICEABLE</v>
      </c>
      <c r="N4338" s="164" t="str">
        <f ca="1">IFERROR(__xludf.DUMMYFUNCTION("""COMPUTED_VALUE"""),"UPS is unserviceable")</f>
        <v>UPS is unserviceable</v>
      </c>
    </row>
    <row r="4339" spans="1:14" ht="13.2" hidden="1">
      <c r="A4339" s="164" t="str">
        <f ca="1">IFERROR(__xludf.DUMMYFUNCTION("""COMPUTED_VALUE"""),"CARAGA")</f>
        <v>CARAGA</v>
      </c>
      <c r="B4339" s="164" t="str">
        <f ca="1">IFERROR(__xludf.DUMMYFUNCTION("""COMPUTED_VALUE"""),"Surigao del Sur")</f>
        <v>Surigao del Sur</v>
      </c>
      <c r="C4339" s="164" t="str">
        <f ca="1">IFERROR(__xludf.DUMMYFUNCTION("""COMPUTED_VALUE"""),"Desktop Computer – (Lenovo M70T)")</f>
        <v>Desktop Computer – (Lenovo M70T)</v>
      </c>
      <c r="D4339" s="164" t="str">
        <f ca="1">IFERROR(__xludf.DUMMYFUNCTION("""COMPUTED_VALUE"""),"₱ 75,468.00")</f>
        <v>₱ 75,468.00</v>
      </c>
      <c r="E4339" s="164" t="str">
        <f ca="1">IFERROR(__xludf.DUMMYFUNCTION("""COMPUTED_VALUE"""),"₱ -")</f>
        <v>₱ -</v>
      </c>
      <c r="F4339" s="164" t="str">
        <f ca="1">IFERROR(__xludf.DUMMYFUNCTION("""COMPUTED_VALUE"""),"2023-05-03-10201SP1794-01")</f>
        <v>2023-05-03-10201SP1794-01</v>
      </c>
      <c r="G4339" s="164" t="str">
        <f ca="1">IFERROR(__xludf.DUMMYFUNCTION("""COMPUTED_VALUE"""),"1S11T5S16200GM041AXA")</f>
        <v>1S11T5S16200GM041AXA</v>
      </c>
      <c r="H4339" s="164" t="str">
        <f ca="1">IFERROR(__xludf.DUMMYFUNCTION("""COMPUTED_VALUE"""),"Doris B. Salang")</f>
        <v>Doris B. Salang</v>
      </c>
      <c r="I4339" s="164" t="str">
        <f ca="1">IFERROR(__xludf.DUMMYFUNCTION("""COMPUTED_VALUE"""),"MARPO")</f>
        <v>MARPO</v>
      </c>
      <c r="J4339" s="164" t="str">
        <f ca="1">IFERROR(__xludf.DUMMYFUNCTION("""COMPUTED_VALUE"""),"2023-SPLIT-11")</f>
        <v>2023-SPLIT-11</v>
      </c>
      <c r="K4339" s="164" t="str">
        <f ca="1">IFERROR(__xludf.DUMMYFUNCTION("""COMPUTED_VALUE"""),"Doris B. Salang")</f>
        <v>Doris B. Salang</v>
      </c>
      <c r="L4339" s="164" t="str">
        <f ca="1">IFERROR(__xludf.DUMMYFUNCTION("""COMPUTED_VALUE"""),"DARMO- MARIHATAG, SDS")</f>
        <v>DARMO- MARIHATAG, SDS</v>
      </c>
      <c r="M4339" s="164" t="str">
        <f ca="1">IFERROR(__xludf.DUMMYFUNCTION("""COMPUTED_VALUE"""),"SERVICEABLE")</f>
        <v>SERVICEABLE</v>
      </c>
      <c r="N4339" s="164" t="str">
        <f ca="1">IFERROR(__xludf.DUMMYFUNCTION("""COMPUTED_VALUE"""),"UPS &amp; Printer are unserviceable")</f>
        <v>UPS &amp; Printer are unserviceable</v>
      </c>
    </row>
    <row r="4340" spans="1:14" ht="13.2" hidden="1">
      <c r="A4340" s="164" t="str">
        <f ca="1">IFERROR(__xludf.DUMMYFUNCTION("""COMPUTED_VALUE"""),"CARAGA")</f>
        <v>CARAGA</v>
      </c>
      <c r="B4340" s="164" t="str">
        <f ca="1">IFERROR(__xludf.DUMMYFUNCTION("""COMPUTED_VALUE"""),"Surigao del Sur")</f>
        <v>Surigao del Sur</v>
      </c>
      <c r="C4340" s="164" t="str">
        <f ca="1">IFERROR(__xludf.DUMMYFUNCTION("""COMPUTED_VALUE"""),"Desktop Computer – (Lenovo M70T)")</f>
        <v>Desktop Computer – (Lenovo M70T)</v>
      </c>
      <c r="D4340" s="164" t="str">
        <f ca="1">IFERROR(__xludf.DUMMYFUNCTION("""COMPUTED_VALUE"""),"₱ 75,468.00")</f>
        <v>₱ 75,468.00</v>
      </c>
      <c r="E4340" s="164" t="str">
        <f ca="1">IFERROR(__xludf.DUMMYFUNCTION("""COMPUTED_VALUE"""),"₱ -")</f>
        <v>₱ -</v>
      </c>
      <c r="F4340" s="164" t="str">
        <f ca="1">IFERROR(__xludf.DUMMYFUNCTION("""COMPUTED_VALUE"""),"2023-05-03-10201SP1795-01")</f>
        <v>2023-05-03-10201SP1795-01</v>
      </c>
      <c r="G4340" s="164" t="str">
        <f ca="1">IFERROR(__xludf.DUMMYFUNCTION("""COMPUTED_VALUE"""),"1S11T5S16200GM041AZT")</f>
        <v>1S11T5S16200GM041AZT</v>
      </c>
      <c r="H4340" s="164" t="str">
        <f ca="1">IFERROR(__xludf.DUMMYFUNCTION("""COMPUTED_VALUE"""),"Eleanor P. Tresballes")</f>
        <v>Eleanor P. Tresballes</v>
      </c>
      <c r="I4340" s="164" t="str">
        <f ca="1">IFERROR(__xludf.DUMMYFUNCTION("""COMPUTED_VALUE"""),"MARPO")</f>
        <v>MARPO</v>
      </c>
      <c r="J4340" s="164" t="str">
        <f ca="1">IFERROR(__xludf.DUMMYFUNCTION("""COMPUTED_VALUE"""),"2023-SPLIT-12")</f>
        <v>2023-SPLIT-12</v>
      </c>
      <c r="K4340" s="164" t="str">
        <f ca="1">IFERROR(__xludf.DUMMYFUNCTION("""COMPUTED_VALUE"""),"Eleanor P. Tresballes")</f>
        <v>Eleanor P. Tresballes</v>
      </c>
      <c r="L4340" s="164" t="str">
        <f ca="1">IFERROR(__xludf.DUMMYFUNCTION("""COMPUTED_VALUE"""),"DARMO- BAROBO/LIANGA, SDS")</f>
        <v>DARMO- BAROBO/LIANGA, SDS</v>
      </c>
      <c r="M4340" s="164" t="str">
        <f ca="1">IFERROR(__xludf.DUMMYFUNCTION("""COMPUTED_VALUE"""),"SERVICEABLE")</f>
        <v>SERVICEABLE</v>
      </c>
      <c r="N4340" s="164" t="str">
        <f ca="1">IFERROR(__xludf.DUMMYFUNCTION("""COMPUTED_VALUE"""),"CPU &amp; UPS are unserviceable")</f>
        <v>CPU &amp; UPS are unserviceable</v>
      </c>
    </row>
    <row r="4341" spans="1:14" ht="13.2" hidden="1">
      <c r="A4341" s="164" t="str">
        <f ca="1">IFERROR(__xludf.DUMMYFUNCTION("""COMPUTED_VALUE"""),"CARAGA")</f>
        <v>CARAGA</v>
      </c>
      <c r="B4341" s="164" t="str">
        <f ca="1">IFERROR(__xludf.DUMMYFUNCTION("""COMPUTED_VALUE"""),"Surigao del Sur")</f>
        <v>Surigao del Sur</v>
      </c>
      <c r="C4341" s="164" t="str">
        <f ca="1">IFERROR(__xludf.DUMMYFUNCTION("""COMPUTED_VALUE"""),"Desktop Computer – (Lenovo M70T)")</f>
        <v>Desktop Computer – (Lenovo M70T)</v>
      </c>
      <c r="D4341" s="164" t="str">
        <f ca="1">IFERROR(__xludf.DUMMYFUNCTION("""COMPUTED_VALUE"""),"₱ 75,468.00")</f>
        <v>₱ 75,468.00</v>
      </c>
      <c r="E4341" s="164" t="str">
        <f ca="1">IFERROR(__xludf.DUMMYFUNCTION("""COMPUTED_VALUE"""),"₱ -")</f>
        <v>₱ -</v>
      </c>
      <c r="F4341" s="164" t="str">
        <f ca="1">IFERROR(__xludf.DUMMYFUNCTION("""COMPUTED_VALUE"""),"2023-05-03-10201SP1796-01")</f>
        <v>2023-05-03-10201SP1796-01</v>
      </c>
      <c r="G4341" s="164" t="str">
        <f ca="1">IFERROR(__xludf.DUMMYFUNCTION("""COMPUTED_VALUE"""),"1S11T5S16200GM041AZY")</f>
        <v>1S11T5S16200GM041AZY</v>
      </c>
      <c r="H4341" s="164" t="str">
        <f ca="1">IFERROR(__xludf.DUMMYFUNCTION("""COMPUTED_VALUE"""),"Eleanor P. Tresballes")</f>
        <v>Eleanor P. Tresballes</v>
      </c>
      <c r="I4341" s="164" t="str">
        <f ca="1">IFERROR(__xludf.DUMMYFUNCTION("""COMPUTED_VALUE"""),"MARPO")</f>
        <v>MARPO</v>
      </c>
      <c r="J4341" s="164" t="str">
        <f ca="1">IFERROR(__xludf.DUMMYFUNCTION("""COMPUTED_VALUE"""),"2023-SPLIT-13")</f>
        <v>2023-SPLIT-13</v>
      </c>
      <c r="K4341" s="164" t="str">
        <f ca="1">IFERROR(__xludf.DUMMYFUNCTION("""COMPUTED_VALUE"""),"Eleanor P. Tresballes")</f>
        <v>Eleanor P. Tresballes</v>
      </c>
      <c r="L4341" s="164" t="str">
        <f ca="1">IFERROR(__xludf.DUMMYFUNCTION("""COMPUTED_VALUE"""),"DARMO- BAROBO/LIANGA, SDS")</f>
        <v>DARMO- BAROBO/LIANGA, SDS</v>
      </c>
      <c r="M4341" s="164" t="str">
        <f ca="1">IFERROR(__xludf.DUMMYFUNCTION("""COMPUTED_VALUE"""),"SERVICEABLE")</f>
        <v>SERVICEABLE</v>
      </c>
      <c r="N4341" s="164" t="str">
        <f ca="1">IFERROR(__xludf.DUMMYFUNCTION("""COMPUTED_VALUE"""),"UPS is unserviceable")</f>
        <v>UPS is unserviceable</v>
      </c>
    </row>
    <row r="4342" spans="1:14" ht="13.2" hidden="1">
      <c r="A4342" s="164" t="str">
        <f ca="1">IFERROR(__xludf.DUMMYFUNCTION("""COMPUTED_VALUE"""),"CARAGA")</f>
        <v>CARAGA</v>
      </c>
      <c r="B4342" s="164" t="str">
        <f ca="1">IFERROR(__xludf.DUMMYFUNCTION("""COMPUTED_VALUE"""),"Surigao del Sur")</f>
        <v>Surigao del Sur</v>
      </c>
      <c r="C4342" s="164" t="str">
        <f ca="1">IFERROR(__xludf.DUMMYFUNCTION("""COMPUTED_VALUE"""),"Desktop Computer – (Lenovo M70T)")</f>
        <v>Desktop Computer – (Lenovo M70T)</v>
      </c>
      <c r="D4342" s="164" t="str">
        <f ca="1">IFERROR(__xludf.DUMMYFUNCTION("""COMPUTED_VALUE"""),"₱ 75,468.00")</f>
        <v>₱ 75,468.00</v>
      </c>
      <c r="E4342" s="164" t="str">
        <f ca="1">IFERROR(__xludf.DUMMYFUNCTION("""COMPUTED_VALUE"""),"₱ -")</f>
        <v>₱ -</v>
      </c>
      <c r="F4342" s="164" t="str">
        <f ca="1">IFERROR(__xludf.DUMMYFUNCTION("""COMPUTED_VALUE"""),"2023-05-03-10201SP1797-01")</f>
        <v>2023-05-03-10201SP1797-01</v>
      </c>
      <c r="G4342" s="164" t="str">
        <f ca="1">IFERROR(__xludf.DUMMYFUNCTION("""COMPUTED_VALUE"""),"1S11T5S16200GM041B01")</f>
        <v>1S11T5S16200GM041B01</v>
      </c>
      <c r="H4342" s="164" t="str">
        <f ca="1">IFERROR(__xludf.DUMMYFUNCTION("""COMPUTED_VALUE"""),"Jacinto P. Diaz Jr.")</f>
        <v>Jacinto P. Diaz Jr.</v>
      </c>
      <c r="I4342" s="164" t="str">
        <f ca="1">IFERROR(__xludf.DUMMYFUNCTION("""COMPUTED_VALUE"""),"MARPO")</f>
        <v>MARPO</v>
      </c>
      <c r="J4342" s="164" t="str">
        <f ca="1">IFERROR(__xludf.DUMMYFUNCTION("""COMPUTED_VALUE"""),"2023-SPLIT-14")</f>
        <v>2023-SPLIT-14</v>
      </c>
      <c r="K4342" s="164" t="str">
        <f ca="1">IFERROR(__xludf.DUMMYFUNCTION("""COMPUTED_VALUE"""),"Jemimah Lee Gelsano")</f>
        <v>Jemimah Lee Gelsano</v>
      </c>
      <c r="L4342" s="164" t="str">
        <f ca="1">IFERROR(__xludf.DUMMYFUNCTION("""COMPUTED_VALUE"""),"PPMO -LTID, Surigao del Sur")</f>
        <v>PPMO -LTID, Surigao del Sur</v>
      </c>
      <c r="M4342" s="164" t="str">
        <f ca="1">IFERROR(__xludf.DUMMYFUNCTION("""COMPUTED_VALUE"""),"SERVICEABLE")</f>
        <v>SERVICEABLE</v>
      </c>
      <c r="N4342" s="164"/>
    </row>
    <row r="4343" spans="1:14" ht="13.2" hidden="1">
      <c r="A4343" s="164" t="str">
        <f ca="1">IFERROR(__xludf.DUMMYFUNCTION("""COMPUTED_VALUE"""),"CARAGA")</f>
        <v>CARAGA</v>
      </c>
      <c r="B4343" s="164" t="str">
        <f ca="1">IFERROR(__xludf.DUMMYFUNCTION("""COMPUTED_VALUE"""),"Surigao del Sur")</f>
        <v>Surigao del Sur</v>
      </c>
      <c r="C4343" s="164" t="str">
        <f ca="1">IFERROR(__xludf.DUMMYFUNCTION("""COMPUTED_VALUE"""),"Desktop Computer – (Lenovo M70T)")</f>
        <v>Desktop Computer – (Lenovo M70T)</v>
      </c>
      <c r="D4343" s="164" t="str">
        <f ca="1">IFERROR(__xludf.DUMMYFUNCTION("""COMPUTED_VALUE"""),"₱ 75,468.00")</f>
        <v>₱ 75,468.00</v>
      </c>
      <c r="E4343" s="164" t="str">
        <f ca="1">IFERROR(__xludf.DUMMYFUNCTION("""COMPUTED_VALUE"""),"₱ -")</f>
        <v>₱ -</v>
      </c>
      <c r="F4343" s="164" t="str">
        <f ca="1">IFERROR(__xludf.DUMMYFUNCTION("""COMPUTED_VALUE"""),"2023-05-03-10201SP1798-01")</f>
        <v>2023-05-03-10201SP1798-01</v>
      </c>
      <c r="G4343" s="164" t="str">
        <f ca="1">IFERROR(__xludf.DUMMYFUNCTION("""COMPUTED_VALUE"""),"1S11T5S16200GM041B05")</f>
        <v>1S11T5S16200GM041B05</v>
      </c>
      <c r="H4343" s="164" t="str">
        <f ca="1">IFERROR(__xludf.DUMMYFUNCTION("""COMPUTED_VALUE"""),"Titansur M. Dagaas")</f>
        <v>Titansur M. Dagaas</v>
      </c>
      <c r="I4343" s="164" t="str">
        <f ca="1">IFERROR(__xludf.DUMMYFUNCTION("""COMPUTED_VALUE"""),"MARPO")</f>
        <v>MARPO</v>
      </c>
      <c r="J4343" s="164" t="str">
        <f ca="1">IFERROR(__xludf.DUMMYFUNCTION("""COMPUTED_VALUE"""),"2023-SPLIT-15")</f>
        <v>2023-SPLIT-15</v>
      </c>
      <c r="K4343" s="164" t="str">
        <f ca="1">IFERROR(__xludf.DUMMYFUNCTION("""COMPUTED_VALUE"""),"Titansur M. Dagaas")</f>
        <v>Titansur M. Dagaas</v>
      </c>
      <c r="L4343" s="164" t="str">
        <f ca="1">IFERROR(__xludf.DUMMYFUNCTION("""COMPUTED_VALUE"""),"DARMO- BISLIG, SDS")</f>
        <v>DARMO- BISLIG, SDS</v>
      </c>
      <c r="M4343" s="164" t="str">
        <f ca="1">IFERROR(__xludf.DUMMYFUNCTION("""COMPUTED_VALUE"""),"SERVICEABLE")</f>
        <v>SERVICEABLE</v>
      </c>
      <c r="N4343" s="164"/>
    </row>
    <row r="4344" spans="1:14" ht="13.2" hidden="1">
      <c r="A4344" s="164" t="str">
        <f ca="1">IFERROR(__xludf.DUMMYFUNCTION("""COMPUTED_VALUE"""),"CARAGA")</f>
        <v>CARAGA</v>
      </c>
      <c r="B4344" s="164" t="str">
        <f ca="1">IFERROR(__xludf.DUMMYFUNCTION("""COMPUTED_VALUE"""),"Surigao del Sur")</f>
        <v>Surigao del Sur</v>
      </c>
      <c r="C4344" s="164" t="str">
        <f ca="1">IFERROR(__xludf.DUMMYFUNCTION("""COMPUTED_VALUE"""),"Desktop Computer – (Lenovo M70T)")</f>
        <v>Desktop Computer – (Lenovo M70T)</v>
      </c>
      <c r="D4344" s="164" t="str">
        <f ca="1">IFERROR(__xludf.DUMMYFUNCTION("""COMPUTED_VALUE"""),"₱ 75,468.00")</f>
        <v>₱ 75,468.00</v>
      </c>
      <c r="E4344" s="164" t="str">
        <f ca="1">IFERROR(__xludf.DUMMYFUNCTION("""COMPUTED_VALUE"""),"₱ -")</f>
        <v>₱ -</v>
      </c>
      <c r="F4344" s="164" t="str">
        <f ca="1">IFERROR(__xludf.DUMMYFUNCTION("""COMPUTED_VALUE"""),"2023-05-03-10201SP1799-01")</f>
        <v>2023-05-03-10201SP1799-01</v>
      </c>
      <c r="G4344" s="164" t="str">
        <f ca="1">IFERROR(__xludf.DUMMYFUNCTION("""COMPUTED_VALUE"""),"1S11T5S16200GM041B0S")</f>
        <v>1S11T5S16200GM041B0S</v>
      </c>
      <c r="H4344" s="164" t="str">
        <f ca="1">IFERROR(__xludf.DUMMYFUNCTION("""COMPUTED_VALUE"""),"Jacinto P. Diaz Jr.")</f>
        <v>Jacinto P. Diaz Jr.</v>
      </c>
      <c r="I4344" s="164" t="str">
        <f ca="1">IFERROR(__xludf.DUMMYFUNCTION("""COMPUTED_VALUE"""),"MARPO")</f>
        <v>MARPO</v>
      </c>
      <c r="J4344" s="164" t="str">
        <f ca="1">IFERROR(__xludf.DUMMYFUNCTION("""COMPUTED_VALUE"""),"2023-SPLIT-16")</f>
        <v>2023-SPLIT-16</v>
      </c>
      <c r="K4344" s="164" t="str">
        <f ca="1">IFERROR(__xludf.DUMMYFUNCTION("""COMPUTED_VALUE"""),"Sheila Dalusa")</f>
        <v>Sheila Dalusa</v>
      </c>
      <c r="L4344" s="164" t="str">
        <f ca="1">IFERROR(__xludf.DUMMYFUNCTION("""COMPUTED_VALUE"""),"PPMO -LTID, Surigao del Sur")</f>
        <v>PPMO -LTID, Surigao del Sur</v>
      </c>
      <c r="M4344" s="164" t="str">
        <f ca="1">IFERROR(__xludf.DUMMYFUNCTION("""COMPUTED_VALUE"""),"SERVICEABLE")</f>
        <v>SERVICEABLE</v>
      </c>
      <c r="N4344" s="164"/>
    </row>
    <row r="4345" spans="1:14" ht="13.2" hidden="1">
      <c r="A4345" s="164" t="str">
        <f ca="1">IFERROR(__xludf.DUMMYFUNCTION("""COMPUTED_VALUE"""),"CARAGA")</f>
        <v>CARAGA</v>
      </c>
      <c r="B4345" s="164" t="str">
        <f ca="1">IFERROR(__xludf.DUMMYFUNCTION("""COMPUTED_VALUE"""),"Surigao del Sur")</f>
        <v>Surigao del Sur</v>
      </c>
      <c r="C4345" s="164" t="str">
        <f ca="1">IFERROR(__xludf.DUMMYFUNCTION("""COMPUTED_VALUE"""),"Desktop Computer – (HP Pro SFF 280G9)")</f>
        <v>Desktop Computer – (HP Pro SFF 280G9)</v>
      </c>
      <c r="D4345" s="164" t="str">
        <f ca="1">IFERROR(__xludf.DUMMYFUNCTION("""COMPUTED_VALUE"""),"₱ 78,898.00")</f>
        <v>₱ 78,898.00</v>
      </c>
      <c r="E4345" s="164" t="str">
        <f ca="1">IFERROR(__xludf.DUMMYFUNCTION("""COMPUTED_VALUE"""),"₱ -")</f>
        <v>₱ -</v>
      </c>
      <c r="F4345" s="164" t="str">
        <f ca="1">IFERROR(__xludf.DUMMYFUNCTION("""COMPUTED_VALUE"""),"2023-05-03-10201SP156-01")</f>
        <v>2023-05-03-10201SP156-01</v>
      </c>
      <c r="G4345" s="164"/>
      <c r="H4345" s="164" t="str">
        <f ca="1">IFERROR(__xludf.DUMMYFUNCTION("""COMPUTED_VALUE"""),"Reynaldo P. Dedicatoria")</f>
        <v>Reynaldo P. Dedicatoria</v>
      </c>
      <c r="I4345" s="164" t="str">
        <f ca="1">IFERROR(__xludf.DUMMYFUNCTION("""COMPUTED_VALUE"""),"MARPO")</f>
        <v>MARPO</v>
      </c>
      <c r="J4345" s="164" t="str">
        <f ca="1">IFERROR(__xludf.DUMMYFUNCTION("""COMPUTED_VALUE"""),"2023-SPLIT-17")</f>
        <v>2023-SPLIT-17</v>
      </c>
      <c r="K4345" s="164" t="str">
        <f ca="1">IFERROR(__xludf.DUMMYFUNCTION("""COMPUTED_VALUE"""),"(For delivery to DARMO-Cagwait SDS)")</f>
        <v>(For delivery to DARMO-Cagwait SDS)</v>
      </c>
      <c r="L4345" s="164" t="str">
        <f ca="1">IFERROR(__xludf.DUMMYFUNCTION("""COMPUTED_VALUE"""),"Reynaldo P. Dedicatoria")</f>
        <v>Reynaldo P. Dedicatoria</v>
      </c>
      <c r="M4345" s="164" t="str">
        <f ca="1">IFERROR(__xludf.DUMMYFUNCTION("""COMPUTED_VALUE"""),"SERVICEABLE")</f>
        <v>SERVICEABLE</v>
      </c>
      <c r="N4345" s="164" t="str">
        <f ca="1">IFERROR(__xludf.DUMMYFUNCTION("""COMPUTED_VALUE"""),"Printer is unserviceable")</f>
        <v>Printer is unserviceable</v>
      </c>
    </row>
    <row r="4346" spans="1:14" ht="13.2" hidden="1">
      <c r="A4346" s="164" t="str">
        <f ca="1">IFERROR(__xludf.DUMMYFUNCTION("""COMPUTED_VALUE"""),"CARAGA")</f>
        <v>CARAGA</v>
      </c>
      <c r="B4346" s="164" t="str">
        <f ca="1">IFERROR(__xludf.DUMMYFUNCTION("""COMPUTED_VALUE"""),"Surigao del Sur")</f>
        <v>Surigao del Sur</v>
      </c>
      <c r="C4346" s="164" t="str">
        <f ca="1">IFERROR(__xludf.DUMMYFUNCTION("""COMPUTED_VALUE"""),"Desktop Computer – (HP Pro SFF 280G9)")</f>
        <v>Desktop Computer – (HP Pro SFF 280G9)</v>
      </c>
      <c r="D4346" s="164" t="str">
        <f ca="1">IFERROR(__xludf.DUMMYFUNCTION("""COMPUTED_VALUE"""),"₱ 78,898.00")</f>
        <v>₱ 78,898.00</v>
      </c>
      <c r="E4346" s="164" t="str">
        <f ca="1">IFERROR(__xludf.DUMMYFUNCTION("""COMPUTED_VALUE"""),"₱ -")</f>
        <v>₱ -</v>
      </c>
      <c r="F4346" s="164" t="str">
        <f ca="1">IFERROR(__xludf.DUMMYFUNCTION("""COMPUTED_VALUE"""),"2023-05-03-10201SP157-01")</f>
        <v>2023-05-03-10201SP157-01</v>
      </c>
      <c r="G4346" s="164"/>
      <c r="H4346" s="164" t="str">
        <f ca="1">IFERROR(__xludf.DUMMYFUNCTION("""COMPUTED_VALUE"""),"Euberta R. Mozo")</f>
        <v>Euberta R. Mozo</v>
      </c>
      <c r="I4346" s="164" t="str">
        <f ca="1">IFERROR(__xludf.DUMMYFUNCTION("""COMPUTED_VALUE"""),"MARPO")</f>
        <v>MARPO</v>
      </c>
      <c r="J4346" s="164" t="str">
        <f ca="1">IFERROR(__xludf.DUMMYFUNCTION("""COMPUTED_VALUE"""),"2023-SPLIT-18")</f>
        <v>2023-SPLIT-18</v>
      </c>
      <c r="K4346" s="164" t="str">
        <f ca="1">IFERROR(__xludf.DUMMYFUNCTION("""COMPUTED_VALUE"""),"(For delivery to DARMO-Tagbina, SDS)")</f>
        <v>(For delivery to DARMO-Tagbina, SDS)</v>
      </c>
      <c r="L4346" s="164" t="str">
        <f ca="1">IFERROR(__xludf.DUMMYFUNCTION("""COMPUTED_VALUE"""),"Euberta R. Mozo")</f>
        <v>Euberta R. Mozo</v>
      </c>
      <c r="M4346" s="164" t="str">
        <f ca="1">IFERROR(__xludf.DUMMYFUNCTION("""COMPUTED_VALUE"""),"SERVICEABLE")</f>
        <v>SERVICEABLE</v>
      </c>
      <c r="N4346" s="164"/>
    </row>
    <row r="4347" spans="1:14" ht="13.2" hidden="1">
      <c r="A4347" s="164" t="str">
        <f ca="1">IFERROR(__xludf.DUMMYFUNCTION("""COMPUTED_VALUE"""),"CARAGA")</f>
        <v>CARAGA</v>
      </c>
      <c r="B4347" s="164" t="str">
        <f ca="1">IFERROR(__xludf.DUMMYFUNCTION("""COMPUTED_VALUE"""),"Surigao del Sur")</f>
        <v>Surigao del Sur</v>
      </c>
      <c r="C4347" s="164" t="str">
        <f ca="1">IFERROR(__xludf.DUMMYFUNCTION("""COMPUTED_VALUE"""),"Desktop Computer – (HP Pro SFF 280G9)")</f>
        <v>Desktop Computer – (HP Pro SFF 280G9)</v>
      </c>
      <c r="D4347" s="164" t="str">
        <f ca="1">IFERROR(__xludf.DUMMYFUNCTION("""COMPUTED_VALUE"""),"₱ 78,898.00")</f>
        <v>₱ 78,898.00</v>
      </c>
      <c r="E4347" s="164" t="str">
        <f ca="1">IFERROR(__xludf.DUMMYFUNCTION("""COMPUTED_VALUE"""),"₱ -")</f>
        <v>₱ -</v>
      </c>
      <c r="F4347" s="164" t="str">
        <f ca="1">IFERROR(__xludf.DUMMYFUNCTION("""COMPUTED_VALUE"""),"2023-05-03-10201SP158-01")</f>
        <v>2023-05-03-10201SP158-01</v>
      </c>
      <c r="G4347" s="164"/>
      <c r="H4347" s="164" t="str">
        <f ca="1">IFERROR(__xludf.DUMMYFUNCTION("""COMPUTED_VALUE"""),"Jose A. Tulod Jr.")</f>
        <v>Jose A. Tulod Jr.</v>
      </c>
      <c r="I4347" s="164" t="str">
        <f ca="1">IFERROR(__xludf.DUMMYFUNCTION("""COMPUTED_VALUE"""),"OIC-MARPO")</f>
        <v>OIC-MARPO</v>
      </c>
      <c r="J4347" s="164" t="str">
        <f ca="1">IFERROR(__xludf.DUMMYFUNCTION("""COMPUTED_VALUE"""),"2023-SPLIT-19")</f>
        <v>2023-SPLIT-19</v>
      </c>
      <c r="K4347" s="164" t="str">
        <f ca="1">IFERROR(__xludf.DUMMYFUNCTION("""COMPUTED_VALUE"""),"(For delivery to DARMO-Lingig, SDS)")</f>
        <v>(For delivery to DARMO-Lingig, SDS)</v>
      </c>
      <c r="L4347" s="164" t="str">
        <f ca="1">IFERROR(__xludf.DUMMYFUNCTION("""COMPUTED_VALUE"""),"Jose A. Tulod Jr.")</f>
        <v>Jose A. Tulod Jr.</v>
      </c>
      <c r="M4347" s="164" t="str">
        <f ca="1">IFERROR(__xludf.DUMMYFUNCTION("""COMPUTED_VALUE"""),"SERVICEABLE")</f>
        <v>SERVICEABLE</v>
      </c>
      <c r="N4347" s="164" t="str">
        <f ca="1">IFERROR(__xludf.DUMMYFUNCTION("""COMPUTED_VALUE"""),"Printer is unserviceable")</f>
        <v>Printer is unserviceable</v>
      </c>
    </row>
    <row r="4348" spans="1:14" ht="13.2" hidden="1">
      <c r="A4348" s="164" t="str">
        <f ca="1">IFERROR(__xludf.DUMMYFUNCTION("""COMPUTED_VALUE"""),"CARAGA")</f>
        <v>CARAGA</v>
      </c>
      <c r="B4348" s="164" t="str">
        <f ca="1">IFERROR(__xludf.DUMMYFUNCTION("""COMPUTED_VALUE"""),"Surigao del Sur")</f>
        <v>Surigao del Sur</v>
      </c>
      <c r="C4348" s="164" t="str">
        <f ca="1">IFERROR(__xludf.DUMMYFUNCTION("""COMPUTED_VALUE"""),"Desktop Computer – (HP Pro SFF 280G9)")</f>
        <v>Desktop Computer – (HP Pro SFF 280G9)</v>
      </c>
      <c r="D4348" s="164" t="str">
        <f ca="1">IFERROR(__xludf.DUMMYFUNCTION("""COMPUTED_VALUE"""),"₱ 78,898.00")</f>
        <v>₱ 78,898.00</v>
      </c>
      <c r="E4348" s="164" t="str">
        <f ca="1">IFERROR(__xludf.DUMMYFUNCTION("""COMPUTED_VALUE"""),"₱ -")</f>
        <v>₱ -</v>
      </c>
      <c r="F4348" s="164" t="str">
        <f ca="1">IFERROR(__xludf.DUMMYFUNCTION("""COMPUTED_VALUE"""),"2023-05-03-10201SP159-01")</f>
        <v>2023-05-03-10201SP159-01</v>
      </c>
      <c r="G4348" s="164"/>
      <c r="H4348" s="164" t="str">
        <f ca="1">IFERROR(__xludf.DUMMYFUNCTION("""COMPUTED_VALUE"""),"April Annabelle C. Guarte")</f>
        <v>April Annabelle C. Guarte</v>
      </c>
      <c r="I4348" s="164" t="str">
        <f ca="1">IFERROR(__xludf.DUMMYFUNCTION("""COMPUTED_VALUE"""),"Planning Officer")</f>
        <v>Planning Officer</v>
      </c>
      <c r="J4348" s="164" t="str">
        <f ca="1">IFERROR(__xludf.DUMMYFUNCTION("""COMPUTED_VALUE"""),"2023-SPLIT-20")</f>
        <v>2023-SPLIT-20</v>
      </c>
      <c r="K4348" s="164" t="str">
        <f ca="1">IFERROR(__xludf.DUMMYFUNCTION("""COMPUTED_VALUE"""),"April Annabelle C. Guarte")</f>
        <v>April Annabelle C. Guarte</v>
      </c>
      <c r="L4348" s="164" t="str">
        <f ca="1">IFERROR(__xludf.DUMMYFUNCTION("""COMPUTED_VALUE"""),"April Annabelle C. Guarte")</f>
        <v>April Annabelle C. Guarte</v>
      </c>
      <c r="M4348" s="164" t="str">
        <f ca="1">IFERROR(__xludf.DUMMYFUNCTION("""COMPUTED_VALUE"""),"SERVICEABLE")</f>
        <v>SERVICEABLE</v>
      </c>
      <c r="N4348" s="164"/>
    </row>
    <row r="4349" spans="1:14" ht="13.2" hidden="1">
      <c r="A4349" s="164" t="str">
        <f ca="1">IFERROR(__xludf.DUMMYFUNCTION("""COMPUTED_VALUE"""),"CARAGA")</f>
        <v>CARAGA</v>
      </c>
      <c r="B4349" s="164" t="str">
        <f ca="1">IFERROR(__xludf.DUMMYFUNCTION("""COMPUTED_VALUE"""),"Surigao del Sur")</f>
        <v>Surigao del Sur</v>
      </c>
      <c r="C4349" s="164" t="str">
        <f ca="1">IFERROR(__xludf.DUMMYFUNCTION("""COMPUTED_VALUE"""),"Desktop Computer – (HP Pro SFF 280G9)")</f>
        <v>Desktop Computer – (HP Pro SFF 280G9)</v>
      </c>
      <c r="D4349" s="164" t="str">
        <f ca="1">IFERROR(__xludf.DUMMYFUNCTION("""COMPUTED_VALUE"""),"₱ 78,898.00")</f>
        <v>₱ 78,898.00</v>
      </c>
      <c r="E4349" s="164" t="str">
        <f ca="1">IFERROR(__xludf.DUMMYFUNCTION("""COMPUTED_VALUE"""),"₱ -")</f>
        <v>₱ -</v>
      </c>
      <c r="F4349" s="164" t="str">
        <f ca="1">IFERROR(__xludf.DUMMYFUNCTION("""COMPUTED_VALUE"""),"2023-05-03-10201SP160-01")</f>
        <v>2023-05-03-10201SP160-01</v>
      </c>
      <c r="G4349" s="164"/>
      <c r="H4349" s="164" t="str">
        <f ca="1">IFERROR(__xludf.DUMMYFUNCTION("""COMPUTED_VALUE"""),"Jesiel R. Romano")</f>
        <v>Jesiel R. Romano</v>
      </c>
      <c r="I4349" s="164" t="str">
        <f ca="1">IFERROR(__xludf.DUMMYFUNCTION("""COMPUTED_VALUE"""),"AO IV/ Chief-GSS")</f>
        <v>AO IV/ Chief-GSS</v>
      </c>
      <c r="J4349" s="164" t="str">
        <f ca="1">IFERROR(__xludf.DUMMYFUNCTION("""COMPUTED_VALUE"""),"2023-SPLIT-21")</f>
        <v>2023-SPLIT-21</v>
      </c>
      <c r="K4349" s="164" t="str">
        <f ca="1">IFERROR(__xludf.DUMMYFUNCTION("""COMPUTED_VALUE"""),"Jesiel R. Romano")</f>
        <v>Jesiel R. Romano</v>
      </c>
      <c r="L4349" s="164" t="str">
        <f ca="1">IFERROR(__xludf.DUMMYFUNCTION("""COMPUTED_VALUE"""),"Lewjan Daniel Q. Becoy")</f>
        <v>Lewjan Daniel Q. Becoy</v>
      </c>
      <c r="M4349" s="164" t="str">
        <f ca="1">IFERROR(__xludf.DUMMYFUNCTION("""COMPUTED_VALUE"""),"SERVICEABLE")</f>
        <v>SERVICEABLE</v>
      </c>
      <c r="N4349" s="164"/>
    </row>
    <row r="4350" spans="1:14" ht="13.2" hidden="1">
      <c r="A4350" s="164" t="str">
        <f ca="1">IFERROR(__xludf.DUMMYFUNCTION("""COMPUTED_VALUE"""),"CARAGA")</f>
        <v>CARAGA</v>
      </c>
      <c r="B4350" s="164" t="str">
        <f ca="1">IFERROR(__xludf.DUMMYFUNCTION("""COMPUTED_VALUE"""),"Regional Office")</f>
        <v>Regional Office</v>
      </c>
      <c r="C4350" s="164" t="str">
        <f ca="1">IFERROR(__xludf.DUMMYFUNCTION("""COMPUTED_VALUE"""),"HANDHELD GPS – MODEL P6")</f>
        <v>HANDHELD GPS – MODEL P6</v>
      </c>
      <c r="D4350" s="164" t="str">
        <f ca="1">IFERROR(__xludf.DUMMYFUNCTION("""COMPUTED_VALUE"""),"₱ 79,000.00")</f>
        <v>₱ 79,000.00</v>
      </c>
      <c r="E4350" s="164" t="str">
        <f ca="1">IFERROR(__xludf.DUMMYFUNCTION("""COMPUTED_VALUE"""),"₱ -")</f>
        <v>₱ -</v>
      </c>
      <c r="F4350" s="164" t="str">
        <f ca="1">IFERROR(__xludf.DUMMYFUNCTION("""COMPUTED_VALUE"""),"2023-05-14-10202SP78-01")</f>
        <v>2023-05-14-10202SP78-01</v>
      </c>
      <c r="G4350" s="164"/>
      <c r="H4350" s="164" t="str">
        <f ca="1">IFERROR(__xludf.DUMMYFUNCTION("""COMPUTED_VALUE"""),"Roel C. Abesamis")</f>
        <v>Roel C. Abesamis</v>
      </c>
      <c r="I4350" s="164" t="str">
        <f ca="1">IFERROR(__xludf.DUMMYFUNCTION("""COMPUTED_VALUE"""),"DAR-DENR-ROD/LRA Coordinator")</f>
        <v>DAR-DENR-ROD/LRA Coordinator</v>
      </c>
      <c r="J4350" s="164" t="str">
        <f ca="1">IFERROR(__xludf.DUMMYFUNCTION("""COMPUTED_VALUE"""),"2023-05-009")</f>
        <v>2023-05-009</v>
      </c>
      <c r="K4350" s="164" t="str">
        <f ca="1">IFERROR(__xludf.DUMMYFUNCTION("""COMPUTED_VALUE"""),"Roel C. Abesamis")</f>
        <v>Roel C. Abesamis</v>
      </c>
      <c r="L4350" s="164" t="str">
        <f ca="1">IFERROR(__xludf.DUMMYFUNCTION("""COMPUTED_VALUE"""),"RPMO - Caraga")</f>
        <v>RPMO - Caraga</v>
      </c>
      <c r="M4350" s="164" t="str">
        <f ca="1">IFERROR(__xludf.DUMMYFUNCTION("""COMPUTED_VALUE"""),"SERVICEABLE")</f>
        <v>SERVICEABLE</v>
      </c>
      <c r="N4350" s="164"/>
    </row>
    <row r="4351" spans="1:14" ht="13.2" hidden="1">
      <c r="A4351" s="164" t="str">
        <f ca="1">IFERROR(__xludf.DUMMYFUNCTION("""COMPUTED_VALUE"""),"CARAGA")</f>
        <v>CARAGA</v>
      </c>
      <c r="B4351" s="164" t="str">
        <f ca="1">IFERROR(__xludf.DUMMYFUNCTION("""COMPUTED_VALUE"""),"Regional Office")</f>
        <v>Regional Office</v>
      </c>
      <c r="C4351" s="164" t="str">
        <f ca="1">IFERROR(__xludf.DUMMYFUNCTION("""COMPUTED_VALUE"""),"HANDHELD GPS – MODEL P6")</f>
        <v>HANDHELD GPS – MODEL P6</v>
      </c>
      <c r="D4351" s="164" t="str">
        <f ca="1">IFERROR(__xludf.DUMMYFUNCTION("""COMPUTED_VALUE"""),"₱ 79,000.00")</f>
        <v>₱ 79,000.00</v>
      </c>
      <c r="E4351" s="164" t="str">
        <f ca="1">IFERROR(__xludf.DUMMYFUNCTION("""COMPUTED_VALUE"""),"₱ -")</f>
        <v>₱ -</v>
      </c>
      <c r="F4351" s="164" t="str">
        <f ca="1">IFERROR(__xludf.DUMMYFUNCTION("""COMPUTED_VALUE"""),"2023-05-14-10202SP32-01")</f>
        <v>2023-05-14-10202SP32-01</v>
      </c>
      <c r="G4351" s="164"/>
      <c r="H4351" s="164" t="str">
        <f ca="1">IFERROR(__xludf.DUMMYFUNCTION("""COMPUTED_VALUE"""),"Roel C. Abesamis")</f>
        <v>Roel C. Abesamis</v>
      </c>
      <c r="I4351" s="164" t="str">
        <f ca="1">IFERROR(__xludf.DUMMYFUNCTION("""COMPUTED_VALUE"""),"DAR-DENR-ROD/LRA Coordinator")</f>
        <v>DAR-DENR-ROD/LRA Coordinator</v>
      </c>
      <c r="J4351" s="164" t="str">
        <f ca="1">IFERROR(__xludf.DUMMYFUNCTION("""COMPUTED_VALUE"""),"PTR: 2023-03-053S")</f>
        <v>PTR: 2023-03-053S</v>
      </c>
      <c r="K4351" s="164" t="str">
        <f ca="1">IFERROR(__xludf.DUMMYFUNCTION("""COMPUTED_VALUE"""),"Roel C. Abesamis")</f>
        <v>Roel C. Abesamis</v>
      </c>
      <c r="L4351" s="164" t="str">
        <f ca="1">IFERROR(__xludf.DUMMYFUNCTION("""COMPUTED_VALUE"""),"RPMO - Caraga")</f>
        <v>RPMO - Caraga</v>
      </c>
      <c r="M4351" s="164" t="str">
        <f ca="1">IFERROR(__xludf.DUMMYFUNCTION("""COMPUTED_VALUE"""),"SERVICEABLE")</f>
        <v>SERVICEABLE</v>
      </c>
      <c r="N4351" s="164"/>
    </row>
    <row r="4352" spans="1:14" ht="13.2" hidden="1">
      <c r="A4352" s="164" t="str">
        <f ca="1">IFERROR(__xludf.DUMMYFUNCTION("""COMPUTED_VALUE"""),"CARAGA")</f>
        <v>CARAGA</v>
      </c>
      <c r="B4352" s="164" t="str">
        <f ca="1">IFERROR(__xludf.DUMMYFUNCTION("""COMPUTED_VALUE"""),"Agusan del Norte")</f>
        <v>Agusan del Norte</v>
      </c>
      <c r="C4352" s="164" t="str">
        <f ca="1">IFERROR(__xludf.DUMMYFUNCTION("""COMPUTED_VALUE"""),"HANDHELD GPS – MODEL P6")</f>
        <v>HANDHELD GPS – MODEL P6</v>
      </c>
      <c r="D4352" s="164" t="str">
        <f ca="1">IFERROR(__xludf.DUMMYFUNCTION("""COMPUTED_VALUE"""),"₱ 79,000.00")</f>
        <v>₱ 79,000.00</v>
      </c>
      <c r="E4352" s="164" t="str">
        <f ca="1">IFERROR(__xludf.DUMMYFUNCTION("""COMPUTED_VALUE"""),"₱ -")</f>
        <v>₱ -</v>
      </c>
      <c r="F4352" s="164" t="str">
        <f ca="1">IFERROR(__xludf.DUMMYFUNCTION("""COMPUTED_VALUE"""),"2023-05-14-10202SP31-01")</f>
        <v>2023-05-14-10202SP31-01</v>
      </c>
      <c r="G4352" s="164" t="str">
        <f ca="1">IFERROR(__xludf.DUMMYFUNCTION("""COMPUTED_VALUE"""),"SN: SP10730068")</f>
        <v>SN: SP10730068</v>
      </c>
      <c r="H4352" s="164" t="str">
        <f ca="1">IFERROR(__xludf.DUMMYFUNCTION("""COMPUTED_VALUE"""),"Gino P. Roa")</f>
        <v>Gino P. Roa</v>
      </c>
      <c r="I4352" s="164" t="str">
        <f ca="1">IFERROR(__xludf.DUMMYFUNCTION("""COMPUTED_VALUE"""),"ARPO I")</f>
        <v>ARPO I</v>
      </c>
      <c r="J4352" s="164" t="str">
        <f ca="1">IFERROR(__xludf.DUMMYFUNCTION("""COMPUTED_VALUE"""),"PAR: 2025-07-0008")</f>
        <v>PAR: 2025-07-0008</v>
      </c>
      <c r="K4352" s="164" t="str">
        <f ca="1">IFERROR(__xludf.DUMMYFUNCTION("""COMPUTED_VALUE"""),"Gino P. Roa")</f>
        <v>Gino P. Roa</v>
      </c>
      <c r="L4352" s="164" t="str">
        <f ca="1">IFERROR(__xludf.DUMMYFUNCTION("""COMPUTED_VALUE"""),"PPMO - Agusan del norte/LTID")</f>
        <v>PPMO - Agusan del norte/LTID</v>
      </c>
      <c r="M4352" s="164" t="str">
        <f ca="1">IFERROR(__xludf.DUMMYFUNCTION("""COMPUTED_VALUE"""),"SERVICEABLE")</f>
        <v>SERVICEABLE</v>
      </c>
      <c r="N4352" s="164"/>
    </row>
    <row r="4353" spans="1:14" ht="13.2" hidden="1">
      <c r="A4353" s="164" t="str">
        <f ca="1">IFERROR(__xludf.DUMMYFUNCTION("""COMPUTED_VALUE"""),"CARAGA")</f>
        <v>CARAGA</v>
      </c>
      <c r="B4353" s="164" t="str">
        <f ca="1">IFERROR(__xludf.DUMMYFUNCTION("""COMPUTED_VALUE"""),"Agusan del Sur")</f>
        <v>Agusan del Sur</v>
      </c>
      <c r="C4353" s="164" t="str">
        <f ca="1">IFERROR(__xludf.DUMMYFUNCTION("""COMPUTED_VALUE"""),"HANDHELD GPS – MODEL P6")</f>
        <v>HANDHELD GPS – MODEL P6</v>
      </c>
      <c r="D4353" s="164" t="str">
        <f ca="1">IFERROR(__xludf.DUMMYFUNCTION("""COMPUTED_VALUE"""),"₱ 79,000.00")</f>
        <v>₱ 79,000.00</v>
      </c>
      <c r="E4353" s="164" t="str">
        <f ca="1">IFERROR(__xludf.DUMMYFUNCTION("""COMPUTED_VALUE"""),"₱ -")</f>
        <v>₱ -</v>
      </c>
      <c r="F4353" s="164" t="str">
        <f ca="1">IFERROR(__xludf.DUMMYFUNCTION("""COMPUTED_VALUE"""),"2023-05-14-10202SP30-01")</f>
        <v>2023-05-14-10202SP30-01</v>
      </c>
      <c r="G4353" s="164" t="str">
        <f ca="1">IFERROR(__xludf.DUMMYFUNCTION("""COMPUTED_VALUE"""),"SN: SP10730057")</f>
        <v>SN: SP10730057</v>
      </c>
      <c r="H4353" s="164" t="str">
        <f ca="1">IFERROR(__xludf.DUMMYFUNCTION("""COMPUTED_VALUE"""),"Engr. Renier Jake Capa")</f>
        <v>Engr. Renier Jake Capa</v>
      </c>
      <c r="I4353" s="164" t="str">
        <f ca="1">IFERROR(__xludf.DUMMYFUNCTION("""COMPUTED_VALUE"""),"ARPO I/ Chief Survey")</f>
        <v>ARPO I/ Chief Survey</v>
      </c>
      <c r="J4353" s="164" t="str">
        <f ca="1">IFERROR(__xludf.DUMMYFUNCTION("""COMPUTED_VALUE"""),"PTR: 2023-04-016")</f>
        <v>PTR: 2023-04-016</v>
      </c>
      <c r="K4353" s="164" t="str">
        <f ca="1">IFERROR(__xludf.DUMMYFUNCTION("""COMPUTED_VALUE"""),"Engr. Renier Jake Capa")</f>
        <v>Engr. Renier Jake Capa</v>
      </c>
      <c r="L4353" s="164" t="str">
        <f ca="1">IFERROR(__xludf.DUMMYFUNCTION("""COMPUTED_VALUE"""),"PPMO - Agusan del Sur/ Survey Office")</f>
        <v>PPMO - Agusan del Sur/ Survey Office</v>
      </c>
      <c r="M4353" s="164" t="str">
        <f ca="1">IFERROR(__xludf.DUMMYFUNCTION("""COMPUTED_VALUE"""),"Serviceable")</f>
        <v>Serviceable</v>
      </c>
      <c r="N4353" s="164"/>
    </row>
    <row r="4354" spans="1:14" ht="13.2" hidden="1">
      <c r="A4354" s="164" t="str">
        <f ca="1">IFERROR(__xludf.DUMMYFUNCTION("""COMPUTED_VALUE"""),"CARAGA")</f>
        <v>CARAGA</v>
      </c>
      <c r="B4354" s="164" t="str">
        <f ca="1">IFERROR(__xludf.DUMMYFUNCTION("""COMPUTED_VALUE"""),"Agusan del Sur")</f>
        <v>Agusan del Sur</v>
      </c>
      <c r="C4354" s="164" t="str">
        <f ca="1">IFERROR(__xludf.DUMMYFUNCTION("""COMPUTED_VALUE"""),"HANDHELD GPS – MODEL P6")</f>
        <v>HANDHELD GPS – MODEL P6</v>
      </c>
      <c r="D4354" s="164" t="str">
        <f ca="1">IFERROR(__xludf.DUMMYFUNCTION("""COMPUTED_VALUE"""),"₱ 79,000.00")</f>
        <v>₱ 79,000.00</v>
      </c>
      <c r="E4354" s="164" t="str">
        <f ca="1">IFERROR(__xludf.DUMMYFUNCTION("""COMPUTED_VALUE"""),"₱ -")</f>
        <v>₱ -</v>
      </c>
      <c r="F4354" s="164" t="str">
        <f ca="1">IFERROR(__xludf.DUMMYFUNCTION("""COMPUTED_VALUE"""),"2023-05-14-10202SP77-01")</f>
        <v>2023-05-14-10202SP77-01</v>
      </c>
      <c r="G4354" s="164" t="str">
        <f ca="1">IFERROR(__xludf.DUMMYFUNCTION("""COMPUTED_VALUE"""),"SN: SP10730075")</f>
        <v>SN: SP10730075</v>
      </c>
      <c r="H4354" s="164" t="str">
        <f ca="1">IFERROR(__xludf.DUMMYFUNCTION("""COMPUTED_VALUE"""),"Engr. Renier Jake Capa")</f>
        <v>Engr. Renier Jake Capa</v>
      </c>
      <c r="I4354" s="164" t="str">
        <f ca="1">IFERROR(__xludf.DUMMYFUNCTION("""COMPUTED_VALUE"""),"ARPO I/ Chief Survey")</f>
        <v>ARPO I/ Chief Survey</v>
      </c>
      <c r="J4354" s="164" t="str">
        <f ca="1">IFERROR(__xludf.DUMMYFUNCTION("""COMPUTED_VALUE"""),"PTR: 2023-05-027")</f>
        <v>PTR: 2023-05-027</v>
      </c>
      <c r="K4354" s="164" t="str">
        <f ca="1">IFERROR(__xludf.DUMMYFUNCTION("""COMPUTED_VALUE"""),"Engr. Renier Jake Capa")</f>
        <v>Engr. Renier Jake Capa</v>
      </c>
      <c r="L4354" s="164" t="str">
        <f ca="1">IFERROR(__xludf.DUMMYFUNCTION("""COMPUTED_VALUE"""),"PPMO - Agusan del Sur/ Survey Office")</f>
        <v>PPMO - Agusan del Sur/ Survey Office</v>
      </c>
      <c r="M4354" s="164" t="str">
        <f ca="1">IFERROR(__xludf.DUMMYFUNCTION("""COMPUTED_VALUE"""),"Serviceable")</f>
        <v>Serviceable</v>
      </c>
      <c r="N4354" s="164"/>
    </row>
    <row r="4355" spans="1:14" ht="13.2" hidden="1">
      <c r="A4355" s="164" t="str">
        <f ca="1">IFERROR(__xludf.DUMMYFUNCTION("""COMPUTED_VALUE"""),"CARAGA")</f>
        <v>CARAGA</v>
      </c>
      <c r="B4355" s="164" t="str">
        <f ca="1">IFERROR(__xludf.DUMMYFUNCTION("""COMPUTED_VALUE"""),"Surigao del Sur")</f>
        <v>Surigao del Sur</v>
      </c>
      <c r="C4355" s="164" t="str">
        <f ca="1">IFERROR(__xludf.DUMMYFUNCTION("""COMPUTED_VALUE"""),"HANDHELD GPS – MODEL P6")</f>
        <v>HANDHELD GPS – MODEL P6</v>
      </c>
      <c r="D4355" s="164" t="str">
        <f ca="1">IFERROR(__xludf.DUMMYFUNCTION("""COMPUTED_VALUE"""),"₱ 79,000.00")</f>
        <v>₱ 79,000.00</v>
      </c>
      <c r="E4355" s="164" t="str">
        <f ca="1">IFERROR(__xludf.DUMMYFUNCTION("""COMPUTED_VALUE"""),"₱ -")</f>
        <v>₱ -</v>
      </c>
      <c r="F4355" s="164" t="str">
        <f ca="1">IFERROR(__xludf.DUMMYFUNCTION("""COMPUTED_VALUE"""),"2023-05-14-10202SP76-01")</f>
        <v>2023-05-14-10202SP76-01</v>
      </c>
      <c r="G4355" s="164"/>
      <c r="H4355" s="164" t="str">
        <f ca="1">IFERROR(__xludf.DUMMYFUNCTION("""COMPUTED_VALUE"""),"Sophonias J. Igsolo")</f>
        <v>Sophonias J. Igsolo</v>
      </c>
      <c r="I4355" s="164" t="str">
        <f ca="1">IFERROR(__xludf.DUMMYFUNCTION("""COMPUTED_VALUE"""),"Engr II/Survey Section Chief")</f>
        <v>Engr II/Survey Section Chief</v>
      </c>
      <c r="J4355" s="164"/>
      <c r="K4355" s="164" t="str">
        <f ca="1">IFERROR(__xludf.DUMMYFUNCTION("""COMPUTED_VALUE"""),"Sophonias J. Igsolo")</f>
        <v>Sophonias J. Igsolo</v>
      </c>
      <c r="L4355" s="164" t="str">
        <f ca="1">IFERROR(__xludf.DUMMYFUNCTION("""COMPUTED_VALUE"""),"PPMO -LTID, Surigao del Sur")</f>
        <v>PPMO -LTID, Surigao del Sur</v>
      </c>
      <c r="M4355" s="164" t="str">
        <f ca="1">IFERROR(__xludf.DUMMYFUNCTION("""COMPUTED_VALUE"""),"SERVICEABLE")</f>
        <v>SERVICEABLE</v>
      </c>
      <c r="N4355" s="164"/>
    </row>
    <row r="4356" spans="1:14" ht="13.2" hidden="1">
      <c r="A4356" s="164" t="str">
        <f ca="1">IFERROR(__xludf.DUMMYFUNCTION("""COMPUTED_VALUE"""),"CARAGA")</f>
        <v>CARAGA</v>
      </c>
      <c r="B4356" s="164" t="str">
        <f ca="1">IFERROR(__xludf.DUMMYFUNCTION("""COMPUTED_VALUE"""),"Surigao del Sur")</f>
        <v>Surigao del Sur</v>
      </c>
      <c r="C4356" s="164" t="str">
        <f ca="1">IFERROR(__xludf.DUMMYFUNCTION("""COMPUTED_VALUE"""),"A3 PRINTER (BROTHER)")</f>
        <v>A3 PRINTER (BROTHER)</v>
      </c>
      <c r="D4356" s="164" t="str">
        <f ca="1">IFERROR(__xludf.DUMMYFUNCTION("""COMPUTED_VALUE"""),"₱ 33,508.00")</f>
        <v>₱ 33,508.00</v>
      </c>
      <c r="E4356" s="164" t="str">
        <f ca="1">IFERROR(__xludf.DUMMYFUNCTION("""COMPUTED_VALUE"""),"₱ -")</f>
        <v>₱ -</v>
      </c>
      <c r="F4356" s="164" t="str">
        <f ca="1">IFERROR(__xludf.DUMMYFUNCTION("""COMPUTED_VALUE"""),"HVSPLIT-102-24-05-55")</f>
        <v>HVSPLIT-102-24-05-55</v>
      </c>
      <c r="G4356" s="164"/>
      <c r="H4356" s="164" t="str">
        <f ca="1">IFERROR(__xludf.DUMMYFUNCTION("""COMPUTED_VALUE"""),"Jacinto L. Diaz Jr.")</f>
        <v>Jacinto L. Diaz Jr.</v>
      </c>
      <c r="I4356" s="164" t="str">
        <f ca="1">IFERROR(__xludf.DUMMYFUNCTION("""COMPUTED_VALUE"""),"OIC-CARPO")</f>
        <v>OIC-CARPO</v>
      </c>
      <c r="J4356" s="164" t="str">
        <f ca="1">IFERROR(__xludf.DUMMYFUNCTION("""COMPUTED_VALUE"""),"2024-03-014")</f>
        <v>2024-03-014</v>
      </c>
      <c r="K4356" s="164" t="str">
        <f ca="1">IFERROR(__xludf.DUMMYFUNCTION("""COMPUTED_VALUE"""),"Jacinto L. Diaz Jr.")</f>
        <v>Jacinto L. Diaz Jr.</v>
      </c>
      <c r="L4356" s="164" t="str">
        <f ca="1">IFERROR(__xludf.DUMMYFUNCTION("""COMPUTED_VALUE"""),"PPMO -LTID, Surigao del Sur")</f>
        <v>PPMO -LTID, Surigao del Sur</v>
      </c>
      <c r="M4356" s="164"/>
      <c r="N4356" s="164"/>
    </row>
    <row r="4357" spans="1:14" ht="13.2" hidden="1">
      <c r="A4357" s="164" t="str">
        <f ca="1">IFERROR(__xludf.DUMMYFUNCTION("""COMPUTED_VALUE"""),"CARAGA")</f>
        <v>CARAGA</v>
      </c>
      <c r="B4357" s="164" t="str">
        <f ca="1">IFERROR(__xludf.DUMMYFUNCTION("""COMPUTED_VALUE"""),"Agusan del Norte")</f>
        <v>Agusan del Norte</v>
      </c>
      <c r="C4357" s="164" t="str">
        <f ca="1">IFERROR(__xludf.DUMMYFUNCTION("""COMPUTED_VALUE"""),"REAL-TIME KINEMATIC – GEOMAX ZENITH60")</f>
        <v>REAL-TIME KINEMATIC – GEOMAX ZENITH60</v>
      </c>
      <c r="D4357" s="164" t="str">
        <f ca="1">IFERROR(__xludf.DUMMYFUNCTION("""COMPUTED_VALUE"""),"₱ 1,849,000.00")</f>
        <v>₱ 1,849,000.00</v>
      </c>
      <c r="E4357" s="164" t="str">
        <f ca="1">IFERROR(__xludf.DUMMYFUNCTION("""COMPUTED_VALUE"""),"₱ -")</f>
        <v>₱ -</v>
      </c>
      <c r="F4357" s="164" t="str">
        <f ca="1">IFERROR(__xludf.DUMMYFUNCTION("""COMPUTED_VALUE"""),"2023-05-14-10201SP49-01")</f>
        <v>2023-05-14-10201SP49-01</v>
      </c>
      <c r="G4357" s="164" t="str">
        <f ca="1">IFERROR(__xludf.DUMMYFUNCTION("""COMPUTED_VALUE"""),"BASE SN:Z60SN272200416; ROVER SN: Z60ST27220428")</f>
        <v>BASE SN:Z60SN272200416; ROVER SN: Z60ST27220428</v>
      </c>
      <c r="H4357" s="164" t="str">
        <f ca="1">IFERROR(__xludf.DUMMYFUNCTION("""COMPUTED_VALUE"""),"Gino P. Roa")</f>
        <v>Gino P. Roa</v>
      </c>
      <c r="I4357" s="164" t="str">
        <f ca="1">IFERROR(__xludf.DUMMYFUNCTION("""COMPUTED_VALUE"""),"ARPO I")</f>
        <v>ARPO I</v>
      </c>
      <c r="J4357" s="164" t="str">
        <f ca="1">IFERROR(__xludf.DUMMYFUNCTION("""COMPUTED_VALUE"""),"PAR: 2025-07-0008")</f>
        <v>PAR: 2025-07-0008</v>
      </c>
      <c r="K4357" s="164" t="str">
        <f ca="1">IFERROR(__xludf.DUMMYFUNCTION("""COMPUTED_VALUE"""),"Gino P. Roa")</f>
        <v>Gino P. Roa</v>
      </c>
      <c r="L4357" s="164" t="str">
        <f ca="1">IFERROR(__xludf.DUMMYFUNCTION("""COMPUTED_VALUE"""),"PPMO - Agusan del Norte")</f>
        <v>PPMO - Agusan del Norte</v>
      </c>
      <c r="M4357" s="164" t="str">
        <f ca="1">IFERROR(__xludf.DUMMYFUNCTION("""COMPUTED_VALUE"""),"SERVICEABLE")</f>
        <v>SERVICEABLE</v>
      </c>
      <c r="N4357" s="164"/>
    </row>
    <row r="4358" spans="1:14" ht="13.2" hidden="1">
      <c r="A4358" s="164" t="str">
        <f ca="1">IFERROR(__xludf.DUMMYFUNCTION("""COMPUTED_VALUE"""),"CARAGA")</f>
        <v>CARAGA</v>
      </c>
      <c r="B4358" s="164" t="str">
        <f ca="1">IFERROR(__xludf.DUMMYFUNCTION("""COMPUTED_VALUE"""),"Agusan del Sur")</f>
        <v>Agusan del Sur</v>
      </c>
      <c r="C4358" s="164" t="str">
        <f ca="1">IFERROR(__xludf.DUMMYFUNCTION("""COMPUTED_VALUE"""),"REAL-TIME KINEMATIC – GEOMAX ZENITH60")</f>
        <v>REAL-TIME KINEMATIC – GEOMAX ZENITH60</v>
      </c>
      <c r="D4358" s="164" t="str">
        <f ca="1">IFERROR(__xludf.DUMMYFUNCTION("""COMPUTED_VALUE"""),"₱ 1,849,000.00")</f>
        <v>₱ 1,849,000.00</v>
      </c>
      <c r="E4358" s="164" t="str">
        <f ca="1">IFERROR(__xludf.DUMMYFUNCTION("""COMPUTED_VALUE"""),"₱ -")</f>
        <v>₱ -</v>
      </c>
      <c r="F4358" s="164" t="str">
        <f ca="1">IFERROR(__xludf.DUMMYFUNCTION("""COMPUTED_VALUE"""),"2023-05-14-10201SP48-01")</f>
        <v>2023-05-14-10201SP48-01</v>
      </c>
      <c r="G4358" s="164" t="str">
        <f ca="1">IFERROR(__xludf.DUMMYFUNCTION("""COMPUTED_VALUE"""),"BASE SN: Z60SN272200108; ROVER SN: Z60ST272200425")</f>
        <v>BASE SN: Z60SN272200108; ROVER SN: Z60ST272200425</v>
      </c>
      <c r="H4358" s="164" t="str">
        <f ca="1">IFERROR(__xludf.DUMMYFUNCTION("""COMPUTED_VALUE"""),"Ruth A. Galvez")</f>
        <v>Ruth A. Galvez</v>
      </c>
      <c r="I4358" s="164" t="str">
        <f ca="1">IFERROR(__xludf.DUMMYFUNCTION("""COMPUTED_VALUE"""),"CARPO LTID")</f>
        <v>CARPO LTID</v>
      </c>
      <c r="J4358" s="164" t="str">
        <f ca="1">IFERROR(__xludf.DUMMYFUNCTION("""COMPUTED_VALUE"""),"PTR: 2023-04-015")</f>
        <v>PTR: 2023-04-015</v>
      </c>
      <c r="K4358" s="164" t="str">
        <f ca="1">IFERROR(__xludf.DUMMYFUNCTION("""COMPUTED_VALUE"""),"Engr. Renier Jake Capa")</f>
        <v>Engr. Renier Jake Capa</v>
      </c>
      <c r="L4358" s="164" t="str">
        <f ca="1">IFERROR(__xludf.DUMMYFUNCTION("""COMPUTED_VALUE"""),"PPMO - Agusan del Sur/ Survey Office")</f>
        <v>PPMO - Agusan del Sur/ Survey Office</v>
      </c>
      <c r="M4358" s="164" t="str">
        <f ca="1">IFERROR(__xludf.DUMMYFUNCTION("""COMPUTED_VALUE"""),"Serviceable")</f>
        <v>Serviceable</v>
      </c>
      <c r="N4358" s="164"/>
    </row>
    <row r="4359" spans="1:14" ht="13.2" hidden="1">
      <c r="A4359" s="164" t="str">
        <f ca="1">IFERROR(__xludf.DUMMYFUNCTION("""COMPUTED_VALUE"""),"CARAGA")</f>
        <v>CARAGA</v>
      </c>
      <c r="B4359" s="164" t="str">
        <f ca="1">IFERROR(__xludf.DUMMYFUNCTION("""COMPUTED_VALUE"""),"Surigao del Sur")</f>
        <v>Surigao del Sur</v>
      </c>
      <c r="C4359" s="164" t="str">
        <f ca="1">IFERROR(__xludf.DUMMYFUNCTION("""COMPUTED_VALUE"""),"REAL-TIME KINEMATIC – GEOMAX ZENITH60")</f>
        <v>REAL-TIME KINEMATIC – GEOMAX ZENITH60</v>
      </c>
      <c r="D4359" s="164" t="str">
        <f ca="1">IFERROR(__xludf.DUMMYFUNCTION("""COMPUTED_VALUE"""),"₱ 1,849,000.00")</f>
        <v>₱ 1,849,000.00</v>
      </c>
      <c r="E4359" s="164" t="str">
        <f ca="1">IFERROR(__xludf.DUMMYFUNCTION("""COMPUTED_VALUE"""),"₱ -")</f>
        <v>₱ -</v>
      </c>
      <c r="F4359" s="164" t="str">
        <f ca="1">IFERROR(__xludf.DUMMYFUNCTION("""COMPUTED_VALUE"""),"2023-05-14-10201SP50-01")</f>
        <v>2023-05-14-10201SP50-01</v>
      </c>
      <c r="G4359" s="164"/>
      <c r="H4359" s="164" t="str">
        <f ca="1">IFERROR(__xludf.DUMMYFUNCTION("""COMPUTED_VALUE"""),"Sophonias J. Igsolo")</f>
        <v>Sophonias J. Igsolo</v>
      </c>
      <c r="I4359" s="164" t="str">
        <f ca="1">IFERROR(__xludf.DUMMYFUNCTION("""COMPUTED_VALUE"""),"Engr II/Survey Section Chief")</f>
        <v>Engr II/Survey Section Chief</v>
      </c>
      <c r="J4359" s="164" t="str">
        <f ca="1">IFERROR(__xludf.DUMMYFUNCTION("""COMPUTED_VALUE"""),"PTR: 2023-04-012")</f>
        <v>PTR: 2023-04-012</v>
      </c>
      <c r="K4359" s="164" t="str">
        <f ca="1">IFERROR(__xludf.DUMMYFUNCTION("""COMPUTED_VALUE"""),"Sophonias J. Igsolo")</f>
        <v>Sophonias J. Igsolo</v>
      </c>
      <c r="L4359" s="164" t="str">
        <f ca="1">IFERROR(__xludf.DUMMYFUNCTION("""COMPUTED_VALUE"""),"PPMO -LTID, Surigao del Sur")</f>
        <v>PPMO -LTID, Surigao del Sur</v>
      </c>
      <c r="M4359" s="164" t="str">
        <f ca="1">IFERROR(__xludf.DUMMYFUNCTION("""COMPUTED_VALUE"""),"SERVICEABLE")</f>
        <v>SERVICEABLE</v>
      </c>
      <c r="N4359" s="164"/>
    </row>
    <row r="4360" spans="1:14" ht="13.2" hidden="1">
      <c r="A4360" s="164" t="str">
        <f ca="1">IFERROR(__xludf.DUMMYFUNCTION("""COMPUTED_VALUE"""),"CARAGA")</f>
        <v>CARAGA</v>
      </c>
      <c r="B4360" s="164" t="str">
        <f ca="1">IFERROR(__xludf.DUMMYFUNCTION("""COMPUTED_VALUE"""),"Agusan del Norte")</f>
        <v>Agusan del Norte</v>
      </c>
      <c r="C4360" s="164" t="str">
        <f ca="1">IFERROR(__xludf.DUMMYFUNCTION("""COMPUTED_VALUE"""),"TOTAL STATION – GEOMAX TOTAL STATION ZOOM 50")</f>
        <v>TOTAL STATION – GEOMAX TOTAL STATION ZOOM 50</v>
      </c>
      <c r="D4360" s="164" t="str">
        <f ca="1">IFERROR(__xludf.DUMMYFUNCTION("""COMPUTED_VALUE"""),"₱ 648,000.00")</f>
        <v>₱ 648,000.00</v>
      </c>
      <c r="E4360" s="164" t="str">
        <f ca="1">IFERROR(__xludf.DUMMYFUNCTION("""COMPUTED_VALUE"""),"₱ -")</f>
        <v>₱ -</v>
      </c>
      <c r="F4360" s="164" t="str">
        <f ca="1">IFERROR(__xludf.DUMMYFUNCTION("""COMPUTED_VALUE"""),"2023-05-14-10201SP49-01")</f>
        <v>2023-05-14-10201SP49-01</v>
      </c>
      <c r="G4360" s="164" t="str">
        <f ca="1">IFERROR(__xludf.DUMMYFUNCTION("""COMPUTED_VALUE"""),"SN: 2839978")</f>
        <v>SN: 2839978</v>
      </c>
      <c r="H4360" s="164" t="str">
        <f ca="1">IFERROR(__xludf.DUMMYFUNCTION("""COMPUTED_VALUE"""),"Gino P. Roa")</f>
        <v>Gino P. Roa</v>
      </c>
      <c r="I4360" s="164" t="str">
        <f ca="1">IFERROR(__xludf.DUMMYFUNCTION("""COMPUTED_VALUE"""),"ARPO I")</f>
        <v>ARPO I</v>
      </c>
      <c r="J4360" s="164" t="str">
        <f ca="1">IFERROR(__xludf.DUMMYFUNCTION("""COMPUTED_VALUE"""),"PAR: 2025-07-0008")</f>
        <v>PAR: 2025-07-0008</v>
      </c>
      <c r="K4360" s="164" t="str">
        <f ca="1">IFERROR(__xludf.DUMMYFUNCTION("""COMPUTED_VALUE"""),"Gino P. Roa")</f>
        <v>Gino P. Roa</v>
      </c>
      <c r="L4360" s="164" t="str">
        <f ca="1">IFERROR(__xludf.DUMMYFUNCTION("""COMPUTED_VALUE"""),"PARPO - Agusan del Norte")</f>
        <v>PARPO - Agusan del Norte</v>
      </c>
      <c r="M4360" s="164" t="str">
        <f ca="1">IFERROR(__xludf.DUMMYFUNCTION("""COMPUTED_VALUE"""),"SERVICEABLE")</f>
        <v>SERVICEABLE</v>
      </c>
      <c r="N4360" s="164"/>
    </row>
    <row r="4361" spans="1:14" ht="13.2" hidden="1">
      <c r="A4361" s="164" t="str">
        <f ca="1">IFERROR(__xludf.DUMMYFUNCTION("""COMPUTED_VALUE"""),"CARAGA")</f>
        <v>CARAGA</v>
      </c>
      <c r="B4361" s="164" t="str">
        <f ca="1">IFERROR(__xludf.DUMMYFUNCTION("""COMPUTED_VALUE"""),"Agusan del Sur")</f>
        <v>Agusan del Sur</v>
      </c>
      <c r="C4361" s="164" t="str">
        <f ca="1">IFERROR(__xludf.DUMMYFUNCTION("""COMPUTED_VALUE"""),"TOTAL STATION – GEOMAX TOTAL STATION ZOOM 50")</f>
        <v>TOTAL STATION – GEOMAX TOTAL STATION ZOOM 50</v>
      </c>
      <c r="D4361" s="164" t="str">
        <f ca="1">IFERROR(__xludf.DUMMYFUNCTION("""COMPUTED_VALUE"""),"₱ 648,000.00")</f>
        <v>₱ 648,000.00</v>
      </c>
      <c r="E4361" s="164" t="str">
        <f ca="1">IFERROR(__xludf.DUMMYFUNCTION("""COMPUTED_VALUE"""),"₱ -")</f>
        <v>₱ -</v>
      </c>
      <c r="F4361" s="164" t="str">
        <f ca="1">IFERROR(__xludf.DUMMYFUNCTION("""COMPUTED_VALUE"""),"2023-05-14-10201SP48-01")</f>
        <v>2023-05-14-10201SP48-01</v>
      </c>
      <c r="G4361" s="164" t="str">
        <f ca="1">IFERROR(__xludf.DUMMYFUNCTION("""COMPUTED_VALUE"""),"SN: 2839778")</f>
        <v>SN: 2839778</v>
      </c>
      <c r="H4361" s="164" t="str">
        <f ca="1">IFERROR(__xludf.DUMMYFUNCTION("""COMPUTED_VALUE"""),"Ruth A. Galvez")</f>
        <v>Ruth A. Galvez</v>
      </c>
      <c r="I4361" s="164" t="str">
        <f ca="1">IFERROR(__xludf.DUMMYFUNCTION("""COMPUTED_VALUE"""),"CARPO LTID")</f>
        <v>CARPO LTID</v>
      </c>
      <c r="J4361" s="164" t="str">
        <f ca="1">IFERROR(__xludf.DUMMYFUNCTION("""COMPUTED_VALUE"""),"PTR: 2023-04-015")</f>
        <v>PTR: 2023-04-015</v>
      </c>
      <c r="K4361" s="164" t="str">
        <f ca="1">IFERROR(__xludf.DUMMYFUNCTION("""COMPUTED_VALUE"""),"Engr. Renier Jake Capa")</f>
        <v>Engr. Renier Jake Capa</v>
      </c>
      <c r="L4361" s="164" t="str">
        <f ca="1">IFERROR(__xludf.DUMMYFUNCTION("""COMPUTED_VALUE"""),"PPMO - Agusan del Sur/ Survey Office")</f>
        <v>PPMO - Agusan del Sur/ Survey Office</v>
      </c>
      <c r="M4361" s="164" t="str">
        <f ca="1">IFERROR(__xludf.DUMMYFUNCTION("""COMPUTED_VALUE"""),"Serviceable")</f>
        <v>Serviceable</v>
      </c>
      <c r="N4361" s="164"/>
    </row>
    <row r="4362" spans="1:14" ht="13.2" hidden="1">
      <c r="A4362" s="164" t="str">
        <f ca="1">IFERROR(__xludf.DUMMYFUNCTION("""COMPUTED_VALUE"""),"CARAGA")</f>
        <v>CARAGA</v>
      </c>
      <c r="B4362" s="164" t="str">
        <f ca="1">IFERROR(__xludf.DUMMYFUNCTION("""COMPUTED_VALUE"""),"Surigao del Sur")</f>
        <v>Surigao del Sur</v>
      </c>
      <c r="C4362" s="164" t="str">
        <f ca="1">IFERROR(__xludf.DUMMYFUNCTION("""COMPUTED_VALUE"""),"TOTAL STATION – GEOMAX TOTAL STATION ZOOM 50")</f>
        <v>TOTAL STATION – GEOMAX TOTAL STATION ZOOM 50</v>
      </c>
      <c r="D4362" s="164" t="str">
        <f ca="1">IFERROR(__xludf.DUMMYFUNCTION("""COMPUTED_VALUE"""),"₱ 648,000.00")</f>
        <v>₱ 648,000.00</v>
      </c>
      <c r="E4362" s="164" t="str">
        <f ca="1">IFERROR(__xludf.DUMMYFUNCTION("""COMPUTED_VALUE"""),"₱ -")</f>
        <v>₱ -</v>
      </c>
      <c r="F4362" s="164" t="str">
        <f ca="1">IFERROR(__xludf.DUMMYFUNCTION("""COMPUTED_VALUE"""),"2023-05-14-10201SP50-01")</f>
        <v>2023-05-14-10201SP50-01</v>
      </c>
      <c r="G4362" s="164"/>
      <c r="H4362" s="164" t="str">
        <f ca="1">IFERROR(__xludf.DUMMYFUNCTION("""COMPUTED_VALUE"""),"Sophonias J. Igsolo")</f>
        <v>Sophonias J. Igsolo</v>
      </c>
      <c r="I4362" s="164" t="str">
        <f ca="1">IFERROR(__xludf.DUMMYFUNCTION("""COMPUTED_VALUE"""),"Engr II/Survey Section Chief")</f>
        <v>Engr II/Survey Section Chief</v>
      </c>
      <c r="J4362" s="164" t="str">
        <f ca="1">IFERROR(__xludf.DUMMYFUNCTION("""COMPUTED_VALUE"""),"PTR: 2023-04-017")</f>
        <v>PTR: 2023-04-017</v>
      </c>
      <c r="K4362" s="164" t="str">
        <f ca="1">IFERROR(__xludf.DUMMYFUNCTION("""COMPUTED_VALUE"""),"Sophonias J. Igsolo")</f>
        <v>Sophonias J. Igsolo</v>
      </c>
      <c r="L4362" s="164" t="str">
        <f ca="1">IFERROR(__xludf.DUMMYFUNCTION("""COMPUTED_VALUE"""),"PPMO -LTID, Surigao del Sur")</f>
        <v>PPMO -LTID, Surigao del Sur</v>
      </c>
      <c r="M4362" s="164" t="str">
        <f ca="1">IFERROR(__xludf.DUMMYFUNCTION("""COMPUTED_VALUE"""),"SERVICEABLE")</f>
        <v>SERVICEABLE</v>
      </c>
      <c r="N4362" s="164"/>
    </row>
    <row r="4363" spans="1:14" ht="13.2" hidden="1">
      <c r="A4363" s="164" t="str">
        <f ca="1">IFERROR(__xludf.DUMMYFUNCTION("""COMPUTED_VALUE"""),"CARAGA")</f>
        <v>CARAGA</v>
      </c>
      <c r="B4363" s="164" t="str">
        <f ca="1">IFERROR(__xludf.DUMMYFUNCTION("""COMPUTED_VALUE"""),"Agusan del Norte")</f>
        <v>Agusan del Norte</v>
      </c>
      <c r="C4363" s="164" t="str">
        <f ca="1">IFERROR(__xludf.DUMMYFUNCTION("""COMPUTED_VALUE"""),"Desktop Computer – (MSI PRO DP180)")</f>
        <v>Desktop Computer – (MSI PRO DP180)</v>
      </c>
      <c r="D4363" s="164" t="str">
        <f ca="1">IFERROR(__xludf.DUMMYFUNCTION("""COMPUTED_VALUE"""),"₱ 49,300.00")</f>
        <v>₱ 49,300.00</v>
      </c>
      <c r="E4363" s="164" t="str">
        <f ca="1">IFERROR(__xludf.DUMMYFUNCTION("""COMPUTED_VALUE"""),"₱ -")</f>
        <v>₱ -</v>
      </c>
      <c r="F4363" s="164" t="str">
        <f ca="1">IFERROR(__xludf.DUMMYFUNCTION("""COMPUTED_VALUE"""),"HVSPLIT-102-24-05-01-181")</f>
        <v>HVSPLIT-102-24-05-01-181</v>
      </c>
      <c r="G4363" s="164"/>
      <c r="H4363" s="164" t="str">
        <f ca="1">IFERROR(__xludf.DUMMYFUNCTION("""COMPUTED_VALUE"""),"Atty. John Winston A. Baje")</f>
        <v>Atty. John Winston A. Baje</v>
      </c>
      <c r="I4363" s="164" t="str">
        <f ca="1">IFERROR(__xludf.DUMMYFUNCTION("""COMPUTED_VALUE"""),"Atty. IV")</f>
        <v>Atty. IV</v>
      </c>
      <c r="J4363" s="164" t="str">
        <f ca="1">IFERROR(__xludf.DUMMYFUNCTION("""COMPUTED_VALUE"""),"2024-10-189")</f>
        <v>2024-10-189</v>
      </c>
      <c r="K4363" s="164" t="str">
        <f ca="1">IFERROR(__xludf.DUMMYFUNCTION("""COMPUTED_VALUE"""),"Merliza Balbido")</f>
        <v>Merliza Balbido</v>
      </c>
      <c r="L4363" s="164" t="str">
        <f ca="1">IFERROR(__xludf.DUMMYFUNCTION("""COMPUTED_VALUE"""),"PPMO - Agusan del Norte/LSD")</f>
        <v>PPMO - Agusan del Norte/LSD</v>
      </c>
      <c r="M4363" s="164" t="str">
        <f ca="1">IFERROR(__xludf.DUMMYFUNCTION("""COMPUTED_VALUE"""),"Serviceable")</f>
        <v>Serviceable</v>
      </c>
      <c r="N4363" s="164"/>
    </row>
    <row r="4364" spans="1:14" ht="13.2" hidden="1">
      <c r="A4364" s="164" t="str">
        <f ca="1">IFERROR(__xludf.DUMMYFUNCTION("""COMPUTED_VALUE"""),"CARAGA")</f>
        <v>CARAGA</v>
      </c>
      <c r="B4364" s="164" t="str">
        <f ca="1">IFERROR(__xludf.DUMMYFUNCTION("""COMPUTED_VALUE"""),"Agusan del Norte")</f>
        <v>Agusan del Norte</v>
      </c>
      <c r="C4364" s="164" t="str">
        <f ca="1">IFERROR(__xludf.DUMMYFUNCTION("""COMPUTED_VALUE"""),"Desktop Computer – (MSI PRO DP180)")</f>
        <v>Desktop Computer – (MSI PRO DP180)</v>
      </c>
      <c r="D4364" s="164" t="str">
        <f ca="1">IFERROR(__xludf.DUMMYFUNCTION("""COMPUTED_VALUE"""),"₱ 49,300.00")</f>
        <v>₱ 49,300.00</v>
      </c>
      <c r="E4364" s="164" t="str">
        <f ca="1">IFERROR(__xludf.DUMMYFUNCTION("""COMPUTED_VALUE"""),"₱ -")</f>
        <v>₱ -</v>
      </c>
      <c r="F4364" s="164" t="str">
        <f ca="1">IFERROR(__xludf.DUMMYFUNCTION("""COMPUTED_VALUE"""),"HVSPLIT-102-24-05-01-510")</f>
        <v>HVSPLIT-102-24-05-01-510</v>
      </c>
      <c r="G4364" s="164"/>
      <c r="H4364" s="164" t="str">
        <f ca="1">IFERROR(__xludf.DUMMYFUNCTION("""COMPUTED_VALUE"""),"Atty. John Winston A. Baje")</f>
        <v>Atty. John Winston A. Baje</v>
      </c>
      <c r="I4364" s="164" t="str">
        <f ca="1">IFERROR(__xludf.DUMMYFUNCTION("""COMPUTED_VALUE"""),"Atty. IV")</f>
        <v>Atty. IV</v>
      </c>
      <c r="J4364" s="164" t="str">
        <f ca="1">IFERROR(__xludf.DUMMYFUNCTION("""COMPUTED_VALUE"""),"2024-10-189")</f>
        <v>2024-10-189</v>
      </c>
      <c r="K4364" s="164" t="str">
        <f ca="1">IFERROR(__xludf.DUMMYFUNCTION("""COMPUTED_VALUE"""),"Archibald Quistadio")</f>
        <v>Archibald Quistadio</v>
      </c>
      <c r="L4364" s="164" t="str">
        <f ca="1">IFERROR(__xludf.DUMMYFUNCTION("""COMPUTED_VALUE"""),"PPMO - Agusan del Norte/LSD")</f>
        <v>PPMO - Agusan del Norte/LSD</v>
      </c>
      <c r="M4364" s="164" t="str">
        <f ca="1">IFERROR(__xludf.DUMMYFUNCTION("""COMPUTED_VALUE"""),"Serviceable")</f>
        <v>Serviceable</v>
      </c>
      <c r="N4364" s="164"/>
    </row>
    <row r="4365" spans="1:14" ht="13.2" hidden="1">
      <c r="A4365" s="164" t="str">
        <f ca="1">IFERROR(__xludf.DUMMYFUNCTION("""COMPUTED_VALUE"""),"CARAGA")</f>
        <v>CARAGA</v>
      </c>
      <c r="B4365" s="164" t="str">
        <f ca="1">IFERROR(__xludf.DUMMYFUNCTION("""COMPUTED_VALUE"""),"Agusan del Norte")</f>
        <v>Agusan del Norte</v>
      </c>
      <c r="C4365" s="164" t="str">
        <f ca="1">IFERROR(__xludf.DUMMYFUNCTION("""COMPUTED_VALUE"""),"Desktop Computer – (MSI PRO DP180)")</f>
        <v>Desktop Computer – (MSI PRO DP180)</v>
      </c>
      <c r="D4365" s="164" t="str">
        <f ca="1">IFERROR(__xludf.DUMMYFUNCTION("""COMPUTED_VALUE"""),"₱ 49,300.00")</f>
        <v>₱ 49,300.00</v>
      </c>
      <c r="E4365" s="164" t="str">
        <f ca="1">IFERROR(__xludf.DUMMYFUNCTION("""COMPUTED_VALUE"""),"₱ -")</f>
        <v>₱ -</v>
      </c>
      <c r="F4365" s="164" t="str">
        <f ca="1">IFERROR(__xludf.DUMMYFUNCTION("""COMPUTED_VALUE"""),"HVSPLIT-102-24-05-01-511")</f>
        <v>HVSPLIT-102-24-05-01-511</v>
      </c>
      <c r="G4365" s="164"/>
      <c r="H4365" s="164" t="str">
        <f ca="1">IFERROR(__xludf.DUMMYFUNCTION("""COMPUTED_VALUE"""),"Atty. John Winston A. Baje")</f>
        <v>Atty. John Winston A. Baje</v>
      </c>
      <c r="I4365" s="164" t="str">
        <f ca="1">IFERROR(__xludf.DUMMYFUNCTION("""COMPUTED_VALUE"""),"Atty. IV")</f>
        <v>Atty. IV</v>
      </c>
      <c r="J4365" s="164" t="str">
        <f ca="1">IFERROR(__xludf.DUMMYFUNCTION("""COMPUTED_VALUE"""),"2024-10-189")</f>
        <v>2024-10-189</v>
      </c>
      <c r="K4365" s="164" t="str">
        <f ca="1">IFERROR(__xludf.DUMMYFUNCTION("""COMPUTED_VALUE"""),"Edilberto Dulanas")</f>
        <v>Edilberto Dulanas</v>
      </c>
      <c r="L4365" s="164" t="str">
        <f ca="1">IFERROR(__xludf.DUMMYFUNCTION("""COMPUTED_VALUE"""),"PPMO - Agusan del Norte/LSD")</f>
        <v>PPMO - Agusan del Norte/LSD</v>
      </c>
      <c r="M4365" s="164" t="str">
        <f ca="1">IFERROR(__xludf.DUMMYFUNCTION("""COMPUTED_VALUE"""),"Serviceable")</f>
        <v>Serviceable</v>
      </c>
      <c r="N4365" s="164"/>
    </row>
    <row r="4366" spans="1:14" ht="13.2" hidden="1">
      <c r="A4366" s="164" t="str">
        <f ca="1">IFERROR(__xludf.DUMMYFUNCTION("""COMPUTED_VALUE"""),"CARAGA")</f>
        <v>CARAGA</v>
      </c>
      <c r="B4366" s="164" t="str">
        <f ca="1">IFERROR(__xludf.DUMMYFUNCTION("""COMPUTED_VALUE"""),"Regional Office")</f>
        <v>Regional Office</v>
      </c>
      <c r="C4366" s="164" t="str">
        <f ca="1">IFERROR(__xludf.DUMMYFUNCTION("""COMPUTED_VALUE"""),"Desktop Computer – (MSI PRO DP180)")</f>
        <v>Desktop Computer – (MSI PRO DP180)</v>
      </c>
      <c r="D4366" s="164" t="str">
        <f ca="1">IFERROR(__xludf.DUMMYFUNCTION("""COMPUTED_VALUE"""),"₱ 49,300.00")</f>
        <v>₱ 49,300.00</v>
      </c>
      <c r="E4366" s="164" t="str">
        <f ca="1">IFERROR(__xludf.DUMMYFUNCTION("""COMPUTED_VALUE"""),"₱ -")</f>
        <v>₱ -</v>
      </c>
      <c r="F4366" s="164" t="str">
        <f ca="1">IFERROR(__xludf.DUMMYFUNCTION("""COMPUTED_VALUE"""),"HVSPLIT-102-24-05-01-512")</f>
        <v>HVSPLIT-102-24-05-01-512</v>
      </c>
      <c r="G4366" s="164"/>
      <c r="H4366" s="164" t="str">
        <f ca="1">IFERROR(__xludf.DUMMYFUNCTION("""COMPUTED_VALUE"""),"Atty. John Winston A. Baje")</f>
        <v>Atty. John Winston A. Baje</v>
      </c>
      <c r="I4366" s="164" t="str">
        <f ca="1">IFERROR(__xludf.DUMMYFUNCTION("""COMPUTED_VALUE"""),"Atty. IV")</f>
        <v>Atty. IV</v>
      </c>
      <c r="J4366" s="164" t="str">
        <f ca="1">IFERROR(__xludf.DUMMYFUNCTION("""COMPUTED_VALUE"""),"2024-10-190")</f>
        <v>2024-10-190</v>
      </c>
      <c r="K4366" s="164" t="str">
        <f ca="1">IFERROR(__xludf.DUMMYFUNCTION("""COMPUTED_VALUE"""),"Edilberto Dulanas")</f>
        <v>Edilberto Dulanas</v>
      </c>
      <c r="L4366" s="164" t="str">
        <f ca="1">IFERROR(__xludf.DUMMYFUNCTION("""COMPUTED_VALUE"""),"PPMO - Agusan del Norte/LSD")</f>
        <v>PPMO - Agusan del Norte/LSD</v>
      </c>
      <c r="M4366" s="164" t="str">
        <f ca="1">IFERROR(__xludf.DUMMYFUNCTION("""COMPUTED_VALUE"""),"Serviceable")</f>
        <v>Serviceable</v>
      </c>
      <c r="N4366" s="164"/>
    </row>
    <row r="4367" spans="1:14" ht="13.2" hidden="1">
      <c r="A4367" s="164" t="str">
        <f ca="1">IFERROR(__xludf.DUMMYFUNCTION("""COMPUTED_VALUE"""),"CARAGA")</f>
        <v>CARAGA</v>
      </c>
      <c r="B4367" s="164" t="str">
        <f ca="1">IFERROR(__xludf.DUMMYFUNCTION("""COMPUTED_VALUE"""),"Regional Office")</f>
        <v>Regional Office</v>
      </c>
      <c r="C4367" s="164" t="str">
        <f ca="1">IFERROR(__xludf.DUMMYFUNCTION("""COMPUTED_VALUE"""),"Desktop Computer – (MSI PRO DP180)")</f>
        <v>Desktop Computer – (MSI PRO DP180)</v>
      </c>
      <c r="D4367" s="164" t="str">
        <f ca="1">IFERROR(__xludf.DUMMYFUNCTION("""COMPUTED_VALUE"""),"₱ 49,300.00")</f>
        <v>₱ 49,300.00</v>
      </c>
      <c r="E4367" s="164" t="str">
        <f ca="1">IFERROR(__xludf.DUMMYFUNCTION("""COMPUTED_VALUE"""),"₱ -")</f>
        <v>₱ -</v>
      </c>
      <c r="F4367" s="164" t="str">
        <f ca="1">IFERROR(__xludf.DUMMYFUNCTION("""COMPUTED_VALUE"""),"HVSPLIT-102-24-05-01-513")</f>
        <v>HVSPLIT-102-24-05-01-513</v>
      </c>
      <c r="G4367" s="164"/>
      <c r="H4367" s="164" t="str">
        <f ca="1">IFERROR(__xludf.DUMMYFUNCTION("""COMPUTED_VALUE"""),"Atty. John Winston A. Baje")</f>
        <v>Atty. John Winston A. Baje</v>
      </c>
      <c r="I4367" s="164" t="str">
        <f ca="1">IFERROR(__xludf.DUMMYFUNCTION("""COMPUTED_VALUE"""),"Atty. IV")</f>
        <v>Atty. IV</v>
      </c>
      <c r="J4367" s="164" t="str">
        <f ca="1">IFERROR(__xludf.DUMMYFUNCTION("""COMPUTED_VALUE"""),"2024-10-191")</f>
        <v>2024-10-191</v>
      </c>
      <c r="K4367" s="164" t="str">
        <f ca="1">IFERROR(__xludf.DUMMYFUNCTION("""COMPUTED_VALUE"""),"Edilberto Dulanas")</f>
        <v>Edilberto Dulanas</v>
      </c>
      <c r="L4367" s="164" t="str">
        <f ca="1">IFERROR(__xludf.DUMMYFUNCTION("""COMPUTED_VALUE"""),"PPMO - Agusan del Norte/LSD")</f>
        <v>PPMO - Agusan del Norte/LSD</v>
      </c>
      <c r="M4367" s="164" t="str">
        <f ca="1">IFERROR(__xludf.DUMMYFUNCTION("""COMPUTED_VALUE"""),"Serviceable")</f>
        <v>Serviceable</v>
      </c>
      <c r="N4367" s="164"/>
    </row>
    <row r="4368" spans="1:14" ht="13.2" hidden="1">
      <c r="A4368" s="164" t="str">
        <f ca="1">IFERROR(__xludf.DUMMYFUNCTION("""COMPUTED_VALUE"""),"CARAGA")</f>
        <v>CARAGA</v>
      </c>
      <c r="B4368" s="164" t="str">
        <f ca="1">IFERROR(__xludf.DUMMYFUNCTION("""COMPUTED_VALUE"""),"Regional Office")</f>
        <v>Regional Office</v>
      </c>
      <c r="C4368" s="164" t="str">
        <f ca="1">IFERROR(__xludf.DUMMYFUNCTION("""COMPUTED_VALUE"""),"Desktop Computer – (MSI PRO DP180)")</f>
        <v>Desktop Computer – (MSI PRO DP180)</v>
      </c>
      <c r="D4368" s="164" t="str">
        <f ca="1">IFERROR(__xludf.DUMMYFUNCTION("""COMPUTED_VALUE"""),"₱ 49,300.00")</f>
        <v>₱ 49,300.00</v>
      </c>
      <c r="E4368" s="164" t="str">
        <f ca="1">IFERROR(__xludf.DUMMYFUNCTION("""COMPUTED_VALUE"""),"₱ -")</f>
        <v>₱ -</v>
      </c>
      <c r="F4368" s="164" t="str">
        <f ca="1">IFERROR(__xludf.DUMMYFUNCTION("""COMPUTED_VALUE"""),"HVSPLIT-102-24-05-01-514")</f>
        <v>HVSPLIT-102-24-05-01-514</v>
      </c>
      <c r="G4368" s="164" t="str">
        <f ca="1">IFERROR(__xludf.DUMMYFUNCTION("""COMPUTED_VALUE"""),"MSB0A7O4S0103891")</f>
        <v>MSB0A7O4S0103891</v>
      </c>
      <c r="H4368" s="164" t="str">
        <f ca="1">IFERROR(__xludf.DUMMYFUNCTION("""COMPUTED_VALUE"""),"Atty. John Winston A. Baje")</f>
        <v>Atty. John Winston A. Baje</v>
      </c>
      <c r="I4368" s="164" t="str">
        <f ca="1">IFERROR(__xludf.DUMMYFUNCTION("""COMPUTED_VALUE"""),"Atty. IV")</f>
        <v>Atty. IV</v>
      </c>
      <c r="J4368" s="164" t="str">
        <f ca="1">IFERROR(__xludf.DUMMYFUNCTION("""COMPUTED_VALUE"""),"2024-10-189")</f>
        <v>2024-10-189</v>
      </c>
      <c r="K4368" s="164" t="str">
        <f ca="1">IFERROR(__xludf.DUMMYFUNCTION("""COMPUTED_VALUE"""),"Merliza Balbido")</f>
        <v>Merliza Balbido</v>
      </c>
      <c r="L4368" s="164" t="str">
        <f ca="1">IFERROR(__xludf.DUMMYFUNCTION("""COMPUTED_VALUE"""),"PPMO - Agusan del Norte/LSD")</f>
        <v>PPMO - Agusan del Norte/LSD</v>
      </c>
      <c r="M4368" s="164" t="str">
        <f ca="1">IFERROR(__xludf.DUMMYFUNCTION("""COMPUTED_VALUE"""),"Serviceable")</f>
        <v>Serviceable</v>
      </c>
      <c r="N4368" s="164"/>
    </row>
    <row r="4369" spans="1:14" ht="13.2" hidden="1">
      <c r="A4369" s="164" t="str">
        <f ca="1">IFERROR(__xludf.DUMMYFUNCTION("""COMPUTED_VALUE"""),"CARAGA")</f>
        <v>CARAGA</v>
      </c>
      <c r="B4369" s="164" t="str">
        <f ca="1">IFERROR(__xludf.DUMMYFUNCTION("""COMPUTED_VALUE"""),"Regional Office")</f>
        <v>Regional Office</v>
      </c>
      <c r="C4369" s="164" t="str">
        <f ca="1">IFERROR(__xludf.DUMMYFUNCTION("""COMPUTED_VALUE"""),"Desktop Computer – (MSI PRO DP180)")</f>
        <v>Desktop Computer – (MSI PRO DP180)</v>
      </c>
      <c r="D4369" s="164" t="str">
        <f ca="1">IFERROR(__xludf.DUMMYFUNCTION("""COMPUTED_VALUE"""),"₱ 49,300.00")</f>
        <v>₱ 49,300.00</v>
      </c>
      <c r="E4369" s="164" t="str">
        <f ca="1">IFERROR(__xludf.DUMMYFUNCTION("""COMPUTED_VALUE"""),"₱ -")</f>
        <v>₱ -</v>
      </c>
      <c r="F4369" s="164" t="str">
        <f ca="1">IFERROR(__xludf.DUMMYFUNCTION("""COMPUTED_VALUE"""),"HVSPLIT-102-24-05-01-515")</f>
        <v>HVSPLIT-102-24-05-01-515</v>
      </c>
      <c r="G4369" s="164" t="str">
        <f ca="1">IFERROR(__xludf.DUMMYFUNCTION("""COMPUTED_VALUE"""),"MSB0A7O4S0103891")</f>
        <v>MSB0A7O4S0103891</v>
      </c>
      <c r="H4369" s="164" t="str">
        <f ca="1">IFERROR(__xludf.DUMMYFUNCTION("""COMPUTED_VALUE"""),"Atty. John Winston A. Baje")</f>
        <v>Atty. John Winston A. Baje</v>
      </c>
      <c r="I4369" s="164" t="str">
        <f ca="1">IFERROR(__xludf.DUMMYFUNCTION("""COMPUTED_VALUE"""),"Atty. IV")</f>
        <v>Atty. IV</v>
      </c>
      <c r="J4369" s="164" t="str">
        <f ca="1">IFERROR(__xludf.DUMMYFUNCTION("""COMPUTED_VALUE"""),"2024-10-189")</f>
        <v>2024-10-189</v>
      </c>
      <c r="K4369" s="164" t="str">
        <f ca="1">IFERROR(__xludf.DUMMYFUNCTION("""COMPUTED_VALUE"""),"Archibald Quistadio")</f>
        <v>Archibald Quistadio</v>
      </c>
      <c r="L4369" s="164" t="str">
        <f ca="1">IFERROR(__xludf.DUMMYFUNCTION("""COMPUTED_VALUE"""),"PPMO - Agusan del Norte/LSD")</f>
        <v>PPMO - Agusan del Norte/LSD</v>
      </c>
      <c r="M4369" s="164" t="str">
        <f ca="1">IFERROR(__xludf.DUMMYFUNCTION("""COMPUTED_VALUE"""),"Serviceable")</f>
        <v>Serviceable</v>
      </c>
      <c r="N4369" s="164"/>
    </row>
    <row r="4370" spans="1:14" ht="13.2" hidden="1">
      <c r="A4370" s="164" t="str">
        <f ca="1">IFERROR(__xludf.DUMMYFUNCTION("""COMPUTED_VALUE"""),"CARAGA")</f>
        <v>CARAGA</v>
      </c>
      <c r="B4370" s="164" t="str">
        <f ca="1">IFERROR(__xludf.DUMMYFUNCTION("""COMPUTED_VALUE"""),"Regional Office")</f>
        <v>Regional Office</v>
      </c>
      <c r="C4370" s="164" t="str">
        <f ca="1">IFERROR(__xludf.DUMMYFUNCTION("""COMPUTED_VALUE"""),"Desktop Computer – (MSI PRO DP180)")</f>
        <v>Desktop Computer – (MSI PRO DP180)</v>
      </c>
      <c r="D4370" s="164" t="str">
        <f ca="1">IFERROR(__xludf.DUMMYFUNCTION("""COMPUTED_VALUE"""),"₱ 49,300.00")</f>
        <v>₱ 49,300.00</v>
      </c>
      <c r="E4370" s="164" t="str">
        <f ca="1">IFERROR(__xludf.DUMMYFUNCTION("""COMPUTED_VALUE"""),"₱ -")</f>
        <v>₱ -</v>
      </c>
      <c r="F4370" s="164" t="str">
        <f ca="1">IFERROR(__xludf.DUMMYFUNCTION("""COMPUTED_VALUE"""),"HVSPLIT-102-24-05-01-516")</f>
        <v>HVSPLIT-102-24-05-01-516</v>
      </c>
      <c r="G4370" s="164" t="str">
        <f ca="1">IFERROR(__xludf.DUMMYFUNCTION("""COMPUTED_VALUE"""),"MSB0A7O4S0103867")</f>
        <v>MSB0A7O4S0103867</v>
      </c>
      <c r="H4370" s="164" t="str">
        <f ca="1">IFERROR(__xludf.DUMMYFUNCTION("""COMPUTED_VALUE"""),"Atty. John Winston A. Baje")</f>
        <v>Atty. John Winston A. Baje</v>
      </c>
      <c r="I4370" s="164" t="str">
        <f ca="1">IFERROR(__xludf.DUMMYFUNCTION("""COMPUTED_VALUE"""),"Atty. IV")</f>
        <v>Atty. IV</v>
      </c>
      <c r="J4370" s="164" t="str">
        <f ca="1">IFERROR(__xludf.DUMMYFUNCTION("""COMPUTED_VALUE"""),"2024-10-189")</f>
        <v>2024-10-189</v>
      </c>
      <c r="K4370" s="164" t="str">
        <f ca="1">IFERROR(__xludf.DUMMYFUNCTION("""COMPUTED_VALUE"""),"Edilberto Dulanas")</f>
        <v>Edilberto Dulanas</v>
      </c>
      <c r="L4370" s="164" t="str">
        <f ca="1">IFERROR(__xludf.DUMMYFUNCTION("""COMPUTED_VALUE"""),"PPMO - Agusan del Norte/LSD")</f>
        <v>PPMO - Agusan del Norte/LSD</v>
      </c>
      <c r="M4370" s="164" t="str">
        <f ca="1">IFERROR(__xludf.DUMMYFUNCTION("""COMPUTED_VALUE"""),"Serviceable")</f>
        <v>Serviceable</v>
      </c>
      <c r="N4370" s="164"/>
    </row>
    <row r="4371" spans="1:14" ht="13.2" hidden="1">
      <c r="A4371" s="164" t="str">
        <f ca="1">IFERROR(__xludf.DUMMYFUNCTION("""COMPUTED_VALUE"""),"CARAGA")</f>
        <v>CARAGA</v>
      </c>
      <c r="B4371" s="164" t="str">
        <f ca="1">IFERROR(__xludf.DUMMYFUNCTION("""COMPUTED_VALUE"""),"Regional Office")</f>
        <v>Regional Office</v>
      </c>
      <c r="C4371" s="164" t="str">
        <f ca="1">IFERROR(__xludf.DUMMYFUNCTION("""COMPUTED_VALUE"""),"Desktop Computer – (MSI PRO DP180)")</f>
        <v>Desktop Computer – (MSI PRO DP180)</v>
      </c>
      <c r="D4371" s="164" t="str">
        <f ca="1">IFERROR(__xludf.DUMMYFUNCTION("""COMPUTED_VALUE"""),"₱ 49,300.00")</f>
        <v>₱ 49,300.00</v>
      </c>
      <c r="E4371" s="164" t="str">
        <f ca="1">IFERROR(__xludf.DUMMYFUNCTION("""COMPUTED_VALUE"""),"₱ -")</f>
        <v>₱ -</v>
      </c>
      <c r="F4371" s="164" t="str">
        <f ca="1">IFERROR(__xludf.DUMMYFUNCTION("""COMPUTED_VALUE"""),"HVSPLIT-102-24-05-01-517")</f>
        <v>HVSPLIT-102-24-05-01-517</v>
      </c>
      <c r="G4371" s="164"/>
      <c r="H4371" s="164" t="str">
        <f ca="1">IFERROR(__xludf.DUMMYFUNCTION("""COMPUTED_VALUE"""),"Atty. John Winston A. Baje")</f>
        <v>Atty. John Winston A. Baje</v>
      </c>
      <c r="I4371" s="164" t="str">
        <f ca="1">IFERROR(__xludf.DUMMYFUNCTION("""COMPUTED_VALUE"""),"Atty. IV")</f>
        <v>Atty. IV</v>
      </c>
      <c r="J4371" s="164" t="str">
        <f ca="1">IFERROR(__xludf.DUMMYFUNCTION("""COMPUTED_VALUE"""),"2024-10-190")</f>
        <v>2024-10-190</v>
      </c>
      <c r="K4371" s="164" t="str">
        <f ca="1">IFERROR(__xludf.DUMMYFUNCTION("""COMPUTED_VALUE"""),"Edilberto Dulanas")</f>
        <v>Edilberto Dulanas</v>
      </c>
      <c r="L4371" s="164" t="str">
        <f ca="1">IFERROR(__xludf.DUMMYFUNCTION("""COMPUTED_VALUE"""),"PPMO - Agusan del Norte/LSD")</f>
        <v>PPMO - Agusan del Norte/LSD</v>
      </c>
      <c r="M4371" s="164" t="str">
        <f ca="1">IFERROR(__xludf.DUMMYFUNCTION("""COMPUTED_VALUE"""),"Serviceable")</f>
        <v>Serviceable</v>
      </c>
      <c r="N4371" s="164"/>
    </row>
    <row r="4372" spans="1:14" ht="13.2" hidden="1">
      <c r="A4372" s="164" t="str">
        <f ca="1">IFERROR(__xludf.DUMMYFUNCTION("""COMPUTED_VALUE"""),"CARAGA")</f>
        <v>CARAGA</v>
      </c>
      <c r="B4372" s="164" t="str">
        <f ca="1">IFERROR(__xludf.DUMMYFUNCTION("""COMPUTED_VALUE"""),"Regional Office")</f>
        <v>Regional Office</v>
      </c>
      <c r="C4372" s="164" t="str">
        <f ca="1">IFERROR(__xludf.DUMMYFUNCTION("""COMPUTED_VALUE"""),"Desktop Computer – (MSI PRO DP180)")</f>
        <v>Desktop Computer – (MSI PRO DP180)</v>
      </c>
      <c r="D4372" s="164" t="str">
        <f ca="1">IFERROR(__xludf.DUMMYFUNCTION("""COMPUTED_VALUE"""),"₱ 49,300.00")</f>
        <v>₱ 49,300.00</v>
      </c>
      <c r="E4372" s="164" t="str">
        <f ca="1">IFERROR(__xludf.DUMMYFUNCTION("""COMPUTED_VALUE"""),"₱ -")</f>
        <v>₱ -</v>
      </c>
      <c r="F4372" s="164" t="str">
        <f ca="1">IFERROR(__xludf.DUMMYFUNCTION("""COMPUTED_VALUE"""),"HVSPLIT-102-24-05-01-518")</f>
        <v>HVSPLIT-102-24-05-01-518</v>
      </c>
      <c r="G4372" s="164"/>
      <c r="H4372" s="164" t="str">
        <f ca="1">IFERROR(__xludf.DUMMYFUNCTION("""COMPUTED_VALUE"""),"Atty. John Winston A. Baje")</f>
        <v>Atty. John Winston A. Baje</v>
      </c>
      <c r="I4372" s="164" t="str">
        <f ca="1">IFERROR(__xludf.DUMMYFUNCTION("""COMPUTED_VALUE"""),"Atty. IV")</f>
        <v>Atty. IV</v>
      </c>
      <c r="J4372" s="164" t="str">
        <f ca="1">IFERROR(__xludf.DUMMYFUNCTION("""COMPUTED_VALUE"""),"2024-10-191")</f>
        <v>2024-10-191</v>
      </c>
      <c r="K4372" s="164" t="str">
        <f ca="1">IFERROR(__xludf.DUMMYFUNCTION("""COMPUTED_VALUE"""),"Edilberto Dulanas")</f>
        <v>Edilberto Dulanas</v>
      </c>
      <c r="L4372" s="164" t="str">
        <f ca="1">IFERROR(__xludf.DUMMYFUNCTION("""COMPUTED_VALUE"""),"PPMO - Agusan del Norte/LSD")</f>
        <v>PPMO - Agusan del Norte/LSD</v>
      </c>
      <c r="M4372" s="164" t="str">
        <f ca="1">IFERROR(__xludf.DUMMYFUNCTION("""COMPUTED_VALUE"""),"Serviceable")</f>
        <v>Serviceable</v>
      </c>
      <c r="N4372" s="164"/>
    </row>
    <row r="4373" spans="1:14" ht="13.2" hidden="1">
      <c r="A4373" s="164" t="str">
        <f ca="1">IFERROR(__xludf.DUMMYFUNCTION("""COMPUTED_VALUE"""),"CARAGA")</f>
        <v>CARAGA</v>
      </c>
      <c r="B4373" s="164" t="str">
        <f ca="1">IFERROR(__xludf.DUMMYFUNCTION("""COMPUTED_VALUE"""),"Regional Office")</f>
        <v>Regional Office</v>
      </c>
      <c r="C4373" s="164" t="str">
        <f ca="1">IFERROR(__xludf.DUMMYFUNCTION("""COMPUTED_VALUE"""),"Desktop Computer – (MSI PRO DP180)")</f>
        <v>Desktop Computer – (MSI PRO DP180)</v>
      </c>
      <c r="D4373" s="164" t="str">
        <f ca="1">IFERROR(__xludf.DUMMYFUNCTION("""COMPUTED_VALUE"""),"₱ 49,300.00")</f>
        <v>₱ 49,300.00</v>
      </c>
      <c r="E4373" s="164" t="str">
        <f ca="1">IFERROR(__xludf.DUMMYFUNCTION("""COMPUTED_VALUE"""),"₱ -")</f>
        <v>₱ -</v>
      </c>
      <c r="F4373" s="164" t="str">
        <f ca="1">IFERROR(__xludf.DUMMYFUNCTION("""COMPUTED_VALUE"""),"HVSPLIT-102-24-05-01-519")</f>
        <v>HVSPLIT-102-24-05-01-519</v>
      </c>
      <c r="G4373" s="164"/>
      <c r="H4373" s="164" t="str">
        <f ca="1">IFERROR(__xludf.DUMMYFUNCTION("""COMPUTED_VALUE"""),"Atty. John Winston A. Baje")</f>
        <v>Atty. John Winston A. Baje</v>
      </c>
      <c r="I4373" s="164" t="str">
        <f ca="1">IFERROR(__xludf.DUMMYFUNCTION("""COMPUTED_VALUE"""),"Atty. IV")</f>
        <v>Atty. IV</v>
      </c>
      <c r="J4373" s="164" t="str">
        <f ca="1">IFERROR(__xludf.DUMMYFUNCTION("""COMPUTED_VALUE"""),"2024-10-192")</f>
        <v>2024-10-192</v>
      </c>
      <c r="K4373" s="164" t="str">
        <f ca="1">IFERROR(__xludf.DUMMYFUNCTION("""COMPUTED_VALUE"""),"Edilberto Dulanas")</f>
        <v>Edilberto Dulanas</v>
      </c>
      <c r="L4373" s="164" t="str">
        <f ca="1">IFERROR(__xludf.DUMMYFUNCTION("""COMPUTED_VALUE"""),"PPMO - Agusan del Norte/LSD")</f>
        <v>PPMO - Agusan del Norte/LSD</v>
      </c>
      <c r="M4373" s="164" t="str">
        <f ca="1">IFERROR(__xludf.DUMMYFUNCTION("""COMPUTED_VALUE"""),"Serviceable")</f>
        <v>Serviceable</v>
      </c>
      <c r="N4373" s="164"/>
    </row>
    <row r="4374" spans="1:14" ht="13.2" hidden="1">
      <c r="A4374" s="164" t="str">
        <f ca="1">IFERROR(__xludf.DUMMYFUNCTION("""COMPUTED_VALUE"""),"CARAGA")</f>
        <v>CARAGA</v>
      </c>
      <c r="B4374" s="164" t="str">
        <f ca="1">IFERROR(__xludf.DUMMYFUNCTION("""COMPUTED_VALUE"""),"Regional Office")</f>
        <v>Regional Office</v>
      </c>
      <c r="C4374" s="164" t="str">
        <f ca="1">IFERROR(__xludf.DUMMYFUNCTION("""COMPUTED_VALUE"""),"Desktop Computer – (MSI PRO DP180)")</f>
        <v>Desktop Computer – (MSI PRO DP180)</v>
      </c>
      <c r="D4374" s="164" t="str">
        <f ca="1">IFERROR(__xludf.DUMMYFUNCTION("""COMPUTED_VALUE"""),"₱ 49,300.00")</f>
        <v>₱ 49,300.00</v>
      </c>
      <c r="E4374" s="164" t="str">
        <f ca="1">IFERROR(__xludf.DUMMYFUNCTION("""COMPUTED_VALUE"""),"₱ -")</f>
        <v>₱ -</v>
      </c>
      <c r="F4374" s="164" t="str">
        <f ca="1">IFERROR(__xludf.DUMMYFUNCTION("""COMPUTED_VALUE"""),"HVSPLIT-102-24-05-01-520")</f>
        <v>HVSPLIT-102-24-05-01-520</v>
      </c>
      <c r="G4374" s="164"/>
      <c r="H4374" s="164" t="str">
        <f ca="1">IFERROR(__xludf.DUMMYFUNCTION("""COMPUTED_VALUE"""),"Atty. John Winston A. Baje")</f>
        <v>Atty. John Winston A. Baje</v>
      </c>
      <c r="I4374" s="164" t="str">
        <f ca="1">IFERROR(__xludf.DUMMYFUNCTION("""COMPUTED_VALUE"""),"Atty. IV")</f>
        <v>Atty. IV</v>
      </c>
      <c r="J4374" s="164" t="str">
        <f ca="1">IFERROR(__xludf.DUMMYFUNCTION("""COMPUTED_VALUE"""),"2024-10-193")</f>
        <v>2024-10-193</v>
      </c>
      <c r="K4374" s="164" t="str">
        <f ca="1">IFERROR(__xludf.DUMMYFUNCTION("""COMPUTED_VALUE"""),"Edilberto Dulanas")</f>
        <v>Edilberto Dulanas</v>
      </c>
      <c r="L4374" s="164" t="str">
        <f ca="1">IFERROR(__xludf.DUMMYFUNCTION("""COMPUTED_VALUE"""),"PPMO - Agusan del Norte/LSD")</f>
        <v>PPMO - Agusan del Norte/LSD</v>
      </c>
      <c r="M4374" s="164" t="str">
        <f ca="1">IFERROR(__xludf.DUMMYFUNCTION("""COMPUTED_VALUE"""),"Serviceable")</f>
        <v>Serviceable</v>
      </c>
      <c r="N4374" s="164"/>
    </row>
    <row r="4375" spans="1:14" ht="13.2" hidden="1">
      <c r="A4375" s="164" t="str">
        <f ca="1">IFERROR(__xludf.DUMMYFUNCTION("""COMPUTED_VALUE"""),"CARAGA")</f>
        <v>CARAGA</v>
      </c>
      <c r="B4375" s="164" t="str">
        <f ca="1">IFERROR(__xludf.DUMMYFUNCTION("""COMPUTED_VALUE"""),"Regional Office")</f>
        <v>Regional Office</v>
      </c>
      <c r="C4375" s="164" t="str">
        <f ca="1">IFERROR(__xludf.DUMMYFUNCTION("""COMPUTED_VALUE"""),"Desktop Computer – (MSI PRO DP180)")</f>
        <v>Desktop Computer – (MSI PRO DP180)</v>
      </c>
      <c r="D4375" s="164" t="str">
        <f ca="1">IFERROR(__xludf.DUMMYFUNCTION("""COMPUTED_VALUE"""),"₱ 49,300.00")</f>
        <v>₱ 49,300.00</v>
      </c>
      <c r="E4375" s="164" t="str">
        <f ca="1">IFERROR(__xludf.DUMMYFUNCTION("""COMPUTED_VALUE"""),"₱ -")</f>
        <v>₱ -</v>
      </c>
      <c r="F4375" s="164" t="str">
        <f ca="1">IFERROR(__xludf.DUMMYFUNCTION("""COMPUTED_VALUE"""),"HVSPLIT-102-24-05-01-521")</f>
        <v>HVSPLIT-102-24-05-01-521</v>
      </c>
      <c r="G4375" s="164"/>
      <c r="H4375" s="164" t="str">
        <f ca="1">IFERROR(__xludf.DUMMYFUNCTION("""COMPUTED_VALUE"""),"Atty. John Winston A. Baje")</f>
        <v>Atty. John Winston A. Baje</v>
      </c>
      <c r="I4375" s="164" t="str">
        <f ca="1">IFERROR(__xludf.DUMMYFUNCTION("""COMPUTED_VALUE"""),"Atty. IV")</f>
        <v>Atty. IV</v>
      </c>
      <c r="J4375" s="164" t="str">
        <f ca="1">IFERROR(__xludf.DUMMYFUNCTION("""COMPUTED_VALUE"""),"2024-10-194")</f>
        <v>2024-10-194</v>
      </c>
      <c r="K4375" s="164" t="str">
        <f ca="1">IFERROR(__xludf.DUMMYFUNCTION("""COMPUTED_VALUE"""),"Edilberto Dulanas")</f>
        <v>Edilberto Dulanas</v>
      </c>
      <c r="L4375" s="164" t="str">
        <f ca="1">IFERROR(__xludf.DUMMYFUNCTION("""COMPUTED_VALUE"""),"PPMO - Agusan del Norte/LSD")</f>
        <v>PPMO - Agusan del Norte/LSD</v>
      </c>
      <c r="M4375" s="164" t="str">
        <f ca="1">IFERROR(__xludf.DUMMYFUNCTION("""COMPUTED_VALUE"""),"Serviceable")</f>
        <v>Serviceable</v>
      </c>
      <c r="N4375" s="164"/>
    </row>
    <row r="4376" spans="1:14" ht="13.2" hidden="1">
      <c r="A4376" s="164" t="str">
        <f ca="1">IFERROR(__xludf.DUMMYFUNCTION("""COMPUTED_VALUE"""),"CARAGA")</f>
        <v>CARAGA</v>
      </c>
      <c r="B4376" s="164" t="str">
        <f ca="1">IFERROR(__xludf.DUMMYFUNCTION("""COMPUTED_VALUE"""),"Regional Office")</f>
        <v>Regional Office</v>
      </c>
      <c r="C4376" s="164" t="str">
        <f ca="1">IFERROR(__xludf.DUMMYFUNCTION("""COMPUTED_VALUE"""),"Desktop Computer – (MSI PRO DP180)")</f>
        <v>Desktop Computer – (MSI PRO DP180)</v>
      </c>
      <c r="D4376" s="164" t="str">
        <f ca="1">IFERROR(__xludf.DUMMYFUNCTION("""COMPUTED_VALUE"""),"₱ 49,300.00")</f>
        <v>₱ 49,300.00</v>
      </c>
      <c r="E4376" s="164" t="str">
        <f ca="1">IFERROR(__xludf.DUMMYFUNCTION("""COMPUTED_VALUE"""),"₱ -")</f>
        <v>₱ -</v>
      </c>
      <c r="F4376" s="164" t="str">
        <f ca="1">IFERROR(__xludf.DUMMYFUNCTION("""COMPUTED_VALUE"""),"HVSPLIT-102-24-05-01-522")</f>
        <v>HVSPLIT-102-24-05-01-522</v>
      </c>
      <c r="G4376" s="164"/>
      <c r="H4376" s="164" t="str">
        <f ca="1">IFERROR(__xludf.DUMMYFUNCTION("""COMPUTED_VALUE"""),"Atty. John Winston A. Baje")</f>
        <v>Atty. John Winston A. Baje</v>
      </c>
      <c r="I4376" s="164" t="str">
        <f ca="1">IFERROR(__xludf.DUMMYFUNCTION("""COMPUTED_VALUE"""),"Atty. IV")</f>
        <v>Atty. IV</v>
      </c>
      <c r="J4376" s="164" t="str">
        <f ca="1">IFERROR(__xludf.DUMMYFUNCTION("""COMPUTED_VALUE"""),"2024-10-195")</f>
        <v>2024-10-195</v>
      </c>
      <c r="K4376" s="164" t="str">
        <f ca="1">IFERROR(__xludf.DUMMYFUNCTION("""COMPUTED_VALUE"""),"Edilberto Dulanas")</f>
        <v>Edilberto Dulanas</v>
      </c>
      <c r="L4376" s="164" t="str">
        <f ca="1">IFERROR(__xludf.DUMMYFUNCTION("""COMPUTED_VALUE"""),"PPMO - Agusan del Norte/LSD")</f>
        <v>PPMO - Agusan del Norte/LSD</v>
      </c>
      <c r="M4376" s="164" t="str">
        <f ca="1">IFERROR(__xludf.DUMMYFUNCTION("""COMPUTED_VALUE"""),"Serviceable")</f>
        <v>Serviceable</v>
      </c>
      <c r="N4376" s="164"/>
    </row>
    <row r="4377" spans="1:14" ht="13.2" hidden="1">
      <c r="A4377" s="164" t="str">
        <f ca="1">IFERROR(__xludf.DUMMYFUNCTION("""COMPUTED_VALUE"""),"CARAGA")</f>
        <v>CARAGA</v>
      </c>
      <c r="B4377" s="164" t="str">
        <f ca="1">IFERROR(__xludf.DUMMYFUNCTION("""COMPUTED_VALUE"""),"Regional Office")</f>
        <v>Regional Office</v>
      </c>
      <c r="C4377" s="164" t="str">
        <f ca="1">IFERROR(__xludf.DUMMYFUNCTION("""COMPUTED_VALUE"""),"Desktop Computer – (MSI PRO DP180)")</f>
        <v>Desktop Computer – (MSI PRO DP180)</v>
      </c>
      <c r="D4377" s="164" t="str">
        <f ca="1">IFERROR(__xludf.DUMMYFUNCTION("""COMPUTED_VALUE"""),"₱ 49,300.00")</f>
        <v>₱ 49,300.00</v>
      </c>
      <c r="E4377" s="164" t="str">
        <f ca="1">IFERROR(__xludf.DUMMYFUNCTION("""COMPUTED_VALUE"""),"₱ -")</f>
        <v>₱ -</v>
      </c>
      <c r="F4377" s="164" t="str">
        <f ca="1">IFERROR(__xludf.DUMMYFUNCTION("""COMPUTED_VALUE"""),"HVSPLIT-102-24-05-01-523")</f>
        <v>HVSPLIT-102-24-05-01-523</v>
      </c>
      <c r="G4377" s="164"/>
      <c r="H4377" s="164" t="str">
        <f ca="1">IFERROR(__xludf.DUMMYFUNCTION("""COMPUTED_VALUE"""),"Atty. John Winston A. Baje")</f>
        <v>Atty. John Winston A. Baje</v>
      </c>
      <c r="I4377" s="164" t="str">
        <f ca="1">IFERROR(__xludf.DUMMYFUNCTION("""COMPUTED_VALUE"""),"Atty. IV")</f>
        <v>Atty. IV</v>
      </c>
      <c r="J4377" s="164" t="str">
        <f ca="1">IFERROR(__xludf.DUMMYFUNCTION("""COMPUTED_VALUE"""),"2024-10-196")</f>
        <v>2024-10-196</v>
      </c>
      <c r="K4377" s="164" t="str">
        <f ca="1">IFERROR(__xludf.DUMMYFUNCTION("""COMPUTED_VALUE"""),"Edilberto Dulanas")</f>
        <v>Edilberto Dulanas</v>
      </c>
      <c r="L4377" s="164" t="str">
        <f ca="1">IFERROR(__xludf.DUMMYFUNCTION("""COMPUTED_VALUE"""),"PPMO - Agusan del Norte/LSD")</f>
        <v>PPMO - Agusan del Norte/LSD</v>
      </c>
      <c r="M4377" s="164" t="str">
        <f ca="1">IFERROR(__xludf.DUMMYFUNCTION("""COMPUTED_VALUE"""),"Serviceable")</f>
        <v>Serviceable</v>
      </c>
      <c r="N4377" s="164"/>
    </row>
    <row r="4378" spans="1:14" ht="13.2" hidden="1">
      <c r="A4378" s="164" t="str">
        <f ca="1">IFERROR(__xludf.DUMMYFUNCTION("""COMPUTED_VALUE"""),"CARAGA")</f>
        <v>CARAGA</v>
      </c>
      <c r="B4378" s="164" t="str">
        <f ca="1">IFERROR(__xludf.DUMMYFUNCTION("""COMPUTED_VALUE"""),"Regional Office")</f>
        <v>Regional Office</v>
      </c>
      <c r="C4378" s="164" t="str">
        <f ca="1">IFERROR(__xludf.DUMMYFUNCTION("""COMPUTED_VALUE"""),"Desktop Computer – (MSI PRO DP180)")</f>
        <v>Desktop Computer – (MSI PRO DP180)</v>
      </c>
      <c r="D4378" s="164" t="str">
        <f ca="1">IFERROR(__xludf.DUMMYFUNCTION("""COMPUTED_VALUE"""),"₱ 49,300.00")</f>
        <v>₱ 49,300.00</v>
      </c>
      <c r="E4378" s="164" t="str">
        <f ca="1">IFERROR(__xludf.DUMMYFUNCTION("""COMPUTED_VALUE"""),"₱ -")</f>
        <v>₱ -</v>
      </c>
      <c r="F4378" s="164" t="str">
        <f ca="1">IFERROR(__xludf.DUMMYFUNCTION("""COMPUTED_VALUE"""),"HVSPLIT-102-24-05-01-524")</f>
        <v>HVSPLIT-102-24-05-01-524</v>
      </c>
      <c r="G4378" s="164"/>
      <c r="H4378" s="164" t="str">
        <f ca="1">IFERROR(__xludf.DUMMYFUNCTION("""COMPUTED_VALUE"""),"Atty. John Winston A. Baje")</f>
        <v>Atty. John Winston A. Baje</v>
      </c>
      <c r="I4378" s="164" t="str">
        <f ca="1">IFERROR(__xludf.DUMMYFUNCTION("""COMPUTED_VALUE"""),"Atty. IV")</f>
        <v>Atty. IV</v>
      </c>
      <c r="J4378" s="164" t="str">
        <f ca="1">IFERROR(__xludf.DUMMYFUNCTION("""COMPUTED_VALUE"""),"2024-10-197")</f>
        <v>2024-10-197</v>
      </c>
      <c r="K4378" s="164" t="str">
        <f ca="1">IFERROR(__xludf.DUMMYFUNCTION("""COMPUTED_VALUE"""),"Edilberto Dulanas")</f>
        <v>Edilberto Dulanas</v>
      </c>
      <c r="L4378" s="164" t="str">
        <f ca="1">IFERROR(__xludf.DUMMYFUNCTION("""COMPUTED_VALUE"""),"PPMO - Agusan del Norte/LSD")</f>
        <v>PPMO - Agusan del Norte/LSD</v>
      </c>
      <c r="M4378" s="164" t="str">
        <f ca="1">IFERROR(__xludf.DUMMYFUNCTION("""COMPUTED_VALUE"""),"Serviceable")</f>
        <v>Serviceable</v>
      </c>
      <c r="N4378" s="164"/>
    </row>
    <row r="4379" spans="1:14" ht="13.2" hidden="1">
      <c r="A4379" s="164" t="str">
        <f ca="1">IFERROR(__xludf.DUMMYFUNCTION("""COMPUTED_VALUE"""),"CARAGA")</f>
        <v>CARAGA</v>
      </c>
      <c r="B4379" s="164" t="str">
        <f ca="1">IFERROR(__xludf.DUMMYFUNCTION("""COMPUTED_VALUE"""),"Regional Office")</f>
        <v>Regional Office</v>
      </c>
      <c r="C4379" s="164" t="str">
        <f ca="1">IFERROR(__xludf.DUMMYFUNCTION("""COMPUTED_VALUE"""),"Desktop Computer – (MSI PRO DP180)")</f>
        <v>Desktop Computer – (MSI PRO DP180)</v>
      </c>
      <c r="D4379" s="164" t="str">
        <f ca="1">IFERROR(__xludf.DUMMYFUNCTION("""COMPUTED_VALUE"""),"₱ 49,300.00")</f>
        <v>₱ 49,300.00</v>
      </c>
      <c r="E4379" s="164" t="str">
        <f ca="1">IFERROR(__xludf.DUMMYFUNCTION("""COMPUTED_VALUE"""),"₱ -")</f>
        <v>₱ -</v>
      </c>
      <c r="F4379" s="164" t="str">
        <f ca="1">IFERROR(__xludf.DUMMYFUNCTION("""COMPUTED_VALUE"""),"HVSPLIT-102-24-05-01-525")</f>
        <v>HVSPLIT-102-24-05-01-525</v>
      </c>
      <c r="G4379" s="164"/>
      <c r="H4379" s="164" t="str">
        <f ca="1">IFERROR(__xludf.DUMMYFUNCTION("""COMPUTED_VALUE"""),"Atty. John Winston A. Baje")</f>
        <v>Atty. John Winston A. Baje</v>
      </c>
      <c r="I4379" s="164" t="str">
        <f ca="1">IFERROR(__xludf.DUMMYFUNCTION("""COMPUTED_VALUE"""),"Atty. IV")</f>
        <v>Atty. IV</v>
      </c>
      <c r="J4379" s="164" t="str">
        <f ca="1">IFERROR(__xludf.DUMMYFUNCTION("""COMPUTED_VALUE"""),"2024-10-198")</f>
        <v>2024-10-198</v>
      </c>
      <c r="K4379" s="164" t="str">
        <f ca="1">IFERROR(__xludf.DUMMYFUNCTION("""COMPUTED_VALUE"""),"Edilberto Dulanas")</f>
        <v>Edilberto Dulanas</v>
      </c>
      <c r="L4379" s="164" t="str">
        <f ca="1">IFERROR(__xludf.DUMMYFUNCTION("""COMPUTED_VALUE"""),"PPMO - Agusan del Norte/LSD")</f>
        <v>PPMO - Agusan del Norte/LSD</v>
      </c>
      <c r="M4379" s="164" t="str">
        <f ca="1">IFERROR(__xludf.DUMMYFUNCTION("""COMPUTED_VALUE"""),"Serviceable")</f>
        <v>Serviceable</v>
      </c>
      <c r="N4379" s="164"/>
    </row>
    <row r="4380" spans="1:14" ht="13.2" hidden="1">
      <c r="A4380" s="164" t="str">
        <f ca="1">IFERROR(__xludf.DUMMYFUNCTION("""COMPUTED_VALUE"""),"CARAGA")</f>
        <v>CARAGA</v>
      </c>
      <c r="B4380" s="164" t="str">
        <f ca="1">IFERROR(__xludf.DUMMYFUNCTION("""COMPUTED_VALUE"""),"Regional Office")</f>
        <v>Regional Office</v>
      </c>
      <c r="C4380" s="164" t="str">
        <f ca="1">IFERROR(__xludf.DUMMYFUNCTION("""COMPUTED_VALUE"""),"Desktop Computer – (MSI PRO DP180)")</f>
        <v>Desktop Computer – (MSI PRO DP180)</v>
      </c>
      <c r="D4380" s="164" t="str">
        <f ca="1">IFERROR(__xludf.DUMMYFUNCTION("""COMPUTED_VALUE"""),"₱ 49,300.00")</f>
        <v>₱ 49,300.00</v>
      </c>
      <c r="E4380" s="164" t="str">
        <f ca="1">IFERROR(__xludf.DUMMYFUNCTION("""COMPUTED_VALUE"""),"₱ -")</f>
        <v>₱ -</v>
      </c>
      <c r="F4380" s="164" t="str">
        <f ca="1">IFERROR(__xludf.DUMMYFUNCTION("""COMPUTED_VALUE"""),"HVSPLIT-102-24-05-01-526")</f>
        <v>HVSPLIT-102-24-05-01-526</v>
      </c>
      <c r="G4380" s="164"/>
      <c r="H4380" s="164" t="str">
        <f ca="1">IFERROR(__xludf.DUMMYFUNCTION("""COMPUTED_VALUE"""),"Atty. John Winston A. Baje")</f>
        <v>Atty. John Winston A. Baje</v>
      </c>
      <c r="I4380" s="164" t="str">
        <f ca="1">IFERROR(__xludf.DUMMYFUNCTION("""COMPUTED_VALUE"""),"Atty. IV")</f>
        <v>Atty. IV</v>
      </c>
      <c r="J4380" s="164" t="str">
        <f ca="1">IFERROR(__xludf.DUMMYFUNCTION("""COMPUTED_VALUE"""),"2024-10-199")</f>
        <v>2024-10-199</v>
      </c>
      <c r="K4380" s="164" t="str">
        <f ca="1">IFERROR(__xludf.DUMMYFUNCTION("""COMPUTED_VALUE"""),"Edilberto Dulanas")</f>
        <v>Edilberto Dulanas</v>
      </c>
      <c r="L4380" s="164" t="str">
        <f ca="1">IFERROR(__xludf.DUMMYFUNCTION("""COMPUTED_VALUE"""),"PPMO - Agusan del Norte/LSD")</f>
        <v>PPMO - Agusan del Norte/LSD</v>
      </c>
      <c r="M4380" s="164" t="str">
        <f ca="1">IFERROR(__xludf.DUMMYFUNCTION("""COMPUTED_VALUE"""),"Serviceable")</f>
        <v>Serviceable</v>
      </c>
      <c r="N4380" s="164"/>
    </row>
    <row r="4381" spans="1:14" ht="13.2" hidden="1">
      <c r="A4381" s="164" t="str">
        <f ca="1">IFERROR(__xludf.DUMMYFUNCTION("""COMPUTED_VALUE"""),"CARAGA")</f>
        <v>CARAGA</v>
      </c>
      <c r="B4381" s="164" t="str">
        <f ca="1">IFERROR(__xludf.DUMMYFUNCTION("""COMPUTED_VALUE"""),"Regional Office")</f>
        <v>Regional Office</v>
      </c>
      <c r="C4381" s="164" t="str">
        <f ca="1">IFERROR(__xludf.DUMMYFUNCTION("""COMPUTED_VALUE"""),"Desktop Computer – (MSI PRO DP180)")</f>
        <v>Desktop Computer – (MSI PRO DP180)</v>
      </c>
      <c r="D4381" s="164" t="str">
        <f ca="1">IFERROR(__xludf.DUMMYFUNCTION("""COMPUTED_VALUE"""),"₱ 49,300.00")</f>
        <v>₱ 49,300.00</v>
      </c>
      <c r="E4381" s="164" t="str">
        <f ca="1">IFERROR(__xludf.DUMMYFUNCTION("""COMPUTED_VALUE"""),"₱ -")</f>
        <v>₱ -</v>
      </c>
      <c r="F4381" s="164" t="str">
        <f ca="1">IFERROR(__xludf.DUMMYFUNCTION("""COMPUTED_VALUE"""),"HVSPLIT-102-24-05-01-527")</f>
        <v>HVSPLIT-102-24-05-01-527</v>
      </c>
      <c r="G4381" s="164"/>
      <c r="H4381" s="164" t="str">
        <f ca="1">IFERROR(__xludf.DUMMYFUNCTION("""COMPUTED_VALUE"""),"Atty. John Winston A. Baje")</f>
        <v>Atty. John Winston A. Baje</v>
      </c>
      <c r="I4381" s="164" t="str">
        <f ca="1">IFERROR(__xludf.DUMMYFUNCTION("""COMPUTED_VALUE"""),"Atty. IV")</f>
        <v>Atty. IV</v>
      </c>
      <c r="J4381" s="164" t="str">
        <f ca="1">IFERROR(__xludf.DUMMYFUNCTION("""COMPUTED_VALUE"""),"2024-10-200")</f>
        <v>2024-10-200</v>
      </c>
      <c r="K4381" s="164" t="str">
        <f ca="1">IFERROR(__xludf.DUMMYFUNCTION("""COMPUTED_VALUE"""),"Edilberto Dulanas")</f>
        <v>Edilberto Dulanas</v>
      </c>
      <c r="L4381" s="164" t="str">
        <f ca="1">IFERROR(__xludf.DUMMYFUNCTION("""COMPUTED_VALUE"""),"PPMO - Agusan del Norte/LSD")</f>
        <v>PPMO - Agusan del Norte/LSD</v>
      </c>
      <c r="M4381" s="164" t="str">
        <f ca="1">IFERROR(__xludf.DUMMYFUNCTION("""COMPUTED_VALUE"""),"Serviceable")</f>
        <v>Serviceable</v>
      </c>
      <c r="N4381" s="164"/>
    </row>
    <row r="4382" spans="1:14" ht="13.2" hidden="1">
      <c r="A4382" s="164" t="str">
        <f ca="1">IFERROR(__xludf.DUMMYFUNCTION("""COMPUTED_VALUE"""),"CARAGA")</f>
        <v>CARAGA</v>
      </c>
      <c r="B4382" s="164" t="str">
        <f ca="1">IFERROR(__xludf.DUMMYFUNCTION("""COMPUTED_VALUE"""),"Regional Office")</f>
        <v>Regional Office</v>
      </c>
      <c r="C4382" s="164" t="str">
        <f ca="1">IFERROR(__xludf.DUMMYFUNCTION("""COMPUTED_VALUE"""),"Double Cabin Pick-up Vehicles – Mitsubishi Strada")</f>
        <v>Double Cabin Pick-up Vehicles – Mitsubishi Strada</v>
      </c>
      <c r="D4382" s="164" t="str">
        <f ca="1">IFERROR(__xludf.DUMMYFUNCTION("""COMPUTED_VALUE"""),"₱ 1,752,400.00")</f>
        <v>₱ 1,752,400.00</v>
      </c>
      <c r="E4382" s="164"/>
      <c r="F4382" s="164" t="str">
        <f ca="1">IFERROR(__xludf.DUMMYFUNCTION("""COMPUTED_VALUE"""),"2023-06-01-10201SP135-01")</f>
        <v>2023-06-01-10201SP135-01</v>
      </c>
      <c r="G4382" s="164" t="str">
        <f ca="1">IFERROR(__xludf.DUMMYFUNCTION("""COMPUTED_VALUE"""),"SNC 1157")</f>
        <v>SNC 1157</v>
      </c>
      <c r="H4382" s="164" t="str">
        <f ca="1">IFERROR(__xludf.DUMMYFUNCTION("""COMPUTED_VALUE"""),"Atty. Merlita S. Capinpuyan")</f>
        <v>Atty. Merlita S. Capinpuyan</v>
      </c>
      <c r="I4382" s="164" t="str">
        <f ca="1">IFERROR(__xludf.DUMMYFUNCTION("""COMPUTED_VALUE"""),"Regional Director")</f>
        <v>Regional Director</v>
      </c>
      <c r="J4382" s="164" t="str">
        <f ca="1">IFERROR(__xludf.DUMMYFUNCTION("""COMPUTED_VALUE"""),"2023-12-045")</f>
        <v>2023-12-045</v>
      </c>
      <c r="K4382" s="164" t="str">
        <f ca="1">IFERROR(__xludf.DUMMYFUNCTION("""COMPUTED_VALUE"""),"Atty. Merlita S. Capinpuyan")</f>
        <v>Atty. Merlita S. Capinpuyan</v>
      </c>
      <c r="L4382" s="164" t="str">
        <f ca="1">IFERROR(__xludf.DUMMYFUNCTION("""COMPUTED_VALUE"""),"RPMO-Caraga/ORD")</f>
        <v>RPMO-Caraga/ORD</v>
      </c>
      <c r="M4382" s="164" t="str">
        <f ca="1">IFERROR(__xludf.DUMMYFUNCTION("""COMPUTED_VALUE"""),"Serviceable")</f>
        <v>Serviceable</v>
      </c>
      <c r="N4382" s="164"/>
    </row>
    <row r="4383" spans="1:14" ht="13.2" hidden="1">
      <c r="A4383" s="164" t="str">
        <f ca="1">IFERROR(__xludf.DUMMYFUNCTION("""COMPUTED_VALUE"""),"CARAGA")</f>
        <v>CARAGA</v>
      </c>
      <c r="B4383" s="164" t="str">
        <f ca="1">IFERROR(__xludf.DUMMYFUNCTION("""COMPUTED_VALUE"""),"Regional Office")</f>
        <v>Regional Office</v>
      </c>
      <c r="C4383" s="164" t="str">
        <f ca="1">IFERROR(__xludf.DUMMYFUNCTION("""COMPUTED_VALUE"""),"Double Cabin Pick-up Vehicles – Mitsubishi Strada")</f>
        <v>Double Cabin Pick-up Vehicles – Mitsubishi Strada</v>
      </c>
      <c r="D4383" s="164" t="str">
        <f ca="1">IFERROR(__xludf.DUMMYFUNCTION("""COMPUTED_VALUE"""),"₱ 1,752,400.00")</f>
        <v>₱ 1,752,400.00</v>
      </c>
      <c r="E4383" s="164"/>
      <c r="F4383" s="164" t="str">
        <f ca="1">IFERROR(__xludf.DUMMYFUNCTION("""COMPUTED_VALUE"""),"2023-06-01-10201SP134-01")</f>
        <v>2023-06-01-10201SP134-01</v>
      </c>
      <c r="G4383" s="164" t="str">
        <f ca="1">IFERROR(__xludf.DUMMYFUNCTION("""COMPUTED_VALUE"""),"SNC 1227")</f>
        <v>SNC 1227</v>
      </c>
      <c r="H4383" s="164" t="str">
        <f ca="1">IFERROR(__xludf.DUMMYFUNCTION("""COMPUTED_VALUE"""),"Agnes L. Dela Cerna")</f>
        <v>Agnes L. Dela Cerna</v>
      </c>
      <c r="I4383" s="164" t="str">
        <f ca="1">IFERROR(__xludf.DUMMYFUNCTION("""COMPUTED_VALUE"""),"Asst. Regional Director for Operation")</f>
        <v>Asst. Regional Director for Operation</v>
      </c>
      <c r="J4383" s="164" t="str">
        <f ca="1">IFERROR(__xludf.DUMMYFUNCTION("""COMPUTED_VALUE"""),"2023-12-044")</f>
        <v>2023-12-044</v>
      </c>
      <c r="K4383" s="164" t="str">
        <f ca="1">IFERROR(__xludf.DUMMYFUNCTION("""COMPUTED_VALUE"""),"Agnes L. Dela Cerna")</f>
        <v>Agnes L. Dela Cerna</v>
      </c>
      <c r="L4383" s="164" t="str">
        <f ca="1">IFERROR(__xludf.DUMMYFUNCTION("""COMPUTED_VALUE"""),"RPMO-Caraga/OARD0")</f>
        <v>RPMO-Caraga/OARD0</v>
      </c>
      <c r="M4383" s="164" t="str">
        <f ca="1">IFERROR(__xludf.DUMMYFUNCTION("""COMPUTED_VALUE"""),"Serviceable")</f>
        <v>Serviceable</v>
      </c>
      <c r="N4383" s="164"/>
    </row>
    <row r="4384" spans="1:14" ht="13.2" hidden="1">
      <c r="A4384" s="164" t="str">
        <f ca="1">IFERROR(__xludf.DUMMYFUNCTION("""COMPUTED_VALUE"""),"CARAGA")</f>
        <v>CARAGA</v>
      </c>
      <c r="B4384" s="164" t="str">
        <f ca="1">IFERROR(__xludf.DUMMYFUNCTION("""COMPUTED_VALUE"""),"Agusan del Norte")</f>
        <v>Agusan del Norte</v>
      </c>
      <c r="C4384" s="164" t="str">
        <f ca="1">IFERROR(__xludf.DUMMYFUNCTION("""COMPUTED_VALUE"""),"Double Cabin Pick-up Vehicles – Mitsubishi Strada")</f>
        <v>Double Cabin Pick-up Vehicles – Mitsubishi Strada</v>
      </c>
      <c r="D4384" s="164" t="str">
        <f ca="1">IFERROR(__xludf.DUMMYFUNCTION("""COMPUTED_VALUE"""),"₱ 1,752,400.00")</f>
        <v>₱ 1,752,400.00</v>
      </c>
      <c r="E4384" s="164"/>
      <c r="F4384" s="164" t="str">
        <f ca="1">IFERROR(__xludf.DUMMYFUNCTION("""COMPUTED_VALUE"""),"2023-06-01-10201SP136-01")</f>
        <v>2023-06-01-10201SP136-01</v>
      </c>
      <c r="G4384" s="164" t="str">
        <f ca="1">IFERROR(__xludf.DUMMYFUNCTION("""COMPUTED_VALUE"""),"SNC 1162")</f>
        <v>SNC 1162</v>
      </c>
      <c r="H4384" s="164" t="str">
        <f ca="1">IFERROR(__xludf.DUMMYFUNCTION("""COMPUTED_VALUE"""),"Miguel Al Louis L. Legaspi")</f>
        <v>Miguel Al Louis L. Legaspi</v>
      </c>
      <c r="I4384" s="164" t="str">
        <f ca="1">IFERROR(__xludf.DUMMYFUNCTION("""COMPUTED_VALUE"""),"AO IV/Chief GSS")</f>
        <v>AO IV/Chief GSS</v>
      </c>
      <c r="J4384" s="164" t="str">
        <f ca="1">IFERROR(__xludf.DUMMYFUNCTION("""COMPUTED_VALUE"""),"PAR: 2025-07-0011")</f>
        <v>PAR: 2025-07-0011</v>
      </c>
      <c r="K4384" s="164" t="str">
        <f ca="1">IFERROR(__xludf.DUMMYFUNCTION("""COMPUTED_VALUE"""),"Glen A. Petilla")</f>
        <v>Glen A. Petilla</v>
      </c>
      <c r="L4384" s="164" t="str">
        <f ca="1">IFERROR(__xludf.DUMMYFUNCTION("""COMPUTED_VALUE"""),"PPMO - Agusan del Norte/GS")</f>
        <v>PPMO - Agusan del Norte/GS</v>
      </c>
      <c r="M4384" s="164" t="str">
        <f ca="1">IFERROR(__xludf.DUMMYFUNCTION("""COMPUTED_VALUE"""),"SERVICEABLE")</f>
        <v>SERVICEABLE</v>
      </c>
      <c r="N4384" s="164" t="str">
        <f ca="1">IFERROR(__xludf.DUMMYFUNCTION("""COMPUTED_VALUE"""),"General Dispatch")</f>
        <v>General Dispatch</v>
      </c>
    </row>
    <row r="4385" spans="1:14" ht="13.2" hidden="1">
      <c r="A4385" s="164" t="str">
        <f ca="1">IFERROR(__xludf.DUMMYFUNCTION("""COMPUTED_VALUE"""),"CARAGA")</f>
        <v>CARAGA</v>
      </c>
      <c r="B4385" s="164" t="str">
        <f ca="1">IFERROR(__xludf.DUMMYFUNCTION("""COMPUTED_VALUE"""),"Agusan del Sur")</f>
        <v>Agusan del Sur</v>
      </c>
      <c r="C4385" s="164" t="str">
        <f ca="1">IFERROR(__xludf.DUMMYFUNCTION("""COMPUTED_VALUE"""),"Double Cabin Pick-up Vehicles – Mitsubishi Strada")</f>
        <v>Double Cabin Pick-up Vehicles – Mitsubishi Strada</v>
      </c>
      <c r="D4385" s="164" t="str">
        <f ca="1">IFERROR(__xludf.DUMMYFUNCTION("""COMPUTED_VALUE"""),"₱ 1,752,400.00")</f>
        <v>₱ 1,752,400.00</v>
      </c>
      <c r="E4385" s="164"/>
      <c r="F4385" s="164" t="str">
        <f ca="1">IFERROR(__xludf.DUMMYFUNCTION("""COMPUTED_VALUE"""),"2023-06-01-10201SP137-01")</f>
        <v>2023-06-01-10201SP137-01</v>
      </c>
      <c r="G4385" s="164" t="str">
        <f ca="1">IFERROR(__xludf.DUMMYFUNCTION("""COMPUTED_VALUE"""),"SNC 1229")</f>
        <v>SNC 1229</v>
      </c>
      <c r="H4385" s="164" t="str">
        <f ca="1">IFERROR(__xludf.DUMMYFUNCTION("""COMPUTED_VALUE"""),"Ruby Jnae M. Salvado")</f>
        <v>Ruby Jnae M. Salvado</v>
      </c>
      <c r="I4385" s="164" t="str">
        <f ca="1">IFERROR(__xludf.DUMMYFUNCTION("""COMPUTED_VALUE"""),"SARPT/ Acting GS Chief")</f>
        <v>SARPT/ Acting GS Chief</v>
      </c>
      <c r="J4385" s="164" t="str">
        <f ca="1">IFERROR(__xludf.DUMMYFUNCTION("""COMPUTED_VALUE"""),"2023-11-54-SPLIT")</f>
        <v>2023-11-54-SPLIT</v>
      </c>
      <c r="K4385" s="164" t="str">
        <f ca="1">IFERROR(__xludf.DUMMYFUNCTION("""COMPUTED_VALUE"""),"General dispatch")</f>
        <v>General dispatch</v>
      </c>
      <c r="L4385" s="164" t="str">
        <f ca="1">IFERROR(__xludf.DUMMYFUNCTION("""COMPUTED_VALUE"""),"PPMO - Agusan del Sur/ GS")</f>
        <v>PPMO - Agusan del Sur/ GS</v>
      </c>
      <c r="M4385" s="164" t="str">
        <f ca="1">IFERROR(__xludf.DUMMYFUNCTION("""COMPUTED_VALUE"""),"Serviceable")</f>
        <v>Serviceable</v>
      </c>
      <c r="N4385" s="164"/>
    </row>
    <row r="4386" spans="1:14" ht="13.2" hidden="1">
      <c r="A4386" s="164" t="str">
        <f ca="1">IFERROR(__xludf.DUMMYFUNCTION("""COMPUTED_VALUE"""),"CARAGA")</f>
        <v>CARAGA</v>
      </c>
      <c r="B4386" s="164" t="str">
        <f ca="1">IFERROR(__xludf.DUMMYFUNCTION("""COMPUTED_VALUE"""),"Surigao del Norte")</f>
        <v>Surigao del Norte</v>
      </c>
      <c r="C4386" s="164" t="str">
        <f ca="1">IFERROR(__xludf.DUMMYFUNCTION("""COMPUTED_VALUE"""),"Double Cabin Pick-up Vehicles – Mitsubishi Strada")</f>
        <v>Double Cabin Pick-up Vehicles – Mitsubishi Strada</v>
      </c>
      <c r="D4386" s="164" t="str">
        <f ca="1">IFERROR(__xludf.DUMMYFUNCTION("""COMPUTED_VALUE"""),"₱ 1,752,400.00")</f>
        <v>₱ 1,752,400.00</v>
      </c>
      <c r="E4386" s="164"/>
      <c r="F4386" s="164" t="str">
        <f ca="1">IFERROR(__xludf.DUMMYFUNCTION("""COMPUTED_VALUE"""),"2023-06-01-10201SP138-01")</f>
        <v>2023-06-01-10201SP138-01</v>
      </c>
      <c r="G4386" s="164" t="str">
        <f ca="1">IFERROR(__xludf.DUMMYFUNCTION("""COMPUTED_VALUE"""),"SNC 1263")</f>
        <v>SNC 1263</v>
      </c>
      <c r="H4386" s="164" t="str">
        <f ca="1">IFERROR(__xludf.DUMMYFUNCTION("""COMPUTED_VALUE"""),"DANTE C. MANLIMOS")</f>
        <v>DANTE C. MANLIMOS</v>
      </c>
      <c r="I4386" s="164" t="str">
        <f ca="1">IFERROR(__xludf.DUMMYFUNCTION("""COMPUTED_VALUE"""),"OIC-CARPO PDI")</f>
        <v>OIC-CARPO PDI</v>
      </c>
      <c r="J4386" s="164" t="str">
        <f ca="1">IFERROR(__xludf.DUMMYFUNCTION("""COMPUTED_VALUE"""),"R13SDN-102-2023-10-MV-032")</f>
        <v>R13SDN-102-2023-10-MV-032</v>
      </c>
      <c r="K4386" s="164" t="str">
        <f ca="1">IFERROR(__xludf.DUMMYFUNCTION("""COMPUTED_VALUE"""),"GENERAL DISPATCH")</f>
        <v>GENERAL DISPATCH</v>
      </c>
      <c r="L4386" s="164" t="str">
        <f ca="1">IFERROR(__xludf.DUMMYFUNCTION("""COMPUTED_VALUE"""),"PPMO -DARPO PDI")</f>
        <v>PPMO -DARPO PDI</v>
      </c>
      <c r="M4386" s="164" t="str">
        <f ca="1">IFERROR(__xludf.DUMMYFUNCTION("""COMPUTED_VALUE"""),"Serviceable")</f>
        <v>Serviceable</v>
      </c>
      <c r="N4386" s="164"/>
    </row>
    <row r="4387" spans="1:14" ht="13.2" hidden="1">
      <c r="A4387" s="164" t="str">
        <f ca="1">IFERROR(__xludf.DUMMYFUNCTION("""COMPUTED_VALUE"""),"CARAGA")</f>
        <v>CARAGA</v>
      </c>
      <c r="B4387" s="164" t="str">
        <f ca="1">IFERROR(__xludf.DUMMYFUNCTION("""COMPUTED_VALUE"""),"Surigao del Norte")</f>
        <v>Surigao del Norte</v>
      </c>
      <c r="C4387" s="164" t="str">
        <f ca="1">IFERROR(__xludf.DUMMYFUNCTION("""COMPUTED_VALUE"""),"Double Cabin Pick-up Vehicles – Mitsubishi Strada")</f>
        <v>Double Cabin Pick-up Vehicles – Mitsubishi Strada</v>
      </c>
      <c r="D4387" s="164" t="str">
        <f ca="1">IFERROR(__xludf.DUMMYFUNCTION("""COMPUTED_VALUE"""),"₱ 1,752,400.00")</f>
        <v>₱ 1,752,400.00</v>
      </c>
      <c r="E4387" s="164"/>
      <c r="F4387" s="164" t="str">
        <f ca="1">IFERROR(__xludf.DUMMYFUNCTION("""COMPUTED_VALUE"""),"2023-06-01-10201SP140-01")</f>
        <v>2023-06-01-10201SP140-01</v>
      </c>
      <c r="G4387" s="164" t="str">
        <f ca="1">IFERROR(__xludf.DUMMYFUNCTION("""COMPUTED_VALUE"""),"SNC 1243")</f>
        <v>SNC 1243</v>
      </c>
      <c r="H4387" s="164" t="str">
        <f ca="1">IFERROR(__xludf.DUMMYFUNCTION("""COMPUTED_VALUE"""),"MA. FLORDELUNA Q. TOLDO")</f>
        <v>MA. FLORDELUNA Q. TOLDO</v>
      </c>
      <c r="I4387" s="164" t="str">
        <f ca="1">IFERROR(__xludf.DUMMYFUNCTION("""COMPUTED_VALUE"""),"ARPO I/GSS HEAD")</f>
        <v>ARPO I/GSS HEAD</v>
      </c>
      <c r="J4387" s="164" t="str">
        <f ca="1">IFERROR(__xludf.DUMMYFUNCTION("""COMPUTED_VALUE"""),"R13SDN-102-2023-10-IMV-033")</f>
        <v>R13SDN-102-2023-10-IMV-033</v>
      </c>
      <c r="K4387" s="164" t="str">
        <f ca="1">IFERROR(__xludf.DUMMYFUNCTION("""COMPUTED_VALUE"""),"GENERAL DISPATCH")</f>
        <v>GENERAL DISPATCH</v>
      </c>
      <c r="L4387" s="164" t="str">
        <f ca="1">IFERROR(__xludf.DUMMYFUNCTION("""COMPUTED_VALUE"""),"PPMO - Surigao del Norte/GS")</f>
        <v>PPMO - Surigao del Norte/GS</v>
      </c>
      <c r="M4387" s="164" t="str">
        <f ca="1">IFERROR(__xludf.DUMMYFUNCTION("""COMPUTED_VALUE"""),"Serviceable")</f>
        <v>Serviceable</v>
      </c>
      <c r="N4387" s="164"/>
    </row>
    <row r="4388" spans="1:14" ht="13.2" hidden="1">
      <c r="A4388" s="164" t="str">
        <f ca="1">IFERROR(__xludf.DUMMYFUNCTION("""COMPUTED_VALUE"""),"CARAGA")</f>
        <v>CARAGA</v>
      </c>
      <c r="B4388" s="164" t="str">
        <f ca="1">IFERROR(__xludf.DUMMYFUNCTION("""COMPUTED_VALUE"""),"Surigao del Sur")</f>
        <v>Surigao del Sur</v>
      </c>
      <c r="C4388" s="164" t="str">
        <f ca="1">IFERROR(__xludf.DUMMYFUNCTION("""COMPUTED_VALUE"""),"Double Cabin Pick-up Vehicles – Mitsubishi Strada")</f>
        <v>Double Cabin Pick-up Vehicles – Mitsubishi Strada</v>
      </c>
      <c r="D4388" s="164" t="str">
        <f ca="1">IFERROR(__xludf.DUMMYFUNCTION("""COMPUTED_VALUE"""),"₱ 1,752,400.00")</f>
        <v>₱ 1,752,400.00</v>
      </c>
      <c r="E4388" s="164"/>
      <c r="F4388" s="164" t="str">
        <f ca="1">IFERROR(__xludf.DUMMYFUNCTION("""COMPUTED_VALUE"""),"2023-06-01-10201SP139-01")</f>
        <v>2023-06-01-10201SP139-01</v>
      </c>
      <c r="G4388" s="164" t="str">
        <f ca="1">IFERROR(__xludf.DUMMYFUNCTION("""COMPUTED_VALUE"""),"SNC 1140")</f>
        <v>SNC 1140</v>
      </c>
      <c r="H4388" s="164" t="str">
        <f ca="1">IFERROR(__xludf.DUMMYFUNCTION("""COMPUTED_VALUE"""),"Larry W. Ilogon")</f>
        <v>Larry W. Ilogon</v>
      </c>
      <c r="I4388" s="164" t="str">
        <f ca="1">IFERROR(__xludf.DUMMYFUNCTION("""COMPUTED_VALUE"""),"PARPO II")</f>
        <v>PARPO II</v>
      </c>
      <c r="J4388" s="164" t="str">
        <f ca="1">IFERROR(__xludf.DUMMYFUNCTION("""COMPUTED_VALUE"""),"2023-SPLIT-01")</f>
        <v>2023-SPLIT-01</v>
      </c>
      <c r="K4388" s="164" t="str">
        <f ca="1">IFERROR(__xludf.DUMMYFUNCTION("""COMPUTED_VALUE"""),"Larry W. Ilogon")</f>
        <v>Larry W. Ilogon</v>
      </c>
      <c r="L4388" s="164" t="str">
        <f ca="1">IFERROR(__xludf.DUMMYFUNCTION("""COMPUTED_VALUE"""),"PPMO - Surigao del Sur")</f>
        <v>PPMO - Surigao del Sur</v>
      </c>
      <c r="M4388" s="164" t="str">
        <f ca="1">IFERROR(__xludf.DUMMYFUNCTION("""COMPUTED_VALUE"""),"SERVICEABLE")</f>
        <v>SERVICEABLE</v>
      </c>
      <c r="N4388" s="164" t="str">
        <f ca="1">IFERROR(__xludf.DUMMYFUNCTION("""COMPUTED_VALUE"""),"General Dispatch")</f>
        <v>General Dispatch</v>
      </c>
    </row>
    <row r="4389" spans="1:14" ht="13.2" hidden="1">
      <c r="A4389" s="164" t="str">
        <f ca="1">IFERROR(__xludf.DUMMYFUNCTION("""COMPUTED_VALUE"""),"CARAGA")</f>
        <v>CARAGA</v>
      </c>
      <c r="B4389" s="164" t="str">
        <f ca="1">IFERROR(__xludf.DUMMYFUNCTION("""COMPUTED_VALUE"""),"Regional Office")</f>
        <v>Regional Office</v>
      </c>
      <c r="C4389" s="164" t="str">
        <f ca="1">IFERROR(__xludf.DUMMYFUNCTION("""COMPUTED_VALUE"""),"Motorcycle – (Honda XRL 150)")</f>
        <v>Motorcycle – (Honda XRL 150)</v>
      </c>
      <c r="D4389" s="164" t="str">
        <f ca="1">IFERROR(__xludf.DUMMYFUNCTION("""COMPUTED_VALUE"""),"₱ 124,900.00")</f>
        <v>₱ 124,900.00</v>
      </c>
      <c r="E4389" s="164"/>
      <c r="F4389" s="164" t="str">
        <f ca="1">IFERROR(__xludf.DUMMYFUNCTION("""COMPUTED_VALUE"""),"2023-06-01-10202SP792-01")</f>
        <v>2023-06-01-10202SP792-01</v>
      </c>
      <c r="G4389" s="164" t="str">
        <f ca="1">IFERROR(__xludf.DUMMYFUNCTION("""COMPUTED_VALUE"""),"Engine #: KRH10E058029, Chassis #:KRHV0058083")</f>
        <v>Engine #: KRH10E058029, Chassis #:KRHV0058083</v>
      </c>
      <c r="H4389" s="164" t="str">
        <f ca="1">IFERROR(__xludf.DUMMYFUNCTION("""COMPUTED_VALUE"""),"Jose E. Bagood")</f>
        <v>Jose E. Bagood</v>
      </c>
      <c r="I4389" s="164" t="str">
        <f ca="1">IFERROR(__xludf.DUMMYFUNCTION("""COMPUTED_VALUE"""),"ARPO II")</f>
        <v>ARPO II</v>
      </c>
      <c r="J4389" s="164" t="str">
        <f ca="1">IFERROR(__xludf.DUMMYFUNCTION("""COMPUTED_VALUE"""),"2023-09-014")</f>
        <v>2023-09-014</v>
      </c>
      <c r="K4389" s="164" t="str">
        <f ca="1">IFERROR(__xludf.DUMMYFUNCTION("""COMPUTED_VALUE"""),"Gilbert S. Gabor")</f>
        <v>Gilbert S. Gabor</v>
      </c>
      <c r="L4389" s="164" t="str">
        <f ca="1">IFERROR(__xludf.DUMMYFUNCTION("""COMPUTED_VALUE"""),"RPMO- Caraga/STOD-GSS")</f>
        <v>RPMO- Caraga/STOD-GSS</v>
      </c>
      <c r="M4389" s="164" t="str">
        <f ca="1">IFERROR(__xludf.DUMMYFUNCTION("""COMPUTED_VALUE"""),"Serviceable")</f>
        <v>Serviceable</v>
      </c>
      <c r="N4389" s="164"/>
    </row>
    <row r="4390" spans="1:14" ht="13.2" hidden="1">
      <c r="A4390" s="164" t="str">
        <f ca="1">IFERROR(__xludf.DUMMYFUNCTION("""COMPUTED_VALUE"""),"CARAGA")</f>
        <v>CARAGA</v>
      </c>
      <c r="B4390" s="164" t="str">
        <f ca="1">IFERROR(__xludf.DUMMYFUNCTION("""COMPUTED_VALUE"""),"Regional Office")</f>
        <v>Regional Office</v>
      </c>
      <c r="C4390" s="164" t="str">
        <f ca="1">IFERROR(__xludf.DUMMYFUNCTION("""COMPUTED_VALUE"""),"Motorcycle – (Honda XRL 150)")</f>
        <v>Motorcycle – (Honda XRL 150)</v>
      </c>
      <c r="D4390" s="164" t="str">
        <f ca="1">IFERROR(__xludf.DUMMYFUNCTION("""COMPUTED_VALUE"""),"₱ 124,900.00")</f>
        <v>₱ 124,900.00</v>
      </c>
      <c r="E4390" s="164"/>
      <c r="F4390" s="164" t="str">
        <f ca="1">IFERROR(__xludf.DUMMYFUNCTION("""COMPUTED_VALUE"""),"2023-06-01-10202SP804-01")</f>
        <v>2023-06-01-10202SP804-01</v>
      </c>
      <c r="G4390" s="164" t="str">
        <f ca="1">IFERROR(__xludf.DUMMYFUNCTION("""COMPUTED_VALUE"""),"Engine #: KRH10E058011, Chassis #: KRHV0058071")</f>
        <v>Engine #: KRH10E058011, Chassis #: KRHV0058071</v>
      </c>
      <c r="H4390" s="164" t="str">
        <f ca="1">IFERROR(__xludf.DUMMYFUNCTION("""COMPUTED_VALUE"""),"C. Lafuente")</f>
        <v>C. Lafuente</v>
      </c>
      <c r="I4390" s="164" t="str">
        <f ca="1">IFERROR(__xludf.DUMMYFUNCTION("""COMPUTED_VALUE"""),"StratCom Coordinator")</f>
        <v>StratCom Coordinator</v>
      </c>
      <c r="J4390" s="164" t="str">
        <f ca="1">IFERROR(__xludf.DUMMYFUNCTION("""COMPUTED_VALUE"""),"2023-09-015")</f>
        <v>2023-09-015</v>
      </c>
      <c r="K4390" s="164" t="str">
        <f ca="1">IFERROR(__xludf.DUMMYFUNCTION("""COMPUTED_VALUE"""),"Marvin Burdeos")</f>
        <v>Marvin Burdeos</v>
      </c>
      <c r="L4390" s="164" t="str">
        <f ca="1">IFERROR(__xludf.DUMMYFUNCTION("""COMPUTED_VALUE"""),"RPMO-Caraga/STOD- RIU")</f>
        <v>RPMO-Caraga/STOD- RIU</v>
      </c>
      <c r="M4390" s="164" t="str">
        <f ca="1">IFERROR(__xludf.DUMMYFUNCTION("""COMPUTED_VALUE"""),"Serviceable")</f>
        <v>Serviceable</v>
      </c>
      <c r="N4390" s="164"/>
    </row>
    <row r="4391" spans="1:14" ht="13.2" hidden="1">
      <c r="A4391" s="164" t="str">
        <f ca="1">IFERROR(__xludf.DUMMYFUNCTION("""COMPUTED_VALUE"""),"CARAGA")</f>
        <v>CARAGA</v>
      </c>
      <c r="B4391" s="164" t="str">
        <f ca="1">IFERROR(__xludf.DUMMYFUNCTION("""COMPUTED_VALUE"""),"Regional Office")</f>
        <v>Regional Office</v>
      </c>
      <c r="C4391" s="164" t="str">
        <f ca="1">IFERROR(__xludf.DUMMYFUNCTION("""COMPUTED_VALUE"""),"Motorcycle – (Honda XRL 150)")</f>
        <v>Motorcycle – (Honda XRL 150)</v>
      </c>
      <c r="D4391" s="164" t="str">
        <f ca="1">IFERROR(__xludf.DUMMYFUNCTION("""COMPUTED_VALUE"""),"₱ 124,900.00")</f>
        <v>₱ 124,900.00</v>
      </c>
      <c r="E4391" s="164"/>
      <c r="F4391" s="164" t="str">
        <f ca="1">IFERROR(__xludf.DUMMYFUNCTION("""COMPUTED_VALUE"""),"2023-06-01-10202SP790-01")</f>
        <v>2023-06-01-10202SP790-01</v>
      </c>
      <c r="G4391" s="164" t="str">
        <f ca="1">IFERROR(__xludf.DUMMYFUNCTION("""COMPUTED_VALUE"""),"Engine #:KRH10E058029, Chassis #: KRH10E058029")</f>
        <v>Engine #:KRH10E058029, Chassis #: KRH10E058029</v>
      </c>
      <c r="H4391" s="164" t="str">
        <f ca="1">IFERROR(__xludf.DUMMYFUNCTION("""COMPUTED_VALUE"""),"Glenn Catalan")</f>
        <v>Glenn Catalan</v>
      </c>
      <c r="I4391" s="164" t="str">
        <f ca="1">IFERROR(__xludf.DUMMYFUNCTION("""COMPUTED_VALUE"""),"ARPO II")</f>
        <v>ARPO II</v>
      </c>
      <c r="J4391" s="164" t="str">
        <f ca="1">IFERROR(__xludf.DUMMYFUNCTION("""COMPUTED_VALUE"""),"2024-04-013")</f>
        <v>2024-04-013</v>
      </c>
      <c r="K4391" s="164" t="str">
        <f ca="1">IFERROR(__xludf.DUMMYFUNCTION("""COMPUTED_VALUE"""),"Glenn Catalan")</f>
        <v>Glenn Catalan</v>
      </c>
      <c r="L4391" s="164" t="str">
        <f ca="1">IFERROR(__xludf.DUMMYFUNCTION("""COMPUTED_VALUE"""),"RPMO-Caraga/STOD- Planning Section")</f>
        <v>RPMO-Caraga/STOD- Planning Section</v>
      </c>
      <c r="M4391" s="164" t="str">
        <f ca="1">IFERROR(__xludf.DUMMYFUNCTION("""COMPUTED_VALUE"""),"Serviceable")</f>
        <v>Serviceable</v>
      </c>
      <c r="N4391" s="164"/>
    </row>
    <row r="4392" spans="1:14" ht="13.2" hidden="1">
      <c r="A4392" s="164" t="str">
        <f ca="1">IFERROR(__xludf.DUMMYFUNCTION("""COMPUTED_VALUE"""),"CARAGA")</f>
        <v>CARAGA</v>
      </c>
      <c r="B4392" s="164" t="str">
        <f ca="1">IFERROR(__xludf.DUMMYFUNCTION("""COMPUTED_VALUE"""),"Agusan del Norte")</f>
        <v>Agusan del Norte</v>
      </c>
      <c r="C4392" s="164" t="str">
        <f ca="1">IFERROR(__xludf.DUMMYFUNCTION("""COMPUTED_VALUE"""),"Motorcycle – (Honda XRL 150)")</f>
        <v>Motorcycle – (Honda XRL 150)</v>
      </c>
      <c r="D4392" s="164" t="str">
        <f ca="1">IFERROR(__xludf.DUMMYFUNCTION("""COMPUTED_VALUE"""),"₱ 124,900.00")</f>
        <v>₱ 124,900.00</v>
      </c>
      <c r="E4392" s="164"/>
      <c r="F4392" s="164" t="str">
        <f ca="1">IFERROR(__xludf.DUMMYFUNCTION("""COMPUTED_VALUE"""),"2023-06-01-10202SP759-01")</f>
        <v>2023-06-01-10202SP759-01</v>
      </c>
      <c r="G4392" s="164" t="str">
        <f ca="1">IFERROR(__xludf.DUMMYFUNCTION("""COMPUTED_VALUE"""),"Engine #: KRH10E058837, Chassis #: KRHV0057949")</f>
        <v>Engine #: KRH10E058837, Chassis #: KRHV0057949</v>
      </c>
      <c r="H4392" s="164" t="str">
        <f ca="1">IFERROR(__xludf.DUMMYFUNCTION("""COMPUTED_VALUE"""),"Gino P. Roa")</f>
        <v>Gino P. Roa</v>
      </c>
      <c r="I4392" s="164" t="str">
        <f ca="1">IFERROR(__xludf.DUMMYFUNCTION("""COMPUTED_VALUE"""),"ARPO I")</f>
        <v>ARPO I</v>
      </c>
      <c r="J4392" s="164" t="str">
        <f ca="1">IFERROR(__xludf.DUMMYFUNCTION("""COMPUTED_VALUE"""),"PAR: 2025-07-0008")</f>
        <v>PAR: 2025-07-0008</v>
      </c>
      <c r="K4392" s="164" t="str">
        <f ca="1">IFERROR(__xludf.DUMMYFUNCTION("""COMPUTED_VALUE"""),"Gino P. Roa")</f>
        <v>Gino P. Roa</v>
      </c>
      <c r="L4392" s="164" t="str">
        <f ca="1">IFERROR(__xludf.DUMMYFUNCTION("""COMPUTED_VALUE"""),"PPMO - Agusan del norte")</f>
        <v>PPMO - Agusan del norte</v>
      </c>
      <c r="M4392" s="164" t="str">
        <f ca="1">IFERROR(__xludf.DUMMYFUNCTION("""COMPUTED_VALUE"""),"SERVICEABLE")</f>
        <v>SERVICEABLE</v>
      </c>
      <c r="N4392" s="164"/>
    </row>
    <row r="4393" spans="1:14" ht="13.2" hidden="1">
      <c r="A4393" s="164" t="str">
        <f ca="1">IFERROR(__xludf.DUMMYFUNCTION("""COMPUTED_VALUE"""),"CARAGA")</f>
        <v>CARAGA</v>
      </c>
      <c r="B4393" s="164" t="str">
        <f ca="1">IFERROR(__xludf.DUMMYFUNCTION("""COMPUTED_VALUE"""),"Agusan del Norte")</f>
        <v>Agusan del Norte</v>
      </c>
      <c r="C4393" s="164" t="str">
        <f ca="1">IFERROR(__xludf.DUMMYFUNCTION("""COMPUTED_VALUE"""),"Motorcycle – (Honda XRL 150)")</f>
        <v>Motorcycle – (Honda XRL 150)</v>
      </c>
      <c r="D4393" s="164" t="str">
        <f ca="1">IFERROR(__xludf.DUMMYFUNCTION("""COMPUTED_VALUE"""),"₱ 124,900.00")</f>
        <v>₱ 124,900.00</v>
      </c>
      <c r="E4393" s="164"/>
      <c r="F4393" s="164" t="str">
        <f ca="1">IFERROR(__xludf.DUMMYFUNCTION("""COMPUTED_VALUE"""),"2023-06-01-10202SP760-01")</f>
        <v>2023-06-01-10202SP760-01</v>
      </c>
      <c r="G4393" s="164" t="str">
        <f ca="1">IFERROR(__xludf.DUMMYFUNCTION("""COMPUTED_VALUE"""),"Engine #: KRH10E058834, Chassis #: KRHV0057947")</f>
        <v>Engine #: KRH10E058834, Chassis #: KRHV0057947</v>
      </c>
      <c r="H4393" s="164" t="str">
        <f ca="1">IFERROR(__xludf.DUMMYFUNCTION("""COMPUTED_VALUE"""),"Rocilo Surion")</f>
        <v>Rocilo Surion</v>
      </c>
      <c r="I4393" s="164" t="str">
        <f ca="1">IFERROR(__xludf.DUMMYFUNCTION("""COMPUTED_VALUE"""),"ARPT")</f>
        <v>ARPT</v>
      </c>
      <c r="J4393" s="164" t="str">
        <f ca="1">IFERROR(__xludf.DUMMYFUNCTION("""COMPUTED_VALUE"""),"PAR: 2025-07-0009")</f>
        <v>PAR: 2025-07-0009</v>
      </c>
      <c r="K4393" s="164" t="str">
        <f ca="1">IFERROR(__xludf.DUMMYFUNCTION("""COMPUTED_VALUE"""),"Rocilo Surion")</f>
        <v>Rocilo Surion</v>
      </c>
      <c r="L4393" s="164" t="str">
        <f ca="1">IFERROR(__xludf.DUMMYFUNCTION("""COMPUTED_VALUE"""),"PPMO - Agusan del norte")</f>
        <v>PPMO - Agusan del norte</v>
      </c>
      <c r="M4393" s="164" t="str">
        <f ca="1">IFERROR(__xludf.DUMMYFUNCTION("""COMPUTED_VALUE"""),"SERVICEABLE")</f>
        <v>SERVICEABLE</v>
      </c>
      <c r="N4393" s="164"/>
    </row>
    <row r="4394" spans="1:14" ht="13.2" hidden="1">
      <c r="A4394" s="164" t="str">
        <f ca="1">IFERROR(__xludf.DUMMYFUNCTION("""COMPUTED_VALUE"""),"CARAGA")</f>
        <v>CARAGA</v>
      </c>
      <c r="B4394" s="164" t="str">
        <f ca="1">IFERROR(__xludf.DUMMYFUNCTION("""COMPUTED_VALUE"""),"Agusan del Norte")</f>
        <v>Agusan del Norte</v>
      </c>
      <c r="C4394" s="164" t="str">
        <f ca="1">IFERROR(__xludf.DUMMYFUNCTION("""COMPUTED_VALUE"""),"Motorcycle – (Honda XRL 150)")</f>
        <v>Motorcycle – (Honda XRL 150)</v>
      </c>
      <c r="D4394" s="164" t="str">
        <f ca="1">IFERROR(__xludf.DUMMYFUNCTION("""COMPUTED_VALUE"""),"₱ 124,900.00")</f>
        <v>₱ 124,900.00</v>
      </c>
      <c r="E4394" s="164"/>
      <c r="F4394" s="164" t="str">
        <f ca="1">IFERROR(__xludf.DUMMYFUNCTION("""COMPUTED_VALUE"""),"2023-06-01-10202SP761-01")</f>
        <v>2023-06-01-10202SP761-01</v>
      </c>
      <c r="G4394" s="164" t="str">
        <f ca="1">IFERROR(__xludf.DUMMYFUNCTION("""COMPUTED_VALUE"""),"Engine #: KRH10E058833, Chassis #: KRHV0057944")</f>
        <v>Engine #: KRH10E058833, Chassis #: KRHV0057944</v>
      </c>
      <c r="H4394" s="164" t="str">
        <f ca="1">IFERROR(__xludf.DUMMYFUNCTION("""COMPUTED_VALUE"""),"George D. Balibay")</f>
        <v>George D. Balibay</v>
      </c>
      <c r="I4394" s="164" t="str">
        <f ca="1">IFERROR(__xludf.DUMMYFUNCTION("""COMPUTED_VALUE"""),"Planning Officer II")</f>
        <v>Planning Officer II</v>
      </c>
      <c r="J4394" s="164" t="str">
        <f ca="1">IFERROR(__xludf.DUMMYFUNCTION("""COMPUTED_VALUE"""),"PAR: 2025-07-0010")</f>
        <v>PAR: 2025-07-0010</v>
      </c>
      <c r="K4394" s="164" t="str">
        <f ca="1">IFERROR(__xludf.DUMMYFUNCTION("""COMPUTED_VALUE"""),"George D. Balibay")</f>
        <v>George D. Balibay</v>
      </c>
      <c r="L4394" s="164" t="str">
        <f ca="1">IFERROR(__xludf.DUMMYFUNCTION("""COMPUTED_VALUE"""),"PPMO - Agusan del norte")</f>
        <v>PPMO - Agusan del norte</v>
      </c>
      <c r="M4394" s="164" t="str">
        <f ca="1">IFERROR(__xludf.DUMMYFUNCTION("""COMPUTED_VALUE"""),"SERVICEABLE")</f>
        <v>SERVICEABLE</v>
      </c>
      <c r="N4394" s="164"/>
    </row>
    <row r="4395" spans="1:14" ht="13.2" hidden="1">
      <c r="A4395" s="164" t="str">
        <f ca="1">IFERROR(__xludf.DUMMYFUNCTION("""COMPUTED_VALUE"""),"CARAGA")</f>
        <v>CARAGA</v>
      </c>
      <c r="B4395" s="164" t="str">
        <f ca="1">IFERROR(__xludf.DUMMYFUNCTION("""COMPUTED_VALUE"""),"Agusan del Sur")</f>
        <v>Agusan del Sur</v>
      </c>
      <c r="C4395" s="164" t="str">
        <f ca="1">IFERROR(__xludf.DUMMYFUNCTION("""COMPUTED_VALUE"""),"Motorcycle – (Honda XRL 150)")</f>
        <v>Motorcycle – (Honda XRL 150)</v>
      </c>
      <c r="D4395" s="164" t="str">
        <f ca="1">IFERROR(__xludf.DUMMYFUNCTION("""COMPUTED_VALUE"""),"₱ 124,900.00")</f>
        <v>₱ 124,900.00</v>
      </c>
      <c r="E4395" s="164"/>
      <c r="F4395" s="164" t="str">
        <f ca="1">IFERROR(__xludf.DUMMYFUNCTION("""COMPUTED_VALUE"""),"2023-06-01-10202SP762-01")</f>
        <v>2023-06-01-10202SP762-01</v>
      </c>
      <c r="G4395" s="164" t="str">
        <f ca="1">IFERROR(__xludf.DUMMYFUNCTION("""COMPUTED_VALUE"""),"Engine #: KRH10E058831, Chassis #: KRHV0057951")</f>
        <v>Engine #: KRH10E058831, Chassis #: KRHV0057951</v>
      </c>
      <c r="H4395" s="164" t="str">
        <f ca="1">IFERROR(__xludf.DUMMYFUNCTION("""COMPUTED_VALUE"""),"Ruby Jane M. Salvado")</f>
        <v>Ruby Jane M. Salvado</v>
      </c>
      <c r="I4395" s="164" t="str">
        <f ca="1">IFERROR(__xludf.DUMMYFUNCTION("""COMPUTED_VALUE"""),"SARPT/Acting GS Chief")</f>
        <v>SARPT/Acting GS Chief</v>
      </c>
      <c r="J4395" s="164" t="str">
        <f ca="1">IFERROR(__xludf.DUMMYFUNCTION("""COMPUTED_VALUE"""),"PTR: 2023-05-018")</f>
        <v>PTR: 2023-05-018</v>
      </c>
      <c r="K4395" s="164" t="str">
        <f ca="1">IFERROR(__xludf.DUMMYFUNCTION("""COMPUTED_VALUE"""),"Antolin Lacea Jr. (LEA II)")</f>
        <v>Antolin Lacea Jr. (LEA II)</v>
      </c>
      <c r="L4395" s="164" t="str">
        <f ca="1">IFERROR(__xludf.DUMMYFUNCTION("""COMPUTED_VALUE"""),"PPMO - Agusan del Sur/ LSD")</f>
        <v>PPMO - Agusan del Sur/ LSD</v>
      </c>
      <c r="M4395" s="164" t="str">
        <f ca="1">IFERROR(__xludf.DUMMYFUNCTION("""COMPUTED_VALUE"""),"Serviceable")</f>
        <v>Serviceable</v>
      </c>
      <c r="N4395" s="164"/>
    </row>
    <row r="4396" spans="1:14" ht="13.2" hidden="1">
      <c r="A4396" s="164" t="str">
        <f ca="1">IFERROR(__xludf.DUMMYFUNCTION("""COMPUTED_VALUE"""),"CARAGA")</f>
        <v>CARAGA</v>
      </c>
      <c r="B4396" s="164" t="str">
        <f ca="1">IFERROR(__xludf.DUMMYFUNCTION("""COMPUTED_VALUE"""),"Agusan del Sur")</f>
        <v>Agusan del Sur</v>
      </c>
      <c r="C4396" s="164" t="str">
        <f ca="1">IFERROR(__xludf.DUMMYFUNCTION("""COMPUTED_VALUE"""),"Motorcycle – (Honda XRL 150)")</f>
        <v>Motorcycle – (Honda XRL 150)</v>
      </c>
      <c r="D4396" s="164" t="str">
        <f ca="1">IFERROR(__xludf.DUMMYFUNCTION("""COMPUTED_VALUE"""),"₱ 124,900.00")</f>
        <v>₱ 124,900.00</v>
      </c>
      <c r="E4396" s="164"/>
      <c r="F4396" s="164" t="str">
        <f ca="1">IFERROR(__xludf.DUMMYFUNCTION("""COMPUTED_VALUE"""),"2023-06-01-10202SP763-01")</f>
        <v>2023-06-01-10202SP763-01</v>
      </c>
      <c r="G4396" s="164" t="str">
        <f ca="1">IFERROR(__xludf.DUMMYFUNCTION("""COMPUTED_VALUE"""),"Engine #: KRH10E058829, Chassis #: KRHV0057953")</f>
        <v>Engine #: KRH10E058829, Chassis #: KRHV0057953</v>
      </c>
      <c r="H4396" s="164" t="str">
        <f ca="1">IFERROR(__xludf.DUMMYFUNCTION("""COMPUTED_VALUE"""),"Ruby Jane M. Salvado")</f>
        <v>Ruby Jane M. Salvado</v>
      </c>
      <c r="I4396" s="164" t="str">
        <f ca="1">IFERROR(__xludf.DUMMYFUNCTION("""COMPUTED_VALUE"""),"SARPT/Acting GS Chief")</f>
        <v>SARPT/Acting GS Chief</v>
      </c>
      <c r="J4396" s="164" t="str">
        <f ca="1">IFERROR(__xludf.DUMMYFUNCTION("""COMPUTED_VALUE"""),"PTR: 2023-05-018")</f>
        <v>PTR: 2023-05-018</v>
      </c>
      <c r="K4396" s="164" t="str">
        <f ca="1">IFERROR(__xludf.DUMMYFUNCTION("""COMPUTED_VALUE"""),"Jefffrey Mariscal (LEA II)")</f>
        <v>Jefffrey Mariscal (LEA II)</v>
      </c>
      <c r="L4396" s="164" t="str">
        <f ca="1">IFERROR(__xludf.DUMMYFUNCTION("""COMPUTED_VALUE"""),"PPMO - Agusan del Sur/ GS")</f>
        <v>PPMO - Agusan del Sur/ GS</v>
      </c>
      <c r="M4396" s="164" t="str">
        <f ca="1">IFERROR(__xludf.DUMMYFUNCTION("""COMPUTED_VALUE"""),"Serviceable")</f>
        <v>Serviceable</v>
      </c>
      <c r="N4396" s="164"/>
    </row>
    <row r="4397" spans="1:14" ht="13.2" hidden="1">
      <c r="A4397" s="164" t="str">
        <f ca="1">IFERROR(__xludf.DUMMYFUNCTION("""COMPUTED_VALUE"""),"CARAGA")</f>
        <v>CARAGA</v>
      </c>
      <c r="B4397" s="164" t="str">
        <f ca="1">IFERROR(__xludf.DUMMYFUNCTION("""COMPUTED_VALUE"""),"Agusan del Sur")</f>
        <v>Agusan del Sur</v>
      </c>
      <c r="C4397" s="164" t="str">
        <f ca="1">IFERROR(__xludf.DUMMYFUNCTION("""COMPUTED_VALUE"""),"Motorcycle – (Honda XRL 150)")</f>
        <v>Motorcycle – (Honda XRL 150)</v>
      </c>
      <c r="D4397" s="164" t="str">
        <f ca="1">IFERROR(__xludf.DUMMYFUNCTION("""COMPUTED_VALUE"""),"₱ 124,900.00")</f>
        <v>₱ 124,900.00</v>
      </c>
      <c r="E4397" s="164"/>
      <c r="F4397" s="164" t="str">
        <f ca="1">IFERROR(__xludf.DUMMYFUNCTION("""COMPUTED_VALUE"""),"2023-06-01-10202SP764-01")</f>
        <v>2023-06-01-10202SP764-01</v>
      </c>
      <c r="G4397" s="164" t="str">
        <f ca="1">IFERROR(__xludf.DUMMYFUNCTION("""COMPUTED_VALUE"""),"Engine #: KRH10E058827, Chassis #: KRHV0057945")</f>
        <v>Engine #: KRH10E058827, Chassis #: KRHV0057945</v>
      </c>
      <c r="H4397" s="164" t="str">
        <f ca="1">IFERROR(__xludf.DUMMYFUNCTION("""COMPUTED_VALUE"""),"RUEL P. SAMPUTON")</f>
        <v>RUEL P. SAMPUTON</v>
      </c>
      <c r="I4397" s="164" t="str">
        <f ca="1">IFERROR(__xludf.DUMMYFUNCTION("""COMPUTED_VALUE"""),"SARPT")</f>
        <v>SARPT</v>
      </c>
      <c r="J4397" s="164" t="str">
        <f ca="1">IFERROR(__xludf.DUMMYFUNCTION("""COMPUTED_VALUE"""),"PTR: 2023-05-018/ 2025-04-001")</f>
        <v>PTR: 2023-05-018/ 2025-04-001</v>
      </c>
      <c r="K4397" s="164" t="str">
        <f ca="1">IFERROR(__xludf.DUMMYFUNCTION("""COMPUTED_VALUE"""),"RUEL P. SAMPUTON")</f>
        <v>RUEL P. SAMPUTON</v>
      </c>
      <c r="L4397" s="164" t="str">
        <f ca="1">IFERROR(__xludf.DUMMYFUNCTION("""COMPUTED_VALUE"""),"PPMO - Agusan del Sur/ DARMO TRENTO")</f>
        <v>PPMO - Agusan del Sur/ DARMO TRENTO</v>
      </c>
      <c r="M4397" s="164" t="str">
        <f ca="1">IFERROR(__xludf.DUMMYFUNCTION("""COMPUTED_VALUE"""),"Serviceable")</f>
        <v>Serviceable</v>
      </c>
      <c r="N4397" s="164"/>
    </row>
    <row r="4398" spans="1:14" ht="13.2" hidden="1">
      <c r="A4398" s="164" t="str">
        <f ca="1">IFERROR(__xludf.DUMMYFUNCTION("""COMPUTED_VALUE"""),"CARAGA")</f>
        <v>CARAGA</v>
      </c>
      <c r="B4398" s="164" t="str">
        <f ca="1">IFERROR(__xludf.DUMMYFUNCTION("""COMPUTED_VALUE"""),"Agusan del Sur")</f>
        <v>Agusan del Sur</v>
      </c>
      <c r="C4398" s="164" t="str">
        <f ca="1">IFERROR(__xludf.DUMMYFUNCTION("""COMPUTED_VALUE"""),"Motorcycle – (Honda XRL 150)")</f>
        <v>Motorcycle – (Honda XRL 150)</v>
      </c>
      <c r="D4398" s="164" t="str">
        <f ca="1">IFERROR(__xludf.DUMMYFUNCTION("""COMPUTED_VALUE"""),"₱ 124,900.00")</f>
        <v>₱ 124,900.00</v>
      </c>
      <c r="E4398" s="164"/>
      <c r="F4398" s="164" t="str">
        <f ca="1">IFERROR(__xludf.DUMMYFUNCTION("""COMPUTED_VALUE"""),"2023-06-01-10202SP765-01")</f>
        <v>2023-06-01-10202SP765-01</v>
      </c>
      <c r="G4398" s="164" t="str">
        <f ca="1">IFERROR(__xludf.DUMMYFUNCTION("""COMPUTED_VALUE"""),"Engine #: KRH10E058822, Chassis #: KRHV0057952")</f>
        <v>Engine #: KRH10E058822, Chassis #: KRHV0057952</v>
      </c>
      <c r="H4398" s="164" t="str">
        <f ca="1">IFERROR(__xludf.DUMMYFUNCTION("""COMPUTED_VALUE"""),"Ruby Jane M. Salvado")</f>
        <v>Ruby Jane M. Salvado</v>
      </c>
      <c r="I4398" s="164" t="str">
        <f ca="1">IFERROR(__xludf.DUMMYFUNCTION("""COMPUTED_VALUE"""),"SARPT/Acting GS Chief")</f>
        <v>SARPT/Acting GS Chief</v>
      </c>
      <c r="J4398" s="164" t="str">
        <f ca="1">IFERROR(__xludf.DUMMYFUNCTION("""COMPUTED_VALUE"""),"PTR: 2023-05-018")</f>
        <v>PTR: 2023-05-018</v>
      </c>
      <c r="K4398" s="164" t="str">
        <f ca="1">IFERROR(__xludf.DUMMYFUNCTION("""COMPUTED_VALUE"""),"Paquito Funa , Jr (rct)")</f>
        <v>Paquito Funa , Jr (rct)</v>
      </c>
      <c r="L4398" s="164" t="str">
        <f ca="1">IFERROR(__xludf.DUMMYFUNCTION("""COMPUTED_VALUE"""),"PPMO - Agusan del Sur/ SPLIT OFFICE")</f>
        <v>PPMO - Agusan del Sur/ SPLIT OFFICE</v>
      </c>
      <c r="M4398" s="164" t="str">
        <f ca="1">IFERROR(__xludf.DUMMYFUNCTION("""COMPUTED_VALUE"""),"Serviceable")</f>
        <v>Serviceable</v>
      </c>
      <c r="N4398" s="164"/>
    </row>
    <row r="4399" spans="1:14" ht="13.2" hidden="1">
      <c r="A4399" s="164" t="str">
        <f ca="1">IFERROR(__xludf.DUMMYFUNCTION("""COMPUTED_VALUE"""),"CARAGA")</f>
        <v>CARAGA</v>
      </c>
      <c r="B4399" s="164" t="str">
        <f ca="1">IFERROR(__xludf.DUMMYFUNCTION("""COMPUTED_VALUE"""),"Agusan del Sur")</f>
        <v>Agusan del Sur</v>
      </c>
      <c r="C4399" s="164" t="str">
        <f ca="1">IFERROR(__xludf.DUMMYFUNCTION("""COMPUTED_VALUE"""),"Motorcycle – (Honda XRL 150)")</f>
        <v>Motorcycle – (Honda XRL 150)</v>
      </c>
      <c r="D4399" s="164" t="str">
        <f ca="1">IFERROR(__xludf.DUMMYFUNCTION("""COMPUTED_VALUE"""),"₱ 124,900.00")</f>
        <v>₱ 124,900.00</v>
      </c>
      <c r="E4399" s="164"/>
      <c r="F4399" s="164" t="str">
        <f ca="1">IFERROR(__xludf.DUMMYFUNCTION("""COMPUTED_VALUE"""),"2023-06-01-10202SP766-01")</f>
        <v>2023-06-01-10202SP766-01</v>
      </c>
      <c r="G4399" s="164" t="str">
        <f ca="1">IFERROR(__xludf.DUMMYFUNCTION("""COMPUTED_VALUE"""),"Engine #: KRH10E058816, Chassis #: KRHV0057956")</f>
        <v>Engine #: KRH10E058816, Chassis #: KRHV0057956</v>
      </c>
      <c r="H4399" s="164" t="str">
        <f ca="1">IFERROR(__xludf.DUMMYFUNCTION("""COMPUTED_VALUE"""),"Engr. Renier Jake Capa")</f>
        <v>Engr. Renier Jake Capa</v>
      </c>
      <c r="I4399" s="164" t="str">
        <f ca="1">IFERROR(__xludf.DUMMYFUNCTION("""COMPUTED_VALUE"""),"ARPO I / Chief Survey Section")</f>
        <v>ARPO I / Chief Survey Section</v>
      </c>
      <c r="J4399" s="164" t="str">
        <f ca="1">IFERROR(__xludf.DUMMYFUNCTION("""COMPUTED_VALUE"""),"PTR: 2023-05-018")</f>
        <v>PTR: 2023-05-018</v>
      </c>
      <c r="K4399" s="164" t="str">
        <f ca="1">IFERROR(__xludf.DUMMYFUNCTION("""COMPUTED_VALUE"""),"Engr. Renier Jake Capa")</f>
        <v>Engr. Renier Jake Capa</v>
      </c>
      <c r="L4399" s="164" t="str">
        <f ca="1">IFERROR(__xludf.DUMMYFUNCTION("""COMPUTED_VALUE"""),"PPMO - Agusan del Sur/ DARMO LORETO")</f>
        <v>PPMO - Agusan del Sur/ DARMO LORETO</v>
      </c>
      <c r="M4399" s="164" t="str">
        <f ca="1">IFERROR(__xludf.DUMMYFUNCTION("""COMPUTED_VALUE"""),"Serviceable")</f>
        <v>Serviceable</v>
      </c>
      <c r="N4399" s="164"/>
    </row>
    <row r="4400" spans="1:14" ht="13.2" hidden="1">
      <c r="A4400" s="164" t="str">
        <f ca="1">IFERROR(__xludf.DUMMYFUNCTION("""COMPUTED_VALUE"""),"CARAGA")</f>
        <v>CARAGA</v>
      </c>
      <c r="B4400" s="164" t="str">
        <f ca="1">IFERROR(__xludf.DUMMYFUNCTION("""COMPUTED_VALUE"""),"Agusan del Sur")</f>
        <v>Agusan del Sur</v>
      </c>
      <c r="C4400" s="164" t="str">
        <f ca="1">IFERROR(__xludf.DUMMYFUNCTION("""COMPUTED_VALUE"""),"Motorcycle – (Honda XRL 150)")</f>
        <v>Motorcycle – (Honda XRL 150)</v>
      </c>
      <c r="D4400" s="164" t="str">
        <f ca="1">IFERROR(__xludf.DUMMYFUNCTION("""COMPUTED_VALUE"""),"₱ 124,900.00")</f>
        <v>₱ 124,900.00</v>
      </c>
      <c r="E4400" s="164"/>
      <c r="F4400" s="164" t="str">
        <f ca="1">IFERROR(__xludf.DUMMYFUNCTION("""COMPUTED_VALUE"""),"2023-06-01-10202SP767-01")</f>
        <v>2023-06-01-10202SP767-01</v>
      </c>
      <c r="G4400" s="164" t="str">
        <f ca="1">IFERROR(__xludf.DUMMYFUNCTION("""COMPUTED_VALUE"""),"Engine #: KRH10E058836, Chassis #: KRHV0057943")</f>
        <v>Engine #: KRH10E058836, Chassis #: KRHV0057943</v>
      </c>
      <c r="H4400" s="164" t="str">
        <f ca="1">IFERROR(__xludf.DUMMYFUNCTION("""COMPUTED_VALUE"""),"Ruby Jane M. Salvado")</f>
        <v>Ruby Jane M. Salvado</v>
      </c>
      <c r="I4400" s="164" t="str">
        <f ca="1">IFERROR(__xludf.DUMMYFUNCTION("""COMPUTED_VALUE"""),"SARPT/Acting GS Chief")</f>
        <v>SARPT/Acting GS Chief</v>
      </c>
      <c r="J4400" s="164" t="str">
        <f ca="1">IFERROR(__xludf.DUMMYFUNCTION("""COMPUTED_VALUE"""),"PTR: 2023-05-018")</f>
        <v>PTR: 2023-05-018</v>
      </c>
      <c r="K4400" s="164" t="str">
        <f ca="1">IFERROR(__xludf.DUMMYFUNCTION("""COMPUTED_VALUE"""),"Ronald Campos (RCT)")</f>
        <v>Ronald Campos (RCT)</v>
      </c>
      <c r="L4400" s="164" t="str">
        <f ca="1">IFERROR(__xludf.DUMMYFUNCTION("""COMPUTED_VALUE"""),"PPMO - Agusan del Sur/ GS")</f>
        <v>PPMO - Agusan del Sur/ GS</v>
      </c>
      <c r="M4400" s="164" t="str">
        <f ca="1">IFERROR(__xludf.DUMMYFUNCTION("""COMPUTED_VALUE"""),"Serviceable")</f>
        <v>Serviceable</v>
      </c>
      <c r="N4400" s="164"/>
    </row>
    <row r="4401" spans="1:14" ht="13.2" hidden="1">
      <c r="A4401" s="164" t="str">
        <f ca="1">IFERROR(__xludf.DUMMYFUNCTION("""COMPUTED_VALUE"""),"CARAGA")</f>
        <v>CARAGA</v>
      </c>
      <c r="B4401" s="164" t="str">
        <f ca="1">IFERROR(__xludf.DUMMYFUNCTION("""COMPUTED_VALUE"""),"Agusan del Sur")</f>
        <v>Agusan del Sur</v>
      </c>
      <c r="C4401" s="164" t="str">
        <f ca="1">IFERROR(__xludf.DUMMYFUNCTION("""COMPUTED_VALUE"""),"Motorcycle – (Honda XRL 150)")</f>
        <v>Motorcycle – (Honda XRL 150)</v>
      </c>
      <c r="D4401" s="164" t="str">
        <f ca="1">IFERROR(__xludf.DUMMYFUNCTION("""COMPUTED_VALUE"""),"₱ 124,900.00")</f>
        <v>₱ 124,900.00</v>
      </c>
      <c r="E4401" s="164"/>
      <c r="F4401" s="164" t="str">
        <f ca="1">IFERROR(__xludf.DUMMYFUNCTION("""COMPUTED_VALUE"""),"2023-06-01-10202SP768-01")</f>
        <v>2023-06-01-10202SP768-01</v>
      </c>
      <c r="G4401" s="164" t="str">
        <f ca="1">IFERROR(__xludf.DUMMYFUNCTION("""COMPUTED_VALUE"""),"Engine #: KRH10E058830, Chassis #: KRHV0057946")</f>
        <v>Engine #: KRH10E058830, Chassis #: KRHV0057946</v>
      </c>
      <c r="H4401" s="164" t="str">
        <f ca="1">IFERROR(__xludf.DUMMYFUNCTION("""COMPUTED_VALUE"""),"Ruby Jane M. Salvado")</f>
        <v>Ruby Jane M. Salvado</v>
      </c>
      <c r="I4401" s="164" t="str">
        <f ca="1">IFERROR(__xludf.DUMMYFUNCTION("""COMPUTED_VALUE"""),"SARPT/Acting GS Chief")</f>
        <v>SARPT/Acting GS Chief</v>
      </c>
      <c r="J4401" s="164" t="str">
        <f ca="1">IFERROR(__xludf.DUMMYFUNCTION("""COMPUTED_VALUE"""),"PTR: 2023-05-018")</f>
        <v>PTR: 2023-05-018</v>
      </c>
      <c r="K4401" s="164" t="str">
        <f ca="1">IFERROR(__xludf.DUMMYFUNCTION("""COMPUTED_VALUE"""),"Jayward Baco (RCT)")</f>
        <v>Jayward Baco (RCT)</v>
      </c>
      <c r="L4401" s="164" t="str">
        <f ca="1">IFERROR(__xludf.DUMMYFUNCTION("""COMPUTED_VALUE"""),"PPMO - Agusan del Sur/ GS")</f>
        <v>PPMO - Agusan del Sur/ GS</v>
      </c>
      <c r="M4401" s="164" t="str">
        <f ca="1">IFERROR(__xludf.DUMMYFUNCTION("""COMPUTED_VALUE"""),"Serviceable")</f>
        <v>Serviceable</v>
      </c>
      <c r="N4401" s="164"/>
    </row>
    <row r="4402" spans="1:14" ht="13.2" hidden="1">
      <c r="A4402" s="164" t="str">
        <f ca="1">IFERROR(__xludf.DUMMYFUNCTION("""COMPUTED_VALUE"""),"CARAGA")</f>
        <v>CARAGA</v>
      </c>
      <c r="B4402" s="164" t="str">
        <f ca="1">IFERROR(__xludf.DUMMYFUNCTION("""COMPUTED_VALUE"""),"Agusan del Sur")</f>
        <v>Agusan del Sur</v>
      </c>
      <c r="C4402" s="164" t="str">
        <f ca="1">IFERROR(__xludf.DUMMYFUNCTION("""COMPUTED_VALUE"""),"Motorcycle – (Honda XRL 150)")</f>
        <v>Motorcycle – (Honda XRL 150)</v>
      </c>
      <c r="D4402" s="164" t="str">
        <f ca="1">IFERROR(__xludf.DUMMYFUNCTION("""COMPUTED_VALUE"""),"₱ 124,900.00")</f>
        <v>₱ 124,900.00</v>
      </c>
      <c r="E4402" s="164"/>
      <c r="F4402" s="164" t="str">
        <f ca="1">IFERROR(__xludf.DUMMYFUNCTION("""COMPUTED_VALUE"""),"2023-06-01-10202SP769-01")</f>
        <v>2023-06-01-10202SP769-01</v>
      </c>
      <c r="G4402" s="164" t="str">
        <f ca="1">IFERROR(__xludf.DUMMYFUNCTION("""COMPUTED_VALUE"""),"Engine #: KRH10E058826, Chassis #: KRHV0057950")</f>
        <v>Engine #: KRH10E058826, Chassis #: KRHV0057950</v>
      </c>
      <c r="H4402" s="164" t="str">
        <f ca="1">IFERROR(__xludf.DUMMYFUNCTION("""COMPUTED_VALUE"""),"Noel Marial")</f>
        <v>Noel Marial</v>
      </c>
      <c r="I4402" s="164" t="str">
        <f ca="1">IFERROR(__xludf.DUMMYFUNCTION("""COMPUTED_VALUE"""),"SARPT")</f>
        <v>SARPT</v>
      </c>
      <c r="J4402" s="164" t="str">
        <f ca="1">IFERROR(__xludf.DUMMYFUNCTION("""COMPUTED_VALUE"""),"PTR: 2023-05-018")</f>
        <v>PTR: 2023-05-018</v>
      </c>
      <c r="K4402" s="164" t="str">
        <f ca="1">IFERROR(__xludf.DUMMYFUNCTION("""COMPUTED_VALUE"""),"Noel Marial")</f>
        <v>Noel Marial</v>
      </c>
      <c r="L4402" s="164" t="str">
        <f ca="1">IFERROR(__xludf.DUMMYFUNCTION("""COMPUTED_VALUE"""),"PPMO - Agusan del Sur/ GS")</f>
        <v>PPMO - Agusan del Sur/ GS</v>
      </c>
      <c r="M4402" s="164" t="str">
        <f ca="1">IFERROR(__xludf.DUMMYFUNCTION("""COMPUTED_VALUE"""),"Serviceable")</f>
        <v>Serviceable</v>
      </c>
      <c r="N4402" s="164"/>
    </row>
    <row r="4403" spans="1:14" ht="13.2" hidden="1">
      <c r="A4403" s="164" t="str">
        <f ca="1">IFERROR(__xludf.DUMMYFUNCTION("""COMPUTED_VALUE"""),"CARAGA")</f>
        <v>CARAGA</v>
      </c>
      <c r="B4403" s="164" t="str">
        <f ca="1">IFERROR(__xludf.DUMMYFUNCTION("""COMPUTED_VALUE"""),"Agusan del Sur")</f>
        <v>Agusan del Sur</v>
      </c>
      <c r="C4403" s="164" t="str">
        <f ca="1">IFERROR(__xludf.DUMMYFUNCTION("""COMPUTED_VALUE"""),"Motorcycle – (Honda XRL 150)")</f>
        <v>Motorcycle – (Honda XRL 150)</v>
      </c>
      <c r="D4403" s="164" t="str">
        <f ca="1">IFERROR(__xludf.DUMMYFUNCTION("""COMPUTED_VALUE"""),"₱ 124,900.00")</f>
        <v>₱ 124,900.00</v>
      </c>
      <c r="E4403" s="164"/>
      <c r="F4403" s="164" t="str">
        <f ca="1">IFERROR(__xludf.DUMMYFUNCTION("""COMPUTED_VALUE"""),"2023-06-01-10202SP770-01")</f>
        <v>2023-06-01-10202SP770-01</v>
      </c>
      <c r="G4403" s="164" t="str">
        <f ca="1">IFERROR(__xludf.DUMMYFUNCTION("""COMPUTED_VALUE"""),"Engine #: KRH10E058824, Chassis #: KRHV0057948")</f>
        <v>Engine #: KRH10E058824, Chassis #: KRHV0057948</v>
      </c>
      <c r="H4403" s="164" t="str">
        <f ca="1">IFERROR(__xludf.DUMMYFUNCTION("""COMPUTED_VALUE"""),"Ruby Jane M. Salvado")</f>
        <v>Ruby Jane M. Salvado</v>
      </c>
      <c r="I4403" s="164" t="str">
        <f ca="1">IFERROR(__xludf.DUMMYFUNCTION("""COMPUTED_VALUE"""),"SARPT/Acting GS Chief")</f>
        <v>SARPT/Acting GS Chief</v>
      </c>
      <c r="J4403" s="164" t="str">
        <f ca="1">IFERROR(__xludf.DUMMYFUNCTION("""COMPUTED_VALUE"""),"PTR: 2023-05-018")</f>
        <v>PTR: 2023-05-018</v>
      </c>
      <c r="K4403" s="164" t="str">
        <f ca="1">IFERROR(__xludf.DUMMYFUNCTION("""COMPUTED_VALUE"""),"Romnick Ariñez (RCT)")</f>
        <v>Romnick Ariñez (RCT)</v>
      </c>
      <c r="L4403" s="164" t="str">
        <f ca="1">IFERROR(__xludf.DUMMYFUNCTION("""COMPUTED_VALUE"""),"PPMO - Agusan del Sur/ GS")</f>
        <v>PPMO - Agusan del Sur/ GS</v>
      </c>
      <c r="M4403" s="164" t="str">
        <f ca="1">IFERROR(__xludf.DUMMYFUNCTION("""COMPUTED_VALUE"""),"Serviceable")</f>
        <v>Serviceable</v>
      </c>
      <c r="N4403" s="164"/>
    </row>
    <row r="4404" spans="1:14" ht="13.2" hidden="1">
      <c r="A4404" s="164" t="str">
        <f ca="1">IFERROR(__xludf.DUMMYFUNCTION("""COMPUTED_VALUE"""),"CARAGA")</f>
        <v>CARAGA</v>
      </c>
      <c r="B4404" s="164" t="str">
        <f ca="1">IFERROR(__xludf.DUMMYFUNCTION("""COMPUTED_VALUE"""),"Agusan del Sur")</f>
        <v>Agusan del Sur</v>
      </c>
      <c r="C4404" s="164" t="str">
        <f ca="1">IFERROR(__xludf.DUMMYFUNCTION("""COMPUTED_VALUE"""),"Motorcycle – (Honda XRL 150)")</f>
        <v>Motorcycle – (Honda XRL 150)</v>
      </c>
      <c r="D4404" s="164" t="str">
        <f ca="1">IFERROR(__xludf.DUMMYFUNCTION("""COMPUTED_VALUE"""),"₱ 124,900.00")</f>
        <v>₱ 124,900.00</v>
      </c>
      <c r="E4404" s="164"/>
      <c r="F4404" s="164" t="str">
        <f ca="1">IFERROR(__xludf.DUMMYFUNCTION("""COMPUTED_VALUE"""),"2023-06-01-10202SP771-01")</f>
        <v>2023-06-01-10202SP771-01</v>
      </c>
      <c r="G4404" s="164" t="str">
        <f ca="1">IFERROR(__xludf.DUMMYFUNCTION("""COMPUTED_VALUE"""),"Engine #: KRH10E058808, Chassis #: KRHV0057955")</f>
        <v>Engine #: KRH10E058808, Chassis #: KRHV0057955</v>
      </c>
      <c r="H4404" s="164" t="str">
        <f ca="1">IFERROR(__xludf.DUMMYFUNCTION("""COMPUTED_VALUE"""),"Ruby Jane M. Salvado")</f>
        <v>Ruby Jane M. Salvado</v>
      </c>
      <c r="I4404" s="164" t="str">
        <f ca="1">IFERROR(__xludf.DUMMYFUNCTION("""COMPUTED_VALUE"""),"SARPT/Acting GS Chief")</f>
        <v>SARPT/Acting GS Chief</v>
      </c>
      <c r="J4404" s="164" t="str">
        <f ca="1">IFERROR(__xludf.DUMMYFUNCTION("""COMPUTED_VALUE"""),"PTR: 2023-05-018")</f>
        <v>PTR: 2023-05-018</v>
      </c>
      <c r="K4404" s="164" t="str">
        <f ca="1">IFERROR(__xludf.DUMMYFUNCTION("""COMPUTED_VALUE"""),"Ruby Jane M. Salvado")</f>
        <v>Ruby Jane M. Salvado</v>
      </c>
      <c r="L4404" s="164" t="str">
        <f ca="1">IFERROR(__xludf.DUMMYFUNCTION("""COMPUTED_VALUE"""),"PPMO - Agusan del Sur/ PBDD")</f>
        <v>PPMO - Agusan del Sur/ PBDD</v>
      </c>
      <c r="M4404" s="164" t="str">
        <f ca="1">IFERROR(__xludf.DUMMYFUNCTION("""COMPUTED_VALUE"""),"Serviceable")</f>
        <v>Serviceable</v>
      </c>
      <c r="N4404" s="164"/>
    </row>
    <row r="4405" spans="1:14" ht="13.2" hidden="1">
      <c r="A4405" s="164" t="str">
        <f ca="1">IFERROR(__xludf.DUMMYFUNCTION("""COMPUTED_VALUE"""),"CARAGA")</f>
        <v>CARAGA</v>
      </c>
      <c r="B4405" s="164" t="str">
        <f ca="1">IFERROR(__xludf.DUMMYFUNCTION("""COMPUTED_VALUE"""),"Agusan del Sur")</f>
        <v>Agusan del Sur</v>
      </c>
      <c r="C4405" s="164" t="str">
        <f ca="1">IFERROR(__xludf.DUMMYFUNCTION("""COMPUTED_VALUE"""),"Motorcycle – (Honda XRL 150)")</f>
        <v>Motorcycle – (Honda XRL 150)</v>
      </c>
      <c r="D4405" s="164" t="str">
        <f ca="1">IFERROR(__xludf.DUMMYFUNCTION("""COMPUTED_VALUE"""),"₱ 124,900.00")</f>
        <v>₱ 124,900.00</v>
      </c>
      <c r="E4405" s="164"/>
      <c r="F4405" s="164" t="str">
        <f ca="1">IFERROR(__xludf.DUMMYFUNCTION("""COMPUTED_VALUE"""),"2023-06-01-10202SP772-01")</f>
        <v>2023-06-01-10202SP772-01</v>
      </c>
      <c r="G4405" s="164" t="str">
        <f ca="1">IFERROR(__xludf.DUMMYFUNCTION("""COMPUTED_VALUE"""),"Engine #: KRH10E058086, Chassis #: KRHV0058012")</f>
        <v>Engine #: KRH10E058086, Chassis #: KRHV0058012</v>
      </c>
      <c r="H4405" s="164" t="str">
        <f ca="1">IFERROR(__xludf.DUMMYFUNCTION("""COMPUTED_VALUE"""),"Ruby Jane M. Salvado")</f>
        <v>Ruby Jane M. Salvado</v>
      </c>
      <c r="I4405" s="164" t="str">
        <f ca="1">IFERROR(__xludf.DUMMYFUNCTION("""COMPUTED_VALUE"""),"SARPT/Acting GS Chief")</f>
        <v>SARPT/Acting GS Chief</v>
      </c>
      <c r="J4405" s="164" t="str">
        <f ca="1">IFERROR(__xludf.DUMMYFUNCTION("""COMPUTED_VALUE"""),"PTR: 2023-05-018")</f>
        <v>PTR: 2023-05-018</v>
      </c>
      <c r="K4405" s="164" t="str">
        <f ca="1">IFERROR(__xludf.DUMMYFUNCTION("""COMPUTED_VALUE"""),"Ryan Gerald Matildo ( RCT)")</f>
        <v>Ryan Gerald Matildo ( RCT)</v>
      </c>
      <c r="L4405" s="164" t="str">
        <f ca="1">IFERROR(__xludf.DUMMYFUNCTION("""COMPUTED_VALUE"""),"PPMO - Agusan del Sur/ GS")</f>
        <v>PPMO - Agusan del Sur/ GS</v>
      </c>
      <c r="M4405" s="164" t="str">
        <f ca="1">IFERROR(__xludf.DUMMYFUNCTION("""COMPUTED_VALUE"""),"Serviceable")</f>
        <v>Serviceable</v>
      </c>
      <c r="N4405" s="164"/>
    </row>
    <row r="4406" spans="1:14" ht="13.2" hidden="1">
      <c r="A4406" s="164" t="str">
        <f ca="1">IFERROR(__xludf.DUMMYFUNCTION("""COMPUTED_VALUE"""),"CARAGA")</f>
        <v>CARAGA</v>
      </c>
      <c r="B4406" s="164" t="str">
        <f ca="1">IFERROR(__xludf.DUMMYFUNCTION("""COMPUTED_VALUE"""),"Agusan del Sur")</f>
        <v>Agusan del Sur</v>
      </c>
      <c r="C4406" s="164" t="str">
        <f ca="1">IFERROR(__xludf.DUMMYFUNCTION("""COMPUTED_VALUE"""),"Motorcycle – (Honda XRL 150)")</f>
        <v>Motorcycle – (Honda XRL 150)</v>
      </c>
      <c r="D4406" s="164" t="str">
        <f ca="1">IFERROR(__xludf.DUMMYFUNCTION("""COMPUTED_VALUE"""),"₱ 124,900.00")</f>
        <v>₱ 124,900.00</v>
      </c>
      <c r="E4406" s="164"/>
      <c r="F4406" s="164" t="str">
        <f ca="1">IFERROR(__xludf.DUMMYFUNCTION("""COMPUTED_VALUE"""),"2023-06-01-10202SP773-01")</f>
        <v>2023-06-01-10202SP773-01</v>
      </c>
      <c r="G4406" s="164" t="str">
        <f ca="1">IFERROR(__xludf.DUMMYFUNCTION("""COMPUTED_VALUE"""),"Engine #: KRH10E058081, Chassis #: KRHV0058021")</f>
        <v>Engine #: KRH10E058081, Chassis #: KRHV0058021</v>
      </c>
      <c r="H4406" s="164" t="str">
        <f ca="1">IFERROR(__xludf.DUMMYFUNCTION("""COMPUTED_VALUE"""),"Ariel Sauza")</f>
        <v>Ariel Sauza</v>
      </c>
      <c r="I4406" s="164" t="str">
        <f ca="1">IFERROR(__xludf.DUMMYFUNCTION("""COMPUTED_VALUE"""),"AA VI")</f>
        <v>AA VI</v>
      </c>
      <c r="J4406" s="164" t="str">
        <f ca="1">IFERROR(__xludf.DUMMYFUNCTION("""COMPUTED_VALUE"""),"PTR: 2023-05-018")</f>
        <v>PTR: 2023-05-018</v>
      </c>
      <c r="K4406" s="164" t="str">
        <f ca="1">IFERROR(__xludf.DUMMYFUNCTION("""COMPUTED_VALUE"""),"Ariel Sauza")</f>
        <v>Ariel Sauza</v>
      </c>
      <c r="L4406" s="164" t="str">
        <f ca="1">IFERROR(__xludf.DUMMYFUNCTION("""COMPUTED_VALUE"""),"PPMO - Agusan del Sur/ SURVEY OFFICE")</f>
        <v>PPMO - Agusan del Sur/ SURVEY OFFICE</v>
      </c>
      <c r="M4406" s="164" t="str">
        <f ca="1">IFERROR(__xludf.DUMMYFUNCTION("""COMPUTED_VALUE"""),"Serviceable")</f>
        <v>Serviceable</v>
      </c>
      <c r="N4406" s="164"/>
    </row>
    <row r="4407" spans="1:14" ht="13.2" hidden="1">
      <c r="A4407" s="164" t="str">
        <f ca="1">IFERROR(__xludf.DUMMYFUNCTION("""COMPUTED_VALUE"""),"CARAGA")</f>
        <v>CARAGA</v>
      </c>
      <c r="B4407" s="164" t="str">
        <f ca="1">IFERROR(__xludf.DUMMYFUNCTION("""COMPUTED_VALUE"""),"Agusan del Sur")</f>
        <v>Agusan del Sur</v>
      </c>
      <c r="C4407" s="164" t="str">
        <f ca="1">IFERROR(__xludf.DUMMYFUNCTION("""COMPUTED_VALUE"""),"Motorcycle – (Honda XRL 150)")</f>
        <v>Motorcycle – (Honda XRL 150)</v>
      </c>
      <c r="D4407" s="164" t="str">
        <f ca="1">IFERROR(__xludf.DUMMYFUNCTION("""COMPUTED_VALUE"""),"₱ 124,900.00")</f>
        <v>₱ 124,900.00</v>
      </c>
      <c r="E4407" s="164"/>
      <c r="F4407" s="164" t="str">
        <f ca="1">IFERROR(__xludf.DUMMYFUNCTION("""COMPUTED_VALUE"""),"2023-06-01-10202SP774-01")</f>
        <v>2023-06-01-10202SP774-01</v>
      </c>
      <c r="G4407" s="164" t="str">
        <f ca="1">IFERROR(__xludf.DUMMYFUNCTION("""COMPUTED_VALUE"""),"Engine #: KRH10E058072, Chassis #:KRVH058001")</f>
        <v>Engine #: KRH10E058072, Chassis #:KRVH058001</v>
      </c>
      <c r="H4407" s="164" t="str">
        <f ca="1">IFERROR(__xludf.DUMMYFUNCTION("""COMPUTED_VALUE"""),"Ruby Jane M. Salvado")</f>
        <v>Ruby Jane M. Salvado</v>
      </c>
      <c r="I4407" s="164" t="str">
        <f ca="1">IFERROR(__xludf.DUMMYFUNCTION("""COMPUTED_VALUE"""),"SARPT/Acting GS Chief")</f>
        <v>SARPT/Acting GS Chief</v>
      </c>
      <c r="J4407" s="164" t="str">
        <f ca="1">IFERROR(__xludf.DUMMYFUNCTION("""COMPUTED_VALUE"""),"PTR: 2023-05-018")</f>
        <v>PTR: 2023-05-018</v>
      </c>
      <c r="K4407" s="164" t="str">
        <f ca="1">IFERROR(__xludf.DUMMYFUNCTION("""COMPUTED_VALUE"""),"Ruby Jane M. Salvado")</f>
        <v>Ruby Jane M. Salvado</v>
      </c>
      <c r="L4407" s="164" t="str">
        <f ca="1">IFERROR(__xludf.DUMMYFUNCTION("""COMPUTED_VALUE"""),"PPMO - Agusan del Sur/ GS")</f>
        <v>PPMO - Agusan del Sur/ GS</v>
      </c>
      <c r="M4407" s="164" t="str">
        <f ca="1">IFERROR(__xludf.DUMMYFUNCTION("""COMPUTED_VALUE"""),"Serviceable")</f>
        <v>Serviceable</v>
      </c>
      <c r="N4407" s="164"/>
    </row>
    <row r="4408" spans="1:14" ht="13.2" hidden="1">
      <c r="A4408" s="164" t="str">
        <f ca="1">IFERROR(__xludf.DUMMYFUNCTION("""COMPUTED_VALUE"""),"CARAGA")</f>
        <v>CARAGA</v>
      </c>
      <c r="B4408" s="164" t="str">
        <f ca="1">IFERROR(__xludf.DUMMYFUNCTION("""COMPUTED_VALUE"""),"Agusan del Sur")</f>
        <v>Agusan del Sur</v>
      </c>
      <c r="C4408" s="164" t="str">
        <f ca="1">IFERROR(__xludf.DUMMYFUNCTION("""COMPUTED_VALUE"""),"Motorcycle – (Honda XRL 150)")</f>
        <v>Motorcycle – (Honda XRL 150)</v>
      </c>
      <c r="D4408" s="164" t="str">
        <f ca="1">IFERROR(__xludf.DUMMYFUNCTION("""COMPUTED_VALUE"""),"₱ 124,900.00")</f>
        <v>₱ 124,900.00</v>
      </c>
      <c r="E4408" s="164"/>
      <c r="F4408" s="164" t="str">
        <f ca="1">IFERROR(__xludf.DUMMYFUNCTION("""COMPUTED_VALUE"""),"2023-06-01-10202SP775-01")</f>
        <v>2023-06-01-10202SP775-01</v>
      </c>
      <c r="G4408" s="164" t="str">
        <f ca="1">IFERROR(__xludf.DUMMYFUNCTION("""COMPUTED_VALUE"""),"Engine #: KRH10E058062, Chassis #:KRVH058007")</f>
        <v>Engine #: KRH10E058062, Chassis #:KRVH058007</v>
      </c>
      <c r="H4408" s="164" t="str">
        <f ca="1">IFERROR(__xludf.DUMMYFUNCTION("""COMPUTED_VALUE"""),"Sianber Lou S. Taray")</f>
        <v>Sianber Lou S. Taray</v>
      </c>
      <c r="I4408" s="164" t="str">
        <f ca="1">IFERROR(__xludf.DUMMYFUNCTION("""COMPUTED_VALUE"""),"ARPT")</f>
        <v>ARPT</v>
      </c>
      <c r="J4408" s="164" t="str">
        <f ca="1">IFERROR(__xludf.DUMMYFUNCTION("""COMPUTED_VALUE"""),"PTR: 2023-05-018")</f>
        <v>PTR: 2023-05-018</v>
      </c>
      <c r="K4408" s="164" t="str">
        <f ca="1">IFERROR(__xludf.DUMMYFUNCTION("""COMPUTED_VALUE"""),"Sianber Lou S. Taray")</f>
        <v>Sianber Lou S. Taray</v>
      </c>
      <c r="L4408" s="164" t="str">
        <f ca="1">IFERROR(__xludf.DUMMYFUNCTION("""COMPUTED_VALUE"""),"PPMO - Agusan del Sur/ DARMO Prosperidad")</f>
        <v>PPMO - Agusan del Sur/ DARMO Prosperidad</v>
      </c>
      <c r="M4408" s="164" t="str">
        <f ca="1">IFERROR(__xludf.DUMMYFUNCTION("""COMPUTED_VALUE"""),"Serviceable")</f>
        <v>Serviceable</v>
      </c>
      <c r="N4408" s="164"/>
    </row>
    <row r="4409" spans="1:14" ht="13.2" hidden="1">
      <c r="A4409" s="164" t="str">
        <f ca="1">IFERROR(__xludf.DUMMYFUNCTION("""COMPUTED_VALUE"""),"CARAGA")</f>
        <v>CARAGA</v>
      </c>
      <c r="B4409" s="164" t="str">
        <f ca="1">IFERROR(__xludf.DUMMYFUNCTION("""COMPUTED_VALUE"""),"Agusan del Sur")</f>
        <v>Agusan del Sur</v>
      </c>
      <c r="C4409" s="164" t="str">
        <f ca="1">IFERROR(__xludf.DUMMYFUNCTION("""COMPUTED_VALUE"""),"Motorcycle – (Honda XRL 150)")</f>
        <v>Motorcycle – (Honda XRL 150)</v>
      </c>
      <c r="D4409" s="164" t="str">
        <f ca="1">IFERROR(__xludf.DUMMYFUNCTION("""COMPUTED_VALUE"""),"₱ 124,900.00")</f>
        <v>₱ 124,900.00</v>
      </c>
      <c r="E4409" s="164"/>
      <c r="F4409" s="164" t="str">
        <f ca="1">IFERROR(__xludf.DUMMYFUNCTION("""COMPUTED_VALUE"""),"2023-06-01-10202SP776-01")</f>
        <v>2023-06-01-10202SP776-01</v>
      </c>
      <c r="G4409" s="164" t="str">
        <f ca="1">IFERROR(__xludf.DUMMYFUNCTION("""COMPUTED_VALUE"""),"Engine #: KRH10E058058, Chassis #:KRVH058013")</f>
        <v>Engine #: KRH10E058058, Chassis #:KRVH058013</v>
      </c>
      <c r="H4409" s="164" t="str">
        <f ca="1">IFERROR(__xludf.DUMMYFUNCTION("""COMPUTED_VALUE"""),"Jefferson E. Zapanta")</f>
        <v>Jefferson E. Zapanta</v>
      </c>
      <c r="I4409" s="164" t="str">
        <f ca="1">IFERROR(__xludf.DUMMYFUNCTION("""COMPUTED_VALUE"""),"SARPT")</f>
        <v>SARPT</v>
      </c>
      <c r="J4409" s="164" t="str">
        <f ca="1">IFERROR(__xludf.DUMMYFUNCTION("""COMPUTED_VALUE"""),"PTR: 2023-05-018")</f>
        <v>PTR: 2023-05-018</v>
      </c>
      <c r="K4409" s="164" t="str">
        <f ca="1">IFERROR(__xludf.DUMMYFUNCTION("""COMPUTED_VALUE"""),"Jefferson E. Zapanta")</f>
        <v>Jefferson E. Zapanta</v>
      </c>
      <c r="L4409" s="164" t="str">
        <f ca="1">IFERROR(__xludf.DUMMYFUNCTION("""COMPUTED_VALUE"""),"PPMO - Agusan del Sur/ DARMO San Francisco")</f>
        <v>PPMO - Agusan del Sur/ DARMO San Francisco</v>
      </c>
      <c r="M4409" s="164" t="str">
        <f ca="1">IFERROR(__xludf.DUMMYFUNCTION("""COMPUTED_VALUE"""),"Serviceable")</f>
        <v>Serviceable</v>
      </c>
      <c r="N4409" s="164"/>
    </row>
    <row r="4410" spans="1:14" ht="13.2" hidden="1">
      <c r="A4410" s="164" t="str">
        <f ca="1">IFERROR(__xludf.DUMMYFUNCTION("""COMPUTED_VALUE"""),"CARAGA")</f>
        <v>CARAGA</v>
      </c>
      <c r="B4410" s="164" t="str">
        <f ca="1">IFERROR(__xludf.DUMMYFUNCTION("""COMPUTED_VALUE"""),"Agusan del Sur")</f>
        <v>Agusan del Sur</v>
      </c>
      <c r="C4410" s="164" t="str">
        <f ca="1">IFERROR(__xludf.DUMMYFUNCTION("""COMPUTED_VALUE"""),"Motorcycle – (Honda XRL 150)")</f>
        <v>Motorcycle – (Honda XRL 150)</v>
      </c>
      <c r="D4410" s="164" t="str">
        <f ca="1">IFERROR(__xludf.DUMMYFUNCTION("""COMPUTED_VALUE"""),"₱ 124,900.00")</f>
        <v>₱ 124,900.00</v>
      </c>
      <c r="E4410" s="164"/>
      <c r="F4410" s="164" t="str">
        <f ca="1">IFERROR(__xludf.DUMMYFUNCTION("""COMPUTED_VALUE"""),"2023-06-01-10202SP777-01")</f>
        <v>2023-06-01-10202SP777-01</v>
      </c>
      <c r="G4410" s="164" t="str">
        <f ca="1">IFERROR(__xludf.DUMMYFUNCTION("""COMPUTED_VALUE"""),"Engine #: KRH10E058102, Chassis #:KRVH058036")</f>
        <v>Engine #: KRH10E058102, Chassis #:KRVH058036</v>
      </c>
      <c r="H4410" s="164" t="str">
        <f ca="1">IFERROR(__xludf.DUMMYFUNCTION("""COMPUTED_VALUE"""),"Zaldy Nicolas")</f>
        <v>Zaldy Nicolas</v>
      </c>
      <c r="I4410" s="164" t="str">
        <f ca="1">IFERROR(__xludf.DUMMYFUNCTION("""COMPUTED_VALUE"""),"SARPT")</f>
        <v>SARPT</v>
      </c>
      <c r="J4410" s="164" t="str">
        <f ca="1">IFERROR(__xludf.DUMMYFUNCTION("""COMPUTED_VALUE"""),"PTR: 2023-05-018")</f>
        <v>PTR: 2023-05-018</v>
      </c>
      <c r="K4410" s="164" t="str">
        <f ca="1">IFERROR(__xludf.DUMMYFUNCTION("""COMPUTED_VALUE"""),"Zaldy Nicolas")</f>
        <v>Zaldy Nicolas</v>
      </c>
      <c r="L4410" s="164" t="str">
        <f ca="1">IFERROR(__xludf.DUMMYFUNCTION("""COMPUTED_VALUE"""),"PPMO - Agusan del Sur/ DARMO Veruela")</f>
        <v>PPMO - Agusan del Sur/ DARMO Veruela</v>
      </c>
      <c r="M4410" s="164" t="str">
        <f ca="1">IFERROR(__xludf.DUMMYFUNCTION("""COMPUTED_VALUE"""),"Serviceable")</f>
        <v>Serviceable</v>
      </c>
      <c r="N4410" s="164"/>
    </row>
    <row r="4411" spans="1:14" ht="13.2" hidden="1">
      <c r="A4411" s="164" t="str">
        <f ca="1">IFERROR(__xludf.DUMMYFUNCTION("""COMPUTED_VALUE"""),"CARAGA")</f>
        <v>CARAGA</v>
      </c>
      <c r="B4411" s="164" t="str">
        <f ca="1">IFERROR(__xludf.DUMMYFUNCTION("""COMPUTED_VALUE"""),"Agusan del Sur")</f>
        <v>Agusan del Sur</v>
      </c>
      <c r="C4411" s="164" t="str">
        <f ca="1">IFERROR(__xludf.DUMMYFUNCTION("""COMPUTED_VALUE"""),"Motorcycle – (Honda XRL 150)")</f>
        <v>Motorcycle – (Honda XRL 150)</v>
      </c>
      <c r="D4411" s="164" t="str">
        <f ca="1">IFERROR(__xludf.DUMMYFUNCTION("""COMPUTED_VALUE"""),"₱ 124,900.00")</f>
        <v>₱ 124,900.00</v>
      </c>
      <c r="E4411" s="164"/>
      <c r="F4411" s="164" t="str">
        <f ca="1">IFERROR(__xludf.DUMMYFUNCTION("""COMPUTED_VALUE"""),"2023-06-01-10202SP778-01")</f>
        <v>2023-06-01-10202SP778-01</v>
      </c>
      <c r="G4411" s="164" t="str">
        <f ca="1">IFERROR(__xludf.DUMMYFUNCTION("""COMPUTED_VALUE"""),"Engine #: KRH10E058100, Chassis #:KRVH058039")</f>
        <v>Engine #: KRH10E058100, Chassis #:KRVH058039</v>
      </c>
      <c r="H4411" s="164" t="str">
        <f ca="1">IFERROR(__xludf.DUMMYFUNCTION("""COMPUTED_VALUE"""),"Ruby Jane M. Salvado")</f>
        <v>Ruby Jane M. Salvado</v>
      </c>
      <c r="I4411" s="164" t="str">
        <f ca="1">IFERROR(__xludf.DUMMYFUNCTION("""COMPUTED_VALUE"""),"SARPT/Acting GS Chief")</f>
        <v>SARPT/Acting GS Chief</v>
      </c>
      <c r="J4411" s="164" t="str">
        <f ca="1">IFERROR(__xludf.DUMMYFUNCTION("""COMPUTED_VALUE"""),"PTR: 2023-05-018")</f>
        <v>PTR: 2023-05-018</v>
      </c>
      <c r="K4411" s="164" t="str">
        <f ca="1">IFERROR(__xludf.DUMMYFUNCTION("""COMPUTED_VALUE"""),"Ruby Jane M. Salvado")</f>
        <v>Ruby Jane M. Salvado</v>
      </c>
      <c r="L4411" s="164" t="str">
        <f ca="1">IFERROR(__xludf.DUMMYFUNCTION("""COMPUTED_VALUE"""),"PPMO - Agusan del Sur/ GS")</f>
        <v>PPMO - Agusan del Sur/ GS</v>
      </c>
      <c r="M4411" s="164" t="str">
        <f ca="1">IFERROR(__xludf.DUMMYFUNCTION("""COMPUTED_VALUE"""),"Serviceable")</f>
        <v>Serviceable</v>
      </c>
      <c r="N4411" s="164"/>
    </row>
    <row r="4412" spans="1:14" ht="13.2" hidden="1">
      <c r="A4412" s="164" t="str">
        <f ca="1">IFERROR(__xludf.DUMMYFUNCTION("""COMPUTED_VALUE"""),"CARAGA")</f>
        <v>CARAGA</v>
      </c>
      <c r="B4412" s="164" t="str">
        <f ca="1">IFERROR(__xludf.DUMMYFUNCTION("""COMPUTED_VALUE"""),"Agusan del Sur")</f>
        <v>Agusan del Sur</v>
      </c>
      <c r="C4412" s="164" t="str">
        <f ca="1">IFERROR(__xludf.DUMMYFUNCTION("""COMPUTED_VALUE"""),"Motorcycle – (Honda XRL 150)")</f>
        <v>Motorcycle – (Honda XRL 150)</v>
      </c>
      <c r="D4412" s="164" t="str">
        <f ca="1">IFERROR(__xludf.DUMMYFUNCTION("""COMPUTED_VALUE"""),"₱ 124,900.00")</f>
        <v>₱ 124,900.00</v>
      </c>
      <c r="E4412" s="164"/>
      <c r="F4412" s="164" t="str">
        <f ca="1">IFERROR(__xludf.DUMMYFUNCTION("""COMPUTED_VALUE"""),"2023-06-01-10202SP779-01")</f>
        <v>2023-06-01-10202SP779-01</v>
      </c>
      <c r="G4412" s="164" t="str">
        <f ca="1">IFERROR(__xludf.DUMMYFUNCTION("""COMPUTED_VALUE"""),"Engine #: KRH10E058099, Chassis #:KRVH058031")</f>
        <v>Engine #: KRH10E058099, Chassis #:KRVH058031</v>
      </c>
      <c r="H4412" s="164" t="str">
        <f ca="1">IFERROR(__xludf.DUMMYFUNCTION("""COMPUTED_VALUE"""),"Ruby Jane M. Salvado")</f>
        <v>Ruby Jane M. Salvado</v>
      </c>
      <c r="I4412" s="164" t="str">
        <f ca="1">IFERROR(__xludf.DUMMYFUNCTION("""COMPUTED_VALUE"""),"SARPT/Acting GS Chief")</f>
        <v>SARPT/Acting GS Chief</v>
      </c>
      <c r="J4412" s="164" t="str">
        <f ca="1">IFERROR(__xludf.DUMMYFUNCTION("""COMPUTED_VALUE"""),"PTR: 2023-05-018")</f>
        <v>PTR: 2023-05-018</v>
      </c>
      <c r="K4412" s="164" t="str">
        <f ca="1">IFERROR(__xludf.DUMMYFUNCTION("""COMPUTED_VALUE"""),"HISHAM SARIP (RCT)")</f>
        <v>HISHAM SARIP (RCT)</v>
      </c>
      <c r="L4412" s="164" t="str">
        <f ca="1">IFERROR(__xludf.DUMMYFUNCTION("""COMPUTED_VALUE"""),"PPMO - Agusan del Sur/ SPLIT OFFICE")</f>
        <v>PPMO - Agusan del Sur/ SPLIT OFFICE</v>
      </c>
      <c r="M4412" s="164" t="str">
        <f ca="1">IFERROR(__xludf.DUMMYFUNCTION("""COMPUTED_VALUE"""),"Serviceable")</f>
        <v>Serviceable</v>
      </c>
      <c r="N4412" s="164"/>
    </row>
    <row r="4413" spans="1:14" ht="13.2" hidden="1">
      <c r="A4413" s="164" t="str">
        <f ca="1">IFERROR(__xludf.DUMMYFUNCTION("""COMPUTED_VALUE"""),"CARAGA")</f>
        <v>CARAGA</v>
      </c>
      <c r="B4413" s="164" t="str">
        <f ca="1">IFERROR(__xludf.DUMMYFUNCTION("""COMPUTED_VALUE"""),"Agusan del Sur")</f>
        <v>Agusan del Sur</v>
      </c>
      <c r="C4413" s="164" t="str">
        <f ca="1">IFERROR(__xludf.DUMMYFUNCTION("""COMPUTED_VALUE"""),"Motorcycle – (Honda XRL 150)")</f>
        <v>Motorcycle – (Honda XRL 150)</v>
      </c>
      <c r="D4413" s="164" t="str">
        <f ca="1">IFERROR(__xludf.DUMMYFUNCTION("""COMPUTED_VALUE"""),"₱ 124,900.00")</f>
        <v>₱ 124,900.00</v>
      </c>
      <c r="E4413" s="164"/>
      <c r="F4413" s="164" t="str">
        <f ca="1">IFERROR(__xludf.DUMMYFUNCTION("""COMPUTED_VALUE"""),"2023-06-01-10202SP780-01")</f>
        <v>2023-06-01-10202SP780-01</v>
      </c>
      <c r="G4413" s="164" t="str">
        <f ca="1">IFERROR(__xludf.DUMMYFUNCTION("""COMPUTED_VALUE"""),"Engine #: KRH10E058098, Chassis #:KRVH058032")</f>
        <v>Engine #: KRH10E058098, Chassis #:KRVH058032</v>
      </c>
      <c r="H4413" s="164" t="str">
        <f ca="1">IFERROR(__xludf.DUMMYFUNCTION("""COMPUTED_VALUE"""),"Rowee Kim Peñaranda")</f>
        <v>Rowee Kim Peñaranda</v>
      </c>
      <c r="I4413" s="164" t="str">
        <f ca="1">IFERROR(__xludf.DUMMYFUNCTION("""COMPUTED_VALUE"""),"ARPT")</f>
        <v>ARPT</v>
      </c>
      <c r="J4413" s="164" t="str">
        <f ca="1">IFERROR(__xludf.DUMMYFUNCTION("""COMPUTED_VALUE"""),"PTR: 2023-05-018")</f>
        <v>PTR: 2023-05-018</v>
      </c>
      <c r="K4413" s="164" t="str">
        <f ca="1">IFERROR(__xludf.DUMMYFUNCTION("""COMPUTED_VALUE"""),"Rowee Kim Peñaranda")</f>
        <v>Rowee Kim Peñaranda</v>
      </c>
      <c r="L4413" s="164" t="str">
        <f ca="1">IFERROR(__xludf.DUMMYFUNCTION("""COMPUTED_VALUE"""),"PPMO - Agusan del Sur/ DARMO Bayugan City")</f>
        <v>PPMO - Agusan del Sur/ DARMO Bayugan City</v>
      </c>
      <c r="M4413" s="164" t="str">
        <f ca="1">IFERROR(__xludf.DUMMYFUNCTION("""COMPUTED_VALUE"""),"Serviceable")</f>
        <v>Serviceable</v>
      </c>
      <c r="N4413" s="164"/>
    </row>
    <row r="4414" spans="1:14" ht="13.2" hidden="1">
      <c r="A4414" s="164" t="str">
        <f ca="1">IFERROR(__xludf.DUMMYFUNCTION("""COMPUTED_VALUE"""),"CARAGA")</f>
        <v>CARAGA</v>
      </c>
      <c r="B4414" s="164" t="str">
        <f ca="1">IFERROR(__xludf.DUMMYFUNCTION("""COMPUTED_VALUE"""),"Agusan del Sur")</f>
        <v>Agusan del Sur</v>
      </c>
      <c r="C4414" s="164" t="str">
        <f ca="1">IFERROR(__xludf.DUMMYFUNCTION("""COMPUTED_VALUE"""),"Motorcycle – (Honda XRL 150)")</f>
        <v>Motorcycle – (Honda XRL 150)</v>
      </c>
      <c r="D4414" s="164" t="str">
        <f ca="1">IFERROR(__xludf.DUMMYFUNCTION("""COMPUTED_VALUE"""),"₱ 124,900.00")</f>
        <v>₱ 124,900.00</v>
      </c>
      <c r="E4414" s="164"/>
      <c r="F4414" s="164" t="str">
        <f ca="1">IFERROR(__xludf.DUMMYFUNCTION("""COMPUTED_VALUE"""),"2023-06-01-10202SP781-01")</f>
        <v>2023-06-01-10202SP781-01</v>
      </c>
      <c r="G4414" s="164" t="str">
        <f ca="1">IFERROR(__xludf.DUMMYFUNCTION("""COMPUTED_VALUE"""),"Engine #: KRH10E058097, Chassis #:KRVH058033")</f>
        <v>Engine #: KRH10E058097, Chassis #:KRVH058033</v>
      </c>
      <c r="H4414" s="164" t="str">
        <f ca="1">IFERROR(__xludf.DUMMYFUNCTION("""COMPUTED_VALUE"""),"Ruby Jane M. Salvado")</f>
        <v>Ruby Jane M. Salvado</v>
      </c>
      <c r="I4414" s="164" t="str">
        <f ca="1">IFERROR(__xludf.DUMMYFUNCTION("""COMPUTED_VALUE"""),"SARPT/Acting GS Chief")</f>
        <v>SARPT/Acting GS Chief</v>
      </c>
      <c r="J4414" s="164" t="str">
        <f ca="1">IFERROR(__xludf.DUMMYFUNCTION("""COMPUTED_VALUE"""),"PTR: 2023-05-018")</f>
        <v>PTR: 2023-05-018</v>
      </c>
      <c r="K4414" s="164" t="str">
        <f ca="1">IFERROR(__xludf.DUMMYFUNCTION("""COMPUTED_VALUE"""),"Mark Gil Latorre (RCT)")</f>
        <v>Mark Gil Latorre (RCT)</v>
      </c>
      <c r="L4414" s="164" t="str">
        <f ca="1">IFERROR(__xludf.DUMMYFUNCTION("""COMPUTED_VALUE"""),"PPMO - Agusan del Sur/ SPLIT OFFICE")</f>
        <v>PPMO - Agusan del Sur/ SPLIT OFFICE</v>
      </c>
      <c r="M4414" s="164" t="str">
        <f ca="1">IFERROR(__xludf.DUMMYFUNCTION("""COMPUTED_VALUE"""),"Serviceable")</f>
        <v>Serviceable</v>
      </c>
      <c r="N4414" s="164"/>
    </row>
    <row r="4415" spans="1:14" ht="13.2" hidden="1">
      <c r="A4415" s="164" t="str">
        <f ca="1">IFERROR(__xludf.DUMMYFUNCTION("""COMPUTED_VALUE"""),"CARAGA")</f>
        <v>CARAGA</v>
      </c>
      <c r="B4415" s="164" t="str">
        <f ca="1">IFERROR(__xludf.DUMMYFUNCTION("""COMPUTED_VALUE"""),"Agusan del Sur")</f>
        <v>Agusan del Sur</v>
      </c>
      <c r="C4415" s="164" t="str">
        <f ca="1">IFERROR(__xludf.DUMMYFUNCTION("""COMPUTED_VALUE"""),"Motorcycle – (Honda XRL 150)")</f>
        <v>Motorcycle – (Honda XRL 150)</v>
      </c>
      <c r="D4415" s="164" t="str">
        <f ca="1">IFERROR(__xludf.DUMMYFUNCTION("""COMPUTED_VALUE"""),"₱ 124,900.00")</f>
        <v>₱ 124,900.00</v>
      </c>
      <c r="E4415" s="164"/>
      <c r="F4415" s="164" t="str">
        <f ca="1">IFERROR(__xludf.DUMMYFUNCTION("""COMPUTED_VALUE"""),"2023-06-01-10202SP782-01")</f>
        <v>2023-06-01-10202SP782-01</v>
      </c>
      <c r="G4415" s="164" t="str">
        <f ca="1">IFERROR(__xludf.DUMMYFUNCTION("""COMPUTED_VALUE"""),"Engine #: KRH10E058096, Chassis #:KRVH058035")</f>
        <v>Engine #: KRH10E058096, Chassis #:KRVH058035</v>
      </c>
      <c r="H4415" s="164" t="str">
        <f ca="1">IFERROR(__xludf.DUMMYFUNCTION("""COMPUTED_VALUE"""),"Bienvenido Uy III")</f>
        <v>Bienvenido Uy III</v>
      </c>
      <c r="I4415" s="164" t="str">
        <f ca="1">IFERROR(__xludf.DUMMYFUNCTION("""COMPUTED_VALUE"""),"SARPT")</f>
        <v>SARPT</v>
      </c>
      <c r="J4415" s="164" t="str">
        <f ca="1">IFERROR(__xludf.DUMMYFUNCTION("""COMPUTED_VALUE"""),"PTR: 2023-05-018")</f>
        <v>PTR: 2023-05-018</v>
      </c>
      <c r="K4415" s="164" t="str">
        <f ca="1">IFERROR(__xludf.DUMMYFUNCTION("""COMPUTED_VALUE"""),"Bienvenido Uy III")</f>
        <v>Bienvenido Uy III</v>
      </c>
      <c r="L4415" s="164" t="str">
        <f ca="1">IFERROR(__xludf.DUMMYFUNCTION("""COMPUTED_VALUE"""),"PPMO - Agusan del Sur/ DARMO Bunawan")</f>
        <v>PPMO - Agusan del Sur/ DARMO Bunawan</v>
      </c>
      <c r="M4415" s="164" t="str">
        <f ca="1">IFERROR(__xludf.DUMMYFUNCTION("""COMPUTED_VALUE"""),"Serviceable")</f>
        <v>Serviceable</v>
      </c>
      <c r="N4415" s="164"/>
    </row>
    <row r="4416" spans="1:14" ht="13.2" hidden="1">
      <c r="A4416" s="164" t="str">
        <f ca="1">IFERROR(__xludf.DUMMYFUNCTION("""COMPUTED_VALUE"""),"CARAGA")</f>
        <v>CARAGA</v>
      </c>
      <c r="B4416" s="164" t="str">
        <f ca="1">IFERROR(__xludf.DUMMYFUNCTION("""COMPUTED_VALUE"""),"Agusan del Sur")</f>
        <v>Agusan del Sur</v>
      </c>
      <c r="C4416" s="164" t="str">
        <f ca="1">IFERROR(__xludf.DUMMYFUNCTION("""COMPUTED_VALUE"""),"Motorcycle – (Honda XRL 150)")</f>
        <v>Motorcycle – (Honda XRL 150)</v>
      </c>
      <c r="D4416" s="164" t="str">
        <f ca="1">IFERROR(__xludf.DUMMYFUNCTION("""COMPUTED_VALUE"""),"₱ 124,900.00")</f>
        <v>₱ 124,900.00</v>
      </c>
      <c r="E4416" s="164"/>
      <c r="F4416" s="164" t="str">
        <f ca="1">IFERROR(__xludf.DUMMYFUNCTION("""COMPUTED_VALUE"""),"2023-06-01-10202SP783-01")</f>
        <v>2023-06-01-10202SP783-01</v>
      </c>
      <c r="G4416" s="164" t="str">
        <f ca="1">IFERROR(__xludf.DUMMYFUNCTION("""COMPUTED_VALUE"""),"Engine #: KRH10E058095, Chassis #:KRVH058038")</f>
        <v>Engine #: KRH10E058095, Chassis #:KRVH058038</v>
      </c>
      <c r="H4416" s="164" t="str">
        <f ca="1">IFERROR(__xludf.DUMMYFUNCTION("""COMPUTED_VALUE"""),"Eduardo Bongato")</f>
        <v>Eduardo Bongato</v>
      </c>
      <c r="I4416" s="164" t="str">
        <f ca="1">IFERROR(__xludf.DUMMYFUNCTION("""COMPUTED_VALUE"""),"Cartographer II")</f>
        <v>Cartographer II</v>
      </c>
      <c r="J4416" s="164" t="str">
        <f ca="1">IFERROR(__xludf.DUMMYFUNCTION("""COMPUTED_VALUE"""),"PTR: 2023-05-018")</f>
        <v>PTR: 2023-05-018</v>
      </c>
      <c r="K4416" s="164" t="str">
        <f ca="1">IFERROR(__xludf.DUMMYFUNCTION("""COMPUTED_VALUE"""),"Eduardo Bongato")</f>
        <v>Eduardo Bongato</v>
      </c>
      <c r="L4416" s="164" t="str">
        <f ca="1">IFERROR(__xludf.DUMMYFUNCTION("""COMPUTED_VALUE"""),"PPMO - Agusan del Sur/ Survey Office")</f>
        <v>PPMO - Agusan del Sur/ Survey Office</v>
      </c>
      <c r="M4416" s="164" t="str">
        <f ca="1">IFERROR(__xludf.DUMMYFUNCTION("""COMPUTED_VALUE"""),"Serviceable")</f>
        <v>Serviceable</v>
      </c>
      <c r="N4416" s="164"/>
    </row>
    <row r="4417" spans="1:14" ht="13.2" hidden="1">
      <c r="A4417" s="164" t="str">
        <f ca="1">IFERROR(__xludf.DUMMYFUNCTION("""COMPUTED_VALUE"""),"CARAGA")</f>
        <v>CARAGA</v>
      </c>
      <c r="B4417" s="164" t="str">
        <f ca="1">IFERROR(__xludf.DUMMYFUNCTION("""COMPUTED_VALUE"""),"Agusan del Sur")</f>
        <v>Agusan del Sur</v>
      </c>
      <c r="C4417" s="164" t="str">
        <f ca="1">IFERROR(__xludf.DUMMYFUNCTION("""COMPUTED_VALUE"""),"Motorcycle – (Honda XRL 150)")</f>
        <v>Motorcycle – (Honda XRL 150)</v>
      </c>
      <c r="D4417" s="164" t="str">
        <f ca="1">IFERROR(__xludf.DUMMYFUNCTION("""COMPUTED_VALUE"""),"₱ 124,900.00")</f>
        <v>₱ 124,900.00</v>
      </c>
      <c r="E4417" s="164"/>
      <c r="F4417" s="164" t="str">
        <f ca="1">IFERROR(__xludf.DUMMYFUNCTION("""COMPUTED_VALUE"""),"2023-06-01-10202SP784-01")</f>
        <v>2023-06-01-10202SP784-01</v>
      </c>
      <c r="G4417" s="164" t="str">
        <f ca="1">IFERROR(__xludf.DUMMYFUNCTION("""COMPUTED_VALUE"""),"Engine #: KRH10E058084, Chassis #:KRVH058029")</f>
        <v>Engine #: KRH10E058084, Chassis #:KRVH058029</v>
      </c>
      <c r="H4417" s="164" t="str">
        <f ca="1">IFERROR(__xludf.DUMMYFUNCTION("""COMPUTED_VALUE"""),"Ruby Jane M. Salvado")</f>
        <v>Ruby Jane M. Salvado</v>
      </c>
      <c r="I4417" s="164" t="str">
        <f ca="1">IFERROR(__xludf.DUMMYFUNCTION("""COMPUTED_VALUE"""),"SARPT/Acting GS Chief")</f>
        <v>SARPT/Acting GS Chief</v>
      </c>
      <c r="J4417" s="164" t="str">
        <f ca="1">IFERROR(__xludf.DUMMYFUNCTION("""COMPUTED_VALUE"""),"PTR: 2023-05-018")</f>
        <v>PTR: 2023-05-018</v>
      </c>
      <c r="K4417" s="164" t="str">
        <f ca="1">IFERROR(__xludf.DUMMYFUNCTION("""COMPUTED_VALUE"""),"Lee marvin Corro (RCT)")</f>
        <v>Lee marvin Corro (RCT)</v>
      </c>
      <c r="L4417" s="164" t="str">
        <f ca="1">IFERROR(__xludf.DUMMYFUNCTION("""COMPUTED_VALUE"""),"PPMO - Agusan del Sur/ GS")</f>
        <v>PPMO - Agusan del Sur/ GS</v>
      </c>
      <c r="M4417" s="164" t="str">
        <f ca="1">IFERROR(__xludf.DUMMYFUNCTION("""COMPUTED_VALUE"""),"Serviceable")</f>
        <v>Serviceable</v>
      </c>
      <c r="N4417" s="164"/>
    </row>
    <row r="4418" spans="1:14" ht="13.2" hidden="1">
      <c r="A4418" s="164" t="str">
        <f ca="1">IFERROR(__xludf.DUMMYFUNCTION("""COMPUTED_VALUE"""),"CARAGA")</f>
        <v>CARAGA</v>
      </c>
      <c r="B4418" s="164" t="str">
        <f ca="1">IFERROR(__xludf.DUMMYFUNCTION("""COMPUTED_VALUE"""),"Agusan del Sur")</f>
        <v>Agusan del Sur</v>
      </c>
      <c r="C4418" s="164" t="str">
        <f ca="1">IFERROR(__xludf.DUMMYFUNCTION("""COMPUTED_VALUE"""),"Motorcycle – (Honda XRL 150)")</f>
        <v>Motorcycle – (Honda XRL 150)</v>
      </c>
      <c r="D4418" s="164" t="str">
        <f ca="1">IFERROR(__xludf.DUMMYFUNCTION("""COMPUTED_VALUE"""),"₱ 124,900.00")</f>
        <v>₱ 124,900.00</v>
      </c>
      <c r="E4418" s="164"/>
      <c r="F4418" s="164" t="str">
        <f ca="1">IFERROR(__xludf.DUMMYFUNCTION("""COMPUTED_VALUE"""),"2023-06-01-10202SP785-01")</f>
        <v>2023-06-01-10202SP785-01</v>
      </c>
      <c r="G4418" s="164" t="str">
        <f ca="1">IFERROR(__xludf.DUMMYFUNCTION("""COMPUTED_VALUE"""),"Engine #: KRH10E058077, Chassis #:KRVH058026")</f>
        <v>Engine #: KRH10E058077, Chassis #:KRVH058026</v>
      </c>
      <c r="H4418" s="164" t="str">
        <f ca="1">IFERROR(__xludf.DUMMYFUNCTION("""COMPUTED_VALUE"""),"Erwin Parreno")</f>
        <v>Erwin Parreno</v>
      </c>
      <c r="I4418" s="164" t="str">
        <f ca="1">IFERROR(__xludf.DUMMYFUNCTION("""COMPUTED_VALUE"""),"SARPT")</f>
        <v>SARPT</v>
      </c>
      <c r="J4418" s="164" t="str">
        <f ca="1">IFERROR(__xludf.DUMMYFUNCTION("""COMPUTED_VALUE"""),"PTR: 2023-05-018")</f>
        <v>PTR: 2023-05-018</v>
      </c>
      <c r="K4418" s="164" t="str">
        <f ca="1">IFERROR(__xludf.DUMMYFUNCTION("""COMPUTED_VALUE"""),"Erwin Parreno")</f>
        <v>Erwin Parreno</v>
      </c>
      <c r="L4418" s="164" t="str">
        <f ca="1">IFERROR(__xludf.DUMMYFUNCTION("""COMPUTED_VALUE"""),"PPMO - Agusan del Sur/ GS")</f>
        <v>PPMO - Agusan del Sur/ GS</v>
      </c>
      <c r="M4418" s="164" t="str">
        <f ca="1">IFERROR(__xludf.DUMMYFUNCTION("""COMPUTED_VALUE"""),"Serviceable")</f>
        <v>Serviceable</v>
      </c>
      <c r="N4418" s="164"/>
    </row>
    <row r="4419" spans="1:14" ht="13.2" hidden="1">
      <c r="A4419" s="164" t="str">
        <f ca="1">IFERROR(__xludf.DUMMYFUNCTION("""COMPUTED_VALUE"""),"CARAGA")</f>
        <v>CARAGA</v>
      </c>
      <c r="B4419" s="164" t="str">
        <f ca="1">IFERROR(__xludf.DUMMYFUNCTION("""COMPUTED_VALUE"""),"Agusan del Sur")</f>
        <v>Agusan del Sur</v>
      </c>
      <c r="C4419" s="164" t="str">
        <f ca="1">IFERROR(__xludf.DUMMYFUNCTION("""COMPUTED_VALUE"""),"Motorcycle – (Honda XRL 150)")</f>
        <v>Motorcycle – (Honda XRL 150)</v>
      </c>
      <c r="D4419" s="164" t="str">
        <f ca="1">IFERROR(__xludf.DUMMYFUNCTION("""COMPUTED_VALUE"""),"₱ 124,900.00")</f>
        <v>₱ 124,900.00</v>
      </c>
      <c r="E4419" s="164"/>
      <c r="F4419" s="164" t="str">
        <f ca="1">IFERROR(__xludf.DUMMYFUNCTION("""COMPUTED_VALUE"""),"2023-06-01-10202SP786-01")</f>
        <v>2023-06-01-10202SP786-01</v>
      </c>
      <c r="G4419" s="164" t="str">
        <f ca="1">IFERROR(__xludf.DUMMYFUNCTION("""COMPUTED_VALUE"""),"Engine #: KRH10E058027, Chassis #:KRVH058069")</f>
        <v>Engine #: KRH10E058027, Chassis #:KRVH058069</v>
      </c>
      <c r="H4419" s="164" t="str">
        <f ca="1">IFERROR(__xludf.DUMMYFUNCTION("""COMPUTED_VALUE"""),"Arjon Desoy")</f>
        <v>Arjon Desoy</v>
      </c>
      <c r="I4419" s="164" t="str">
        <f ca="1">IFERROR(__xludf.DUMMYFUNCTION("""COMPUTED_VALUE"""),"SARPT")</f>
        <v>SARPT</v>
      </c>
      <c r="J4419" s="164" t="str">
        <f ca="1">IFERROR(__xludf.DUMMYFUNCTION("""COMPUTED_VALUE"""),"PTR: 2023-05-018")</f>
        <v>PTR: 2023-05-018</v>
      </c>
      <c r="K4419" s="164" t="str">
        <f ca="1">IFERROR(__xludf.DUMMYFUNCTION("""COMPUTED_VALUE"""),"Arjon Desoy")</f>
        <v>Arjon Desoy</v>
      </c>
      <c r="L4419" s="164" t="str">
        <f ca="1">IFERROR(__xludf.DUMMYFUNCTION("""COMPUTED_VALUE"""),"PPMO - Agusan del Sur/ DARMO San Luis")</f>
        <v>PPMO - Agusan del Sur/ DARMO San Luis</v>
      </c>
      <c r="M4419" s="164" t="str">
        <f ca="1">IFERROR(__xludf.DUMMYFUNCTION("""COMPUTED_VALUE"""),"Serviceable")</f>
        <v>Serviceable</v>
      </c>
      <c r="N4419" s="164"/>
    </row>
    <row r="4420" spans="1:14" ht="13.2" hidden="1">
      <c r="A4420" s="164" t="str">
        <f ca="1">IFERROR(__xludf.DUMMYFUNCTION("""COMPUTED_VALUE"""),"CARAGA")</f>
        <v>CARAGA</v>
      </c>
      <c r="B4420" s="164" t="str">
        <f ca="1">IFERROR(__xludf.DUMMYFUNCTION("""COMPUTED_VALUE"""),"Agusan del Sur")</f>
        <v>Agusan del Sur</v>
      </c>
      <c r="C4420" s="164" t="str">
        <f ca="1">IFERROR(__xludf.DUMMYFUNCTION("""COMPUTED_VALUE"""),"Motorcycle – (Honda XRL 150)")</f>
        <v>Motorcycle – (Honda XRL 150)</v>
      </c>
      <c r="D4420" s="164" t="str">
        <f ca="1">IFERROR(__xludf.DUMMYFUNCTION("""COMPUTED_VALUE"""),"₱ 124,900.00")</f>
        <v>₱ 124,900.00</v>
      </c>
      <c r="E4420" s="164"/>
      <c r="F4420" s="164" t="str">
        <f ca="1">IFERROR(__xludf.DUMMYFUNCTION("""COMPUTED_VALUE"""),"2023-06-01-10202SP787-01")</f>
        <v>2023-06-01-10202SP787-01</v>
      </c>
      <c r="G4420" s="164" t="str">
        <f ca="1">IFERROR(__xludf.DUMMYFUNCTION("""COMPUTED_VALUE"""),"Engine #: KRH10E058036, Chassis #:KRVH058073")</f>
        <v>Engine #: KRH10E058036, Chassis #:KRVH058073</v>
      </c>
      <c r="H4420" s="164" t="str">
        <f ca="1">IFERROR(__xludf.DUMMYFUNCTION("""COMPUTED_VALUE"""),"Ruby Jane M. Salvado")</f>
        <v>Ruby Jane M. Salvado</v>
      </c>
      <c r="I4420" s="164" t="str">
        <f ca="1">IFERROR(__xludf.DUMMYFUNCTION("""COMPUTED_VALUE"""),"SARPT/Acting GS Chief")</f>
        <v>SARPT/Acting GS Chief</v>
      </c>
      <c r="J4420" s="164" t="str">
        <f ca="1">IFERROR(__xludf.DUMMYFUNCTION("""COMPUTED_VALUE"""),"PTR: 2023-05-018")</f>
        <v>PTR: 2023-05-018</v>
      </c>
      <c r="K4420" s="164" t="str">
        <f ca="1">IFERROR(__xludf.DUMMYFUNCTION("""COMPUTED_VALUE"""),"Christian Jay Franco (RCT)")</f>
        <v>Christian Jay Franco (RCT)</v>
      </c>
      <c r="L4420" s="164" t="str">
        <f ca="1">IFERROR(__xludf.DUMMYFUNCTION("""COMPUTED_VALUE"""),"PPMO - Agusan del Sur/ GS")</f>
        <v>PPMO - Agusan del Sur/ GS</v>
      </c>
      <c r="M4420" s="164" t="str">
        <f ca="1">IFERROR(__xludf.DUMMYFUNCTION("""COMPUTED_VALUE"""),"Serviceable")</f>
        <v>Serviceable</v>
      </c>
      <c r="N4420" s="164"/>
    </row>
    <row r="4421" spans="1:14" ht="13.2" hidden="1">
      <c r="A4421" s="164" t="str">
        <f ca="1">IFERROR(__xludf.DUMMYFUNCTION("""COMPUTED_VALUE"""),"CARAGA")</f>
        <v>CARAGA</v>
      </c>
      <c r="B4421" s="164" t="str">
        <f ca="1">IFERROR(__xludf.DUMMYFUNCTION("""COMPUTED_VALUE"""),"Agusan del Sur")</f>
        <v>Agusan del Sur</v>
      </c>
      <c r="C4421" s="164" t="str">
        <f ca="1">IFERROR(__xludf.DUMMYFUNCTION("""COMPUTED_VALUE"""),"Motorcycle – (Honda XRL 150)")</f>
        <v>Motorcycle – (Honda XRL 150)</v>
      </c>
      <c r="D4421" s="164" t="str">
        <f ca="1">IFERROR(__xludf.DUMMYFUNCTION("""COMPUTED_VALUE"""),"₱ 124,900.00")</f>
        <v>₱ 124,900.00</v>
      </c>
      <c r="E4421" s="164"/>
      <c r="F4421" s="164" t="str">
        <f ca="1">IFERROR(__xludf.DUMMYFUNCTION("""COMPUTED_VALUE"""),"2023-06-01-10202SP788-01")</f>
        <v>2023-06-01-10202SP788-01</v>
      </c>
      <c r="G4421" s="164" t="str">
        <f ca="1">IFERROR(__xludf.DUMMYFUNCTION("""COMPUTED_VALUE"""),"Engine #: KRH10E058034, Chassis #:KRVH058066")</f>
        <v>Engine #: KRH10E058034, Chassis #:KRVH058066</v>
      </c>
      <c r="H4421" s="164" t="str">
        <f ca="1">IFERROR(__xludf.DUMMYFUNCTION("""COMPUTED_VALUE"""),"Benito Castrro Jr")</f>
        <v>Benito Castrro Jr</v>
      </c>
      <c r="I4421" s="164" t="str">
        <f ca="1">IFERROR(__xludf.DUMMYFUNCTION("""COMPUTED_VALUE"""),"ARPO I")</f>
        <v>ARPO I</v>
      </c>
      <c r="J4421" s="164" t="str">
        <f ca="1">IFERROR(__xludf.DUMMYFUNCTION("""COMPUTED_VALUE"""),"PTR: 2023-05-018/ 2025-01-001")</f>
        <v>PTR: 2023-05-018/ 2025-01-001</v>
      </c>
      <c r="K4421" s="164" t="str">
        <f ca="1">IFERROR(__xludf.DUMMYFUNCTION("""COMPUTED_VALUE"""),"Benito CAstro Jr")</f>
        <v>Benito CAstro Jr</v>
      </c>
      <c r="L4421" s="164" t="str">
        <f ca="1">IFERROR(__xludf.DUMMYFUNCTION("""COMPUTED_VALUE"""),"PPMO - Agusan del Sur/ LTID")</f>
        <v>PPMO - Agusan del Sur/ LTID</v>
      </c>
      <c r="M4421" s="164" t="str">
        <f ca="1">IFERROR(__xludf.DUMMYFUNCTION("""COMPUTED_VALUE"""),"Serviceable")</f>
        <v>Serviceable</v>
      </c>
      <c r="N4421" s="164"/>
    </row>
    <row r="4422" spans="1:14" ht="13.2" hidden="1">
      <c r="A4422" s="164" t="str">
        <f ca="1">IFERROR(__xludf.DUMMYFUNCTION("""COMPUTED_VALUE"""),"CARAGA")</f>
        <v>CARAGA</v>
      </c>
      <c r="B4422" s="164" t="str">
        <f ca="1">IFERROR(__xludf.DUMMYFUNCTION("""COMPUTED_VALUE"""),"Agusan del Sur")</f>
        <v>Agusan del Sur</v>
      </c>
      <c r="C4422" s="164" t="str">
        <f ca="1">IFERROR(__xludf.DUMMYFUNCTION("""COMPUTED_VALUE"""),"Motorcycle – (Honda XRL 150)")</f>
        <v>Motorcycle – (Honda XRL 150)</v>
      </c>
      <c r="D4422" s="164" t="str">
        <f ca="1">IFERROR(__xludf.DUMMYFUNCTION("""COMPUTED_VALUE"""),"₱ 124,900.00")</f>
        <v>₱ 124,900.00</v>
      </c>
      <c r="E4422" s="164"/>
      <c r="F4422" s="164" t="str">
        <f ca="1">IFERROR(__xludf.DUMMYFUNCTION("""COMPUTED_VALUE"""),"2023-06-01-10202SP789-01")</f>
        <v>2023-06-01-10202SP789-01</v>
      </c>
      <c r="G4422" s="164" t="str">
        <f ca="1">IFERROR(__xludf.DUMMYFUNCTION("""COMPUTED_VALUE"""),"Engine #: KRH10E058030, Chassis #:KRVH058067")</f>
        <v>Engine #: KRH10E058030, Chassis #:KRVH058067</v>
      </c>
      <c r="H4422" s="164" t="str">
        <f ca="1">IFERROR(__xludf.DUMMYFUNCTION("""COMPUTED_VALUE"""),"Ruby Jane M. Salvado")</f>
        <v>Ruby Jane M. Salvado</v>
      </c>
      <c r="I4422" s="164" t="str">
        <f ca="1">IFERROR(__xludf.DUMMYFUNCTION("""COMPUTED_VALUE"""),"SARPT/Acting GS Chief")</f>
        <v>SARPT/Acting GS Chief</v>
      </c>
      <c r="J4422" s="164" t="str">
        <f ca="1">IFERROR(__xludf.DUMMYFUNCTION("""COMPUTED_VALUE"""),"PTR: 2023-05-018")</f>
        <v>PTR: 2023-05-018</v>
      </c>
      <c r="K4422" s="164" t="str">
        <f ca="1">IFERROR(__xludf.DUMMYFUNCTION("""COMPUTED_VALUE"""),"Kherr España (RCT)")</f>
        <v>Kherr España (RCT)</v>
      </c>
      <c r="L4422" s="164" t="str">
        <f ca="1">IFERROR(__xludf.DUMMYFUNCTION("""COMPUTED_VALUE"""),"PPMO - Agusan del Sur/ GS")</f>
        <v>PPMO - Agusan del Sur/ GS</v>
      </c>
      <c r="M4422" s="164" t="str">
        <f ca="1">IFERROR(__xludf.DUMMYFUNCTION("""COMPUTED_VALUE"""),"Serviceable")</f>
        <v>Serviceable</v>
      </c>
      <c r="N4422" s="164"/>
    </row>
    <row r="4423" spans="1:14" ht="13.2" hidden="1">
      <c r="A4423" s="164" t="str">
        <f ca="1">IFERROR(__xludf.DUMMYFUNCTION("""COMPUTED_VALUE"""),"CARAGA")</f>
        <v>CARAGA</v>
      </c>
      <c r="B4423" s="164" t="str">
        <f ca="1">IFERROR(__xludf.DUMMYFUNCTION("""COMPUTED_VALUE"""),"Surigao del Norte")</f>
        <v>Surigao del Norte</v>
      </c>
      <c r="C4423" s="164" t="str">
        <f ca="1">IFERROR(__xludf.DUMMYFUNCTION("""COMPUTED_VALUE"""),"Motorcycle – (Honda XRL 150)")</f>
        <v>Motorcycle – (Honda XRL 150)</v>
      </c>
      <c r="D4423" s="164" t="str">
        <f ca="1">IFERROR(__xludf.DUMMYFUNCTION("""COMPUTED_VALUE"""),"₱ 124,900.00")</f>
        <v>₱ 124,900.00</v>
      </c>
      <c r="E4423" s="164"/>
      <c r="F4423" s="164" t="str">
        <f ca="1">IFERROR(__xludf.DUMMYFUNCTION("""COMPUTED_VALUE"""),"2023-06-01-10202SP793-01")</f>
        <v>2023-06-01-10202SP793-01</v>
      </c>
      <c r="G4423" s="164" t="str">
        <f ca="1">IFERROR(__xludf.DUMMYFUNCTION("""COMPUTED_VALUE"""),"Engine #:KRH10E58013, Chassis #:KRHV0058064")</f>
        <v>Engine #:KRH10E58013, Chassis #:KRHV0058064</v>
      </c>
      <c r="H4423" s="164" t="str">
        <f ca="1">IFERROR(__xludf.DUMMYFUNCTION("""COMPUTED_VALUE"""),"Dante C. Manlimos")</f>
        <v>Dante C. Manlimos</v>
      </c>
      <c r="I4423" s="164" t="str">
        <f ca="1">IFERROR(__xludf.DUMMYFUNCTION("""COMPUTED_VALUE"""),"SARPO/OIC CARPO PDI")</f>
        <v>SARPO/OIC CARPO PDI</v>
      </c>
      <c r="J4423" s="164" t="str">
        <f ca="1">IFERROR(__xludf.DUMMYFUNCTION("""COMPUTED_VALUE"""),"R13SDN-102-2023-05-MV-019")</f>
        <v>R13SDN-102-2023-05-MV-019</v>
      </c>
      <c r="K4423" s="164" t="str">
        <f ca="1">IFERROR(__xludf.DUMMYFUNCTION("""COMPUTED_VALUE"""),"General Dispatch")</f>
        <v>General Dispatch</v>
      </c>
      <c r="L4423" s="164" t="str">
        <f ca="1">IFERROR(__xludf.DUMMYFUNCTION("""COMPUTED_VALUE"""),"PPMO - Dinagat Islands")</f>
        <v>PPMO - Dinagat Islands</v>
      </c>
      <c r="M4423" s="164" t="str">
        <f ca="1">IFERROR(__xludf.DUMMYFUNCTION("""COMPUTED_VALUE"""),"Serviceable")</f>
        <v>Serviceable</v>
      </c>
      <c r="N4423" s="164"/>
    </row>
    <row r="4424" spans="1:14" ht="13.2" hidden="1">
      <c r="A4424" s="164" t="str">
        <f ca="1">IFERROR(__xludf.DUMMYFUNCTION("""COMPUTED_VALUE"""),"CARAGA")</f>
        <v>CARAGA</v>
      </c>
      <c r="B4424" s="164" t="str">
        <f ca="1">IFERROR(__xludf.DUMMYFUNCTION("""COMPUTED_VALUE"""),"Surigao del Norte")</f>
        <v>Surigao del Norte</v>
      </c>
      <c r="C4424" s="164" t="str">
        <f ca="1">IFERROR(__xludf.DUMMYFUNCTION("""COMPUTED_VALUE"""),"Motorcycle – (Honda XRL 150)")</f>
        <v>Motorcycle – (Honda XRL 150)</v>
      </c>
      <c r="D4424" s="164" t="str">
        <f ca="1">IFERROR(__xludf.DUMMYFUNCTION("""COMPUTED_VALUE"""),"₱ 124,900.00")</f>
        <v>₱ 124,900.00</v>
      </c>
      <c r="E4424" s="164"/>
      <c r="F4424" s="164" t="str">
        <f ca="1">IFERROR(__xludf.DUMMYFUNCTION("""COMPUTED_VALUE"""),"2023-06-01-10202SP794-01")</f>
        <v>2023-06-01-10202SP794-01</v>
      </c>
      <c r="G4424" s="164" t="str">
        <f ca="1">IFERROR(__xludf.DUMMYFUNCTION("""COMPUTED_VALUE"""),"Engine #:KRH10E58010, Chassis #:KRHV0058079")</f>
        <v>Engine #:KRH10E58010, Chassis #:KRHV0058079</v>
      </c>
      <c r="H4424" s="164" t="str">
        <f ca="1">IFERROR(__xludf.DUMMYFUNCTION("""COMPUTED_VALUE"""),"Dante C. Manlimos")</f>
        <v>Dante C. Manlimos</v>
      </c>
      <c r="I4424" s="164" t="str">
        <f ca="1">IFERROR(__xludf.DUMMYFUNCTION("""COMPUTED_VALUE"""),"SARPO/OIC CARPO PDI")</f>
        <v>SARPO/OIC CARPO PDI</v>
      </c>
      <c r="J4424" s="164" t="str">
        <f ca="1">IFERROR(__xludf.DUMMYFUNCTION("""COMPUTED_VALUE"""),"R13SDN-102-2023-05-MV-020")</f>
        <v>R13SDN-102-2023-05-MV-020</v>
      </c>
      <c r="K4424" s="164" t="str">
        <f ca="1">IFERROR(__xludf.DUMMYFUNCTION("""COMPUTED_VALUE"""),"General Dispatch")</f>
        <v>General Dispatch</v>
      </c>
      <c r="L4424" s="164" t="str">
        <f ca="1">IFERROR(__xludf.DUMMYFUNCTION("""COMPUTED_VALUE"""),"PPMO - Dinagat Islands")</f>
        <v>PPMO - Dinagat Islands</v>
      </c>
      <c r="M4424" s="164" t="str">
        <f ca="1">IFERROR(__xludf.DUMMYFUNCTION("""COMPUTED_VALUE"""),"Serviceable")</f>
        <v>Serviceable</v>
      </c>
      <c r="N4424" s="164"/>
    </row>
    <row r="4425" spans="1:14" ht="13.2" hidden="1">
      <c r="A4425" s="164" t="str">
        <f ca="1">IFERROR(__xludf.DUMMYFUNCTION("""COMPUTED_VALUE"""),"CARAGA")</f>
        <v>CARAGA</v>
      </c>
      <c r="B4425" s="164" t="str">
        <f ca="1">IFERROR(__xludf.DUMMYFUNCTION("""COMPUTED_VALUE"""),"Surigao del Norte")</f>
        <v>Surigao del Norte</v>
      </c>
      <c r="C4425" s="164" t="str">
        <f ca="1">IFERROR(__xludf.DUMMYFUNCTION("""COMPUTED_VALUE"""),"Motorcycle – (Honda XRL 150)")</f>
        <v>Motorcycle – (Honda XRL 150)</v>
      </c>
      <c r="D4425" s="164" t="str">
        <f ca="1">IFERROR(__xludf.DUMMYFUNCTION("""COMPUTED_VALUE"""),"₱ 124,900.00")</f>
        <v>₱ 124,900.00</v>
      </c>
      <c r="E4425" s="164"/>
      <c r="F4425" s="164" t="str">
        <f ca="1">IFERROR(__xludf.DUMMYFUNCTION("""COMPUTED_VALUE"""),"2023-06-01-10202SP795-01")</f>
        <v>2023-06-01-10202SP795-01</v>
      </c>
      <c r="G4425" s="164" t="str">
        <f ca="1">IFERROR(__xludf.DUMMYFUNCTION("""COMPUTED_VALUE"""),"Engine #:KRH10E58008, Chassis #:KRHV0058078")</f>
        <v>Engine #:KRH10E58008, Chassis #:KRHV0058078</v>
      </c>
      <c r="H4425" s="164" t="str">
        <f ca="1">IFERROR(__xludf.DUMMYFUNCTION("""COMPUTED_VALUE"""),"Dante C. Manlimos")</f>
        <v>Dante C. Manlimos</v>
      </c>
      <c r="I4425" s="164" t="str">
        <f ca="1">IFERROR(__xludf.DUMMYFUNCTION("""COMPUTED_VALUE"""),"SARPO/OIC CARPO PDI")</f>
        <v>SARPO/OIC CARPO PDI</v>
      </c>
      <c r="J4425" s="164" t="str">
        <f ca="1">IFERROR(__xludf.DUMMYFUNCTION("""COMPUTED_VALUE"""),"R13SDN-102-2023-05-MV-021")</f>
        <v>R13SDN-102-2023-05-MV-021</v>
      </c>
      <c r="K4425" s="164" t="str">
        <f ca="1">IFERROR(__xludf.DUMMYFUNCTION("""COMPUTED_VALUE"""),"General Dispatch")</f>
        <v>General Dispatch</v>
      </c>
      <c r="L4425" s="164" t="str">
        <f ca="1">IFERROR(__xludf.DUMMYFUNCTION("""COMPUTED_VALUE"""),"PPMO - Dinagat Islands")</f>
        <v>PPMO - Dinagat Islands</v>
      </c>
      <c r="M4425" s="164" t="str">
        <f ca="1">IFERROR(__xludf.DUMMYFUNCTION("""COMPUTED_VALUE"""),"Serviceable")</f>
        <v>Serviceable</v>
      </c>
      <c r="N4425" s="164"/>
    </row>
    <row r="4426" spans="1:14" ht="13.2" hidden="1">
      <c r="A4426" s="164" t="str">
        <f ca="1">IFERROR(__xludf.DUMMYFUNCTION("""COMPUTED_VALUE"""),"CARAGA")</f>
        <v>CARAGA</v>
      </c>
      <c r="B4426" s="164" t="str">
        <f ca="1">IFERROR(__xludf.DUMMYFUNCTION("""COMPUTED_VALUE"""),"Surigao del Norte")</f>
        <v>Surigao del Norte</v>
      </c>
      <c r="C4426" s="164" t="str">
        <f ca="1">IFERROR(__xludf.DUMMYFUNCTION("""COMPUTED_VALUE"""),"Motorcycle – (Honda XRL 150)")</f>
        <v>Motorcycle – (Honda XRL 150)</v>
      </c>
      <c r="D4426" s="164" t="str">
        <f ca="1">IFERROR(__xludf.DUMMYFUNCTION("""COMPUTED_VALUE"""),"₱ 124,900.00")</f>
        <v>₱ 124,900.00</v>
      </c>
      <c r="E4426" s="164"/>
      <c r="F4426" s="164" t="str">
        <f ca="1">IFERROR(__xludf.DUMMYFUNCTION("""COMPUTED_VALUE"""),"2023-06-01-10202SP796-01")</f>
        <v>2023-06-01-10202SP796-01</v>
      </c>
      <c r="G4426" s="164" t="str">
        <f ca="1">IFERROR(__xludf.DUMMYFUNCTION("""COMPUTED_VALUE"""),"Engine #:KRH10E58006, Chassis #:KRHV0058080")</f>
        <v>Engine #:KRH10E58006, Chassis #:KRHV0058080</v>
      </c>
      <c r="H4426" s="164" t="str">
        <f ca="1">IFERROR(__xludf.DUMMYFUNCTION("""COMPUTED_VALUE"""),"Dante C. Manlimos")</f>
        <v>Dante C. Manlimos</v>
      </c>
      <c r="I4426" s="164" t="str">
        <f ca="1">IFERROR(__xludf.DUMMYFUNCTION("""COMPUTED_VALUE"""),"SARPO/OIC CARPO PDI")</f>
        <v>SARPO/OIC CARPO PDI</v>
      </c>
      <c r="J4426" s="164" t="str">
        <f ca="1">IFERROR(__xludf.DUMMYFUNCTION("""COMPUTED_VALUE"""),"R13SDN-102-2023-05-MV-022")</f>
        <v>R13SDN-102-2023-05-MV-022</v>
      </c>
      <c r="K4426" s="164" t="str">
        <f ca="1">IFERROR(__xludf.DUMMYFUNCTION("""COMPUTED_VALUE"""),"General Dispatch")</f>
        <v>General Dispatch</v>
      </c>
      <c r="L4426" s="164" t="str">
        <f ca="1">IFERROR(__xludf.DUMMYFUNCTION("""COMPUTED_VALUE"""),"PPMO - Dinagat Islands")</f>
        <v>PPMO - Dinagat Islands</v>
      </c>
      <c r="M4426" s="164" t="str">
        <f ca="1">IFERROR(__xludf.DUMMYFUNCTION("""COMPUTED_VALUE"""),"Serviceable")</f>
        <v>Serviceable</v>
      </c>
      <c r="N4426" s="164"/>
    </row>
    <row r="4427" spans="1:14" ht="13.2" hidden="1">
      <c r="A4427" s="164" t="str">
        <f ca="1">IFERROR(__xludf.DUMMYFUNCTION("""COMPUTED_VALUE"""),"CARAGA")</f>
        <v>CARAGA</v>
      </c>
      <c r="B4427" s="164" t="str">
        <f ca="1">IFERROR(__xludf.DUMMYFUNCTION("""COMPUTED_VALUE"""),"Surigao del Norte")</f>
        <v>Surigao del Norte</v>
      </c>
      <c r="C4427" s="164" t="str">
        <f ca="1">IFERROR(__xludf.DUMMYFUNCTION("""COMPUTED_VALUE"""),"Motorcycle – (Honda XRL 150)")</f>
        <v>Motorcycle – (Honda XRL 150)</v>
      </c>
      <c r="D4427" s="164" t="str">
        <f ca="1">IFERROR(__xludf.DUMMYFUNCTION("""COMPUTED_VALUE"""),"₱ 124,900.00")</f>
        <v>₱ 124,900.00</v>
      </c>
      <c r="E4427" s="164"/>
      <c r="F4427" s="164" t="str">
        <f ca="1">IFERROR(__xludf.DUMMYFUNCTION("""COMPUTED_VALUE"""),"2023-06-01-10202SP797-01")</f>
        <v>2023-06-01-10202SP797-01</v>
      </c>
      <c r="G4427" s="164" t="str">
        <f ca="1">IFERROR(__xludf.DUMMYFUNCTION("""COMPUTED_VALUE"""),"Engine #:KRH10E58044, Chassis #:KRHV0058090")</f>
        <v>Engine #:KRH10E58044, Chassis #:KRHV0058090</v>
      </c>
      <c r="H4427" s="164" t="str">
        <f ca="1">IFERROR(__xludf.DUMMYFUNCTION("""COMPUTED_VALUE"""),"Engr. Gilbert P. Dahug")</f>
        <v>Engr. Gilbert P. Dahug</v>
      </c>
      <c r="I4427" s="164" t="str">
        <f ca="1">IFERROR(__xludf.DUMMYFUNCTION("""COMPUTED_VALUE"""),"ENGR II-LTID")</f>
        <v>ENGR II-LTID</v>
      </c>
      <c r="J4427" s="164" t="str">
        <f ca="1">IFERROR(__xludf.DUMMYFUNCTION("""COMPUTED_VALUE"""),"R13SDN-102-2023-05-MV-023")</f>
        <v>R13SDN-102-2023-05-MV-023</v>
      </c>
      <c r="K4427" s="164" t="str">
        <f ca="1">IFERROR(__xludf.DUMMYFUNCTION("""COMPUTED_VALUE"""),"Gilbert P. Dahug")</f>
        <v>Gilbert P. Dahug</v>
      </c>
      <c r="L4427" s="164" t="str">
        <f ca="1">IFERROR(__xludf.DUMMYFUNCTION("""COMPUTED_VALUE"""),"PPMO - Surigao del Norte")</f>
        <v>PPMO - Surigao del Norte</v>
      </c>
      <c r="M4427" s="164" t="str">
        <f ca="1">IFERROR(__xludf.DUMMYFUNCTION("""COMPUTED_VALUE"""),"Serviceable")</f>
        <v>Serviceable</v>
      </c>
      <c r="N4427" s="164"/>
    </row>
    <row r="4428" spans="1:14" ht="13.2" hidden="1">
      <c r="A4428" s="164" t="str">
        <f ca="1">IFERROR(__xludf.DUMMYFUNCTION("""COMPUTED_VALUE"""),"CARAGA")</f>
        <v>CARAGA</v>
      </c>
      <c r="B4428" s="164" t="str">
        <f ca="1">IFERROR(__xludf.DUMMYFUNCTION("""COMPUTED_VALUE"""),"Surigao del Norte")</f>
        <v>Surigao del Norte</v>
      </c>
      <c r="C4428" s="164" t="str">
        <f ca="1">IFERROR(__xludf.DUMMYFUNCTION("""COMPUTED_VALUE"""),"Motorcycle – (Honda XRL 150)")</f>
        <v>Motorcycle – (Honda XRL 150)</v>
      </c>
      <c r="D4428" s="164" t="str">
        <f ca="1">IFERROR(__xludf.DUMMYFUNCTION("""COMPUTED_VALUE"""),"₱ 124,900.00")</f>
        <v>₱ 124,900.00</v>
      </c>
      <c r="E4428" s="164"/>
      <c r="F4428" s="164" t="str">
        <f ca="1">IFERROR(__xludf.DUMMYFUNCTION("""COMPUTED_VALUE"""),"2023-06-01-10202SP798-01")</f>
        <v>2023-06-01-10202SP798-01</v>
      </c>
      <c r="G4428" s="164" t="str">
        <f ca="1">IFERROR(__xludf.DUMMYFUNCTION("""COMPUTED_VALUE"""),"Engine #:KRH10E58033, Chassis #:KRHV0058094")</f>
        <v>Engine #:KRH10E58033, Chassis #:KRHV0058094</v>
      </c>
      <c r="H4428" s="164" t="str">
        <f ca="1">IFERROR(__xludf.DUMMYFUNCTION("""COMPUTED_VALUE"""),"Ma. Flordeluna Q. Toldo")</f>
        <v>Ma. Flordeluna Q. Toldo</v>
      </c>
      <c r="I4428" s="164" t="str">
        <f ca="1">IFERROR(__xludf.DUMMYFUNCTION("""COMPUTED_VALUE"""),"ARPO I/GSS HEAD")</f>
        <v>ARPO I/GSS HEAD</v>
      </c>
      <c r="J4428" s="164" t="str">
        <f ca="1">IFERROR(__xludf.DUMMYFUNCTION("""COMPUTED_VALUE"""),"R13SDN-102-2023-05-MV-024")</f>
        <v>R13SDN-102-2023-05-MV-024</v>
      </c>
      <c r="K4428" s="164" t="str">
        <f ca="1">IFERROR(__xludf.DUMMYFUNCTION("""COMPUTED_VALUE"""),"General Dispatch")</f>
        <v>General Dispatch</v>
      </c>
      <c r="L4428" s="164" t="str">
        <f ca="1">IFERROR(__xludf.DUMMYFUNCTION("""COMPUTED_VALUE"""),"PPMO - Surigao del Norte")</f>
        <v>PPMO - Surigao del Norte</v>
      </c>
      <c r="M4428" s="164" t="str">
        <f ca="1">IFERROR(__xludf.DUMMYFUNCTION("""COMPUTED_VALUE"""),"Serviceable")</f>
        <v>Serviceable</v>
      </c>
      <c r="N4428" s="164"/>
    </row>
    <row r="4429" spans="1:14" ht="13.2" hidden="1">
      <c r="A4429" s="164" t="str">
        <f ca="1">IFERROR(__xludf.DUMMYFUNCTION("""COMPUTED_VALUE"""),"CARAGA")</f>
        <v>CARAGA</v>
      </c>
      <c r="B4429" s="164" t="str">
        <f ca="1">IFERROR(__xludf.DUMMYFUNCTION("""COMPUTED_VALUE"""),"Surigao del Norte")</f>
        <v>Surigao del Norte</v>
      </c>
      <c r="C4429" s="164" t="str">
        <f ca="1">IFERROR(__xludf.DUMMYFUNCTION("""COMPUTED_VALUE"""),"Motorcycle – (Honda XRL 150)")</f>
        <v>Motorcycle – (Honda XRL 150)</v>
      </c>
      <c r="D4429" s="164" t="str">
        <f ca="1">IFERROR(__xludf.DUMMYFUNCTION("""COMPUTED_VALUE"""),"₱ 124,900.00")</f>
        <v>₱ 124,900.00</v>
      </c>
      <c r="E4429" s="164"/>
      <c r="F4429" s="164" t="str">
        <f ca="1">IFERROR(__xludf.DUMMYFUNCTION("""COMPUTED_VALUE"""),"2023-06-01-10202SP799-01")</f>
        <v>2023-06-01-10202SP799-01</v>
      </c>
      <c r="G4429" s="164" t="str">
        <f ca="1">IFERROR(__xludf.DUMMYFUNCTION("""COMPUTED_VALUE"""),"Engine #:KRH10E58031, Chassis #:KRHV0058095")</f>
        <v>Engine #:KRH10E58031, Chassis #:KRHV0058095</v>
      </c>
      <c r="H4429" s="164" t="str">
        <f ca="1">IFERROR(__xludf.DUMMYFUNCTION("""COMPUTED_VALUE"""),"Charlemagne C. Alatraca")</f>
        <v>Charlemagne C. Alatraca</v>
      </c>
      <c r="I4429" s="164" t="str">
        <f ca="1">IFERROR(__xludf.DUMMYFUNCTION("""COMPUTED_VALUE"""),"ARPO I")</f>
        <v>ARPO I</v>
      </c>
      <c r="J4429" s="164" t="str">
        <f ca="1">IFERROR(__xludf.DUMMYFUNCTION("""COMPUTED_VALUE"""),"R13SDN-102-2023-05-MV-025")</f>
        <v>R13SDN-102-2023-05-MV-025</v>
      </c>
      <c r="K4429" s="164" t="str">
        <f ca="1">IFERROR(__xludf.DUMMYFUNCTION("""COMPUTED_VALUE"""),"Charlemagne C. Alatraca")</f>
        <v>Charlemagne C. Alatraca</v>
      </c>
      <c r="L4429" s="164" t="str">
        <f ca="1">IFERROR(__xludf.DUMMYFUNCTION("""COMPUTED_VALUE"""),"DRMO - Dapa, Siargao, Surigao del Norte")</f>
        <v>DRMO - Dapa, Siargao, Surigao del Norte</v>
      </c>
      <c r="M4429" s="164" t="str">
        <f ca="1">IFERROR(__xludf.DUMMYFUNCTION("""COMPUTED_VALUE"""),"Serviceable")</f>
        <v>Serviceable</v>
      </c>
      <c r="N4429" s="164"/>
    </row>
    <row r="4430" spans="1:14" ht="13.2" hidden="1">
      <c r="A4430" s="164" t="str">
        <f ca="1">IFERROR(__xludf.DUMMYFUNCTION("""COMPUTED_VALUE"""),"CARAGA")</f>
        <v>CARAGA</v>
      </c>
      <c r="B4430" s="164" t="str">
        <f ca="1">IFERROR(__xludf.DUMMYFUNCTION("""COMPUTED_VALUE"""),"Surigao del Norte")</f>
        <v>Surigao del Norte</v>
      </c>
      <c r="C4430" s="164" t="str">
        <f ca="1">IFERROR(__xludf.DUMMYFUNCTION("""COMPUTED_VALUE"""),"Motorcycle – (Honda XRL 150)")</f>
        <v>Motorcycle – (Honda XRL 150)</v>
      </c>
      <c r="D4430" s="164" t="str">
        <f ca="1">IFERROR(__xludf.DUMMYFUNCTION("""COMPUTED_VALUE"""),"₱ 124,900.00")</f>
        <v>₱ 124,900.00</v>
      </c>
      <c r="E4430" s="164"/>
      <c r="F4430" s="164" t="str">
        <f ca="1">IFERROR(__xludf.DUMMYFUNCTION("""COMPUTED_VALUE"""),"2023-06-01-10202SP800-01")</f>
        <v>2023-06-01-10202SP800-01</v>
      </c>
      <c r="G4430" s="164" t="str">
        <f ca="1">IFERROR(__xludf.DUMMYFUNCTION("""COMPUTED_VALUE"""),"Engine #:KRH10E58028, Chassis #:KRHV0058091")</f>
        <v>Engine #:KRH10E58028, Chassis #:KRHV0058091</v>
      </c>
      <c r="H4430" s="164" t="str">
        <f ca="1">IFERROR(__xludf.DUMMYFUNCTION("""COMPUTED_VALUE"""),"Ma. Flordeluna Q. Toldo")</f>
        <v>Ma. Flordeluna Q. Toldo</v>
      </c>
      <c r="I4430" s="164" t="str">
        <f ca="1">IFERROR(__xludf.DUMMYFUNCTION("""COMPUTED_VALUE"""),"ARPO I/GSS HEAD")</f>
        <v>ARPO I/GSS HEAD</v>
      </c>
      <c r="J4430" s="164" t="str">
        <f ca="1">IFERROR(__xludf.DUMMYFUNCTION("""COMPUTED_VALUE"""),"R13SDN-102-2023-05-MV-026")</f>
        <v>R13SDN-102-2023-05-MV-026</v>
      </c>
      <c r="K4430" s="164" t="str">
        <f ca="1">IFERROR(__xludf.DUMMYFUNCTION("""COMPUTED_VALUE"""),"General Dispatch")</f>
        <v>General Dispatch</v>
      </c>
      <c r="L4430" s="164" t="str">
        <f ca="1">IFERROR(__xludf.DUMMYFUNCTION("""COMPUTED_VALUE"""),"PPMO - Surigao del Norte")</f>
        <v>PPMO - Surigao del Norte</v>
      </c>
      <c r="M4430" s="164" t="str">
        <f ca="1">IFERROR(__xludf.DUMMYFUNCTION("""COMPUTED_VALUE"""),"Serviceable")</f>
        <v>Serviceable</v>
      </c>
      <c r="N4430" s="164"/>
    </row>
    <row r="4431" spans="1:14" ht="13.2" hidden="1">
      <c r="A4431" s="164" t="str">
        <f ca="1">IFERROR(__xludf.DUMMYFUNCTION("""COMPUTED_VALUE"""),"CARAGA")</f>
        <v>CARAGA</v>
      </c>
      <c r="B4431" s="164" t="str">
        <f ca="1">IFERROR(__xludf.DUMMYFUNCTION("""COMPUTED_VALUE"""),"Surigao del Norte")</f>
        <v>Surigao del Norte</v>
      </c>
      <c r="C4431" s="164" t="str">
        <f ca="1">IFERROR(__xludf.DUMMYFUNCTION("""COMPUTED_VALUE"""),"Motorcycle – (Honda XRL 150)")</f>
        <v>Motorcycle – (Honda XRL 150)</v>
      </c>
      <c r="D4431" s="164" t="str">
        <f ca="1">IFERROR(__xludf.DUMMYFUNCTION("""COMPUTED_VALUE"""),"₱ 124,900.00")</f>
        <v>₱ 124,900.00</v>
      </c>
      <c r="E4431" s="164"/>
      <c r="F4431" s="164" t="str">
        <f ca="1">IFERROR(__xludf.DUMMYFUNCTION("""COMPUTED_VALUE"""),"2023-06-01-10202SP801-01")</f>
        <v>2023-06-01-10202SP801-01</v>
      </c>
      <c r="G4431" s="164" t="str">
        <f ca="1">IFERROR(__xludf.DUMMYFUNCTION("""COMPUTED_VALUE"""),"Engine #: KRH10E058074, Chassis #: KRH0058030")</f>
        <v>Engine #: KRH10E058074, Chassis #: KRH0058030</v>
      </c>
      <c r="H4431" s="164" t="str">
        <f ca="1">IFERROR(__xludf.DUMMYFUNCTION("""COMPUTED_VALUE"""),"Ma. Flordeluna Q. Toldo")</f>
        <v>Ma. Flordeluna Q. Toldo</v>
      </c>
      <c r="I4431" s="164" t="str">
        <f ca="1">IFERROR(__xludf.DUMMYFUNCTION("""COMPUTED_VALUE"""),"ARPO I/GSS HEAD")</f>
        <v>ARPO I/GSS HEAD</v>
      </c>
      <c r="J4431" s="164" t="str">
        <f ca="1">IFERROR(__xludf.DUMMYFUNCTION("""COMPUTED_VALUE"""),"R13SDN-102-2023-05-MV-027")</f>
        <v>R13SDN-102-2023-05-MV-027</v>
      </c>
      <c r="K4431" s="164" t="str">
        <f ca="1">IFERROR(__xludf.DUMMYFUNCTION("""COMPUTED_VALUE"""),"General Dispatch")</f>
        <v>General Dispatch</v>
      </c>
      <c r="L4431" s="164" t="str">
        <f ca="1">IFERROR(__xludf.DUMMYFUNCTION("""COMPUTED_VALUE"""),"PPMO - Surigao del Norte")</f>
        <v>PPMO - Surigao del Norte</v>
      </c>
      <c r="M4431" s="164" t="str">
        <f ca="1">IFERROR(__xludf.DUMMYFUNCTION("""COMPUTED_VALUE"""),"Serviceable")</f>
        <v>Serviceable</v>
      </c>
      <c r="N4431" s="164"/>
    </row>
    <row r="4432" spans="1:14" ht="13.2" hidden="1">
      <c r="A4432" s="164" t="str">
        <f ca="1">IFERROR(__xludf.DUMMYFUNCTION("""COMPUTED_VALUE"""),"CARAGA")</f>
        <v>CARAGA</v>
      </c>
      <c r="B4432" s="164" t="str">
        <f ca="1">IFERROR(__xludf.DUMMYFUNCTION("""COMPUTED_VALUE"""),"Surigao del Norte")</f>
        <v>Surigao del Norte</v>
      </c>
      <c r="C4432" s="164" t="str">
        <f ca="1">IFERROR(__xludf.DUMMYFUNCTION("""COMPUTED_VALUE"""),"Motorcycle – (Honda XRL 150)")</f>
        <v>Motorcycle – (Honda XRL 150)</v>
      </c>
      <c r="D4432" s="164" t="str">
        <f ca="1">IFERROR(__xludf.DUMMYFUNCTION("""COMPUTED_VALUE"""),"₱ 124,900.00")</f>
        <v>₱ 124,900.00</v>
      </c>
      <c r="E4432" s="164"/>
      <c r="F4432" s="164" t="str">
        <f ca="1">IFERROR(__xludf.DUMMYFUNCTION("""COMPUTED_VALUE"""),"2023-06-01-10202SP802-01")</f>
        <v>2023-06-01-10202SP802-01</v>
      </c>
      <c r="G4432" s="164" t="str">
        <f ca="1">IFERROR(__xludf.DUMMYFUNCTION("""COMPUTED_VALUE"""),"Engine #:KRH10E58025, Chassis #:KRHV0058089")</f>
        <v>Engine #:KRH10E58025, Chassis #:KRHV0058089</v>
      </c>
      <c r="H4432" s="164" t="str">
        <f ca="1">IFERROR(__xludf.DUMMYFUNCTION("""COMPUTED_VALUE"""),"Dante C. Manlimos")</f>
        <v>Dante C. Manlimos</v>
      </c>
      <c r="I4432" s="164" t="str">
        <f ca="1">IFERROR(__xludf.DUMMYFUNCTION("""COMPUTED_VALUE"""),"SARPO/OIC CARPO PDI")</f>
        <v>SARPO/OIC CARPO PDI</v>
      </c>
      <c r="J4432" s="164" t="str">
        <f ca="1">IFERROR(__xludf.DUMMYFUNCTION("""COMPUTED_VALUE"""),"R13SDN-102-2023-05-MV-028")</f>
        <v>R13SDN-102-2023-05-MV-028</v>
      </c>
      <c r="K4432" s="164" t="str">
        <f ca="1">IFERROR(__xludf.DUMMYFUNCTION("""COMPUTED_VALUE"""),"General Dispatch")</f>
        <v>General Dispatch</v>
      </c>
      <c r="L4432" s="164" t="str">
        <f ca="1">IFERROR(__xludf.DUMMYFUNCTION("""COMPUTED_VALUE"""),"PPMO - Surigao del Norte")</f>
        <v>PPMO - Surigao del Norte</v>
      </c>
      <c r="M4432" s="164" t="str">
        <f ca="1">IFERROR(__xludf.DUMMYFUNCTION("""COMPUTED_VALUE"""),"Serviceable")</f>
        <v>Serviceable</v>
      </c>
      <c r="N4432" s="164"/>
    </row>
    <row r="4433" spans="1:14" ht="13.2" hidden="1">
      <c r="A4433" s="164" t="str">
        <f ca="1">IFERROR(__xludf.DUMMYFUNCTION("""COMPUTED_VALUE"""),"CARAGA")</f>
        <v>CARAGA</v>
      </c>
      <c r="B4433" s="164" t="str">
        <f ca="1">IFERROR(__xludf.DUMMYFUNCTION("""COMPUTED_VALUE"""),"Surigao del Sur")</f>
        <v>Surigao del Sur</v>
      </c>
      <c r="C4433" s="164" t="str">
        <f ca="1">IFERROR(__xludf.DUMMYFUNCTION("""COMPUTED_VALUE"""),"Motorcycle – (Honda XRL 150)")</f>
        <v>Motorcycle – (Honda XRL 150)</v>
      </c>
      <c r="D4433" s="164" t="str">
        <f ca="1">IFERROR(__xludf.DUMMYFUNCTION("""COMPUTED_VALUE"""),"₱ 124,900.00")</f>
        <v>₱ 124,900.00</v>
      </c>
      <c r="E4433" s="164"/>
      <c r="F4433" s="164" t="str">
        <f ca="1">IFERROR(__xludf.DUMMYFUNCTION("""COMPUTED_VALUE"""),"2023-06-01-10202SP805-01")</f>
        <v>2023-06-01-10202SP805-01</v>
      </c>
      <c r="G4433" s="164" t="str">
        <f ca="1">IFERROR(__xludf.DUMMYFUNCTION("""COMPUTED_VALUE"""),"no plate available")</f>
        <v>no plate available</v>
      </c>
      <c r="H4433" s="164" t="str">
        <f ca="1">IFERROR(__xludf.DUMMYFUNCTION("""COMPUTED_VALUE"""),"Emmanuel S. Zerda Jr.")</f>
        <v>Emmanuel S. Zerda Jr.</v>
      </c>
      <c r="I4433" s="164" t="str">
        <f ca="1">IFERROR(__xludf.DUMMYFUNCTION("""COMPUTED_VALUE"""),"ARPT")</f>
        <v>ARPT</v>
      </c>
      <c r="J4433" s="164" t="str">
        <f ca="1">IFERROR(__xludf.DUMMYFUNCTION("""COMPUTED_VALUE"""),"2023-SPLIT-01/ PTR: 2023-05-025")</f>
        <v>2023-SPLIT-01/ PTR: 2023-05-025</v>
      </c>
      <c r="K4433" s="164" t="str">
        <f ca="1">IFERROR(__xludf.DUMMYFUNCTION("""COMPUTED_VALUE"""),"Reuben J. Pacheco")</f>
        <v>Reuben J. Pacheco</v>
      </c>
      <c r="L4433" s="164" t="str">
        <f ca="1">IFERROR(__xludf.DUMMYFUNCTION("""COMPUTED_VALUE"""),"DARMO-Hinatuan, SDS")</f>
        <v>DARMO-Hinatuan, SDS</v>
      </c>
      <c r="M4433" s="164" t="str">
        <f ca="1">IFERROR(__xludf.DUMMYFUNCTION("""COMPUTED_VALUE"""),"SERVICEABLE")</f>
        <v>SERVICEABLE</v>
      </c>
      <c r="N4433" s="164"/>
    </row>
    <row r="4434" spans="1:14" ht="13.2" hidden="1">
      <c r="A4434" s="164" t="str">
        <f ca="1">IFERROR(__xludf.DUMMYFUNCTION("""COMPUTED_VALUE"""),"CARAGA")</f>
        <v>CARAGA</v>
      </c>
      <c r="B4434" s="164" t="str">
        <f ca="1">IFERROR(__xludf.DUMMYFUNCTION("""COMPUTED_VALUE"""),"Surigao del Sur")</f>
        <v>Surigao del Sur</v>
      </c>
      <c r="C4434" s="164" t="str">
        <f ca="1">IFERROR(__xludf.DUMMYFUNCTION("""COMPUTED_VALUE"""),"Motorcycle – (Honda XRL 150)")</f>
        <v>Motorcycle – (Honda XRL 150)</v>
      </c>
      <c r="D4434" s="164" t="str">
        <f ca="1">IFERROR(__xludf.DUMMYFUNCTION("""COMPUTED_VALUE"""),"₱ 124,900.00")</f>
        <v>₱ 124,900.00</v>
      </c>
      <c r="E4434" s="164"/>
      <c r="F4434" s="164" t="str">
        <f ca="1">IFERROR(__xludf.DUMMYFUNCTION("""COMPUTED_VALUE"""),"2023-06-01-10202SP806-01")</f>
        <v>2023-06-01-10202SP806-01</v>
      </c>
      <c r="G4434" s="164" t="str">
        <f ca="1">IFERROR(__xludf.DUMMYFUNCTION("""COMPUTED_VALUE"""),"no plate available")</f>
        <v>no plate available</v>
      </c>
      <c r="H4434" s="164" t="str">
        <f ca="1">IFERROR(__xludf.DUMMYFUNCTION("""COMPUTED_VALUE"""),"Renel Limbing")</f>
        <v>Renel Limbing</v>
      </c>
      <c r="I4434" s="164" t="str">
        <f ca="1">IFERROR(__xludf.DUMMYFUNCTION("""COMPUTED_VALUE"""),"ARPT")</f>
        <v>ARPT</v>
      </c>
      <c r="J4434" s="164" t="str">
        <f ca="1">IFERROR(__xludf.DUMMYFUNCTION("""COMPUTED_VALUE"""),"2023-SPLIT-02/ PTR: 2023-05-025")</f>
        <v>2023-SPLIT-02/ PTR: 2023-05-025</v>
      </c>
      <c r="K4434" s="164" t="str">
        <f ca="1">IFERROR(__xludf.DUMMYFUNCTION("""COMPUTED_VALUE"""),"Ian G. Quico")</f>
        <v>Ian G. Quico</v>
      </c>
      <c r="L4434" s="164" t="str">
        <f ca="1">IFERROR(__xludf.DUMMYFUNCTION("""COMPUTED_VALUE"""),"DARMO-Lingig, SDS")</f>
        <v>DARMO-Lingig, SDS</v>
      </c>
      <c r="M4434" s="164" t="str">
        <f ca="1">IFERROR(__xludf.DUMMYFUNCTION("""COMPUTED_VALUE"""),"SERVICEABLE")</f>
        <v>SERVICEABLE</v>
      </c>
      <c r="N4434" s="164"/>
    </row>
    <row r="4435" spans="1:14" ht="13.2" hidden="1">
      <c r="A4435" s="164" t="str">
        <f ca="1">IFERROR(__xludf.DUMMYFUNCTION("""COMPUTED_VALUE"""),"CARAGA")</f>
        <v>CARAGA</v>
      </c>
      <c r="B4435" s="164" t="str">
        <f ca="1">IFERROR(__xludf.DUMMYFUNCTION("""COMPUTED_VALUE"""),"Surigao del Sur")</f>
        <v>Surigao del Sur</v>
      </c>
      <c r="C4435" s="164" t="str">
        <f ca="1">IFERROR(__xludf.DUMMYFUNCTION("""COMPUTED_VALUE"""),"Motorcycle – (Honda XRL 150)")</f>
        <v>Motorcycle – (Honda XRL 150)</v>
      </c>
      <c r="D4435" s="164" t="str">
        <f ca="1">IFERROR(__xludf.DUMMYFUNCTION("""COMPUTED_VALUE"""),"₱ 124,900.00")</f>
        <v>₱ 124,900.00</v>
      </c>
      <c r="E4435" s="164"/>
      <c r="F4435" s="164" t="str">
        <f ca="1">IFERROR(__xludf.DUMMYFUNCTION("""COMPUTED_VALUE"""),"2023-06-01-10202SP807-01")</f>
        <v>2023-06-01-10202SP807-01</v>
      </c>
      <c r="G4435" s="164" t="str">
        <f ca="1">IFERROR(__xludf.DUMMYFUNCTION("""COMPUTED_VALUE"""),"no plate available")</f>
        <v>no plate available</v>
      </c>
      <c r="H4435" s="164" t="str">
        <f ca="1">IFERROR(__xludf.DUMMYFUNCTION("""COMPUTED_VALUE"""),"Karen D. Cagalawan")</f>
        <v>Karen D. Cagalawan</v>
      </c>
      <c r="I4435" s="164" t="str">
        <f ca="1">IFERROR(__xludf.DUMMYFUNCTION("""COMPUTED_VALUE"""),"ARPT")</f>
        <v>ARPT</v>
      </c>
      <c r="J4435" s="164" t="str">
        <f ca="1">IFERROR(__xludf.DUMMYFUNCTION("""COMPUTED_VALUE"""),"2023-SPLIT-03/ PTR: 2023-05-025")</f>
        <v>2023-SPLIT-03/ PTR: 2023-05-025</v>
      </c>
      <c r="K4435" s="164" t="str">
        <f ca="1">IFERROR(__xludf.DUMMYFUNCTION("""COMPUTED_VALUE"""),"Aldren M. Amigo")</f>
        <v>Aldren M. Amigo</v>
      </c>
      <c r="L4435" s="164" t="str">
        <f ca="1">IFERROR(__xludf.DUMMYFUNCTION("""COMPUTED_VALUE"""),"DARMO-Tago, SDS")</f>
        <v>DARMO-Tago, SDS</v>
      </c>
      <c r="M4435" s="164" t="str">
        <f ca="1">IFERROR(__xludf.DUMMYFUNCTION("""COMPUTED_VALUE"""),"SERVICEABLE")</f>
        <v>SERVICEABLE</v>
      </c>
      <c r="N4435" s="164"/>
    </row>
    <row r="4436" spans="1:14" ht="13.2" hidden="1">
      <c r="A4436" s="164" t="str">
        <f ca="1">IFERROR(__xludf.DUMMYFUNCTION("""COMPUTED_VALUE"""),"CARAGA")</f>
        <v>CARAGA</v>
      </c>
      <c r="B4436" s="164" t="str">
        <f ca="1">IFERROR(__xludf.DUMMYFUNCTION("""COMPUTED_VALUE"""),"Surigao del Sur")</f>
        <v>Surigao del Sur</v>
      </c>
      <c r="C4436" s="164" t="str">
        <f ca="1">IFERROR(__xludf.DUMMYFUNCTION("""COMPUTED_VALUE"""),"Motorcycle – (Honda XRL 150)")</f>
        <v>Motorcycle – (Honda XRL 150)</v>
      </c>
      <c r="D4436" s="164" t="str">
        <f ca="1">IFERROR(__xludf.DUMMYFUNCTION("""COMPUTED_VALUE"""),"₱ 124,900.00")</f>
        <v>₱ 124,900.00</v>
      </c>
      <c r="E4436" s="164"/>
      <c r="F4436" s="164" t="str">
        <f ca="1">IFERROR(__xludf.DUMMYFUNCTION("""COMPUTED_VALUE"""),"2023-06-01-10202SP808-01")</f>
        <v>2023-06-01-10202SP808-01</v>
      </c>
      <c r="G4436" s="164" t="str">
        <f ca="1">IFERROR(__xludf.DUMMYFUNCTION("""COMPUTED_VALUE"""),"no plate available")</f>
        <v>no plate available</v>
      </c>
      <c r="H4436" s="164" t="str">
        <f ca="1">IFERROR(__xludf.DUMMYFUNCTION("""COMPUTED_VALUE"""),"John Philip Ramos")</f>
        <v>John Philip Ramos</v>
      </c>
      <c r="I4436" s="164" t="str">
        <f ca="1">IFERROR(__xludf.DUMMYFUNCTION("""COMPUTED_VALUE"""),"ARPT")</f>
        <v>ARPT</v>
      </c>
      <c r="J4436" s="164" t="str">
        <f ca="1">IFERROR(__xludf.DUMMYFUNCTION("""COMPUTED_VALUE"""),"2023-SPLIT-04/ PTR: 2023-05-025")</f>
        <v>2023-SPLIT-04/ PTR: 2023-05-025</v>
      </c>
      <c r="K4436" s="164" t="str">
        <f ca="1">IFERROR(__xludf.DUMMYFUNCTION("""COMPUTED_VALUE"""),"Ralph Cris B. Lamigo")</f>
        <v>Ralph Cris B. Lamigo</v>
      </c>
      <c r="L4436" s="164" t="str">
        <f ca="1">IFERROR(__xludf.DUMMYFUNCTION("""COMPUTED_VALUE"""),"DARMO-Cagwait, SDS")</f>
        <v>DARMO-Cagwait, SDS</v>
      </c>
      <c r="M4436" s="164" t="str">
        <f ca="1">IFERROR(__xludf.DUMMYFUNCTION("""COMPUTED_VALUE"""),"SERVICEABLE")</f>
        <v>SERVICEABLE</v>
      </c>
      <c r="N4436" s="164" t="str">
        <f ca="1">IFERROR(__xludf.DUMMYFUNCTION("""COMPUTED_VALUE"""),"For Repair")</f>
        <v>For Repair</v>
      </c>
    </row>
    <row r="4437" spans="1:14" ht="13.2" hidden="1">
      <c r="A4437" s="164" t="str">
        <f ca="1">IFERROR(__xludf.DUMMYFUNCTION("""COMPUTED_VALUE"""),"CARAGA")</f>
        <v>CARAGA</v>
      </c>
      <c r="B4437" s="164" t="str">
        <f ca="1">IFERROR(__xludf.DUMMYFUNCTION("""COMPUTED_VALUE"""),"Surigao del Sur")</f>
        <v>Surigao del Sur</v>
      </c>
      <c r="C4437" s="164" t="str">
        <f ca="1">IFERROR(__xludf.DUMMYFUNCTION("""COMPUTED_VALUE"""),"Motorcycle – (Honda XRL 150)")</f>
        <v>Motorcycle – (Honda XRL 150)</v>
      </c>
      <c r="D4437" s="164" t="str">
        <f ca="1">IFERROR(__xludf.DUMMYFUNCTION("""COMPUTED_VALUE"""),"₱ 124,900.00")</f>
        <v>₱ 124,900.00</v>
      </c>
      <c r="E4437" s="164"/>
      <c r="F4437" s="164" t="str">
        <f ca="1">IFERROR(__xludf.DUMMYFUNCTION("""COMPUTED_VALUE"""),"2023-06-01-10202SP809-01")</f>
        <v>2023-06-01-10202SP809-01</v>
      </c>
      <c r="G4437" s="164" t="str">
        <f ca="1">IFERROR(__xludf.DUMMYFUNCTION("""COMPUTED_VALUE"""),"no plate available")</f>
        <v>no plate available</v>
      </c>
      <c r="H4437" s="164" t="str">
        <f ca="1">IFERROR(__xludf.DUMMYFUNCTION("""COMPUTED_VALUE"""),"Onimar D. Otagan")</f>
        <v>Onimar D. Otagan</v>
      </c>
      <c r="I4437" s="164" t="str">
        <f ca="1">IFERROR(__xludf.DUMMYFUNCTION("""COMPUTED_VALUE"""),"Cartographer")</f>
        <v>Cartographer</v>
      </c>
      <c r="J4437" s="164" t="str">
        <f ca="1">IFERROR(__xludf.DUMMYFUNCTION("""COMPUTED_VALUE"""),"2023-SPLIT-05/ PTR: 2023-05-025")</f>
        <v>2023-SPLIT-05/ PTR: 2023-05-025</v>
      </c>
      <c r="K4437" s="164" t="str">
        <f ca="1">IFERROR(__xludf.DUMMYFUNCTION("""COMPUTED_VALUE"""),"Jean Phili Q. Pepito")</f>
        <v>Jean Phili Q. Pepito</v>
      </c>
      <c r="L4437" s="164" t="str">
        <f ca="1">IFERROR(__xludf.DUMMYFUNCTION("""COMPUTED_VALUE"""),"DARMO-Bislig, SDS")</f>
        <v>DARMO-Bislig, SDS</v>
      </c>
      <c r="M4437" s="164" t="str">
        <f ca="1">IFERROR(__xludf.DUMMYFUNCTION("""COMPUTED_VALUE"""),"SERVICEABLE")</f>
        <v>SERVICEABLE</v>
      </c>
      <c r="N4437" s="164"/>
    </row>
    <row r="4438" spans="1:14" ht="13.2" hidden="1">
      <c r="A4438" s="164" t="str">
        <f ca="1">IFERROR(__xludf.DUMMYFUNCTION("""COMPUTED_VALUE"""),"CARAGA")</f>
        <v>CARAGA</v>
      </c>
      <c r="B4438" s="164" t="str">
        <f ca="1">IFERROR(__xludf.DUMMYFUNCTION("""COMPUTED_VALUE"""),"Surigao del Sur")</f>
        <v>Surigao del Sur</v>
      </c>
      <c r="C4438" s="164" t="str">
        <f ca="1">IFERROR(__xludf.DUMMYFUNCTION("""COMPUTED_VALUE"""),"Motorcycle – (Honda XRL 150)")</f>
        <v>Motorcycle – (Honda XRL 150)</v>
      </c>
      <c r="D4438" s="164" t="str">
        <f ca="1">IFERROR(__xludf.DUMMYFUNCTION("""COMPUTED_VALUE"""),"₱ 124,900.00")</f>
        <v>₱ 124,900.00</v>
      </c>
      <c r="E4438" s="164"/>
      <c r="F4438" s="164" t="str">
        <f ca="1">IFERROR(__xludf.DUMMYFUNCTION("""COMPUTED_VALUE"""),"2023-06-01-10202SP810-01")</f>
        <v>2023-06-01-10202SP810-01</v>
      </c>
      <c r="G4438" s="164" t="str">
        <f ca="1">IFERROR(__xludf.DUMMYFUNCTION("""COMPUTED_VALUE"""),"no plate available")</f>
        <v>no plate available</v>
      </c>
      <c r="H4438" s="164" t="str">
        <f ca="1">IFERROR(__xludf.DUMMYFUNCTION("""COMPUTED_VALUE"""),"Christel Sadernas")</f>
        <v>Christel Sadernas</v>
      </c>
      <c r="I4438" s="164" t="str">
        <f ca="1">IFERROR(__xludf.DUMMYFUNCTION("""COMPUTED_VALUE"""),"ARPT")</f>
        <v>ARPT</v>
      </c>
      <c r="J4438" s="164" t="str">
        <f ca="1">IFERROR(__xludf.DUMMYFUNCTION("""COMPUTED_VALUE"""),"2023-SPLIT-06/ PTR: 2023-05-025")</f>
        <v>2023-SPLIT-06/ PTR: 2023-05-025</v>
      </c>
      <c r="K4438" s="164" t="str">
        <f ca="1">IFERROR(__xludf.DUMMYFUNCTION("""COMPUTED_VALUE"""),"Alfredo Siman")</f>
        <v>Alfredo Siman</v>
      </c>
      <c r="L4438" s="164" t="str">
        <f ca="1">IFERROR(__xludf.DUMMYFUNCTION("""COMPUTED_VALUE"""),"DARMO-San Miguel, SDS")</f>
        <v>DARMO-San Miguel, SDS</v>
      </c>
      <c r="M4438" s="164" t="str">
        <f ca="1">IFERROR(__xludf.DUMMYFUNCTION("""COMPUTED_VALUE"""),"SERVICEABLE")</f>
        <v>SERVICEABLE</v>
      </c>
      <c r="N4438" s="164"/>
    </row>
    <row r="4439" spans="1:14" ht="13.2" hidden="1">
      <c r="A4439" s="164" t="str">
        <f ca="1">IFERROR(__xludf.DUMMYFUNCTION("""COMPUTED_VALUE"""),"CARAGA")</f>
        <v>CARAGA</v>
      </c>
      <c r="B4439" s="164" t="str">
        <f ca="1">IFERROR(__xludf.DUMMYFUNCTION("""COMPUTED_VALUE"""),"Surigao del Sur")</f>
        <v>Surigao del Sur</v>
      </c>
      <c r="C4439" s="164" t="str">
        <f ca="1">IFERROR(__xludf.DUMMYFUNCTION("""COMPUTED_VALUE"""),"Motorcycle – (Honda XRL 150)")</f>
        <v>Motorcycle – (Honda XRL 150)</v>
      </c>
      <c r="D4439" s="164" t="str">
        <f ca="1">IFERROR(__xludf.DUMMYFUNCTION("""COMPUTED_VALUE"""),"₱ 124,900.00")</f>
        <v>₱ 124,900.00</v>
      </c>
      <c r="E4439" s="164"/>
      <c r="F4439" s="164" t="str">
        <f ca="1">IFERROR(__xludf.DUMMYFUNCTION("""COMPUTED_VALUE"""),"2023-06-01-10202SP811-01")</f>
        <v>2023-06-01-10202SP811-01</v>
      </c>
      <c r="G4439" s="164" t="str">
        <f ca="1">IFERROR(__xludf.DUMMYFUNCTION("""COMPUTED_VALUE"""),"no plate available")</f>
        <v>no plate available</v>
      </c>
      <c r="H4439" s="164" t="str">
        <f ca="1">IFERROR(__xludf.DUMMYFUNCTION("""COMPUTED_VALUE"""),"Renato D. Morial")</f>
        <v>Renato D. Morial</v>
      </c>
      <c r="I4439" s="164" t="str">
        <f ca="1">IFERROR(__xludf.DUMMYFUNCTION("""COMPUTED_VALUE"""),"SARPT")</f>
        <v>SARPT</v>
      </c>
      <c r="J4439" s="164" t="str">
        <f ca="1">IFERROR(__xludf.DUMMYFUNCTION("""COMPUTED_VALUE"""),"2023-SPLIT-07/ PTR: 2023-05-025")</f>
        <v>2023-SPLIT-07/ PTR: 2023-05-025</v>
      </c>
      <c r="K4439" s="164" t="str">
        <f ca="1">IFERROR(__xludf.DUMMYFUNCTION("""COMPUTED_VALUE"""),"Jose Sebastian B. Arreza")</f>
        <v>Jose Sebastian B. Arreza</v>
      </c>
      <c r="L4439" s="164" t="str">
        <f ca="1">IFERROR(__xludf.DUMMYFUNCTION("""COMPUTED_VALUE"""),"LTI DIVISION")</f>
        <v>LTI DIVISION</v>
      </c>
      <c r="M4439" s="164" t="str">
        <f ca="1">IFERROR(__xludf.DUMMYFUNCTION("""COMPUTED_VALUE"""),"SERVICEABLE")</f>
        <v>SERVICEABLE</v>
      </c>
      <c r="N4439" s="164"/>
    </row>
    <row r="4440" spans="1:14" ht="13.2" hidden="1">
      <c r="A4440" s="164" t="str">
        <f ca="1">IFERROR(__xludf.DUMMYFUNCTION("""COMPUTED_VALUE"""),"CARAGA")</f>
        <v>CARAGA</v>
      </c>
      <c r="B4440" s="164" t="str">
        <f ca="1">IFERROR(__xludf.DUMMYFUNCTION("""COMPUTED_VALUE"""),"Surigao del Sur")</f>
        <v>Surigao del Sur</v>
      </c>
      <c r="C4440" s="164" t="str">
        <f ca="1">IFERROR(__xludf.DUMMYFUNCTION("""COMPUTED_VALUE"""),"Motorcycle – (Honda XRL 150)")</f>
        <v>Motorcycle – (Honda XRL 150)</v>
      </c>
      <c r="D4440" s="164" t="str">
        <f ca="1">IFERROR(__xludf.DUMMYFUNCTION("""COMPUTED_VALUE"""),"₱ 124,900.00")</f>
        <v>₱ 124,900.00</v>
      </c>
      <c r="E4440" s="164"/>
      <c r="F4440" s="164" t="str">
        <f ca="1">IFERROR(__xludf.DUMMYFUNCTION("""COMPUTED_VALUE"""),"2023-06-01-10202SP812-01")</f>
        <v>2023-06-01-10202SP812-01</v>
      </c>
      <c r="G4440" s="164" t="str">
        <f ca="1">IFERROR(__xludf.DUMMYFUNCTION("""COMPUTED_VALUE"""),"no plate available")</f>
        <v>no plate available</v>
      </c>
      <c r="H4440" s="164" t="str">
        <f ca="1">IFERROR(__xludf.DUMMYFUNCTION("""COMPUTED_VALUE"""),"Jefrey A. Obina")</f>
        <v>Jefrey A. Obina</v>
      </c>
      <c r="I4440" s="164" t="str">
        <f ca="1">IFERROR(__xludf.DUMMYFUNCTION("""COMPUTED_VALUE"""),"Surveying Aide")</f>
        <v>Surveying Aide</v>
      </c>
      <c r="J4440" s="164" t="str">
        <f ca="1">IFERROR(__xludf.DUMMYFUNCTION("""COMPUTED_VALUE"""),"2023-SPLIT-08/ PTR: 2023-05-025")</f>
        <v>2023-SPLIT-08/ PTR: 2023-05-025</v>
      </c>
      <c r="K4440" s="164" t="str">
        <f ca="1">IFERROR(__xludf.DUMMYFUNCTION("""COMPUTED_VALUE"""),"Jiward P. Balmoria")</f>
        <v>Jiward P. Balmoria</v>
      </c>
      <c r="L4440" s="164" t="str">
        <f ca="1">IFERROR(__xludf.DUMMYFUNCTION("""COMPUTED_VALUE"""),"DARMO-Barobo, SDS")</f>
        <v>DARMO-Barobo, SDS</v>
      </c>
      <c r="M4440" s="164" t="str">
        <f ca="1">IFERROR(__xludf.DUMMYFUNCTION("""COMPUTED_VALUE"""),"SERVICEABLE")</f>
        <v>SERVICEABLE</v>
      </c>
      <c r="N4440" s="164"/>
    </row>
    <row r="4441" spans="1:14" ht="13.2" hidden="1">
      <c r="A4441" s="164" t="str">
        <f ca="1">IFERROR(__xludf.DUMMYFUNCTION("""COMPUTED_VALUE"""),"CARAGA")</f>
        <v>CARAGA</v>
      </c>
      <c r="B4441" s="164" t="str">
        <f ca="1">IFERROR(__xludf.DUMMYFUNCTION("""COMPUTED_VALUE"""),"Surigao del Sur")</f>
        <v>Surigao del Sur</v>
      </c>
      <c r="C4441" s="164" t="str">
        <f ca="1">IFERROR(__xludf.DUMMYFUNCTION("""COMPUTED_VALUE"""),"Motorcycle – (Honda XRL 150)")</f>
        <v>Motorcycle – (Honda XRL 150)</v>
      </c>
      <c r="D4441" s="164" t="str">
        <f ca="1">IFERROR(__xludf.DUMMYFUNCTION("""COMPUTED_VALUE"""),"₱ 124,900.00")</f>
        <v>₱ 124,900.00</v>
      </c>
      <c r="E4441" s="164"/>
      <c r="F4441" s="164" t="str">
        <f ca="1">IFERROR(__xludf.DUMMYFUNCTION("""COMPUTED_VALUE"""),"2023-06-01-10202SP813-01")</f>
        <v>2023-06-01-10202SP813-01</v>
      </c>
      <c r="G4441" s="164" t="str">
        <f ca="1">IFERROR(__xludf.DUMMYFUNCTION("""COMPUTED_VALUE"""),"no plate available")</f>
        <v>no plate available</v>
      </c>
      <c r="H4441" s="164" t="str">
        <f ca="1">IFERROR(__xludf.DUMMYFUNCTION("""COMPUTED_VALUE"""),"Junelyn A. Pagaran")</f>
        <v>Junelyn A. Pagaran</v>
      </c>
      <c r="I4441" s="164" t="str">
        <f ca="1">IFERROR(__xludf.DUMMYFUNCTION("""COMPUTED_VALUE"""),"ARPO I")</f>
        <v>ARPO I</v>
      </c>
      <c r="J4441" s="164" t="str">
        <f ca="1">IFERROR(__xludf.DUMMYFUNCTION("""COMPUTED_VALUE"""),"2023-SPLIT-09/ PTR: 2023-05-025")</f>
        <v>2023-SPLIT-09/ PTR: 2023-05-025</v>
      </c>
      <c r="K4441" s="164" t="str">
        <f ca="1">IFERROR(__xludf.DUMMYFUNCTION("""COMPUTED_VALUE"""),"Cris T. Josol")</f>
        <v>Cris T. Josol</v>
      </c>
      <c r="L4441" s="164" t="str">
        <f ca="1">IFERROR(__xludf.DUMMYFUNCTION("""COMPUTED_VALUE"""),"LTI DIVISION")</f>
        <v>LTI DIVISION</v>
      </c>
      <c r="M4441" s="164" t="str">
        <f ca="1">IFERROR(__xludf.DUMMYFUNCTION("""COMPUTED_VALUE"""),"SERVICEABLE")</f>
        <v>SERVICEABLE</v>
      </c>
      <c r="N4441" s="164"/>
    </row>
    <row r="4442" spans="1:14" ht="13.2" hidden="1">
      <c r="A4442" s="164" t="str">
        <f ca="1">IFERROR(__xludf.DUMMYFUNCTION("""COMPUTED_VALUE"""),"CARAGA")</f>
        <v>CARAGA</v>
      </c>
      <c r="B4442" s="164" t="str">
        <f ca="1">IFERROR(__xludf.DUMMYFUNCTION("""COMPUTED_VALUE"""),"Surigao del Sur")</f>
        <v>Surigao del Sur</v>
      </c>
      <c r="C4442" s="164" t="str">
        <f ca="1">IFERROR(__xludf.DUMMYFUNCTION("""COMPUTED_VALUE"""),"Motorcycle – (Honda XRL 150)")</f>
        <v>Motorcycle – (Honda XRL 150)</v>
      </c>
      <c r="D4442" s="164" t="str">
        <f ca="1">IFERROR(__xludf.DUMMYFUNCTION("""COMPUTED_VALUE"""),"₱ 124,900.00")</f>
        <v>₱ 124,900.00</v>
      </c>
      <c r="E4442" s="164"/>
      <c r="F4442" s="164" t="str">
        <f ca="1">IFERROR(__xludf.DUMMYFUNCTION("""COMPUTED_VALUE"""),"2023-06-01-10202SP814-01")</f>
        <v>2023-06-01-10202SP814-01</v>
      </c>
      <c r="G4442" s="164" t="str">
        <f ca="1">IFERROR(__xludf.DUMMYFUNCTION("""COMPUTED_VALUE"""),"no plate available")</f>
        <v>no plate available</v>
      </c>
      <c r="H4442" s="164" t="str">
        <f ca="1">IFERROR(__xludf.DUMMYFUNCTION("""COMPUTED_VALUE"""),"Caribean Casio")</f>
        <v>Caribean Casio</v>
      </c>
      <c r="I4442" s="164" t="str">
        <f ca="1">IFERROR(__xludf.DUMMYFUNCTION("""COMPUTED_VALUE"""),"SARPT")</f>
        <v>SARPT</v>
      </c>
      <c r="J4442" s="164" t="str">
        <f ca="1">IFERROR(__xludf.DUMMYFUNCTION("""COMPUTED_VALUE"""),"2023-SPLIT-10/ PTR: 2023-05-025")</f>
        <v>2023-SPLIT-10/ PTR: 2023-05-025</v>
      </c>
      <c r="K4442" s="164" t="str">
        <f ca="1">IFERROR(__xludf.DUMMYFUNCTION("""COMPUTED_VALUE"""),"Mark Renz D. Perez")</f>
        <v>Mark Renz D. Perez</v>
      </c>
      <c r="L4442" s="164" t="str">
        <f ca="1">IFERROR(__xludf.DUMMYFUNCTION("""COMPUTED_VALUE"""),"DARMO-Tandag, SDS")</f>
        <v>DARMO-Tandag, SDS</v>
      </c>
      <c r="M4442" s="164" t="str">
        <f ca="1">IFERROR(__xludf.DUMMYFUNCTION("""COMPUTED_VALUE"""),"SERVICEABLE")</f>
        <v>SERVICEABLE</v>
      </c>
      <c r="N4442" s="164" t="str">
        <f ca="1">IFERROR(__xludf.DUMMYFUNCTION("""COMPUTED_VALUE"""),"Returned to GSS due to retirement")</f>
        <v>Returned to GSS due to retirement</v>
      </c>
    </row>
    <row r="4443" spans="1:14" ht="13.2" hidden="1">
      <c r="A4443" s="164" t="str">
        <f ca="1">IFERROR(__xludf.DUMMYFUNCTION("""COMPUTED_VALUE"""),"CARAGA")</f>
        <v>CARAGA</v>
      </c>
      <c r="B4443" s="164" t="str">
        <f ca="1">IFERROR(__xludf.DUMMYFUNCTION("""COMPUTED_VALUE"""),"Surigao del Sur")</f>
        <v>Surigao del Sur</v>
      </c>
      <c r="C4443" s="164" t="str">
        <f ca="1">IFERROR(__xludf.DUMMYFUNCTION("""COMPUTED_VALUE"""),"Motorcycle – (Honda XRL 150)")</f>
        <v>Motorcycle – (Honda XRL 150)</v>
      </c>
      <c r="D4443" s="164" t="str">
        <f ca="1">IFERROR(__xludf.DUMMYFUNCTION("""COMPUTED_VALUE"""),"₱ 124,900.00")</f>
        <v>₱ 124,900.00</v>
      </c>
      <c r="E4443" s="164"/>
      <c r="F4443" s="164" t="str">
        <f ca="1">IFERROR(__xludf.DUMMYFUNCTION("""COMPUTED_VALUE"""),"2023-06-01-10202SP815-01")</f>
        <v>2023-06-01-10202SP815-01</v>
      </c>
      <c r="G4443" s="164" t="str">
        <f ca="1">IFERROR(__xludf.DUMMYFUNCTION("""COMPUTED_VALUE"""),"no plate available")</f>
        <v>no plate available</v>
      </c>
      <c r="H4443" s="164" t="str">
        <f ca="1">IFERROR(__xludf.DUMMYFUNCTION("""COMPUTED_VALUE"""),"JB Sorongon")</f>
        <v>JB Sorongon</v>
      </c>
      <c r="I4443" s="164" t="str">
        <f ca="1">IFERROR(__xludf.DUMMYFUNCTION("""COMPUTED_VALUE"""),"ARPT")</f>
        <v>ARPT</v>
      </c>
      <c r="J4443" s="164" t="str">
        <f ca="1">IFERROR(__xludf.DUMMYFUNCTION("""COMPUTED_VALUE"""),"2023-SPLIT-11/ PTR: 2023-05-025")</f>
        <v>2023-SPLIT-11/ PTR: 2023-05-025</v>
      </c>
      <c r="K4443" s="164" t="str">
        <f ca="1">IFERROR(__xludf.DUMMYFUNCTION("""COMPUTED_VALUE"""),"Leonardo A. Rivera")</f>
        <v>Leonardo A. Rivera</v>
      </c>
      <c r="L4443" s="164" t="str">
        <f ca="1">IFERROR(__xludf.DUMMYFUNCTION("""COMPUTED_VALUE"""),"DARMO-Marihatag, SDS")</f>
        <v>DARMO-Marihatag, SDS</v>
      </c>
      <c r="M4443" s="164" t="str">
        <f ca="1">IFERROR(__xludf.DUMMYFUNCTION("""COMPUTED_VALUE"""),"SERVICEABLE")</f>
        <v>SERVICEABLE</v>
      </c>
      <c r="N4443" s="164"/>
    </row>
    <row r="4444" spans="1:14" ht="13.2" hidden="1">
      <c r="A4444" s="164" t="str">
        <f ca="1">IFERROR(__xludf.DUMMYFUNCTION("""COMPUTED_VALUE"""),"CARAGA")</f>
        <v>CARAGA</v>
      </c>
      <c r="B4444" s="164" t="str">
        <f ca="1">IFERROR(__xludf.DUMMYFUNCTION("""COMPUTED_VALUE"""),"Surigao del Sur")</f>
        <v>Surigao del Sur</v>
      </c>
      <c r="C4444" s="164" t="str">
        <f ca="1">IFERROR(__xludf.DUMMYFUNCTION("""COMPUTED_VALUE"""),"Motorcycle – (Honda XRL 150)")</f>
        <v>Motorcycle – (Honda XRL 150)</v>
      </c>
      <c r="D4444" s="164" t="str">
        <f ca="1">IFERROR(__xludf.DUMMYFUNCTION("""COMPUTED_VALUE"""),"₱ 124,900.00")</f>
        <v>₱ 124,900.00</v>
      </c>
      <c r="E4444" s="164"/>
      <c r="F4444" s="164" t="str">
        <f ca="1">IFERROR(__xludf.DUMMYFUNCTION("""COMPUTED_VALUE"""),"2023-06-01-10202SP816-01")</f>
        <v>2023-06-01-10202SP816-01</v>
      </c>
      <c r="G4444" s="164" t="str">
        <f ca="1">IFERROR(__xludf.DUMMYFUNCTION("""COMPUTED_VALUE"""),"no plate available")</f>
        <v>no plate available</v>
      </c>
      <c r="H4444" s="164" t="str">
        <f ca="1">IFERROR(__xludf.DUMMYFUNCTION("""COMPUTED_VALUE"""),"Jerry R. Villason")</f>
        <v>Jerry R. Villason</v>
      </c>
      <c r="I4444" s="164" t="str">
        <f ca="1">IFERROR(__xludf.DUMMYFUNCTION("""COMPUTED_VALUE"""),"OIC-PARPO II")</f>
        <v>OIC-PARPO II</v>
      </c>
      <c r="J4444" s="164" t="str">
        <f ca="1">IFERROR(__xludf.DUMMYFUNCTION("""COMPUTED_VALUE"""),"2023-SPLIT-12/ PTR: 2023-05-025")</f>
        <v>2023-SPLIT-12/ PTR: 2023-05-025</v>
      </c>
      <c r="K4444" s="164" t="str">
        <f ca="1">IFERROR(__xludf.DUMMYFUNCTION("""COMPUTED_VALUE"""),"Mark Sean Anthony Mendoza")</f>
        <v>Mark Sean Anthony Mendoza</v>
      </c>
      <c r="L4444" s="164" t="str">
        <f ca="1">IFERROR(__xludf.DUMMYFUNCTION("""COMPUTED_VALUE"""),"OFFICE OF THE PARO II")</f>
        <v>OFFICE OF THE PARO II</v>
      </c>
      <c r="M4444" s="164" t="str">
        <f ca="1">IFERROR(__xludf.DUMMYFUNCTION("""COMPUTED_VALUE"""),"SERVICEABLE")</f>
        <v>SERVICEABLE</v>
      </c>
      <c r="N4444" s="164"/>
    </row>
    <row r="4445" spans="1:14" ht="13.2" hidden="1">
      <c r="A4445" s="164" t="str">
        <f ca="1">IFERROR(__xludf.DUMMYFUNCTION("""COMPUTED_VALUE"""),"CARAGA")</f>
        <v>CARAGA</v>
      </c>
      <c r="B4445" s="164" t="str">
        <f ca="1">IFERROR(__xludf.DUMMYFUNCTION("""COMPUTED_VALUE"""),"Surigao del Sur")</f>
        <v>Surigao del Sur</v>
      </c>
      <c r="C4445" s="164" t="str">
        <f ca="1">IFERROR(__xludf.DUMMYFUNCTION("""COMPUTED_VALUE"""),"Motorcycle – (Honda XRL 150)")</f>
        <v>Motorcycle – (Honda XRL 150)</v>
      </c>
      <c r="D4445" s="164" t="str">
        <f ca="1">IFERROR(__xludf.DUMMYFUNCTION("""COMPUTED_VALUE"""),"₱ 124,900.00")</f>
        <v>₱ 124,900.00</v>
      </c>
      <c r="E4445" s="164"/>
      <c r="F4445" s="164" t="str">
        <f ca="1">IFERROR(__xludf.DUMMYFUNCTION("""COMPUTED_VALUE"""),"2023-06-01-10202SP817-01")</f>
        <v>2023-06-01-10202SP817-01</v>
      </c>
      <c r="G4445" s="164" t="str">
        <f ca="1">IFERROR(__xludf.DUMMYFUNCTION("""COMPUTED_VALUE"""),"no plate available")</f>
        <v>no plate available</v>
      </c>
      <c r="H4445" s="164" t="str">
        <f ca="1">IFERROR(__xludf.DUMMYFUNCTION("""COMPUTED_VALUE"""),"Renato D. Morial")</f>
        <v>Renato D. Morial</v>
      </c>
      <c r="I4445" s="164" t="str">
        <f ca="1">IFERROR(__xludf.DUMMYFUNCTION("""COMPUTED_VALUE"""),"SARPT")</f>
        <v>SARPT</v>
      </c>
      <c r="J4445" s="164" t="str">
        <f ca="1">IFERROR(__xludf.DUMMYFUNCTION("""COMPUTED_VALUE"""),"2023-SPLIT-13/ PTR: 2023-05-025")</f>
        <v>2023-SPLIT-13/ PTR: 2023-05-025</v>
      </c>
      <c r="K4445" s="164" t="str">
        <f ca="1">IFERROR(__xludf.DUMMYFUNCTION("""COMPUTED_VALUE"""),"Gilbert P. Garcia")</f>
        <v>Gilbert P. Garcia</v>
      </c>
      <c r="L4445" s="164" t="str">
        <f ca="1">IFERROR(__xludf.DUMMYFUNCTION("""COMPUTED_VALUE"""),"LTI DIVISION")</f>
        <v>LTI DIVISION</v>
      </c>
      <c r="M4445" s="164" t="str">
        <f ca="1">IFERROR(__xludf.DUMMYFUNCTION("""COMPUTED_VALUE"""),"SERVICEABLE")</f>
        <v>SERVICEABLE</v>
      </c>
      <c r="N4445" s="164"/>
    </row>
    <row r="4446" spans="1:14" ht="13.2" hidden="1">
      <c r="A4446" s="164" t="str">
        <f ca="1">IFERROR(__xludf.DUMMYFUNCTION("""COMPUTED_VALUE"""),"CARAGA")</f>
        <v>CARAGA</v>
      </c>
      <c r="B4446" s="164" t="str">
        <f ca="1">IFERROR(__xludf.DUMMYFUNCTION("""COMPUTED_VALUE"""),"Surigao del Sur")</f>
        <v>Surigao del Sur</v>
      </c>
      <c r="C4446" s="164" t="str">
        <f ca="1">IFERROR(__xludf.DUMMYFUNCTION("""COMPUTED_VALUE"""),"Motorcycle – (Honda XRL 150)")</f>
        <v>Motorcycle – (Honda XRL 150)</v>
      </c>
      <c r="D4446" s="164" t="str">
        <f ca="1">IFERROR(__xludf.DUMMYFUNCTION("""COMPUTED_VALUE"""),"₱ 124,900.00")</f>
        <v>₱ 124,900.00</v>
      </c>
      <c r="E4446" s="164"/>
      <c r="F4446" s="164" t="str">
        <f ca="1">IFERROR(__xludf.DUMMYFUNCTION("""COMPUTED_VALUE"""),"2023-06-01-10202SP818-01")</f>
        <v>2023-06-01-10202SP818-01</v>
      </c>
      <c r="G4446" s="164" t="str">
        <f ca="1">IFERROR(__xludf.DUMMYFUNCTION("""COMPUTED_VALUE"""),"no plate available")</f>
        <v>no plate available</v>
      </c>
      <c r="H4446" s="164" t="str">
        <f ca="1">IFERROR(__xludf.DUMMYFUNCTION("""COMPUTED_VALUE"""),"Cheryl Zoe O. Pelayo")</f>
        <v>Cheryl Zoe O. Pelayo</v>
      </c>
      <c r="I4446" s="164" t="str">
        <f ca="1">IFERROR(__xludf.DUMMYFUNCTION("""COMPUTED_VALUE"""),"ARPO I")</f>
        <v>ARPO I</v>
      </c>
      <c r="J4446" s="164" t="str">
        <f ca="1">IFERROR(__xludf.DUMMYFUNCTION("""COMPUTED_VALUE"""),"2023-SPLIT-14/ PTR: 2023-05-025")</f>
        <v>2023-SPLIT-14/ PTR: 2023-05-025</v>
      </c>
      <c r="K4446" s="164" t="str">
        <f ca="1">IFERROR(__xludf.DUMMYFUNCTION("""COMPUTED_VALUE"""),"Louie M. Tajonera")</f>
        <v>Louie M. Tajonera</v>
      </c>
      <c r="L4446" s="164" t="str">
        <f ca="1">IFERROR(__xludf.DUMMYFUNCTION("""COMPUTED_VALUE"""),"DARMO-Madrid, SDS")</f>
        <v>DARMO-Madrid, SDS</v>
      </c>
      <c r="M4446" s="164" t="str">
        <f ca="1">IFERROR(__xludf.DUMMYFUNCTION("""COMPUTED_VALUE"""),"SERVICEABLE")</f>
        <v>SERVICEABLE</v>
      </c>
      <c r="N4446" s="164"/>
    </row>
    <row r="4447" spans="1:14" ht="13.2" hidden="1">
      <c r="A4447" s="164" t="str">
        <f ca="1">IFERROR(__xludf.DUMMYFUNCTION("""COMPUTED_VALUE"""),"CARAGA")</f>
        <v>CARAGA</v>
      </c>
      <c r="B4447" s="164" t="str">
        <f ca="1">IFERROR(__xludf.DUMMYFUNCTION("""COMPUTED_VALUE"""),"Surigao del Sur")</f>
        <v>Surigao del Sur</v>
      </c>
      <c r="C4447" s="164" t="str">
        <f ca="1">IFERROR(__xludf.DUMMYFUNCTION("""COMPUTED_VALUE"""),"Motorcycle – (Honda XRL 150)")</f>
        <v>Motorcycle – (Honda XRL 150)</v>
      </c>
      <c r="D4447" s="164" t="str">
        <f ca="1">IFERROR(__xludf.DUMMYFUNCTION("""COMPUTED_VALUE"""),"₱ 124,900.00")</f>
        <v>₱ 124,900.00</v>
      </c>
      <c r="E4447" s="164"/>
      <c r="F4447" s="164" t="str">
        <f ca="1">IFERROR(__xludf.DUMMYFUNCTION("""COMPUTED_VALUE"""),"2023-06-01-10202SP819-01")</f>
        <v>2023-06-01-10202SP819-01</v>
      </c>
      <c r="G4447" s="164" t="str">
        <f ca="1">IFERROR(__xludf.DUMMYFUNCTION("""COMPUTED_VALUE"""),"no plate available")</f>
        <v>no plate available</v>
      </c>
      <c r="H4447" s="164" t="str">
        <f ca="1">IFERROR(__xludf.DUMMYFUNCTION("""COMPUTED_VALUE"""),"Jay Brian Sumabat")</f>
        <v>Jay Brian Sumabat</v>
      </c>
      <c r="I4447" s="164" t="str">
        <f ca="1">IFERROR(__xludf.DUMMYFUNCTION("""COMPUTED_VALUE"""),"ARPT")</f>
        <v>ARPT</v>
      </c>
      <c r="J4447" s="164" t="str">
        <f ca="1">IFERROR(__xludf.DUMMYFUNCTION("""COMPUTED_VALUE"""),"2023-SPLIT-15/ PTR: 2023-05-025")</f>
        <v>2023-SPLIT-15/ PTR: 2023-05-025</v>
      </c>
      <c r="K4447" s="164" t="str">
        <f ca="1">IFERROR(__xludf.DUMMYFUNCTION("""COMPUTED_VALUE"""),"Sophonias J. Igsolo")</f>
        <v>Sophonias J. Igsolo</v>
      </c>
      <c r="L4447" s="164" t="str">
        <f ca="1">IFERROR(__xludf.DUMMYFUNCTION("""COMPUTED_VALUE"""),"DARMO-Tagbina, SDS")</f>
        <v>DARMO-Tagbina, SDS</v>
      </c>
      <c r="M4447" s="164" t="str">
        <f ca="1">IFERROR(__xludf.DUMMYFUNCTION("""COMPUTED_VALUE"""),"SERVICEABLE")</f>
        <v>SERVICEABLE</v>
      </c>
      <c r="N4447" s="164"/>
    </row>
    <row r="4448" spans="1:14" ht="13.2" hidden="1">
      <c r="A4448" s="164" t="str">
        <f ca="1">IFERROR(__xludf.DUMMYFUNCTION("""COMPUTED_VALUE"""),"CARAGA")</f>
        <v>CARAGA</v>
      </c>
      <c r="B4448" s="164" t="str">
        <f ca="1">IFERROR(__xludf.DUMMYFUNCTION("""COMPUTED_VALUE"""),"Surigao del Sur")</f>
        <v>Surigao del Sur</v>
      </c>
      <c r="C4448" s="164" t="str">
        <f ca="1">IFERROR(__xludf.DUMMYFUNCTION("""COMPUTED_VALUE"""),"Motorcycle – (Honda XRL 150)")</f>
        <v>Motorcycle – (Honda XRL 150)</v>
      </c>
      <c r="D4448" s="164" t="str">
        <f ca="1">IFERROR(__xludf.DUMMYFUNCTION("""COMPUTED_VALUE"""),"₱ 124,900.00")</f>
        <v>₱ 124,900.00</v>
      </c>
      <c r="E4448" s="164"/>
      <c r="F4448" s="164" t="str">
        <f ca="1">IFERROR(__xludf.DUMMYFUNCTION("""COMPUTED_VALUE"""),"2023-06-01-10202SP820-01")</f>
        <v>2023-06-01-10202SP820-01</v>
      </c>
      <c r="G4448" s="164" t="str">
        <f ca="1">IFERROR(__xludf.DUMMYFUNCTION("""COMPUTED_VALUE"""),"no plate available")</f>
        <v>no plate available</v>
      </c>
      <c r="H4448" s="164" t="str">
        <f ca="1">IFERROR(__xludf.DUMMYFUNCTION("""COMPUTED_VALUE"""),"Jeric R. Villason")</f>
        <v>Jeric R. Villason</v>
      </c>
      <c r="I4448" s="164" t="str">
        <f ca="1">IFERROR(__xludf.DUMMYFUNCTION("""COMPUTED_VALUE"""),"ARPO I")</f>
        <v>ARPO I</v>
      </c>
      <c r="J4448" s="164" t="str">
        <f ca="1">IFERROR(__xludf.DUMMYFUNCTION("""COMPUTED_VALUE"""),"2023-SPLIT-16/ PTR: 2023-05-025")</f>
        <v>2023-SPLIT-16/ PTR: 2023-05-025</v>
      </c>
      <c r="K4448" s="164" t="str">
        <f ca="1">IFERROR(__xludf.DUMMYFUNCTION("""COMPUTED_VALUE"""),"Jeric R. Villason")</f>
        <v>Jeric R. Villason</v>
      </c>
      <c r="L4448" s="164" t="str">
        <f ca="1">IFERROR(__xludf.DUMMYFUNCTION("""COMPUTED_VALUE"""),"PBD DIVISION")</f>
        <v>PBD DIVISION</v>
      </c>
      <c r="M4448" s="164" t="str">
        <f ca="1">IFERROR(__xludf.DUMMYFUNCTION("""COMPUTED_VALUE"""),"SERVICEABLE")</f>
        <v>SERVICEABLE</v>
      </c>
      <c r="N4448" s="164"/>
    </row>
    <row r="4449" spans="1:14" ht="13.2" hidden="1">
      <c r="A4449" s="164" t="str">
        <f ca="1">IFERROR(__xludf.DUMMYFUNCTION("""COMPUTED_VALUE"""),"CARAGA")</f>
        <v>CARAGA</v>
      </c>
      <c r="B4449" s="164" t="str">
        <f ca="1">IFERROR(__xludf.DUMMYFUNCTION("""COMPUTED_VALUE"""),"Surigao del Sur")</f>
        <v>Surigao del Sur</v>
      </c>
      <c r="C4449" s="164" t="str">
        <f ca="1">IFERROR(__xludf.DUMMYFUNCTION("""COMPUTED_VALUE"""),"Motorcycle – (Honda XRL 150)")</f>
        <v>Motorcycle – (Honda XRL 150)</v>
      </c>
      <c r="D4449" s="164" t="str">
        <f ca="1">IFERROR(__xludf.DUMMYFUNCTION("""COMPUTED_VALUE"""),"₱ 124,900.00")</f>
        <v>₱ 124,900.00</v>
      </c>
      <c r="E4449" s="164"/>
      <c r="F4449" s="164" t="str">
        <f ca="1">IFERROR(__xludf.DUMMYFUNCTION("""COMPUTED_VALUE"""),"2023-06-01-10202SP803-01")</f>
        <v>2023-06-01-10202SP803-01</v>
      </c>
      <c r="G4449" s="164" t="str">
        <f ca="1">IFERROR(__xludf.DUMMYFUNCTION("""COMPUTED_VALUE"""),"no plate available")</f>
        <v>no plate available</v>
      </c>
      <c r="H4449" s="164" t="str">
        <f ca="1">IFERROR(__xludf.DUMMYFUNCTION("""COMPUTED_VALUE"""),"Rochelly A. Cahilog")</f>
        <v>Rochelly A. Cahilog</v>
      </c>
      <c r="I4449" s="164" t="str">
        <f ca="1">IFERROR(__xludf.DUMMYFUNCTION("""COMPUTED_VALUE"""),"ARPO I")</f>
        <v>ARPO I</v>
      </c>
      <c r="J4449" s="164"/>
      <c r="K4449" s="164" t="str">
        <f ca="1">IFERROR(__xludf.DUMMYFUNCTION("""COMPUTED_VALUE"""),"Reuben J. Pacheco")</f>
        <v>Reuben J. Pacheco</v>
      </c>
      <c r="L4449" s="164" t="str">
        <f ca="1">IFERROR(__xludf.DUMMYFUNCTION("""COMPUTED_VALUE"""),"LTI DIVISION")</f>
        <v>LTI DIVISION</v>
      </c>
      <c r="M4449" s="164" t="str">
        <f ca="1">IFERROR(__xludf.DUMMYFUNCTION("""COMPUTED_VALUE"""),"SERVICEABLE")</f>
        <v>SERVICEABLE</v>
      </c>
      <c r="N4449" s="164" t="str">
        <f ca="1">IFERROR(__xludf.DUMMYFUNCTION("""COMPUTED_VALUE"""),"from region transfer to surigao")</f>
        <v>from region transfer to surigao</v>
      </c>
    </row>
    <row r="4450" spans="1:14" ht="13.2" hidden="1">
      <c r="A4450" s="164" t="str">
        <f ca="1">IFERROR(__xludf.DUMMYFUNCTION("""COMPUTED_VALUE"""),"CARAGA")</f>
        <v>CARAGA</v>
      </c>
      <c r="B4450" s="164" t="str">
        <f ca="1">IFERROR(__xludf.DUMMYFUNCTION("""COMPUTED_VALUE"""),"Surigao del Sur")</f>
        <v>Surigao del Sur</v>
      </c>
      <c r="C4450" s="164" t="str">
        <f ca="1">IFERROR(__xludf.DUMMYFUNCTION("""COMPUTED_VALUE"""),"Motorcycle – (Honda XRL 150)")</f>
        <v>Motorcycle – (Honda XRL 150)</v>
      </c>
      <c r="D4450" s="164" t="str">
        <f ca="1">IFERROR(__xludf.DUMMYFUNCTION("""COMPUTED_VALUE"""),"₱ 124,900.00")</f>
        <v>₱ 124,900.00</v>
      </c>
      <c r="E4450" s="164"/>
      <c r="F4450" s="164" t="str">
        <f ca="1">IFERROR(__xludf.DUMMYFUNCTION("""COMPUTED_VALUE"""),"2023-06-01-10202SP791-01")</f>
        <v>2023-06-01-10202SP791-01</v>
      </c>
      <c r="G4450" s="164" t="str">
        <f ca="1">IFERROR(__xludf.DUMMYFUNCTION("""COMPUTED_VALUE"""),"no plate available")</f>
        <v>no plate available</v>
      </c>
      <c r="H4450" s="164" t="str">
        <f ca="1">IFERROR(__xludf.DUMMYFUNCTION("""COMPUTED_VALUE"""),"Revolex A. Maglinte")</f>
        <v>Revolex A. Maglinte</v>
      </c>
      <c r="I4450" s="164" t="str">
        <f ca="1">IFERROR(__xludf.DUMMYFUNCTION("""COMPUTED_VALUE"""),"ARPO II")</f>
        <v>ARPO II</v>
      </c>
      <c r="J4450" s="164"/>
      <c r="K4450" s="164" t="str">
        <f ca="1">IFERROR(__xludf.DUMMYFUNCTION("""COMPUTED_VALUE"""),"Jobert Velasco")</f>
        <v>Jobert Velasco</v>
      </c>
      <c r="L4450" s="164" t="str">
        <f ca="1">IFERROR(__xludf.DUMMYFUNCTION("""COMPUTED_VALUE"""),"LEGAL DIVISION")</f>
        <v>LEGAL DIVISION</v>
      </c>
      <c r="M4450" s="164" t="str">
        <f ca="1">IFERROR(__xludf.DUMMYFUNCTION("""COMPUTED_VALUE"""),"SERVICEABLE")</f>
        <v>SERVICEABLE</v>
      </c>
      <c r="N4450" s="164" t="str">
        <f ca="1">IFERROR(__xludf.DUMMYFUNCTION("""COMPUTED_VALUE"""),"from region transfer to surigao")</f>
        <v>from region transfer to surigao</v>
      </c>
    </row>
    <row r="4451" spans="1:14" ht="13.2" hidden="1">
      <c r="A4451" s="164" t="str">
        <f ca="1">IFERROR(__xludf.DUMMYFUNCTION("""COMPUTED_VALUE"""),"CARAGA")</f>
        <v>CARAGA</v>
      </c>
      <c r="B4451" s="164"/>
      <c r="C4451" s="164" t="str">
        <f ca="1">IFERROR(__xludf.DUMMYFUNCTION("""COMPUTED_VALUE"""),"Double Cabin Pick-up Vehicles – Mitsubishi Strada")</f>
        <v>Double Cabin Pick-up Vehicles – Mitsubishi Strada</v>
      </c>
      <c r="D4451" s="164" t="str">
        <f ca="1">IFERROR(__xludf.DUMMYFUNCTION("""COMPUTED_VALUE"""),"₱ 1,752,400.00")</f>
        <v>₱ 1,752,400.00</v>
      </c>
      <c r="E4451" s="164"/>
      <c r="F4451" s="164" t="str">
        <f ca="1">IFERROR(__xludf.DUMMYFUNCTION("""COMPUTED_VALUE"""),"2023-06-01-10201SP03-01")</f>
        <v>2023-06-01-10201SP03-01</v>
      </c>
      <c r="G4451" s="164" t="str">
        <f ca="1">IFERROR(__xludf.DUMMYFUNCTION("""COMPUTED_VALUE"""),"Y2-Z506/SNC 1051/NFX 1646")</f>
        <v>Y2-Z506/SNC 1051/NFX 1646</v>
      </c>
      <c r="H4451" s="164"/>
      <c r="I4451" s="164" t="str">
        <f ca="1">IFERROR(__xludf.DUMMYFUNCTION("""COMPUTED_VALUE"""),"ATTY. MCDONALD GALIT")</f>
        <v>ATTY. MCDONALD GALIT</v>
      </c>
      <c r="J4451" s="164" t="str">
        <f ca="1">IFERROR(__xludf.DUMMYFUNCTION("""COMPUTED_VALUE"""),"2024-02-004MV")</f>
        <v>2024-02-004MV</v>
      </c>
      <c r="K4451" s="164"/>
      <c r="L4451" s="164"/>
      <c r="M4451" s="164" t="str">
        <f ca="1">IFERROR(__xludf.DUMMYFUNCTION("""COMPUTED_VALUE"""),"SERVICEABLE")</f>
        <v>SERVICEABLE</v>
      </c>
      <c r="N4451" s="164" t="str">
        <f ca="1">IFERROR(__xludf.DUMMYFUNCTION("""COMPUTED_VALUE"""),"RD Merly")</f>
        <v>RD Merly</v>
      </c>
    </row>
    <row r="4452" spans="1:14" ht="13.2" hidden="1">
      <c r="A4452" s="164" t="str">
        <f ca="1">IFERROR(__xludf.DUMMYFUNCTION("""COMPUTED_VALUE"""),"DENR")</f>
        <v>DENR</v>
      </c>
      <c r="B4452" s="164" t="str">
        <f ca="1">IFERROR(__xludf.DUMMYFUNCTION("""COMPUTED_VALUE"""),"NAMRIA")</f>
        <v>NAMRIA</v>
      </c>
      <c r="C4452" s="164" t="str">
        <f ca="1">IFERROR(__xludf.DUMMYFUNCTION("""COMPUTED_VALUE"""),"Desktop Computer – (HP Pro SFF 280G9)")</f>
        <v>Desktop Computer – (HP Pro SFF 280G9)</v>
      </c>
      <c r="D4452" s="164"/>
      <c r="E4452" s="164"/>
      <c r="F4452" s="164" t="str">
        <f ca="1">IFERROR(__xludf.DUMMYFUNCTION("""COMPUTED_VALUE"""),"2023-05-03-10201SP412-01")</f>
        <v>2023-05-03-10201SP412-01</v>
      </c>
      <c r="G4452" s="164"/>
      <c r="H4452" s="164" t="str">
        <f ca="1">IFERROR(__xludf.DUMMYFUNCTION("""COMPUTED_VALUE"""),"BEATA D BATADLAN")</f>
        <v>BEATA D BATADLAN</v>
      </c>
      <c r="I4452" s="164" t="str">
        <f ca="1">IFERROR(__xludf.DUMMYFUNCTION("""COMPUTED_VALUE"""),"CHIEF LCD")</f>
        <v>CHIEF LCD</v>
      </c>
      <c r="J4452" s="164" t="str">
        <f ca="1">IFERROR(__xludf.DUMMYFUNCTION("""COMPUTED_VALUE"""),"2023-08-026DS")</f>
        <v>2023-08-026DS</v>
      </c>
      <c r="K4452" s="164"/>
      <c r="L4452" s="164" t="str">
        <f ca="1">IFERROR(__xludf.DUMMYFUNCTION("""COMPUTED_VALUE"""),"DENR NAMRIA")</f>
        <v>DENR NAMRIA</v>
      </c>
      <c r="M4452" s="164" t="str">
        <f ca="1">IFERROR(__xludf.DUMMYFUNCTION("""COMPUTED_VALUE"""),"SERVICEABLE")</f>
        <v>SERVICEABLE</v>
      </c>
      <c r="N4452" s="164"/>
    </row>
    <row r="4453" spans="1:14" ht="13.2" hidden="1">
      <c r="A4453" s="164" t="str">
        <f ca="1">IFERROR(__xludf.DUMMYFUNCTION("""COMPUTED_VALUE"""),"DENR")</f>
        <v>DENR</v>
      </c>
      <c r="B4453" s="164" t="str">
        <f ca="1">IFERROR(__xludf.DUMMYFUNCTION("""COMPUTED_VALUE"""),"NAMRIA")</f>
        <v>NAMRIA</v>
      </c>
      <c r="C4453" s="164" t="str">
        <f ca="1">IFERROR(__xludf.DUMMYFUNCTION("""COMPUTED_VALUE"""),"Desktop Computer – (HP Pro SFF 280G9)")</f>
        <v>Desktop Computer – (HP Pro SFF 280G9)</v>
      </c>
      <c r="D4453" s="164"/>
      <c r="E4453" s="164"/>
      <c r="F4453" s="164" t="str">
        <f ca="1">IFERROR(__xludf.DUMMYFUNCTION("""COMPUTED_VALUE"""),"2023-05-03-10201SP413-01")</f>
        <v>2023-05-03-10201SP413-01</v>
      </c>
      <c r="G4453" s="164"/>
      <c r="H4453" s="164" t="str">
        <f ca="1">IFERROR(__xludf.DUMMYFUNCTION("""COMPUTED_VALUE"""),"BEATA D BATADLAN")</f>
        <v>BEATA D BATADLAN</v>
      </c>
      <c r="I4453" s="164" t="str">
        <f ca="1">IFERROR(__xludf.DUMMYFUNCTION("""COMPUTED_VALUE"""),"CHIEF LCD")</f>
        <v>CHIEF LCD</v>
      </c>
      <c r="J4453" s="164" t="str">
        <f ca="1">IFERROR(__xludf.DUMMYFUNCTION("""COMPUTED_VALUE"""),"2023-08-026DS")</f>
        <v>2023-08-026DS</v>
      </c>
      <c r="K4453" s="164"/>
      <c r="L4453" s="164" t="str">
        <f ca="1">IFERROR(__xludf.DUMMYFUNCTION("""COMPUTED_VALUE"""),"DENR NAMRIA")</f>
        <v>DENR NAMRIA</v>
      </c>
      <c r="M4453" s="164" t="str">
        <f ca="1">IFERROR(__xludf.DUMMYFUNCTION("""COMPUTED_VALUE"""),"SERVICEABLE")</f>
        <v>SERVICEABLE</v>
      </c>
      <c r="N4453" s="164"/>
    </row>
    <row r="4454" spans="1:14" ht="13.2" hidden="1">
      <c r="A4454" s="164" t="str">
        <f ca="1">IFERROR(__xludf.DUMMYFUNCTION("""COMPUTED_VALUE"""),"DENR")</f>
        <v>DENR</v>
      </c>
      <c r="B4454" s="164" t="str">
        <f ca="1">IFERROR(__xludf.DUMMYFUNCTION("""COMPUTED_VALUE"""),"NAMRIA")</f>
        <v>NAMRIA</v>
      </c>
      <c r="C4454" s="164" t="str">
        <f ca="1">IFERROR(__xludf.DUMMYFUNCTION("""COMPUTED_VALUE"""),"Desktop Computer – (HP Pro SFF 280G9)")</f>
        <v>Desktop Computer – (HP Pro SFF 280G9)</v>
      </c>
      <c r="D4454" s="164"/>
      <c r="E4454" s="164"/>
      <c r="F4454" s="164" t="str">
        <f ca="1">IFERROR(__xludf.DUMMYFUNCTION("""COMPUTED_VALUE"""),"2023-05-03-10201SP414-01")</f>
        <v>2023-05-03-10201SP414-01</v>
      </c>
      <c r="G4454" s="164"/>
      <c r="H4454" s="164" t="str">
        <f ca="1">IFERROR(__xludf.DUMMYFUNCTION("""COMPUTED_VALUE"""),"BEATA D BATADLAN")</f>
        <v>BEATA D BATADLAN</v>
      </c>
      <c r="I4454" s="164" t="str">
        <f ca="1">IFERROR(__xludf.DUMMYFUNCTION("""COMPUTED_VALUE"""),"CHIEF LCD")</f>
        <v>CHIEF LCD</v>
      </c>
      <c r="J4454" s="164" t="str">
        <f ca="1">IFERROR(__xludf.DUMMYFUNCTION("""COMPUTED_VALUE"""),"2023-08-026DS")</f>
        <v>2023-08-026DS</v>
      </c>
      <c r="K4454" s="164"/>
      <c r="L4454" s="164" t="str">
        <f ca="1">IFERROR(__xludf.DUMMYFUNCTION("""COMPUTED_VALUE"""),"DENR NAMRIA")</f>
        <v>DENR NAMRIA</v>
      </c>
      <c r="M4454" s="164" t="str">
        <f ca="1">IFERROR(__xludf.DUMMYFUNCTION("""COMPUTED_VALUE"""),"SERVICEABLE")</f>
        <v>SERVICEABLE</v>
      </c>
      <c r="N4454" s="164"/>
    </row>
    <row r="4455" spans="1:14" ht="13.2" hidden="1">
      <c r="A4455" s="164" t="str">
        <f ca="1">IFERROR(__xludf.DUMMYFUNCTION("""COMPUTED_VALUE"""),"DENR")</f>
        <v>DENR</v>
      </c>
      <c r="B4455" s="164" t="str">
        <f ca="1">IFERROR(__xludf.DUMMYFUNCTION("""COMPUTED_VALUE"""),"NAMRIA")</f>
        <v>NAMRIA</v>
      </c>
      <c r="C4455" s="164" t="str">
        <f ca="1">IFERROR(__xludf.DUMMYFUNCTION("""COMPUTED_VALUE"""),"Desktop Computer – (HP Pro SFF 280G9)")</f>
        <v>Desktop Computer – (HP Pro SFF 280G9)</v>
      </c>
      <c r="D4455" s="164"/>
      <c r="E4455" s="164"/>
      <c r="F4455" s="164" t="str">
        <f ca="1">IFERROR(__xludf.DUMMYFUNCTION("""COMPUTED_VALUE"""),"2023-05-03-10201SP001-01")</f>
        <v>2023-05-03-10201SP001-01</v>
      </c>
      <c r="G4455" s="164"/>
      <c r="H4455" s="164" t="str">
        <f ca="1">IFERROR(__xludf.DUMMYFUNCTION("""COMPUTED_VALUE"""),"BEATA D BATADLAN")</f>
        <v>BEATA D BATADLAN</v>
      </c>
      <c r="I4455" s="164" t="str">
        <f ca="1">IFERROR(__xludf.DUMMYFUNCTION("""COMPUTED_VALUE"""),"CHIEF LCD")</f>
        <v>CHIEF LCD</v>
      </c>
      <c r="J4455" s="164" t="str">
        <f ca="1">IFERROR(__xludf.DUMMYFUNCTION("""COMPUTED_VALUE"""),"2023-09-067DS")</f>
        <v>2023-09-067DS</v>
      </c>
      <c r="K4455" s="164"/>
      <c r="L4455" s="164" t="str">
        <f ca="1">IFERROR(__xludf.DUMMYFUNCTION("""COMPUTED_VALUE"""),"DENR NAMRIA")</f>
        <v>DENR NAMRIA</v>
      </c>
      <c r="M4455" s="164" t="str">
        <f ca="1">IFERROR(__xludf.DUMMYFUNCTION("""COMPUTED_VALUE"""),"SERVICEABLE")</f>
        <v>SERVICEABLE</v>
      </c>
      <c r="N4455" s="164"/>
    </row>
    <row r="4456" spans="1:14" ht="13.2" hidden="1">
      <c r="A4456" s="164" t="str">
        <f ca="1">IFERROR(__xludf.DUMMYFUNCTION("""COMPUTED_VALUE"""),"DENR")</f>
        <v>DENR</v>
      </c>
      <c r="B4456" s="164" t="str">
        <f ca="1">IFERROR(__xludf.DUMMYFUNCTION("""COMPUTED_VALUE"""),"NAMRIA")</f>
        <v>NAMRIA</v>
      </c>
      <c r="C4456" s="164" t="str">
        <f ca="1">IFERROR(__xludf.DUMMYFUNCTION("""COMPUTED_VALUE"""),"Desktop Computer – (HP Pro SFF 280G9)")</f>
        <v>Desktop Computer – (HP Pro SFF 280G9)</v>
      </c>
      <c r="D4456" s="164"/>
      <c r="E4456" s="164"/>
      <c r="F4456" s="164" t="str">
        <f ca="1">IFERROR(__xludf.DUMMYFUNCTION("""COMPUTED_VALUE"""),"2023-05-03-10201SP002-01")</f>
        <v>2023-05-03-10201SP002-01</v>
      </c>
      <c r="G4456" s="164"/>
      <c r="H4456" s="164" t="str">
        <f ca="1">IFERROR(__xludf.DUMMYFUNCTION("""COMPUTED_VALUE"""),"BEATA D BATADLAN")</f>
        <v>BEATA D BATADLAN</v>
      </c>
      <c r="I4456" s="164" t="str">
        <f ca="1">IFERROR(__xludf.DUMMYFUNCTION("""COMPUTED_VALUE"""),"CHIEF LCD")</f>
        <v>CHIEF LCD</v>
      </c>
      <c r="J4456" s="164" t="str">
        <f ca="1">IFERROR(__xludf.DUMMYFUNCTION("""COMPUTED_VALUE"""),"2023-09-067DS")</f>
        <v>2023-09-067DS</v>
      </c>
      <c r="K4456" s="164"/>
      <c r="L4456" s="164" t="str">
        <f ca="1">IFERROR(__xludf.DUMMYFUNCTION("""COMPUTED_VALUE"""),"DENR NAMRIA")</f>
        <v>DENR NAMRIA</v>
      </c>
      <c r="M4456" s="164" t="str">
        <f ca="1">IFERROR(__xludf.DUMMYFUNCTION("""COMPUTED_VALUE"""),"SERVICEABLE")</f>
        <v>SERVICEABLE</v>
      </c>
      <c r="N4456" s="164"/>
    </row>
    <row r="4457" spans="1:14" ht="13.2" hidden="1">
      <c r="A4457" s="164" t="str">
        <f ca="1">IFERROR(__xludf.DUMMYFUNCTION("""COMPUTED_VALUE"""),"DENR")</f>
        <v>DENR</v>
      </c>
      <c r="B4457" s="164" t="str">
        <f ca="1">IFERROR(__xludf.DUMMYFUNCTION("""COMPUTED_VALUE"""),"NAMRIA")</f>
        <v>NAMRIA</v>
      </c>
      <c r="C4457" s="164" t="str">
        <f ca="1">IFERROR(__xludf.DUMMYFUNCTION("""COMPUTED_VALUE"""),"Desktop Computer – (HP Pro SFF 280G9)")</f>
        <v>Desktop Computer – (HP Pro SFF 280G9)</v>
      </c>
      <c r="D4457" s="164"/>
      <c r="E4457" s="164"/>
      <c r="F4457" s="164" t="str">
        <f ca="1">IFERROR(__xludf.DUMMYFUNCTION("""COMPUTED_VALUE"""),"2023-05-03-10201SP003-01")</f>
        <v>2023-05-03-10201SP003-01</v>
      </c>
      <c r="G4457" s="164"/>
      <c r="H4457" s="164" t="str">
        <f ca="1">IFERROR(__xludf.DUMMYFUNCTION("""COMPUTED_VALUE"""),"BEATA D BATADLAN")</f>
        <v>BEATA D BATADLAN</v>
      </c>
      <c r="I4457" s="164" t="str">
        <f ca="1">IFERROR(__xludf.DUMMYFUNCTION("""COMPUTED_VALUE"""),"CHIEF LCD")</f>
        <v>CHIEF LCD</v>
      </c>
      <c r="J4457" s="164" t="str">
        <f ca="1">IFERROR(__xludf.DUMMYFUNCTION("""COMPUTED_VALUE"""),"2023-09-067DS")</f>
        <v>2023-09-067DS</v>
      </c>
      <c r="K4457" s="164"/>
      <c r="L4457" s="164" t="str">
        <f ca="1">IFERROR(__xludf.DUMMYFUNCTION("""COMPUTED_VALUE"""),"DENR NAMRIA")</f>
        <v>DENR NAMRIA</v>
      </c>
      <c r="M4457" s="164" t="str">
        <f ca="1">IFERROR(__xludf.DUMMYFUNCTION("""COMPUTED_VALUE"""),"SERVICEABLE")</f>
        <v>SERVICEABLE</v>
      </c>
      <c r="N4457" s="164"/>
    </row>
    <row r="4458" spans="1:14" ht="13.2" hidden="1">
      <c r="A4458" s="164" t="str">
        <f ca="1">IFERROR(__xludf.DUMMYFUNCTION("""COMPUTED_VALUE"""),"DENR")</f>
        <v>DENR</v>
      </c>
      <c r="B4458" s="164" t="str">
        <f ca="1">IFERROR(__xludf.DUMMYFUNCTION("""COMPUTED_VALUE"""),"NAMRIA")</f>
        <v>NAMRIA</v>
      </c>
      <c r="C4458" s="164" t="str">
        <f ca="1">IFERROR(__xludf.DUMMYFUNCTION("""COMPUTED_VALUE"""),"Desktop Computer – (HP Pro SFF 280G9)")</f>
        <v>Desktop Computer – (HP Pro SFF 280G9)</v>
      </c>
      <c r="D4458" s="164"/>
      <c r="E4458" s="164"/>
      <c r="F4458" s="164" t="str">
        <f ca="1">IFERROR(__xludf.DUMMYFUNCTION("""COMPUTED_VALUE"""),"2023-05-03-10201SP004-01")</f>
        <v>2023-05-03-10201SP004-01</v>
      </c>
      <c r="G4458" s="164"/>
      <c r="H4458" s="164" t="str">
        <f ca="1">IFERROR(__xludf.DUMMYFUNCTION("""COMPUTED_VALUE"""),"BEATA D BATADLAN")</f>
        <v>BEATA D BATADLAN</v>
      </c>
      <c r="I4458" s="164" t="str">
        <f ca="1">IFERROR(__xludf.DUMMYFUNCTION("""COMPUTED_VALUE"""),"CHIEF LCD")</f>
        <v>CHIEF LCD</v>
      </c>
      <c r="J4458" s="164" t="str">
        <f ca="1">IFERROR(__xludf.DUMMYFUNCTION("""COMPUTED_VALUE"""),"2023-09-067DS")</f>
        <v>2023-09-067DS</v>
      </c>
      <c r="K4458" s="164"/>
      <c r="L4458" s="164" t="str">
        <f ca="1">IFERROR(__xludf.DUMMYFUNCTION("""COMPUTED_VALUE"""),"DENR NAMRIA")</f>
        <v>DENR NAMRIA</v>
      </c>
      <c r="M4458" s="164" t="str">
        <f ca="1">IFERROR(__xludf.DUMMYFUNCTION("""COMPUTED_VALUE"""),"SERVICEABLE")</f>
        <v>SERVICEABLE</v>
      </c>
      <c r="N4458" s="164"/>
    </row>
    <row r="4459" spans="1:14" ht="13.2" hidden="1">
      <c r="A4459" s="164" t="str">
        <f ca="1">IFERROR(__xludf.DUMMYFUNCTION("""COMPUTED_VALUE"""),"DENR")</f>
        <v>DENR</v>
      </c>
      <c r="B4459" s="164" t="str">
        <f ca="1">IFERROR(__xludf.DUMMYFUNCTION("""COMPUTED_VALUE"""),"NAMRIA")</f>
        <v>NAMRIA</v>
      </c>
      <c r="C4459" s="164" t="str">
        <f ca="1">IFERROR(__xludf.DUMMYFUNCTION("""COMPUTED_VALUE"""),"Desktop Computer – (HP Pro SFF 280G9)")</f>
        <v>Desktop Computer – (HP Pro SFF 280G9)</v>
      </c>
      <c r="D4459" s="164"/>
      <c r="E4459" s="164"/>
      <c r="F4459" s="164" t="str">
        <f ca="1">IFERROR(__xludf.DUMMYFUNCTION("""COMPUTED_VALUE"""),"2023-05-03-10201SP075-01")</f>
        <v>2023-05-03-10201SP075-01</v>
      </c>
      <c r="G4459" s="164"/>
      <c r="H4459" s="164" t="str">
        <f ca="1">IFERROR(__xludf.DUMMYFUNCTION("""COMPUTED_VALUE"""),"BEATA D BATADLAN")</f>
        <v>BEATA D BATADLAN</v>
      </c>
      <c r="I4459" s="164" t="str">
        <f ca="1">IFERROR(__xludf.DUMMYFUNCTION("""COMPUTED_VALUE"""),"CHIEF LCD")</f>
        <v>CHIEF LCD</v>
      </c>
      <c r="J4459" s="164" t="str">
        <f ca="1">IFERROR(__xludf.DUMMYFUNCTION("""COMPUTED_VALUE"""),"2023-09-067DS")</f>
        <v>2023-09-067DS</v>
      </c>
      <c r="K4459" s="164"/>
      <c r="L4459" s="164" t="str">
        <f ca="1">IFERROR(__xludf.DUMMYFUNCTION("""COMPUTED_VALUE"""),"DENR NAMRIA")</f>
        <v>DENR NAMRIA</v>
      </c>
      <c r="M4459" s="164" t="str">
        <f ca="1">IFERROR(__xludf.DUMMYFUNCTION("""COMPUTED_VALUE"""),"SERVICEABLE")</f>
        <v>SERVICEABLE</v>
      </c>
      <c r="N4459" s="164"/>
    </row>
    <row r="4460" spans="1:14" ht="13.2" hidden="1">
      <c r="A4460" s="164" t="str">
        <f ca="1">IFERROR(__xludf.DUMMYFUNCTION("""COMPUTED_VALUE"""),"DENR")</f>
        <v>DENR</v>
      </c>
      <c r="B4460" s="164" t="str">
        <f ca="1">IFERROR(__xludf.DUMMYFUNCTION("""COMPUTED_VALUE"""),"NAMRIA")</f>
        <v>NAMRIA</v>
      </c>
      <c r="C4460" s="164" t="str">
        <f ca="1">IFERROR(__xludf.DUMMYFUNCTION("""COMPUTED_VALUE"""),"Desktop Computer – (HP Pro SFF 280G9)")</f>
        <v>Desktop Computer – (HP Pro SFF 280G9)</v>
      </c>
      <c r="D4460" s="164"/>
      <c r="E4460" s="164"/>
      <c r="F4460" s="164" t="str">
        <f ca="1">IFERROR(__xludf.DUMMYFUNCTION("""COMPUTED_VALUE"""),"2023-05-03-10201SP077-01")</f>
        <v>2023-05-03-10201SP077-01</v>
      </c>
      <c r="G4460" s="164"/>
      <c r="H4460" s="164" t="str">
        <f ca="1">IFERROR(__xludf.DUMMYFUNCTION("""COMPUTED_VALUE"""),"BEATA D BATADLAN")</f>
        <v>BEATA D BATADLAN</v>
      </c>
      <c r="I4460" s="164" t="str">
        <f ca="1">IFERROR(__xludf.DUMMYFUNCTION("""COMPUTED_VALUE"""),"CHIEF LCD")</f>
        <v>CHIEF LCD</v>
      </c>
      <c r="J4460" s="164" t="str">
        <f ca="1">IFERROR(__xludf.DUMMYFUNCTION("""COMPUTED_VALUE"""),"2023-09-067DS")</f>
        <v>2023-09-067DS</v>
      </c>
      <c r="K4460" s="164"/>
      <c r="L4460" s="164" t="str">
        <f ca="1">IFERROR(__xludf.DUMMYFUNCTION("""COMPUTED_VALUE"""),"DENR NAMRIA")</f>
        <v>DENR NAMRIA</v>
      </c>
      <c r="M4460" s="164" t="str">
        <f ca="1">IFERROR(__xludf.DUMMYFUNCTION("""COMPUTED_VALUE"""),"SERVICEABLE")</f>
        <v>SERVICEABLE</v>
      </c>
      <c r="N4460" s="164"/>
    </row>
    <row r="4461" spans="1:14" ht="13.2" hidden="1">
      <c r="A4461" s="164" t="str">
        <f ca="1">IFERROR(__xludf.DUMMYFUNCTION("""COMPUTED_VALUE"""),"DENR")</f>
        <v>DENR</v>
      </c>
      <c r="B4461" s="164" t="str">
        <f ca="1">IFERROR(__xludf.DUMMYFUNCTION("""COMPUTED_VALUE"""),"NAMRIA")</f>
        <v>NAMRIA</v>
      </c>
      <c r="C4461" s="164" t="str">
        <f ca="1">IFERROR(__xludf.DUMMYFUNCTION("""COMPUTED_VALUE"""),"Desktop Computer – (HP Pro SFF 280G9)")</f>
        <v>Desktop Computer – (HP Pro SFF 280G9)</v>
      </c>
      <c r="D4461" s="164"/>
      <c r="E4461" s="164"/>
      <c r="F4461" s="164" t="str">
        <f ca="1">IFERROR(__xludf.DUMMYFUNCTION("""COMPUTED_VALUE"""),"2023-05-03-10201SP090-01")</f>
        <v>2023-05-03-10201SP090-01</v>
      </c>
      <c r="G4461" s="164"/>
      <c r="H4461" s="164" t="str">
        <f ca="1">IFERROR(__xludf.DUMMYFUNCTION("""COMPUTED_VALUE"""),"BEATA D BATADLAN")</f>
        <v>BEATA D BATADLAN</v>
      </c>
      <c r="I4461" s="164" t="str">
        <f ca="1">IFERROR(__xludf.DUMMYFUNCTION("""COMPUTED_VALUE"""),"CHIEF LCD")</f>
        <v>CHIEF LCD</v>
      </c>
      <c r="J4461" s="164" t="str">
        <f ca="1">IFERROR(__xludf.DUMMYFUNCTION("""COMPUTED_VALUE"""),"2023-08-026DS")</f>
        <v>2023-08-026DS</v>
      </c>
      <c r="K4461" s="164"/>
      <c r="L4461" s="164" t="str">
        <f ca="1">IFERROR(__xludf.DUMMYFUNCTION("""COMPUTED_VALUE"""),"DENR NAMRIA")</f>
        <v>DENR NAMRIA</v>
      </c>
      <c r="M4461" s="164" t="str">
        <f ca="1">IFERROR(__xludf.DUMMYFUNCTION("""COMPUTED_VALUE"""),"SERVICEABLE")</f>
        <v>SERVICEABLE</v>
      </c>
      <c r="N4461" s="164"/>
    </row>
    <row r="4462" spans="1:14" ht="13.2" hidden="1">
      <c r="A4462" s="164" t="str">
        <f ca="1">IFERROR(__xludf.DUMMYFUNCTION("""COMPUTED_VALUE"""),"DENR")</f>
        <v>DENR</v>
      </c>
      <c r="B4462" s="164" t="str">
        <f ca="1">IFERROR(__xludf.DUMMYFUNCTION("""COMPUTED_VALUE"""),"NAMRIA")</f>
        <v>NAMRIA</v>
      </c>
      <c r="C4462" s="164" t="str">
        <f ca="1">IFERROR(__xludf.DUMMYFUNCTION("""COMPUTED_VALUE"""),"Desktop Computer – (HP Pro SFF 280G9)")</f>
        <v>Desktop Computer – (HP Pro SFF 280G9)</v>
      </c>
      <c r="D4462" s="164"/>
      <c r="E4462" s="164"/>
      <c r="F4462" s="164" t="str">
        <f ca="1">IFERROR(__xludf.DUMMYFUNCTION("""COMPUTED_VALUE"""),"2023-05-03-10201SP091-01")</f>
        <v>2023-05-03-10201SP091-01</v>
      </c>
      <c r="G4462" s="164"/>
      <c r="H4462" s="164" t="str">
        <f ca="1">IFERROR(__xludf.DUMMYFUNCTION("""COMPUTED_VALUE"""),"BEATA D BATADLAN")</f>
        <v>BEATA D BATADLAN</v>
      </c>
      <c r="I4462" s="164" t="str">
        <f ca="1">IFERROR(__xludf.DUMMYFUNCTION("""COMPUTED_VALUE"""),"CHIEF LCD")</f>
        <v>CHIEF LCD</v>
      </c>
      <c r="J4462" s="164" t="str">
        <f ca="1">IFERROR(__xludf.DUMMYFUNCTION("""COMPUTED_VALUE"""),"2024-07-003L")</f>
        <v>2024-07-003L</v>
      </c>
      <c r="K4462" s="164"/>
      <c r="L4462" s="164" t="str">
        <f ca="1">IFERROR(__xludf.DUMMYFUNCTION("""COMPUTED_VALUE"""),"DENR NAMRIA")</f>
        <v>DENR NAMRIA</v>
      </c>
      <c r="M4462" s="164" t="str">
        <f ca="1">IFERROR(__xludf.DUMMYFUNCTION("""COMPUTED_VALUE"""),"SERVICEABLE")</f>
        <v>SERVICEABLE</v>
      </c>
      <c r="N4462" s="164"/>
    </row>
    <row r="4463" spans="1:14" ht="13.2" hidden="1">
      <c r="A4463" s="164" t="str">
        <f ca="1">IFERROR(__xludf.DUMMYFUNCTION("""COMPUTED_VALUE"""),"DENR")</f>
        <v>DENR</v>
      </c>
      <c r="B4463" s="164" t="str">
        <f ca="1">IFERROR(__xludf.DUMMYFUNCTION("""COMPUTED_VALUE"""),"NAMRIA")</f>
        <v>NAMRIA</v>
      </c>
      <c r="C4463" s="164" t="str">
        <f ca="1">IFERROR(__xludf.DUMMYFUNCTION("""COMPUTED_VALUE"""),"Desktop Computer – (HP Pro SFF 280G9)")</f>
        <v>Desktop Computer – (HP Pro SFF 280G9)</v>
      </c>
      <c r="D4463" s="164"/>
      <c r="E4463" s="164"/>
      <c r="F4463" s="164" t="str">
        <f ca="1">IFERROR(__xludf.DUMMYFUNCTION("""COMPUTED_VALUE"""),"2023-05-03-10201SP093-01")</f>
        <v>2023-05-03-10201SP093-01</v>
      </c>
      <c r="G4463" s="164"/>
      <c r="H4463" s="164" t="str">
        <f ca="1">IFERROR(__xludf.DUMMYFUNCTION("""COMPUTED_VALUE"""),"BEATA D BATADLAN")</f>
        <v>BEATA D BATADLAN</v>
      </c>
      <c r="I4463" s="164" t="str">
        <f ca="1">IFERROR(__xludf.DUMMYFUNCTION("""COMPUTED_VALUE"""),"CHIEF LCD")</f>
        <v>CHIEF LCD</v>
      </c>
      <c r="J4463" s="164" t="str">
        <f ca="1">IFERROR(__xludf.DUMMYFUNCTION("""COMPUTED_VALUE"""),"2024-07-003L")</f>
        <v>2024-07-003L</v>
      </c>
      <c r="K4463" s="164"/>
      <c r="L4463" s="164" t="str">
        <f ca="1">IFERROR(__xludf.DUMMYFUNCTION("""COMPUTED_VALUE"""),"DENR NAMRIA")</f>
        <v>DENR NAMRIA</v>
      </c>
      <c r="M4463" s="164" t="str">
        <f ca="1">IFERROR(__xludf.DUMMYFUNCTION("""COMPUTED_VALUE"""),"SERVICEABLE")</f>
        <v>SERVICEABLE</v>
      </c>
      <c r="N4463" s="164"/>
    </row>
    <row r="4464" spans="1:14" ht="13.2" hidden="1">
      <c r="A4464" s="164" t="str">
        <f ca="1">IFERROR(__xludf.DUMMYFUNCTION("""COMPUTED_VALUE"""),"DENR")</f>
        <v>DENR</v>
      </c>
      <c r="B4464" s="164" t="str">
        <f ca="1">IFERROR(__xludf.DUMMYFUNCTION("""COMPUTED_VALUE"""),"NAMRIA")</f>
        <v>NAMRIA</v>
      </c>
      <c r="C4464" s="164" t="str">
        <f ca="1">IFERROR(__xludf.DUMMYFUNCTION("""COMPUTED_VALUE"""),"Desktop Computer – (HP Pro SFF 280G9)")</f>
        <v>Desktop Computer – (HP Pro SFF 280G9)</v>
      </c>
      <c r="D4464" s="164"/>
      <c r="E4464" s="164"/>
      <c r="F4464" s="164" t="str">
        <f ca="1">IFERROR(__xludf.DUMMYFUNCTION("""COMPUTED_VALUE"""),"2023-05-03-10201SP094-01")</f>
        <v>2023-05-03-10201SP094-01</v>
      </c>
      <c r="G4464" s="164"/>
      <c r="H4464" s="164" t="str">
        <f ca="1">IFERROR(__xludf.DUMMYFUNCTION("""COMPUTED_VALUE"""),"BEATA D BATADLAN")</f>
        <v>BEATA D BATADLAN</v>
      </c>
      <c r="I4464" s="164" t="str">
        <f ca="1">IFERROR(__xludf.DUMMYFUNCTION("""COMPUTED_VALUE"""),"CHIEF LCD")</f>
        <v>CHIEF LCD</v>
      </c>
      <c r="J4464" s="164" t="str">
        <f ca="1">IFERROR(__xludf.DUMMYFUNCTION("""COMPUTED_VALUE"""),"2024-07-003L")</f>
        <v>2024-07-003L</v>
      </c>
      <c r="K4464" s="164"/>
      <c r="L4464" s="164" t="str">
        <f ca="1">IFERROR(__xludf.DUMMYFUNCTION("""COMPUTED_VALUE"""),"DENR NAMRIA")</f>
        <v>DENR NAMRIA</v>
      </c>
      <c r="M4464" s="164" t="str">
        <f ca="1">IFERROR(__xludf.DUMMYFUNCTION("""COMPUTED_VALUE"""),"SERVICEABLE")</f>
        <v>SERVICEABLE</v>
      </c>
      <c r="N4464" s="164"/>
    </row>
    <row r="4465" spans="1:14" ht="13.2" hidden="1">
      <c r="A4465" s="164" t="str">
        <f ca="1">IFERROR(__xludf.DUMMYFUNCTION("""COMPUTED_VALUE"""),"DENR")</f>
        <v>DENR</v>
      </c>
      <c r="B4465" s="164" t="str">
        <f ca="1">IFERROR(__xludf.DUMMYFUNCTION("""COMPUTED_VALUE"""),"NAMRIA")</f>
        <v>NAMRIA</v>
      </c>
      <c r="C4465" s="164" t="str">
        <f ca="1">IFERROR(__xludf.DUMMYFUNCTION("""COMPUTED_VALUE"""),"Desktop Computer – (HP Pro SFF 280G9)")</f>
        <v>Desktop Computer – (HP Pro SFF 280G9)</v>
      </c>
      <c r="D4465" s="164"/>
      <c r="E4465" s="164"/>
      <c r="F4465" s="164" t="str">
        <f ca="1">IFERROR(__xludf.DUMMYFUNCTION("""COMPUTED_VALUE"""),"2023-05-03-10201SP095-01")</f>
        <v>2023-05-03-10201SP095-01</v>
      </c>
      <c r="G4465" s="164"/>
      <c r="H4465" s="164" t="str">
        <f ca="1">IFERROR(__xludf.DUMMYFUNCTION("""COMPUTED_VALUE"""),"BEATA D BATADLAN")</f>
        <v>BEATA D BATADLAN</v>
      </c>
      <c r="I4465" s="164" t="str">
        <f ca="1">IFERROR(__xludf.DUMMYFUNCTION("""COMPUTED_VALUE"""),"CHIEF LCD")</f>
        <v>CHIEF LCD</v>
      </c>
      <c r="J4465" s="164" t="str">
        <f ca="1">IFERROR(__xludf.DUMMYFUNCTION("""COMPUTED_VALUE"""),"2024-07-003L")</f>
        <v>2024-07-003L</v>
      </c>
      <c r="K4465" s="164"/>
      <c r="L4465" s="164" t="str">
        <f ca="1">IFERROR(__xludf.DUMMYFUNCTION("""COMPUTED_VALUE"""),"DENR NAMRIA")</f>
        <v>DENR NAMRIA</v>
      </c>
      <c r="M4465" s="164" t="str">
        <f ca="1">IFERROR(__xludf.DUMMYFUNCTION("""COMPUTED_VALUE"""),"SERVICEABLE")</f>
        <v>SERVICEABLE</v>
      </c>
      <c r="N4465" s="164"/>
    </row>
    <row r="4466" spans="1:14" ht="13.2" hidden="1">
      <c r="A4466" s="164" t="str">
        <f ca="1">IFERROR(__xludf.DUMMYFUNCTION("""COMPUTED_VALUE"""),"DENR")</f>
        <v>DENR</v>
      </c>
      <c r="B4466" s="164" t="str">
        <f ca="1">IFERROR(__xludf.DUMMYFUNCTION("""COMPUTED_VALUE"""),"NAMRIA")</f>
        <v>NAMRIA</v>
      </c>
      <c r="C4466" s="164" t="str">
        <f ca="1">IFERROR(__xludf.DUMMYFUNCTION("""COMPUTED_VALUE"""),"Desktop Computer – (HP Pro SFF 280G9)")</f>
        <v>Desktop Computer – (HP Pro SFF 280G9)</v>
      </c>
      <c r="D4466" s="164"/>
      <c r="E4466" s="164"/>
      <c r="F4466" s="164" t="str">
        <f ca="1">IFERROR(__xludf.DUMMYFUNCTION("""COMPUTED_VALUE"""),"2023-05-03-10201SP096-01")</f>
        <v>2023-05-03-10201SP096-01</v>
      </c>
      <c r="G4466" s="164"/>
      <c r="H4466" s="164" t="str">
        <f ca="1">IFERROR(__xludf.DUMMYFUNCTION("""COMPUTED_VALUE"""),"BEATA D BATADLAN")</f>
        <v>BEATA D BATADLAN</v>
      </c>
      <c r="I4466" s="164" t="str">
        <f ca="1">IFERROR(__xludf.DUMMYFUNCTION("""COMPUTED_VALUE"""),"CHIEF LCD")</f>
        <v>CHIEF LCD</v>
      </c>
      <c r="J4466" s="164" t="str">
        <f ca="1">IFERROR(__xludf.DUMMYFUNCTION("""COMPUTED_VALUE"""),"2024-07-003L")</f>
        <v>2024-07-003L</v>
      </c>
      <c r="K4466" s="164"/>
      <c r="L4466" s="164" t="str">
        <f ca="1">IFERROR(__xludf.DUMMYFUNCTION("""COMPUTED_VALUE"""),"DENR NAMRIA")</f>
        <v>DENR NAMRIA</v>
      </c>
      <c r="M4466" s="164" t="str">
        <f ca="1">IFERROR(__xludf.DUMMYFUNCTION("""COMPUTED_VALUE"""),"SERVICEABLE")</f>
        <v>SERVICEABLE</v>
      </c>
      <c r="N4466" s="164"/>
    </row>
    <row r="4467" spans="1:14" ht="13.2" hidden="1">
      <c r="A4467" s="164" t="str">
        <f ca="1">IFERROR(__xludf.DUMMYFUNCTION("""COMPUTED_VALUE"""),"DENR")</f>
        <v>DENR</v>
      </c>
      <c r="B4467" s="164" t="str">
        <f ca="1">IFERROR(__xludf.DUMMYFUNCTION("""COMPUTED_VALUE"""),"NAMRIA")</f>
        <v>NAMRIA</v>
      </c>
      <c r="C4467" s="164" t="str">
        <f ca="1">IFERROR(__xludf.DUMMYFUNCTION("""COMPUTED_VALUE"""),"Desktop Computer – (HP Pro SFF 280G9)")</f>
        <v>Desktop Computer – (HP Pro SFF 280G9)</v>
      </c>
      <c r="D4467" s="164"/>
      <c r="E4467" s="164"/>
      <c r="F4467" s="164" t="str">
        <f ca="1">IFERROR(__xludf.DUMMYFUNCTION("""COMPUTED_VALUE"""),"2023-05-03-10201SP097-01")</f>
        <v>2023-05-03-10201SP097-01</v>
      </c>
      <c r="G4467" s="164"/>
      <c r="H4467" s="164" t="str">
        <f ca="1">IFERROR(__xludf.DUMMYFUNCTION("""COMPUTED_VALUE"""),"BEATA D BATADLAN")</f>
        <v>BEATA D BATADLAN</v>
      </c>
      <c r="I4467" s="164" t="str">
        <f ca="1">IFERROR(__xludf.DUMMYFUNCTION("""COMPUTED_VALUE"""),"CHIEF LCD")</f>
        <v>CHIEF LCD</v>
      </c>
      <c r="J4467" s="164" t="str">
        <f ca="1">IFERROR(__xludf.DUMMYFUNCTION("""COMPUTED_VALUE"""),"2024-07-003L")</f>
        <v>2024-07-003L</v>
      </c>
      <c r="K4467" s="164"/>
      <c r="L4467" s="164" t="str">
        <f ca="1">IFERROR(__xludf.DUMMYFUNCTION("""COMPUTED_VALUE"""),"DENR NAMRIA")</f>
        <v>DENR NAMRIA</v>
      </c>
      <c r="M4467" s="164" t="str">
        <f ca="1">IFERROR(__xludf.DUMMYFUNCTION("""COMPUTED_VALUE"""),"SERVICEABLE")</f>
        <v>SERVICEABLE</v>
      </c>
      <c r="N4467" s="164"/>
    </row>
    <row r="4468" spans="1:14" ht="13.2">
      <c r="A4468" s="164" t="str">
        <f ca="1">IFERROR(__xludf.DUMMYFUNCTION("""COMPUTED_VALUE"""),"DENR")</f>
        <v>DENR</v>
      </c>
      <c r="B4468" s="164" t="str">
        <f ca="1">IFERROR(__xludf.DUMMYFUNCTION("""COMPUTED_VALUE"""),"FMB")</f>
        <v>FMB</v>
      </c>
      <c r="C4468" s="164" t="str">
        <f ca="1">IFERROR(__xludf.DUMMYFUNCTION("""COMPUTED_VALUE"""),"Desktop Computer – (HP Pro SFF 280G9)")</f>
        <v>Desktop Computer – (HP Pro SFF 280G9)</v>
      </c>
      <c r="D4468" s="164"/>
      <c r="E4468" s="164"/>
      <c r="F4468" s="164" t="str">
        <f ca="1">IFERROR(__xludf.DUMMYFUNCTION("""COMPUTED_VALUE"""),"2023-05-03-10201SP376-01")</f>
        <v>2023-05-03-10201SP376-01</v>
      </c>
      <c r="G4468" s="164"/>
      <c r="H4468" s="164" t="str">
        <f ca="1">IFERROR(__xludf.DUMMYFUNCTION("""COMPUTED_VALUE"""),"LALYN FAITH C AGGABAO")</f>
        <v>LALYN FAITH C AGGABAO</v>
      </c>
      <c r="I4468" s="164" t="str">
        <f ca="1">IFERROR(__xludf.DUMMYFUNCTION("""COMPUTED_VALUE"""),"DMO IV")</f>
        <v>DMO IV</v>
      </c>
      <c r="J4468" s="164" t="str">
        <f ca="1">IFERROR(__xludf.DUMMYFUNCTION("""COMPUTED_VALUE"""),"2023-09-060-DS")</f>
        <v>2023-09-060-DS</v>
      </c>
      <c r="K4468" s="164"/>
      <c r="L4468" s="164" t="str">
        <f ca="1">IFERROR(__xludf.DUMMYFUNCTION("""COMPUTED_VALUE"""),"DENR-FMB")</f>
        <v>DENR-FMB</v>
      </c>
      <c r="M4468" s="164" t="str">
        <f ca="1">IFERROR(__xludf.DUMMYFUNCTION("""COMPUTED_VALUE"""),"SERVICEABLE")</f>
        <v>SERVICEABLE</v>
      </c>
      <c r="N4468" s="164"/>
    </row>
    <row r="4469" spans="1:14" ht="13.2">
      <c r="A4469" s="164" t="str">
        <f ca="1">IFERROR(__xludf.DUMMYFUNCTION("""COMPUTED_VALUE"""),"DENR")</f>
        <v>DENR</v>
      </c>
      <c r="B4469" s="164" t="str">
        <f ca="1">IFERROR(__xludf.DUMMYFUNCTION("""COMPUTED_VALUE"""),"LMB")</f>
        <v>LMB</v>
      </c>
      <c r="C4469" s="164" t="str">
        <f ca="1">IFERROR(__xludf.DUMMYFUNCTION("""COMPUTED_VALUE"""),"LAPTOP MSI KATANA")</f>
        <v>LAPTOP MSI KATANA</v>
      </c>
      <c r="D4469" s="164"/>
      <c r="E4469" s="164"/>
      <c r="F4469" s="164" t="str">
        <f ca="1">IFERROR(__xludf.DUMMYFUNCTION("""COMPUTED_VALUE"""),"2024-05-03-10202SP001-01")</f>
        <v>2024-05-03-10202SP001-01</v>
      </c>
      <c r="G4469" s="164" t="str">
        <f ca="1">IFERROR(__xludf.DUMMYFUNCTION("""COMPUTED_VALUE"""),"k24003n0163072")</f>
        <v>k24003n0163072</v>
      </c>
      <c r="H4469" s="164" t="str">
        <f ca="1">IFERROR(__xludf.DUMMYFUNCTION("""COMPUTED_VALUE"""),"ATTY EMELYN V TALABIS")</f>
        <v>ATTY EMELYN V TALABIS</v>
      </c>
      <c r="I4469" s="164" t="str">
        <f ca="1">IFERROR(__xludf.DUMMYFUNCTION("""COMPUTED_VALUE"""),"DIRECTOR")</f>
        <v>DIRECTOR</v>
      </c>
      <c r="J4469" s="164" t="str">
        <f ca="1">IFERROR(__xludf.DUMMYFUNCTION("""COMPUTED_VALUE"""),"2024-06-001L")</f>
        <v>2024-06-001L</v>
      </c>
      <c r="K4469" s="164"/>
      <c r="L4469" s="164" t="str">
        <f ca="1">IFERROR(__xludf.DUMMYFUNCTION("""COMPUTED_VALUE"""),"DENR LMB")</f>
        <v>DENR LMB</v>
      </c>
      <c r="M4469" s="164" t="str">
        <f ca="1">IFERROR(__xludf.DUMMYFUNCTION("""COMPUTED_VALUE"""),"SERVICEABLE")</f>
        <v>SERVICEABLE</v>
      </c>
      <c r="N4469" s="164"/>
    </row>
    <row r="4470" spans="1:14" ht="13.2">
      <c r="A4470" s="164" t="str">
        <f ca="1">IFERROR(__xludf.DUMMYFUNCTION("""COMPUTED_VALUE"""),"DENR")</f>
        <v>DENR</v>
      </c>
      <c r="B4470" s="164" t="str">
        <f ca="1">IFERROR(__xludf.DUMMYFUNCTION("""COMPUTED_VALUE"""),"LMB")</f>
        <v>LMB</v>
      </c>
      <c r="C4470" s="164" t="str">
        <f ca="1">IFERROR(__xludf.DUMMYFUNCTION("""COMPUTED_VALUE"""),"LAPTOP MSI KATANA")</f>
        <v>LAPTOP MSI KATANA</v>
      </c>
      <c r="D4470" s="164"/>
      <c r="E4470" s="164"/>
      <c r="F4470" s="164" t="str">
        <f ca="1">IFERROR(__xludf.DUMMYFUNCTION("""COMPUTED_VALUE"""),"2024-05-03-10202SP002-01")</f>
        <v>2024-05-03-10202SP002-01</v>
      </c>
      <c r="G4470" s="164" t="str">
        <f ca="1">IFERROR(__xludf.DUMMYFUNCTION("""COMPUTED_VALUE"""),"k24003n0163072")</f>
        <v>k24003n0163072</v>
      </c>
      <c r="H4470" s="164" t="str">
        <f ca="1">IFERROR(__xludf.DUMMYFUNCTION("""COMPUTED_VALUE"""),"ATTY EMELYN V TALABIS")</f>
        <v>ATTY EMELYN V TALABIS</v>
      </c>
      <c r="I4470" s="164" t="str">
        <f ca="1">IFERROR(__xludf.DUMMYFUNCTION("""COMPUTED_VALUE"""),"DIRECTOR")</f>
        <v>DIRECTOR</v>
      </c>
      <c r="J4470" s="164" t="str">
        <f ca="1">IFERROR(__xludf.DUMMYFUNCTION("""COMPUTED_VALUE"""),"2024-06-001L")</f>
        <v>2024-06-001L</v>
      </c>
      <c r="K4470" s="164"/>
      <c r="L4470" s="164" t="str">
        <f ca="1">IFERROR(__xludf.DUMMYFUNCTION("""COMPUTED_VALUE"""),"DENR LMB")</f>
        <v>DENR LMB</v>
      </c>
      <c r="M4470" s="164" t="str">
        <f ca="1">IFERROR(__xludf.DUMMYFUNCTION("""COMPUTED_VALUE"""),"SERVICEABLE")</f>
        <v>SERVICEABLE</v>
      </c>
      <c r="N4470" s="164"/>
    </row>
    <row r="4471" spans="1:14" ht="13.2">
      <c r="A4471" s="164" t="str">
        <f ca="1">IFERROR(__xludf.DUMMYFUNCTION("""COMPUTED_VALUE"""),"DENR")</f>
        <v>DENR</v>
      </c>
      <c r="B4471" s="164" t="str">
        <f ca="1">IFERROR(__xludf.DUMMYFUNCTION("""COMPUTED_VALUE"""),"FMB")</f>
        <v>FMB</v>
      </c>
      <c r="C4471" s="164" t="str">
        <f ca="1">IFERROR(__xludf.DUMMYFUNCTION("""COMPUTED_VALUE"""),"LAPTOP MSI KATANA")</f>
        <v>LAPTOP MSI KATANA</v>
      </c>
      <c r="D4471" s="164"/>
      <c r="E4471" s="164"/>
      <c r="F4471" s="164" t="str">
        <f ca="1">IFERROR(__xludf.DUMMYFUNCTION("""COMPUTED_VALUE"""),"2024-05-03-10202SP003-01")</f>
        <v>2024-05-03-10202SP003-01</v>
      </c>
      <c r="G4471" s="164" t="str">
        <f ca="1">IFERROR(__xludf.DUMMYFUNCTION("""COMPUTED_VALUE"""),"k24003n0163072")</f>
        <v>k24003n0163072</v>
      </c>
      <c r="H4471" s="164"/>
      <c r="I4471" s="164"/>
      <c r="J4471" s="164"/>
      <c r="K4471" s="164"/>
      <c r="L4471" s="164"/>
      <c r="M4471" s="164" t="str">
        <f ca="1">IFERROR(__xludf.DUMMYFUNCTION("""COMPUTED_VALUE"""),"SERVICEABLE")</f>
        <v>SERVICEABLE</v>
      </c>
      <c r="N4471" s="164"/>
    </row>
    <row r="4472" spans="1:14" ht="13.2">
      <c r="A4472" s="164" t="str">
        <f ca="1">IFERROR(__xludf.DUMMYFUNCTION("""COMPUTED_VALUE"""),"DENR")</f>
        <v>DENR</v>
      </c>
      <c r="B4472" s="164" t="str">
        <f ca="1">IFERROR(__xludf.DUMMYFUNCTION("""COMPUTED_VALUE"""),"FMB")</f>
        <v>FMB</v>
      </c>
      <c r="C4472" s="164" t="str">
        <f ca="1">IFERROR(__xludf.DUMMYFUNCTION("""COMPUTED_VALUE"""),"LAPTOP MSI KATANA")</f>
        <v>LAPTOP MSI KATANA</v>
      </c>
      <c r="D4472" s="164"/>
      <c r="E4472" s="164"/>
      <c r="F4472" s="164" t="str">
        <f ca="1">IFERROR(__xludf.DUMMYFUNCTION("""COMPUTED_VALUE"""),"2024-05-03-10202SP004-01")</f>
        <v>2024-05-03-10202SP004-01</v>
      </c>
      <c r="G4472" s="164" t="str">
        <f ca="1">IFERROR(__xludf.DUMMYFUNCTION("""COMPUTED_VALUE"""),"k24003n0163072")</f>
        <v>k24003n0163072</v>
      </c>
      <c r="H4472" s="164"/>
      <c r="I4472" s="164"/>
      <c r="J4472" s="164"/>
      <c r="K4472" s="164"/>
      <c r="L4472" s="164"/>
      <c r="M4472" s="164" t="str">
        <f ca="1">IFERROR(__xludf.DUMMYFUNCTION("""COMPUTED_VALUE"""),"SERVICEABLE")</f>
        <v>SERVICEABLE</v>
      </c>
      <c r="N4472" s="164"/>
    </row>
    <row r="4473" spans="1:14" ht="13.2">
      <c r="A4473" s="164" t="str">
        <f ca="1">IFERROR(__xludf.DUMMYFUNCTION("""COMPUTED_VALUE"""),"DENR")</f>
        <v>DENR</v>
      </c>
      <c r="B4473" s="164" t="str">
        <f ca="1">IFERROR(__xludf.DUMMYFUNCTION("""COMPUTED_VALUE"""),"FMB")</f>
        <v>FMB</v>
      </c>
      <c r="C4473" s="164" t="str">
        <f ca="1">IFERROR(__xludf.DUMMYFUNCTION("""COMPUTED_VALUE"""),"LAPTOP MSI KATANA")</f>
        <v>LAPTOP MSI KATANA</v>
      </c>
      <c r="D4473" s="164"/>
      <c r="E4473" s="164"/>
      <c r="F4473" s="164" t="str">
        <f ca="1">IFERROR(__xludf.DUMMYFUNCTION("""COMPUTED_VALUE"""),"2024-05-03-10202SP005-01")</f>
        <v>2024-05-03-10202SP005-01</v>
      </c>
      <c r="G4473" s="164" t="str">
        <f ca="1">IFERROR(__xludf.DUMMYFUNCTION("""COMPUTED_VALUE"""),"k24003n0163072")</f>
        <v>k24003n0163072</v>
      </c>
      <c r="H4473" s="164"/>
      <c r="I4473" s="164"/>
      <c r="J4473" s="164"/>
      <c r="K4473" s="164"/>
      <c r="L4473" s="164"/>
      <c r="M4473" s="164" t="str">
        <f ca="1">IFERROR(__xludf.DUMMYFUNCTION("""COMPUTED_VALUE"""),"SERVICEABLE")</f>
        <v>SERVICEABLE</v>
      </c>
      <c r="N4473" s="164"/>
    </row>
    <row r="4474" spans="1:14" ht="13.2">
      <c r="A4474" s="164" t="str">
        <f ca="1">IFERROR(__xludf.DUMMYFUNCTION("""COMPUTED_VALUE"""),"DENR")</f>
        <v>DENR</v>
      </c>
      <c r="B4474" s="164" t="str">
        <f ca="1">IFERROR(__xludf.DUMMYFUNCTION("""COMPUTED_VALUE"""),"FMB")</f>
        <v>FMB</v>
      </c>
      <c r="C4474" s="164" t="str">
        <f ca="1">IFERROR(__xludf.DUMMYFUNCTION("""COMPUTED_VALUE"""),"LAPTOP MSI KATANA")</f>
        <v>LAPTOP MSI KATANA</v>
      </c>
      <c r="D4474" s="164"/>
      <c r="E4474" s="164"/>
      <c r="F4474" s="164" t="str">
        <f ca="1">IFERROR(__xludf.DUMMYFUNCTION("""COMPUTED_VALUE"""),"2024-05-03-10202SP006-01")</f>
        <v>2024-05-03-10202SP006-01</v>
      </c>
      <c r="G4474" s="164" t="str">
        <f ca="1">IFERROR(__xludf.DUMMYFUNCTION("""COMPUTED_VALUE"""),"k24003n0163072")</f>
        <v>k24003n0163072</v>
      </c>
      <c r="H4474" s="164"/>
      <c r="I4474" s="164"/>
      <c r="J4474" s="164"/>
      <c r="K4474" s="164"/>
      <c r="L4474" s="164"/>
      <c r="M4474" s="164" t="str">
        <f ca="1">IFERROR(__xludf.DUMMYFUNCTION("""COMPUTED_VALUE"""),"SERVICEABLE")</f>
        <v>SERVICEABLE</v>
      </c>
      <c r="N4474" s="164"/>
    </row>
    <row r="4475" spans="1:14" ht="13.2">
      <c r="A4475" s="164" t="str">
        <f ca="1">IFERROR(__xludf.DUMMYFUNCTION("""COMPUTED_VALUE"""),"DENR")</f>
        <v>DENR</v>
      </c>
      <c r="B4475" s="164" t="str">
        <f ca="1">IFERROR(__xludf.DUMMYFUNCTION("""COMPUTED_VALUE"""),"FMB")</f>
        <v>FMB</v>
      </c>
      <c r="C4475" s="164" t="str">
        <f ca="1">IFERROR(__xludf.DUMMYFUNCTION("""COMPUTED_VALUE"""),"LAPTOP MSI KATANA")</f>
        <v>LAPTOP MSI KATANA</v>
      </c>
      <c r="D4475" s="164"/>
      <c r="E4475" s="164"/>
      <c r="F4475" s="164" t="str">
        <f ca="1">IFERROR(__xludf.DUMMYFUNCTION("""COMPUTED_VALUE"""),"2024-05-03-10202SP007-01")</f>
        <v>2024-05-03-10202SP007-01</v>
      </c>
      <c r="G4475" s="164" t="str">
        <f ca="1">IFERROR(__xludf.DUMMYFUNCTION("""COMPUTED_VALUE"""),"k24003n0163072")</f>
        <v>k24003n0163072</v>
      </c>
      <c r="H4475" s="164"/>
      <c r="I4475" s="164"/>
      <c r="J4475" s="164"/>
      <c r="K4475" s="164"/>
      <c r="L4475" s="164"/>
      <c r="M4475" s="164" t="str">
        <f ca="1">IFERROR(__xludf.DUMMYFUNCTION("""COMPUTED_VALUE"""),"SERVICEABLE")</f>
        <v>SERVICEABLE</v>
      </c>
      <c r="N4475" s="164"/>
    </row>
    <row r="4476" spans="1:14" ht="13.2">
      <c r="A4476" s="164" t="str">
        <f ca="1">IFERROR(__xludf.DUMMYFUNCTION("""COMPUTED_VALUE"""),"DENR")</f>
        <v>DENR</v>
      </c>
      <c r="B4476" s="164" t="str">
        <f ca="1">IFERROR(__xludf.DUMMYFUNCTION("""COMPUTED_VALUE"""),"FMB")</f>
        <v>FMB</v>
      </c>
      <c r="C4476" s="164" t="str">
        <f ca="1">IFERROR(__xludf.DUMMYFUNCTION("""COMPUTED_VALUE"""),"LAPTOP MSI KATANA")</f>
        <v>LAPTOP MSI KATANA</v>
      </c>
      <c r="D4476" s="164"/>
      <c r="E4476" s="164"/>
      <c r="F4476" s="164" t="str">
        <f ca="1">IFERROR(__xludf.DUMMYFUNCTION("""COMPUTED_VALUE"""),"2024-05-03-10202SP008-01")</f>
        <v>2024-05-03-10202SP008-01</v>
      </c>
      <c r="G4476" s="164" t="str">
        <f ca="1">IFERROR(__xludf.DUMMYFUNCTION("""COMPUTED_VALUE"""),"k24003n0163072")</f>
        <v>k24003n0163072</v>
      </c>
      <c r="H4476" s="164"/>
      <c r="I4476" s="164"/>
      <c r="J4476" s="164"/>
      <c r="K4476" s="164"/>
      <c r="L4476" s="164"/>
      <c r="M4476" s="164" t="str">
        <f ca="1">IFERROR(__xludf.DUMMYFUNCTION("""COMPUTED_VALUE"""),"SERVICEABLE")</f>
        <v>SERVICEABLE</v>
      </c>
      <c r="N4476" s="164"/>
    </row>
    <row r="4477" spans="1:14" ht="13.2">
      <c r="A4477" s="164" t="str">
        <f ca="1">IFERROR(__xludf.DUMMYFUNCTION("""COMPUTED_VALUE"""),"DENR")</f>
        <v>DENR</v>
      </c>
      <c r="B4477" s="164" t="str">
        <f ca="1">IFERROR(__xludf.DUMMYFUNCTION("""COMPUTED_VALUE"""),"FMB")</f>
        <v>FMB</v>
      </c>
      <c r="C4477" s="164" t="str">
        <f ca="1">IFERROR(__xludf.DUMMYFUNCTION("""COMPUTED_VALUE"""),"LAPTOP MSI KATANA")</f>
        <v>LAPTOP MSI KATANA</v>
      </c>
      <c r="D4477" s="164"/>
      <c r="E4477" s="164"/>
      <c r="F4477" s="164" t="str">
        <f ca="1">IFERROR(__xludf.DUMMYFUNCTION("""COMPUTED_VALUE"""),"2024-05-03-10202SP009-01")</f>
        <v>2024-05-03-10202SP009-01</v>
      </c>
      <c r="G4477" s="164" t="str">
        <f ca="1">IFERROR(__xludf.DUMMYFUNCTION("""COMPUTED_VALUE"""),"k24003n0163072")</f>
        <v>k24003n0163072</v>
      </c>
      <c r="H4477" s="164"/>
      <c r="I4477" s="164"/>
      <c r="J4477" s="164"/>
      <c r="K4477" s="164"/>
      <c r="L4477" s="164"/>
      <c r="M4477" s="164" t="str">
        <f ca="1">IFERROR(__xludf.DUMMYFUNCTION("""COMPUTED_VALUE"""),"SERVICEABLE")</f>
        <v>SERVICEABLE</v>
      </c>
      <c r="N4477" s="164"/>
    </row>
    <row r="4478" spans="1:14" ht="13.2">
      <c r="A4478" s="164" t="str">
        <f ca="1">IFERROR(__xludf.DUMMYFUNCTION("""COMPUTED_VALUE"""),"DENR")</f>
        <v>DENR</v>
      </c>
      <c r="B4478" s="164" t="str">
        <f ca="1">IFERROR(__xludf.DUMMYFUNCTION("""COMPUTED_VALUE"""),"FMB")</f>
        <v>FMB</v>
      </c>
      <c r="C4478" s="164" t="str">
        <f ca="1">IFERROR(__xludf.DUMMYFUNCTION("""COMPUTED_VALUE"""),"LAPTOP MSI KATANA")</f>
        <v>LAPTOP MSI KATANA</v>
      </c>
      <c r="D4478" s="164"/>
      <c r="E4478" s="164"/>
      <c r="F4478" s="164" t="str">
        <f ca="1">IFERROR(__xludf.DUMMYFUNCTION("""COMPUTED_VALUE"""),"2024-05-03-10202SP010-01")</f>
        <v>2024-05-03-10202SP010-01</v>
      </c>
      <c r="G4478" s="164" t="str">
        <f ca="1">IFERROR(__xludf.DUMMYFUNCTION("""COMPUTED_VALUE"""),"k24003n0163072")</f>
        <v>k24003n0163072</v>
      </c>
      <c r="H4478" s="164"/>
      <c r="I4478" s="164"/>
      <c r="J4478" s="164"/>
      <c r="K4478" s="164"/>
      <c r="L4478" s="164"/>
      <c r="M4478" s="164" t="str">
        <f ca="1">IFERROR(__xludf.DUMMYFUNCTION("""COMPUTED_VALUE"""),"SERVICEABLE")</f>
        <v>SERVICEABLE</v>
      </c>
      <c r="N4478" s="164"/>
    </row>
    <row r="4479" spans="1:14" ht="13.2">
      <c r="A4479" s="164" t="str">
        <f ca="1">IFERROR(__xludf.DUMMYFUNCTION("""COMPUTED_VALUE"""),"DENR")</f>
        <v>DENR</v>
      </c>
      <c r="B4479" s="164" t="str">
        <f ca="1">IFERROR(__xludf.DUMMYFUNCTION("""COMPUTED_VALUE"""),"FMB")</f>
        <v>FMB</v>
      </c>
      <c r="C4479" s="164" t="str">
        <f ca="1">IFERROR(__xludf.DUMMYFUNCTION("""COMPUTED_VALUE"""),"LAPTOP MSI KATANA")</f>
        <v>LAPTOP MSI KATANA</v>
      </c>
      <c r="D4479" s="164"/>
      <c r="E4479" s="164"/>
      <c r="F4479" s="164" t="str">
        <f ca="1">IFERROR(__xludf.DUMMYFUNCTION("""COMPUTED_VALUE"""),"2024-05-03-10202SP011-01")</f>
        <v>2024-05-03-10202SP011-01</v>
      </c>
      <c r="G4479" s="164" t="str">
        <f ca="1">IFERROR(__xludf.DUMMYFUNCTION("""COMPUTED_VALUE"""),"k24003n0163072")</f>
        <v>k24003n0163072</v>
      </c>
      <c r="H4479" s="164"/>
      <c r="I4479" s="164"/>
      <c r="J4479" s="164"/>
      <c r="K4479" s="164"/>
      <c r="L4479" s="164"/>
      <c r="M4479" s="164" t="str">
        <f ca="1">IFERROR(__xludf.DUMMYFUNCTION("""COMPUTED_VALUE"""),"SERVICEABLE")</f>
        <v>SERVICEABLE</v>
      </c>
      <c r="N4479" s="164"/>
    </row>
    <row r="4480" spans="1:14" ht="13.2">
      <c r="A4480" s="164" t="str">
        <f ca="1">IFERROR(__xludf.DUMMYFUNCTION("""COMPUTED_VALUE"""),"DENR")</f>
        <v>DENR</v>
      </c>
      <c r="B4480" s="164" t="str">
        <f ca="1">IFERROR(__xludf.DUMMYFUNCTION("""COMPUTED_VALUE"""),"FMB")</f>
        <v>FMB</v>
      </c>
      <c r="C4480" s="164" t="str">
        <f ca="1">IFERROR(__xludf.DUMMYFUNCTION("""COMPUTED_VALUE"""),"LAPTOP MSI KATANA")</f>
        <v>LAPTOP MSI KATANA</v>
      </c>
      <c r="D4480" s="164"/>
      <c r="E4480" s="164"/>
      <c r="F4480" s="164" t="str">
        <f ca="1">IFERROR(__xludf.DUMMYFUNCTION("""COMPUTED_VALUE"""),"2024-05-03-10202SP012-01")</f>
        <v>2024-05-03-10202SP012-01</v>
      </c>
      <c r="G4480" s="164" t="str">
        <f ca="1">IFERROR(__xludf.DUMMYFUNCTION("""COMPUTED_VALUE"""),"k24003n0163072")</f>
        <v>k24003n0163072</v>
      </c>
      <c r="H4480" s="164"/>
      <c r="I4480" s="164"/>
      <c r="J4480" s="164"/>
      <c r="K4480" s="164"/>
      <c r="L4480" s="164"/>
      <c r="M4480" s="164" t="str">
        <f ca="1">IFERROR(__xludf.DUMMYFUNCTION("""COMPUTED_VALUE"""),"SERVICEABLE")</f>
        <v>SERVICEABLE</v>
      </c>
      <c r="N4480" s="164"/>
    </row>
    <row r="4481" spans="1:14" ht="13.2" hidden="1">
      <c r="A4481" s="164" t="str">
        <f ca="1">IFERROR(__xludf.DUMMYFUNCTION("""COMPUTED_VALUE"""),"DENR")</f>
        <v>DENR</v>
      </c>
      <c r="B4481" s="164" t="str">
        <f ca="1">IFERROR(__xludf.DUMMYFUNCTION("""COMPUTED_VALUE"""),"NAMRIA")</f>
        <v>NAMRIA</v>
      </c>
      <c r="C4481" s="164" t="str">
        <f ca="1">IFERROR(__xludf.DUMMYFUNCTION("""COMPUTED_VALUE"""),"LAPTOP MSI KATANA")</f>
        <v>LAPTOP MSI KATANA</v>
      </c>
      <c r="D4481" s="164"/>
      <c r="E4481" s="164"/>
      <c r="F4481" s="164" t="str">
        <f ca="1">IFERROR(__xludf.DUMMYFUNCTION("""COMPUTED_VALUE"""),"2024-05-03-10202SP013-01")</f>
        <v>2024-05-03-10202SP013-01</v>
      </c>
      <c r="G4481" s="164" t="str">
        <f ca="1">IFERROR(__xludf.DUMMYFUNCTION("""COMPUTED_VALUE"""),"k24003n0163072")</f>
        <v>k24003n0163072</v>
      </c>
      <c r="H4481" s="164" t="str">
        <f ca="1">IFERROR(__xludf.DUMMYFUNCTION("""COMPUTED_VALUE"""),"BEATA D BATADLAN")</f>
        <v>BEATA D BATADLAN</v>
      </c>
      <c r="I4481" s="164" t="str">
        <f ca="1">IFERROR(__xludf.DUMMYFUNCTION("""COMPUTED_VALUE"""),"CHIEF LCD")</f>
        <v>CHIEF LCD</v>
      </c>
      <c r="J4481" s="164" t="str">
        <f ca="1">IFERROR(__xludf.DUMMYFUNCTION("""COMPUTED_VALUE"""),"2024-07-003L")</f>
        <v>2024-07-003L</v>
      </c>
      <c r="K4481" s="164"/>
      <c r="L4481" s="164" t="str">
        <f ca="1">IFERROR(__xludf.DUMMYFUNCTION("""COMPUTED_VALUE"""),"DENR NAMRIA")</f>
        <v>DENR NAMRIA</v>
      </c>
      <c r="M4481" s="164" t="str">
        <f ca="1">IFERROR(__xludf.DUMMYFUNCTION("""COMPUTED_VALUE"""),"SERVICEABLE")</f>
        <v>SERVICEABLE</v>
      </c>
      <c r="N4481" s="164"/>
    </row>
    <row r="4482" spans="1:14" ht="13.2" hidden="1">
      <c r="A4482" s="164" t="str">
        <f ca="1">IFERROR(__xludf.DUMMYFUNCTION("""COMPUTED_VALUE"""),"DENR")</f>
        <v>DENR</v>
      </c>
      <c r="B4482" s="164" t="str">
        <f ca="1">IFERROR(__xludf.DUMMYFUNCTION("""COMPUTED_VALUE"""),"NAMRIA")</f>
        <v>NAMRIA</v>
      </c>
      <c r="C4482" s="164" t="str">
        <f ca="1">IFERROR(__xludf.DUMMYFUNCTION("""COMPUTED_VALUE"""),"LAPTOP MSI KATANA")</f>
        <v>LAPTOP MSI KATANA</v>
      </c>
      <c r="D4482" s="164"/>
      <c r="E4482" s="164"/>
      <c r="F4482" s="164" t="str">
        <f ca="1">IFERROR(__xludf.DUMMYFUNCTION("""COMPUTED_VALUE"""),"2024-05-03-10202SP014-01")</f>
        <v>2024-05-03-10202SP014-01</v>
      </c>
      <c r="G4482" s="164" t="str">
        <f ca="1">IFERROR(__xludf.DUMMYFUNCTION("""COMPUTED_VALUE"""),"k24003n0163072")</f>
        <v>k24003n0163072</v>
      </c>
      <c r="H4482" s="164" t="str">
        <f ca="1">IFERROR(__xludf.DUMMYFUNCTION("""COMPUTED_VALUE"""),"BEATA D BATADLAN")</f>
        <v>BEATA D BATADLAN</v>
      </c>
      <c r="I4482" s="164" t="str">
        <f ca="1">IFERROR(__xludf.DUMMYFUNCTION("""COMPUTED_VALUE"""),"CHIEF LCD")</f>
        <v>CHIEF LCD</v>
      </c>
      <c r="J4482" s="164" t="str">
        <f ca="1">IFERROR(__xludf.DUMMYFUNCTION("""COMPUTED_VALUE"""),"2024-07-003L")</f>
        <v>2024-07-003L</v>
      </c>
      <c r="K4482" s="164"/>
      <c r="L4482" s="164" t="str">
        <f ca="1">IFERROR(__xludf.DUMMYFUNCTION("""COMPUTED_VALUE"""),"DENR NAMRIA")</f>
        <v>DENR NAMRIA</v>
      </c>
      <c r="M4482" s="164" t="str">
        <f ca="1">IFERROR(__xludf.DUMMYFUNCTION("""COMPUTED_VALUE"""),"SERVICEABLE")</f>
        <v>SERVICEABLE</v>
      </c>
      <c r="N4482" s="164"/>
    </row>
    <row r="4483" spans="1:14" ht="13.2" hidden="1">
      <c r="A4483" s="164" t="str">
        <f ca="1">IFERROR(__xludf.DUMMYFUNCTION("""COMPUTED_VALUE"""),"DENR")</f>
        <v>DENR</v>
      </c>
      <c r="B4483" s="164" t="str">
        <f ca="1">IFERROR(__xludf.DUMMYFUNCTION("""COMPUTED_VALUE"""),"NAMRIA")</f>
        <v>NAMRIA</v>
      </c>
      <c r="C4483" s="164" t="str">
        <f ca="1">IFERROR(__xludf.DUMMYFUNCTION("""COMPUTED_VALUE"""),"LAPTOP MSI KATANA")</f>
        <v>LAPTOP MSI KATANA</v>
      </c>
      <c r="D4483" s="164"/>
      <c r="E4483" s="164"/>
      <c r="F4483" s="164" t="str">
        <f ca="1">IFERROR(__xludf.DUMMYFUNCTION("""COMPUTED_VALUE"""),"2024-05-03-10202SP015-01")</f>
        <v>2024-05-03-10202SP015-01</v>
      </c>
      <c r="G4483" s="164" t="str">
        <f ca="1">IFERROR(__xludf.DUMMYFUNCTION("""COMPUTED_VALUE"""),"k24003n0163072")</f>
        <v>k24003n0163072</v>
      </c>
      <c r="H4483" s="164" t="str">
        <f ca="1">IFERROR(__xludf.DUMMYFUNCTION("""COMPUTED_VALUE"""),"BEATA D BATADLAN")</f>
        <v>BEATA D BATADLAN</v>
      </c>
      <c r="I4483" s="164" t="str">
        <f ca="1">IFERROR(__xludf.DUMMYFUNCTION("""COMPUTED_VALUE"""),"CHIEF LCD")</f>
        <v>CHIEF LCD</v>
      </c>
      <c r="J4483" s="164" t="str">
        <f ca="1">IFERROR(__xludf.DUMMYFUNCTION("""COMPUTED_VALUE"""),"2024-07-003L")</f>
        <v>2024-07-003L</v>
      </c>
      <c r="K4483" s="164"/>
      <c r="L4483" s="164" t="str">
        <f ca="1">IFERROR(__xludf.DUMMYFUNCTION("""COMPUTED_VALUE"""),"DENR NAMRIA")</f>
        <v>DENR NAMRIA</v>
      </c>
      <c r="M4483" s="164" t="str">
        <f ca="1">IFERROR(__xludf.DUMMYFUNCTION("""COMPUTED_VALUE"""),"SERVICEABLE")</f>
        <v>SERVICEABLE</v>
      </c>
      <c r="N4483" s="164"/>
    </row>
    <row r="4484" spans="1:14" ht="13.2" hidden="1">
      <c r="A4484" s="164" t="str">
        <f ca="1">IFERROR(__xludf.DUMMYFUNCTION("""COMPUTED_VALUE"""),"DENR")</f>
        <v>DENR</v>
      </c>
      <c r="B4484" s="164" t="str">
        <f ca="1">IFERROR(__xludf.DUMMYFUNCTION("""COMPUTED_VALUE"""),"NAMRIA")</f>
        <v>NAMRIA</v>
      </c>
      <c r="C4484" s="164" t="str">
        <f ca="1">IFERROR(__xludf.DUMMYFUNCTION("""COMPUTED_VALUE"""),"LAPTOP MSI KATANA")</f>
        <v>LAPTOP MSI KATANA</v>
      </c>
      <c r="D4484" s="164"/>
      <c r="E4484" s="164"/>
      <c r="F4484" s="164" t="str">
        <f ca="1">IFERROR(__xludf.DUMMYFUNCTION("""COMPUTED_VALUE"""),"2024-05-03-10202SP016-01")</f>
        <v>2024-05-03-10202SP016-01</v>
      </c>
      <c r="G4484" s="164" t="str">
        <f ca="1">IFERROR(__xludf.DUMMYFUNCTION("""COMPUTED_VALUE"""),"k24003n0163072")</f>
        <v>k24003n0163072</v>
      </c>
      <c r="H4484" s="164" t="str">
        <f ca="1">IFERROR(__xludf.DUMMYFUNCTION("""COMPUTED_VALUE"""),"BEATA D BATADLAN")</f>
        <v>BEATA D BATADLAN</v>
      </c>
      <c r="I4484" s="164" t="str">
        <f ca="1">IFERROR(__xludf.DUMMYFUNCTION("""COMPUTED_VALUE"""),"CHIEF LCD")</f>
        <v>CHIEF LCD</v>
      </c>
      <c r="J4484" s="164" t="str">
        <f ca="1">IFERROR(__xludf.DUMMYFUNCTION("""COMPUTED_VALUE"""),"2024-07-003L")</f>
        <v>2024-07-003L</v>
      </c>
      <c r="K4484" s="164"/>
      <c r="L4484" s="164" t="str">
        <f ca="1">IFERROR(__xludf.DUMMYFUNCTION("""COMPUTED_VALUE"""),"DENR NAMRIA")</f>
        <v>DENR NAMRIA</v>
      </c>
      <c r="M4484" s="164" t="str">
        <f ca="1">IFERROR(__xludf.DUMMYFUNCTION("""COMPUTED_VALUE"""),"SERVICEABLE")</f>
        <v>SERVICEABLE</v>
      </c>
      <c r="N4484" s="164"/>
    </row>
    <row r="4485" spans="1:14" ht="13.2" hidden="1">
      <c r="A4485" s="164" t="str">
        <f ca="1">IFERROR(__xludf.DUMMYFUNCTION("""COMPUTED_VALUE"""),"DENR")</f>
        <v>DENR</v>
      </c>
      <c r="B4485" s="164" t="str">
        <f ca="1">IFERROR(__xludf.DUMMYFUNCTION("""COMPUTED_VALUE"""),"NAMRIA")</f>
        <v>NAMRIA</v>
      </c>
      <c r="C4485" s="164" t="str">
        <f ca="1">IFERROR(__xludf.DUMMYFUNCTION("""COMPUTED_VALUE"""),"LAPTOP MSI KATANA")</f>
        <v>LAPTOP MSI KATANA</v>
      </c>
      <c r="D4485" s="164"/>
      <c r="E4485" s="164"/>
      <c r="F4485" s="164" t="str">
        <f ca="1">IFERROR(__xludf.DUMMYFUNCTION("""COMPUTED_VALUE"""),"2024-05-03-10202SP017-01")</f>
        <v>2024-05-03-10202SP017-01</v>
      </c>
      <c r="G4485" s="164" t="str">
        <f ca="1">IFERROR(__xludf.DUMMYFUNCTION("""COMPUTED_VALUE"""),"k24003n0163072")</f>
        <v>k24003n0163072</v>
      </c>
      <c r="H4485" s="164" t="str">
        <f ca="1">IFERROR(__xludf.DUMMYFUNCTION("""COMPUTED_VALUE"""),"BEATA D BATADLAN")</f>
        <v>BEATA D BATADLAN</v>
      </c>
      <c r="I4485" s="164" t="str">
        <f ca="1">IFERROR(__xludf.DUMMYFUNCTION("""COMPUTED_VALUE"""),"CHIEF LCD")</f>
        <v>CHIEF LCD</v>
      </c>
      <c r="J4485" s="164" t="str">
        <f ca="1">IFERROR(__xludf.DUMMYFUNCTION("""COMPUTED_VALUE"""),"2024-07-003L")</f>
        <v>2024-07-003L</v>
      </c>
      <c r="K4485" s="164"/>
      <c r="L4485" s="164" t="str">
        <f ca="1">IFERROR(__xludf.DUMMYFUNCTION("""COMPUTED_VALUE"""),"DENR NAMRIA")</f>
        <v>DENR NAMRIA</v>
      </c>
      <c r="M4485" s="164" t="str">
        <f ca="1">IFERROR(__xludf.DUMMYFUNCTION("""COMPUTED_VALUE"""),"SERVICEABLE")</f>
        <v>SERVICEABLE</v>
      </c>
      <c r="N4485" s="164"/>
    </row>
    <row r="4486" spans="1:14" ht="13.2" hidden="1">
      <c r="A4486" s="164" t="str">
        <f ca="1">IFERROR(__xludf.DUMMYFUNCTION("""COMPUTED_VALUE"""),"DENR")</f>
        <v>DENR</v>
      </c>
      <c r="B4486" s="164" t="str">
        <f ca="1">IFERROR(__xludf.DUMMYFUNCTION("""COMPUTED_VALUE"""),"NAMRIA")</f>
        <v>NAMRIA</v>
      </c>
      <c r="C4486" s="164" t="str">
        <f ca="1">IFERROR(__xludf.DUMMYFUNCTION("""COMPUTED_VALUE"""),"LAPTOP MSI KATANA")</f>
        <v>LAPTOP MSI KATANA</v>
      </c>
      <c r="D4486" s="164"/>
      <c r="E4486" s="164"/>
      <c r="F4486" s="164" t="str">
        <f ca="1">IFERROR(__xludf.DUMMYFUNCTION("""COMPUTED_VALUE"""),"2024-05-03-10202SP018-01")</f>
        <v>2024-05-03-10202SP018-01</v>
      </c>
      <c r="G4486" s="164" t="str">
        <f ca="1">IFERROR(__xludf.DUMMYFUNCTION("""COMPUTED_VALUE"""),"k24003n0163072")</f>
        <v>k24003n0163072</v>
      </c>
      <c r="H4486" s="164" t="str">
        <f ca="1">IFERROR(__xludf.DUMMYFUNCTION("""COMPUTED_VALUE"""),"BEATA D BATADLAN")</f>
        <v>BEATA D BATADLAN</v>
      </c>
      <c r="I4486" s="164" t="str">
        <f ca="1">IFERROR(__xludf.DUMMYFUNCTION("""COMPUTED_VALUE"""),"CHIEF LCD")</f>
        <v>CHIEF LCD</v>
      </c>
      <c r="J4486" s="164" t="str">
        <f ca="1">IFERROR(__xludf.DUMMYFUNCTION("""COMPUTED_VALUE"""),"2024-07-003L")</f>
        <v>2024-07-003L</v>
      </c>
      <c r="K4486" s="164"/>
      <c r="L4486" s="164" t="str">
        <f ca="1">IFERROR(__xludf.DUMMYFUNCTION("""COMPUTED_VALUE"""),"DENR NAMRIA")</f>
        <v>DENR NAMRIA</v>
      </c>
      <c r="M4486" s="164" t="str">
        <f ca="1">IFERROR(__xludf.DUMMYFUNCTION("""COMPUTED_VALUE"""),"SERVICEABLE")</f>
        <v>SERVICEABLE</v>
      </c>
      <c r="N4486" s="164"/>
    </row>
    <row r="4487" spans="1:14" ht="13.2" hidden="1">
      <c r="A4487" s="164" t="str">
        <f ca="1">IFERROR(__xludf.DUMMYFUNCTION("""COMPUTED_VALUE"""),"DENR")</f>
        <v>DENR</v>
      </c>
      <c r="B4487" s="164" t="str">
        <f ca="1">IFERROR(__xludf.DUMMYFUNCTION("""COMPUTED_VALUE"""),"NAMRIA")</f>
        <v>NAMRIA</v>
      </c>
      <c r="C4487" s="164" t="str">
        <f ca="1">IFERROR(__xludf.DUMMYFUNCTION("""COMPUTED_VALUE"""),"LAPTOP MSI KATANA")</f>
        <v>LAPTOP MSI KATANA</v>
      </c>
      <c r="D4487" s="164"/>
      <c r="E4487" s="164"/>
      <c r="F4487" s="164" t="str">
        <f ca="1">IFERROR(__xludf.DUMMYFUNCTION("""COMPUTED_VALUE"""),"2024-05-03-10202SP019-01")</f>
        <v>2024-05-03-10202SP019-01</v>
      </c>
      <c r="G4487" s="164" t="str">
        <f ca="1">IFERROR(__xludf.DUMMYFUNCTION("""COMPUTED_VALUE"""),"k24003n0163072")</f>
        <v>k24003n0163072</v>
      </c>
      <c r="H4487" s="164" t="str">
        <f ca="1">IFERROR(__xludf.DUMMYFUNCTION("""COMPUTED_VALUE"""),"BEATA D BATADLAN")</f>
        <v>BEATA D BATADLAN</v>
      </c>
      <c r="I4487" s="164" t="str">
        <f ca="1">IFERROR(__xludf.DUMMYFUNCTION("""COMPUTED_VALUE"""),"CHIEF LCD")</f>
        <v>CHIEF LCD</v>
      </c>
      <c r="J4487" s="164" t="str">
        <f ca="1">IFERROR(__xludf.DUMMYFUNCTION("""COMPUTED_VALUE"""),"2024-07-003L")</f>
        <v>2024-07-003L</v>
      </c>
      <c r="K4487" s="164"/>
      <c r="L4487" s="164" t="str">
        <f ca="1">IFERROR(__xludf.DUMMYFUNCTION("""COMPUTED_VALUE"""),"DENR NAMRIA")</f>
        <v>DENR NAMRIA</v>
      </c>
      <c r="M4487" s="164" t="str">
        <f ca="1">IFERROR(__xludf.DUMMYFUNCTION("""COMPUTED_VALUE"""),"SERVICEABLE")</f>
        <v>SERVICEABLE</v>
      </c>
      <c r="N4487" s="164"/>
    </row>
    <row r="4488" spans="1:14" ht="13.2" hidden="1">
      <c r="A4488" s="164" t="str">
        <f ca="1">IFERROR(__xludf.DUMMYFUNCTION("""COMPUTED_VALUE"""),"DENR")</f>
        <v>DENR</v>
      </c>
      <c r="B4488" s="164" t="str">
        <f ca="1">IFERROR(__xludf.DUMMYFUNCTION("""COMPUTED_VALUE"""),"NAMRIA")</f>
        <v>NAMRIA</v>
      </c>
      <c r="C4488" s="164" t="str">
        <f ca="1">IFERROR(__xludf.DUMMYFUNCTION("""COMPUTED_VALUE"""),"LAPTOP MSI KATANA")</f>
        <v>LAPTOP MSI KATANA</v>
      </c>
      <c r="D4488" s="164"/>
      <c r="E4488" s="164"/>
      <c r="F4488" s="164" t="str">
        <f ca="1">IFERROR(__xludf.DUMMYFUNCTION("""COMPUTED_VALUE"""),"2024-05-03-10202SP020-01")</f>
        <v>2024-05-03-10202SP020-01</v>
      </c>
      <c r="G4488" s="164" t="str">
        <f ca="1">IFERROR(__xludf.DUMMYFUNCTION("""COMPUTED_VALUE"""),"k24003n0163072")</f>
        <v>k24003n0163072</v>
      </c>
      <c r="H4488" s="164" t="str">
        <f ca="1">IFERROR(__xludf.DUMMYFUNCTION("""COMPUTED_VALUE"""),"BEATA D BATADLAN")</f>
        <v>BEATA D BATADLAN</v>
      </c>
      <c r="I4488" s="164" t="str">
        <f ca="1">IFERROR(__xludf.DUMMYFUNCTION("""COMPUTED_VALUE"""),"CHIEF LCD")</f>
        <v>CHIEF LCD</v>
      </c>
      <c r="J4488" s="164" t="str">
        <f ca="1">IFERROR(__xludf.DUMMYFUNCTION("""COMPUTED_VALUE"""),"2024-07-003L")</f>
        <v>2024-07-003L</v>
      </c>
      <c r="K4488" s="164"/>
      <c r="L4488" s="164" t="str">
        <f ca="1">IFERROR(__xludf.DUMMYFUNCTION("""COMPUTED_VALUE"""),"DENR NAMRIA")</f>
        <v>DENR NAMRIA</v>
      </c>
      <c r="M4488" s="164" t="str">
        <f ca="1">IFERROR(__xludf.DUMMYFUNCTION("""COMPUTED_VALUE"""),"SERVICEABLE")</f>
        <v>SERVICEABLE</v>
      </c>
      <c r="N4488" s="164"/>
    </row>
    <row r="4489" spans="1:14" ht="13.2" hidden="1">
      <c r="A4489" s="164" t="str">
        <f ca="1">IFERROR(__xludf.DUMMYFUNCTION("""COMPUTED_VALUE"""),"DENR")</f>
        <v>DENR</v>
      </c>
      <c r="B4489" s="164" t="str">
        <f ca="1">IFERROR(__xludf.DUMMYFUNCTION("""COMPUTED_VALUE"""),"NAMRIA")</f>
        <v>NAMRIA</v>
      </c>
      <c r="C4489" s="164" t="str">
        <f ca="1">IFERROR(__xludf.DUMMYFUNCTION("""COMPUTED_VALUE"""),"LAPTOP MSI KATANA")</f>
        <v>LAPTOP MSI KATANA</v>
      </c>
      <c r="D4489" s="164"/>
      <c r="E4489" s="164"/>
      <c r="F4489" s="164" t="str">
        <f ca="1">IFERROR(__xludf.DUMMYFUNCTION("""COMPUTED_VALUE"""),"2024-05-03-10202SP021-01")</f>
        <v>2024-05-03-10202SP021-01</v>
      </c>
      <c r="G4489" s="164" t="str">
        <f ca="1">IFERROR(__xludf.DUMMYFUNCTION("""COMPUTED_VALUE"""),"k24003n0163072")</f>
        <v>k24003n0163072</v>
      </c>
      <c r="H4489" s="164" t="str">
        <f ca="1">IFERROR(__xludf.DUMMYFUNCTION("""COMPUTED_VALUE"""),"BEATA D BATADLAN")</f>
        <v>BEATA D BATADLAN</v>
      </c>
      <c r="I4489" s="164" t="str">
        <f ca="1">IFERROR(__xludf.DUMMYFUNCTION("""COMPUTED_VALUE"""),"CHIEF LCD")</f>
        <v>CHIEF LCD</v>
      </c>
      <c r="J4489" s="164" t="str">
        <f ca="1">IFERROR(__xludf.DUMMYFUNCTION("""COMPUTED_VALUE"""),"2024-07-003L")</f>
        <v>2024-07-003L</v>
      </c>
      <c r="K4489" s="164"/>
      <c r="L4489" s="164" t="str">
        <f ca="1">IFERROR(__xludf.DUMMYFUNCTION("""COMPUTED_VALUE"""),"DENR NAMRIA")</f>
        <v>DENR NAMRIA</v>
      </c>
      <c r="M4489" s="164" t="str">
        <f ca="1">IFERROR(__xludf.DUMMYFUNCTION("""COMPUTED_VALUE"""),"SERVICEABLE")</f>
        <v>SERVICEABLE</v>
      </c>
      <c r="N4489" s="164"/>
    </row>
    <row r="4490" spans="1:14" ht="13.2" hidden="1">
      <c r="A4490" s="164" t="str">
        <f ca="1">IFERROR(__xludf.DUMMYFUNCTION("""COMPUTED_VALUE"""),"DENR")</f>
        <v>DENR</v>
      </c>
      <c r="B4490" s="164" t="str">
        <f ca="1">IFERROR(__xludf.DUMMYFUNCTION("""COMPUTED_VALUE"""),"NAMRIA")</f>
        <v>NAMRIA</v>
      </c>
      <c r="C4490" s="164" t="str">
        <f ca="1">IFERROR(__xludf.DUMMYFUNCTION("""COMPUTED_VALUE"""),"LAPTOP MSI KATANA")</f>
        <v>LAPTOP MSI KATANA</v>
      </c>
      <c r="D4490" s="164"/>
      <c r="E4490" s="164"/>
      <c r="F4490" s="164" t="str">
        <f ca="1">IFERROR(__xludf.DUMMYFUNCTION("""COMPUTED_VALUE"""),"2024-05-03-10202SP022-01")</f>
        <v>2024-05-03-10202SP022-01</v>
      </c>
      <c r="G4490" s="164" t="str">
        <f ca="1">IFERROR(__xludf.DUMMYFUNCTION("""COMPUTED_VALUE"""),"k24003n0163072")</f>
        <v>k24003n0163072</v>
      </c>
      <c r="H4490" s="164" t="str">
        <f ca="1">IFERROR(__xludf.DUMMYFUNCTION("""COMPUTED_VALUE"""),"BEATA D BATADLAN")</f>
        <v>BEATA D BATADLAN</v>
      </c>
      <c r="I4490" s="164" t="str">
        <f ca="1">IFERROR(__xludf.DUMMYFUNCTION("""COMPUTED_VALUE"""),"CHIEF LCD")</f>
        <v>CHIEF LCD</v>
      </c>
      <c r="J4490" s="164" t="str">
        <f ca="1">IFERROR(__xludf.DUMMYFUNCTION("""COMPUTED_VALUE"""),"2024-07-003L")</f>
        <v>2024-07-003L</v>
      </c>
      <c r="K4490" s="164"/>
      <c r="L4490" s="164" t="str">
        <f ca="1">IFERROR(__xludf.DUMMYFUNCTION("""COMPUTED_VALUE"""),"DENR NAMRIA")</f>
        <v>DENR NAMRIA</v>
      </c>
      <c r="M4490" s="164" t="str">
        <f ca="1">IFERROR(__xludf.DUMMYFUNCTION("""COMPUTED_VALUE"""),"SERVICEABLE")</f>
        <v>SERVICEABLE</v>
      </c>
      <c r="N4490" s="164"/>
    </row>
    <row r="4491" spans="1:14" ht="13.2" hidden="1">
      <c r="A4491" s="164" t="str">
        <f ca="1">IFERROR(__xludf.DUMMYFUNCTION("""COMPUTED_VALUE"""),"DENR")</f>
        <v>DENR</v>
      </c>
      <c r="B4491" s="164" t="str">
        <f ca="1">IFERROR(__xludf.DUMMYFUNCTION("""COMPUTED_VALUE"""),"NAMRIA")</f>
        <v>NAMRIA</v>
      </c>
      <c r="C4491" s="164" t="str">
        <f ca="1">IFERROR(__xludf.DUMMYFUNCTION("""COMPUTED_VALUE"""),"LAPTOP MSI KATANA")</f>
        <v>LAPTOP MSI KATANA</v>
      </c>
      <c r="D4491" s="164"/>
      <c r="E4491" s="164"/>
      <c r="F4491" s="164" t="str">
        <f ca="1">IFERROR(__xludf.DUMMYFUNCTION("""COMPUTED_VALUE"""),"2024-05-03-10202SP023-01")</f>
        <v>2024-05-03-10202SP023-01</v>
      </c>
      <c r="G4491" s="164" t="str">
        <f ca="1">IFERROR(__xludf.DUMMYFUNCTION("""COMPUTED_VALUE"""),"k24003n0163072")</f>
        <v>k24003n0163072</v>
      </c>
      <c r="H4491" s="164" t="str">
        <f ca="1">IFERROR(__xludf.DUMMYFUNCTION("""COMPUTED_VALUE"""),"BEATA D BATADLAN")</f>
        <v>BEATA D BATADLAN</v>
      </c>
      <c r="I4491" s="164" t="str">
        <f ca="1">IFERROR(__xludf.DUMMYFUNCTION("""COMPUTED_VALUE"""),"CHIEF LCD")</f>
        <v>CHIEF LCD</v>
      </c>
      <c r="J4491" s="164" t="str">
        <f ca="1">IFERROR(__xludf.DUMMYFUNCTION("""COMPUTED_VALUE"""),"2024-07-003L")</f>
        <v>2024-07-003L</v>
      </c>
      <c r="K4491" s="164"/>
      <c r="L4491" s="164" t="str">
        <f ca="1">IFERROR(__xludf.DUMMYFUNCTION("""COMPUTED_VALUE"""),"DENR NAMRIA")</f>
        <v>DENR NAMRIA</v>
      </c>
      <c r="M4491" s="164" t="str">
        <f ca="1">IFERROR(__xludf.DUMMYFUNCTION("""COMPUTED_VALUE"""),"SERVICEABLE")</f>
        <v>SERVICEABLE</v>
      </c>
      <c r="N4491" s="164"/>
    </row>
    <row r="4492" spans="1:14" ht="13.2" hidden="1">
      <c r="A4492" s="164" t="str">
        <f ca="1">IFERROR(__xludf.DUMMYFUNCTION("""COMPUTED_VALUE"""),"DENR")</f>
        <v>DENR</v>
      </c>
      <c r="B4492" s="164" t="str">
        <f ca="1">IFERROR(__xludf.DUMMYFUNCTION("""COMPUTED_VALUE"""),"NAMRIA")</f>
        <v>NAMRIA</v>
      </c>
      <c r="C4492" s="164" t="str">
        <f ca="1">IFERROR(__xludf.DUMMYFUNCTION("""COMPUTED_VALUE"""),"LAPTOP MSI KATANA")</f>
        <v>LAPTOP MSI KATANA</v>
      </c>
      <c r="D4492" s="164"/>
      <c r="E4492" s="164"/>
      <c r="F4492" s="164" t="str">
        <f ca="1">IFERROR(__xludf.DUMMYFUNCTION("""COMPUTED_VALUE"""),"2024-05-03-10202SP024-01")</f>
        <v>2024-05-03-10202SP024-01</v>
      </c>
      <c r="G4492" s="164" t="str">
        <f ca="1">IFERROR(__xludf.DUMMYFUNCTION("""COMPUTED_VALUE"""),"k24003n0163072")</f>
        <v>k24003n0163072</v>
      </c>
      <c r="H4492" s="164" t="str">
        <f ca="1">IFERROR(__xludf.DUMMYFUNCTION("""COMPUTED_VALUE"""),"BEATA D BATADLAN")</f>
        <v>BEATA D BATADLAN</v>
      </c>
      <c r="I4492" s="164" t="str">
        <f ca="1">IFERROR(__xludf.DUMMYFUNCTION("""COMPUTED_VALUE"""),"CHIEF LCD")</f>
        <v>CHIEF LCD</v>
      </c>
      <c r="J4492" s="164" t="str">
        <f ca="1">IFERROR(__xludf.DUMMYFUNCTION("""COMPUTED_VALUE"""),"2024-07-003L")</f>
        <v>2024-07-003L</v>
      </c>
      <c r="K4492" s="164"/>
      <c r="L4492" s="164" t="str">
        <f ca="1">IFERROR(__xludf.DUMMYFUNCTION("""COMPUTED_VALUE"""),"DENR NAMRIA")</f>
        <v>DENR NAMRIA</v>
      </c>
      <c r="M4492" s="164" t="str">
        <f ca="1">IFERROR(__xludf.DUMMYFUNCTION("""COMPUTED_VALUE"""),"SERVICEABLE")</f>
        <v>SERVICEABLE</v>
      </c>
      <c r="N4492" s="164"/>
    </row>
    <row r="4493" spans="1:14" ht="13.2" hidden="1">
      <c r="A4493" s="164" t="str">
        <f ca="1">IFERROR(__xludf.DUMMYFUNCTION("""COMPUTED_VALUE"""),"DENR")</f>
        <v>DENR</v>
      </c>
      <c r="B4493" s="164" t="str">
        <f ca="1">IFERROR(__xludf.DUMMYFUNCTION("""COMPUTED_VALUE"""),"NAMRIA")</f>
        <v>NAMRIA</v>
      </c>
      <c r="C4493" s="164" t="str">
        <f ca="1">IFERROR(__xludf.DUMMYFUNCTION("""COMPUTED_VALUE"""),"LAPTOP MSI KATANA")</f>
        <v>LAPTOP MSI KATANA</v>
      </c>
      <c r="D4493" s="164"/>
      <c r="E4493" s="164"/>
      <c r="F4493" s="164" t="str">
        <f ca="1">IFERROR(__xludf.DUMMYFUNCTION("""COMPUTED_VALUE"""),"2024-05-03-10202SP025-01")</f>
        <v>2024-05-03-10202SP025-01</v>
      </c>
      <c r="G4493" s="164" t="str">
        <f ca="1">IFERROR(__xludf.DUMMYFUNCTION("""COMPUTED_VALUE"""),"k24003n0163072")</f>
        <v>k24003n0163072</v>
      </c>
      <c r="H4493" s="164" t="str">
        <f ca="1">IFERROR(__xludf.DUMMYFUNCTION("""COMPUTED_VALUE"""),"BEATA D BATADLAN")</f>
        <v>BEATA D BATADLAN</v>
      </c>
      <c r="I4493" s="164" t="str">
        <f ca="1">IFERROR(__xludf.DUMMYFUNCTION("""COMPUTED_VALUE"""),"CHIEF LCD")</f>
        <v>CHIEF LCD</v>
      </c>
      <c r="J4493" s="164" t="str">
        <f ca="1">IFERROR(__xludf.DUMMYFUNCTION("""COMPUTED_VALUE"""),"2024-07-003L")</f>
        <v>2024-07-003L</v>
      </c>
      <c r="K4493" s="164"/>
      <c r="L4493" s="164" t="str">
        <f ca="1">IFERROR(__xludf.DUMMYFUNCTION("""COMPUTED_VALUE"""),"DENR NAMRIA")</f>
        <v>DENR NAMRIA</v>
      </c>
      <c r="M4493" s="164" t="str">
        <f ca="1">IFERROR(__xludf.DUMMYFUNCTION("""COMPUTED_VALUE"""),"SERVICEABLE")</f>
        <v>SERVICEABLE</v>
      </c>
      <c r="N4493" s="164"/>
    </row>
    <row r="4494" spans="1:14" ht="13.2">
      <c r="A4494" s="164" t="str">
        <f ca="1">IFERROR(__xludf.DUMMYFUNCTION("""COMPUTED_VALUE"""),"DENR")</f>
        <v>DENR</v>
      </c>
      <c r="B4494" s="164" t="str">
        <f ca="1">IFERROR(__xludf.DUMMYFUNCTION("""COMPUTED_VALUE"""),"LMB")</f>
        <v>LMB</v>
      </c>
      <c r="C4494" s="164" t="str">
        <f ca="1">IFERROR(__xludf.DUMMYFUNCTION("""COMPUTED_VALUE"""),"SERVER")</f>
        <v>SERVER</v>
      </c>
      <c r="D4494" s="164" t="str">
        <f ca="1">IFERROR(__xludf.DUMMYFUNCTION("""COMPUTED_VALUE"""),"1,272,556.51")</f>
        <v>1,272,556.51</v>
      </c>
      <c r="E4494" s="164"/>
      <c r="F4494" s="164" t="str">
        <f ca="1">IFERROR(__xludf.DUMMYFUNCTION("""COMPUTED_VALUE"""),"2024-05-03-10204SP001-01")</f>
        <v>2024-05-03-10204SP001-01</v>
      </c>
      <c r="G4494" s="164"/>
      <c r="H4494" s="164" t="str">
        <f ca="1">IFERROR(__xludf.DUMMYFUNCTION("""COMPUTED_VALUE"""),"ATTY EMELYN V TALABIS")</f>
        <v>ATTY EMELYN V TALABIS</v>
      </c>
      <c r="I4494" s="164" t="str">
        <f ca="1">IFERROR(__xludf.DUMMYFUNCTION("""COMPUTED_VALUE"""),"DIRECTOR")</f>
        <v>DIRECTOR</v>
      </c>
      <c r="J4494" s="164" t="str">
        <f ca="1">IFERROR(__xludf.DUMMYFUNCTION("""COMPUTED_VALUE"""),"2024-06-001L")</f>
        <v>2024-06-001L</v>
      </c>
      <c r="K4494" s="164"/>
      <c r="L4494" s="164" t="str">
        <f ca="1">IFERROR(__xludf.DUMMYFUNCTION("""COMPUTED_VALUE"""),"DENR LMB")</f>
        <v>DENR LMB</v>
      </c>
      <c r="M4494" s="164" t="str">
        <f ca="1">IFERROR(__xludf.DUMMYFUNCTION("""COMPUTED_VALUE"""),"SERVICEABLE")</f>
        <v>SERVICEABLE</v>
      </c>
      <c r="N4494" s="164"/>
    </row>
    <row r="4495" spans="1:14" ht="13.2">
      <c r="A4495" s="164" t="str">
        <f ca="1">IFERROR(__xludf.DUMMYFUNCTION("""COMPUTED_VALUE"""),"LRA")</f>
        <v>LRA</v>
      </c>
      <c r="B4495" s="164" t="str">
        <f ca="1">IFERROR(__xludf.DUMMYFUNCTION("""COMPUTED_VALUE"""),"Central Office")</f>
        <v>Central Office</v>
      </c>
      <c r="C4495" s="164" t="str">
        <f ca="1">IFERROR(__xludf.DUMMYFUNCTION("""COMPUTED_VALUE"""),"Desktop Computer – (HP Pro SFF 280G9)")</f>
        <v>Desktop Computer – (HP Pro SFF 280G9)</v>
      </c>
      <c r="D4495" s="164"/>
      <c r="E4495" s="164"/>
      <c r="F4495" s="164" t="str">
        <f ca="1">IFERROR(__xludf.DUMMYFUNCTION("""COMPUTED_VALUE"""),"2023-05-03-10201SP485-01")</f>
        <v>2023-05-03-10201SP485-01</v>
      </c>
      <c r="G4495" s="164"/>
      <c r="H4495" s="164"/>
      <c r="I4495" s="164"/>
      <c r="J4495" s="164"/>
      <c r="K4495" s="164"/>
      <c r="L4495" s="164" t="str">
        <f ca="1">IFERROR(__xludf.DUMMYFUNCTION("""COMPUTED_VALUE"""),"CARP")</f>
        <v>CARP</v>
      </c>
      <c r="M4495" s="164"/>
      <c r="N4495" s="164"/>
    </row>
    <row r="4496" spans="1:14" ht="13.2">
      <c r="A4496" s="164" t="str">
        <f ca="1">IFERROR(__xludf.DUMMYFUNCTION("""COMPUTED_VALUE"""),"LRA")</f>
        <v>LRA</v>
      </c>
      <c r="B4496" s="164" t="str">
        <f ca="1">IFERROR(__xludf.DUMMYFUNCTION("""COMPUTED_VALUE"""),"Central Office")</f>
        <v>Central Office</v>
      </c>
      <c r="C4496" s="164" t="str">
        <f ca="1">IFERROR(__xludf.DUMMYFUNCTION("""COMPUTED_VALUE"""),"Desktop Computer – (HP Pro SFF 280G9)")</f>
        <v>Desktop Computer – (HP Pro SFF 280G9)</v>
      </c>
      <c r="D4496" s="164"/>
      <c r="E4496" s="164"/>
      <c r="F4496" s="164" t="str">
        <f ca="1">IFERROR(__xludf.DUMMYFUNCTION("""COMPUTED_VALUE"""),"2023-05-03-10201SP486-01")</f>
        <v>2023-05-03-10201SP486-01</v>
      </c>
      <c r="G4496" s="164"/>
      <c r="H4496" s="164"/>
      <c r="I4496" s="164"/>
      <c r="J4496" s="164"/>
      <c r="K4496" s="164"/>
      <c r="L4496" s="164" t="str">
        <f ca="1">IFERROR(__xludf.DUMMYFUNCTION("""COMPUTED_VALUE"""),"CARP")</f>
        <v>CARP</v>
      </c>
      <c r="M4496" s="164"/>
      <c r="N4496" s="164"/>
    </row>
    <row r="4497" spans="1:14" ht="13.2">
      <c r="A4497" s="164" t="str">
        <f ca="1">IFERROR(__xludf.DUMMYFUNCTION("""COMPUTED_VALUE"""),"LRA")</f>
        <v>LRA</v>
      </c>
      <c r="B4497" s="164" t="str">
        <f ca="1">IFERROR(__xludf.DUMMYFUNCTION("""COMPUTED_VALUE"""),"Central Office")</f>
        <v>Central Office</v>
      </c>
      <c r="C4497" s="164" t="str">
        <f ca="1">IFERROR(__xludf.DUMMYFUNCTION("""COMPUTED_VALUE"""),"Desktop Computer – (HP Pro SFF 280G9)")</f>
        <v>Desktop Computer – (HP Pro SFF 280G9)</v>
      </c>
      <c r="D4497" s="164"/>
      <c r="E4497" s="164"/>
      <c r="F4497" s="164" t="str">
        <f ca="1">IFERROR(__xludf.DUMMYFUNCTION("""COMPUTED_VALUE"""),"2023-05-03-10201SP487-01")</f>
        <v>2023-05-03-10201SP487-01</v>
      </c>
      <c r="G4497" s="164"/>
      <c r="H4497" s="164"/>
      <c r="I4497" s="164"/>
      <c r="J4497" s="164"/>
      <c r="K4497" s="164"/>
      <c r="L4497" s="164" t="str">
        <f ca="1">IFERROR(__xludf.DUMMYFUNCTION("""COMPUTED_VALUE"""),"CARP")</f>
        <v>CARP</v>
      </c>
      <c r="M4497" s="164"/>
      <c r="N4497" s="164"/>
    </row>
    <row r="4498" spans="1:14" ht="13.2">
      <c r="A4498" s="164" t="str">
        <f ca="1">IFERROR(__xludf.DUMMYFUNCTION("""COMPUTED_VALUE"""),"LRA")</f>
        <v>LRA</v>
      </c>
      <c r="B4498" s="164" t="str">
        <f ca="1">IFERROR(__xludf.DUMMYFUNCTION("""COMPUTED_VALUE"""),"Central Office")</f>
        <v>Central Office</v>
      </c>
      <c r="C4498" s="164" t="str">
        <f ca="1">IFERROR(__xludf.DUMMYFUNCTION("""COMPUTED_VALUE"""),"Desktop Computer – (HP Pro SFF 280G9)")</f>
        <v>Desktop Computer – (HP Pro SFF 280G9)</v>
      </c>
      <c r="D4498" s="164"/>
      <c r="E4498" s="164"/>
      <c r="F4498" s="164" t="str">
        <f ca="1">IFERROR(__xludf.DUMMYFUNCTION("""COMPUTED_VALUE"""),"2023-05-03-10201SP488-01")</f>
        <v>2023-05-03-10201SP488-01</v>
      </c>
      <c r="G4498" s="164"/>
      <c r="H4498" s="164"/>
      <c r="I4498" s="164"/>
      <c r="J4498" s="164"/>
      <c r="K4498" s="164"/>
      <c r="L4498" s="164" t="str">
        <f ca="1">IFERROR(__xludf.DUMMYFUNCTION("""COMPUTED_VALUE"""),"CARP")</f>
        <v>CARP</v>
      </c>
      <c r="M4498" s="164"/>
      <c r="N4498" s="164"/>
    </row>
    <row r="4499" spans="1:14" ht="13.2">
      <c r="A4499" s="164" t="str">
        <f ca="1">IFERROR(__xludf.DUMMYFUNCTION("""COMPUTED_VALUE"""),"LRA")</f>
        <v>LRA</v>
      </c>
      <c r="B4499" s="164" t="str">
        <f ca="1">IFERROR(__xludf.DUMMYFUNCTION("""COMPUTED_VALUE"""),"Central Office")</f>
        <v>Central Office</v>
      </c>
      <c r="C4499" s="164" t="str">
        <f ca="1">IFERROR(__xludf.DUMMYFUNCTION("""COMPUTED_VALUE"""),"Desktop Computer – (HP Pro SFF 280G9)")</f>
        <v>Desktop Computer – (HP Pro SFF 280G9)</v>
      </c>
      <c r="D4499" s="164"/>
      <c r="E4499" s="164"/>
      <c r="F4499" s="164" t="str">
        <f ca="1">IFERROR(__xludf.DUMMYFUNCTION("""COMPUTED_VALUE"""),"2023-05-03-10201SP489-01")</f>
        <v>2023-05-03-10201SP489-01</v>
      </c>
      <c r="G4499" s="164"/>
      <c r="H4499" s="164"/>
      <c r="I4499" s="164"/>
      <c r="J4499" s="164"/>
      <c r="K4499" s="164"/>
      <c r="L4499" s="164" t="str">
        <f ca="1">IFERROR(__xludf.DUMMYFUNCTION("""COMPUTED_VALUE"""),"CARP")</f>
        <v>CARP</v>
      </c>
      <c r="M4499" s="164"/>
      <c r="N4499" s="164"/>
    </row>
    <row r="4500" spans="1:14" ht="13.2">
      <c r="A4500" s="164" t="str">
        <f ca="1">IFERROR(__xludf.DUMMYFUNCTION("""COMPUTED_VALUE"""),"LRA")</f>
        <v>LRA</v>
      </c>
      <c r="B4500" s="164" t="str">
        <f ca="1">IFERROR(__xludf.DUMMYFUNCTION("""COMPUTED_VALUE"""),"Central Office")</f>
        <v>Central Office</v>
      </c>
      <c r="C4500" s="164" t="str">
        <f ca="1">IFERROR(__xludf.DUMMYFUNCTION("""COMPUTED_VALUE"""),"Desktop Computer – (HP Pro SFF 280G9)")</f>
        <v>Desktop Computer – (HP Pro SFF 280G9)</v>
      </c>
      <c r="D4500" s="164"/>
      <c r="E4500" s="164"/>
      <c r="F4500" s="164" t="str">
        <f ca="1">IFERROR(__xludf.DUMMYFUNCTION("""COMPUTED_VALUE"""),"2023-05-03-10201SP490-01")</f>
        <v>2023-05-03-10201SP490-01</v>
      </c>
      <c r="G4500" s="164"/>
      <c r="H4500" s="164"/>
      <c r="I4500" s="164"/>
      <c r="J4500" s="164"/>
      <c r="K4500" s="164"/>
      <c r="L4500" s="164" t="str">
        <f ca="1">IFERROR(__xludf.DUMMYFUNCTION("""COMPUTED_VALUE"""),"CARP")</f>
        <v>CARP</v>
      </c>
      <c r="M4500" s="164"/>
      <c r="N4500" s="164"/>
    </row>
    <row r="4501" spans="1:14" ht="13.2">
      <c r="A4501" s="164" t="str">
        <f ca="1">IFERROR(__xludf.DUMMYFUNCTION("""COMPUTED_VALUE"""),"LRA")</f>
        <v>LRA</v>
      </c>
      <c r="B4501" s="164" t="str">
        <f ca="1">IFERROR(__xludf.DUMMYFUNCTION("""COMPUTED_VALUE"""),"Central Office")</f>
        <v>Central Office</v>
      </c>
      <c r="C4501" s="164" t="str">
        <f ca="1">IFERROR(__xludf.DUMMYFUNCTION("""COMPUTED_VALUE"""),"Desktop Computer – (HP Pro SFF 280G9)")</f>
        <v>Desktop Computer – (HP Pro SFF 280G9)</v>
      </c>
      <c r="D4501" s="164"/>
      <c r="E4501" s="164"/>
      <c r="F4501" s="164" t="str">
        <f ca="1">IFERROR(__xludf.DUMMYFUNCTION("""COMPUTED_VALUE"""),"2023-05-03-10201SP491-01")</f>
        <v>2023-05-03-10201SP491-01</v>
      </c>
      <c r="G4501" s="164"/>
      <c r="H4501" s="164"/>
      <c r="I4501" s="164"/>
      <c r="J4501" s="164"/>
      <c r="K4501" s="164"/>
      <c r="L4501" s="164" t="str">
        <f ca="1">IFERROR(__xludf.DUMMYFUNCTION("""COMPUTED_VALUE"""),"CARP")</f>
        <v>CARP</v>
      </c>
      <c r="M4501" s="164"/>
      <c r="N4501" s="164"/>
    </row>
    <row r="4502" spans="1:14" ht="13.2">
      <c r="A4502" s="164" t="str">
        <f ca="1">IFERROR(__xludf.DUMMYFUNCTION("""COMPUTED_VALUE"""),"LRA")</f>
        <v>LRA</v>
      </c>
      <c r="B4502" s="164" t="str">
        <f ca="1">IFERROR(__xludf.DUMMYFUNCTION("""COMPUTED_VALUE"""),"Central Office")</f>
        <v>Central Office</v>
      </c>
      <c r="C4502" s="164" t="str">
        <f ca="1">IFERROR(__xludf.DUMMYFUNCTION("""COMPUTED_VALUE"""),"Desktop Computer – (HP Pro SFF 280G9)")</f>
        <v>Desktop Computer – (HP Pro SFF 280G9)</v>
      </c>
      <c r="D4502" s="164"/>
      <c r="E4502" s="164"/>
      <c r="F4502" s="164" t="str">
        <f ca="1">IFERROR(__xludf.DUMMYFUNCTION("""COMPUTED_VALUE"""),"2023-05-03-10201SP492-01")</f>
        <v>2023-05-03-10201SP492-01</v>
      </c>
      <c r="G4502" s="164"/>
      <c r="H4502" s="164"/>
      <c r="I4502" s="164"/>
      <c r="J4502" s="164"/>
      <c r="K4502" s="164"/>
      <c r="L4502" s="164" t="str">
        <f ca="1">IFERROR(__xludf.DUMMYFUNCTION("""COMPUTED_VALUE"""),"CARP")</f>
        <v>CARP</v>
      </c>
      <c r="M4502" s="164"/>
      <c r="N4502" s="164"/>
    </row>
    <row r="4503" spans="1:14" ht="13.2">
      <c r="A4503" s="164" t="str">
        <f ca="1">IFERROR(__xludf.DUMMYFUNCTION("""COMPUTED_VALUE"""),"LRA")</f>
        <v>LRA</v>
      </c>
      <c r="B4503" s="164" t="str">
        <f ca="1">IFERROR(__xludf.DUMMYFUNCTION("""COMPUTED_VALUE"""),"Central Office")</f>
        <v>Central Office</v>
      </c>
      <c r="C4503" s="164" t="str">
        <f ca="1">IFERROR(__xludf.DUMMYFUNCTION("""COMPUTED_VALUE"""),"LAPTOP MSI KATANA")</f>
        <v>LAPTOP MSI KATANA</v>
      </c>
      <c r="D4503" s="164"/>
      <c r="E4503" s="164"/>
      <c r="F4503" s="164" t="str">
        <f ca="1">IFERROR(__xludf.DUMMYFUNCTION("""COMPUTED_VALUE"""),"2024-05-03-10202SP077-01")</f>
        <v>2024-05-03-10202SP077-01</v>
      </c>
      <c r="G4503" s="164"/>
      <c r="H4503" s="164"/>
      <c r="I4503" s="164"/>
      <c r="J4503" s="164"/>
      <c r="K4503" s="164"/>
      <c r="L4503" s="164"/>
      <c r="M4503" s="164"/>
      <c r="N4503" s="164"/>
    </row>
    <row r="4504" spans="1:14" ht="13.2">
      <c r="A4504" s="164" t="str">
        <f ca="1">IFERROR(__xludf.DUMMYFUNCTION("""COMPUTED_VALUE"""),"LRA")</f>
        <v>LRA</v>
      </c>
      <c r="B4504" s="164" t="str">
        <f ca="1">IFERROR(__xludf.DUMMYFUNCTION("""COMPUTED_VALUE"""),"Central Office")</f>
        <v>Central Office</v>
      </c>
      <c r="C4504" s="164" t="str">
        <f ca="1">IFERROR(__xludf.DUMMYFUNCTION("""COMPUTED_VALUE"""),"LAPTOP MSI KATANA")</f>
        <v>LAPTOP MSI KATANA</v>
      </c>
      <c r="D4504" s="164"/>
      <c r="E4504" s="164"/>
      <c r="F4504" s="164" t="str">
        <f ca="1">IFERROR(__xludf.DUMMYFUNCTION("""COMPUTED_VALUE"""),"2024-05-03-10202SP078-01")</f>
        <v>2024-05-03-10202SP078-01</v>
      </c>
      <c r="G4504" s="164"/>
      <c r="H4504" s="164"/>
      <c r="I4504" s="164"/>
      <c r="J4504" s="164"/>
      <c r="K4504" s="164"/>
      <c r="L4504" s="164"/>
      <c r="M4504" s="164"/>
      <c r="N4504" s="164"/>
    </row>
    <row r="4505" spans="1:14" ht="13.2">
      <c r="A4505" s="164" t="str">
        <f ca="1">IFERROR(__xludf.DUMMYFUNCTION("""COMPUTED_VALUE"""),"LRA")</f>
        <v>LRA</v>
      </c>
      <c r="B4505" s="164" t="str">
        <f ca="1">IFERROR(__xludf.DUMMYFUNCTION("""COMPUTED_VALUE"""),"Central Office")</f>
        <v>Central Office</v>
      </c>
      <c r="C4505" s="164" t="str">
        <f ca="1">IFERROR(__xludf.DUMMYFUNCTION("""COMPUTED_VALUE"""),"LAPTOP MSI KATANA")</f>
        <v>LAPTOP MSI KATANA</v>
      </c>
      <c r="D4505" s="164"/>
      <c r="E4505" s="164"/>
      <c r="F4505" s="164" t="str">
        <f ca="1">IFERROR(__xludf.DUMMYFUNCTION("""COMPUTED_VALUE"""),"2024-05-03-10202SP079-01")</f>
        <v>2024-05-03-10202SP079-01</v>
      </c>
      <c r="G4505" s="164"/>
      <c r="H4505" s="164"/>
      <c r="I4505" s="164"/>
      <c r="J4505" s="164"/>
      <c r="K4505" s="164"/>
      <c r="L4505" s="164"/>
      <c r="M4505" s="164"/>
      <c r="N4505" s="164"/>
    </row>
    <row r="4506" spans="1:14" ht="13.2">
      <c r="A4506" s="164" t="str">
        <f ca="1">IFERROR(__xludf.DUMMYFUNCTION("""COMPUTED_VALUE"""),"LRA")</f>
        <v>LRA</v>
      </c>
      <c r="B4506" s="164" t="str">
        <f ca="1">IFERROR(__xludf.DUMMYFUNCTION("""COMPUTED_VALUE"""),"Central Office")</f>
        <v>Central Office</v>
      </c>
      <c r="C4506" s="164" t="str">
        <f ca="1">IFERROR(__xludf.DUMMYFUNCTION("""COMPUTED_VALUE"""),"LAPTOP MSI KATANA")</f>
        <v>LAPTOP MSI KATANA</v>
      </c>
      <c r="D4506" s="164"/>
      <c r="E4506" s="164"/>
      <c r="F4506" s="164" t="str">
        <f ca="1">IFERROR(__xludf.DUMMYFUNCTION("""COMPUTED_VALUE"""),"2024-05-03-10202SP080-01")</f>
        <v>2024-05-03-10202SP080-01</v>
      </c>
      <c r="G4506" s="164"/>
      <c r="H4506" s="164"/>
      <c r="I4506" s="164"/>
      <c r="J4506" s="164"/>
      <c r="K4506" s="164"/>
      <c r="L4506" s="164"/>
      <c r="M4506" s="164"/>
      <c r="N4506" s="164"/>
    </row>
    <row r="4507" spans="1:14" ht="13.2">
      <c r="A4507" s="164" t="str">
        <f ca="1">IFERROR(__xludf.DUMMYFUNCTION("""COMPUTED_VALUE"""),"LRA")</f>
        <v>LRA</v>
      </c>
      <c r="B4507" s="164" t="str">
        <f ca="1">IFERROR(__xludf.DUMMYFUNCTION("""COMPUTED_VALUE"""),"Central Office")</f>
        <v>Central Office</v>
      </c>
      <c r="C4507" s="164" t="str">
        <f ca="1">IFERROR(__xludf.DUMMYFUNCTION("""COMPUTED_VALUE"""),"LAPTOP MSI KATANA")</f>
        <v>LAPTOP MSI KATANA</v>
      </c>
      <c r="D4507" s="164"/>
      <c r="E4507" s="164"/>
      <c r="F4507" s="164" t="str">
        <f ca="1">IFERROR(__xludf.DUMMYFUNCTION("""COMPUTED_VALUE"""),"2024-05-03-10202SP039-01")</f>
        <v>2024-05-03-10202SP039-01</v>
      </c>
      <c r="G4507" s="164"/>
      <c r="H4507" s="164"/>
      <c r="I4507" s="164"/>
      <c r="J4507" s="164"/>
      <c r="K4507" s="164"/>
      <c r="L4507" s="164"/>
      <c r="M4507" s="164"/>
      <c r="N4507" s="164"/>
    </row>
    <row r="4508" spans="1:14" ht="13.2" hidden="1"/>
    <row r="4509" spans="1:14" ht="13.2" hidden="1"/>
    <row r="4510" spans="1:14" ht="13.2" hidden="1"/>
  </sheetData>
  <autoFilter ref="A2:Z4510" xr:uid="{00000000-0009-0000-0000-000001000000}">
    <filterColumn colId="1">
      <filters>
        <filter val="BILIRAN"/>
        <filter val="CEBU"/>
        <filter val="CENTRAL OFFICE"/>
        <filter val="Davao Oriental"/>
        <filter val="DENR"/>
        <filter val="FMB"/>
        <filter val="Ilocos Norte"/>
        <filter val="ILOCOS SUR"/>
        <filter val="La Union"/>
        <filter val="LANAO DEL NORTE"/>
        <filter val="LMB"/>
        <filter val="MISAMI9S OCCIDENTAL"/>
        <filter val="NORTH COTABATO"/>
        <filter val="Nueva Ecija"/>
        <filter val="Pangasinan"/>
        <filter val="QUIRINO"/>
        <filter val="REGIONAL OFFICE"/>
        <filter val="REGIONAL_x000a_ OFFICE"/>
        <filter val="SARANGANI"/>
        <filter val="Siquijor"/>
      </filters>
    </filterColumn>
  </autoFilter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D878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/>
  <cols>
    <col min="1" max="1" width="8.77734375" customWidth="1"/>
    <col min="2" max="2" width="13.44140625" customWidth="1"/>
    <col min="3" max="3" width="35.21875" customWidth="1"/>
    <col min="5" max="5" width="12.6640625" hidden="1"/>
    <col min="6" max="6" width="23.6640625" customWidth="1"/>
    <col min="7" max="7" width="24.21875" hidden="1" customWidth="1"/>
    <col min="8" max="8" width="24" customWidth="1"/>
    <col min="12" max="12" width="15.88671875" customWidth="1"/>
  </cols>
  <sheetData>
    <row r="1" spans="1:30">
      <c r="A1" s="1" t="s">
        <v>0</v>
      </c>
      <c r="B1" s="1"/>
      <c r="C1" s="3"/>
      <c r="D1" s="1"/>
      <c r="E1" s="1"/>
      <c r="F1" s="1"/>
      <c r="G1" s="1"/>
      <c r="H1" s="1"/>
      <c r="I1" s="1"/>
      <c r="J1" s="1"/>
      <c r="K1" s="1"/>
      <c r="L1" s="1"/>
      <c r="M1" s="1"/>
      <c r="N1" s="5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 spans="1:30" ht="15.75" customHeight="1">
      <c r="A2" s="8" t="s">
        <v>2</v>
      </c>
      <c r="B2" s="8" t="s">
        <v>3</v>
      </c>
      <c r="C2" s="8" t="s">
        <v>4</v>
      </c>
      <c r="D2" s="8" t="s">
        <v>5</v>
      </c>
      <c r="E2" s="10" t="s">
        <v>6</v>
      </c>
      <c r="F2" s="8" t="s">
        <v>8</v>
      </c>
      <c r="G2" s="8" t="s">
        <v>9</v>
      </c>
      <c r="H2" s="8" t="s">
        <v>10</v>
      </c>
      <c r="I2" s="8" t="s">
        <v>11</v>
      </c>
      <c r="J2" s="8" t="s">
        <v>12</v>
      </c>
      <c r="K2" s="8" t="s">
        <v>14</v>
      </c>
      <c r="L2" s="8" t="s">
        <v>15</v>
      </c>
      <c r="M2" s="8" t="s">
        <v>16</v>
      </c>
      <c r="N2" s="12" t="s">
        <v>17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ht="15.75" customHeight="1">
      <c r="A3" s="14" t="s">
        <v>18</v>
      </c>
      <c r="B3" s="14" t="s">
        <v>19</v>
      </c>
      <c r="C3" s="14" t="s">
        <v>20</v>
      </c>
      <c r="D3" s="14"/>
      <c r="E3" s="16"/>
      <c r="F3" s="14" t="s">
        <v>28</v>
      </c>
      <c r="G3" s="17" t="s">
        <v>32</v>
      </c>
      <c r="H3" s="14" t="s">
        <v>35</v>
      </c>
      <c r="I3" s="14" t="s">
        <v>36</v>
      </c>
      <c r="J3" s="14" t="s">
        <v>37</v>
      </c>
      <c r="K3" s="14" t="s">
        <v>38</v>
      </c>
      <c r="L3" s="14" t="s">
        <v>40</v>
      </c>
      <c r="M3" s="22" t="s">
        <v>41</v>
      </c>
      <c r="N3" s="14" t="s">
        <v>46</v>
      </c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</row>
    <row r="4" spans="1:30" ht="15.75" customHeight="1">
      <c r="A4" s="28" t="s">
        <v>18</v>
      </c>
      <c r="B4" s="28" t="s">
        <v>19</v>
      </c>
      <c r="C4" s="28" t="s">
        <v>20</v>
      </c>
      <c r="D4" s="28"/>
      <c r="E4" s="26"/>
      <c r="F4" s="28" t="s">
        <v>63</v>
      </c>
      <c r="G4" s="37" t="s">
        <v>64</v>
      </c>
      <c r="H4" s="28" t="s">
        <v>65</v>
      </c>
      <c r="I4" s="28" t="s">
        <v>66</v>
      </c>
      <c r="J4" s="28" t="s">
        <v>67</v>
      </c>
      <c r="K4" s="28"/>
      <c r="L4" s="28" t="s">
        <v>68</v>
      </c>
      <c r="M4" s="24" t="s">
        <v>41</v>
      </c>
      <c r="N4" s="28" t="s">
        <v>69</v>
      </c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</row>
    <row r="5" spans="1:30" ht="15.75" customHeight="1">
      <c r="A5" s="28" t="s">
        <v>18</v>
      </c>
      <c r="B5" s="28" t="s">
        <v>19</v>
      </c>
      <c r="C5" s="28" t="s">
        <v>20</v>
      </c>
      <c r="D5" s="28"/>
      <c r="E5" s="26"/>
      <c r="F5" s="28" t="s">
        <v>73</v>
      </c>
      <c r="G5" s="37" t="s">
        <v>75</v>
      </c>
      <c r="H5" s="28" t="s">
        <v>77</v>
      </c>
      <c r="I5" s="28" t="s">
        <v>66</v>
      </c>
      <c r="J5" s="28" t="s">
        <v>78</v>
      </c>
      <c r="K5" s="28"/>
      <c r="L5" s="28" t="s">
        <v>68</v>
      </c>
      <c r="M5" s="24" t="s">
        <v>41</v>
      </c>
      <c r="N5" s="28" t="s">
        <v>84</v>
      </c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</row>
    <row r="6" spans="1:30" ht="15.75" customHeight="1">
      <c r="A6" s="28" t="s">
        <v>18</v>
      </c>
      <c r="B6" s="28" t="s">
        <v>19</v>
      </c>
      <c r="C6" s="28" t="s">
        <v>20</v>
      </c>
      <c r="D6" s="28"/>
      <c r="E6" s="26"/>
      <c r="F6" s="28" t="s">
        <v>91</v>
      </c>
      <c r="G6" s="37" t="s">
        <v>93</v>
      </c>
      <c r="H6" s="28" t="s">
        <v>94</v>
      </c>
      <c r="I6" s="28" t="s">
        <v>95</v>
      </c>
      <c r="J6" s="28" t="s">
        <v>96</v>
      </c>
      <c r="K6" s="28"/>
      <c r="L6" s="28" t="s">
        <v>97</v>
      </c>
      <c r="M6" s="24" t="s">
        <v>41</v>
      </c>
      <c r="N6" s="28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</row>
    <row r="7" spans="1:30" ht="15.75" customHeight="1">
      <c r="A7" s="28" t="s">
        <v>18</v>
      </c>
      <c r="B7" s="28" t="s">
        <v>19</v>
      </c>
      <c r="C7" s="28" t="s">
        <v>20</v>
      </c>
      <c r="D7" s="28"/>
      <c r="E7" s="26"/>
      <c r="F7" s="28" t="s">
        <v>103</v>
      </c>
      <c r="G7" s="37" t="s">
        <v>104</v>
      </c>
      <c r="H7" s="28" t="s">
        <v>105</v>
      </c>
      <c r="I7" s="28" t="s">
        <v>106</v>
      </c>
      <c r="J7" s="28" t="s">
        <v>107</v>
      </c>
      <c r="K7" s="28"/>
      <c r="L7" s="28" t="s">
        <v>66</v>
      </c>
      <c r="M7" s="24" t="s">
        <v>41</v>
      </c>
      <c r="N7" s="28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</row>
    <row r="8" spans="1:30" ht="15.75" customHeight="1">
      <c r="A8" s="28" t="s">
        <v>18</v>
      </c>
      <c r="B8" s="28" t="s">
        <v>19</v>
      </c>
      <c r="C8" s="28" t="s">
        <v>20</v>
      </c>
      <c r="D8" s="28"/>
      <c r="E8" s="26"/>
      <c r="F8" s="28" t="s">
        <v>114</v>
      </c>
      <c r="G8" s="37" t="s">
        <v>115</v>
      </c>
      <c r="H8" s="28" t="s">
        <v>116</v>
      </c>
      <c r="I8" s="28" t="s">
        <v>117</v>
      </c>
      <c r="J8" s="28" t="s">
        <v>118</v>
      </c>
      <c r="K8" s="28"/>
      <c r="L8" s="28" t="s">
        <v>119</v>
      </c>
      <c r="M8" s="24" t="s">
        <v>41</v>
      </c>
      <c r="N8" s="28" t="s">
        <v>120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</row>
    <row r="9" spans="1:30" ht="15.75" customHeight="1">
      <c r="A9" s="28" t="s">
        <v>18</v>
      </c>
      <c r="B9" s="28" t="s">
        <v>19</v>
      </c>
      <c r="C9" s="28" t="s">
        <v>20</v>
      </c>
      <c r="D9" s="28"/>
      <c r="E9" s="26"/>
      <c r="F9" s="28" t="s">
        <v>126</v>
      </c>
      <c r="G9" s="37" t="s">
        <v>127</v>
      </c>
      <c r="H9" s="28" t="s">
        <v>128</v>
      </c>
      <c r="I9" s="28" t="s">
        <v>117</v>
      </c>
      <c r="J9" s="28" t="s">
        <v>129</v>
      </c>
      <c r="K9" s="28"/>
      <c r="L9" s="28" t="s">
        <v>130</v>
      </c>
      <c r="M9" s="24" t="s">
        <v>41</v>
      </c>
      <c r="N9" s="28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</row>
    <row r="10" spans="1:30" ht="15.75" customHeight="1">
      <c r="A10" s="28" t="s">
        <v>18</v>
      </c>
      <c r="B10" s="28" t="s">
        <v>19</v>
      </c>
      <c r="C10" s="28" t="s">
        <v>20</v>
      </c>
      <c r="D10" s="28"/>
      <c r="E10" s="28"/>
      <c r="F10" s="28" t="s">
        <v>136</v>
      </c>
      <c r="G10" s="37" t="s">
        <v>137</v>
      </c>
      <c r="H10" s="28" t="s">
        <v>138</v>
      </c>
      <c r="I10" s="28" t="s">
        <v>66</v>
      </c>
      <c r="J10" s="28" t="s">
        <v>139</v>
      </c>
      <c r="K10" s="28"/>
      <c r="L10" s="28" t="s">
        <v>140</v>
      </c>
      <c r="M10" s="24" t="s">
        <v>41</v>
      </c>
      <c r="N10" s="28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</row>
    <row r="11" spans="1:30" ht="15.75" customHeight="1">
      <c r="A11" s="28" t="s">
        <v>18</v>
      </c>
      <c r="B11" s="28" t="s">
        <v>19</v>
      </c>
      <c r="C11" s="28" t="s">
        <v>20</v>
      </c>
      <c r="D11" s="28"/>
      <c r="E11" s="28"/>
      <c r="F11" s="28" t="s">
        <v>146</v>
      </c>
      <c r="G11" s="37" t="s">
        <v>147</v>
      </c>
      <c r="H11" s="28" t="s">
        <v>148</v>
      </c>
      <c r="I11" s="28" t="s">
        <v>149</v>
      </c>
      <c r="J11" s="28" t="s">
        <v>150</v>
      </c>
      <c r="K11" s="28"/>
      <c r="L11" s="28" t="s">
        <v>151</v>
      </c>
      <c r="M11" s="24" t="s">
        <v>41</v>
      </c>
      <c r="N11" s="28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ht="15.75" customHeight="1">
      <c r="A12" s="28" t="s">
        <v>18</v>
      </c>
      <c r="B12" s="28" t="s">
        <v>19</v>
      </c>
      <c r="C12" s="28" t="s">
        <v>20</v>
      </c>
      <c r="D12" s="28"/>
      <c r="E12" s="28"/>
      <c r="F12" s="28" t="s">
        <v>157</v>
      </c>
      <c r="G12" s="37" t="s">
        <v>158</v>
      </c>
      <c r="H12" s="28" t="s">
        <v>159</v>
      </c>
      <c r="I12" s="28" t="s">
        <v>66</v>
      </c>
      <c r="J12" s="28" t="s">
        <v>160</v>
      </c>
      <c r="K12" s="28"/>
      <c r="L12" s="28" t="s">
        <v>161</v>
      </c>
      <c r="M12" s="24" t="s">
        <v>41</v>
      </c>
      <c r="N12" s="28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30" ht="15.75" customHeight="1">
      <c r="A13" s="28" t="s">
        <v>18</v>
      </c>
      <c r="B13" s="28" t="s">
        <v>19</v>
      </c>
      <c r="C13" s="28" t="s">
        <v>20</v>
      </c>
      <c r="D13" s="28"/>
      <c r="E13" s="28"/>
      <c r="F13" s="28" t="s">
        <v>166</v>
      </c>
      <c r="G13" s="37" t="s">
        <v>168</v>
      </c>
      <c r="H13" s="28" t="s">
        <v>170</v>
      </c>
      <c r="I13" s="28" t="s">
        <v>151</v>
      </c>
      <c r="J13" s="28" t="s">
        <v>171</v>
      </c>
      <c r="K13" s="28"/>
      <c r="L13" s="28" t="s">
        <v>149</v>
      </c>
      <c r="M13" s="24" t="s">
        <v>41</v>
      </c>
      <c r="N13" s="28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ht="15.75" customHeight="1">
      <c r="A14" s="28" t="s">
        <v>18</v>
      </c>
      <c r="B14" s="28" t="s">
        <v>19</v>
      </c>
      <c r="C14" s="28" t="s">
        <v>20</v>
      </c>
      <c r="D14" s="28"/>
      <c r="E14" s="28"/>
      <c r="F14" s="28" t="s">
        <v>172</v>
      </c>
      <c r="G14" s="37" t="s">
        <v>174</v>
      </c>
      <c r="H14" s="28" t="s">
        <v>176</v>
      </c>
      <c r="I14" s="28" t="s">
        <v>177</v>
      </c>
      <c r="J14" s="28" t="s">
        <v>179</v>
      </c>
      <c r="K14" s="28"/>
      <c r="L14" s="28" t="s">
        <v>182</v>
      </c>
      <c r="M14" s="24" t="s">
        <v>41</v>
      </c>
      <c r="N14" s="28" t="s">
        <v>184</v>
      </c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 ht="15.75" customHeight="1">
      <c r="A15" s="28" t="s">
        <v>18</v>
      </c>
      <c r="B15" s="28" t="s">
        <v>19</v>
      </c>
      <c r="C15" s="28" t="s">
        <v>20</v>
      </c>
      <c r="D15" s="28"/>
      <c r="E15" s="28"/>
      <c r="F15" s="28" t="s">
        <v>185</v>
      </c>
      <c r="G15" s="37" t="s">
        <v>186</v>
      </c>
      <c r="H15" s="28" t="s">
        <v>187</v>
      </c>
      <c r="I15" s="28" t="s">
        <v>188</v>
      </c>
      <c r="J15" s="28" t="s">
        <v>189</v>
      </c>
      <c r="K15" s="28"/>
      <c r="L15" s="28" t="s">
        <v>130</v>
      </c>
      <c r="M15" s="24" t="s">
        <v>41</v>
      </c>
      <c r="N15" s="28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 ht="15.75" customHeight="1">
      <c r="A16" s="28" t="s">
        <v>18</v>
      </c>
      <c r="B16" s="28" t="s">
        <v>19</v>
      </c>
      <c r="C16" s="28" t="s">
        <v>20</v>
      </c>
      <c r="D16" s="28"/>
      <c r="E16" s="28"/>
      <c r="F16" s="28" t="s">
        <v>190</v>
      </c>
      <c r="G16" s="37" t="s">
        <v>191</v>
      </c>
      <c r="H16" s="28" t="s">
        <v>192</v>
      </c>
      <c r="I16" s="28" t="s">
        <v>66</v>
      </c>
      <c r="J16" s="28" t="s">
        <v>193</v>
      </c>
      <c r="K16" s="28"/>
      <c r="L16" s="28" t="s">
        <v>195</v>
      </c>
      <c r="M16" s="24" t="s">
        <v>41</v>
      </c>
      <c r="N16" s="28" t="s">
        <v>197</v>
      </c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ht="15.75" customHeight="1">
      <c r="A17" s="28" t="s">
        <v>18</v>
      </c>
      <c r="B17" s="28" t="s">
        <v>19</v>
      </c>
      <c r="C17" s="28" t="s">
        <v>20</v>
      </c>
      <c r="D17" s="28"/>
      <c r="E17" s="28"/>
      <c r="F17" s="28" t="s">
        <v>199</v>
      </c>
      <c r="G17" s="37" t="s">
        <v>200</v>
      </c>
      <c r="H17" s="28" t="s">
        <v>201</v>
      </c>
      <c r="I17" s="28" t="s">
        <v>66</v>
      </c>
      <c r="J17" s="28" t="s">
        <v>204</v>
      </c>
      <c r="K17" s="28"/>
      <c r="L17" s="28" t="s">
        <v>195</v>
      </c>
      <c r="M17" s="24" t="s">
        <v>41</v>
      </c>
      <c r="N17" s="28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ht="14.4">
      <c r="A18" s="28" t="s">
        <v>18</v>
      </c>
      <c r="B18" s="28" t="s">
        <v>19</v>
      </c>
      <c r="C18" s="28" t="s">
        <v>20</v>
      </c>
      <c r="D18" s="28"/>
      <c r="E18" s="28"/>
      <c r="F18" s="28" t="s">
        <v>208</v>
      </c>
      <c r="G18" s="37" t="s">
        <v>209</v>
      </c>
      <c r="H18" s="28" t="s">
        <v>210</v>
      </c>
      <c r="I18" s="28" t="s">
        <v>211</v>
      </c>
      <c r="J18" s="28" t="s">
        <v>212</v>
      </c>
      <c r="K18" s="28" t="s">
        <v>215</v>
      </c>
      <c r="L18" s="28" t="s">
        <v>217</v>
      </c>
      <c r="M18" s="24" t="s">
        <v>41</v>
      </c>
      <c r="N18" s="28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 ht="14.4">
      <c r="A19" s="28" t="s">
        <v>18</v>
      </c>
      <c r="B19" s="28" t="s">
        <v>19</v>
      </c>
      <c r="C19" s="28" t="s">
        <v>20</v>
      </c>
      <c r="D19" s="28"/>
      <c r="E19" s="28"/>
      <c r="F19" s="28" t="s">
        <v>223</v>
      </c>
      <c r="G19" s="37" t="s">
        <v>225</v>
      </c>
      <c r="H19" s="28" t="s">
        <v>226</v>
      </c>
      <c r="I19" s="28" t="s">
        <v>227</v>
      </c>
      <c r="J19" s="28" t="s">
        <v>228</v>
      </c>
      <c r="K19" s="28"/>
      <c r="L19" s="28" t="s">
        <v>229</v>
      </c>
      <c r="M19" s="24" t="s">
        <v>41</v>
      </c>
      <c r="N19" s="28" t="s">
        <v>230</v>
      </c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ht="14.4">
      <c r="A20" s="14" t="s">
        <v>18</v>
      </c>
      <c r="B20" s="14" t="s">
        <v>19</v>
      </c>
      <c r="C20" s="14" t="s">
        <v>20</v>
      </c>
      <c r="D20" s="14"/>
      <c r="E20" s="14"/>
      <c r="F20" s="14" t="s">
        <v>232</v>
      </c>
      <c r="G20" s="58" t="s">
        <v>235</v>
      </c>
      <c r="H20" s="14" t="s">
        <v>35</v>
      </c>
      <c r="I20" s="14" t="s">
        <v>36</v>
      </c>
      <c r="J20" s="14" t="s">
        <v>241</v>
      </c>
      <c r="K20" s="14"/>
      <c r="L20" s="14" t="s">
        <v>40</v>
      </c>
      <c r="M20" s="59" t="s">
        <v>41</v>
      </c>
      <c r="N20" s="14" t="s">
        <v>242</v>
      </c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1:30" ht="14.4">
      <c r="A21" s="28" t="s">
        <v>18</v>
      </c>
      <c r="B21" s="28" t="s">
        <v>19</v>
      </c>
      <c r="C21" s="28" t="s">
        <v>20</v>
      </c>
      <c r="D21" s="28"/>
      <c r="E21" s="28"/>
      <c r="F21" s="28" t="s">
        <v>243</v>
      </c>
      <c r="G21" s="37" t="s">
        <v>244</v>
      </c>
      <c r="H21" s="28" t="s">
        <v>35</v>
      </c>
      <c r="I21" s="28" t="s">
        <v>36</v>
      </c>
      <c r="J21" s="28" t="s">
        <v>245</v>
      </c>
      <c r="K21" s="28"/>
      <c r="L21" s="28" t="s">
        <v>40</v>
      </c>
      <c r="M21" s="60" t="s">
        <v>41</v>
      </c>
      <c r="N21" s="28" t="s">
        <v>246</v>
      </c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 spans="1:30" ht="14.4">
      <c r="A22" s="28" t="s">
        <v>18</v>
      </c>
      <c r="B22" s="28" t="s">
        <v>19</v>
      </c>
      <c r="C22" s="28" t="s">
        <v>20</v>
      </c>
      <c r="D22" s="28"/>
      <c r="E22" s="28"/>
      <c r="F22" s="28" t="s">
        <v>247</v>
      </c>
      <c r="G22" s="37" t="s">
        <v>248</v>
      </c>
      <c r="H22" s="28" t="s">
        <v>35</v>
      </c>
      <c r="I22" s="28" t="s">
        <v>40</v>
      </c>
      <c r="J22" s="28" t="s">
        <v>37</v>
      </c>
      <c r="K22" s="28"/>
      <c r="L22" s="28" t="s">
        <v>36</v>
      </c>
      <c r="M22" s="60" t="s">
        <v>41</v>
      </c>
      <c r="N22" s="28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</row>
    <row r="23" spans="1:30" ht="14.4">
      <c r="A23" s="28" t="s">
        <v>18</v>
      </c>
      <c r="B23" s="28" t="s">
        <v>19</v>
      </c>
      <c r="C23" s="28" t="s">
        <v>20</v>
      </c>
      <c r="D23" s="28"/>
      <c r="E23" s="28"/>
      <c r="F23" s="28" t="s">
        <v>249</v>
      </c>
      <c r="G23" s="37" t="s">
        <v>250</v>
      </c>
      <c r="H23" s="28" t="s">
        <v>251</v>
      </c>
      <c r="I23" s="28" t="s">
        <v>253</v>
      </c>
      <c r="J23" s="28" t="s">
        <v>255</v>
      </c>
      <c r="K23" s="28"/>
      <c r="L23" s="28" t="s">
        <v>211</v>
      </c>
      <c r="M23" s="60" t="s">
        <v>41</v>
      </c>
      <c r="N23" s="28" t="s">
        <v>140</v>
      </c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 spans="1:30" ht="14.4">
      <c r="A24" s="28" t="s">
        <v>18</v>
      </c>
      <c r="B24" s="28" t="s">
        <v>19</v>
      </c>
      <c r="C24" s="28" t="s">
        <v>20</v>
      </c>
      <c r="D24" s="28"/>
      <c r="E24" s="28"/>
      <c r="F24" s="28" t="s">
        <v>257</v>
      </c>
      <c r="G24" s="37" t="s">
        <v>258</v>
      </c>
      <c r="H24" s="28" t="s">
        <v>261</v>
      </c>
      <c r="I24" s="28" t="s">
        <v>211</v>
      </c>
      <c r="J24" s="28" t="s">
        <v>263</v>
      </c>
      <c r="K24" s="28"/>
      <c r="L24" s="28" t="s">
        <v>266</v>
      </c>
      <c r="M24" s="60" t="s">
        <v>41</v>
      </c>
      <c r="N24" s="28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</row>
    <row r="25" spans="1:30" ht="14.4">
      <c r="A25" s="28" t="s">
        <v>18</v>
      </c>
      <c r="B25" s="28" t="s">
        <v>19</v>
      </c>
      <c r="C25" s="28" t="s">
        <v>20</v>
      </c>
      <c r="D25" s="28"/>
      <c r="E25" s="28"/>
      <c r="F25" s="28" t="s">
        <v>267</v>
      </c>
      <c r="G25" s="37" t="s">
        <v>268</v>
      </c>
      <c r="H25" s="28" t="s">
        <v>270</v>
      </c>
      <c r="I25" s="28" t="s">
        <v>119</v>
      </c>
      <c r="J25" s="28" t="s">
        <v>273</v>
      </c>
      <c r="K25" s="28"/>
      <c r="L25" s="28" t="s">
        <v>274</v>
      </c>
      <c r="M25" s="60" t="s">
        <v>41</v>
      </c>
      <c r="N25" s="28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</row>
    <row r="26" spans="1:30" ht="14.4">
      <c r="A26" s="28" t="s">
        <v>18</v>
      </c>
      <c r="B26" s="28" t="s">
        <v>19</v>
      </c>
      <c r="C26" s="28" t="s">
        <v>20</v>
      </c>
      <c r="D26" s="28"/>
      <c r="E26" s="28"/>
      <c r="F26" s="28" t="s">
        <v>278</v>
      </c>
      <c r="G26" s="37" t="s">
        <v>280</v>
      </c>
      <c r="H26" s="28" t="s">
        <v>281</v>
      </c>
      <c r="I26" s="28" t="s">
        <v>282</v>
      </c>
      <c r="J26" s="28"/>
      <c r="K26" s="28"/>
      <c r="L26" s="28" t="s">
        <v>286</v>
      </c>
      <c r="M26" s="60" t="s">
        <v>41</v>
      </c>
      <c r="N26" s="28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</row>
    <row r="27" spans="1:30" ht="14.4">
      <c r="A27" s="28" t="s">
        <v>18</v>
      </c>
      <c r="B27" s="28" t="s">
        <v>19</v>
      </c>
      <c r="C27" s="28" t="s">
        <v>20</v>
      </c>
      <c r="D27" s="28"/>
      <c r="E27" s="28"/>
      <c r="F27" s="28" t="s">
        <v>293</v>
      </c>
      <c r="G27" s="37" t="s">
        <v>294</v>
      </c>
      <c r="H27" s="28" t="s">
        <v>295</v>
      </c>
      <c r="I27" s="28" t="s">
        <v>211</v>
      </c>
      <c r="J27" s="28" t="s">
        <v>297</v>
      </c>
      <c r="K27" s="28"/>
      <c r="L27" s="28" t="s">
        <v>299</v>
      </c>
      <c r="M27" s="60" t="s">
        <v>41</v>
      </c>
      <c r="N27" s="28" t="s">
        <v>302</v>
      </c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spans="1:30" ht="14.4">
      <c r="A28" s="28" t="s">
        <v>18</v>
      </c>
      <c r="B28" s="28" t="s">
        <v>19</v>
      </c>
      <c r="C28" s="28" t="s">
        <v>20</v>
      </c>
      <c r="D28" s="28"/>
      <c r="E28" s="28"/>
      <c r="F28" s="28" t="s">
        <v>308</v>
      </c>
      <c r="G28" s="37" t="s">
        <v>310</v>
      </c>
      <c r="H28" s="28" t="s">
        <v>313</v>
      </c>
      <c r="I28" s="28" t="s">
        <v>106</v>
      </c>
      <c r="J28" s="28" t="s">
        <v>314</v>
      </c>
      <c r="K28" s="28"/>
      <c r="L28" s="28" t="s">
        <v>211</v>
      </c>
      <c r="M28" s="60" t="s">
        <v>41</v>
      </c>
      <c r="N28" s="28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 spans="1:30" ht="14.4">
      <c r="A29" s="28" t="s">
        <v>18</v>
      </c>
      <c r="B29" s="28" t="s">
        <v>19</v>
      </c>
      <c r="C29" s="28" t="s">
        <v>233</v>
      </c>
      <c r="D29" s="29"/>
      <c r="E29" s="29"/>
      <c r="F29" s="28" t="s">
        <v>320</v>
      </c>
      <c r="G29" s="28"/>
      <c r="H29" s="28" t="s">
        <v>321</v>
      </c>
      <c r="I29" s="28" t="s">
        <v>322</v>
      </c>
      <c r="J29" s="28" t="s">
        <v>323</v>
      </c>
      <c r="K29" s="28" t="s">
        <v>321</v>
      </c>
      <c r="L29" s="28" t="s">
        <v>253</v>
      </c>
      <c r="M29" s="60" t="s">
        <v>41</v>
      </c>
      <c r="N29" s="28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spans="1:30" ht="14.4">
      <c r="A30" s="28" t="s">
        <v>18</v>
      </c>
      <c r="B30" s="28" t="s">
        <v>19</v>
      </c>
      <c r="C30" s="28" t="s">
        <v>233</v>
      </c>
      <c r="D30" s="29"/>
      <c r="E30" s="29"/>
      <c r="F30" s="28" t="s">
        <v>329</v>
      </c>
      <c r="G30" s="28"/>
      <c r="H30" s="28" t="s">
        <v>321</v>
      </c>
      <c r="I30" s="28" t="s">
        <v>322</v>
      </c>
      <c r="J30" s="28" t="s">
        <v>323</v>
      </c>
      <c r="K30" s="28" t="s">
        <v>321</v>
      </c>
      <c r="L30" s="28" t="s">
        <v>253</v>
      </c>
      <c r="M30" s="60" t="s">
        <v>41</v>
      </c>
      <c r="N30" s="28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spans="1:30" ht="14.4">
      <c r="A31" s="28" t="s">
        <v>18</v>
      </c>
      <c r="B31" s="28" t="s">
        <v>19</v>
      </c>
      <c r="C31" s="28" t="s">
        <v>233</v>
      </c>
      <c r="D31" s="29"/>
      <c r="E31" s="29"/>
      <c r="F31" s="28" t="s">
        <v>330</v>
      </c>
      <c r="G31" s="28"/>
      <c r="H31" s="28" t="s">
        <v>331</v>
      </c>
      <c r="I31" s="28" t="s">
        <v>322</v>
      </c>
      <c r="J31" s="28" t="s">
        <v>332</v>
      </c>
      <c r="K31" s="28" t="s">
        <v>331</v>
      </c>
      <c r="L31" s="28" t="s">
        <v>253</v>
      </c>
      <c r="M31" s="60" t="s">
        <v>41</v>
      </c>
      <c r="N31" s="28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 spans="1:30" ht="14.4">
      <c r="A32" s="28" t="s">
        <v>18</v>
      </c>
      <c r="B32" s="28" t="s">
        <v>19</v>
      </c>
      <c r="C32" s="28" t="s">
        <v>233</v>
      </c>
      <c r="D32" s="29"/>
      <c r="E32" s="29"/>
      <c r="F32" s="28" t="s">
        <v>338</v>
      </c>
      <c r="G32" s="28"/>
      <c r="H32" s="28" t="s">
        <v>339</v>
      </c>
      <c r="I32" s="28" t="s">
        <v>322</v>
      </c>
      <c r="J32" s="28" t="s">
        <v>340</v>
      </c>
      <c r="K32" s="28" t="s">
        <v>339</v>
      </c>
      <c r="L32" s="28" t="s">
        <v>253</v>
      </c>
      <c r="M32" s="60" t="s">
        <v>41</v>
      </c>
      <c r="N32" s="28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spans="1:30" ht="14.4">
      <c r="A33" s="28" t="s">
        <v>18</v>
      </c>
      <c r="B33" s="28" t="s">
        <v>19</v>
      </c>
      <c r="C33" s="28" t="s">
        <v>233</v>
      </c>
      <c r="D33" s="29"/>
      <c r="E33" s="29"/>
      <c r="F33" s="28" t="s">
        <v>342</v>
      </c>
      <c r="G33" s="28"/>
      <c r="H33" s="28" t="s">
        <v>339</v>
      </c>
      <c r="I33" s="28" t="s">
        <v>322</v>
      </c>
      <c r="J33" s="28" t="s">
        <v>340</v>
      </c>
      <c r="K33" s="28" t="s">
        <v>339</v>
      </c>
      <c r="L33" s="28" t="s">
        <v>253</v>
      </c>
      <c r="M33" s="60" t="s">
        <v>41</v>
      </c>
      <c r="N33" s="28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 spans="1:30" ht="14.4">
      <c r="A34" s="28" t="s">
        <v>18</v>
      </c>
      <c r="B34" s="28" t="s">
        <v>19</v>
      </c>
      <c r="C34" s="28" t="s">
        <v>233</v>
      </c>
      <c r="D34" s="29"/>
      <c r="E34" s="29"/>
      <c r="F34" s="28" t="s">
        <v>345</v>
      </c>
      <c r="G34" s="28"/>
      <c r="H34" s="28" t="s">
        <v>339</v>
      </c>
      <c r="I34" s="28" t="s">
        <v>322</v>
      </c>
      <c r="J34" s="28" t="s">
        <v>340</v>
      </c>
      <c r="K34" s="28" t="s">
        <v>339</v>
      </c>
      <c r="L34" s="28" t="s">
        <v>253</v>
      </c>
      <c r="M34" s="60" t="s">
        <v>41</v>
      </c>
      <c r="N34" s="28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 spans="1:30" ht="14.4">
      <c r="A35" s="28" t="s">
        <v>18</v>
      </c>
      <c r="B35" s="28" t="s">
        <v>19</v>
      </c>
      <c r="C35" s="28" t="s">
        <v>233</v>
      </c>
      <c r="D35" s="29"/>
      <c r="E35" s="29"/>
      <c r="F35" s="28" t="s">
        <v>347</v>
      </c>
      <c r="G35" s="28"/>
      <c r="H35" s="28" t="s">
        <v>339</v>
      </c>
      <c r="I35" s="28" t="s">
        <v>322</v>
      </c>
      <c r="J35" s="28" t="s">
        <v>340</v>
      </c>
      <c r="K35" s="28" t="s">
        <v>339</v>
      </c>
      <c r="L35" s="28" t="s">
        <v>253</v>
      </c>
      <c r="M35" s="60" t="s">
        <v>41</v>
      </c>
      <c r="N35" s="28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</row>
    <row r="36" spans="1:30" ht="14.4">
      <c r="A36" s="28" t="s">
        <v>18</v>
      </c>
      <c r="B36" s="28" t="s">
        <v>19</v>
      </c>
      <c r="C36" s="28" t="s">
        <v>233</v>
      </c>
      <c r="D36" s="29"/>
      <c r="E36" s="29"/>
      <c r="F36" s="28" t="s">
        <v>350</v>
      </c>
      <c r="G36" s="28"/>
      <c r="H36" s="28" t="s">
        <v>339</v>
      </c>
      <c r="I36" s="28" t="s">
        <v>322</v>
      </c>
      <c r="J36" s="28" t="s">
        <v>340</v>
      </c>
      <c r="K36" s="28" t="s">
        <v>339</v>
      </c>
      <c r="L36" s="28" t="s">
        <v>253</v>
      </c>
      <c r="M36" s="60" t="s">
        <v>41</v>
      </c>
      <c r="N36" s="28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 spans="1:30" ht="14.4">
      <c r="A37" s="28" t="s">
        <v>18</v>
      </c>
      <c r="B37" s="28" t="s">
        <v>19</v>
      </c>
      <c r="C37" s="28" t="s">
        <v>233</v>
      </c>
      <c r="D37" s="29"/>
      <c r="E37" s="29"/>
      <c r="F37" s="28" t="s">
        <v>356</v>
      </c>
      <c r="G37" s="28"/>
      <c r="H37" s="28" t="s">
        <v>339</v>
      </c>
      <c r="I37" s="28" t="s">
        <v>322</v>
      </c>
      <c r="J37" s="28" t="s">
        <v>340</v>
      </c>
      <c r="K37" s="28" t="s">
        <v>339</v>
      </c>
      <c r="L37" s="28" t="s">
        <v>253</v>
      </c>
      <c r="M37" s="60" t="s">
        <v>41</v>
      </c>
      <c r="N37" s="28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</row>
    <row r="38" spans="1:30" ht="14.4">
      <c r="A38" s="28" t="s">
        <v>18</v>
      </c>
      <c r="B38" s="28" t="s">
        <v>19</v>
      </c>
      <c r="C38" s="28" t="s">
        <v>233</v>
      </c>
      <c r="D38" s="29"/>
      <c r="E38" s="29"/>
      <c r="F38" s="28" t="s">
        <v>363</v>
      </c>
      <c r="G38" s="28"/>
      <c r="H38" s="28" t="s">
        <v>192</v>
      </c>
      <c r="I38" s="28" t="s">
        <v>66</v>
      </c>
      <c r="J38" s="28" t="s">
        <v>366</v>
      </c>
      <c r="K38" s="28" t="s">
        <v>192</v>
      </c>
      <c r="L38" s="28" t="s">
        <v>195</v>
      </c>
      <c r="M38" s="60" t="s">
        <v>41</v>
      </c>
      <c r="N38" s="28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</row>
    <row r="39" spans="1:30" ht="14.4">
      <c r="A39" s="28" t="s">
        <v>18</v>
      </c>
      <c r="B39" s="28" t="s">
        <v>19</v>
      </c>
      <c r="C39" s="28" t="s">
        <v>233</v>
      </c>
      <c r="D39" s="29"/>
      <c r="E39" s="29"/>
      <c r="F39" s="28" t="s">
        <v>370</v>
      </c>
      <c r="G39" s="28"/>
      <c r="H39" s="28" t="s">
        <v>372</v>
      </c>
      <c r="I39" s="28" t="s">
        <v>373</v>
      </c>
      <c r="J39" s="28" t="s">
        <v>374</v>
      </c>
      <c r="K39" s="28" t="s">
        <v>372</v>
      </c>
      <c r="L39" s="28" t="s">
        <v>229</v>
      </c>
      <c r="M39" s="60" t="s">
        <v>41</v>
      </c>
      <c r="N39" s="28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</row>
    <row r="40" spans="1:30" ht="14.4">
      <c r="A40" s="28" t="s">
        <v>18</v>
      </c>
      <c r="B40" s="28" t="s">
        <v>19</v>
      </c>
      <c r="C40" s="28" t="s">
        <v>233</v>
      </c>
      <c r="D40" s="29"/>
      <c r="E40" s="29"/>
      <c r="F40" s="28" t="s">
        <v>376</v>
      </c>
      <c r="G40" s="28"/>
      <c r="H40" s="28" t="s">
        <v>378</v>
      </c>
      <c r="I40" s="28" t="s">
        <v>380</v>
      </c>
      <c r="J40" s="28" t="s">
        <v>381</v>
      </c>
      <c r="K40" s="28" t="s">
        <v>378</v>
      </c>
      <c r="L40" s="28" t="s">
        <v>229</v>
      </c>
      <c r="M40" s="60" t="s">
        <v>41</v>
      </c>
      <c r="N40" s="28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</row>
    <row r="41" spans="1:30" ht="14.4">
      <c r="A41" s="28" t="s">
        <v>18</v>
      </c>
      <c r="B41" s="28" t="s">
        <v>19</v>
      </c>
      <c r="C41" s="28" t="s">
        <v>233</v>
      </c>
      <c r="D41" s="29"/>
      <c r="E41" s="29"/>
      <c r="F41" s="28" t="s">
        <v>403</v>
      </c>
      <c r="G41" s="28"/>
      <c r="H41" s="28" t="s">
        <v>406</v>
      </c>
      <c r="I41" s="28" t="s">
        <v>380</v>
      </c>
      <c r="J41" s="28" t="s">
        <v>407</v>
      </c>
      <c r="K41" s="28" t="s">
        <v>406</v>
      </c>
      <c r="L41" s="28" t="s">
        <v>229</v>
      </c>
      <c r="M41" s="60" t="s">
        <v>41</v>
      </c>
      <c r="N41" s="28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</row>
    <row r="42" spans="1:30" ht="14.4">
      <c r="A42" s="28" t="s">
        <v>18</v>
      </c>
      <c r="B42" s="28" t="s">
        <v>19</v>
      </c>
      <c r="C42" s="28" t="s">
        <v>233</v>
      </c>
      <c r="D42" s="29"/>
      <c r="E42" s="29"/>
      <c r="F42" s="28" t="s">
        <v>414</v>
      </c>
      <c r="G42" s="28"/>
      <c r="H42" s="28" t="s">
        <v>415</v>
      </c>
      <c r="I42" s="28" t="s">
        <v>66</v>
      </c>
      <c r="J42" s="28" t="s">
        <v>416</v>
      </c>
      <c r="K42" s="28" t="s">
        <v>415</v>
      </c>
      <c r="L42" s="28" t="s">
        <v>68</v>
      </c>
      <c r="M42" s="60" t="s">
        <v>41</v>
      </c>
      <c r="N42" s="28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</row>
    <row r="43" spans="1:30" ht="14.4">
      <c r="A43" s="28" t="s">
        <v>18</v>
      </c>
      <c r="B43" s="28" t="s">
        <v>19</v>
      </c>
      <c r="C43" s="28" t="s">
        <v>233</v>
      </c>
      <c r="D43" s="29"/>
      <c r="E43" s="29"/>
      <c r="F43" s="28" t="s">
        <v>420</v>
      </c>
      <c r="G43" s="28"/>
      <c r="H43" s="28" t="s">
        <v>116</v>
      </c>
      <c r="I43" s="28" t="s">
        <v>227</v>
      </c>
      <c r="J43" s="28" t="s">
        <v>422</v>
      </c>
      <c r="K43" s="28" t="s">
        <v>116</v>
      </c>
      <c r="L43" s="28" t="s">
        <v>117</v>
      </c>
      <c r="M43" s="60" t="s">
        <v>41</v>
      </c>
      <c r="N43" s="28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</row>
    <row r="44" spans="1:30" ht="14.4">
      <c r="A44" s="28" t="s">
        <v>18</v>
      </c>
      <c r="B44" s="28" t="s">
        <v>19</v>
      </c>
      <c r="C44" s="28" t="s">
        <v>233</v>
      </c>
      <c r="D44" s="29"/>
      <c r="E44" s="29"/>
      <c r="F44" s="28" t="s">
        <v>424</v>
      </c>
      <c r="G44" s="28"/>
      <c r="H44" s="28" t="s">
        <v>425</v>
      </c>
      <c r="I44" s="28" t="s">
        <v>322</v>
      </c>
      <c r="J44" s="28" t="s">
        <v>426</v>
      </c>
      <c r="K44" s="28" t="s">
        <v>425</v>
      </c>
      <c r="L44" s="28" t="s">
        <v>40</v>
      </c>
      <c r="M44" s="60" t="s">
        <v>41</v>
      </c>
      <c r="N44" s="28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</row>
    <row r="45" spans="1:30" ht="14.4">
      <c r="A45" s="28" t="s">
        <v>18</v>
      </c>
      <c r="B45" s="28" t="s">
        <v>19</v>
      </c>
      <c r="C45" s="28" t="s">
        <v>233</v>
      </c>
      <c r="D45" s="29"/>
      <c r="E45" s="29"/>
      <c r="F45" s="28" t="s">
        <v>432</v>
      </c>
      <c r="G45" s="28"/>
      <c r="H45" s="28" t="s">
        <v>433</v>
      </c>
      <c r="I45" s="28" t="s">
        <v>434</v>
      </c>
      <c r="J45" s="28" t="s">
        <v>435</v>
      </c>
      <c r="K45" s="28" t="s">
        <v>433</v>
      </c>
      <c r="L45" s="28" t="s">
        <v>438</v>
      </c>
      <c r="M45" s="60" t="s">
        <v>41</v>
      </c>
      <c r="N45" s="28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</row>
    <row r="46" spans="1:30" ht="14.4">
      <c r="A46" s="28" t="s">
        <v>18</v>
      </c>
      <c r="B46" s="28" t="s">
        <v>19</v>
      </c>
      <c r="C46" s="28" t="s">
        <v>233</v>
      </c>
      <c r="D46" s="29"/>
      <c r="E46" s="29"/>
      <c r="F46" s="28" t="s">
        <v>442</v>
      </c>
      <c r="G46" s="28"/>
      <c r="H46" s="28" t="s">
        <v>445</v>
      </c>
      <c r="I46" s="28" t="s">
        <v>227</v>
      </c>
      <c r="J46" s="28" t="s">
        <v>447</v>
      </c>
      <c r="K46" s="28" t="s">
        <v>445</v>
      </c>
      <c r="L46" s="28" t="s">
        <v>449</v>
      </c>
      <c r="M46" s="60" t="s">
        <v>41</v>
      </c>
      <c r="N46" s="28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</row>
    <row r="47" spans="1:30" ht="14.4">
      <c r="A47" s="28" t="s">
        <v>18</v>
      </c>
      <c r="B47" s="28" t="s">
        <v>19</v>
      </c>
      <c r="C47" s="28" t="s">
        <v>233</v>
      </c>
      <c r="D47" s="29"/>
      <c r="E47" s="29"/>
      <c r="F47" s="28" t="s">
        <v>451</v>
      </c>
      <c r="G47" s="28"/>
      <c r="H47" s="28" t="s">
        <v>452</v>
      </c>
      <c r="I47" s="28" t="s">
        <v>130</v>
      </c>
      <c r="J47" s="28" t="s">
        <v>455</v>
      </c>
      <c r="K47" s="28" t="s">
        <v>452</v>
      </c>
      <c r="L47" s="28" t="s">
        <v>117</v>
      </c>
      <c r="M47" s="60" t="s">
        <v>41</v>
      </c>
      <c r="N47" s="28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</row>
    <row r="48" spans="1:30" ht="14.4">
      <c r="A48" s="28" t="s">
        <v>18</v>
      </c>
      <c r="B48" s="28" t="s">
        <v>19</v>
      </c>
      <c r="C48" s="28" t="s">
        <v>233</v>
      </c>
      <c r="D48" s="29"/>
      <c r="E48" s="29"/>
      <c r="F48" s="28" t="s">
        <v>460</v>
      </c>
      <c r="G48" s="28"/>
      <c r="H48" s="28" t="s">
        <v>461</v>
      </c>
      <c r="I48" s="28" t="s">
        <v>463</v>
      </c>
      <c r="J48" s="28" t="s">
        <v>465</v>
      </c>
      <c r="K48" s="28" t="s">
        <v>461</v>
      </c>
      <c r="L48" s="28" t="s">
        <v>466</v>
      </c>
      <c r="M48" s="60" t="s">
        <v>41</v>
      </c>
      <c r="N48" s="28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</row>
    <row r="49" spans="1:30" ht="14.4">
      <c r="A49" s="28" t="s">
        <v>18</v>
      </c>
      <c r="B49" s="28" t="s">
        <v>19</v>
      </c>
      <c r="C49" s="28" t="s">
        <v>233</v>
      </c>
      <c r="D49" s="29"/>
      <c r="E49" s="29"/>
      <c r="F49" s="28" t="s">
        <v>470</v>
      </c>
      <c r="G49" s="28"/>
      <c r="H49" s="28" t="s">
        <v>461</v>
      </c>
      <c r="I49" s="28" t="s">
        <v>463</v>
      </c>
      <c r="J49" s="28" t="s">
        <v>465</v>
      </c>
      <c r="K49" s="28" t="s">
        <v>461</v>
      </c>
      <c r="L49" s="28" t="s">
        <v>466</v>
      </c>
      <c r="M49" s="60" t="s">
        <v>41</v>
      </c>
      <c r="N49" s="28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</row>
    <row r="50" spans="1:30" ht="14.4">
      <c r="A50" s="28" t="s">
        <v>18</v>
      </c>
      <c r="B50" s="28" t="s">
        <v>19</v>
      </c>
      <c r="C50" s="28" t="s">
        <v>233</v>
      </c>
      <c r="D50" s="29"/>
      <c r="E50" s="29"/>
      <c r="F50" s="28" t="s">
        <v>476</v>
      </c>
      <c r="G50" s="28"/>
      <c r="H50" s="28" t="s">
        <v>461</v>
      </c>
      <c r="I50" s="28" t="s">
        <v>463</v>
      </c>
      <c r="J50" s="28" t="s">
        <v>465</v>
      </c>
      <c r="K50" s="28" t="s">
        <v>461</v>
      </c>
      <c r="L50" s="28" t="s">
        <v>466</v>
      </c>
      <c r="M50" s="60" t="s">
        <v>41</v>
      </c>
      <c r="N50" s="28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</row>
    <row r="51" spans="1:30" ht="14.4">
      <c r="A51" s="28" t="s">
        <v>18</v>
      </c>
      <c r="B51" s="28" t="s">
        <v>19</v>
      </c>
      <c r="C51" s="28" t="s">
        <v>233</v>
      </c>
      <c r="D51" s="29"/>
      <c r="E51" s="29"/>
      <c r="F51" s="28" t="s">
        <v>482</v>
      </c>
      <c r="G51" s="28"/>
      <c r="H51" s="28" t="s">
        <v>483</v>
      </c>
      <c r="I51" s="28" t="s">
        <v>434</v>
      </c>
      <c r="J51" s="28" t="s">
        <v>484</v>
      </c>
      <c r="K51" s="28" t="s">
        <v>483</v>
      </c>
      <c r="L51" s="28" t="s">
        <v>438</v>
      </c>
      <c r="M51" s="60" t="s">
        <v>41</v>
      </c>
      <c r="N51" s="28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</row>
    <row r="52" spans="1:30" ht="14.4">
      <c r="A52" s="28" t="s">
        <v>18</v>
      </c>
      <c r="B52" s="28" t="s">
        <v>19</v>
      </c>
      <c r="C52" s="28" t="s">
        <v>233</v>
      </c>
      <c r="D52" s="29"/>
      <c r="E52" s="29"/>
      <c r="F52" s="28" t="s">
        <v>491</v>
      </c>
      <c r="G52" s="28"/>
      <c r="H52" s="28" t="s">
        <v>493</v>
      </c>
      <c r="I52" s="28" t="s">
        <v>227</v>
      </c>
      <c r="J52" s="28" t="s">
        <v>495</v>
      </c>
      <c r="K52" s="28" t="s">
        <v>493</v>
      </c>
      <c r="L52" s="28" t="s">
        <v>496</v>
      </c>
      <c r="M52" s="60" t="s">
        <v>41</v>
      </c>
      <c r="N52" s="28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</row>
    <row r="53" spans="1:30" ht="14.4">
      <c r="A53" s="28" t="s">
        <v>18</v>
      </c>
      <c r="B53" s="28" t="s">
        <v>19</v>
      </c>
      <c r="C53" s="28" t="s">
        <v>233</v>
      </c>
      <c r="D53" s="29"/>
      <c r="E53" s="29"/>
      <c r="F53" s="28" t="s">
        <v>497</v>
      </c>
      <c r="G53" s="28"/>
      <c r="H53" s="28" t="s">
        <v>499</v>
      </c>
      <c r="I53" s="28" t="s">
        <v>130</v>
      </c>
      <c r="J53" s="28" t="s">
        <v>501</v>
      </c>
      <c r="K53" s="28" t="s">
        <v>499</v>
      </c>
      <c r="L53" s="28" t="s">
        <v>117</v>
      </c>
      <c r="M53" s="60" t="s">
        <v>41</v>
      </c>
      <c r="N53" s="28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</row>
    <row r="54" spans="1:30" ht="14.4">
      <c r="A54" s="28" t="s">
        <v>18</v>
      </c>
      <c r="B54" s="28" t="s">
        <v>19</v>
      </c>
      <c r="C54" s="28" t="s">
        <v>233</v>
      </c>
      <c r="D54" s="29"/>
      <c r="E54" s="29"/>
      <c r="F54" s="28" t="s">
        <v>507</v>
      </c>
      <c r="G54" s="28"/>
      <c r="H54" s="28" t="s">
        <v>509</v>
      </c>
      <c r="I54" s="28" t="s">
        <v>380</v>
      </c>
      <c r="J54" s="28" t="s">
        <v>510</v>
      </c>
      <c r="K54" s="28" t="s">
        <v>509</v>
      </c>
      <c r="L54" s="28" t="s">
        <v>511</v>
      </c>
      <c r="M54" s="60" t="s">
        <v>41</v>
      </c>
      <c r="N54" s="28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</row>
    <row r="55" spans="1:30" ht="14.4">
      <c r="A55" s="28" t="s">
        <v>18</v>
      </c>
      <c r="B55" s="28" t="s">
        <v>19</v>
      </c>
      <c r="C55" s="28" t="s">
        <v>233</v>
      </c>
      <c r="D55" s="29"/>
      <c r="E55" s="29"/>
      <c r="F55" s="28" t="s">
        <v>515</v>
      </c>
      <c r="G55" s="28"/>
      <c r="H55" s="28" t="s">
        <v>516</v>
      </c>
      <c r="I55" s="28"/>
      <c r="J55" s="28" t="s">
        <v>517</v>
      </c>
      <c r="K55" s="28" t="s">
        <v>516</v>
      </c>
      <c r="L55" s="28" t="s">
        <v>97</v>
      </c>
      <c r="M55" s="60" t="s">
        <v>41</v>
      </c>
      <c r="N55" s="28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</row>
    <row r="56" spans="1:30" ht="14.4">
      <c r="A56" s="28" t="s">
        <v>18</v>
      </c>
      <c r="B56" s="28" t="s">
        <v>19</v>
      </c>
      <c r="C56" s="28" t="s">
        <v>233</v>
      </c>
      <c r="D56" s="29"/>
      <c r="E56" s="29"/>
      <c r="F56" s="28" t="s">
        <v>522</v>
      </c>
      <c r="G56" s="28"/>
      <c r="H56" s="28" t="s">
        <v>524</v>
      </c>
      <c r="I56" s="28" t="s">
        <v>380</v>
      </c>
      <c r="J56" s="28" t="s">
        <v>525</v>
      </c>
      <c r="K56" s="28" t="s">
        <v>524</v>
      </c>
      <c r="L56" s="28" t="s">
        <v>526</v>
      </c>
      <c r="M56" s="60" t="s">
        <v>41</v>
      </c>
      <c r="N56" s="28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</row>
    <row r="57" spans="1:30" ht="14.4">
      <c r="A57" s="28" t="s">
        <v>18</v>
      </c>
      <c r="B57" s="28" t="s">
        <v>19</v>
      </c>
      <c r="C57" s="28" t="s">
        <v>233</v>
      </c>
      <c r="D57" s="29"/>
      <c r="E57" s="29"/>
      <c r="F57" s="28" t="s">
        <v>527</v>
      </c>
      <c r="G57" s="28"/>
      <c r="H57" s="28" t="s">
        <v>528</v>
      </c>
      <c r="I57" s="28" t="s">
        <v>227</v>
      </c>
      <c r="J57" s="28" t="s">
        <v>529</v>
      </c>
      <c r="K57" s="28" t="s">
        <v>528</v>
      </c>
      <c r="L57" s="28" t="s">
        <v>532</v>
      </c>
      <c r="M57" s="60" t="s">
        <v>41</v>
      </c>
      <c r="N57" s="28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</row>
    <row r="58" spans="1:30" ht="14.4">
      <c r="A58" s="28" t="s">
        <v>18</v>
      </c>
      <c r="B58" s="28" t="s">
        <v>19</v>
      </c>
      <c r="C58" s="28" t="s">
        <v>233</v>
      </c>
      <c r="D58" s="29"/>
      <c r="E58" s="29"/>
      <c r="F58" s="28" t="s">
        <v>534</v>
      </c>
      <c r="G58" s="28"/>
      <c r="H58" s="28" t="s">
        <v>535</v>
      </c>
      <c r="I58" s="28" t="s">
        <v>227</v>
      </c>
      <c r="J58" s="28" t="s">
        <v>536</v>
      </c>
      <c r="K58" s="28" t="s">
        <v>535</v>
      </c>
      <c r="L58" s="28" t="s">
        <v>537</v>
      </c>
      <c r="M58" s="60" t="s">
        <v>41</v>
      </c>
      <c r="N58" s="28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</row>
    <row r="59" spans="1:30" ht="14.4">
      <c r="A59" s="28" t="s">
        <v>18</v>
      </c>
      <c r="B59" s="28" t="s">
        <v>19</v>
      </c>
      <c r="C59" s="28" t="s">
        <v>233</v>
      </c>
      <c r="D59" s="29"/>
      <c r="E59" s="29"/>
      <c r="F59" s="28" t="s">
        <v>541</v>
      </c>
      <c r="G59" s="28"/>
      <c r="H59" s="28" t="s">
        <v>542</v>
      </c>
      <c r="I59" s="28" t="s">
        <v>227</v>
      </c>
      <c r="J59" s="28" t="s">
        <v>536</v>
      </c>
      <c r="K59" s="28" t="s">
        <v>542</v>
      </c>
      <c r="L59" s="28" t="s">
        <v>537</v>
      </c>
      <c r="M59" s="60" t="s">
        <v>41</v>
      </c>
      <c r="N59" s="28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</row>
    <row r="60" spans="1:30" ht="14.4">
      <c r="A60" s="28" t="s">
        <v>18</v>
      </c>
      <c r="B60" s="28" t="s">
        <v>19</v>
      </c>
      <c r="C60" s="28" t="s">
        <v>233</v>
      </c>
      <c r="D60" s="29"/>
      <c r="E60" s="29"/>
      <c r="F60" s="28" t="s">
        <v>546</v>
      </c>
      <c r="G60" s="28"/>
      <c r="H60" s="28" t="s">
        <v>547</v>
      </c>
      <c r="I60" s="28" t="s">
        <v>548</v>
      </c>
      <c r="J60" s="28" t="s">
        <v>549</v>
      </c>
      <c r="K60" s="28" t="s">
        <v>547</v>
      </c>
      <c r="L60" s="28" t="s">
        <v>550</v>
      </c>
      <c r="M60" s="60" t="s">
        <v>41</v>
      </c>
      <c r="N60" s="28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</row>
    <row r="61" spans="1:30" ht="14.4">
      <c r="A61" s="28" t="s">
        <v>18</v>
      </c>
      <c r="B61" s="28" t="s">
        <v>19</v>
      </c>
      <c r="C61" s="28" t="s">
        <v>233</v>
      </c>
      <c r="D61" s="29"/>
      <c r="E61" s="29"/>
      <c r="F61" s="28" t="s">
        <v>551</v>
      </c>
      <c r="G61" s="28"/>
      <c r="H61" s="28" t="s">
        <v>553</v>
      </c>
      <c r="I61" s="28" t="s">
        <v>548</v>
      </c>
      <c r="J61" s="28" t="s">
        <v>556</v>
      </c>
      <c r="K61" s="28" t="s">
        <v>553</v>
      </c>
      <c r="L61" s="28" t="s">
        <v>550</v>
      </c>
      <c r="M61" s="60" t="s">
        <v>41</v>
      </c>
      <c r="N61" s="28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</row>
    <row r="62" spans="1:30" ht="14.4">
      <c r="A62" s="28" t="s">
        <v>18</v>
      </c>
      <c r="B62" s="28" t="s">
        <v>19</v>
      </c>
      <c r="C62" s="28" t="s">
        <v>233</v>
      </c>
      <c r="D62" s="29"/>
      <c r="E62" s="29"/>
      <c r="F62" s="28" t="s">
        <v>561</v>
      </c>
      <c r="G62" s="28"/>
      <c r="H62" s="28" t="s">
        <v>562</v>
      </c>
      <c r="I62" s="28" t="s">
        <v>151</v>
      </c>
      <c r="J62" s="28" t="s">
        <v>563</v>
      </c>
      <c r="K62" s="28" t="s">
        <v>562</v>
      </c>
      <c r="L62" s="28" t="s">
        <v>149</v>
      </c>
      <c r="M62" s="60" t="s">
        <v>41</v>
      </c>
      <c r="N62" s="28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</row>
    <row r="63" spans="1:30" ht="14.4">
      <c r="A63" s="28" t="s">
        <v>18</v>
      </c>
      <c r="B63" s="28" t="s">
        <v>19</v>
      </c>
      <c r="C63" s="28" t="s">
        <v>233</v>
      </c>
      <c r="D63" s="29"/>
      <c r="E63" s="29"/>
      <c r="F63" s="28" t="s">
        <v>570</v>
      </c>
      <c r="G63" s="28"/>
      <c r="H63" s="28" t="s">
        <v>571</v>
      </c>
      <c r="I63" s="28" t="s">
        <v>322</v>
      </c>
      <c r="J63" s="28" t="s">
        <v>572</v>
      </c>
      <c r="K63" s="28" t="s">
        <v>571</v>
      </c>
      <c r="L63" s="28" t="s">
        <v>40</v>
      </c>
      <c r="M63" s="60" t="s">
        <v>41</v>
      </c>
      <c r="N63" s="28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</row>
    <row r="64" spans="1:30" ht="14.4">
      <c r="A64" s="28" t="s">
        <v>18</v>
      </c>
      <c r="B64" s="28" t="s">
        <v>19</v>
      </c>
      <c r="C64" s="28" t="s">
        <v>233</v>
      </c>
      <c r="D64" s="29"/>
      <c r="E64" s="29"/>
      <c r="F64" s="28" t="s">
        <v>577</v>
      </c>
      <c r="G64" s="28"/>
      <c r="H64" s="28" t="s">
        <v>578</v>
      </c>
      <c r="I64" s="28" t="s">
        <v>322</v>
      </c>
      <c r="J64" s="28" t="s">
        <v>579</v>
      </c>
      <c r="K64" s="28" t="s">
        <v>578</v>
      </c>
      <c r="L64" s="28" t="s">
        <v>286</v>
      </c>
      <c r="M64" s="60" t="s">
        <v>41</v>
      </c>
      <c r="N64" s="28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</row>
    <row r="65" spans="1:30" ht="14.4">
      <c r="A65" s="28" t="s">
        <v>18</v>
      </c>
      <c r="B65" s="28" t="s">
        <v>19</v>
      </c>
      <c r="C65" s="28" t="s">
        <v>233</v>
      </c>
      <c r="D65" s="29"/>
      <c r="E65" s="29"/>
      <c r="F65" s="28" t="s">
        <v>585</v>
      </c>
      <c r="G65" s="28"/>
      <c r="H65" s="28" t="s">
        <v>35</v>
      </c>
      <c r="I65" s="28" t="s">
        <v>36</v>
      </c>
      <c r="J65" s="28" t="s">
        <v>587</v>
      </c>
      <c r="K65" s="28" t="s">
        <v>35</v>
      </c>
      <c r="L65" s="28" t="s">
        <v>40</v>
      </c>
      <c r="M65" s="60" t="s">
        <v>41</v>
      </c>
      <c r="N65" s="28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</row>
    <row r="66" spans="1:30" ht="14.4">
      <c r="A66" s="28" t="s">
        <v>18</v>
      </c>
      <c r="B66" s="28" t="s">
        <v>19</v>
      </c>
      <c r="C66" s="28" t="s">
        <v>233</v>
      </c>
      <c r="D66" s="29"/>
      <c r="E66" s="29"/>
      <c r="F66" s="28" t="s">
        <v>590</v>
      </c>
      <c r="G66" s="28"/>
      <c r="H66" s="28" t="s">
        <v>591</v>
      </c>
      <c r="I66" s="28" t="s">
        <v>592</v>
      </c>
      <c r="J66" s="28" t="s">
        <v>572</v>
      </c>
      <c r="K66" s="28" t="s">
        <v>591</v>
      </c>
      <c r="L66" s="28" t="s">
        <v>40</v>
      </c>
      <c r="M66" s="24" t="s">
        <v>41</v>
      </c>
      <c r="N66" s="28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</row>
    <row r="67" spans="1:30" ht="14.4">
      <c r="A67" s="28" t="s">
        <v>18</v>
      </c>
      <c r="B67" s="28" t="s">
        <v>19</v>
      </c>
      <c r="C67" s="28" t="s">
        <v>233</v>
      </c>
      <c r="D67" s="29"/>
      <c r="E67" s="29"/>
      <c r="F67" s="28" t="s">
        <v>595</v>
      </c>
      <c r="G67" s="28"/>
      <c r="H67" s="28" t="s">
        <v>596</v>
      </c>
      <c r="I67" s="28" t="s">
        <v>211</v>
      </c>
      <c r="J67" s="28" t="s">
        <v>597</v>
      </c>
      <c r="K67" s="28" t="s">
        <v>596</v>
      </c>
      <c r="L67" s="28" t="s">
        <v>600</v>
      </c>
      <c r="M67" s="24" t="s">
        <v>41</v>
      </c>
      <c r="N67" s="28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</row>
    <row r="68" spans="1:30" ht="14.4">
      <c r="A68" s="28" t="s">
        <v>18</v>
      </c>
      <c r="B68" s="28" t="s">
        <v>19</v>
      </c>
      <c r="C68" s="28" t="s">
        <v>233</v>
      </c>
      <c r="D68" s="29"/>
      <c r="E68" s="29"/>
      <c r="F68" s="28" t="s">
        <v>603</v>
      </c>
      <c r="G68" s="28"/>
      <c r="H68" s="28" t="s">
        <v>313</v>
      </c>
      <c r="I68" s="28" t="s">
        <v>211</v>
      </c>
      <c r="J68" s="28" t="s">
        <v>604</v>
      </c>
      <c r="K68" s="28" t="s">
        <v>313</v>
      </c>
      <c r="L68" s="28" t="s">
        <v>106</v>
      </c>
      <c r="M68" s="60" t="s">
        <v>41</v>
      </c>
      <c r="N68" s="28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</row>
    <row r="69" spans="1:30" ht="14.4">
      <c r="A69" s="28" t="s">
        <v>18</v>
      </c>
      <c r="B69" s="28" t="s">
        <v>19</v>
      </c>
      <c r="C69" s="28" t="s">
        <v>233</v>
      </c>
      <c r="D69" s="29"/>
      <c r="E69" s="29"/>
      <c r="F69" s="28" t="s">
        <v>607</v>
      </c>
      <c r="G69" s="28"/>
      <c r="H69" s="28" t="s">
        <v>610</v>
      </c>
      <c r="I69" s="28" t="s">
        <v>66</v>
      </c>
      <c r="J69" s="28" t="s">
        <v>611</v>
      </c>
      <c r="K69" s="28" t="s">
        <v>610</v>
      </c>
      <c r="L69" s="28" t="s">
        <v>140</v>
      </c>
      <c r="M69" s="60" t="s">
        <v>41</v>
      </c>
      <c r="N69" s="28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</row>
    <row r="70" spans="1:30" ht="14.4">
      <c r="A70" s="28" t="s">
        <v>18</v>
      </c>
      <c r="B70" s="28" t="s">
        <v>19</v>
      </c>
      <c r="C70" s="28" t="s">
        <v>233</v>
      </c>
      <c r="D70" s="29"/>
      <c r="E70" s="29"/>
      <c r="F70" s="28" t="s">
        <v>614</v>
      </c>
      <c r="G70" s="28"/>
      <c r="H70" s="28" t="s">
        <v>610</v>
      </c>
      <c r="I70" s="28" t="s">
        <v>66</v>
      </c>
      <c r="J70" s="28" t="s">
        <v>611</v>
      </c>
      <c r="K70" s="28" t="s">
        <v>610</v>
      </c>
      <c r="L70" s="28" t="s">
        <v>140</v>
      </c>
      <c r="M70" s="60" t="s">
        <v>41</v>
      </c>
      <c r="N70" s="28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</row>
    <row r="71" spans="1:30" ht="14.4">
      <c r="A71" s="28" t="s">
        <v>18</v>
      </c>
      <c r="B71" s="28" t="s">
        <v>19</v>
      </c>
      <c r="C71" s="28" t="s">
        <v>233</v>
      </c>
      <c r="D71" s="29"/>
      <c r="E71" s="29"/>
      <c r="F71" s="28" t="s">
        <v>617</v>
      </c>
      <c r="G71" s="28"/>
      <c r="H71" s="28" t="s">
        <v>610</v>
      </c>
      <c r="I71" s="28" t="s">
        <v>66</v>
      </c>
      <c r="J71" s="28" t="s">
        <v>611</v>
      </c>
      <c r="K71" s="28" t="s">
        <v>610</v>
      </c>
      <c r="L71" s="28" t="s">
        <v>140</v>
      </c>
      <c r="M71" s="60" t="s">
        <v>41</v>
      </c>
      <c r="N71" s="28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</row>
    <row r="72" spans="1:30" ht="14.4">
      <c r="A72" s="28" t="s">
        <v>18</v>
      </c>
      <c r="B72" s="28" t="s">
        <v>19</v>
      </c>
      <c r="C72" s="28" t="s">
        <v>233</v>
      </c>
      <c r="D72" s="29"/>
      <c r="E72" s="29"/>
      <c r="F72" s="28" t="s">
        <v>619</v>
      </c>
      <c r="G72" s="28"/>
      <c r="H72" s="28" t="s">
        <v>621</v>
      </c>
      <c r="I72" s="28" t="s">
        <v>380</v>
      </c>
      <c r="J72" s="28" t="s">
        <v>622</v>
      </c>
      <c r="K72" s="28" t="s">
        <v>621</v>
      </c>
      <c r="L72" s="28" t="s">
        <v>623</v>
      </c>
      <c r="M72" s="60" t="s">
        <v>41</v>
      </c>
      <c r="N72" s="28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</row>
    <row r="73" spans="1:30" ht="14.4">
      <c r="A73" s="28" t="s">
        <v>18</v>
      </c>
      <c r="B73" s="28" t="s">
        <v>19</v>
      </c>
      <c r="C73" s="28" t="s">
        <v>233</v>
      </c>
      <c r="D73" s="29"/>
      <c r="E73" s="29"/>
      <c r="F73" s="28" t="s">
        <v>626</v>
      </c>
      <c r="G73" s="28"/>
      <c r="H73" s="28" t="s">
        <v>627</v>
      </c>
      <c r="I73" s="28" t="s">
        <v>322</v>
      </c>
      <c r="J73" s="28" t="s">
        <v>628</v>
      </c>
      <c r="K73" s="28" t="s">
        <v>627</v>
      </c>
      <c r="L73" s="28" t="s">
        <v>629</v>
      </c>
      <c r="M73" s="60" t="s">
        <v>41</v>
      </c>
      <c r="N73" s="28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</row>
    <row r="74" spans="1:30" ht="14.4">
      <c r="A74" s="28" t="s">
        <v>18</v>
      </c>
      <c r="B74" s="28" t="s">
        <v>19</v>
      </c>
      <c r="C74" s="28" t="s">
        <v>233</v>
      </c>
      <c r="D74" s="29"/>
      <c r="E74" s="29"/>
      <c r="F74" s="28" t="s">
        <v>634</v>
      </c>
      <c r="G74" s="28"/>
      <c r="H74" s="28" t="s">
        <v>627</v>
      </c>
      <c r="I74" s="28" t="s">
        <v>322</v>
      </c>
      <c r="J74" s="28" t="s">
        <v>628</v>
      </c>
      <c r="K74" s="28" t="s">
        <v>627</v>
      </c>
      <c r="L74" s="28" t="s">
        <v>629</v>
      </c>
      <c r="M74" s="60" t="s">
        <v>41</v>
      </c>
      <c r="N74" s="28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</row>
    <row r="75" spans="1:30" ht="14.4">
      <c r="A75" s="28" t="s">
        <v>18</v>
      </c>
      <c r="B75" s="28" t="s">
        <v>19</v>
      </c>
      <c r="C75" s="28" t="s">
        <v>233</v>
      </c>
      <c r="D75" s="29"/>
      <c r="E75" s="29"/>
      <c r="F75" s="28" t="s">
        <v>639</v>
      </c>
      <c r="G75" s="28"/>
      <c r="H75" s="28" t="s">
        <v>640</v>
      </c>
      <c r="I75" s="28" t="s">
        <v>211</v>
      </c>
      <c r="J75" s="28" t="s">
        <v>641</v>
      </c>
      <c r="K75" s="28" t="s">
        <v>640</v>
      </c>
      <c r="L75" s="28" t="s">
        <v>195</v>
      </c>
      <c r="M75" s="60" t="s">
        <v>41</v>
      </c>
      <c r="N75" s="28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</row>
    <row r="76" spans="1:30" ht="14.4">
      <c r="A76" s="28" t="s">
        <v>18</v>
      </c>
      <c r="B76" s="28" t="s">
        <v>19</v>
      </c>
      <c r="C76" s="28" t="s">
        <v>233</v>
      </c>
      <c r="D76" s="29"/>
      <c r="E76" s="29"/>
      <c r="F76" s="28" t="s">
        <v>644</v>
      </c>
      <c r="G76" s="28"/>
      <c r="H76" s="28" t="s">
        <v>640</v>
      </c>
      <c r="I76" s="28" t="s">
        <v>211</v>
      </c>
      <c r="J76" s="28" t="s">
        <v>641</v>
      </c>
      <c r="K76" s="28" t="s">
        <v>640</v>
      </c>
      <c r="L76" s="28" t="s">
        <v>195</v>
      </c>
      <c r="M76" s="60" t="s">
        <v>41</v>
      </c>
      <c r="N76" s="28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</row>
    <row r="77" spans="1:30" ht="14.4">
      <c r="A77" s="28" t="s">
        <v>18</v>
      </c>
      <c r="B77" s="28" t="s">
        <v>19</v>
      </c>
      <c r="C77" s="28" t="s">
        <v>233</v>
      </c>
      <c r="D77" s="29"/>
      <c r="E77" s="29"/>
      <c r="F77" s="28" t="s">
        <v>649</v>
      </c>
      <c r="G77" s="28"/>
      <c r="H77" s="28" t="s">
        <v>650</v>
      </c>
      <c r="I77" s="28" t="s">
        <v>227</v>
      </c>
      <c r="J77" s="28" t="s">
        <v>651</v>
      </c>
      <c r="K77" s="28" t="s">
        <v>650</v>
      </c>
      <c r="L77" s="28" t="s">
        <v>195</v>
      </c>
      <c r="M77" s="60" t="s">
        <v>41</v>
      </c>
      <c r="N77" s="28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</row>
    <row r="78" spans="1:30" ht="14.4">
      <c r="A78" s="28" t="s">
        <v>18</v>
      </c>
      <c r="B78" s="28" t="s">
        <v>19</v>
      </c>
      <c r="C78" s="28" t="s">
        <v>233</v>
      </c>
      <c r="D78" s="29"/>
      <c r="E78" s="29"/>
      <c r="F78" s="28" t="s">
        <v>658</v>
      </c>
      <c r="G78" s="28"/>
      <c r="H78" s="28" t="s">
        <v>650</v>
      </c>
      <c r="I78" s="28" t="s">
        <v>227</v>
      </c>
      <c r="J78" s="28" t="s">
        <v>651</v>
      </c>
      <c r="K78" s="28" t="s">
        <v>650</v>
      </c>
      <c r="L78" s="28" t="s">
        <v>195</v>
      </c>
      <c r="M78" s="60" t="s">
        <v>41</v>
      </c>
      <c r="N78" s="28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</row>
    <row r="79" spans="1:30" ht="14.4">
      <c r="A79" s="28" t="s">
        <v>18</v>
      </c>
      <c r="B79" s="28" t="s">
        <v>19</v>
      </c>
      <c r="C79" s="28" t="s">
        <v>233</v>
      </c>
      <c r="D79" s="29"/>
      <c r="E79" s="29"/>
      <c r="F79" s="28" t="s">
        <v>665</v>
      </c>
      <c r="G79" s="28"/>
      <c r="H79" s="28" t="s">
        <v>201</v>
      </c>
      <c r="I79" s="28" t="s">
        <v>66</v>
      </c>
      <c r="J79" s="28" t="s">
        <v>667</v>
      </c>
      <c r="K79" s="28" t="s">
        <v>201</v>
      </c>
      <c r="L79" s="28" t="s">
        <v>195</v>
      </c>
      <c r="M79" s="60" t="s">
        <v>41</v>
      </c>
      <c r="N79" s="28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</row>
    <row r="80" spans="1:30" ht="14.4">
      <c r="A80" s="28" t="s">
        <v>18</v>
      </c>
      <c r="B80" s="28" t="s">
        <v>19</v>
      </c>
      <c r="C80" s="28" t="s">
        <v>233</v>
      </c>
      <c r="D80" s="29"/>
      <c r="E80" s="29"/>
      <c r="F80" s="28" t="s">
        <v>675</v>
      </c>
      <c r="G80" s="28"/>
      <c r="H80" s="28" t="s">
        <v>201</v>
      </c>
      <c r="I80" s="28" t="s">
        <v>66</v>
      </c>
      <c r="J80" s="28" t="s">
        <v>667</v>
      </c>
      <c r="K80" s="28" t="s">
        <v>201</v>
      </c>
      <c r="L80" s="28" t="s">
        <v>195</v>
      </c>
      <c r="M80" s="60" t="s">
        <v>41</v>
      </c>
      <c r="N80" s="28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</row>
    <row r="81" spans="1:30" ht="14.4">
      <c r="A81" s="28" t="s">
        <v>18</v>
      </c>
      <c r="B81" s="28" t="s">
        <v>19</v>
      </c>
      <c r="C81" s="28" t="s">
        <v>233</v>
      </c>
      <c r="D81" s="29"/>
      <c r="E81" s="29"/>
      <c r="F81" s="28" t="s">
        <v>679</v>
      </c>
      <c r="G81" s="28"/>
      <c r="H81" s="28" t="s">
        <v>192</v>
      </c>
      <c r="I81" s="28" t="s">
        <v>66</v>
      </c>
      <c r="J81" s="28" t="s">
        <v>684</v>
      </c>
      <c r="K81" s="28" t="s">
        <v>192</v>
      </c>
      <c r="L81" s="28" t="s">
        <v>195</v>
      </c>
      <c r="M81" s="60" t="s">
        <v>41</v>
      </c>
      <c r="N81" s="28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</row>
    <row r="82" spans="1:30" ht="14.4">
      <c r="A82" s="28" t="s">
        <v>18</v>
      </c>
      <c r="B82" s="28" t="s">
        <v>19</v>
      </c>
      <c r="C82" s="28" t="s">
        <v>233</v>
      </c>
      <c r="D82" s="29"/>
      <c r="E82" s="29"/>
      <c r="F82" s="28" t="s">
        <v>690</v>
      </c>
      <c r="G82" s="28"/>
      <c r="H82" s="28" t="s">
        <v>445</v>
      </c>
      <c r="I82" s="28" t="s">
        <v>227</v>
      </c>
      <c r="J82" s="28" t="s">
        <v>691</v>
      </c>
      <c r="K82" s="28" t="s">
        <v>445</v>
      </c>
      <c r="L82" s="28" t="s">
        <v>449</v>
      </c>
      <c r="M82" s="60" t="s">
        <v>41</v>
      </c>
      <c r="N82" s="28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</row>
    <row r="83" spans="1:30" ht="14.4">
      <c r="A83" s="28" t="s">
        <v>18</v>
      </c>
      <c r="B83" s="28" t="s">
        <v>19</v>
      </c>
      <c r="C83" s="28" t="s">
        <v>233</v>
      </c>
      <c r="D83" s="29"/>
      <c r="E83" s="29"/>
      <c r="F83" s="28" t="s">
        <v>694</v>
      </c>
      <c r="G83" s="28"/>
      <c r="H83" s="28" t="s">
        <v>695</v>
      </c>
      <c r="I83" s="28" t="s">
        <v>696</v>
      </c>
      <c r="J83" s="28" t="s">
        <v>622</v>
      </c>
      <c r="K83" s="28" t="s">
        <v>695</v>
      </c>
      <c r="L83" s="28" t="s">
        <v>211</v>
      </c>
      <c r="M83" s="60" t="s">
        <v>41</v>
      </c>
      <c r="N83" s="28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</row>
    <row r="84" spans="1:30" ht="14.4">
      <c r="A84" s="28" t="s">
        <v>18</v>
      </c>
      <c r="B84" s="28" t="s">
        <v>19</v>
      </c>
      <c r="C84" s="28" t="s">
        <v>233</v>
      </c>
      <c r="D84" s="29"/>
      <c r="E84" s="29"/>
      <c r="F84" s="28" t="s">
        <v>701</v>
      </c>
      <c r="G84" s="28"/>
      <c r="H84" s="28" t="s">
        <v>695</v>
      </c>
      <c r="I84" s="28" t="s">
        <v>696</v>
      </c>
      <c r="J84" s="28" t="s">
        <v>622</v>
      </c>
      <c r="K84" s="28" t="s">
        <v>695</v>
      </c>
      <c r="L84" s="28" t="s">
        <v>211</v>
      </c>
      <c r="M84" s="60" t="s">
        <v>41</v>
      </c>
      <c r="N84" s="28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</row>
    <row r="85" spans="1:30" ht="14.4">
      <c r="A85" s="28" t="s">
        <v>18</v>
      </c>
      <c r="B85" s="28" t="s">
        <v>19</v>
      </c>
      <c r="C85" s="28" t="s">
        <v>233</v>
      </c>
      <c r="D85" s="29"/>
      <c r="E85" s="29"/>
      <c r="F85" s="28" t="s">
        <v>707</v>
      </c>
      <c r="G85" s="28"/>
      <c r="H85" s="28" t="s">
        <v>695</v>
      </c>
      <c r="I85" s="28" t="s">
        <v>696</v>
      </c>
      <c r="J85" s="28" t="s">
        <v>622</v>
      </c>
      <c r="K85" s="28" t="s">
        <v>695</v>
      </c>
      <c r="L85" s="28" t="s">
        <v>211</v>
      </c>
      <c r="M85" s="60" t="s">
        <v>41</v>
      </c>
      <c r="N85" s="28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</row>
    <row r="86" spans="1:30" ht="14.4">
      <c r="A86" s="28" t="s">
        <v>18</v>
      </c>
      <c r="B86" s="28" t="s">
        <v>19</v>
      </c>
      <c r="C86" s="28" t="s">
        <v>233</v>
      </c>
      <c r="D86" s="29"/>
      <c r="E86" s="29"/>
      <c r="F86" s="28" t="s">
        <v>710</v>
      </c>
      <c r="G86" s="28"/>
      <c r="H86" s="28" t="s">
        <v>695</v>
      </c>
      <c r="I86" s="28" t="s">
        <v>696</v>
      </c>
      <c r="J86" s="28" t="s">
        <v>622</v>
      </c>
      <c r="K86" s="28" t="s">
        <v>695</v>
      </c>
      <c r="L86" s="28" t="s">
        <v>211</v>
      </c>
      <c r="M86" s="60" t="s">
        <v>41</v>
      </c>
      <c r="N86" s="28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</row>
    <row r="87" spans="1:30" ht="14.4">
      <c r="A87" s="28" t="s">
        <v>18</v>
      </c>
      <c r="B87" s="28" t="s">
        <v>19</v>
      </c>
      <c r="C87" s="28" t="s">
        <v>233</v>
      </c>
      <c r="D87" s="29"/>
      <c r="E87" s="29"/>
      <c r="F87" s="28" t="s">
        <v>716</v>
      </c>
      <c r="G87" s="28"/>
      <c r="H87" s="28" t="s">
        <v>695</v>
      </c>
      <c r="I87" s="28" t="s">
        <v>696</v>
      </c>
      <c r="J87" s="28" t="s">
        <v>622</v>
      </c>
      <c r="K87" s="28" t="s">
        <v>695</v>
      </c>
      <c r="L87" s="28" t="s">
        <v>211</v>
      </c>
      <c r="M87" s="60" t="s">
        <v>41</v>
      </c>
      <c r="N87" s="28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</row>
    <row r="88" spans="1:30" ht="14.4">
      <c r="A88" s="28" t="s">
        <v>18</v>
      </c>
      <c r="B88" s="28" t="s">
        <v>19</v>
      </c>
      <c r="C88" s="28" t="s">
        <v>233</v>
      </c>
      <c r="D88" s="29"/>
      <c r="E88" s="29"/>
      <c r="F88" s="28" t="s">
        <v>725</v>
      </c>
      <c r="G88" s="28"/>
      <c r="H88" s="28" t="s">
        <v>726</v>
      </c>
      <c r="I88" s="28" t="s">
        <v>537</v>
      </c>
      <c r="J88" s="28" t="s">
        <v>727</v>
      </c>
      <c r="K88" s="28" t="s">
        <v>726</v>
      </c>
      <c r="L88" s="28" t="s">
        <v>729</v>
      </c>
      <c r="M88" s="60" t="s">
        <v>41</v>
      </c>
      <c r="N88" s="28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</row>
    <row r="89" spans="1:30" ht="14.4">
      <c r="A89" s="28" t="s">
        <v>18</v>
      </c>
      <c r="B89" s="28" t="s">
        <v>19</v>
      </c>
      <c r="C89" s="28" t="s">
        <v>233</v>
      </c>
      <c r="D89" s="29"/>
      <c r="E89" s="29"/>
      <c r="F89" s="28" t="s">
        <v>733</v>
      </c>
      <c r="G89" s="28"/>
      <c r="H89" s="28" t="s">
        <v>610</v>
      </c>
      <c r="I89" s="28" t="s">
        <v>140</v>
      </c>
      <c r="J89" s="28" t="s">
        <v>737</v>
      </c>
      <c r="K89" s="28" t="s">
        <v>610</v>
      </c>
      <c r="L89" s="28" t="s">
        <v>66</v>
      </c>
      <c r="M89" s="60" t="s">
        <v>41</v>
      </c>
      <c r="N89" s="28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</row>
    <row r="90" spans="1:30" ht="14.4">
      <c r="A90" s="28" t="s">
        <v>18</v>
      </c>
      <c r="B90" s="28" t="s">
        <v>19</v>
      </c>
      <c r="C90" s="28" t="s">
        <v>233</v>
      </c>
      <c r="D90" s="29"/>
      <c r="E90" s="29"/>
      <c r="F90" s="28" t="s">
        <v>738</v>
      </c>
      <c r="G90" s="28"/>
      <c r="H90" s="28" t="s">
        <v>739</v>
      </c>
      <c r="I90" s="28" t="s">
        <v>117</v>
      </c>
      <c r="J90" s="28" t="s">
        <v>740</v>
      </c>
      <c r="K90" s="28" t="s">
        <v>739</v>
      </c>
      <c r="L90" s="28" t="s">
        <v>741</v>
      </c>
      <c r="M90" s="60" t="s">
        <v>41</v>
      </c>
      <c r="N90" s="28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</row>
    <row r="91" spans="1:30" ht="14.4">
      <c r="A91" s="28" t="s">
        <v>18</v>
      </c>
      <c r="B91" s="28" t="s">
        <v>19</v>
      </c>
      <c r="C91" s="28" t="s">
        <v>233</v>
      </c>
      <c r="D91" s="29"/>
      <c r="E91" s="29"/>
      <c r="F91" s="28" t="s">
        <v>744</v>
      </c>
      <c r="G91" s="28"/>
      <c r="H91" s="28" t="s">
        <v>528</v>
      </c>
      <c r="I91" s="28" t="s">
        <v>745</v>
      </c>
      <c r="J91" s="28" t="s">
        <v>747</v>
      </c>
      <c r="K91" s="28" t="s">
        <v>528</v>
      </c>
      <c r="L91" s="28" t="s">
        <v>227</v>
      </c>
      <c r="M91" s="60" t="s">
        <v>41</v>
      </c>
      <c r="N91" s="28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</row>
    <row r="92" spans="1:30" ht="14.4">
      <c r="A92" s="28" t="s">
        <v>18</v>
      </c>
      <c r="B92" s="28" t="s">
        <v>19</v>
      </c>
      <c r="C92" s="28" t="s">
        <v>233</v>
      </c>
      <c r="D92" s="29"/>
      <c r="E92" s="29"/>
      <c r="F92" s="28" t="s">
        <v>751</v>
      </c>
      <c r="G92" s="28"/>
      <c r="H92" s="28" t="s">
        <v>528</v>
      </c>
      <c r="I92" s="28" t="s">
        <v>745</v>
      </c>
      <c r="J92" s="28" t="s">
        <v>747</v>
      </c>
      <c r="K92" s="28" t="s">
        <v>528</v>
      </c>
      <c r="L92" s="28" t="s">
        <v>227</v>
      </c>
      <c r="M92" s="60" t="s">
        <v>41</v>
      </c>
      <c r="N92" s="28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</row>
    <row r="93" spans="1:30" ht="14.4">
      <c r="A93" s="28" t="s">
        <v>18</v>
      </c>
      <c r="B93" s="28" t="s">
        <v>19</v>
      </c>
      <c r="C93" s="28" t="s">
        <v>233</v>
      </c>
      <c r="D93" s="29"/>
      <c r="E93" s="29"/>
      <c r="F93" s="28" t="s">
        <v>754</v>
      </c>
      <c r="G93" s="28"/>
      <c r="H93" s="28" t="s">
        <v>756</v>
      </c>
      <c r="I93" s="28" t="s">
        <v>629</v>
      </c>
      <c r="J93" s="28" t="s">
        <v>758</v>
      </c>
      <c r="K93" s="28" t="s">
        <v>756</v>
      </c>
      <c r="L93" s="28" t="s">
        <v>211</v>
      </c>
      <c r="M93" s="60" t="s">
        <v>41</v>
      </c>
      <c r="N93" s="28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</row>
    <row r="94" spans="1:30" ht="14.4">
      <c r="A94" s="28" t="s">
        <v>18</v>
      </c>
      <c r="B94" s="28" t="s">
        <v>19</v>
      </c>
      <c r="C94" s="28" t="s">
        <v>233</v>
      </c>
      <c r="D94" s="29"/>
      <c r="E94" s="29"/>
      <c r="F94" s="28" t="s">
        <v>760</v>
      </c>
      <c r="G94" s="28"/>
      <c r="H94" s="28" t="s">
        <v>452</v>
      </c>
      <c r="I94" s="28" t="s">
        <v>764</v>
      </c>
      <c r="J94" s="28" t="s">
        <v>737</v>
      </c>
      <c r="K94" s="28" t="s">
        <v>452</v>
      </c>
      <c r="L94" s="28" t="s">
        <v>130</v>
      </c>
      <c r="M94" s="60" t="s">
        <v>41</v>
      </c>
      <c r="N94" s="28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</row>
    <row r="95" spans="1:30" ht="14.4">
      <c r="A95" s="28" t="s">
        <v>18</v>
      </c>
      <c r="B95" s="28" t="s">
        <v>19</v>
      </c>
      <c r="C95" s="28" t="s">
        <v>233</v>
      </c>
      <c r="D95" s="29"/>
      <c r="E95" s="29"/>
      <c r="F95" s="28" t="s">
        <v>776</v>
      </c>
      <c r="G95" s="28"/>
      <c r="H95" s="28" t="s">
        <v>226</v>
      </c>
      <c r="I95" s="28" t="s">
        <v>229</v>
      </c>
      <c r="J95" s="28" t="s">
        <v>737</v>
      </c>
      <c r="K95" s="28" t="s">
        <v>226</v>
      </c>
      <c r="L95" s="28" t="s">
        <v>227</v>
      </c>
      <c r="M95" s="60" t="s">
        <v>41</v>
      </c>
      <c r="N95" s="28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</row>
    <row r="96" spans="1:30" ht="14.4">
      <c r="A96" s="28" t="s">
        <v>18</v>
      </c>
      <c r="B96" s="28" t="s">
        <v>19</v>
      </c>
      <c r="C96" s="28" t="s">
        <v>233</v>
      </c>
      <c r="D96" s="29"/>
      <c r="E96" s="29"/>
      <c r="F96" s="28" t="s">
        <v>783</v>
      </c>
      <c r="G96" s="28"/>
      <c r="H96" s="28" t="s">
        <v>65</v>
      </c>
      <c r="I96" s="28" t="s">
        <v>117</v>
      </c>
      <c r="J96" s="28" t="s">
        <v>737</v>
      </c>
      <c r="K96" s="28" t="s">
        <v>65</v>
      </c>
      <c r="L96" s="28" t="s">
        <v>784</v>
      </c>
      <c r="M96" s="60" t="s">
        <v>41</v>
      </c>
      <c r="N96" s="28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</row>
    <row r="97" spans="1:30" ht="14.4">
      <c r="A97" s="28" t="s">
        <v>18</v>
      </c>
      <c r="B97" s="28" t="s">
        <v>19</v>
      </c>
      <c r="C97" s="28" t="s">
        <v>233</v>
      </c>
      <c r="D97" s="29"/>
      <c r="E97" s="29"/>
      <c r="F97" s="28" t="s">
        <v>785</v>
      </c>
      <c r="G97" s="28"/>
      <c r="H97" s="28" t="s">
        <v>788</v>
      </c>
      <c r="I97" s="28" t="s">
        <v>790</v>
      </c>
      <c r="J97" s="28" t="s">
        <v>791</v>
      </c>
      <c r="K97" s="28" t="s">
        <v>788</v>
      </c>
      <c r="L97" s="28" t="s">
        <v>227</v>
      </c>
      <c r="M97" s="60" t="s">
        <v>41</v>
      </c>
      <c r="N97" s="28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</row>
    <row r="98" spans="1:30" ht="14.4">
      <c r="A98" s="28" t="s">
        <v>18</v>
      </c>
      <c r="B98" s="28" t="s">
        <v>19</v>
      </c>
      <c r="C98" s="28" t="s">
        <v>85</v>
      </c>
      <c r="D98" s="29"/>
      <c r="E98" s="29"/>
      <c r="F98" s="28" t="s">
        <v>794</v>
      </c>
      <c r="G98" s="28"/>
      <c r="H98" s="28" t="s">
        <v>795</v>
      </c>
      <c r="I98" s="28" t="s">
        <v>227</v>
      </c>
      <c r="J98" s="28" t="s">
        <v>579</v>
      </c>
      <c r="K98" s="28"/>
      <c r="L98" s="28" t="s">
        <v>449</v>
      </c>
      <c r="M98" s="60" t="s">
        <v>41</v>
      </c>
      <c r="N98" s="28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</row>
    <row r="99" spans="1:30" ht="14.4">
      <c r="A99" s="28" t="s">
        <v>18</v>
      </c>
      <c r="B99" s="28" t="s">
        <v>19</v>
      </c>
      <c r="C99" s="28" t="s">
        <v>85</v>
      </c>
      <c r="D99" s="29"/>
      <c r="E99" s="29"/>
      <c r="F99" s="28" t="s">
        <v>798</v>
      </c>
      <c r="G99" s="28"/>
      <c r="H99" s="28" t="s">
        <v>695</v>
      </c>
      <c r="I99" s="28" t="s">
        <v>211</v>
      </c>
      <c r="J99" s="28" t="s">
        <v>587</v>
      </c>
      <c r="K99" s="28"/>
      <c r="L99" s="28" t="s">
        <v>696</v>
      </c>
      <c r="M99" s="60" t="s">
        <v>41</v>
      </c>
      <c r="N99" s="28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</row>
    <row r="100" spans="1:30" ht="14.4">
      <c r="A100" s="28" t="s">
        <v>18</v>
      </c>
      <c r="B100" s="28" t="s">
        <v>19</v>
      </c>
      <c r="C100" s="28" t="s">
        <v>85</v>
      </c>
      <c r="D100" s="29"/>
      <c r="E100" s="29"/>
      <c r="F100" s="28" t="s">
        <v>800</v>
      </c>
      <c r="G100" s="28"/>
      <c r="H100" s="28" t="s">
        <v>801</v>
      </c>
      <c r="I100" s="28" t="s">
        <v>36</v>
      </c>
      <c r="J100" s="28" t="s">
        <v>802</v>
      </c>
      <c r="K100" s="28"/>
      <c r="L100" s="28" t="s">
        <v>40</v>
      </c>
      <c r="M100" s="60" t="s">
        <v>41</v>
      </c>
      <c r="N100" s="28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</row>
    <row r="101" spans="1:30" ht="14.4">
      <c r="A101" s="28" t="s">
        <v>18</v>
      </c>
      <c r="B101" s="28" t="s">
        <v>19</v>
      </c>
      <c r="C101" s="28" t="s">
        <v>85</v>
      </c>
      <c r="D101" s="29"/>
      <c r="E101" s="29"/>
      <c r="F101" s="28" t="s">
        <v>805</v>
      </c>
      <c r="G101" s="28"/>
      <c r="H101" s="28" t="s">
        <v>806</v>
      </c>
      <c r="I101" s="28" t="s">
        <v>380</v>
      </c>
      <c r="J101" s="28" t="s">
        <v>807</v>
      </c>
      <c r="K101" s="28"/>
      <c r="L101" s="28" t="s">
        <v>623</v>
      </c>
      <c r="M101" s="60" t="s">
        <v>41</v>
      </c>
      <c r="N101" s="28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</row>
    <row r="102" spans="1:30" ht="14.4">
      <c r="A102" s="28" t="s">
        <v>18</v>
      </c>
      <c r="B102" s="28" t="s">
        <v>19</v>
      </c>
      <c r="C102" s="28" t="s">
        <v>85</v>
      </c>
      <c r="D102" s="29"/>
      <c r="E102" s="29"/>
      <c r="F102" s="28" t="s">
        <v>809</v>
      </c>
      <c r="G102" s="28"/>
      <c r="H102" s="28" t="s">
        <v>806</v>
      </c>
      <c r="I102" s="28" t="s">
        <v>380</v>
      </c>
      <c r="J102" s="28" t="s">
        <v>807</v>
      </c>
      <c r="K102" s="28"/>
      <c r="L102" s="28" t="s">
        <v>623</v>
      </c>
      <c r="M102" s="60" t="s">
        <v>41</v>
      </c>
      <c r="N102" s="28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</row>
    <row r="103" spans="1:30" ht="14.4">
      <c r="A103" s="28" t="s">
        <v>18</v>
      </c>
      <c r="B103" s="28" t="s">
        <v>19</v>
      </c>
      <c r="C103" s="28" t="s">
        <v>85</v>
      </c>
      <c r="D103" s="29"/>
      <c r="E103" s="29"/>
      <c r="F103" s="28" t="s">
        <v>812</v>
      </c>
      <c r="G103" s="28"/>
      <c r="H103" s="28" t="s">
        <v>105</v>
      </c>
      <c r="I103" s="28" t="s">
        <v>66</v>
      </c>
      <c r="J103" s="28" t="s">
        <v>813</v>
      </c>
      <c r="K103" s="28"/>
      <c r="L103" s="28" t="s">
        <v>815</v>
      </c>
      <c r="M103" s="60" t="s">
        <v>41</v>
      </c>
      <c r="N103" s="28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</row>
    <row r="104" spans="1:30" ht="14.4">
      <c r="A104" s="28" t="s">
        <v>18</v>
      </c>
      <c r="B104" s="28" t="s">
        <v>19</v>
      </c>
      <c r="C104" s="28" t="s">
        <v>85</v>
      </c>
      <c r="D104" s="29"/>
      <c r="E104" s="29"/>
      <c r="F104" s="28" t="s">
        <v>817</v>
      </c>
      <c r="G104" s="28"/>
      <c r="H104" s="28" t="s">
        <v>818</v>
      </c>
      <c r="I104" s="28" t="s">
        <v>322</v>
      </c>
      <c r="J104" s="28" t="s">
        <v>819</v>
      </c>
      <c r="K104" s="28"/>
      <c r="L104" s="28" t="s">
        <v>815</v>
      </c>
      <c r="M104" s="60" t="s">
        <v>41</v>
      </c>
      <c r="N104" s="28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</row>
    <row r="105" spans="1:30" ht="14.4">
      <c r="A105" s="28" t="s">
        <v>18</v>
      </c>
      <c r="B105" s="28" t="s">
        <v>19</v>
      </c>
      <c r="C105" s="28" t="s">
        <v>85</v>
      </c>
      <c r="D105" s="29"/>
      <c r="E105" s="29"/>
      <c r="F105" s="28" t="s">
        <v>821</v>
      </c>
      <c r="G105" s="28"/>
      <c r="H105" s="28" t="s">
        <v>65</v>
      </c>
      <c r="I105" s="28" t="s">
        <v>784</v>
      </c>
      <c r="J105" s="28" t="s">
        <v>758</v>
      </c>
      <c r="K105" s="28"/>
      <c r="L105" s="28" t="s">
        <v>117</v>
      </c>
      <c r="M105" s="60" t="s">
        <v>41</v>
      </c>
      <c r="N105" s="28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</row>
    <row r="106" spans="1:30" ht="14.4">
      <c r="A106" s="28" t="s">
        <v>18</v>
      </c>
      <c r="B106" s="28" t="s">
        <v>19</v>
      </c>
      <c r="C106" s="28" t="s">
        <v>85</v>
      </c>
      <c r="D106" s="29"/>
      <c r="E106" s="29"/>
      <c r="F106" s="28" t="s">
        <v>824</v>
      </c>
      <c r="G106" s="28"/>
      <c r="H106" s="28" t="s">
        <v>128</v>
      </c>
      <c r="I106" s="28" t="s">
        <v>130</v>
      </c>
      <c r="J106" s="28" t="s">
        <v>825</v>
      </c>
      <c r="K106" s="28"/>
      <c r="L106" s="28" t="s">
        <v>117</v>
      </c>
      <c r="M106" s="98" t="s">
        <v>41</v>
      </c>
      <c r="N106" s="28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</row>
    <row r="107" spans="1:30" ht="14.4">
      <c r="A107" s="28" t="s">
        <v>18</v>
      </c>
      <c r="B107" s="28" t="s">
        <v>19</v>
      </c>
      <c r="C107" s="28" t="s">
        <v>220</v>
      </c>
      <c r="D107" s="29"/>
      <c r="E107" s="29"/>
      <c r="F107" s="28" t="s">
        <v>832</v>
      </c>
      <c r="G107" s="28"/>
      <c r="H107" s="28" t="s">
        <v>833</v>
      </c>
      <c r="I107" s="28" t="s">
        <v>66</v>
      </c>
      <c r="J107" s="28" t="s">
        <v>835</v>
      </c>
      <c r="K107" s="28"/>
      <c r="L107" s="28" t="s">
        <v>140</v>
      </c>
      <c r="M107" s="28" t="s">
        <v>41</v>
      </c>
      <c r="N107" s="28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</row>
    <row r="108" spans="1:30" ht="14.4">
      <c r="A108" s="28" t="s">
        <v>18</v>
      </c>
      <c r="B108" s="28" t="s">
        <v>19</v>
      </c>
      <c r="C108" s="28" t="s">
        <v>220</v>
      </c>
      <c r="D108" s="29"/>
      <c r="E108" s="29"/>
      <c r="F108" s="28" t="s">
        <v>841</v>
      </c>
      <c r="G108" s="28"/>
      <c r="H108" s="28" t="s">
        <v>833</v>
      </c>
      <c r="I108" s="28" t="s">
        <v>66</v>
      </c>
      <c r="J108" s="28" t="s">
        <v>835</v>
      </c>
      <c r="K108" s="28"/>
      <c r="L108" s="28" t="s">
        <v>140</v>
      </c>
      <c r="M108" s="60" t="s">
        <v>41</v>
      </c>
      <c r="N108" s="28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</row>
    <row r="109" spans="1:30" ht="14.4">
      <c r="A109" s="28" t="s">
        <v>18</v>
      </c>
      <c r="B109" s="28" t="s">
        <v>19</v>
      </c>
      <c r="C109" s="28" t="s">
        <v>220</v>
      </c>
      <c r="D109" s="29"/>
      <c r="E109" s="29"/>
      <c r="F109" s="28" t="s">
        <v>848</v>
      </c>
      <c r="G109" s="28"/>
      <c r="H109" s="28" t="s">
        <v>833</v>
      </c>
      <c r="I109" s="28" t="s">
        <v>66</v>
      </c>
      <c r="J109" s="28" t="s">
        <v>835</v>
      </c>
      <c r="K109" s="28"/>
      <c r="L109" s="28" t="s">
        <v>140</v>
      </c>
      <c r="M109" s="60" t="s">
        <v>41</v>
      </c>
      <c r="N109" s="28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</row>
    <row r="110" spans="1:30" ht="14.4">
      <c r="A110" s="28" t="s">
        <v>18</v>
      </c>
      <c r="B110" s="28" t="s">
        <v>19</v>
      </c>
      <c r="C110" s="28" t="s">
        <v>220</v>
      </c>
      <c r="D110" s="29"/>
      <c r="E110" s="29"/>
      <c r="F110" s="28" t="s">
        <v>852</v>
      </c>
      <c r="G110" s="28"/>
      <c r="H110" s="28" t="s">
        <v>833</v>
      </c>
      <c r="I110" s="28" t="s">
        <v>66</v>
      </c>
      <c r="J110" s="28" t="s">
        <v>835</v>
      </c>
      <c r="K110" s="28"/>
      <c r="L110" s="28" t="s">
        <v>140</v>
      </c>
      <c r="M110" s="60" t="s">
        <v>41</v>
      </c>
      <c r="N110" s="28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</row>
    <row r="111" spans="1:30" ht="14.4">
      <c r="A111" s="28" t="s">
        <v>18</v>
      </c>
      <c r="B111" s="28" t="s">
        <v>19</v>
      </c>
      <c r="C111" s="28" t="s">
        <v>220</v>
      </c>
      <c r="D111" s="29"/>
      <c r="E111" s="29"/>
      <c r="F111" s="28" t="s">
        <v>857</v>
      </c>
      <c r="G111" s="28"/>
      <c r="H111" s="28" t="s">
        <v>406</v>
      </c>
      <c r="I111" s="28" t="s">
        <v>861</v>
      </c>
      <c r="J111" s="28" t="s">
        <v>862</v>
      </c>
      <c r="K111" s="28"/>
      <c r="L111" s="28" t="s">
        <v>863</v>
      </c>
      <c r="M111" s="60" t="s">
        <v>41</v>
      </c>
      <c r="N111" s="28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</row>
    <row r="112" spans="1:30" ht="14.4">
      <c r="A112" s="28" t="s">
        <v>18</v>
      </c>
      <c r="B112" s="28" t="s">
        <v>19</v>
      </c>
      <c r="C112" s="28" t="s">
        <v>220</v>
      </c>
      <c r="D112" s="29"/>
      <c r="E112" s="29"/>
      <c r="F112" s="28" t="s">
        <v>868</v>
      </c>
      <c r="G112" s="28"/>
      <c r="H112" s="28" t="s">
        <v>869</v>
      </c>
      <c r="I112" s="28" t="s">
        <v>870</v>
      </c>
      <c r="J112" s="28" t="s">
        <v>871</v>
      </c>
      <c r="K112" s="28"/>
      <c r="L112" s="28" t="s">
        <v>872</v>
      </c>
      <c r="M112" s="60" t="s">
        <v>41</v>
      </c>
      <c r="N112" s="28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</row>
    <row r="113" spans="1:30" ht="14.4">
      <c r="A113" s="28" t="s">
        <v>18</v>
      </c>
      <c r="B113" s="28" t="s">
        <v>19</v>
      </c>
      <c r="C113" s="28" t="s">
        <v>220</v>
      </c>
      <c r="D113" s="29"/>
      <c r="E113" s="29"/>
      <c r="F113" s="28" t="s">
        <v>876</v>
      </c>
      <c r="G113" s="28"/>
      <c r="H113" s="28" t="s">
        <v>509</v>
      </c>
      <c r="I113" s="28" t="s">
        <v>877</v>
      </c>
      <c r="J113" s="28" t="s">
        <v>879</v>
      </c>
      <c r="K113" s="28"/>
      <c r="L113" s="28" t="s">
        <v>511</v>
      </c>
      <c r="M113" s="60" t="s">
        <v>41</v>
      </c>
      <c r="N113" s="28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</row>
    <row r="114" spans="1:30" ht="14.4">
      <c r="A114" s="28" t="s">
        <v>18</v>
      </c>
      <c r="B114" s="28" t="s">
        <v>19</v>
      </c>
      <c r="C114" s="28" t="s">
        <v>220</v>
      </c>
      <c r="D114" s="29"/>
      <c r="E114" s="29"/>
      <c r="F114" s="28" t="s">
        <v>881</v>
      </c>
      <c r="G114" s="28"/>
      <c r="H114" s="28" t="s">
        <v>509</v>
      </c>
      <c r="I114" s="28" t="s">
        <v>877</v>
      </c>
      <c r="J114" s="28" t="s">
        <v>879</v>
      </c>
      <c r="K114" s="28"/>
      <c r="L114" s="28" t="s">
        <v>511</v>
      </c>
      <c r="M114" s="60" t="s">
        <v>41</v>
      </c>
      <c r="N114" s="28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</row>
    <row r="115" spans="1:30" ht="14.4">
      <c r="A115" s="28" t="s">
        <v>18</v>
      </c>
      <c r="B115" s="28" t="s">
        <v>19</v>
      </c>
      <c r="C115" s="28" t="s">
        <v>220</v>
      </c>
      <c r="D115" s="29"/>
      <c r="E115" s="29"/>
      <c r="F115" s="28" t="s">
        <v>888</v>
      </c>
      <c r="G115" s="28"/>
      <c r="H115" s="28" t="s">
        <v>795</v>
      </c>
      <c r="I115" s="28" t="s">
        <v>227</v>
      </c>
      <c r="J115" s="28" t="s">
        <v>890</v>
      </c>
      <c r="K115" s="28"/>
      <c r="L115" s="28" t="s">
        <v>893</v>
      </c>
      <c r="M115" s="60" t="s">
        <v>41</v>
      </c>
      <c r="N115" s="28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</row>
    <row r="116" spans="1:30" ht="14.4">
      <c r="A116" s="28" t="s">
        <v>18</v>
      </c>
      <c r="B116" s="28" t="s">
        <v>19</v>
      </c>
      <c r="C116" s="28" t="s">
        <v>220</v>
      </c>
      <c r="D116" s="29"/>
      <c r="E116" s="29"/>
      <c r="F116" s="28" t="s">
        <v>909</v>
      </c>
      <c r="G116" s="28"/>
      <c r="H116" s="28" t="s">
        <v>795</v>
      </c>
      <c r="I116" s="28" t="s">
        <v>227</v>
      </c>
      <c r="J116" s="28" t="s">
        <v>890</v>
      </c>
      <c r="K116" s="28"/>
      <c r="L116" s="28" t="s">
        <v>893</v>
      </c>
      <c r="M116" s="60" t="s">
        <v>41</v>
      </c>
      <c r="N116" s="28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</row>
    <row r="117" spans="1:30" ht="14.4">
      <c r="A117" s="28" t="s">
        <v>18</v>
      </c>
      <c r="B117" s="28" t="s">
        <v>19</v>
      </c>
      <c r="C117" s="28" t="s">
        <v>220</v>
      </c>
      <c r="D117" s="29"/>
      <c r="E117" s="29"/>
      <c r="F117" s="28" t="s">
        <v>923</v>
      </c>
      <c r="G117" s="28"/>
      <c r="H117" s="28" t="s">
        <v>795</v>
      </c>
      <c r="I117" s="28" t="s">
        <v>227</v>
      </c>
      <c r="J117" s="28" t="s">
        <v>890</v>
      </c>
      <c r="K117" s="28"/>
      <c r="L117" s="28" t="s">
        <v>893</v>
      </c>
      <c r="M117" s="60" t="s">
        <v>41</v>
      </c>
      <c r="N117" s="28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</row>
    <row r="118" spans="1:30" ht="14.4">
      <c r="A118" s="28" t="s">
        <v>18</v>
      </c>
      <c r="B118" s="28" t="s">
        <v>19</v>
      </c>
      <c r="C118" s="28" t="s">
        <v>220</v>
      </c>
      <c r="D118" s="29"/>
      <c r="E118" s="29"/>
      <c r="F118" s="28" t="s">
        <v>940</v>
      </c>
      <c r="G118" s="28"/>
      <c r="H118" s="28" t="s">
        <v>795</v>
      </c>
      <c r="I118" s="28" t="s">
        <v>227</v>
      </c>
      <c r="J118" s="28" t="s">
        <v>890</v>
      </c>
      <c r="K118" s="28"/>
      <c r="L118" s="28" t="s">
        <v>893</v>
      </c>
      <c r="M118" s="60" t="s">
        <v>41</v>
      </c>
      <c r="N118" s="28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</row>
    <row r="119" spans="1:30" ht="14.4">
      <c r="A119" s="28" t="s">
        <v>18</v>
      </c>
      <c r="B119" s="28" t="s">
        <v>19</v>
      </c>
      <c r="C119" s="28" t="s">
        <v>220</v>
      </c>
      <c r="D119" s="29"/>
      <c r="E119" s="29"/>
      <c r="F119" s="28" t="s">
        <v>950</v>
      </c>
      <c r="G119" s="28"/>
      <c r="H119" s="28" t="s">
        <v>795</v>
      </c>
      <c r="I119" s="28" t="s">
        <v>227</v>
      </c>
      <c r="J119" s="28" t="s">
        <v>890</v>
      </c>
      <c r="K119" s="28"/>
      <c r="L119" s="28" t="s">
        <v>893</v>
      </c>
      <c r="M119" s="60" t="s">
        <v>41</v>
      </c>
      <c r="N119" s="28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</row>
    <row r="120" spans="1:30" ht="14.4">
      <c r="A120" s="28" t="s">
        <v>18</v>
      </c>
      <c r="B120" s="28" t="s">
        <v>19</v>
      </c>
      <c r="C120" s="28" t="s">
        <v>220</v>
      </c>
      <c r="D120" s="29"/>
      <c r="E120" s="29"/>
      <c r="F120" s="28" t="s">
        <v>955</v>
      </c>
      <c r="G120" s="28"/>
      <c r="H120" s="28" t="s">
        <v>795</v>
      </c>
      <c r="I120" s="28" t="s">
        <v>227</v>
      </c>
      <c r="J120" s="28" t="s">
        <v>890</v>
      </c>
      <c r="K120" s="28"/>
      <c r="L120" s="28" t="s">
        <v>893</v>
      </c>
      <c r="M120" s="24" t="s">
        <v>41</v>
      </c>
      <c r="N120" s="28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</row>
    <row r="121" spans="1:30" ht="14.4">
      <c r="A121" s="28" t="s">
        <v>18</v>
      </c>
      <c r="B121" s="28" t="s">
        <v>19</v>
      </c>
      <c r="C121" s="28" t="s">
        <v>220</v>
      </c>
      <c r="D121" s="29"/>
      <c r="E121" s="29"/>
      <c r="F121" s="28" t="s">
        <v>962</v>
      </c>
      <c r="G121" s="28"/>
      <c r="H121" s="28" t="s">
        <v>963</v>
      </c>
      <c r="I121" s="28" t="s">
        <v>964</v>
      </c>
      <c r="J121" s="28" t="s">
        <v>965</v>
      </c>
      <c r="K121" s="28"/>
      <c r="L121" s="28" t="s">
        <v>967</v>
      </c>
      <c r="M121" s="24" t="s">
        <v>41</v>
      </c>
      <c r="N121" s="28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</row>
    <row r="122" spans="1:30" ht="14.4">
      <c r="A122" s="28" t="s">
        <v>18</v>
      </c>
      <c r="B122" s="28" t="s">
        <v>19</v>
      </c>
      <c r="C122" s="28" t="s">
        <v>220</v>
      </c>
      <c r="D122" s="29"/>
      <c r="E122" s="29"/>
      <c r="F122" s="28" t="s">
        <v>972</v>
      </c>
      <c r="G122" s="28"/>
      <c r="H122" s="28" t="s">
        <v>963</v>
      </c>
      <c r="I122" s="28" t="s">
        <v>964</v>
      </c>
      <c r="J122" s="28" t="s">
        <v>965</v>
      </c>
      <c r="K122" s="28"/>
      <c r="L122" s="28" t="s">
        <v>967</v>
      </c>
      <c r="M122" s="60" t="s">
        <v>41</v>
      </c>
      <c r="N122" s="28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</row>
    <row r="123" spans="1:30" ht="14.4">
      <c r="A123" s="28" t="s">
        <v>18</v>
      </c>
      <c r="B123" s="28" t="s">
        <v>19</v>
      </c>
      <c r="C123" s="28" t="s">
        <v>220</v>
      </c>
      <c r="D123" s="29"/>
      <c r="E123" s="29"/>
      <c r="F123" s="28" t="s">
        <v>976</v>
      </c>
      <c r="G123" s="28"/>
      <c r="H123" s="28" t="s">
        <v>977</v>
      </c>
      <c r="I123" s="28" t="s">
        <v>66</v>
      </c>
      <c r="J123" s="28"/>
      <c r="K123" s="28"/>
      <c r="L123" s="28" t="s">
        <v>980</v>
      </c>
      <c r="M123" s="60" t="s">
        <v>41</v>
      </c>
      <c r="N123" s="28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</row>
    <row r="124" spans="1:30" ht="14.4">
      <c r="A124" s="28" t="s">
        <v>18</v>
      </c>
      <c r="B124" s="28" t="s">
        <v>19</v>
      </c>
      <c r="C124" s="28" t="s">
        <v>220</v>
      </c>
      <c r="D124" s="29"/>
      <c r="E124" s="29"/>
      <c r="F124" s="28" t="s">
        <v>993</v>
      </c>
      <c r="G124" s="28"/>
      <c r="H124" s="28" t="s">
        <v>994</v>
      </c>
      <c r="I124" s="28" t="s">
        <v>211</v>
      </c>
      <c r="J124" s="28" t="s">
        <v>995</v>
      </c>
      <c r="K124" s="28"/>
      <c r="L124" s="28" t="s">
        <v>997</v>
      </c>
      <c r="M124" s="60" t="s">
        <v>41</v>
      </c>
      <c r="N124" s="28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</row>
    <row r="125" spans="1:30" ht="14.4">
      <c r="A125" s="28" t="s">
        <v>18</v>
      </c>
      <c r="B125" s="28" t="s">
        <v>19</v>
      </c>
      <c r="C125" s="28" t="s">
        <v>220</v>
      </c>
      <c r="D125" s="29"/>
      <c r="E125" s="29"/>
      <c r="F125" s="28" t="s">
        <v>1005</v>
      </c>
      <c r="G125" s="28"/>
      <c r="H125" s="28" t="s">
        <v>994</v>
      </c>
      <c r="I125" s="28" t="s">
        <v>211</v>
      </c>
      <c r="J125" s="28" t="s">
        <v>995</v>
      </c>
      <c r="K125" s="28"/>
      <c r="L125" s="28" t="s">
        <v>997</v>
      </c>
      <c r="M125" s="60" t="s">
        <v>41</v>
      </c>
      <c r="N125" s="28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</row>
    <row r="126" spans="1:30" ht="14.4">
      <c r="A126" s="28" t="s">
        <v>18</v>
      </c>
      <c r="B126" s="28" t="s">
        <v>19</v>
      </c>
      <c r="C126" s="28" t="s">
        <v>220</v>
      </c>
      <c r="D126" s="29"/>
      <c r="E126" s="29"/>
      <c r="F126" s="28" t="s">
        <v>1015</v>
      </c>
      <c r="G126" s="28"/>
      <c r="H126" s="28" t="s">
        <v>994</v>
      </c>
      <c r="I126" s="28" t="s">
        <v>211</v>
      </c>
      <c r="J126" s="28" t="s">
        <v>995</v>
      </c>
      <c r="K126" s="28"/>
      <c r="L126" s="28" t="s">
        <v>997</v>
      </c>
      <c r="M126" s="60" t="s">
        <v>41</v>
      </c>
      <c r="N126" s="28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</row>
    <row r="127" spans="1:30" ht="14.4">
      <c r="A127" s="28" t="s">
        <v>18</v>
      </c>
      <c r="B127" s="28" t="s">
        <v>19</v>
      </c>
      <c r="C127" s="28" t="s">
        <v>220</v>
      </c>
      <c r="D127" s="29"/>
      <c r="E127" s="29"/>
      <c r="F127" s="28" t="s">
        <v>1023</v>
      </c>
      <c r="G127" s="28"/>
      <c r="H127" s="28" t="s">
        <v>1025</v>
      </c>
      <c r="I127" s="28" t="s">
        <v>211</v>
      </c>
      <c r="J127" s="28" t="s">
        <v>1026</v>
      </c>
      <c r="K127" s="111"/>
      <c r="L127" s="28" t="s">
        <v>629</v>
      </c>
      <c r="M127" s="60" t="s">
        <v>41</v>
      </c>
      <c r="N127" s="28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</row>
    <row r="128" spans="1:30" ht="14.4">
      <c r="A128" s="28" t="s">
        <v>18</v>
      </c>
      <c r="B128" s="28" t="s">
        <v>19</v>
      </c>
      <c r="C128" s="28" t="s">
        <v>220</v>
      </c>
      <c r="D128" s="29"/>
      <c r="E128" s="29"/>
      <c r="F128" s="28" t="s">
        <v>1040</v>
      </c>
      <c r="G128" s="28"/>
      <c r="H128" s="28" t="s">
        <v>1025</v>
      </c>
      <c r="I128" s="28" t="s">
        <v>211</v>
      </c>
      <c r="J128" s="28" t="s">
        <v>1026</v>
      </c>
      <c r="K128" s="111"/>
      <c r="L128" s="28" t="s">
        <v>629</v>
      </c>
      <c r="M128" s="60" t="s">
        <v>41</v>
      </c>
      <c r="N128" s="28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</row>
    <row r="129" spans="1:30" ht="14.4">
      <c r="A129" s="28" t="s">
        <v>18</v>
      </c>
      <c r="B129" s="28" t="s">
        <v>19</v>
      </c>
      <c r="C129" s="28" t="s">
        <v>220</v>
      </c>
      <c r="D129" s="29"/>
      <c r="E129" s="29"/>
      <c r="F129" s="28" t="s">
        <v>1050</v>
      </c>
      <c r="G129" s="28"/>
      <c r="H129" s="28" t="s">
        <v>1025</v>
      </c>
      <c r="I129" s="28" t="s">
        <v>211</v>
      </c>
      <c r="J129" s="28" t="s">
        <v>1026</v>
      </c>
      <c r="K129" s="111"/>
      <c r="L129" s="28" t="s">
        <v>629</v>
      </c>
      <c r="M129" s="60" t="s">
        <v>41</v>
      </c>
      <c r="N129" s="28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</row>
    <row r="130" spans="1:30" ht="14.4">
      <c r="A130" s="28" t="s">
        <v>18</v>
      </c>
      <c r="B130" s="28" t="s">
        <v>19</v>
      </c>
      <c r="C130" s="28" t="s">
        <v>220</v>
      </c>
      <c r="D130" s="29"/>
      <c r="E130" s="29"/>
      <c r="F130" s="28" t="s">
        <v>1056</v>
      </c>
      <c r="G130" s="28"/>
      <c r="H130" s="28" t="s">
        <v>596</v>
      </c>
      <c r="I130" s="28" t="s">
        <v>211</v>
      </c>
      <c r="J130" s="28" t="s">
        <v>1060</v>
      </c>
      <c r="K130" s="28"/>
      <c r="L130" s="28" t="s">
        <v>600</v>
      </c>
      <c r="M130" s="60" t="s">
        <v>41</v>
      </c>
      <c r="N130" s="28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</row>
    <row r="131" spans="1:30" ht="14.4">
      <c r="A131" s="28" t="s">
        <v>18</v>
      </c>
      <c r="B131" s="28" t="s">
        <v>19</v>
      </c>
      <c r="C131" s="28" t="s">
        <v>220</v>
      </c>
      <c r="D131" s="29"/>
      <c r="E131" s="29"/>
      <c r="F131" s="28" t="s">
        <v>1065</v>
      </c>
      <c r="G131" s="28"/>
      <c r="H131" s="28" t="s">
        <v>596</v>
      </c>
      <c r="I131" s="28" t="s">
        <v>211</v>
      </c>
      <c r="J131" s="28" t="s">
        <v>1060</v>
      </c>
      <c r="K131" s="28"/>
      <c r="L131" s="28" t="s">
        <v>600</v>
      </c>
      <c r="M131" s="60" t="s">
        <v>41</v>
      </c>
      <c r="N131" s="28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</row>
    <row r="132" spans="1:30" ht="14.4">
      <c r="A132" s="28" t="s">
        <v>18</v>
      </c>
      <c r="B132" s="28" t="s">
        <v>19</v>
      </c>
      <c r="C132" s="28" t="s">
        <v>220</v>
      </c>
      <c r="D132" s="29"/>
      <c r="E132" s="29"/>
      <c r="F132" s="28" t="s">
        <v>1081</v>
      </c>
      <c r="G132" s="28"/>
      <c r="H132" s="28" t="s">
        <v>596</v>
      </c>
      <c r="I132" s="28" t="s">
        <v>211</v>
      </c>
      <c r="J132" s="28" t="s">
        <v>1060</v>
      </c>
      <c r="K132" s="28"/>
      <c r="L132" s="28" t="s">
        <v>600</v>
      </c>
      <c r="M132" s="60" t="s">
        <v>41</v>
      </c>
      <c r="N132" s="28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</row>
    <row r="133" spans="1:30" ht="14.4">
      <c r="A133" s="28" t="s">
        <v>18</v>
      </c>
      <c r="B133" s="28" t="s">
        <v>19</v>
      </c>
      <c r="C133" s="28" t="s">
        <v>220</v>
      </c>
      <c r="D133" s="29"/>
      <c r="E133" s="29"/>
      <c r="F133" s="28" t="s">
        <v>1089</v>
      </c>
      <c r="G133" s="28"/>
      <c r="H133" s="28" t="s">
        <v>313</v>
      </c>
      <c r="I133" s="28" t="s">
        <v>211</v>
      </c>
      <c r="J133" s="28" t="s">
        <v>1090</v>
      </c>
      <c r="K133" s="28"/>
      <c r="L133" s="28" t="s">
        <v>1091</v>
      </c>
      <c r="M133" s="60" t="s">
        <v>41</v>
      </c>
      <c r="N133" s="28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</row>
    <row r="134" spans="1:30" ht="14.4">
      <c r="A134" s="28" t="s">
        <v>18</v>
      </c>
      <c r="B134" s="28" t="s">
        <v>19</v>
      </c>
      <c r="C134" s="28" t="s">
        <v>220</v>
      </c>
      <c r="D134" s="29"/>
      <c r="E134" s="29"/>
      <c r="F134" s="28" t="s">
        <v>1097</v>
      </c>
      <c r="G134" s="28"/>
      <c r="H134" s="28" t="s">
        <v>313</v>
      </c>
      <c r="I134" s="28" t="s">
        <v>211</v>
      </c>
      <c r="J134" s="28" t="s">
        <v>1090</v>
      </c>
      <c r="K134" s="28"/>
      <c r="L134" s="28" t="s">
        <v>1091</v>
      </c>
      <c r="M134" s="60" t="s">
        <v>41</v>
      </c>
      <c r="N134" s="28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</row>
    <row r="135" spans="1:30" ht="14.4">
      <c r="A135" s="28" t="s">
        <v>18</v>
      </c>
      <c r="B135" s="28" t="s">
        <v>19</v>
      </c>
      <c r="C135" s="28" t="s">
        <v>220</v>
      </c>
      <c r="D135" s="29"/>
      <c r="E135" s="29"/>
      <c r="F135" s="28" t="s">
        <v>1099</v>
      </c>
      <c r="G135" s="28"/>
      <c r="H135" s="28" t="s">
        <v>313</v>
      </c>
      <c r="I135" s="28" t="s">
        <v>211</v>
      </c>
      <c r="J135" s="28" t="s">
        <v>1090</v>
      </c>
      <c r="K135" s="28"/>
      <c r="L135" s="28" t="s">
        <v>1091</v>
      </c>
      <c r="M135" s="60" t="s">
        <v>41</v>
      </c>
      <c r="N135" s="28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</row>
    <row r="136" spans="1:30" ht="14.4">
      <c r="A136" s="28" t="s">
        <v>18</v>
      </c>
      <c r="B136" s="28" t="s">
        <v>19</v>
      </c>
      <c r="C136" s="28" t="s">
        <v>220</v>
      </c>
      <c r="D136" s="29"/>
      <c r="E136" s="29"/>
      <c r="F136" s="28" t="s">
        <v>1104</v>
      </c>
      <c r="G136" s="28"/>
      <c r="H136" s="28" t="s">
        <v>331</v>
      </c>
      <c r="I136" s="28" t="s">
        <v>1107</v>
      </c>
      <c r="J136" s="28" t="s">
        <v>1108</v>
      </c>
      <c r="K136" s="28"/>
      <c r="L136" s="28" t="s">
        <v>253</v>
      </c>
      <c r="M136" s="60" t="s">
        <v>41</v>
      </c>
      <c r="N136" s="28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</row>
    <row r="137" spans="1:30" ht="14.4">
      <c r="A137" s="28" t="s">
        <v>18</v>
      </c>
      <c r="B137" s="28" t="s">
        <v>19</v>
      </c>
      <c r="C137" s="28" t="s">
        <v>220</v>
      </c>
      <c r="D137" s="29"/>
      <c r="E137" s="29"/>
      <c r="F137" s="28" t="s">
        <v>1116</v>
      </c>
      <c r="G137" s="28"/>
      <c r="H137" s="28" t="s">
        <v>977</v>
      </c>
      <c r="I137" s="28" t="s">
        <v>66</v>
      </c>
      <c r="J137" s="28" t="s">
        <v>1119</v>
      </c>
      <c r="K137" s="28"/>
      <c r="L137" s="28" t="s">
        <v>195</v>
      </c>
      <c r="M137" s="60" t="s">
        <v>41</v>
      </c>
      <c r="N137" s="28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</row>
    <row r="138" spans="1:30" ht="14.4">
      <c r="A138" s="28" t="s">
        <v>18</v>
      </c>
      <c r="B138" s="28" t="s">
        <v>19</v>
      </c>
      <c r="C138" s="28" t="s">
        <v>220</v>
      </c>
      <c r="D138" s="29"/>
      <c r="E138" s="29"/>
      <c r="F138" s="28" t="s">
        <v>1122</v>
      </c>
      <c r="G138" s="28"/>
      <c r="H138" s="28" t="s">
        <v>1124</v>
      </c>
      <c r="I138" s="28" t="s">
        <v>1126</v>
      </c>
      <c r="J138" s="28" t="s">
        <v>1127</v>
      </c>
      <c r="K138" s="28"/>
      <c r="L138" s="28" t="s">
        <v>253</v>
      </c>
      <c r="M138" s="60" t="s">
        <v>41</v>
      </c>
      <c r="N138" s="28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</row>
    <row r="139" spans="1:30" ht="14.4">
      <c r="A139" s="28" t="s">
        <v>18</v>
      </c>
      <c r="B139" s="28" t="s">
        <v>19</v>
      </c>
      <c r="C139" s="28" t="s">
        <v>220</v>
      </c>
      <c r="D139" s="29"/>
      <c r="E139" s="29"/>
      <c r="F139" s="28" t="s">
        <v>1133</v>
      </c>
      <c r="G139" s="28"/>
      <c r="H139" s="28" t="s">
        <v>493</v>
      </c>
      <c r="I139" s="28" t="s">
        <v>119</v>
      </c>
      <c r="J139" s="28" t="s">
        <v>1134</v>
      </c>
      <c r="K139" s="28"/>
      <c r="L139" s="28" t="s">
        <v>496</v>
      </c>
      <c r="M139" s="60" t="s">
        <v>41</v>
      </c>
      <c r="N139" s="28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</row>
    <row r="140" spans="1:30" ht="14.4">
      <c r="A140" s="28" t="s">
        <v>18</v>
      </c>
      <c r="B140" s="28" t="s">
        <v>19</v>
      </c>
      <c r="C140" s="28" t="s">
        <v>220</v>
      </c>
      <c r="D140" s="29"/>
      <c r="E140" s="29"/>
      <c r="F140" s="28" t="s">
        <v>1138</v>
      </c>
      <c r="G140" s="28"/>
      <c r="H140" s="28" t="s">
        <v>1139</v>
      </c>
      <c r="I140" s="28" t="s">
        <v>1140</v>
      </c>
      <c r="J140" s="28" t="s">
        <v>1142</v>
      </c>
      <c r="K140" s="28"/>
      <c r="L140" s="28" t="s">
        <v>496</v>
      </c>
      <c r="M140" s="60" t="s">
        <v>41</v>
      </c>
      <c r="N140" s="28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</row>
    <row r="141" spans="1:30" ht="14.4">
      <c r="A141" s="28" t="s">
        <v>18</v>
      </c>
      <c r="B141" s="28" t="s">
        <v>19</v>
      </c>
      <c r="C141" s="28" t="s">
        <v>220</v>
      </c>
      <c r="D141" s="29"/>
      <c r="E141" s="29"/>
      <c r="F141" s="28" t="s">
        <v>1148</v>
      </c>
      <c r="G141" s="28"/>
      <c r="H141" s="28" t="s">
        <v>499</v>
      </c>
      <c r="I141" s="28" t="s">
        <v>130</v>
      </c>
      <c r="J141" s="28" t="s">
        <v>1150</v>
      </c>
      <c r="K141" s="28"/>
      <c r="L141" s="28" t="s">
        <v>117</v>
      </c>
      <c r="M141" s="60" t="s">
        <v>41</v>
      </c>
      <c r="N141" s="28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</row>
    <row r="142" spans="1:30" ht="14.4">
      <c r="A142" s="28" t="s">
        <v>18</v>
      </c>
      <c r="B142" s="28" t="s">
        <v>19</v>
      </c>
      <c r="C142" s="28" t="s">
        <v>220</v>
      </c>
      <c r="D142" s="29"/>
      <c r="E142" s="29"/>
      <c r="F142" s="28" t="s">
        <v>1157</v>
      </c>
      <c r="G142" s="28"/>
      <c r="H142" s="28" t="s">
        <v>499</v>
      </c>
      <c r="I142" s="28" t="s">
        <v>130</v>
      </c>
      <c r="J142" s="28" t="s">
        <v>1150</v>
      </c>
      <c r="K142" s="28"/>
      <c r="L142" s="28" t="s">
        <v>117</v>
      </c>
      <c r="M142" s="60" t="s">
        <v>41</v>
      </c>
      <c r="N142" s="28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</row>
    <row r="143" spans="1:30" ht="14.4">
      <c r="A143" s="28" t="s">
        <v>18</v>
      </c>
      <c r="B143" s="28" t="s">
        <v>19</v>
      </c>
      <c r="C143" s="28" t="s">
        <v>220</v>
      </c>
      <c r="D143" s="29"/>
      <c r="E143" s="29"/>
      <c r="F143" s="28" t="s">
        <v>1163</v>
      </c>
      <c r="G143" s="28"/>
      <c r="H143" s="28" t="s">
        <v>509</v>
      </c>
      <c r="I143" s="28" t="s">
        <v>877</v>
      </c>
      <c r="J143" s="28" t="s">
        <v>1167</v>
      </c>
      <c r="K143" s="28"/>
      <c r="L143" s="28" t="s">
        <v>511</v>
      </c>
      <c r="M143" s="60" t="s">
        <v>41</v>
      </c>
      <c r="N143" s="28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</row>
    <row r="144" spans="1:30" ht="14.4">
      <c r="A144" s="28" t="s">
        <v>18</v>
      </c>
      <c r="B144" s="28" t="s">
        <v>19</v>
      </c>
      <c r="C144" s="28" t="s">
        <v>220</v>
      </c>
      <c r="D144" s="29"/>
      <c r="E144" s="29"/>
      <c r="F144" s="28" t="s">
        <v>1172</v>
      </c>
      <c r="G144" s="28"/>
      <c r="H144" s="28" t="s">
        <v>509</v>
      </c>
      <c r="I144" s="28" t="s">
        <v>877</v>
      </c>
      <c r="J144" s="28" t="s">
        <v>1167</v>
      </c>
      <c r="K144" s="28"/>
      <c r="L144" s="28" t="s">
        <v>511</v>
      </c>
      <c r="M144" s="60" t="s">
        <v>41</v>
      </c>
      <c r="N144" s="28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</row>
    <row r="145" spans="1:30" ht="14.4">
      <c r="A145" s="28" t="s">
        <v>18</v>
      </c>
      <c r="B145" s="28" t="s">
        <v>19</v>
      </c>
      <c r="C145" s="28" t="s">
        <v>220</v>
      </c>
      <c r="D145" s="29"/>
      <c r="E145" s="29"/>
      <c r="F145" s="28" t="s">
        <v>1189</v>
      </c>
      <c r="G145" s="28"/>
      <c r="H145" s="28" t="s">
        <v>516</v>
      </c>
      <c r="I145" s="28" t="s">
        <v>1191</v>
      </c>
      <c r="J145" s="28" t="s">
        <v>1192</v>
      </c>
      <c r="K145" s="28"/>
      <c r="L145" s="28" t="s">
        <v>97</v>
      </c>
      <c r="M145" s="60" t="s">
        <v>41</v>
      </c>
      <c r="N145" s="28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</row>
    <row r="146" spans="1:30" ht="14.4">
      <c r="A146" s="28" t="s">
        <v>18</v>
      </c>
      <c r="B146" s="28" t="s">
        <v>19</v>
      </c>
      <c r="C146" s="28" t="s">
        <v>220</v>
      </c>
      <c r="D146" s="29"/>
      <c r="E146" s="29"/>
      <c r="F146" s="28" t="s">
        <v>1199</v>
      </c>
      <c r="G146" s="28"/>
      <c r="H146" s="28" t="s">
        <v>516</v>
      </c>
      <c r="I146" s="28" t="s">
        <v>1191</v>
      </c>
      <c r="J146" s="28" t="s">
        <v>1192</v>
      </c>
      <c r="K146" s="28"/>
      <c r="L146" s="28" t="s">
        <v>97</v>
      </c>
      <c r="M146" s="60" t="s">
        <v>41</v>
      </c>
      <c r="N146" s="28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</row>
    <row r="147" spans="1:30" ht="14.4">
      <c r="A147" s="28" t="s">
        <v>18</v>
      </c>
      <c r="B147" s="28" t="s">
        <v>19</v>
      </c>
      <c r="C147" s="28" t="s">
        <v>220</v>
      </c>
      <c r="D147" s="29"/>
      <c r="E147" s="29"/>
      <c r="F147" s="28" t="s">
        <v>1206</v>
      </c>
      <c r="G147" s="28"/>
      <c r="H147" s="28" t="s">
        <v>406</v>
      </c>
      <c r="I147" s="28" t="s">
        <v>1207</v>
      </c>
      <c r="J147" s="28" t="s">
        <v>1209</v>
      </c>
      <c r="K147" s="28"/>
      <c r="L147" s="28" t="s">
        <v>863</v>
      </c>
      <c r="M147" s="60" t="s">
        <v>41</v>
      </c>
      <c r="N147" s="28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</row>
    <row r="148" spans="1:30" ht="14.4">
      <c r="A148" s="28" t="s">
        <v>18</v>
      </c>
      <c r="B148" s="28" t="s">
        <v>19</v>
      </c>
      <c r="C148" s="28" t="s">
        <v>220</v>
      </c>
      <c r="D148" s="29"/>
      <c r="E148" s="29"/>
      <c r="F148" s="28" t="s">
        <v>1213</v>
      </c>
      <c r="G148" s="28"/>
      <c r="H148" s="28" t="s">
        <v>452</v>
      </c>
      <c r="I148" s="28" t="s">
        <v>130</v>
      </c>
      <c r="J148" s="28" t="s">
        <v>1216</v>
      </c>
      <c r="K148" s="28"/>
      <c r="L148" s="28" t="s">
        <v>117</v>
      </c>
      <c r="M148" s="60" t="s">
        <v>41</v>
      </c>
      <c r="N148" s="28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</row>
    <row r="149" spans="1:30" ht="14.4">
      <c r="A149" s="28" t="s">
        <v>18</v>
      </c>
      <c r="B149" s="28" t="s">
        <v>19</v>
      </c>
      <c r="C149" s="28" t="s">
        <v>220</v>
      </c>
      <c r="D149" s="29"/>
      <c r="E149" s="29"/>
      <c r="F149" s="28" t="s">
        <v>1223</v>
      </c>
      <c r="G149" s="28"/>
      <c r="H149" s="28" t="s">
        <v>452</v>
      </c>
      <c r="I149" s="28" t="s">
        <v>130</v>
      </c>
      <c r="J149" s="28" t="s">
        <v>1225</v>
      </c>
      <c r="K149" s="28"/>
      <c r="L149" s="28" t="s">
        <v>117</v>
      </c>
      <c r="M149" s="60" t="s">
        <v>41</v>
      </c>
      <c r="N149" s="28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</row>
    <row r="150" spans="1:30" ht="14.4">
      <c r="A150" s="28" t="s">
        <v>18</v>
      </c>
      <c r="B150" s="28" t="s">
        <v>19</v>
      </c>
      <c r="C150" s="28" t="s">
        <v>220</v>
      </c>
      <c r="D150" s="29"/>
      <c r="E150" s="29"/>
      <c r="F150" s="28" t="s">
        <v>1232</v>
      </c>
      <c r="G150" s="28"/>
      <c r="H150" s="28" t="s">
        <v>1233</v>
      </c>
      <c r="I150" s="28" t="s">
        <v>211</v>
      </c>
      <c r="J150" s="28" t="s">
        <v>1236</v>
      </c>
      <c r="K150" s="28"/>
      <c r="L150" s="28" t="s">
        <v>217</v>
      </c>
      <c r="M150" s="60" t="s">
        <v>41</v>
      </c>
      <c r="N150" s="28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</row>
    <row r="151" spans="1:30" ht="14.4">
      <c r="A151" s="28" t="s">
        <v>18</v>
      </c>
      <c r="B151" s="28" t="s">
        <v>19</v>
      </c>
      <c r="C151" s="28" t="s">
        <v>220</v>
      </c>
      <c r="D151" s="29"/>
      <c r="E151" s="29"/>
      <c r="F151" s="28" t="s">
        <v>1242</v>
      </c>
      <c r="G151" s="28"/>
      <c r="H151" s="28" t="s">
        <v>452</v>
      </c>
      <c r="I151" s="28" t="s">
        <v>130</v>
      </c>
      <c r="J151" s="28" t="s">
        <v>1243</v>
      </c>
      <c r="K151" s="28"/>
      <c r="L151" s="28" t="s">
        <v>117</v>
      </c>
      <c r="M151" s="60" t="s">
        <v>41</v>
      </c>
      <c r="N151" s="28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</row>
    <row r="152" spans="1:30" ht="14.4">
      <c r="A152" s="28" t="s">
        <v>18</v>
      </c>
      <c r="B152" s="28" t="s">
        <v>19</v>
      </c>
      <c r="C152" s="28" t="s">
        <v>220</v>
      </c>
      <c r="D152" s="29"/>
      <c r="E152" s="29"/>
      <c r="F152" s="28" t="s">
        <v>1250</v>
      </c>
      <c r="G152" s="28"/>
      <c r="H152" s="28" t="s">
        <v>1251</v>
      </c>
      <c r="I152" s="28" t="s">
        <v>1252</v>
      </c>
      <c r="J152" s="28" t="s">
        <v>1253</v>
      </c>
      <c r="K152" s="28"/>
      <c r="L152" s="28" t="s">
        <v>1257</v>
      </c>
      <c r="M152" s="60" t="s">
        <v>41</v>
      </c>
      <c r="N152" s="28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</row>
    <row r="153" spans="1:30" ht="14.4">
      <c r="A153" s="28" t="s">
        <v>18</v>
      </c>
      <c r="B153" s="28" t="s">
        <v>19</v>
      </c>
      <c r="C153" s="28" t="s">
        <v>220</v>
      </c>
      <c r="D153" s="29"/>
      <c r="E153" s="29"/>
      <c r="F153" s="28" t="s">
        <v>1265</v>
      </c>
      <c r="G153" s="28"/>
      <c r="H153" s="28" t="s">
        <v>1251</v>
      </c>
      <c r="I153" s="28" t="s">
        <v>1252</v>
      </c>
      <c r="J153" s="28" t="s">
        <v>1269</v>
      </c>
      <c r="K153" s="28"/>
      <c r="L153" s="28" t="s">
        <v>1257</v>
      </c>
      <c r="M153" s="60" t="s">
        <v>41</v>
      </c>
      <c r="N153" s="28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</row>
    <row r="154" spans="1:30" ht="14.4">
      <c r="A154" s="28" t="s">
        <v>18</v>
      </c>
      <c r="B154" s="28" t="s">
        <v>19</v>
      </c>
      <c r="C154" s="28" t="s">
        <v>220</v>
      </c>
      <c r="D154" s="29"/>
      <c r="E154" s="29"/>
      <c r="F154" s="28" t="s">
        <v>1273</v>
      </c>
      <c r="G154" s="28"/>
      <c r="H154" s="28" t="s">
        <v>116</v>
      </c>
      <c r="I154" s="28" t="s">
        <v>119</v>
      </c>
      <c r="J154" s="28" t="s">
        <v>1278</v>
      </c>
      <c r="K154" s="28"/>
      <c r="L154" s="28" t="s">
        <v>117</v>
      </c>
      <c r="M154" s="60" t="s">
        <v>41</v>
      </c>
      <c r="N154" s="28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</row>
    <row r="155" spans="1:30" ht="14.4">
      <c r="A155" s="28" t="s">
        <v>18</v>
      </c>
      <c r="B155" s="28" t="s">
        <v>19</v>
      </c>
      <c r="C155" s="28" t="s">
        <v>220</v>
      </c>
      <c r="D155" s="29"/>
      <c r="E155" s="29"/>
      <c r="F155" s="28" t="s">
        <v>1287</v>
      </c>
      <c r="G155" s="28"/>
      <c r="H155" s="28" t="s">
        <v>1288</v>
      </c>
      <c r="I155" s="28" t="s">
        <v>592</v>
      </c>
      <c r="J155" s="28" t="s">
        <v>1289</v>
      </c>
      <c r="K155" s="28"/>
      <c r="L155" s="28" t="s">
        <v>217</v>
      </c>
      <c r="M155" s="60" t="s">
        <v>41</v>
      </c>
      <c r="N155" s="28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</row>
    <row r="156" spans="1:30" ht="14.4">
      <c r="A156" s="28" t="s">
        <v>18</v>
      </c>
      <c r="B156" s="28" t="s">
        <v>19</v>
      </c>
      <c r="C156" s="28" t="s">
        <v>220</v>
      </c>
      <c r="D156" s="29"/>
      <c r="E156" s="29"/>
      <c r="F156" s="28" t="s">
        <v>1296</v>
      </c>
      <c r="G156" s="28"/>
      <c r="H156" s="28" t="s">
        <v>1297</v>
      </c>
      <c r="I156" s="28" t="s">
        <v>1300</v>
      </c>
      <c r="J156" s="28" t="s">
        <v>1301</v>
      </c>
      <c r="K156" s="28"/>
      <c r="L156" s="28" t="s">
        <v>217</v>
      </c>
      <c r="M156" s="60" t="s">
        <v>41</v>
      </c>
      <c r="N156" s="28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</row>
    <row r="157" spans="1:30" ht="14.4">
      <c r="A157" s="28" t="s">
        <v>18</v>
      </c>
      <c r="B157" s="28" t="s">
        <v>19</v>
      </c>
      <c r="C157" s="28" t="s">
        <v>220</v>
      </c>
      <c r="D157" s="29"/>
      <c r="E157" s="29"/>
      <c r="F157" s="28" t="s">
        <v>1307</v>
      </c>
      <c r="G157" s="28"/>
      <c r="H157" s="28" t="s">
        <v>1308</v>
      </c>
      <c r="I157" s="28" t="s">
        <v>1126</v>
      </c>
      <c r="J157" s="28" t="s">
        <v>1310</v>
      </c>
      <c r="K157" s="28"/>
      <c r="L157" s="28" t="s">
        <v>217</v>
      </c>
      <c r="M157" s="60" t="s">
        <v>41</v>
      </c>
      <c r="N157" s="28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</row>
    <row r="158" spans="1:30" ht="14.4">
      <c r="A158" s="28" t="s">
        <v>18</v>
      </c>
      <c r="B158" s="28" t="s">
        <v>19</v>
      </c>
      <c r="C158" s="28" t="s">
        <v>220</v>
      </c>
      <c r="D158" s="29"/>
      <c r="E158" s="29"/>
      <c r="F158" s="28" t="s">
        <v>1321</v>
      </c>
      <c r="G158" s="28"/>
      <c r="H158" s="28" t="s">
        <v>1324</v>
      </c>
      <c r="I158" s="28" t="s">
        <v>1207</v>
      </c>
      <c r="J158" s="28" t="s">
        <v>1325</v>
      </c>
      <c r="K158" s="28"/>
      <c r="L158" s="28" t="s">
        <v>863</v>
      </c>
      <c r="M158" s="60" t="s">
        <v>41</v>
      </c>
      <c r="N158" s="28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</row>
    <row r="159" spans="1:30" ht="14.4">
      <c r="A159" s="28" t="s">
        <v>18</v>
      </c>
      <c r="B159" s="28" t="s">
        <v>19</v>
      </c>
      <c r="C159" s="28" t="s">
        <v>220</v>
      </c>
      <c r="D159" s="29"/>
      <c r="E159" s="29"/>
      <c r="F159" s="28" t="s">
        <v>1334</v>
      </c>
      <c r="G159" s="28"/>
      <c r="H159" s="28" t="s">
        <v>406</v>
      </c>
      <c r="I159" s="28" t="s">
        <v>1207</v>
      </c>
      <c r="J159" s="28" t="s">
        <v>1339</v>
      </c>
      <c r="K159" s="28"/>
      <c r="L159" s="28" t="s">
        <v>863</v>
      </c>
      <c r="M159" s="60" t="s">
        <v>41</v>
      </c>
      <c r="N159" s="28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</row>
    <row r="160" spans="1:30" ht="14.4">
      <c r="A160" s="28" t="s">
        <v>18</v>
      </c>
      <c r="B160" s="28" t="s">
        <v>19</v>
      </c>
      <c r="C160" s="28" t="s">
        <v>220</v>
      </c>
      <c r="D160" s="29"/>
      <c r="E160" s="29"/>
      <c r="F160" s="28" t="s">
        <v>1350</v>
      </c>
      <c r="G160" s="28"/>
      <c r="H160" s="28" t="s">
        <v>406</v>
      </c>
      <c r="I160" s="28" t="s">
        <v>1207</v>
      </c>
      <c r="J160" s="28" t="s">
        <v>1354</v>
      </c>
      <c r="K160" s="28"/>
      <c r="L160" s="28" t="s">
        <v>863</v>
      </c>
      <c r="M160" s="60" t="s">
        <v>41</v>
      </c>
      <c r="N160" s="28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</row>
    <row r="161" spans="1:30" ht="14.4">
      <c r="A161" s="28" t="s">
        <v>18</v>
      </c>
      <c r="B161" s="28" t="s">
        <v>19</v>
      </c>
      <c r="C161" s="28" t="s">
        <v>220</v>
      </c>
      <c r="D161" s="29"/>
      <c r="E161" s="29"/>
      <c r="F161" s="28" t="s">
        <v>1361</v>
      </c>
      <c r="G161" s="28"/>
      <c r="H161" s="28" t="s">
        <v>116</v>
      </c>
      <c r="I161" s="28" t="s">
        <v>227</v>
      </c>
      <c r="J161" s="28" t="s">
        <v>1363</v>
      </c>
      <c r="K161" s="28"/>
      <c r="L161" s="28" t="s">
        <v>117</v>
      </c>
      <c r="M161" s="60" t="s">
        <v>41</v>
      </c>
      <c r="N161" s="28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</row>
    <row r="162" spans="1:30" ht="14.4">
      <c r="A162" s="28" t="s">
        <v>18</v>
      </c>
      <c r="B162" s="28" t="s">
        <v>19</v>
      </c>
      <c r="C162" s="28" t="s">
        <v>220</v>
      </c>
      <c r="D162" s="29"/>
      <c r="E162" s="29"/>
      <c r="F162" s="28" t="s">
        <v>1367</v>
      </c>
      <c r="G162" s="28"/>
      <c r="H162" s="28" t="s">
        <v>116</v>
      </c>
      <c r="I162" s="28" t="s">
        <v>227</v>
      </c>
      <c r="J162" s="28" t="s">
        <v>1369</v>
      </c>
      <c r="K162" s="28"/>
      <c r="L162" s="28" t="s">
        <v>117</v>
      </c>
      <c r="M162" s="60" t="s">
        <v>41</v>
      </c>
      <c r="N162" s="28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</row>
    <row r="163" spans="1:30" ht="14.4">
      <c r="A163" s="28" t="s">
        <v>18</v>
      </c>
      <c r="B163" s="28" t="s">
        <v>19</v>
      </c>
      <c r="C163" s="28" t="s">
        <v>220</v>
      </c>
      <c r="D163" s="29"/>
      <c r="E163" s="29"/>
      <c r="F163" s="28" t="s">
        <v>1371</v>
      </c>
      <c r="G163" s="28"/>
      <c r="H163" s="28" t="s">
        <v>116</v>
      </c>
      <c r="I163" s="28" t="s">
        <v>227</v>
      </c>
      <c r="J163" s="28" t="s">
        <v>1372</v>
      </c>
      <c r="K163" s="28"/>
      <c r="L163" s="28" t="s">
        <v>117</v>
      </c>
      <c r="M163" s="60" t="s">
        <v>41</v>
      </c>
      <c r="N163" s="28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</row>
    <row r="164" spans="1:30" ht="14.4">
      <c r="A164" s="28" t="s">
        <v>18</v>
      </c>
      <c r="B164" s="28" t="s">
        <v>19</v>
      </c>
      <c r="C164" s="28" t="s">
        <v>220</v>
      </c>
      <c r="D164" s="29"/>
      <c r="E164" s="29"/>
      <c r="F164" s="28" t="s">
        <v>1375</v>
      </c>
      <c r="G164" s="28"/>
      <c r="H164" s="28" t="s">
        <v>116</v>
      </c>
      <c r="I164" s="28" t="s">
        <v>227</v>
      </c>
      <c r="J164" s="28" t="s">
        <v>1377</v>
      </c>
      <c r="K164" s="28"/>
      <c r="L164" s="28" t="s">
        <v>117</v>
      </c>
      <c r="M164" s="60" t="s">
        <v>41</v>
      </c>
      <c r="N164" s="28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</row>
    <row r="165" spans="1:30" ht="14.4">
      <c r="A165" s="28" t="s">
        <v>18</v>
      </c>
      <c r="B165" s="28" t="s">
        <v>19</v>
      </c>
      <c r="C165" s="28" t="s">
        <v>220</v>
      </c>
      <c r="D165" s="29"/>
      <c r="E165" s="29"/>
      <c r="F165" s="28" t="s">
        <v>1380</v>
      </c>
      <c r="G165" s="28"/>
      <c r="H165" s="28" t="s">
        <v>977</v>
      </c>
      <c r="I165" s="28" t="s">
        <v>66</v>
      </c>
      <c r="J165" s="28" t="s">
        <v>1382</v>
      </c>
      <c r="K165" s="28"/>
      <c r="L165" s="28" t="s">
        <v>1384</v>
      </c>
      <c r="M165" s="60" t="s">
        <v>41</v>
      </c>
      <c r="N165" s="28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</row>
    <row r="166" spans="1:30" ht="14.4">
      <c r="A166" s="28" t="s">
        <v>18</v>
      </c>
      <c r="B166" s="28" t="s">
        <v>19</v>
      </c>
      <c r="C166" s="28" t="s">
        <v>220</v>
      </c>
      <c r="D166" s="29"/>
      <c r="E166" s="29"/>
      <c r="F166" s="28" t="s">
        <v>1387</v>
      </c>
      <c r="G166" s="28"/>
      <c r="H166" s="28" t="s">
        <v>1389</v>
      </c>
      <c r="I166" s="28" t="s">
        <v>1391</v>
      </c>
      <c r="J166" s="28" t="s">
        <v>1392</v>
      </c>
      <c r="K166" s="28"/>
      <c r="L166" s="28" t="s">
        <v>1384</v>
      </c>
      <c r="M166" s="60" t="s">
        <v>41</v>
      </c>
      <c r="N166" s="28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</row>
    <row r="167" spans="1:30" ht="14.4">
      <c r="A167" s="28" t="s">
        <v>18</v>
      </c>
      <c r="B167" s="28" t="s">
        <v>19</v>
      </c>
      <c r="C167" s="28" t="s">
        <v>220</v>
      </c>
      <c r="D167" s="29"/>
      <c r="E167" s="29"/>
      <c r="F167" s="28" t="s">
        <v>1399</v>
      </c>
      <c r="G167" s="28"/>
      <c r="H167" s="28" t="s">
        <v>1400</v>
      </c>
      <c r="I167" s="28" t="s">
        <v>1401</v>
      </c>
      <c r="J167" s="28" t="s">
        <v>1402</v>
      </c>
      <c r="K167" s="28"/>
      <c r="L167" s="28" t="s">
        <v>1384</v>
      </c>
      <c r="M167" s="60" t="s">
        <v>41</v>
      </c>
      <c r="N167" s="28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</row>
    <row r="168" spans="1:30" ht="14.4">
      <c r="A168" s="28" t="s">
        <v>18</v>
      </c>
      <c r="B168" s="28" t="s">
        <v>19</v>
      </c>
      <c r="C168" s="28" t="s">
        <v>220</v>
      </c>
      <c r="D168" s="29"/>
      <c r="E168" s="29"/>
      <c r="F168" s="28" t="s">
        <v>1407</v>
      </c>
      <c r="G168" s="28"/>
      <c r="H168" s="28" t="s">
        <v>192</v>
      </c>
      <c r="I168" s="28" t="s">
        <v>66</v>
      </c>
      <c r="J168" s="28" t="s">
        <v>1410</v>
      </c>
      <c r="K168" s="28"/>
      <c r="L168" s="28" t="s">
        <v>1411</v>
      </c>
      <c r="M168" s="60" t="s">
        <v>41</v>
      </c>
      <c r="N168" s="28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</row>
    <row r="169" spans="1:30" ht="14.4">
      <c r="A169" s="28" t="s">
        <v>18</v>
      </c>
      <c r="B169" s="28" t="s">
        <v>19</v>
      </c>
      <c r="C169" s="28" t="s">
        <v>220</v>
      </c>
      <c r="D169" s="29"/>
      <c r="E169" s="29"/>
      <c r="F169" s="28" t="s">
        <v>1416</v>
      </c>
      <c r="G169" s="28"/>
      <c r="H169" s="28" t="s">
        <v>1418</v>
      </c>
      <c r="I169" s="28" t="s">
        <v>1401</v>
      </c>
      <c r="J169" s="28" t="s">
        <v>1421</v>
      </c>
      <c r="K169" s="28"/>
      <c r="L169" s="28" t="s">
        <v>1411</v>
      </c>
      <c r="M169" s="60" t="s">
        <v>41</v>
      </c>
      <c r="N169" s="28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</row>
    <row r="170" spans="1:30" ht="14.4">
      <c r="A170" s="28" t="s">
        <v>18</v>
      </c>
      <c r="B170" s="28" t="s">
        <v>19</v>
      </c>
      <c r="C170" s="28" t="s">
        <v>220</v>
      </c>
      <c r="D170" s="29"/>
      <c r="E170" s="29"/>
      <c r="F170" s="28" t="s">
        <v>1425</v>
      </c>
      <c r="G170" s="28"/>
      <c r="H170" s="28" t="s">
        <v>1427</v>
      </c>
      <c r="I170" s="28" t="s">
        <v>1429</v>
      </c>
      <c r="J170" s="28" t="s">
        <v>1430</v>
      </c>
      <c r="K170" s="28"/>
      <c r="L170" s="28" t="s">
        <v>1411</v>
      </c>
      <c r="M170" s="60" t="s">
        <v>41</v>
      </c>
      <c r="N170" s="28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</row>
    <row r="171" spans="1:30" ht="14.4">
      <c r="A171" s="28" t="s">
        <v>18</v>
      </c>
      <c r="B171" s="28" t="s">
        <v>19</v>
      </c>
      <c r="C171" s="28" t="s">
        <v>220</v>
      </c>
      <c r="D171" s="29"/>
      <c r="E171" s="29"/>
      <c r="F171" s="28" t="s">
        <v>1434</v>
      </c>
      <c r="G171" s="28"/>
      <c r="H171" s="28" t="s">
        <v>116</v>
      </c>
      <c r="I171" s="28" t="s">
        <v>227</v>
      </c>
      <c r="J171" s="28" t="s">
        <v>1437</v>
      </c>
      <c r="K171" s="28"/>
      <c r="L171" s="28" t="s">
        <v>117</v>
      </c>
      <c r="M171" s="60" t="s">
        <v>41</v>
      </c>
      <c r="N171" s="28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</row>
    <row r="172" spans="1:30" ht="14.4">
      <c r="A172" s="28" t="s">
        <v>18</v>
      </c>
      <c r="B172" s="28" t="s">
        <v>19</v>
      </c>
      <c r="C172" s="28" t="s">
        <v>220</v>
      </c>
      <c r="D172" s="29"/>
      <c r="E172" s="29"/>
      <c r="F172" s="28" t="s">
        <v>1444</v>
      </c>
      <c r="G172" s="28"/>
      <c r="H172" s="28" t="s">
        <v>483</v>
      </c>
      <c r="I172" s="28" t="s">
        <v>1446</v>
      </c>
      <c r="J172" s="28" t="s">
        <v>1447</v>
      </c>
      <c r="K172" s="28"/>
      <c r="L172" s="28" t="s">
        <v>438</v>
      </c>
      <c r="M172" s="60" t="s">
        <v>41</v>
      </c>
      <c r="N172" s="28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</row>
    <row r="173" spans="1:30" ht="14.4">
      <c r="A173" s="28" t="s">
        <v>18</v>
      </c>
      <c r="B173" s="28" t="s">
        <v>19</v>
      </c>
      <c r="C173" s="28" t="s">
        <v>220</v>
      </c>
      <c r="D173" s="29"/>
      <c r="E173" s="29"/>
      <c r="F173" s="28" t="s">
        <v>1452</v>
      </c>
      <c r="G173" s="28"/>
      <c r="H173" s="28" t="s">
        <v>483</v>
      </c>
      <c r="I173" s="28" t="s">
        <v>1446</v>
      </c>
      <c r="J173" s="28" t="s">
        <v>1447</v>
      </c>
      <c r="K173" s="28"/>
      <c r="L173" s="28" t="s">
        <v>438</v>
      </c>
      <c r="M173" s="60" t="s">
        <v>41</v>
      </c>
      <c r="N173" s="28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</row>
    <row r="174" spans="1:30" ht="14.4">
      <c r="A174" s="28" t="s">
        <v>18</v>
      </c>
      <c r="B174" s="28" t="s">
        <v>19</v>
      </c>
      <c r="C174" s="28" t="s">
        <v>220</v>
      </c>
      <c r="D174" s="29"/>
      <c r="E174" s="29"/>
      <c r="F174" s="28" t="s">
        <v>1457</v>
      </c>
      <c r="G174" s="28"/>
      <c r="H174" s="28" t="s">
        <v>483</v>
      </c>
      <c r="I174" s="28" t="s">
        <v>1446</v>
      </c>
      <c r="J174" s="28" t="s">
        <v>1447</v>
      </c>
      <c r="K174" s="28"/>
      <c r="L174" s="28" t="s">
        <v>438</v>
      </c>
      <c r="M174" s="60" t="s">
        <v>41</v>
      </c>
      <c r="N174" s="28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</row>
    <row r="175" spans="1:30" ht="14.4">
      <c r="A175" s="28" t="s">
        <v>18</v>
      </c>
      <c r="B175" s="28" t="s">
        <v>19</v>
      </c>
      <c r="C175" s="28" t="s">
        <v>220</v>
      </c>
      <c r="D175" s="29"/>
      <c r="E175" s="29"/>
      <c r="F175" s="28" t="s">
        <v>1466</v>
      </c>
      <c r="G175" s="28"/>
      <c r="H175" s="28" t="s">
        <v>483</v>
      </c>
      <c r="I175" s="28" t="s">
        <v>1446</v>
      </c>
      <c r="J175" s="28" t="s">
        <v>1447</v>
      </c>
      <c r="K175" s="28"/>
      <c r="L175" s="28" t="s">
        <v>438</v>
      </c>
      <c r="M175" s="60" t="s">
        <v>41</v>
      </c>
      <c r="N175" s="28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</row>
    <row r="176" spans="1:30" ht="14.4">
      <c r="A176" s="28" t="s">
        <v>18</v>
      </c>
      <c r="B176" s="28" t="s">
        <v>19</v>
      </c>
      <c r="C176" s="28" t="s">
        <v>220</v>
      </c>
      <c r="D176" s="29"/>
      <c r="E176" s="29"/>
      <c r="F176" s="28" t="s">
        <v>1473</v>
      </c>
      <c r="G176" s="28"/>
      <c r="H176" s="28" t="s">
        <v>483</v>
      </c>
      <c r="I176" s="28" t="s">
        <v>1446</v>
      </c>
      <c r="J176" s="28" t="s">
        <v>1447</v>
      </c>
      <c r="K176" s="28"/>
      <c r="L176" s="28" t="s">
        <v>438</v>
      </c>
      <c r="M176" s="60" t="s">
        <v>41</v>
      </c>
      <c r="N176" s="28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</row>
    <row r="177" spans="1:30" ht="14.4">
      <c r="A177" s="28" t="s">
        <v>18</v>
      </c>
      <c r="B177" s="28" t="s">
        <v>19</v>
      </c>
      <c r="C177" s="28" t="s">
        <v>220</v>
      </c>
      <c r="D177" s="29"/>
      <c r="E177" s="29"/>
      <c r="F177" s="28" t="s">
        <v>1479</v>
      </c>
      <c r="G177" s="28"/>
      <c r="H177" s="28" t="s">
        <v>483</v>
      </c>
      <c r="I177" s="28" t="s">
        <v>1446</v>
      </c>
      <c r="J177" s="28" t="s">
        <v>1447</v>
      </c>
      <c r="K177" s="28"/>
      <c r="L177" s="28" t="s">
        <v>438</v>
      </c>
      <c r="M177" s="60" t="s">
        <v>41</v>
      </c>
      <c r="N177" s="28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</row>
    <row r="178" spans="1:30" ht="14.4">
      <c r="A178" s="28" t="s">
        <v>18</v>
      </c>
      <c r="B178" s="28" t="s">
        <v>19</v>
      </c>
      <c r="C178" s="28" t="s">
        <v>220</v>
      </c>
      <c r="D178" s="29"/>
      <c r="E178" s="29"/>
      <c r="F178" s="28" t="s">
        <v>1486</v>
      </c>
      <c r="G178" s="28"/>
      <c r="H178" s="28" t="s">
        <v>483</v>
      </c>
      <c r="I178" s="28" t="s">
        <v>1446</v>
      </c>
      <c r="J178" s="28" t="s">
        <v>1447</v>
      </c>
      <c r="K178" s="28"/>
      <c r="L178" s="28" t="s">
        <v>438</v>
      </c>
      <c r="M178" s="60" t="s">
        <v>41</v>
      </c>
      <c r="N178" s="28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</row>
    <row r="179" spans="1:30" ht="14.4">
      <c r="A179" s="28" t="s">
        <v>18</v>
      </c>
      <c r="B179" s="28" t="s">
        <v>19</v>
      </c>
      <c r="C179" s="28" t="s">
        <v>220</v>
      </c>
      <c r="D179" s="29"/>
      <c r="E179" s="29"/>
      <c r="F179" s="28" t="s">
        <v>1497</v>
      </c>
      <c r="G179" s="28"/>
      <c r="H179" s="28" t="s">
        <v>483</v>
      </c>
      <c r="I179" s="28" t="s">
        <v>1446</v>
      </c>
      <c r="J179" s="28" t="s">
        <v>1447</v>
      </c>
      <c r="K179" s="28"/>
      <c r="L179" s="28" t="s">
        <v>438</v>
      </c>
      <c r="M179" s="60" t="s">
        <v>41</v>
      </c>
      <c r="N179" s="28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</row>
    <row r="180" spans="1:30" ht="14.4">
      <c r="A180" s="28" t="s">
        <v>18</v>
      </c>
      <c r="B180" s="28" t="s">
        <v>19</v>
      </c>
      <c r="C180" s="28" t="s">
        <v>220</v>
      </c>
      <c r="D180" s="29"/>
      <c r="E180" s="29"/>
      <c r="F180" s="28" t="s">
        <v>1504</v>
      </c>
      <c r="G180" s="28"/>
      <c r="H180" s="28" t="s">
        <v>483</v>
      </c>
      <c r="I180" s="28" t="s">
        <v>1446</v>
      </c>
      <c r="J180" s="28" t="s">
        <v>1447</v>
      </c>
      <c r="K180" s="28"/>
      <c r="L180" s="28" t="s">
        <v>438</v>
      </c>
      <c r="M180" s="60" t="s">
        <v>41</v>
      </c>
      <c r="N180" s="28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</row>
    <row r="181" spans="1:30" ht="14.4">
      <c r="A181" s="28" t="s">
        <v>18</v>
      </c>
      <c r="B181" s="28" t="s">
        <v>19</v>
      </c>
      <c r="C181" s="28" t="s">
        <v>220</v>
      </c>
      <c r="D181" s="29"/>
      <c r="E181" s="29"/>
      <c r="F181" s="28" t="s">
        <v>1512</v>
      </c>
      <c r="G181" s="28"/>
      <c r="H181" s="28" t="s">
        <v>483</v>
      </c>
      <c r="I181" s="28" t="s">
        <v>1446</v>
      </c>
      <c r="J181" s="28" t="s">
        <v>1447</v>
      </c>
      <c r="K181" s="28"/>
      <c r="L181" s="28" t="s">
        <v>438</v>
      </c>
      <c r="M181" s="60" t="s">
        <v>41</v>
      </c>
      <c r="N181" s="28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</row>
    <row r="182" spans="1:30" ht="14.4">
      <c r="A182" s="28" t="s">
        <v>18</v>
      </c>
      <c r="B182" s="28" t="s">
        <v>19</v>
      </c>
      <c r="C182" s="28" t="s">
        <v>220</v>
      </c>
      <c r="D182" s="29"/>
      <c r="E182" s="29"/>
      <c r="F182" s="28" t="s">
        <v>1515</v>
      </c>
      <c r="G182" s="28"/>
      <c r="H182" s="28" t="s">
        <v>483</v>
      </c>
      <c r="I182" s="28" t="s">
        <v>1446</v>
      </c>
      <c r="J182" s="28" t="s">
        <v>1447</v>
      </c>
      <c r="K182" s="28"/>
      <c r="L182" s="28" t="s">
        <v>438</v>
      </c>
      <c r="M182" s="60" t="s">
        <v>41</v>
      </c>
      <c r="N182" s="28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</row>
    <row r="183" spans="1:30" ht="14.4">
      <c r="A183" s="28" t="s">
        <v>18</v>
      </c>
      <c r="B183" s="28" t="s">
        <v>19</v>
      </c>
      <c r="C183" s="28" t="s">
        <v>220</v>
      </c>
      <c r="D183" s="29"/>
      <c r="E183" s="29"/>
      <c r="F183" s="28" t="s">
        <v>1521</v>
      </c>
      <c r="G183" s="28"/>
      <c r="H183" s="28" t="s">
        <v>483</v>
      </c>
      <c r="I183" s="28" t="s">
        <v>1446</v>
      </c>
      <c r="J183" s="28" t="s">
        <v>1447</v>
      </c>
      <c r="K183" s="28"/>
      <c r="L183" s="28" t="s">
        <v>438</v>
      </c>
      <c r="M183" s="60" t="s">
        <v>41</v>
      </c>
      <c r="N183" s="28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</row>
    <row r="184" spans="1:30" ht="14.4">
      <c r="A184" s="28" t="s">
        <v>18</v>
      </c>
      <c r="B184" s="28" t="s">
        <v>19</v>
      </c>
      <c r="C184" s="28" t="s">
        <v>220</v>
      </c>
      <c r="D184" s="29"/>
      <c r="E184" s="29"/>
      <c r="F184" s="28" t="s">
        <v>1531</v>
      </c>
      <c r="G184" s="28"/>
      <c r="H184" s="28" t="s">
        <v>483</v>
      </c>
      <c r="I184" s="28" t="s">
        <v>1446</v>
      </c>
      <c r="J184" s="28" t="s">
        <v>1447</v>
      </c>
      <c r="K184" s="28"/>
      <c r="L184" s="28" t="s">
        <v>438</v>
      </c>
      <c r="M184" s="60" t="s">
        <v>41</v>
      </c>
      <c r="N184" s="28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</row>
    <row r="185" spans="1:30" ht="14.4">
      <c r="A185" s="28" t="s">
        <v>18</v>
      </c>
      <c r="B185" s="28" t="s">
        <v>19</v>
      </c>
      <c r="C185" s="28" t="s">
        <v>220</v>
      </c>
      <c r="D185" s="29"/>
      <c r="E185" s="29"/>
      <c r="F185" s="28" t="s">
        <v>1544</v>
      </c>
      <c r="G185" s="28"/>
      <c r="H185" s="28" t="s">
        <v>483</v>
      </c>
      <c r="I185" s="28" t="s">
        <v>1446</v>
      </c>
      <c r="J185" s="28" t="s">
        <v>1447</v>
      </c>
      <c r="K185" s="28"/>
      <c r="L185" s="28" t="s">
        <v>438</v>
      </c>
      <c r="M185" s="60" t="s">
        <v>41</v>
      </c>
      <c r="N185" s="28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</row>
    <row r="186" spans="1:30" ht="14.4">
      <c r="A186" s="28" t="s">
        <v>18</v>
      </c>
      <c r="B186" s="28" t="s">
        <v>19</v>
      </c>
      <c r="C186" s="28" t="s">
        <v>220</v>
      </c>
      <c r="D186" s="29"/>
      <c r="E186" s="29"/>
      <c r="F186" s="28" t="s">
        <v>1560</v>
      </c>
      <c r="G186" s="28"/>
      <c r="H186" s="28" t="s">
        <v>483</v>
      </c>
      <c r="I186" s="28" t="s">
        <v>1446</v>
      </c>
      <c r="J186" s="28" t="s">
        <v>1447</v>
      </c>
      <c r="K186" s="28"/>
      <c r="L186" s="28" t="s">
        <v>438</v>
      </c>
      <c r="M186" s="60" t="s">
        <v>41</v>
      </c>
      <c r="N186" s="28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</row>
    <row r="187" spans="1:30" ht="14.4">
      <c r="A187" s="28" t="s">
        <v>18</v>
      </c>
      <c r="B187" s="28" t="s">
        <v>19</v>
      </c>
      <c r="C187" s="28" t="s">
        <v>220</v>
      </c>
      <c r="D187" s="29"/>
      <c r="E187" s="29"/>
      <c r="F187" s="28" t="s">
        <v>1571</v>
      </c>
      <c r="G187" s="28"/>
      <c r="H187" s="28" t="s">
        <v>739</v>
      </c>
      <c r="I187" s="28" t="s">
        <v>1575</v>
      </c>
      <c r="J187" s="28" t="s">
        <v>1576</v>
      </c>
      <c r="K187" s="28"/>
      <c r="L187" s="28" t="s">
        <v>117</v>
      </c>
      <c r="M187" s="60" t="s">
        <v>41</v>
      </c>
      <c r="N187" s="28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</row>
    <row r="188" spans="1:30" ht="14.4">
      <c r="A188" s="28" t="s">
        <v>18</v>
      </c>
      <c r="B188" s="28" t="s">
        <v>19</v>
      </c>
      <c r="C188" s="28" t="s">
        <v>220</v>
      </c>
      <c r="D188" s="29"/>
      <c r="E188" s="29"/>
      <c r="F188" s="28" t="s">
        <v>1581</v>
      </c>
      <c r="G188" s="28"/>
      <c r="H188" s="28" t="s">
        <v>739</v>
      </c>
      <c r="I188" s="28" t="s">
        <v>1575</v>
      </c>
      <c r="J188" s="28" t="s">
        <v>1576</v>
      </c>
      <c r="K188" s="28"/>
      <c r="L188" s="28" t="s">
        <v>117</v>
      </c>
      <c r="M188" s="60" t="s">
        <v>41</v>
      </c>
      <c r="N188" s="28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</row>
    <row r="189" spans="1:30" ht="14.4">
      <c r="A189" s="28" t="s">
        <v>18</v>
      </c>
      <c r="B189" s="28" t="s">
        <v>19</v>
      </c>
      <c r="C189" s="28" t="s">
        <v>220</v>
      </c>
      <c r="D189" s="29"/>
      <c r="E189" s="29"/>
      <c r="F189" s="28" t="s">
        <v>1589</v>
      </c>
      <c r="G189" s="28"/>
      <c r="H189" s="28" t="s">
        <v>415</v>
      </c>
      <c r="I189" s="28" t="s">
        <v>66</v>
      </c>
      <c r="J189" s="28"/>
      <c r="K189" s="28"/>
      <c r="L189" s="28" t="s">
        <v>600</v>
      </c>
      <c r="M189" s="60" t="s">
        <v>41</v>
      </c>
      <c r="N189" s="28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</row>
    <row r="190" spans="1:30" ht="14.4">
      <c r="A190" s="28" t="s">
        <v>18</v>
      </c>
      <c r="B190" s="28" t="s">
        <v>19</v>
      </c>
      <c r="C190" s="28" t="s">
        <v>220</v>
      </c>
      <c r="D190" s="29"/>
      <c r="E190" s="29"/>
      <c r="F190" s="28" t="s">
        <v>1603</v>
      </c>
      <c r="G190" s="28"/>
      <c r="H190" s="28" t="s">
        <v>415</v>
      </c>
      <c r="I190" s="28" t="s">
        <v>66</v>
      </c>
      <c r="J190" s="28"/>
      <c r="K190" s="28"/>
      <c r="L190" s="28" t="s">
        <v>600</v>
      </c>
      <c r="M190" s="60" t="s">
        <v>41</v>
      </c>
      <c r="N190" s="28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</row>
    <row r="191" spans="1:30" ht="14.4">
      <c r="A191" s="28" t="s">
        <v>18</v>
      </c>
      <c r="B191" s="28" t="s">
        <v>19</v>
      </c>
      <c r="C191" s="28" t="s">
        <v>220</v>
      </c>
      <c r="D191" s="29"/>
      <c r="E191" s="29"/>
      <c r="F191" s="28" t="s">
        <v>1616</v>
      </c>
      <c r="G191" s="28"/>
      <c r="H191" s="28" t="s">
        <v>1618</v>
      </c>
      <c r="I191" s="28" t="s">
        <v>1620</v>
      </c>
      <c r="J191" s="28" t="s">
        <v>1622</v>
      </c>
      <c r="K191" s="28"/>
      <c r="L191" s="28" t="s">
        <v>1625</v>
      </c>
      <c r="M191" s="60" t="s">
        <v>41</v>
      </c>
      <c r="N191" s="28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</row>
    <row r="192" spans="1:30" ht="14.4">
      <c r="A192" s="28" t="s">
        <v>18</v>
      </c>
      <c r="B192" s="28" t="s">
        <v>19</v>
      </c>
      <c r="C192" s="28" t="s">
        <v>220</v>
      </c>
      <c r="D192" s="29"/>
      <c r="E192" s="29"/>
      <c r="F192" s="28" t="s">
        <v>1635</v>
      </c>
      <c r="G192" s="28"/>
      <c r="H192" s="28" t="s">
        <v>1618</v>
      </c>
      <c r="I192" s="28" t="s">
        <v>1620</v>
      </c>
      <c r="J192" s="28" t="s">
        <v>1622</v>
      </c>
      <c r="K192" s="28"/>
      <c r="L192" s="28" t="s">
        <v>1625</v>
      </c>
      <c r="M192" s="60" t="s">
        <v>41</v>
      </c>
      <c r="N192" s="28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</row>
    <row r="193" spans="1:30" ht="14.4">
      <c r="A193" s="28" t="s">
        <v>18</v>
      </c>
      <c r="B193" s="28" t="s">
        <v>19</v>
      </c>
      <c r="C193" s="28" t="s">
        <v>220</v>
      </c>
      <c r="D193" s="29"/>
      <c r="E193" s="29"/>
      <c r="F193" s="28" t="s">
        <v>1641</v>
      </c>
      <c r="G193" s="28"/>
      <c r="H193" s="28" t="s">
        <v>116</v>
      </c>
      <c r="I193" s="28" t="s">
        <v>119</v>
      </c>
      <c r="J193" s="28" t="s">
        <v>1644</v>
      </c>
      <c r="K193" s="28"/>
      <c r="L193" s="28" t="s">
        <v>117</v>
      </c>
      <c r="M193" s="60" t="s">
        <v>41</v>
      </c>
      <c r="N193" s="28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</row>
    <row r="194" spans="1:30" ht="14.4">
      <c r="A194" s="28" t="s">
        <v>18</v>
      </c>
      <c r="B194" s="28" t="s">
        <v>19</v>
      </c>
      <c r="C194" s="28" t="s">
        <v>220</v>
      </c>
      <c r="D194" s="29"/>
      <c r="E194" s="29"/>
      <c r="F194" s="28" t="s">
        <v>1668</v>
      </c>
      <c r="G194" s="28"/>
      <c r="H194" s="28" t="s">
        <v>1671</v>
      </c>
      <c r="I194" s="28" t="s">
        <v>227</v>
      </c>
      <c r="J194" s="28" t="s">
        <v>1672</v>
      </c>
      <c r="K194" s="28"/>
      <c r="L194" s="28" t="s">
        <v>229</v>
      </c>
      <c r="M194" s="60" t="s">
        <v>41</v>
      </c>
      <c r="N194" s="28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</row>
    <row r="195" spans="1:30" ht="14.4">
      <c r="A195" s="28" t="s">
        <v>18</v>
      </c>
      <c r="B195" s="28" t="s">
        <v>19</v>
      </c>
      <c r="C195" s="28" t="s">
        <v>220</v>
      </c>
      <c r="D195" s="29"/>
      <c r="E195" s="29"/>
      <c r="F195" s="28" t="s">
        <v>1676</v>
      </c>
      <c r="G195" s="28"/>
      <c r="H195" s="28" t="s">
        <v>1671</v>
      </c>
      <c r="I195" s="28" t="s">
        <v>227</v>
      </c>
      <c r="J195" s="28" t="s">
        <v>1672</v>
      </c>
      <c r="K195" s="28"/>
      <c r="L195" s="28" t="s">
        <v>229</v>
      </c>
      <c r="M195" s="60" t="s">
        <v>41</v>
      </c>
      <c r="N195" s="28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</row>
    <row r="196" spans="1:30" ht="14.4">
      <c r="A196" s="28" t="s">
        <v>18</v>
      </c>
      <c r="B196" s="28" t="s">
        <v>19</v>
      </c>
      <c r="C196" s="28" t="s">
        <v>260</v>
      </c>
      <c r="D196" s="107" t="s">
        <v>1337</v>
      </c>
      <c r="E196" s="107"/>
      <c r="F196" s="28" t="s">
        <v>1686</v>
      </c>
      <c r="G196" s="28"/>
      <c r="H196" s="28" t="s">
        <v>1688</v>
      </c>
      <c r="I196" s="28" t="s">
        <v>227</v>
      </c>
      <c r="J196" s="28" t="s">
        <v>1689</v>
      </c>
      <c r="K196" s="28" t="s">
        <v>1688</v>
      </c>
      <c r="L196" s="28" t="s">
        <v>438</v>
      </c>
      <c r="M196" s="60" t="s">
        <v>41</v>
      </c>
      <c r="N196" s="28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</row>
    <row r="197" spans="1:30" ht="14.4">
      <c r="A197" s="28" t="s">
        <v>18</v>
      </c>
      <c r="B197" s="28" t="s">
        <v>19</v>
      </c>
      <c r="C197" s="28" t="s">
        <v>260</v>
      </c>
      <c r="D197" s="107" t="s">
        <v>1337</v>
      </c>
      <c r="E197" s="107"/>
      <c r="F197" s="28" t="s">
        <v>1693</v>
      </c>
      <c r="G197" s="28"/>
      <c r="H197" s="28" t="s">
        <v>1688</v>
      </c>
      <c r="I197" s="28" t="s">
        <v>227</v>
      </c>
      <c r="J197" s="28" t="s">
        <v>1689</v>
      </c>
      <c r="K197" s="28" t="s">
        <v>1688</v>
      </c>
      <c r="L197" s="28" t="s">
        <v>438</v>
      </c>
      <c r="M197" s="60" t="s">
        <v>41</v>
      </c>
      <c r="N197" s="28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</row>
    <row r="198" spans="1:30" ht="14.4">
      <c r="A198" s="28" t="s">
        <v>18</v>
      </c>
      <c r="B198" s="28" t="s">
        <v>19</v>
      </c>
      <c r="C198" s="28" t="s">
        <v>79</v>
      </c>
      <c r="D198" s="43" t="s">
        <v>80</v>
      </c>
      <c r="E198" s="57"/>
      <c r="F198" s="28" t="s">
        <v>1700</v>
      </c>
      <c r="G198" s="28" t="s">
        <v>1342</v>
      </c>
      <c r="H198" s="28" t="s">
        <v>1703</v>
      </c>
      <c r="I198" s="28" t="s">
        <v>1705</v>
      </c>
      <c r="J198" s="28" t="s">
        <v>1706</v>
      </c>
      <c r="K198" s="28" t="s">
        <v>1703</v>
      </c>
      <c r="L198" s="28" t="s">
        <v>117</v>
      </c>
      <c r="M198" s="60" t="s">
        <v>41</v>
      </c>
      <c r="N198" s="28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</row>
    <row r="199" spans="1:30" ht="14.4">
      <c r="A199" s="28" t="s">
        <v>18</v>
      </c>
      <c r="B199" s="28" t="s">
        <v>19</v>
      </c>
      <c r="C199" s="28" t="s">
        <v>79</v>
      </c>
      <c r="D199" s="43" t="s">
        <v>80</v>
      </c>
      <c r="E199" s="57"/>
      <c r="F199" s="28" t="s">
        <v>1710</v>
      </c>
      <c r="G199" s="28" t="s">
        <v>1342</v>
      </c>
      <c r="H199" s="28" t="s">
        <v>1711</v>
      </c>
      <c r="I199" s="28" t="s">
        <v>1705</v>
      </c>
      <c r="J199" s="28" t="s">
        <v>1712</v>
      </c>
      <c r="K199" s="28" t="s">
        <v>1711</v>
      </c>
      <c r="L199" s="28" t="s">
        <v>117</v>
      </c>
      <c r="M199" s="60" t="s">
        <v>41</v>
      </c>
      <c r="N199" s="28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</row>
    <row r="200" spans="1:30" ht="14.4">
      <c r="A200" s="28" t="s">
        <v>18</v>
      </c>
      <c r="B200" s="28" t="s">
        <v>19</v>
      </c>
      <c r="C200" s="28" t="s">
        <v>79</v>
      </c>
      <c r="D200" s="43" t="s">
        <v>80</v>
      </c>
      <c r="E200" s="57"/>
      <c r="F200" s="28" t="s">
        <v>1718</v>
      </c>
      <c r="G200" s="28" t="s">
        <v>1342</v>
      </c>
      <c r="H200" s="28" t="s">
        <v>1719</v>
      </c>
      <c r="I200" s="28" t="s">
        <v>1705</v>
      </c>
      <c r="J200" s="28" t="s">
        <v>1720</v>
      </c>
      <c r="K200" s="28" t="s">
        <v>1719</v>
      </c>
      <c r="L200" s="28" t="s">
        <v>117</v>
      </c>
      <c r="M200" s="60" t="s">
        <v>41</v>
      </c>
      <c r="N200" s="28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</row>
    <row r="201" spans="1:30" ht="14.4">
      <c r="A201" s="28" t="s">
        <v>18</v>
      </c>
      <c r="B201" s="28" t="s">
        <v>19</v>
      </c>
      <c r="C201" s="28" t="s">
        <v>79</v>
      </c>
      <c r="D201" s="43" t="s">
        <v>80</v>
      </c>
      <c r="E201" s="57"/>
      <c r="F201" s="28" t="s">
        <v>1726</v>
      </c>
      <c r="G201" s="28" t="s">
        <v>1342</v>
      </c>
      <c r="H201" s="28" t="s">
        <v>1727</v>
      </c>
      <c r="I201" s="28" t="s">
        <v>1729</v>
      </c>
      <c r="J201" s="28" t="s">
        <v>1731</v>
      </c>
      <c r="K201" s="28" t="s">
        <v>1727</v>
      </c>
      <c r="L201" s="28" t="s">
        <v>117</v>
      </c>
      <c r="M201" s="60" t="s">
        <v>41</v>
      </c>
      <c r="N201" s="28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</row>
    <row r="202" spans="1:30" ht="14.4">
      <c r="A202" s="28" t="s">
        <v>18</v>
      </c>
      <c r="B202" s="28" t="s">
        <v>19</v>
      </c>
      <c r="C202" s="28" t="s">
        <v>79</v>
      </c>
      <c r="D202" s="43" t="s">
        <v>80</v>
      </c>
      <c r="E202" s="57"/>
      <c r="F202" s="28" t="s">
        <v>1735</v>
      </c>
      <c r="G202" s="28" t="s">
        <v>1342</v>
      </c>
      <c r="H202" s="28" t="s">
        <v>1738</v>
      </c>
      <c r="I202" s="28" t="s">
        <v>1739</v>
      </c>
      <c r="J202" s="28" t="s">
        <v>1740</v>
      </c>
      <c r="K202" s="28" t="s">
        <v>1738</v>
      </c>
      <c r="L202" s="28" t="s">
        <v>117</v>
      </c>
      <c r="M202" s="60" t="s">
        <v>41</v>
      </c>
      <c r="N202" s="28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</row>
    <row r="203" spans="1:30" ht="14.4">
      <c r="A203" s="28" t="s">
        <v>18</v>
      </c>
      <c r="B203" s="28" t="s">
        <v>19</v>
      </c>
      <c r="C203" s="28" t="s">
        <v>79</v>
      </c>
      <c r="D203" s="43" t="s">
        <v>80</v>
      </c>
      <c r="E203" s="57"/>
      <c r="F203" s="28" t="s">
        <v>1744</v>
      </c>
      <c r="G203" s="28" t="s">
        <v>1342</v>
      </c>
      <c r="H203" s="28" t="s">
        <v>1738</v>
      </c>
      <c r="I203" s="28" t="s">
        <v>1739</v>
      </c>
      <c r="J203" s="28" t="s">
        <v>1740</v>
      </c>
      <c r="K203" s="28" t="s">
        <v>1738</v>
      </c>
      <c r="L203" s="28" t="s">
        <v>117</v>
      </c>
      <c r="M203" s="60" t="s">
        <v>41</v>
      </c>
      <c r="N203" s="28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</row>
    <row r="204" spans="1:30" ht="14.4">
      <c r="A204" s="28" t="s">
        <v>18</v>
      </c>
      <c r="B204" s="28" t="s">
        <v>19</v>
      </c>
      <c r="C204" s="28" t="s">
        <v>79</v>
      </c>
      <c r="D204" s="43" t="s">
        <v>80</v>
      </c>
      <c r="E204" s="57"/>
      <c r="F204" s="28" t="s">
        <v>1747</v>
      </c>
      <c r="G204" s="28" t="s">
        <v>1342</v>
      </c>
      <c r="H204" s="28" t="s">
        <v>1738</v>
      </c>
      <c r="I204" s="28" t="s">
        <v>1739</v>
      </c>
      <c r="J204" s="28" t="s">
        <v>1740</v>
      </c>
      <c r="K204" s="28" t="s">
        <v>1738</v>
      </c>
      <c r="L204" s="28" t="s">
        <v>117</v>
      </c>
      <c r="M204" s="60" t="s">
        <v>41</v>
      </c>
      <c r="N204" s="28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</row>
    <row r="205" spans="1:30" ht="14.4">
      <c r="A205" s="28" t="s">
        <v>18</v>
      </c>
      <c r="B205" s="28" t="s">
        <v>19</v>
      </c>
      <c r="C205" s="28" t="s">
        <v>79</v>
      </c>
      <c r="D205" s="43" t="s">
        <v>80</v>
      </c>
      <c r="E205" s="57"/>
      <c r="F205" s="28" t="s">
        <v>1754</v>
      </c>
      <c r="G205" s="28" t="s">
        <v>1342</v>
      </c>
      <c r="H205" s="28" t="s">
        <v>1738</v>
      </c>
      <c r="I205" s="28" t="s">
        <v>1739</v>
      </c>
      <c r="J205" s="28" t="s">
        <v>1740</v>
      </c>
      <c r="K205" s="28" t="s">
        <v>1738</v>
      </c>
      <c r="L205" s="28" t="s">
        <v>117</v>
      </c>
      <c r="M205" s="60" t="s">
        <v>41</v>
      </c>
      <c r="N205" s="28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</row>
    <row r="206" spans="1:30" ht="14.4">
      <c r="A206" s="28" t="s">
        <v>18</v>
      </c>
      <c r="B206" s="28" t="s">
        <v>19</v>
      </c>
      <c r="C206" s="28" t="s">
        <v>79</v>
      </c>
      <c r="D206" s="43" t="s">
        <v>80</v>
      </c>
      <c r="E206" s="57"/>
      <c r="F206" s="28" t="s">
        <v>1760</v>
      </c>
      <c r="G206" s="28" t="s">
        <v>1342</v>
      </c>
      <c r="H206" s="28" t="s">
        <v>1738</v>
      </c>
      <c r="I206" s="28" t="s">
        <v>1739</v>
      </c>
      <c r="J206" s="28" t="s">
        <v>1740</v>
      </c>
      <c r="K206" s="28" t="s">
        <v>1738</v>
      </c>
      <c r="L206" s="28" t="s">
        <v>117</v>
      </c>
      <c r="M206" s="60" t="s">
        <v>41</v>
      </c>
      <c r="N206" s="28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</row>
    <row r="207" spans="1:30" ht="14.4">
      <c r="A207" s="28" t="s">
        <v>18</v>
      </c>
      <c r="B207" s="28" t="s">
        <v>19</v>
      </c>
      <c r="C207" s="28" t="s">
        <v>79</v>
      </c>
      <c r="D207" s="43" t="s">
        <v>80</v>
      </c>
      <c r="E207" s="57"/>
      <c r="F207" s="28" t="s">
        <v>1765</v>
      </c>
      <c r="G207" s="28" t="s">
        <v>1342</v>
      </c>
      <c r="H207" s="28" t="s">
        <v>1738</v>
      </c>
      <c r="I207" s="28" t="s">
        <v>1739</v>
      </c>
      <c r="J207" s="28" t="s">
        <v>1740</v>
      </c>
      <c r="K207" s="28" t="s">
        <v>1738</v>
      </c>
      <c r="L207" s="28" t="s">
        <v>117</v>
      </c>
      <c r="M207" s="60" t="s">
        <v>41</v>
      </c>
      <c r="N207" s="28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</row>
    <row r="208" spans="1:30" ht="14.4">
      <c r="A208" s="28" t="s">
        <v>18</v>
      </c>
      <c r="B208" s="28" t="s">
        <v>19</v>
      </c>
      <c r="C208" s="28" t="s">
        <v>79</v>
      </c>
      <c r="D208" s="43" t="s">
        <v>80</v>
      </c>
      <c r="E208" s="57"/>
      <c r="F208" s="28" t="s">
        <v>1778</v>
      </c>
      <c r="G208" s="28" t="s">
        <v>1342</v>
      </c>
      <c r="H208" s="28" t="s">
        <v>1738</v>
      </c>
      <c r="I208" s="28" t="s">
        <v>1739</v>
      </c>
      <c r="J208" s="28" t="s">
        <v>1740</v>
      </c>
      <c r="K208" s="28" t="s">
        <v>1738</v>
      </c>
      <c r="L208" s="28" t="s">
        <v>117</v>
      </c>
      <c r="M208" s="60" t="s">
        <v>41</v>
      </c>
      <c r="N208" s="28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</row>
    <row r="209" spans="1:30" ht="14.4">
      <c r="A209" s="28" t="s">
        <v>18</v>
      </c>
      <c r="B209" s="28" t="s">
        <v>19</v>
      </c>
      <c r="C209" s="28" t="s">
        <v>79</v>
      </c>
      <c r="D209" s="43" t="s">
        <v>80</v>
      </c>
      <c r="E209" s="57"/>
      <c r="F209" s="28" t="s">
        <v>1783</v>
      </c>
      <c r="G209" s="28" t="s">
        <v>1342</v>
      </c>
      <c r="H209" s="28" t="s">
        <v>1738</v>
      </c>
      <c r="I209" s="28" t="s">
        <v>1739</v>
      </c>
      <c r="J209" s="28" t="s">
        <v>1740</v>
      </c>
      <c r="K209" s="28" t="s">
        <v>1738</v>
      </c>
      <c r="L209" s="28" t="s">
        <v>117</v>
      </c>
      <c r="M209" s="60" t="s">
        <v>41</v>
      </c>
      <c r="N209" s="28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</row>
    <row r="210" spans="1:30" ht="14.4">
      <c r="A210" s="28" t="s">
        <v>18</v>
      </c>
      <c r="B210" s="28" t="s">
        <v>19</v>
      </c>
      <c r="C210" s="28" t="s">
        <v>79</v>
      </c>
      <c r="D210" s="43" t="s">
        <v>80</v>
      </c>
      <c r="E210" s="57"/>
      <c r="F210" s="28" t="s">
        <v>1789</v>
      </c>
      <c r="G210" s="28" t="s">
        <v>1342</v>
      </c>
      <c r="H210" s="28" t="s">
        <v>1738</v>
      </c>
      <c r="I210" s="28" t="s">
        <v>1739</v>
      </c>
      <c r="J210" s="28" t="s">
        <v>1740</v>
      </c>
      <c r="K210" s="28" t="s">
        <v>1738</v>
      </c>
      <c r="L210" s="28" t="s">
        <v>117</v>
      </c>
      <c r="M210" s="60" t="s">
        <v>41</v>
      </c>
      <c r="N210" s="28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</row>
    <row r="211" spans="1:30" ht="14.4">
      <c r="A211" s="28" t="s">
        <v>18</v>
      </c>
      <c r="B211" s="28" t="s">
        <v>19</v>
      </c>
      <c r="C211" s="28" t="s">
        <v>79</v>
      </c>
      <c r="D211" s="43" t="s">
        <v>80</v>
      </c>
      <c r="E211" s="57"/>
      <c r="F211" s="28" t="s">
        <v>1793</v>
      </c>
      <c r="G211" s="28" t="s">
        <v>1342</v>
      </c>
      <c r="H211" s="28" t="s">
        <v>1738</v>
      </c>
      <c r="I211" s="28" t="s">
        <v>1739</v>
      </c>
      <c r="J211" s="28" t="s">
        <v>1740</v>
      </c>
      <c r="K211" s="28" t="s">
        <v>1738</v>
      </c>
      <c r="L211" s="28" t="s">
        <v>117</v>
      </c>
      <c r="M211" s="60" t="s">
        <v>41</v>
      </c>
      <c r="N211" s="28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</row>
    <row r="212" spans="1:30" ht="14.4">
      <c r="A212" s="28" t="s">
        <v>18</v>
      </c>
      <c r="B212" s="28" t="s">
        <v>19</v>
      </c>
      <c r="C212" s="28" t="s">
        <v>79</v>
      </c>
      <c r="D212" s="43" t="s">
        <v>80</v>
      </c>
      <c r="E212" s="57"/>
      <c r="F212" s="28" t="s">
        <v>1795</v>
      </c>
      <c r="G212" s="28" t="s">
        <v>1342</v>
      </c>
      <c r="H212" s="28" t="s">
        <v>1738</v>
      </c>
      <c r="I212" s="28" t="s">
        <v>1739</v>
      </c>
      <c r="J212" s="28" t="s">
        <v>1740</v>
      </c>
      <c r="K212" s="28" t="s">
        <v>1738</v>
      </c>
      <c r="L212" s="28" t="s">
        <v>117</v>
      </c>
      <c r="M212" s="60" t="s">
        <v>41</v>
      </c>
      <c r="N212" s="28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</row>
    <row r="213" spans="1:30" ht="14.4">
      <c r="A213" s="28" t="s">
        <v>18</v>
      </c>
      <c r="B213" s="28" t="s">
        <v>19</v>
      </c>
      <c r="C213" s="28" t="s">
        <v>79</v>
      </c>
      <c r="D213" s="43" t="s">
        <v>80</v>
      </c>
      <c r="E213" s="57"/>
      <c r="F213" s="28" t="s">
        <v>1799</v>
      </c>
      <c r="G213" s="28" t="s">
        <v>1342</v>
      </c>
      <c r="H213" s="28" t="s">
        <v>1738</v>
      </c>
      <c r="I213" s="28" t="s">
        <v>1739</v>
      </c>
      <c r="J213" s="28" t="s">
        <v>1740</v>
      </c>
      <c r="K213" s="28" t="s">
        <v>1738</v>
      </c>
      <c r="L213" s="28" t="s">
        <v>117</v>
      </c>
      <c r="M213" s="60" t="s">
        <v>41</v>
      </c>
      <c r="N213" s="28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</row>
    <row r="214" spans="1:30" ht="14.4">
      <c r="A214" s="28" t="s">
        <v>18</v>
      </c>
      <c r="B214" s="28" t="s">
        <v>19</v>
      </c>
      <c r="C214" s="28" t="s">
        <v>275</v>
      </c>
      <c r="D214" s="29"/>
      <c r="E214" s="29"/>
      <c r="F214" s="79" t="s">
        <v>1802</v>
      </c>
      <c r="G214" s="28"/>
      <c r="H214" s="28" t="s">
        <v>1805</v>
      </c>
      <c r="I214" s="28" t="s">
        <v>434</v>
      </c>
      <c r="J214" s="28" t="s">
        <v>1806</v>
      </c>
      <c r="K214" s="28"/>
      <c r="L214" s="28" t="s">
        <v>1808</v>
      </c>
      <c r="M214" s="60" t="s">
        <v>41</v>
      </c>
      <c r="N214" s="28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</row>
    <row r="215" spans="1:30" ht="14.4">
      <c r="A215" s="28" t="s">
        <v>18</v>
      </c>
      <c r="B215" s="28" t="s">
        <v>19</v>
      </c>
      <c r="C215" s="28" t="s">
        <v>275</v>
      </c>
      <c r="D215" s="29"/>
      <c r="E215" s="29"/>
      <c r="F215" s="79" t="s">
        <v>1811</v>
      </c>
      <c r="G215" s="28"/>
      <c r="H215" s="28" t="s">
        <v>138</v>
      </c>
      <c r="I215" s="28" t="s">
        <v>66</v>
      </c>
      <c r="J215" s="28" t="s">
        <v>1812</v>
      </c>
      <c r="K215" s="28"/>
      <c r="L215" s="28" t="s">
        <v>140</v>
      </c>
      <c r="M215" s="60" t="s">
        <v>41</v>
      </c>
      <c r="N215" s="28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</row>
    <row r="216" spans="1:30" ht="14.4">
      <c r="A216" s="28" t="s">
        <v>18</v>
      </c>
      <c r="B216" s="28" t="s">
        <v>19</v>
      </c>
      <c r="C216" s="28" t="s">
        <v>275</v>
      </c>
      <c r="D216" s="29"/>
      <c r="E216" s="29"/>
      <c r="F216" s="79" t="s">
        <v>1815</v>
      </c>
      <c r="G216" s="28"/>
      <c r="H216" s="28" t="s">
        <v>1805</v>
      </c>
      <c r="I216" s="28" t="s">
        <v>434</v>
      </c>
      <c r="J216" s="28" t="s">
        <v>1806</v>
      </c>
      <c r="K216" s="28"/>
      <c r="L216" s="28" t="s">
        <v>1808</v>
      </c>
      <c r="M216" s="60" t="s">
        <v>41</v>
      </c>
      <c r="N216" s="28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</row>
    <row r="217" spans="1:30" ht="14.4">
      <c r="A217" s="133" t="s">
        <v>18</v>
      </c>
      <c r="B217" s="98" t="s">
        <v>19</v>
      </c>
      <c r="C217" s="98" t="s">
        <v>275</v>
      </c>
      <c r="D217" s="134"/>
      <c r="E217" s="134"/>
      <c r="F217" s="135" t="s">
        <v>1823</v>
      </c>
      <c r="G217" s="98"/>
      <c r="H217" s="98" t="s">
        <v>1825</v>
      </c>
      <c r="I217" s="98" t="s">
        <v>1827</v>
      </c>
      <c r="J217" s="98" t="s">
        <v>328</v>
      </c>
      <c r="K217" s="28"/>
      <c r="L217" s="98" t="s">
        <v>1828</v>
      </c>
      <c r="M217" s="60" t="s">
        <v>41</v>
      </c>
      <c r="N217" s="98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</row>
    <row r="218" spans="1:30" ht="14.4">
      <c r="A218" s="34" t="s">
        <v>18</v>
      </c>
      <c r="B218" s="136" t="s">
        <v>19</v>
      </c>
      <c r="C218" s="136" t="s">
        <v>287</v>
      </c>
      <c r="D218" s="137"/>
      <c r="E218" s="137"/>
      <c r="F218" s="136" t="s">
        <v>1833</v>
      </c>
      <c r="G218" s="136"/>
      <c r="H218" s="136" t="s">
        <v>65</v>
      </c>
      <c r="I218" s="136" t="s">
        <v>784</v>
      </c>
      <c r="J218" s="136"/>
      <c r="K218" s="28" t="s">
        <v>65</v>
      </c>
      <c r="L218" s="136" t="s">
        <v>117</v>
      </c>
      <c r="M218" s="60" t="s">
        <v>41</v>
      </c>
      <c r="N218" s="136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</row>
    <row r="219" spans="1:30" ht="14.4">
      <c r="A219" s="141" t="s">
        <v>18</v>
      </c>
      <c r="B219" s="141" t="s">
        <v>19</v>
      </c>
      <c r="C219" s="144" t="s">
        <v>296</v>
      </c>
      <c r="D219" s="145">
        <v>33508</v>
      </c>
      <c r="E219" s="147"/>
      <c r="F219" s="148" t="s">
        <v>1847</v>
      </c>
      <c r="G219" s="149"/>
      <c r="H219" s="141" t="s">
        <v>696</v>
      </c>
      <c r="I219" s="141" t="s">
        <v>1849</v>
      </c>
      <c r="J219" s="141" t="s">
        <v>1850</v>
      </c>
      <c r="K219" s="141" t="s">
        <v>1851</v>
      </c>
      <c r="L219" s="141" t="s">
        <v>696</v>
      </c>
      <c r="M219" s="150" t="s">
        <v>41</v>
      </c>
      <c r="N219" s="14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  <c r="AA219" s="151"/>
      <c r="AB219" s="151"/>
      <c r="AC219" s="151"/>
      <c r="AD219" s="151"/>
    </row>
    <row r="220" spans="1:30" ht="14.4">
      <c r="A220" s="141" t="s">
        <v>18</v>
      </c>
      <c r="B220" s="141" t="s">
        <v>19</v>
      </c>
      <c r="C220" s="144" t="s">
        <v>296</v>
      </c>
      <c r="D220" s="145">
        <v>33508</v>
      </c>
      <c r="E220" s="144"/>
      <c r="F220" s="152" t="s">
        <v>1855</v>
      </c>
      <c r="G220" s="141"/>
      <c r="H220" s="141" t="s">
        <v>1857</v>
      </c>
      <c r="I220" s="141"/>
      <c r="J220" s="141"/>
      <c r="K220" s="141"/>
      <c r="L220" s="141" t="s">
        <v>1857</v>
      </c>
      <c r="M220" s="150" t="s">
        <v>41</v>
      </c>
      <c r="N220" s="14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  <c r="AA220" s="151"/>
      <c r="AB220" s="151"/>
      <c r="AC220" s="151"/>
      <c r="AD220" s="151"/>
    </row>
    <row r="221" spans="1:30" ht="14.4">
      <c r="A221" s="141" t="s">
        <v>18</v>
      </c>
      <c r="B221" s="141" t="s">
        <v>19</v>
      </c>
      <c r="C221" s="144" t="s">
        <v>296</v>
      </c>
      <c r="D221" s="145">
        <v>33508</v>
      </c>
      <c r="E221" s="144"/>
      <c r="F221" s="141" t="s">
        <v>1862</v>
      </c>
      <c r="G221" s="141"/>
      <c r="H221" s="141" t="s">
        <v>286</v>
      </c>
      <c r="I221" s="141"/>
      <c r="J221" s="141"/>
      <c r="K221" s="141"/>
      <c r="L221" s="141" t="s">
        <v>286</v>
      </c>
      <c r="M221" s="150" t="s">
        <v>41</v>
      </c>
      <c r="N221" s="14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  <c r="AA221" s="151"/>
      <c r="AB221" s="151"/>
      <c r="AC221" s="151"/>
      <c r="AD221" s="151"/>
    </row>
    <row r="222" spans="1:30" ht="14.4">
      <c r="A222" s="141" t="s">
        <v>18</v>
      </c>
      <c r="B222" s="141" t="s">
        <v>19</v>
      </c>
      <c r="C222" s="144" t="s">
        <v>296</v>
      </c>
      <c r="D222" s="145">
        <v>33508</v>
      </c>
      <c r="E222" s="144"/>
      <c r="F222" s="141" t="s">
        <v>1865</v>
      </c>
      <c r="G222" s="141"/>
      <c r="H222" s="141" t="s">
        <v>980</v>
      </c>
      <c r="I222" s="141" t="s">
        <v>66</v>
      </c>
      <c r="J222" s="141"/>
      <c r="K222" s="141"/>
      <c r="L222" s="141" t="s">
        <v>980</v>
      </c>
      <c r="M222" s="150" t="s">
        <v>41</v>
      </c>
      <c r="N222" s="14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</row>
    <row r="223" spans="1:30" ht="14.4">
      <c r="A223" s="141" t="s">
        <v>18</v>
      </c>
      <c r="B223" s="141" t="s">
        <v>19</v>
      </c>
      <c r="C223" s="144" t="s">
        <v>296</v>
      </c>
      <c r="D223" s="145">
        <v>33508</v>
      </c>
      <c r="E223" s="144"/>
      <c r="F223" s="141" t="s">
        <v>1868</v>
      </c>
      <c r="G223" s="141"/>
      <c r="H223" s="141" t="s">
        <v>745</v>
      </c>
      <c r="I223" s="141"/>
      <c r="J223" s="141"/>
      <c r="K223" s="141"/>
      <c r="L223" s="141" t="s">
        <v>745</v>
      </c>
      <c r="M223" s="150" t="s">
        <v>41</v>
      </c>
      <c r="N223" s="14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</row>
    <row r="224" spans="1:30" ht="14.4">
      <c r="A224" s="141" t="s">
        <v>18</v>
      </c>
      <c r="B224" s="141" t="s">
        <v>19</v>
      </c>
      <c r="C224" s="144" t="s">
        <v>296</v>
      </c>
      <c r="D224" s="145">
        <v>33508</v>
      </c>
      <c r="E224" s="144"/>
      <c r="F224" s="141" t="s">
        <v>1873</v>
      </c>
      <c r="G224" s="141"/>
      <c r="H224" s="141" t="s">
        <v>629</v>
      </c>
      <c r="I224" s="141"/>
      <c r="J224" s="141"/>
      <c r="K224" s="141"/>
      <c r="L224" s="141" t="s">
        <v>629</v>
      </c>
      <c r="M224" s="150" t="s">
        <v>41</v>
      </c>
      <c r="N224" s="14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</row>
    <row r="225" spans="1:30" ht="14.4">
      <c r="A225" s="141" t="s">
        <v>18</v>
      </c>
      <c r="B225" s="141" t="s">
        <v>19</v>
      </c>
      <c r="C225" s="144" t="s">
        <v>296</v>
      </c>
      <c r="D225" s="145">
        <v>33508</v>
      </c>
      <c r="E225" s="144"/>
      <c r="F225" s="141" t="s">
        <v>1876</v>
      </c>
      <c r="G225" s="141"/>
      <c r="H225" s="141" t="s">
        <v>511</v>
      </c>
      <c r="I225" s="141"/>
      <c r="J225" s="141"/>
      <c r="K225" s="141"/>
      <c r="L225" s="141" t="s">
        <v>511</v>
      </c>
      <c r="M225" s="150" t="s">
        <v>41</v>
      </c>
      <c r="N225" s="14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</row>
    <row r="226" spans="1:30" ht="14.4">
      <c r="A226" s="141" t="s">
        <v>18</v>
      </c>
      <c r="B226" s="141" t="s">
        <v>19</v>
      </c>
      <c r="C226" s="144" t="s">
        <v>296</v>
      </c>
      <c r="D226" s="145">
        <v>33508</v>
      </c>
      <c r="E226" s="144"/>
      <c r="F226" s="141" t="s">
        <v>1878</v>
      </c>
      <c r="G226" s="141"/>
      <c r="H226" s="141" t="s">
        <v>511</v>
      </c>
      <c r="I226" s="141"/>
      <c r="J226" s="141"/>
      <c r="K226" s="141"/>
      <c r="L226" s="141" t="s">
        <v>511</v>
      </c>
      <c r="M226" s="150" t="s">
        <v>41</v>
      </c>
      <c r="N226" s="14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  <c r="AA226" s="151"/>
      <c r="AB226" s="151"/>
      <c r="AC226" s="151"/>
      <c r="AD226" s="151"/>
    </row>
    <row r="227" spans="1:30" ht="14.4">
      <c r="A227" s="141" t="s">
        <v>18</v>
      </c>
      <c r="B227" s="141" t="s">
        <v>19</v>
      </c>
      <c r="C227" s="144" t="s">
        <v>296</v>
      </c>
      <c r="D227" s="145">
        <v>33508</v>
      </c>
      <c r="E227" s="144"/>
      <c r="F227" s="152" t="s">
        <v>1882</v>
      </c>
      <c r="G227" s="141"/>
      <c r="H227" s="141" t="s">
        <v>1883</v>
      </c>
      <c r="I227" s="141"/>
      <c r="J227" s="141"/>
      <c r="K227" s="141"/>
      <c r="L227" s="141" t="s">
        <v>1883</v>
      </c>
      <c r="M227" s="150" t="s">
        <v>41</v>
      </c>
      <c r="N227" s="14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  <c r="AA227" s="151"/>
      <c r="AB227" s="151"/>
      <c r="AC227" s="151"/>
      <c r="AD227" s="151"/>
    </row>
    <row r="228" spans="1:30" ht="14.4">
      <c r="A228" s="141" t="s">
        <v>18</v>
      </c>
      <c r="B228" s="141" t="s">
        <v>19</v>
      </c>
      <c r="C228" s="144" t="s">
        <v>296</v>
      </c>
      <c r="D228" s="145">
        <v>33508</v>
      </c>
      <c r="E228" s="144"/>
      <c r="F228" s="152" t="s">
        <v>1887</v>
      </c>
      <c r="G228" s="141"/>
      <c r="H228" s="141" t="s">
        <v>1883</v>
      </c>
      <c r="I228" s="141"/>
      <c r="J228" s="141"/>
      <c r="K228" s="141"/>
      <c r="L228" s="141" t="s">
        <v>1883</v>
      </c>
      <c r="M228" s="150" t="s">
        <v>41</v>
      </c>
      <c r="N228" s="14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  <c r="AA228" s="151"/>
      <c r="AB228" s="151"/>
      <c r="AC228" s="151"/>
      <c r="AD228" s="151"/>
    </row>
    <row r="229" spans="1:30" ht="14.4">
      <c r="A229" s="141" t="s">
        <v>18</v>
      </c>
      <c r="B229" s="141" t="s">
        <v>19</v>
      </c>
      <c r="C229" s="144" t="s">
        <v>296</v>
      </c>
      <c r="D229" s="145">
        <v>33508</v>
      </c>
      <c r="E229" s="144"/>
      <c r="F229" s="152" t="s">
        <v>1891</v>
      </c>
      <c r="G229" s="141"/>
      <c r="H229" s="141" t="s">
        <v>1893</v>
      </c>
      <c r="I229" s="141"/>
      <c r="J229" s="141"/>
      <c r="K229" s="141"/>
      <c r="L229" s="141" t="s">
        <v>1893</v>
      </c>
      <c r="M229" s="150" t="s">
        <v>41</v>
      </c>
      <c r="N229" s="14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  <c r="AA229" s="151"/>
      <c r="AB229" s="151"/>
      <c r="AC229" s="151"/>
      <c r="AD229" s="151"/>
    </row>
    <row r="230" spans="1:30" ht="14.4">
      <c r="A230" s="141" t="s">
        <v>18</v>
      </c>
      <c r="B230" s="141" t="s">
        <v>19</v>
      </c>
      <c r="C230" s="144" t="s">
        <v>296</v>
      </c>
      <c r="D230" s="145">
        <v>33508</v>
      </c>
      <c r="E230" s="144"/>
      <c r="F230" s="152" t="s">
        <v>1895</v>
      </c>
      <c r="G230" s="141"/>
      <c r="H230" s="141" t="s">
        <v>140</v>
      </c>
      <c r="I230" s="141"/>
      <c r="J230" s="141"/>
      <c r="K230" s="141"/>
      <c r="L230" s="141" t="s">
        <v>140</v>
      </c>
      <c r="M230" s="150" t="s">
        <v>41</v>
      </c>
      <c r="N230" s="14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  <c r="AA230" s="151"/>
      <c r="AB230" s="151"/>
      <c r="AC230" s="151"/>
      <c r="AD230" s="151"/>
    </row>
    <row r="231" spans="1:30" ht="14.4">
      <c r="A231" s="141" t="s">
        <v>18</v>
      </c>
      <c r="B231" s="141" t="s">
        <v>19</v>
      </c>
      <c r="C231" s="144" t="s">
        <v>296</v>
      </c>
      <c r="D231" s="145">
        <v>33508</v>
      </c>
      <c r="E231" s="144"/>
      <c r="F231" s="152" t="s">
        <v>1898</v>
      </c>
      <c r="G231" s="141"/>
      <c r="H231" s="141"/>
      <c r="I231" s="141"/>
      <c r="J231" s="141"/>
      <c r="K231" s="141"/>
      <c r="L231" s="141" t="s">
        <v>117</v>
      </c>
      <c r="M231" s="150" t="s">
        <v>41</v>
      </c>
      <c r="N231" s="14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  <c r="AA231" s="151"/>
      <c r="AB231" s="151"/>
      <c r="AC231" s="151"/>
      <c r="AD231" s="151"/>
    </row>
    <row r="232" spans="1:30" ht="14.4">
      <c r="A232" s="28" t="s">
        <v>18</v>
      </c>
      <c r="B232" s="28" t="s">
        <v>19</v>
      </c>
      <c r="C232" s="107" t="s">
        <v>306</v>
      </c>
      <c r="D232" s="107" t="s">
        <v>341</v>
      </c>
      <c r="E232" s="107"/>
      <c r="F232" s="28" t="s">
        <v>1903</v>
      </c>
      <c r="G232" s="28"/>
      <c r="H232" s="28"/>
      <c r="I232" s="28"/>
      <c r="J232" s="28" t="s">
        <v>1905</v>
      </c>
      <c r="K232" s="28"/>
      <c r="L232" s="28" t="s">
        <v>40</v>
      </c>
      <c r="M232" s="60" t="s">
        <v>41</v>
      </c>
      <c r="N232" s="28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</row>
    <row r="233" spans="1:30" ht="14.4">
      <c r="A233" s="28" t="s">
        <v>18</v>
      </c>
      <c r="B233" s="28" t="s">
        <v>19</v>
      </c>
      <c r="C233" s="107" t="s">
        <v>306</v>
      </c>
      <c r="D233" s="107" t="s">
        <v>341</v>
      </c>
      <c r="E233" s="107"/>
      <c r="F233" s="28" t="s">
        <v>1910</v>
      </c>
      <c r="G233" s="28"/>
      <c r="H233" s="28"/>
      <c r="I233" s="28"/>
      <c r="J233" s="28" t="s">
        <v>1905</v>
      </c>
      <c r="K233" s="28"/>
      <c r="L233" s="28" t="s">
        <v>40</v>
      </c>
      <c r="M233" s="60" t="s">
        <v>41</v>
      </c>
      <c r="N233" s="28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</row>
    <row r="234" spans="1:30" ht="14.4">
      <c r="A234" s="28" t="s">
        <v>18</v>
      </c>
      <c r="B234" s="28" t="s">
        <v>19</v>
      </c>
      <c r="C234" s="107" t="s">
        <v>306</v>
      </c>
      <c r="D234" s="107" t="s">
        <v>341</v>
      </c>
      <c r="E234" s="107"/>
      <c r="F234" s="28" t="s">
        <v>1919</v>
      </c>
      <c r="G234" s="28"/>
      <c r="H234" s="28"/>
      <c r="I234" s="28"/>
      <c r="J234" s="28" t="s">
        <v>1905</v>
      </c>
      <c r="K234" s="28"/>
      <c r="L234" s="28" t="s">
        <v>40</v>
      </c>
      <c r="M234" s="60" t="s">
        <v>41</v>
      </c>
      <c r="N234" s="28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</row>
    <row r="235" spans="1:30" ht="14.4">
      <c r="A235" s="28" t="s">
        <v>18</v>
      </c>
      <c r="B235" s="28" t="s">
        <v>19</v>
      </c>
      <c r="C235" s="107" t="s">
        <v>306</v>
      </c>
      <c r="D235" s="107" t="s">
        <v>341</v>
      </c>
      <c r="E235" s="107"/>
      <c r="F235" s="28" t="s">
        <v>1926</v>
      </c>
      <c r="G235" s="28"/>
      <c r="H235" s="28"/>
      <c r="I235" s="28"/>
      <c r="J235" s="28" t="s">
        <v>1905</v>
      </c>
      <c r="K235" s="28"/>
      <c r="L235" s="28" t="s">
        <v>40</v>
      </c>
      <c r="M235" s="60" t="s">
        <v>41</v>
      </c>
      <c r="N235" s="28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</row>
    <row r="236" spans="1:30" ht="14.4">
      <c r="A236" s="28" t="s">
        <v>18</v>
      </c>
      <c r="B236" s="28" t="s">
        <v>19</v>
      </c>
      <c r="C236" s="107" t="s">
        <v>306</v>
      </c>
      <c r="D236" s="107" t="s">
        <v>341</v>
      </c>
      <c r="E236" s="107"/>
      <c r="F236" s="28" t="s">
        <v>1932</v>
      </c>
      <c r="G236" s="28"/>
      <c r="H236" s="28"/>
      <c r="I236" s="28"/>
      <c r="J236" s="28" t="s">
        <v>1905</v>
      </c>
      <c r="K236" s="28"/>
      <c r="L236" s="28" t="s">
        <v>40</v>
      </c>
      <c r="M236" s="60" t="s">
        <v>41</v>
      </c>
      <c r="N236" s="28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</row>
    <row r="237" spans="1:30" ht="14.4">
      <c r="A237" s="28" t="s">
        <v>18</v>
      </c>
      <c r="B237" s="28" t="s">
        <v>19</v>
      </c>
      <c r="C237" s="107" t="s">
        <v>306</v>
      </c>
      <c r="D237" s="107" t="s">
        <v>341</v>
      </c>
      <c r="E237" s="107"/>
      <c r="F237" s="28" t="s">
        <v>1938</v>
      </c>
      <c r="G237" s="28"/>
      <c r="H237" s="28"/>
      <c r="I237" s="28"/>
      <c r="J237" s="28" t="s">
        <v>1939</v>
      </c>
      <c r="K237" s="28"/>
      <c r="L237" s="28" t="s">
        <v>1940</v>
      </c>
      <c r="M237" s="60" t="s">
        <v>41</v>
      </c>
      <c r="N237" s="28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</row>
    <row r="238" spans="1:30" ht="14.4">
      <c r="A238" s="28" t="s">
        <v>18</v>
      </c>
      <c r="B238" s="28" t="s">
        <v>19</v>
      </c>
      <c r="C238" s="107" t="s">
        <v>306</v>
      </c>
      <c r="D238" s="107" t="s">
        <v>341</v>
      </c>
      <c r="E238" s="107"/>
      <c r="F238" s="28" t="s">
        <v>1941</v>
      </c>
      <c r="G238" s="28"/>
      <c r="H238" s="28"/>
      <c r="I238" s="28"/>
      <c r="J238" s="28" t="s">
        <v>1939</v>
      </c>
      <c r="K238" s="28"/>
      <c r="L238" s="28" t="s">
        <v>1940</v>
      </c>
      <c r="M238" s="60" t="s">
        <v>41</v>
      </c>
      <c r="N238" s="28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</row>
    <row r="239" spans="1:30" ht="14.4">
      <c r="A239" s="28" t="s">
        <v>18</v>
      </c>
      <c r="B239" s="28" t="s">
        <v>19</v>
      </c>
      <c r="C239" s="107" t="s">
        <v>306</v>
      </c>
      <c r="D239" s="107" t="s">
        <v>341</v>
      </c>
      <c r="E239" s="107"/>
      <c r="F239" s="28" t="s">
        <v>1946</v>
      </c>
      <c r="G239" s="28"/>
      <c r="H239" s="28"/>
      <c r="I239" s="28"/>
      <c r="J239" s="28" t="s">
        <v>1939</v>
      </c>
      <c r="K239" s="28"/>
      <c r="L239" s="28" t="s">
        <v>1940</v>
      </c>
      <c r="M239" s="60" t="s">
        <v>41</v>
      </c>
      <c r="N239" s="28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</row>
    <row r="240" spans="1:30" ht="14.4">
      <c r="A240" s="28" t="s">
        <v>18</v>
      </c>
      <c r="B240" s="28" t="s">
        <v>19</v>
      </c>
      <c r="C240" s="107" t="s">
        <v>306</v>
      </c>
      <c r="D240" s="107" t="s">
        <v>341</v>
      </c>
      <c r="E240" s="107"/>
      <c r="F240" s="28" t="s">
        <v>1951</v>
      </c>
      <c r="G240" s="28"/>
      <c r="H240" s="28"/>
      <c r="I240" s="28"/>
      <c r="J240" s="28" t="s">
        <v>1939</v>
      </c>
      <c r="K240" s="28"/>
      <c r="L240" s="28" t="s">
        <v>1940</v>
      </c>
      <c r="M240" s="60" t="s">
        <v>41</v>
      </c>
      <c r="N240" s="28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</row>
    <row r="241" spans="1:30" ht="14.4">
      <c r="A241" s="28" t="s">
        <v>18</v>
      </c>
      <c r="B241" s="28" t="s">
        <v>19</v>
      </c>
      <c r="C241" s="107" t="s">
        <v>306</v>
      </c>
      <c r="D241" s="107" t="s">
        <v>341</v>
      </c>
      <c r="E241" s="107"/>
      <c r="F241" s="28" t="s">
        <v>1952</v>
      </c>
      <c r="G241" s="28"/>
      <c r="H241" s="28"/>
      <c r="I241" s="28"/>
      <c r="J241" s="28" t="s">
        <v>1939</v>
      </c>
      <c r="K241" s="28"/>
      <c r="L241" s="28" t="s">
        <v>1940</v>
      </c>
      <c r="M241" s="60" t="s">
        <v>41</v>
      </c>
      <c r="N241" s="28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</row>
    <row r="242" spans="1:30" ht="14.4">
      <c r="A242" s="28" t="s">
        <v>18</v>
      </c>
      <c r="B242" s="28" t="s">
        <v>19</v>
      </c>
      <c r="C242" s="107" t="s">
        <v>306</v>
      </c>
      <c r="D242" s="107" t="s">
        <v>341</v>
      </c>
      <c r="E242" s="107"/>
      <c r="F242" s="28" t="s">
        <v>1953</v>
      </c>
      <c r="G242" s="28"/>
      <c r="H242" s="28"/>
      <c r="I242" s="28"/>
      <c r="J242" s="28" t="s">
        <v>1939</v>
      </c>
      <c r="K242" s="28"/>
      <c r="L242" s="28" t="s">
        <v>1940</v>
      </c>
      <c r="M242" s="60" t="s">
        <v>41</v>
      </c>
      <c r="N242" s="28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</row>
    <row r="243" spans="1:30" ht="14.4">
      <c r="A243" s="28" t="s">
        <v>18</v>
      </c>
      <c r="B243" s="28" t="s">
        <v>19</v>
      </c>
      <c r="C243" s="107" t="s">
        <v>306</v>
      </c>
      <c r="D243" s="107" t="s">
        <v>341</v>
      </c>
      <c r="E243" s="107"/>
      <c r="F243" s="28" t="s">
        <v>1956</v>
      </c>
      <c r="G243" s="28"/>
      <c r="H243" s="28"/>
      <c r="I243" s="28"/>
      <c r="J243" s="28" t="s">
        <v>1939</v>
      </c>
      <c r="K243" s="28"/>
      <c r="L243" s="28" t="s">
        <v>1940</v>
      </c>
      <c r="M243" s="60" t="s">
        <v>41</v>
      </c>
      <c r="N243" s="28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</row>
    <row r="244" spans="1:30" ht="14.4">
      <c r="A244" s="28" t="s">
        <v>18</v>
      </c>
      <c r="B244" s="28" t="s">
        <v>19</v>
      </c>
      <c r="C244" s="107" t="s">
        <v>306</v>
      </c>
      <c r="D244" s="107" t="s">
        <v>341</v>
      </c>
      <c r="E244" s="107"/>
      <c r="F244" s="28" t="s">
        <v>1957</v>
      </c>
      <c r="G244" s="28"/>
      <c r="H244" s="28"/>
      <c r="I244" s="28"/>
      <c r="J244" s="28" t="s">
        <v>1939</v>
      </c>
      <c r="K244" s="28"/>
      <c r="L244" s="28" t="s">
        <v>1940</v>
      </c>
      <c r="M244" s="60" t="s">
        <v>41</v>
      </c>
      <c r="N244" s="28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</row>
    <row r="245" spans="1:30" ht="14.4">
      <c r="A245" s="28" t="s">
        <v>18</v>
      </c>
      <c r="B245" s="28" t="s">
        <v>19</v>
      </c>
      <c r="C245" s="107" t="s">
        <v>306</v>
      </c>
      <c r="D245" s="107" t="s">
        <v>341</v>
      </c>
      <c r="E245" s="107"/>
      <c r="F245" s="28" t="s">
        <v>1960</v>
      </c>
      <c r="G245" s="28"/>
      <c r="H245" s="28"/>
      <c r="I245" s="28"/>
      <c r="J245" s="28" t="s">
        <v>1939</v>
      </c>
      <c r="K245" s="28"/>
      <c r="L245" s="28" t="s">
        <v>1940</v>
      </c>
      <c r="M245" s="60" t="s">
        <v>41</v>
      </c>
      <c r="N245" s="28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</row>
    <row r="246" spans="1:30" ht="14.4">
      <c r="A246" s="28" t="s">
        <v>18</v>
      </c>
      <c r="B246" s="28" t="s">
        <v>19</v>
      </c>
      <c r="C246" s="107" t="s">
        <v>306</v>
      </c>
      <c r="D246" s="107" t="s">
        <v>341</v>
      </c>
      <c r="E246" s="107"/>
      <c r="F246" s="28" t="s">
        <v>1966</v>
      </c>
      <c r="G246" s="28"/>
      <c r="H246" s="28"/>
      <c r="I246" s="28"/>
      <c r="J246" s="28" t="s">
        <v>1939</v>
      </c>
      <c r="K246" s="28"/>
      <c r="L246" s="28" t="s">
        <v>1940</v>
      </c>
      <c r="M246" s="60" t="s">
        <v>41</v>
      </c>
      <c r="N246" s="28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</row>
    <row r="247" spans="1:30" ht="14.4">
      <c r="A247" s="28" t="s">
        <v>18</v>
      </c>
      <c r="B247" s="28" t="s">
        <v>19</v>
      </c>
      <c r="C247" s="107" t="s">
        <v>306</v>
      </c>
      <c r="D247" s="107" t="s">
        <v>341</v>
      </c>
      <c r="E247" s="107"/>
      <c r="F247" s="28" t="s">
        <v>1972</v>
      </c>
      <c r="G247" s="28"/>
      <c r="H247" s="28" t="s">
        <v>1973</v>
      </c>
      <c r="I247" s="28" t="s">
        <v>211</v>
      </c>
      <c r="J247" s="28" t="s">
        <v>1974</v>
      </c>
      <c r="K247" s="28"/>
      <c r="L247" s="28" t="s">
        <v>1975</v>
      </c>
      <c r="M247" s="60" t="s">
        <v>41</v>
      </c>
      <c r="N247" s="28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</row>
    <row r="248" spans="1:30" ht="14.4">
      <c r="A248" s="28" t="s">
        <v>18</v>
      </c>
      <c r="B248" s="28" t="s">
        <v>19</v>
      </c>
      <c r="C248" s="107" t="s">
        <v>306</v>
      </c>
      <c r="D248" s="107" t="s">
        <v>341</v>
      </c>
      <c r="E248" s="107"/>
      <c r="F248" s="28" t="s">
        <v>1976</v>
      </c>
      <c r="G248" s="28"/>
      <c r="H248" s="28" t="s">
        <v>1973</v>
      </c>
      <c r="I248" s="28" t="s">
        <v>211</v>
      </c>
      <c r="J248" s="28" t="s">
        <v>1974</v>
      </c>
      <c r="K248" s="28"/>
      <c r="L248" s="28" t="s">
        <v>1975</v>
      </c>
      <c r="M248" s="60" t="s">
        <v>41</v>
      </c>
      <c r="N248" s="28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</row>
    <row r="249" spans="1:30" ht="14.4">
      <c r="A249" s="28" t="s">
        <v>18</v>
      </c>
      <c r="B249" s="28" t="s">
        <v>19</v>
      </c>
      <c r="C249" s="107" t="s">
        <v>306</v>
      </c>
      <c r="D249" s="107" t="s">
        <v>341</v>
      </c>
      <c r="E249" s="107"/>
      <c r="F249" s="28" t="s">
        <v>1977</v>
      </c>
      <c r="G249" s="28"/>
      <c r="H249" s="28" t="s">
        <v>1973</v>
      </c>
      <c r="I249" s="28" t="s">
        <v>211</v>
      </c>
      <c r="J249" s="28" t="s">
        <v>1974</v>
      </c>
      <c r="K249" s="28"/>
      <c r="L249" s="28" t="s">
        <v>1975</v>
      </c>
      <c r="M249" s="60" t="s">
        <v>41</v>
      </c>
      <c r="N249" s="28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</row>
    <row r="250" spans="1:30" ht="14.4">
      <c r="A250" s="28" t="s">
        <v>18</v>
      </c>
      <c r="B250" s="28" t="s">
        <v>19</v>
      </c>
      <c r="C250" s="107" t="s">
        <v>306</v>
      </c>
      <c r="D250" s="107" t="s">
        <v>341</v>
      </c>
      <c r="E250" s="107"/>
      <c r="F250" s="28" t="s">
        <v>1978</v>
      </c>
      <c r="G250" s="28"/>
      <c r="H250" s="28" t="s">
        <v>1973</v>
      </c>
      <c r="I250" s="28" t="s">
        <v>211</v>
      </c>
      <c r="J250" s="28" t="s">
        <v>1974</v>
      </c>
      <c r="K250" s="28"/>
      <c r="L250" s="28" t="s">
        <v>1975</v>
      </c>
      <c r="M250" s="60" t="s">
        <v>41</v>
      </c>
      <c r="N250" s="28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</row>
    <row r="251" spans="1:30" ht="14.4">
      <c r="A251" s="28" t="s">
        <v>18</v>
      </c>
      <c r="B251" s="28" t="s">
        <v>19</v>
      </c>
      <c r="C251" s="107" t="s">
        <v>306</v>
      </c>
      <c r="D251" s="107" t="s">
        <v>341</v>
      </c>
      <c r="E251" s="107"/>
      <c r="F251" s="28" t="s">
        <v>1979</v>
      </c>
      <c r="G251" s="28"/>
      <c r="H251" s="28" t="s">
        <v>1973</v>
      </c>
      <c r="I251" s="28" t="s">
        <v>211</v>
      </c>
      <c r="J251" s="28" t="s">
        <v>1974</v>
      </c>
      <c r="K251" s="28"/>
      <c r="L251" s="28" t="s">
        <v>1975</v>
      </c>
      <c r="M251" s="60" t="s">
        <v>41</v>
      </c>
      <c r="N251" s="28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</row>
    <row r="252" spans="1:30" ht="14.4">
      <c r="A252" s="28" t="s">
        <v>18</v>
      </c>
      <c r="B252" s="28" t="s">
        <v>19</v>
      </c>
      <c r="C252" s="107" t="s">
        <v>306</v>
      </c>
      <c r="D252" s="107" t="s">
        <v>341</v>
      </c>
      <c r="E252" s="107"/>
      <c r="F252" s="28" t="s">
        <v>1980</v>
      </c>
      <c r="G252" s="28"/>
      <c r="H252" s="28" t="s">
        <v>1973</v>
      </c>
      <c r="I252" s="28" t="s">
        <v>211</v>
      </c>
      <c r="J252" s="28" t="s">
        <v>1974</v>
      </c>
      <c r="K252" s="28"/>
      <c r="L252" s="28" t="s">
        <v>1975</v>
      </c>
      <c r="M252" s="60" t="s">
        <v>41</v>
      </c>
      <c r="N252" s="28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</row>
    <row r="253" spans="1:30" ht="14.4">
      <c r="A253" s="28" t="s">
        <v>18</v>
      </c>
      <c r="B253" s="28" t="s">
        <v>19</v>
      </c>
      <c r="C253" s="107" t="s">
        <v>306</v>
      </c>
      <c r="D253" s="107" t="s">
        <v>341</v>
      </c>
      <c r="E253" s="107"/>
      <c r="F253" s="28" t="s">
        <v>1981</v>
      </c>
      <c r="G253" s="28"/>
      <c r="H253" s="28" t="s">
        <v>1973</v>
      </c>
      <c r="I253" s="28" t="s">
        <v>211</v>
      </c>
      <c r="J253" s="28" t="s">
        <v>1974</v>
      </c>
      <c r="K253" s="28"/>
      <c r="L253" s="28" t="s">
        <v>1975</v>
      </c>
      <c r="M253" s="60" t="s">
        <v>41</v>
      </c>
      <c r="N253" s="28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</row>
    <row r="254" spans="1:30" ht="14.4">
      <c r="A254" s="28" t="s">
        <v>18</v>
      </c>
      <c r="B254" s="28" t="s">
        <v>19</v>
      </c>
      <c r="C254" s="107" t="s">
        <v>306</v>
      </c>
      <c r="D254" s="107" t="s">
        <v>341</v>
      </c>
      <c r="E254" s="107"/>
      <c r="F254" s="28" t="s">
        <v>1982</v>
      </c>
      <c r="G254" s="28"/>
      <c r="H254" s="28" t="s">
        <v>1983</v>
      </c>
      <c r="I254" s="28" t="s">
        <v>211</v>
      </c>
      <c r="J254" s="28" t="s">
        <v>1984</v>
      </c>
      <c r="K254" s="28"/>
      <c r="L254" s="28" t="s">
        <v>596</v>
      </c>
      <c r="M254" s="60" t="s">
        <v>41</v>
      </c>
      <c r="N254" s="28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</row>
    <row r="255" spans="1:30" ht="14.4">
      <c r="A255" s="28" t="s">
        <v>18</v>
      </c>
      <c r="B255" s="28" t="s">
        <v>19</v>
      </c>
      <c r="C255" s="107" t="s">
        <v>306</v>
      </c>
      <c r="D255" s="107" t="s">
        <v>341</v>
      </c>
      <c r="E255" s="107"/>
      <c r="F255" s="28" t="s">
        <v>1985</v>
      </c>
      <c r="G255" s="28"/>
      <c r="H255" s="28" t="s">
        <v>1983</v>
      </c>
      <c r="I255" s="28" t="s">
        <v>211</v>
      </c>
      <c r="J255" s="28" t="s">
        <v>1984</v>
      </c>
      <c r="K255" s="28"/>
      <c r="L255" s="28" t="s">
        <v>596</v>
      </c>
      <c r="M255" s="60" t="s">
        <v>41</v>
      </c>
      <c r="N255" s="28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</row>
    <row r="256" spans="1:30" ht="14.4">
      <c r="A256" s="28" t="s">
        <v>18</v>
      </c>
      <c r="B256" s="28" t="s">
        <v>19</v>
      </c>
      <c r="C256" s="107" t="s">
        <v>306</v>
      </c>
      <c r="D256" s="107" t="s">
        <v>341</v>
      </c>
      <c r="E256" s="107"/>
      <c r="F256" s="28" t="s">
        <v>1986</v>
      </c>
      <c r="G256" s="28"/>
      <c r="H256" s="28" t="s">
        <v>1983</v>
      </c>
      <c r="I256" s="28" t="s">
        <v>211</v>
      </c>
      <c r="J256" s="28" t="s">
        <v>1984</v>
      </c>
      <c r="K256" s="28"/>
      <c r="L256" s="28" t="s">
        <v>596</v>
      </c>
      <c r="M256" s="60" t="s">
        <v>41</v>
      </c>
      <c r="N256" s="28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</row>
    <row r="257" spans="1:30" ht="14.4">
      <c r="A257" s="28" t="s">
        <v>18</v>
      </c>
      <c r="B257" s="28" t="s">
        <v>19</v>
      </c>
      <c r="C257" s="107" t="s">
        <v>306</v>
      </c>
      <c r="D257" s="107" t="s">
        <v>341</v>
      </c>
      <c r="E257" s="107"/>
      <c r="F257" s="28" t="s">
        <v>1987</v>
      </c>
      <c r="G257" s="28"/>
      <c r="H257" s="28" t="s">
        <v>695</v>
      </c>
      <c r="I257" s="28" t="s">
        <v>211</v>
      </c>
      <c r="J257" s="28" t="s">
        <v>1988</v>
      </c>
      <c r="K257" s="28"/>
      <c r="L257" s="28" t="s">
        <v>1989</v>
      </c>
      <c r="M257" s="60" t="s">
        <v>41</v>
      </c>
      <c r="N257" s="28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</row>
    <row r="258" spans="1:30" ht="14.4">
      <c r="A258" s="28" t="s">
        <v>18</v>
      </c>
      <c r="B258" s="28" t="s">
        <v>19</v>
      </c>
      <c r="C258" s="107" t="s">
        <v>306</v>
      </c>
      <c r="D258" s="107" t="s">
        <v>341</v>
      </c>
      <c r="E258" s="107"/>
      <c r="F258" s="28" t="s">
        <v>1990</v>
      </c>
      <c r="G258" s="28"/>
      <c r="H258" s="28" t="s">
        <v>695</v>
      </c>
      <c r="I258" s="28" t="s">
        <v>211</v>
      </c>
      <c r="J258" s="28" t="s">
        <v>1988</v>
      </c>
      <c r="K258" s="28"/>
      <c r="L258" s="28" t="s">
        <v>1989</v>
      </c>
      <c r="M258" s="60" t="s">
        <v>41</v>
      </c>
      <c r="N258" s="28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</row>
    <row r="259" spans="1:30" ht="14.4">
      <c r="A259" s="28" t="s">
        <v>18</v>
      </c>
      <c r="B259" s="28" t="s">
        <v>19</v>
      </c>
      <c r="C259" s="107" t="s">
        <v>306</v>
      </c>
      <c r="D259" s="107" t="s">
        <v>341</v>
      </c>
      <c r="E259" s="107"/>
      <c r="F259" s="79" t="s">
        <v>1991</v>
      </c>
      <c r="G259" s="28"/>
      <c r="H259" s="28" t="s">
        <v>695</v>
      </c>
      <c r="I259" s="28" t="s">
        <v>211</v>
      </c>
      <c r="J259" s="28" t="s">
        <v>1988</v>
      </c>
      <c r="K259" s="28"/>
      <c r="L259" s="28" t="s">
        <v>1989</v>
      </c>
      <c r="M259" s="60" t="s">
        <v>41</v>
      </c>
      <c r="N259" s="28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</row>
    <row r="260" spans="1:30" ht="14.4">
      <c r="A260" s="28" t="s">
        <v>18</v>
      </c>
      <c r="B260" s="28" t="s">
        <v>19</v>
      </c>
      <c r="C260" s="107" t="s">
        <v>306</v>
      </c>
      <c r="D260" s="107" t="s">
        <v>341</v>
      </c>
      <c r="E260" s="107"/>
      <c r="F260" s="79" t="s">
        <v>1992</v>
      </c>
      <c r="G260" s="28"/>
      <c r="H260" s="28"/>
      <c r="I260" s="28"/>
      <c r="J260" s="28" t="s">
        <v>1993</v>
      </c>
      <c r="K260" s="28"/>
      <c r="L260" s="28" t="s">
        <v>1091</v>
      </c>
      <c r="M260" s="60" t="s">
        <v>41</v>
      </c>
      <c r="N260" s="28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</row>
    <row r="261" spans="1:30" ht="14.4">
      <c r="A261" s="28" t="s">
        <v>18</v>
      </c>
      <c r="B261" s="28" t="s">
        <v>19</v>
      </c>
      <c r="C261" s="107" t="s">
        <v>306</v>
      </c>
      <c r="D261" s="107" t="s">
        <v>341</v>
      </c>
      <c r="E261" s="107"/>
      <c r="F261" s="79" t="s">
        <v>1994</v>
      </c>
      <c r="G261" s="28"/>
      <c r="H261" s="28"/>
      <c r="I261" s="28"/>
      <c r="J261" s="28" t="s">
        <v>1993</v>
      </c>
      <c r="K261" s="28"/>
      <c r="L261" s="28" t="s">
        <v>1091</v>
      </c>
      <c r="M261" s="60" t="s">
        <v>41</v>
      </c>
      <c r="N261" s="28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</row>
    <row r="262" spans="1:30" ht="14.4">
      <c r="A262" s="28" t="s">
        <v>18</v>
      </c>
      <c r="B262" s="28" t="s">
        <v>19</v>
      </c>
      <c r="C262" s="107" t="s">
        <v>306</v>
      </c>
      <c r="D262" s="107" t="s">
        <v>341</v>
      </c>
      <c r="E262" s="107"/>
      <c r="F262" s="79" t="s">
        <v>1995</v>
      </c>
      <c r="G262" s="28"/>
      <c r="H262" s="28"/>
      <c r="I262" s="28"/>
      <c r="J262" s="28" t="s">
        <v>1993</v>
      </c>
      <c r="K262" s="28"/>
      <c r="L262" s="28" t="s">
        <v>1091</v>
      </c>
      <c r="M262" s="60" t="s">
        <v>41</v>
      </c>
      <c r="N262" s="28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</row>
    <row r="263" spans="1:30" ht="14.4">
      <c r="A263" s="28" t="s">
        <v>18</v>
      </c>
      <c r="B263" s="28" t="s">
        <v>19</v>
      </c>
      <c r="C263" s="107" t="s">
        <v>306</v>
      </c>
      <c r="D263" s="107" t="s">
        <v>341</v>
      </c>
      <c r="E263" s="107"/>
      <c r="F263" s="79" t="s">
        <v>1996</v>
      </c>
      <c r="G263" s="28"/>
      <c r="H263" s="28"/>
      <c r="I263" s="28"/>
      <c r="J263" s="28" t="s">
        <v>1993</v>
      </c>
      <c r="K263" s="28"/>
      <c r="L263" s="28" t="s">
        <v>1091</v>
      </c>
      <c r="M263" s="60" t="s">
        <v>41</v>
      </c>
      <c r="N263" s="28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</row>
    <row r="264" spans="1:30" ht="14.4">
      <c r="A264" s="28" t="s">
        <v>18</v>
      </c>
      <c r="B264" s="28" t="s">
        <v>19</v>
      </c>
      <c r="C264" s="107" t="s">
        <v>306</v>
      </c>
      <c r="D264" s="107" t="s">
        <v>341</v>
      </c>
      <c r="E264" s="107"/>
      <c r="F264" s="79" t="s">
        <v>1997</v>
      </c>
      <c r="G264" s="28"/>
      <c r="H264" s="28"/>
      <c r="I264" s="28"/>
      <c r="J264" s="28" t="s">
        <v>1993</v>
      </c>
      <c r="K264" s="28"/>
      <c r="L264" s="28" t="s">
        <v>1091</v>
      </c>
      <c r="M264" s="60" t="s">
        <v>41</v>
      </c>
      <c r="N264" s="28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</row>
    <row r="265" spans="1:30" ht="14.4">
      <c r="A265" s="28" t="s">
        <v>18</v>
      </c>
      <c r="B265" s="28" t="s">
        <v>19</v>
      </c>
      <c r="C265" s="107" t="s">
        <v>306</v>
      </c>
      <c r="D265" s="107" t="s">
        <v>341</v>
      </c>
      <c r="E265" s="107"/>
      <c r="F265" s="79" t="s">
        <v>1998</v>
      </c>
      <c r="G265" s="28"/>
      <c r="H265" s="28"/>
      <c r="I265" s="28"/>
      <c r="J265" s="28" t="s">
        <v>1993</v>
      </c>
      <c r="K265" s="28"/>
      <c r="L265" s="28" t="s">
        <v>1091</v>
      </c>
      <c r="M265" s="60" t="s">
        <v>41</v>
      </c>
      <c r="N265" s="28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</row>
    <row r="266" spans="1:30" ht="14.4">
      <c r="A266" s="28" t="s">
        <v>18</v>
      </c>
      <c r="B266" s="28" t="s">
        <v>19</v>
      </c>
      <c r="C266" s="107" t="s">
        <v>306</v>
      </c>
      <c r="D266" s="107" t="s">
        <v>341</v>
      </c>
      <c r="E266" s="107"/>
      <c r="F266" s="79" t="s">
        <v>1999</v>
      </c>
      <c r="G266" s="28"/>
      <c r="H266" s="28"/>
      <c r="I266" s="28"/>
      <c r="J266" s="28" t="s">
        <v>1993</v>
      </c>
      <c r="K266" s="28"/>
      <c r="L266" s="28" t="s">
        <v>2000</v>
      </c>
      <c r="M266" s="60" t="s">
        <v>41</v>
      </c>
      <c r="N266" s="28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</row>
    <row r="267" spans="1:30" ht="14.4">
      <c r="A267" s="28" t="s">
        <v>18</v>
      </c>
      <c r="B267" s="28" t="s">
        <v>19</v>
      </c>
      <c r="C267" s="107" t="s">
        <v>306</v>
      </c>
      <c r="D267" s="107" t="s">
        <v>341</v>
      </c>
      <c r="E267" s="107"/>
      <c r="F267" s="79" t="s">
        <v>2001</v>
      </c>
      <c r="G267" s="28"/>
      <c r="H267" s="28"/>
      <c r="I267" s="28"/>
      <c r="J267" s="28" t="s">
        <v>1993</v>
      </c>
      <c r="K267" s="28"/>
      <c r="L267" s="28" t="s">
        <v>1091</v>
      </c>
      <c r="M267" s="60" t="s">
        <v>41</v>
      </c>
      <c r="N267" s="28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</row>
    <row r="268" spans="1:30" ht="14.4">
      <c r="A268" s="28" t="s">
        <v>18</v>
      </c>
      <c r="B268" s="28" t="s">
        <v>19</v>
      </c>
      <c r="C268" s="107" t="s">
        <v>306</v>
      </c>
      <c r="D268" s="107" t="s">
        <v>341</v>
      </c>
      <c r="E268" s="107"/>
      <c r="F268" s="79" t="s">
        <v>2002</v>
      </c>
      <c r="G268" s="28"/>
      <c r="H268" s="28"/>
      <c r="I268" s="28"/>
      <c r="J268" s="28" t="s">
        <v>1993</v>
      </c>
      <c r="K268" s="28"/>
      <c r="L268" s="28" t="s">
        <v>1091</v>
      </c>
      <c r="M268" s="60" t="s">
        <v>41</v>
      </c>
      <c r="N268" s="28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</row>
    <row r="269" spans="1:30" ht="14.4">
      <c r="A269" s="28" t="s">
        <v>18</v>
      </c>
      <c r="B269" s="28" t="s">
        <v>19</v>
      </c>
      <c r="C269" s="107" t="s">
        <v>306</v>
      </c>
      <c r="D269" s="107" t="s">
        <v>341</v>
      </c>
      <c r="E269" s="107"/>
      <c r="F269" s="79" t="s">
        <v>2003</v>
      </c>
      <c r="G269" s="28"/>
      <c r="H269" s="28"/>
      <c r="I269" s="28"/>
      <c r="J269" s="28" t="s">
        <v>1993</v>
      </c>
      <c r="K269" s="28"/>
      <c r="L269" s="28" t="s">
        <v>1091</v>
      </c>
      <c r="M269" s="60" t="s">
        <v>41</v>
      </c>
      <c r="N269" s="28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</row>
    <row r="270" spans="1:30" ht="14.4">
      <c r="A270" s="28" t="s">
        <v>18</v>
      </c>
      <c r="B270" s="28" t="s">
        <v>19</v>
      </c>
      <c r="C270" s="107" t="s">
        <v>306</v>
      </c>
      <c r="D270" s="107" t="s">
        <v>341</v>
      </c>
      <c r="E270" s="107"/>
      <c r="F270" s="28" t="s">
        <v>2004</v>
      </c>
      <c r="G270" s="28"/>
      <c r="H270" s="28" t="s">
        <v>2005</v>
      </c>
      <c r="I270" s="28" t="s">
        <v>66</v>
      </c>
      <c r="J270" s="28" t="s">
        <v>2006</v>
      </c>
      <c r="K270" s="28"/>
      <c r="L270" s="28" t="s">
        <v>2007</v>
      </c>
      <c r="M270" s="60" t="s">
        <v>41</v>
      </c>
      <c r="N270" s="28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</row>
    <row r="271" spans="1:30" ht="14.4">
      <c r="A271" s="28" t="s">
        <v>18</v>
      </c>
      <c r="B271" s="28" t="s">
        <v>19</v>
      </c>
      <c r="C271" s="107" t="s">
        <v>306</v>
      </c>
      <c r="D271" s="107" t="s">
        <v>341</v>
      </c>
      <c r="E271" s="107"/>
      <c r="F271" s="28" t="s">
        <v>2008</v>
      </c>
      <c r="G271" s="28"/>
      <c r="H271" s="28" t="s">
        <v>2005</v>
      </c>
      <c r="I271" s="28" t="s">
        <v>66</v>
      </c>
      <c r="J271" s="28" t="s">
        <v>2006</v>
      </c>
      <c r="K271" s="28"/>
      <c r="L271" s="28" t="s">
        <v>2007</v>
      </c>
      <c r="M271" s="60" t="s">
        <v>41</v>
      </c>
      <c r="N271" s="28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</row>
    <row r="272" spans="1:30" ht="14.4">
      <c r="A272" s="28" t="s">
        <v>18</v>
      </c>
      <c r="B272" s="28" t="s">
        <v>19</v>
      </c>
      <c r="C272" s="107" t="s">
        <v>306</v>
      </c>
      <c r="D272" s="107" t="s">
        <v>341</v>
      </c>
      <c r="E272" s="107"/>
      <c r="F272" s="28" t="s">
        <v>2009</v>
      </c>
      <c r="G272" s="28"/>
      <c r="H272" s="28" t="s">
        <v>2005</v>
      </c>
      <c r="I272" s="28" t="s">
        <v>66</v>
      </c>
      <c r="J272" s="28" t="s">
        <v>2006</v>
      </c>
      <c r="K272" s="28"/>
      <c r="L272" s="28" t="s">
        <v>2007</v>
      </c>
      <c r="M272" s="60" t="s">
        <v>41</v>
      </c>
      <c r="N272" s="28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</row>
    <row r="273" spans="1:30" ht="14.4">
      <c r="A273" s="28" t="s">
        <v>18</v>
      </c>
      <c r="B273" s="28" t="s">
        <v>19</v>
      </c>
      <c r="C273" s="107" t="s">
        <v>306</v>
      </c>
      <c r="D273" s="107" t="s">
        <v>341</v>
      </c>
      <c r="E273" s="107"/>
      <c r="F273" s="28" t="s">
        <v>2010</v>
      </c>
      <c r="G273" s="28"/>
      <c r="H273" s="28" t="s">
        <v>2005</v>
      </c>
      <c r="I273" s="28" t="s">
        <v>66</v>
      </c>
      <c r="J273" s="28" t="s">
        <v>2006</v>
      </c>
      <c r="K273" s="28"/>
      <c r="L273" s="28" t="s">
        <v>2007</v>
      </c>
      <c r="M273" s="60" t="s">
        <v>41</v>
      </c>
      <c r="N273" s="28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</row>
    <row r="274" spans="1:30" ht="14.4">
      <c r="A274" s="28" t="s">
        <v>18</v>
      </c>
      <c r="B274" s="28" t="s">
        <v>19</v>
      </c>
      <c r="C274" s="107" t="s">
        <v>306</v>
      </c>
      <c r="D274" s="107" t="s">
        <v>341</v>
      </c>
      <c r="E274" s="107"/>
      <c r="F274" s="28" t="s">
        <v>2011</v>
      </c>
      <c r="G274" s="28"/>
      <c r="H274" s="28" t="s">
        <v>2005</v>
      </c>
      <c r="I274" s="28" t="s">
        <v>66</v>
      </c>
      <c r="J274" s="28" t="s">
        <v>2006</v>
      </c>
      <c r="K274" s="28"/>
      <c r="L274" s="28" t="s">
        <v>2007</v>
      </c>
      <c r="M274" s="60" t="s">
        <v>41</v>
      </c>
      <c r="N274" s="28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</row>
    <row r="275" spans="1:30" ht="14.4">
      <c r="A275" s="28" t="s">
        <v>18</v>
      </c>
      <c r="B275" s="28" t="s">
        <v>19</v>
      </c>
      <c r="C275" s="107" t="s">
        <v>306</v>
      </c>
      <c r="D275" s="107" t="s">
        <v>341</v>
      </c>
      <c r="E275" s="107"/>
      <c r="F275" s="28" t="s">
        <v>2012</v>
      </c>
      <c r="G275" s="28"/>
      <c r="H275" s="28" t="s">
        <v>2013</v>
      </c>
      <c r="I275" s="28" t="s">
        <v>66</v>
      </c>
      <c r="J275" s="28" t="s">
        <v>2014</v>
      </c>
      <c r="K275" s="28"/>
      <c r="L275" s="28" t="s">
        <v>2015</v>
      </c>
      <c r="M275" s="60" t="s">
        <v>41</v>
      </c>
      <c r="N275" s="28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</row>
    <row r="276" spans="1:30" ht="14.4">
      <c r="A276" s="28" t="s">
        <v>18</v>
      </c>
      <c r="B276" s="28" t="s">
        <v>19</v>
      </c>
      <c r="C276" s="107" t="s">
        <v>306</v>
      </c>
      <c r="D276" s="107" t="s">
        <v>341</v>
      </c>
      <c r="E276" s="107"/>
      <c r="F276" s="28" t="s">
        <v>2016</v>
      </c>
      <c r="G276" s="28"/>
      <c r="H276" s="28" t="s">
        <v>2013</v>
      </c>
      <c r="I276" s="28" t="s">
        <v>66</v>
      </c>
      <c r="J276" s="28" t="s">
        <v>2014</v>
      </c>
      <c r="K276" s="28"/>
      <c r="L276" s="28" t="s">
        <v>2015</v>
      </c>
      <c r="M276" s="60" t="s">
        <v>41</v>
      </c>
      <c r="N276" s="28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</row>
    <row r="277" spans="1:30" ht="14.4">
      <c r="A277" s="28" t="s">
        <v>18</v>
      </c>
      <c r="B277" s="28" t="s">
        <v>19</v>
      </c>
      <c r="C277" s="107" t="s">
        <v>306</v>
      </c>
      <c r="D277" s="107" t="s">
        <v>341</v>
      </c>
      <c r="E277" s="107"/>
      <c r="F277" s="28" t="s">
        <v>2017</v>
      </c>
      <c r="G277" s="28"/>
      <c r="H277" s="28" t="s">
        <v>2013</v>
      </c>
      <c r="I277" s="28" t="s">
        <v>66</v>
      </c>
      <c r="J277" s="28" t="s">
        <v>2014</v>
      </c>
      <c r="K277" s="28"/>
      <c r="L277" s="28" t="s">
        <v>2015</v>
      </c>
      <c r="M277" s="60" t="s">
        <v>41</v>
      </c>
      <c r="N277" s="28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</row>
    <row r="278" spans="1:30" ht="14.4">
      <c r="A278" s="28" t="s">
        <v>18</v>
      </c>
      <c r="B278" s="28" t="s">
        <v>19</v>
      </c>
      <c r="C278" s="107" t="s">
        <v>306</v>
      </c>
      <c r="D278" s="107" t="s">
        <v>341</v>
      </c>
      <c r="E278" s="107"/>
      <c r="F278" s="28" t="s">
        <v>2018</v>
      </c>
      <c r="G278" s="28"/>
      <c r="H278" s="28" t="s">
        <v>2013</v>
      </c>
      <c r="I278" s="28" t="s">
        <v>66</v>
      </c>
      <c r="J278" s="28" t="s">
        <v>2014</v>
      </c>
      <c r="K278" s="28"/>
      <c r="L278" s="28" t="s">
        <v>2015</v>
      </c>
      <c r="M278" s="60" t="s">
        <v>41</v>
      </c>
      <c r="N278" s="28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</row>
    <row r="279" spans="1:30" ht="14.4">
      <c r="A279" s="28" t="s">
        <v>18</v>
      </c>
      <c r="B279" s="28" t="s">
        <v>19</v>
      </c>
      <c r="C279" s="107" t="s">
        <v>306</v>
      </c>
      <c r="D279" s="107" t="s">
        <v>341</v>
      </c>
      <c r="E279" s="107"/>
      <c r="F279" s="28" t="s">
        <v>2019</v>
      </c>
      <c r="G279" s="28"/>
      <c r="H279" s="28" t="s">
        <v>2013</v>
      </c>
      <c r="I279" s="28" t="s">
        <v>66</v>
      </c>
      <c r="J279" s="28" t="s">
        <v>2014</v>
      </c>
      <c r="K279" s="28"/>
      <c r="L279" s="28" t="s">
        <v>2015</v>
      </c>
      <c r="M279" s="60" t="s">
        <v>41</v>
      </c>
      <c r="N279" s="28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</row>
    <row r="280" spans="1:30" ht="14.4">
      <c r="A280" s="28" t="s">
        <v>18</v>
      </c>
      <c r="B280" s="28" t="s">
        <v>19</v>
      </c>
      <c r="C280" s="107" t="s">
        <v>306</v>
      </c>
      <c r="D280" s="107" t="s">
        <v>341</v>
      </c>
      <c r="E280" s="107"/>
      <c r="F280" s="28" t="s">
        <v>2020</v>
      </c>
      <c r="G280" s="28"/>
      <c r="H280" s="28" t="s">
        <v>2013</v>
      </c>
      <c r="I280" s="28" t="s">
        <v>66</v>
      </c>
      <c r="J280" s="28" t="s">
        <v>2014</v>
      </c>
      <c r="K280" s="28"/>
      <c r="L280" s="28" t="s">
        <v>2015</v>
      </c>
      <c r="M280" s="60" t="s">
        <v>41</v>
      </c>
      <c r="N280" s="28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</row>
    <row r="281" spans="1:30" ht="14.4">
      <c r="A281" s="28" t="s">
        <v>18</v>
      </c>
      <c r="B281" s="28" t="s">
        <v>19</v>
      </c>
      <c r="C281" s="107" t="s">
        <v>306</v>
      </c>
      <c r="D281" s="107" t="s">
        <v>341</v>
      </c>
      <c r="E281" s="107"/>
      <c r="F281" s="28" t="s">
        <v>2021</v>
      </c>
      <c r="G281" s="28"/>
      <c r="H281" s="28" t="s">
        <v>2013</v>
      </c>
      <c r="I281" s="28" t="s">
        <v>66</v>
      </c>
      <c r="J281" s="28" t="s">
        <v>2014</v>
      </c>
      <c r="K281" s="28"/>
      <c r="L281" s="28" t="s">
        <v>2015</v>
      </c>
      <c r="M281" s="60" t="s">
        <v>41</v>
      </c>
      <c r="N281" s="28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</row>
    <row r="282" spans="1:30" ht="14.4">
      <c r="A282" s="28" t="s">
        <v>18</v>
      </c>
      <c r="B282" s="28" t="s">
        <v>19</v>
      </c>
      <c r="C282" s="107" t="s">
        <v>306</v>
      </c>
      <c r="D282" s="107" t="s">
        <v>341</v>
      </c>
      <c r="E282" s="107"/>
      <c r="F282" s="28" t="s">
        <v>2022</v>
      </c>
      <c r="G282" s="28"/>
      <c r="H282" s="28" t="s">
        <v>2013</v>
      </c>
      <c r="I282" s="28" t="s">
        <v>66</v>
      </c>
      <c r="J282" s="28" t="s">
        <v>2014</v>
      </c>
      <c r="K282" s="28"/>
      <c r="L282" s="28" t="s">
        <v>2015</v>
      </c>
      <c r="M282" s="60" t="s">
        <v>41</v>
      </c>
      <c r="N282" s="28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</row>
    <row r="283" spans="1:30" ht="14.4">
      <c r="A283" s="28" t="s">
        <v>18</v>
      </c>
      <c r="B283" s="28" t="s">
        <v>19</v>
      </c>
      <c r="C283" s="107" t="s">
        <v>306</v>
      </c>
      <c r="D283" s="107" t="s">
        <v>341</v>
      </c>
      <c r="E283" s="107"/>
      <c r="F283" s="28" t="s">
        <v>2023</v>
      </c>
      <c r="G283" s="28"/>
      <c r="H283" s="28" t="s">
        <v>2013</v>
      </c>
      <c r="I283" s="28" t="s">
        <v>66</v>
      </c>
      <c r="J283" s="28" t="s">
        <v>2014</v>
      </c>
      <c r="K283" s="28"/>
      <c r="L283" s="28" t="s">
        <v>2015</v>
      </c>
      <c r="M283" s="60" t="s">
        <v>41</v>
      </c>
      <c r="N283" s="28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</row>
    <row r="284" spans="1:30" ht="14.4">
      <c r="A284" s="28" t="s">
        <v>18</v>
      </c>
      <c r="B284" s="28" t="s">
        <v>19</v>
      </c>
      <c r="C284" s="107" t="s">
        <v>306</v>
      </c>
      <c r="D284" s="107" t="s">
        <v>341</v>
      </c>
      <c r="E284" s="107"/>
      <c r="F284" s="28" t="s">
        <v>2024</v>
      </c>
      <c r="G284" s="28"/>
      <c r="H284" s="28" t="s">
        <v>2013</v>
      </c>
      <c r="I284" s="28" t="s">
        <v>66</v>
      </c>
      <c r="J284" s="28" t="s">
        <v>2014</v>
      </c>
      <c r="K284" s="28"/>
      <c r="L284" s="28" t="s">
        <v>2015</v>
      </c>
      <c r="M284" s="24" t="s">
        <v>41</v>
      </c>
      <c r="N284" s="28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</row>
    <row r="285" spans="1:30" ht="14.4">
      <c r="A285" s="28" t="s">
        <v>18</v>
      </c>
      <c r="B285" s="28" t="s">
        <v>19</v>
      </c>
      <c r="C285" s="107" t="s">
        <v>306</v>
      </c>
      <c r="D285" s="107" t="s">
        <v>341</v>
      </c>
      <c r="E285" s="107"/>
      <c r="F285" s="79" t="s">
        <v>2025</v>
      </c>
      <c r="G285" s="28"/>
      <c r="H285" s="28" t="s">
        <v>2026</v>
      </c>
      <c r="I285" s="28" t="s">
        <v>66</v>
      </c>
      <c r="J285" s="28" t="s">
        <v>2027</v>
      </c>
      <c r="K285" s="28"/>
      <c r="L285" s="28" t="s">
        <v>2028</v>
      </c>
      <c r="M285" s="60" t="s">
        <v>41</v>
      </c>
      <c r="N285" s="28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</row>
    <row r="286" spans="1:30" ht="14.4">
      <c r="A286" s="28" t="s">
        <v>18</v>
      </c>
      <c r="B286" s="28" t="s">
        <v>19</v>
      </c>
      <c r="C286" s="107" t="s">
        <v>306</v>
      </c>
      <c r="D286" s="107" t="s">
        <v>341</v>
      </c>
      <c r="E286" s="107"/>
      <c r="F286" s="79" t="s">
        <v>2029</v>
      </c>
      <c r="G286" s="28"/>
      <c r="H286" s="28" t="s">
        <v>2026</v>
      </c>
      <c r="I286" s="28" t="s">
        <v>66</v>
      </c>
      <c r="J286" s="28" t="s">
        <v>2027</v>
      </c>
      <c r="K286" s="28"/>
      <c r="L286" s="28" t="s">
        <v>2028</v>
      </c>
      <c r="M286" s="60" t="s">
        <v>41</v>
      </c>
      <c r="N286" s="28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</row>
    <row r="287" spans="1:30" ht="14.4">
      <c r="A287" s="28" t="s">
        <v>18</v>
      </c>
      <c r="B287" s="28" t="s">
        <v>19</v>
      </c>
      <c r="C287" s="107" t="s">
        <v>306</v>
      </c>
      <c r="D287" s="107" t="s">
        <v>341</v>
      </c>
      <c r="E287" s="107"/>
      <c r="F287" s="79" t="s">
        <v>2030</v>
      </c>
      <c r="G287" s="28"/>
      <c r="H287" s="28" t="s">
        <v>2026</v>
      </c>
      <c r="I287" s="28" t="s">
        <v>66</v>
      </c>
      <c r="J287" s="28" t="s">
        <v>2027</v>
      </c>
      <c r="K287" s="28"/>
      <c r="L287" s="28" t="s">
        <v>2028</v>
      </c>
      <c r="M287" s="60" t="s">
        <v>41</v>
      </c>
      <c r="N287" s="28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</row>
    <row r="288" spans="1:30" ht="14.4">
      <c r="A288" s="28" t="s">
        <v>18</v>
      </c>
      <c r="B288" s="28" t="s">
        <v>19</v>
      </c>
      <c r="C288" s="107" t="s">
        <v>306</v>
      </c>
      <c r="D288" s="107" t="s">
        <v>341</v>
      </c>
      <c r="E288" s="107"/>
      <c r="F288" s="79" t="s">
        <v>2031</v>
      </c>
      <c r="G288" s="28"/>
      <c r="H288" s="28" t="s">
        <v>2026</v>
      </c>
      <c r="I288" s="28" t="s">
        <v>66</v>
      </c>
      <c r="J288" s="28" t="s">
        <v>2027</v>
      </c>
      <c r="K288" s="28"/>
      <c r="L288" s="28" t="s">
        <v>2028</v>
      </c>
      <c r="M288" s="60" t="s">
        <v>41</v>
      </c>
      <c r="N288" s="28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</row>
    <row r="289" spans="1:30" ht="14.4">
      <c r="A289" s="28" t="s">
        <v>18</v>
      </c>
      <c r="B289" s="28" t="s">
        <v>19</v>
      </c>
      <c r="C289" s="107" t="s">
        <v>306</v>
      </c>
      <c r="D289" s="107" t="s">
        <v>341</v>
      </c>
      <c r="E289" s="107"/>
      <c r="F289" s="79" t="s">
        <v>2032</v>
      </c>
      <c r="G289" s="28"/>
      <c r="H289" s="28" t="s">
        <v>2026</v>
      </c>
      <c r="I289" s="28" t="s">
        <v>66</v>
      </c>
      <c r="J289" s="28" t="s">
        <v>2027</v>
      </c>
      <c r="K289" s="28"/>
      <c r="L289" s="28" t="s">
        <v>2028</v>
      </c>
      <c r="M289" s="60" t="s">
        <v>41</v>
      </c>
      <c r="N289" s="28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</row>
    <row r="290" spans="1:30" ht="14.4">
      <c r="A290" s="28" t="s">
        <v>18</v>
      </c>
      <c r="B290" s="28" t="s">
        <v>19</v>
      </c>
      <c r="C290" s="107" t="s">
        <v>306</v>
      </c>
      <c r="D290" s="107" t="s">
        <v>341</v>
      </c>
      <c r="E290" s="107"/>
      <c r="F290" s="79" t="s">
        <v>2033</v>
      </c>
      <c r="G290" s="28"/>
      <c r="H290" s="28" t="s">
        <v>2026</v>
      </c>
      <c r="I290" s="28" t="s">
        <v>66</v>
      </c>
      <c r="J290" s="28" t="s">
        <v>2027</v>
      </c>
      <c r="K290" s="28"/>
      <c r="L290" s="28" t="s">
        <v>2028</v>
      </c>
      <c r="M290" s="60" t="s">
        <v>41</v>
      </c>
      <c r="N290" s="28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</row>
    <row r="291" spans="1:30" ht="14.4">
      <c r="A291" s="28" t="s">
        <v>18</v>
      </c>
      <c r="B291" s="28" t="s">
        <v>19</v>
      </c>
      <c r="C291" s="107" t="s">
        <v>306</v>
      </c>
      <c r="D291" s="107" t="s">
        <v>341</v>
      </c>
      <c r="E291" s="107"/>
      <c r="F291" s="79" t="s">
        <v>2034</v>
      </c>
      <c r="G291" s="28"/>
      <c r="H291" s="28" t="s">
        <v>2026</v>
      </c>
      <c r="I291" s="28" t="s">
        <v>66</v>
      </c>
      <c r="J291" s="28" t="s">
        <v>2027</v>
      </c>
      <c r="K291" s="28"/>
      <c r="L291" s="28" t="s">
        <v>2028</v>
      </c>
      <c r="M291" s="60" t="s">
        <v>41</v>
      </c>
      <c r="N291" s="28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</row>
    <row r="292" spans="1:30" ht="14.4">
      <c r="A292" s="28" t="s">
        <v>18</v>
      </c>
      <c r="B292" s="28" t="s">
        <v>19</v>
      </c>
      <c r="C292" s="107" t="s">
        <v>306</v>
      </c>
      <c r="D292" s="107" t="s">
        <v>341</v>
      </c>
      <c r="E292" s="107"/>
      <c r="F292" s="79" t="s">
        <v>2035</v>
      </c>
      <c r="G292" s="28"/>
      <c r="H292" s="28" t="s">
        <v>2026</v>
      </c>
      <c r="I292" s="28" t="s">
        <v>66</v>
      </c>
      <c r="J292" s="28" t="s">
        <v>2027</v>
      </c>
      <c r="K292" s="28"/>
      <c r="L292" s="28" t="s">
        <v>2028</v>
      </c>
      <c r="M292" s="60" t="s">
        <v>41</v>
      </c>
      <c r="N292" s="28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</row>
    <row r="293" spans="1:30" ht="14.4">
      <c r="A293" s="28" t="s">
        <v>18</v>
      </c>
      <c r="B293" s="28" t="s">
        <v>19</v>
      </c>
      <c r="C293" s="107" t="s">
        <v>306</v>
      </c>
      <c r="D293" s="107" t="s">
        <v>341</v>
      </c>
      <c r="E293" s="107"/>
      <c r="F293" s="79" t="s">
        <v>2036</v>
      </c>
      <c r="G293" s="28"/>
      <c r="H293" s="28" t="s">
        <v>2026</v>
      </c>
      <c r="I293" s="28" t="s">
        <v>66</v>
      </c>
      <c r="J293" s="28" t="s">
        <v>2027</v>
      </c>
      <c r="K293" s="28"/>
      <c r="L293" s="28" t="s">
        <v>2028</v>
      </c>
      <c r="M293" s="60" t="s">
        <v>41</v>
      </c>
      <c r="N293" s="28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</row>
    <row r="294" spans="1:30" ht="14.4">
      <c r="A294" s="28" t="s">
        <v>18</v>
      </c>
      <c r="B294" s="28" t="s">
        <v>19</v>
      </c>
      <c r="C294" s="107" t="s">
        <v>306</v>
      </c>
      <c r="D294" s="107" t="s">
        <v>341</v>
      </c>
      <c r="E294" s="107"/>
      <c r="F294" s="79" t="s">
        <v>2037</v>
      </c>
      <c r="G294" s="28"/>
      <c r="H294" s="28"/>
      <c r="I294" s="28"/>
      <c r="J294" s="28" t="s">
        <v>2027</v>
      </c>
      <c r="K294" s="28"/>
      <c r="L294" s="28" t="s">
        <v>2038</v>
      </c>
      <c r="M294" s="60" t="s">
        <v>41</v>
      </c>
      <c r="N294" s="28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</row>
    <row r="295" spans="1:30" ht="14.4">
      <c r="A295" s="28" t="s">
        <v>18</v>
      </c>
      <c r="B295" s="28" t="s">
        <v>19</v>
      </c>
      <c r="C295" s="107" t="s">
        <v>306</v>
      </c>
      <c r="D295" s="107" t="s">
        <v>341</v>
      </c>
      <c r="E295" s="107"/>
      <c r="F295" s="79" t="s">
        <v>2039</v>
      </c>
      <c r="G295" s="28"/>
      <c r="H295" s="28"/>
      <c r="I295" s="28"/>
      <c r="J295" s="28" t="s">
        <v>2040</v>
      </c>
      <c r="K295" s="28"/>
      <c r="L295" s="28" t="s">
        <v>2038</v>
      </c>
      <c r="M295" s="60" t="s">
        <v>41</v>
      </c>
      <c r="N295" s="28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</row>
    <row r="296" spans="1:30" ht="14.4">
      <c r="A296" s="28" t="s">
        <v>18</v>
      </c>
      <c r="B296" s="28" t="s">
        <v>19</v>
      </c>
      <c r="C296" s="107" t="s">
        <v>306</v>
      </c>
      <c r="D296" s="107" t="s">
        <v>341</v>
      </c>
      <c r="E296" s="107"/>
      <c r="F296" s="28" t="s">
        <v>2041</v>
      </c>
      <c r="G296" s="28"/>
      <c r="H296" s="28" t="s">
        <v>2042</v>
      </c>
      <c r="I296" s="28" t="s">
        <v>66</v>
      </c>
      <c r="J296" s="28" t="s">
        <v>2040</v>
      </c>
      <c r="K296" s="28"/>
      <c r="L296" s="28" t="s">
        <v>2043</v>
      </c>
      <c r="M296" s="60" t="s">
        <v>41</v>
      </c>
      <c r="N296" s="28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</row>
    <row r="297" spans="1:30" ht="14.4">
      <c r="A297" s="28" t="s">
        <v>18</v>
      </c>
      <c r="B297" s="28" t="s">
        <v>19</v>
      </c>
      <c r="C297" s="107" t="s">
        <v>306</v>
      </c>
      <c r="D297" s="107" t="s">
        <v>341</v>
      </c>
      <c r="E297" s="107"/>
      <c r="F297" s="79" t="s">
        <v>2044</v>
      </c>
      <c r="G297" s="28"/>
      <c r="H297" s="28" t="s">
        <v>2045</v>
      </c>
      <c r="I297" s="28" t="s">
        <v>66</v>
      </c>
      <c r="J297" s="28" t="s">
        <v>2046</v>
      </c>
      <c r="K297" s="28"/>
      <c r="L297" s="28" t="s">
        <v>2047</v>
      </c>
      <c r="M297" s="60" t="s">
        <v>41</v>
      </c>
      <c r="N297" s="28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</row>
    <row r="298" spans="1:30" ht="14.4">
      <c r="A298" s="28" t="s">
        <v>18</v>
      </c>
      <c r="B298" s="28" t="s">
        <v>19</v>
      </c>
      <c r="C298" s="107" t="s">
        <v>306</v>
      </c>
      <c r="D298" s="107" t="s">
        <v>341</v>
      </c>
      <c r="E298" s="107"/>
      <c r="F298" s="79" t="s">
        <v>2048</v>
      </c>
      <c r="G298" s="28"/>
      <c r="H298" s="28" t="s">
        <v>2045</v>
      </c>
      <c r="I298" s="28" t="s">
        <v>66</v>
      </c>
      <c r="J298" s="28" t="s">
        <v>2046</v>
      </c>
      <c r="K298" s="28"/>
      <c r="L298" s="28" t="s">
        <v>2047</v>
      </c>
      <c r="M298" s="60" t="s">
        <v>41</v>
      </c>
      <c r="N298" s="28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</row>
    <row r="299" spans="1:30" ht="14.4">
      <c r="A299" s="28" t="s">
        <v>18</v>
      </c>
      <c r="B299" s="28" t="s">
        <v>19</v>
      </c>
      <c r="C299" s="107" t="s">
        <v>306</v>
      </c>
      <c r="D299" s="107" t="s">
        <v>341</v>
      </c>
      <c r="E299" s="107"/>
      <c r="F299" s="79" t="s">
        <v>2049</v>
      </c>
      <c r="G299" s="28"/>
      <c r="H299" s="28" t="s">
        <v>2045</v>
      </c>
      <c r="I299" s="28" t="s">
        <v>66</v>
      </c>
      <c r="J299" s="28" t="s">
        <v>2046</v>
      </c>
      <c r="K299" s="28"/>
      <c r="L299" s="28" t="s">
        <v>2047</v>
      </c>
      <c r="M299" s="60" t="s">
        <v>41</v>
      </c>
      <c r="N299" s="28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</row>
    <row r="300" spans="1:30" ht="14.4">
      <c r="A300" s="28" t="s">
        <v>18</v>
      </c>
      <c r="B300" s="28" t="s">
        <v>19</v>
      </c>
      <c r="C300" s="107" t="s">
        <v>306</v>
      </c>
      <c r="D300" s="107" t="s">
        <v>341</v>
      </c>
      <c r="E300" s="107"/>
      <c r="F300" s="79" t="s">
        <v>2050</v>
      </c>
      <c r="G300" s="28"/>
      <c r="H300" s="28" t="s">
        <v>2045</v>
      </c>
      <c r="I300" s="28" t="s">
        <v>66</v>
      </c>
      <c r="J300" s="28" t="s">
        <v>2046</v>
      </c>
      <c r="K300" s="28"/>
      <c r="L300" s="28" t="s">
        <v>2047</v>
      </c>
      <c r="M300" s="60" t="s">
        <v>41</v>
      </c>
      <c r="N300" s="28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</row>
    <row r="301" spans="1:30" ht="14.4">
      <c r="A301" s="28" t="s">
        <v>18</v>
      </c>
      <c r="B301" s="28" t="s">
        <v>19</v>
      </c>
      <c r="C301" s="107" t="s">
        <v>306</v>
      </c>
      <c r="D301" s="107" t="s">
        <v>341</v>
      </c>
      <c r="E301" s="107"/>
      <c r="F301" s="79" t="s">
        <v>2051</v>
      </c>
      <c r="G301" s="28"/>
      <c r="H301" s="28" t="s">
        <v>2045</v>
      </c>
      <c r="I301" s="28" t="s">
        <v>66</v>
      </c>
      <c r="J301" s="28" t="s">
        <v>2046</v>
      </c>
      <c r="K301" s="28"/>
      <c r="L301" s="28" t="s">
        <v>2047</v>
      </c>
      <c r="M301" s="60" t="s">
        <v>41</v>
      </c>
      <c r="N301" s="28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</row>
    <row r="302" spans="1:30" ht="14.4">
      <c r="A302" s="28" t="s">
        <v>18</v>
      </c>
      <c r="B302" s="28" t="s">
        <v>19</v>
      </c>
      <c r="C302" s="107" t="s">
        <v>306</v>
      </c>
      <c r="D302" s="107" t="s">
        <v>341</v>
      </c>
      <c r="E302" s="107"/>
      <c r="F302" s="79" t="s">
        <v>2052</v>
      </c>
      <c r="G302" s="28"/>
      <c r="H302" s="28" t="s">
        <v>2045</v>
      </c>
      <c r="I302" s="28" t="s">
        <v>66</v>
      </c>
      <c r="J302" s="28" t="s">
        <v>2046</v>
      </c>
      <c r="K302" s="28"/>
      <c r="L302" s="28" t="s">
        <v>2047</v>
      </c>
      <c r="M302" s="60" t="s">
        <v>41</v>
      </c>
      <c r="N302" s="28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</row>
    <row r="303" spans="1:30" ht="14.4">
      <c r="A303" s="28" t="s">
        <v>18</v>
      </c>
      <c r="B303" s="28" t="s">
        <v>19</v>
      </c>
      <c r="C303" s="107" t="s">
        <v>306</v>
      </c>
      <c r="D303" s="107" t="s">
        <v>341</v>
      </c>
      <c r="E303" s="107"/>
      <c r="F303" s="79" t="s">
        <v>2053</v>
      </c>
      <c r="G303" s="28"/>
      <c r="H303" s="28" t="s">
        <v>2045</v>
      </c>
      <c r="I303" s="28" t="s">
        <v>66</v>
      </c>
      <c r="J303" s="28" t="s">
        <v>2046</v>
      </c>
      <c r="K303" s="28"/>
      <c r="L303" s="28" t="s">
        <v>2047</v>
      </c>
      <c r="M303" s="60" t="s">
        <v>41</v>
      </c>
      <c r="N303" s="28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</row>
    <row r="304" spans="1:30" ht="14.4">
      <c r="A304" s="28" t="s">
        <v>18</v>
      </c>
      <c r="B304" s="28" t="s">
        <v>19</v>
      </c>
      <c r="C304" s="107" t="s">
        <v>306</v>
      </c>
      <c r="D304" s="107" t="s">
        <v>341</v>
      </c>
      <c r="E304" s="107"/>
      <c r="F304" s="79" t="s">
        <v>2054</v>
      </c>
      <c r="G304" s="28"/>
      <c r="H304" s="28" t="s">
        <v>2045</v>
      </c>
      <c r="I304" s="28" t="s">
        <v>66</v>
      </c>
      <c r="J304" s="28" t="s">
        <v>2046</v>
      </c>
      <c r="K304" s="28"/>
      <c r="L304" s="28" t="s">
        <v>2047</v>
      </c>
      <c r="M304" s="60" t="s">
        <v>41</v>
      </c>
      <c r="N304" s="28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</row>
    <row r="305" spans="1:30" ht="14.4">
      <c r="A305" s="28" t="s">
        <v>18</v>
      </c>
      <c r="B305" s="28" t="s">
        <v>19</v>
      </c>
      <c r="C305" s="107" t="s">
        <v>306</v>
      </c>
      <c r="D305" s="107" t="s">
        <v>341</v>
      </c>
      <c r="E305" s="107"/>
      <c r="F305" s="79" t="s">
        <v>2055</v>
      </c>
      <c r="G305" s="28"/>
      <c r="H305" s="28" t="s">
        <v>2045</v>
      </c>
      <c r="I305" s="28" t="s">
        <v>66</v>
      </c>
      <c r="J305" s="28" t="s">
        <v>2046</v>
      </c>
      <c r="K305" s="28"/>
      <c r="L305" s="28" t="s">
        <v>2047</v>
      </c>
      <c r="M305" s="60" t="s">
        <v>41</v>
      </c>
      <c r="N305" s="28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</row>
    <row r="306" spans="1:30" ht="14.4">
      <c r="A306" s="28" t="s">
        <v>18</v>
      </c>
      <c r="B306" s="28" t="s">
        <v>19</v>
      </c>
      <c r="C306" s="107" t="s">
        <v>306</v>
      </c>
      <c r="D306" s="107" t="s">
        <v>341</v>
      </c>
      <c r="E306" s="107"/>
      <c r="F306" s="79" t="s">
        <v>2056</v>
      </c>
      <c r="G306" s="28"/>
      <c r="H306" s="28" t="s">
        <v>2045</v>
      </c>
      <c r="I306" s="28" t="s">
        <v>66</v>
      </c>
      <c r="J306" s="28" t="s">
        <v>2046</v>
      </c>
      <c r="K306" s="28"/>
      <c r="L306" s="28" t="s">
        <v>2047</v>
      </c>
      <c r="M306" s="60" t="s">
        <v>41</v>
      </c>
      <c r="N306" s="28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</row>
    <row r="307" spans="1:30" ht="14.4">
      <c r="A307" s="28" t="s">
        <v>18</v>
      </c>
      <c r="B307" s="28" t="s">
        <v>19</v>
      </c>
      <c r="C307" s="107" t="s">
        <v>306</v>
      </c>
      <c r="D307" s="107" t="s">
        <v>341</v>
      </c>
      <c r="E307" s="107"/>
      <c r="F307" s="28" t="s">
        <v>2057</v>
      </c>
      <c r="G307" s="28"/>
      <c r="H307" s="28"/>
      <c r="I307" s="28"/>
      <c r="J307" s="28" t="s">
        <v>2058</v>
      </c>
      <c r="K307" s="28"/>
      <c r="L307" s="28" t="s">
        <v>2059</v>
      </c>
      <c r="M307" s="60" t="s">
        <v>41</v>
      </c>
      <c r="N307" s="28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</row>
    <row r="308" spans="1:30" ht="14.4">
      <c r="A308" s="28" t="s">
        <v>18</v>
      </c>
      <c r="B308" s="28" t="s">
        <v>19</v>
      </c>
      <c r="C308" s="107" t="s">
        <v>306</v>
      </c>
      <c r="D308" s="107" t="s">
        <v>341</v>
      </c>
      <c r="E308" s="107"/>
      <c r="F308" s="79" t="s">
        <v>2060</v>
      </c>
      <c r="G308" s="28"/>
      <c r="H308" s="28"/>
      <c r="I308" s="28"/>
      <c r="J308" s="28" t="s">
        <v>2058</v>
      </c>
      <c r="K308" s="28"/>
      <c r="L308" s="28" t="s">
        <v>2000</v>
      </c>
      <c r="M308" s="60" t="s">
        <v>41</v>
      </c>
      <c r="N308" s="28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</row>
    <row r="309" spans="1:30" ht="14.4">
      <c r="A309" s="28" t="s">
        <v>18</v>
      </c>
      <c r="B309" s="28" t="s">
        <v>19</v>
      </c>
      <c r="C309" s="107" t="s">
        <v>306</v>
      </c>
      <c r="D309" s="107" t="s">
        <v>341</v>
      </c>
      <c r="E309" s="107"/>
      <c r="F309" s="28" t="s">
        <v>2061</v>
      </c>
      <c r="G309" s="28"/>
      <c r="H309" s="28" t="s">
        <v>2062</v>
      </c>
      <c r="I309" s="28" t="s">
        <v>66</v>
      </c>
      <c r="J309" s="28" t="s">
        <v>2063</v>
      </c>
      <c r="K309" s="28"/>
      <c r="L309" s="28" t="s">
        <v>2064</v>
      </c>
      <c r="M309" s="60" t="s">
        <v>41</v>
      </c>
      <c r="N309" s="28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</row>
    <row r="310" spans="1:30" ht="14.4">
      <c r="A310" s="28" t="s">
        <v>18</v>
      </c>
      <c r="B310" s="28" t="s">
        <v>19</v>
      </c>
      <c r="C310" s="107" t="s">
        <v>306</v>
      </c>
      <c r="D310" s="107" t="s">
        <v>341</v>
      </c>
      <c r="E310" s="107"/>
      <c r="F310" s="28" t="s">
        <v>2065</v>
      </c>
      <c r="G310" s="28"/>
      <c r="H310" s="28" t="s">
        <v>2062</v>
      </c>
      <c r="I310" s="28" t="s">
        <v>66</v>
      </c>
      <c r="J310" s="28" t="s">
        <v>2063</v>
      </c>
      <c r="K310" s="28"/>
      <c r="L310" s="28" t="s">
        <v>2064</v>
      </c>
      <c r="M310" s="60" t="s">
        <v>41</v>
      </c>
      <c r="N310" s="28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</row>
    <row r="311" spans="1:30" ht="14.4">
      <c r="A311" s="28" t="s">
        <v>18</v>
      </c>
      <c r="B311" s="28" t="s">
        <v>19</v>
      </c>
      <c r="C311" s="107" t="s">
        <v>306</v>
      </c>
      <c r="D311" s="107" t="s">
        <v>341</v>
      </c>
      <c r="E311" s="107"/>
      <c r="F311" s="28" t="s">
        <v>2066</v>
      </c>
      <c r="G311" s="28"/>
      <c r="H311" s="28" t="s">
        <v>2062</v>
      </c>
      <c r="I311" s="28" t="s">
        <v>66</v>
      </c>
      <c r="J311" s="28" t="s">
        <v>2063</v>
      </c>
      <c r="K311" s="28"/>
      <c r="L311" s="28" t="s">
        <v>2064</v>
      </c>
      <c r="M311" s="60" t="s">
        <v>41</v>
      </c>
      <c r="N311" s="28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</row>
    <row r="312" spans="1:30" ht="14.4">
      <c r="A312" s="28" t="s">
        <v>18</v>
      </c>
      <c r="B312" s="28" t="s">
        <v>19</v>
      </c>
      <c r="C312" s="107" t="s">
        <v>306</v>
      </c>
      <c r="D312" s="107" t="s">
        <v>341</v>
      </c>
      <c r="E312" s="107"/>
      <c r="F312" s="28" t="s">
        <v>2067</v>
      </c>
      <c r="G312" s="28"/>
      <c r="H312" s="28" t="s">
        <v>2062</v>
      </c>
      <c r="I312" s="28" t="s">
        <v>66</v>
      </c>
      <c r="J312" s="28" t="s">
        <v>2063</v>
      </c>
      <c r="K312" s="28"/>
      <c r="L312" s="28" t="s">
        <v>2064</v>
      </c>
      <c r="M312" s="60" t="s">
        <v>41</v>
      </c>
      <c r="N312" s="28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</row>
    <row r="313" spans="1:30" ht="14.4">
      <c r="A313" s="28" t="s">
        <v>18</v>
      </c>
      <c r="B313" s="28" t="s">
        <v>19</v>
      </c>
      <c r="C313" s="107" t="s">
        <v>306</v>
      </c>
      <c r="D313" s="107" t="s">
        <v>341</v>
      </c>
      <c r="E313" s="107"/>
      <c r="F313" s="28" t="s">
        <v>2068</v>
      </c>
      <c r="G313" s="28"/>
      <c r="H313" s="28" t="s">
        <v>2062</v>
      </c>
      <c r="I313" s="28" t="s">
        <v>66</v>
      </c>
      <c r="J313" s="28" t="s">
        <v>2063</v>
      </c>
      <c r="K313" s="28"/>
      <c r="L313" s="28" t="s">
        <v>2064</v>
      </c>
      <c r="M313" s="60" t="s">
        <v>41</v>
      </c>
      <c r="N313" s="28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</row>
    <row r="314" spans="1:30" ht="14.4">
      <c r="A314" s="28" t="s">
        <v>18</v>
      </c>
      <c r="B314" s="28" t="s">
        <v>19</v>
      </c>
      <c r="C314" s="107" t="s">
        <v>306</v>
      </c>
      <c r="D314" s="107" t="s">
        <v>341</v>
      </c>
      <c r="E314" s="107"/>
      <c r="F314" s="28" t="s">
        <v>2069</v>
      </c>
      <c r="G314" s="28"/>
      <c r="H314" s="28" t="s">
        <v>2062</v>
      </c>
      <c r="I314" s="28" t="s">
        <v>66</v>
      </c>
      <c r="J314" s="28" t="s">
        <v>2063</v>
      </c>
      <c r="K314" s="28"/>
      <c r="L314" s="28" t="s">
        <v>2064</v>
      </c>
      <c r="M314" s="60" t="s">
        <v>41</v>
      </c>
      <c r="N314" s="28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</row>
    <row r="315" spans="1:30" ht="14.4">
      <c r="A315" s="28" t="s">
        <v>18</v>
      </c>
      <c r="B315" s="28" t="s">
        <v>19</v>
      </c>
      <c r="C315" s="107" t="s">
        <v>306</v>
      </c>
      <c r="D315" s="107" t="s">
        <v>341</v>
      </c>
      <c r="E315" s="107"/>
      <c r="F315" s="28" t="s">
        <v>2070</v>
      </c>
      <c r="G315" s="28"/>
      <c r="H315" s="28" t="s">
        <v>2062</v>
      </c>
      <c r="I315" s="28" t="s">
        <v>66</v>
      </c>
      <c r="J315" s="28" t="s">
        <v>2063</v>
      </c>
      <c r="K315" s="28"/>
      <c r="L315" s="28" t="s">
        <v>2064</v>
      </c>
      <c r="M315" s="60" t="s">
        <v>41</v>
      </c>
      <c r="N315" s="28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</row>
    <row r="316" spans="1:30" ht="14.4">
      <c r="A316" s="28" t="s">
        <v>18</v>
      </c>
      <c r="B316" s="28" t="s">
        <v>19</v>
      </c>
      <c r="C316" s="107" t="s">
        <v>306</v>
      </c>
      <c r="D316" s="107" t="s">
        <v>341</v>
      </c>
      <c r="E316" s="107"/>
      <c r="F316" s="28" t="s">
        <v>2071</v>
      </c>
      <c r="G316" s="28"/>
      <c r="H316" s="28" t="s">
        <v>2072</v>
      </c>
      <c r="I316" s="28" t="s">
        <v>66</v>
      </c>
      <c r="J316" s="28" t="s">
        <v>2073</v>
      </c>
      <c r="K316" s="28"/>
      <c r="L316" s="28" t="s">
        <v>2064</v>
      </c>
      <c r="M316" s="60" t="s">
        <v>41</v>
      </c>
      <c r="N316" s="28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</row>
    <row r="317" spans="1:30" ht="14.4">
      <c r="A317" s="28" t="s">
        <v>18</v>
      </c>
      <c r="B317" s="28" t="s">
        <v>19</v>
      </c>
      <c r="C317" s="107" t="s">
        <v>306</v>
      </c>
      <c r="D317" s="107" t="s">
        <v>341</v>
      </c>
      <c r="E317" s="107"/>
      <c r="F317" s="28" t="s">
        <v>2074</v>
      </c>
      <c r="G317" s="28"/>
      <c r="H317" s="28" t="s">
        <v>2072</v>
      </c>
      <c r="I317" s="28" t="s">
        <v>66</v>
      </c>
      <c r="J317" s="28" t="s">
        <v>2073</v>
      </c>
      <c r="K317" s="28"/>
      <c r="L317" s="28" t="s">
        <v>2064</v>
      </c>
      <c r="M317" s="60" t="s">
        <v>41</v>
      </c>
      <c r="N317" s="28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</row>
    <row r="318" spans="1:30" ht="14.4">
      <c r="A318" s="28" t="s">
        <v>18</v>
      </c>
      <c r="B318" s="28" t="s">
        <v>19</v>
      </c>
      <c r="C318" s="107" t="s">
        <v>306</v>
      </c>
      <c r="D318" s="107" t="s">
        <v>341</v>
      </c>
      <c r="E318" s="107"/>
      <c r="F318" s="28" t="s">
        <v>2075</v>
      </c>
      <c r="G318" s="28"/>
      <c r="H318" s="28" t="s">
        <v>2076</v>
      </c>
      <c r="I318" s="28" t="s">
        <v>66</v>
      </c>
      <c r="J318" s="28" t="s">
        <v>2077</v>
      </c>
      <c r="K318" s="28"/>
      <c r="L318" s="28" t="s">
        <v>2064</v>
      </c>
      <c r="M318" s="60" t="s">
        <v>41</v>
      </c>
      <c r="N318" s="28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</row>
    <row r="319" spans="1:30" ht="14.4">
      <c r="A319" s="28" t="s">
        <v>18</v>
      </c>
      <c r="B319" s="28" t="s">
        <v>19</v>
      </c>
      <c r="C319" s="107" t="s">
        <v>306</v>
      </c>
      <c r="D319" s="107" t="s">
        <v>341</v>
      </c>
      <c r="E319" s="107"/>
      <c r="F319" s="28" t="s">
        <v>2078</v>
      </c>
      <c r="G319" s="28"/>
      <c r="H319" s="28" t="s">
        <v>2076</v>
      </c>
      <c r="I319" s="28" t="s">
        <v>66</v>
      </c>
      <c r="J319" s="28" t="s">
        <v>2077</v>
      </c>
      <c r="K319" s="28"/>
      <c r="L319" s="28" t="s">
        <v>2064</v>
      </c>
      <c r="M319" s="60" t="s">
        <v>41</v>
      </c>
      <c r="N319" s="28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</row>
    <row r="320" spans="1:30" ht="14.4">
      <c r="A320" s="28" t="s">
        <v>18</v>
      </c>
      <c r="B320" s="28" t="s">
        <v>19</v>
      </c>
      <c r="C320" s="107" t="s">
        <v>306</v>
      </c>
      <c r="D320" s="107" t="s">
        <v>341</v>
      </c>
      <c r="E320" s="107"/>
      <c r="F320" s="28" t="s">
        <v>2079</v>
      </c>
      <c r="G320" s="28"/>
      <c r="H320" s="28" t="s">
        <v>2076</v>
      </c>
      <c r="I320" s="28" t="s">
        <v>66</v>
      </c>
      <c r="J320" s="28" t="s">
        <v>2077</v>
      </c>
      <c r="K320" s="28"/>
      <c r="L320" s="28" t="s">
        <v>2064</v>
      </c>
      <c r="M320" s="60" t="s">
        <v>41</v>
      </c>
      <c r="N320" s="28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</row>
    <row r="321" spans="1:30" ht="14.4">
      <c r="A321" s="28" t="s">
        <v>18</v>
      </c>
      <c r="B321" s="28" t="s">
        <v>19</v>
      </c>
      <c r="C321" s="107" t="s">
        <v>306</v>
      </c>
      <c r="D321" s="107" t="s">
        <v>341</v>
      </c>
      <c r="E321" s="107"/>
      <c r="F321" s="28" t="s">
        <v>2080</v>
      </c>
      <c r="G321" s="28"/>
      <c r="H321" s="28" t="s">
        <v>2076</v>
      </c>
      <c r="I321" s="28" t="s">
        <v>66</v>
      </c>
      <c r="J321" s="28" t="s">
        <v>2077</v>
      </c>
      <c r="K321" s="28"/>
      <c r="L321" s="28" t="s">
        <v>2064</v>
      </c>
      <c r="M321" s="60" t="s">
        <v>41</v>
      </c>
      <c r="N321" s="28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</row>
    <row r="322" spans="1:30" ht="14.4">
      <c r="A322" s="28" t="s">
        <v>18</v>
      </c>
      <c r="B322" s="28" t="s">
        <v>19</v>
      </c>
      <c r="C322" s="107" t="s">
        <v>306</v>
      </c>
      <c r="D322" s="107" t="s">
        <v>341</v>
      </c>
      <c r="E322" s="107"/>
      <c r="F322" s="28" t="s">
        <v>2081</v>
      </c>
      <c r="G322" s="28"/>
      <c r="H322" s="28" t="s">
        <v>2076</v>
      </c>
      <c r="I322" s="28" t="s">
        <v>66</v>
      </c>
      <c r="J322" s="28" t="s">
        <v>2077</v>
      </c>
      <c r="K322" s="28"/>
      <c r="L322" s="28" t="s">
        <v>2064</v>
      </c>
      <c r="M322" s="60" t="s">
        <v>41</v>
      </c>
      <c r="N322" s="28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</row>
    <row r="323" spans="1:30" ht="14.4">
      <c r="A323" s="28" t="s">
        <v>18</v>
      </c>
      <c r="B323" s="28" t="s">
        <v>19</v>
      </c>
      <c r="C323" s="107" t="s">
        <v>306</v>
      </c>
      <c r="D323" s="107" t="s">
        <v>341</v>
      </c>
      <c r="E323" s="107"/>
      <c r="F323" s="28" t="s">
        <v>2082</v>
      </c>
      <c r="G323" s="28"/>
      <c r="H323" s="28"/>
      <c r="I323" s="28"/>
      <c r="J323" s="28" t="s">
        <v>2083</v>
      </c>
      <c r="K323" s="28"/>
      <c r="L323" s="28" t="s">
        <v>2084</v>
      </c>
      <c r="M323" s="60" t="s">
        <v>41</v>
      </c>
      <c r="N323" s="28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</row>
    <row r="324" spans="1:30" ht="14.4">
      <c r="A324" s="28" t="s">
        <v>18</v>
      </c>
      <c r="B324" s="28" t="s">
        <v>19</v>
      </c>
      <c r="C324" s="107" t="s">
        <v>306</v>
      </c>
      <c r="D324" s="107" t="s">
        <v>341</v>
      </c>
      <c r="E324" s="107"/>
      <c r="F324" s="28" t="s">
        <v>2085</v>
      </c>
      <c r="G324" s="28"/>
      <c r="H324" s="28"/>
      <c r="I324" s="28"/>
      <c r="J324" s="28" t="s">
        <v>2083</v>
      </c>
      <c r="K324" s="28"/>
      <c r="L324" s="28" t="s">
        <v>2084</v>
      </c>
      <c r="M324" s="60" t="s">
        <v>41</v>
      </c>
      <c r="N324" s="28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</row>
    <row r="325" spans="1:30" ht="14.4">
      <c r="A325" s="28" t="s">
        <v>18</v>
      </c>
      <c r="B325" s="28" t="s">
        <v>19</v>
      </c>
      <c r="C325" s="107" t="s">
        <v>306</v>
      </c>
      <c r="D325" s="107" t="s">
        <v>341</v>
      </c>
      <c r="E325" s="107"/>
      <c r="F325" s="28" t="s">
        <v>2086</v>
      </c>
      <c r="G325" s="28"/>
      <c r="H325" s="28"/>
      <c r="I325" s="28"/>
      <c r="J325" s="28" t="s">
        <v>2083</v>
      </c>
      <c r="K325" s="28"/>
      <c r="L325" s="28" t="s">
        <v>2084</v>
      </c>
      <c r="M325" s="60" t="s">
        <v>41</v>
      </c>
      <c r="N325" s="28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</row>
    <row r="326" spans="1:30" ht="14.4">
      <c r="A326" s="28" t="s">
        <v>18</v>
      </c>
      <c r="B326" s="28" t="s">
        <v>19</v>
      </c>
      <c r="C326" s="107" t="s">
        <v>306</v>
      </c>
      <c r="D326" s="107" t="s">
        <v>341</v>
      </c>
      <c r="E326" s="107"/>
      <c r="F326" s="28" t="s">
        <v>2087</v>
      </c>
      <c r="G326" s="28"/>
      <c r="H326" s="28"/>
      <c r="I326" s="28"/>
      <c r="J326" s="28" t="s">
        <v>2083</v>
      </c>
      <c r="K326" s="28"/>
      <c r="L326" s="28" t="s">
        <v>2084</v>
      </c>
      <c r="M326" s="60" t="s">
        <v>41</v>
      </c>
      <c r="N326" s="28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</row>
    <row r="327" spans="1:30" ht="14.4">
      <c r="A327" s="28" t="s">
        <v>18</v>
      </c>
      <c r="B327" s="28" t="s">
        <v>19</v>
      </c>
      <c r="C327" s="107" t="s">
        <v>306</v>
      </c>
      <c r="D327" s="107" t="s">
        <v>341</v>
      </c>
      <c r="E327" s="107"/>
      <c r="F327" s="28" t="s">
        <v>2088</v>
      </c>
      <c r="G327" s="28"/>
      <c r="H327" s="28"/>
      <c r="I327" s="28"/>
      <c r="J327" s="28" t="s">
        <v>2083</v>
      </c>
      <c r="K327" s="28"/>
      <c r="L327" s="28" t="s">
        <v>2084</v>
      </c>
      <c r="M327" s="60" t="s">
        <v>41</v>
      </c>
      <c r="N327" s="28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</row>
    <row r="328" spans="1:30" ht="14.4">
      <c r="A328" s="28" t="s">
        <v>18</v>
      </c>
      <c r="B328" s="28" t="s">
        <v>19</v>
      </c>
      <c r="C328" s="107" t="s">
        <v>306</v>
      </c>
      <c r="D328" s="107" t="s">
        <v>341</v>
      </c>
      <c r="E328" s="107"/>
      <c r="F328" s="28" t="s">
        <v>2089</v>
      </c>
      <c r="G328" s="28"/>
      <c r="H328" s="28"/>
      <c r="I328" s="28"/>
      <c r="J328" s="28" t="s">
        <v>2083</v>
      </c>
      <c r="K328" s="28"/>
      <c r="L328" s="28" t="s">
        <v>2084</v>
      </c>
      <c r="M328" s="60" t="s">
        <v>41</v>
      </c>
      <c r="N328" s="28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</row>
    <row r="329" spans="1:30" ht="14.4">
      <c r="A329" s="28" t="s">
        <v>18</v>
      </c>
      <c r="B329" s="28" t="s">
        <v>19</v>
      </c>
      <c r="C329" s="107" t="s">
        <v>306</v>
      </c>
      <c r="D329" s="107" t="s">
        <v>341</v>
      </c>
      <c r="E329" s="107"/>
      <c r="F329" s="28" t="s">
        <v>2090</v>
      </c>
      <c r="G329" s="28"/>
      <c r="H329" s="28"/>
      <c r="I329" s="28"/>
      <c r="J329" s="28" t="s">
        <v>2083</v>
      </c>
      <c r="K329" s="28"/>
      <c r="L329" s="28" t="s">
        <v>2084</v>
      </c>
      <c r="M329" s="60" t="s">
        <v>41</v>
      </c>
      <c r="N329" s="28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</row>
    <row r="330" spans="1:30" ht="14.4">
      <c r="A330" s="28" t="s">
        <v>18</v>
      </c>
      <c r="B330" s="28" t="s">
        <v>19</v>
      </c>
      <c r="C330" s="107" t="s">
        <v>306</v>
      </c>
      <c r="D330" s="107" t="s">
        <v>341</v>
      </c>
      <c r="E330" s="107"/>
      <c r="F330" s="28" t="s">
        <v>2091</v>
      </c>
      <c r="G330" s="28"/>
      <c r="H330" s="28"/>
      <c r="I330" s="28"/>
      <c r="J330" s="28" t="s">
        <v>2083</v>
      </c>
      <c r="K330" s="28"/>
      <c r="L330" s="28" t="s">
        <v>2084</v>
      </c>
      <c r="M330" s="60" t="s">
        <v>41</v>
      </c>
      <c r="N330" s="28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</row>
    <row r="331" spans="1:30" ht="14.4">
      <c r="A331" s="28" t="s">
        <v>18</v>
      </c>
      <c r="B331" s="28" t="s">
        <v>19</v>
      </c>
      <c r="C331" s="107" t="s">
        <v>306</v>
      </c>
      <c r="D331" s="107" t="s">
        <v>341</v>
      </c>
      <c r="E331" s="107"/>
      <c r="F331" s="28" t="s">
        <v>2092</v>
      </c>
      <c r="G331" s="28"/>
      <c r="H331" s="28"/>
      <c r="I331" s="28"/>
      <c r="J331" s="28" t="s">
        <v>2093</v>
      </c>
      <c r="K331" s="28"/>
      <c r="L331" s="28" t="s">
        <v>117</v>
      </c>
      <c r="M331" s="60" t="s">
        <v>41</v>
      </c>
      <c r="N331" s="28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</row>
    <row r="332" spans="1:30" ht="14.4">
      <c r="A332" s="28" t="s">
        <v>18</v>
      </c>
      <c r="B332" s="28" t="s">
        <v>19</v>
      </c>
      <c r="C332" s="107" t="s">
        <v>306</v>
      </c>
      <c r="D332" s="107" t="s">
        <v>341</v>
      </c>
      <c r="E332" s="107"/>
      <c r="F332" s="28" t="s">
        <v>2094</v>
      </c>
      <c r="G332" s="28"/>
      <c r="H332" s="28"/>
      <c r="I332" s="28"/>
      <c r="J332" s="28" t="s">
        <v>2093</v>
      </c>
      <c r="K332" s="28"/>
      <c r="L332" s="28" t="s">
        <v>117</v>
      </c>
      <c r="M332" s="60" t="s">
        <v>41</v>
      </c>
      <c r="N332" s="28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</row>
    <row r="333" spans="1:30" ht="14.4">
      <c r="A333" s="28" t="s">
        <v>18</v>
      </c>
      <c r="B333" s="28" t="s">
        <v>19</v>
      </c>
      <c r="C333" s="107" t="s">
        <v>306</v>
      </c>
      <c r="D333" s="107" t="s">
        <v>341</v>
      </c>
      <c r="E333" s="107"/>
      <c r="F333" s="28" t="s">
        <v>2095</v>
      </c>
      <c r="G333" s="28"/>
      <c r="H333" s="28"/>
      <c r="I333" s="28"/>
      <c r="J333" s="28" t="s">
        <v>2093</v>
      </c>
      <c r="K333" s="28"/>
      <c r="L333" s="28" t="s">
        <v>117</v>
      </c>
      <c r="M333" s="60" t="s">
        <v>41</v>
      </c>
      <c r="N333" s="28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</row>
    <row r="334" spans="1:30" ht="14.4">
      <c r="A334" s="28" t="s">
        <v>18</v>
      </c>
      <c r="B334" s="28" t="s">
        <v>19</v>
      </c>
      <c r="C334" s="107" t="s">
        <v>306</v>
      </c>
      <c r="D334" s="107" t="s">
        <v>341</v>
      </c>
      <c r="E334" s="107"/>
      <c r="F334" s="28" t="s">
        <v>2096</v>
      </c>
      <c r="G334" s="28"/>
      <c r="H334" s="28"/>
      <c r="I334" s="28"/>
      <c r="J334" s="28" t="s">
        <v>2093</v>
      </c>
      <c r="K334" s="28"/>
      <c r="L334" s="28" t="s">
        <v>117</v>
      </c>
      <c r="M334" s="60" t="s">
        <v>41</v>
      </c>
      <c r="N334" s="28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</row>
    <row r="335" spans="1:30" ht="14.4">
      <c r="A335" s="28" t="s">
        <v>18</v>
      </c>
      <c r="B335" s="28" t="s">
        <v>19</v>
      </c>
      <c r="C335" s="107" t="s">
        <v>306</v>
      </c>
      <c r="D335" s="107" t="s">
        <v>341</v>
      </c>
      <c r="E335" s="107"/>
      <c r="F335" s="28" t="s">
        <v>2097</v>
      </c>
      <c r="G335" s="28"/>
      <c r="H335" s="28"/>
      <c r="I335" s="28"/>
      <c r="J335" s="28" t="s">
        <v>2093</v>
      </c>
      <c r="K335" s="28"/>
      <c r="L335" s="28" t="s">
        <v>117</v>
      </c>
      <c r="M335" s="60" t="s">
        <v>41</v>
      </c>
      <c r="N335" s="28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</row>
    <row r="336" spans="1:30" ht="14.4">
      <c r="A336" s="28" t="s">
        <v>18</v>
      </c>
      <c r="B336" s="28" t="s">
        <v>19</v>
      </c>
      <c r="C336" s="107" t="s">
        <v>306</v>
      </c>
      <c r="D336" s="107" t="s">
        <v>341</v>
      </c>
      <c r="E336" s="107"/>
      <c r="F336" s="28" t="s">
        <v>2098</v>
      </c>
      <c r="G336" s="28"/>
      <c r="H336" s="28"/>
      <c r="I336" s="28"/>
      <c r="J336" s="28" t="s">
        <v>2093</v>
      </c>
      <c r="K336" s="28"/>
      <c r="L336" s="28" t="s">
        <v>117</v>
      </c>
      <c r="M336" s="60" t="s">
        <v>41</v>
      </c>
      <c r="N336" s="28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</row>
    <row r="337" spans="1:30" ht="14.4">
      <c r="A337" s="28" t="s">
        <v>18</v>
      </c>
      <c r="B337" s="28" t="s">
        <v>19</v>
      </c>
      <c r="C337" s="107" t="s">
        <v>306</v>
      </c>
      <c r="D337" s="107" t="s">
        <v>341</v>
      </c>
      <c r="E337" s="107"/>
      <c r="F337" s="28" t="s">
        <v>2099</v>
      </c>
      <c r="G337" s="28"/>
      <c r="H337" s="28"/>
      <c r="I337" s="28"/>
      <c r="J337" s="28" t="s">
        <v>2093</v>
      </c>
      <c r="K337" s="28"/>
      <c r="L337" s="28" t="s">
        <v>117</v>
      </c>
      <c r="M337" s="60" t="s">
        <v>41</v>
      </c>
      <c r="N337" s="28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</row>
    <row r="338" spans="1:30" ht="14.4">
      <c r="A338" s="28" t="s">
        <v>18</v>
      </c>
      <c r="B338" s="28" t="s">
        <v>19</v>
      </c>
      <c r="C338" s="107" t="s">
        <v>306</v>
      </c>
      <c r="D338" s="107" t="s">
        <v>341</v>
      </c>
      <c r="E338" s="107"/>
      <c r="F338" s="28" t="s">
        <v>2101</v>
      </c>
      <c r="G338" s="28"/>
      <c r="H338" s="28"/>
      <c r="I338" s="28"/>
      <c r="J338" s="28" t="s">
        <v>2093</v>
      </c>
      <c r="K338" s="28"/>
      <c r="L338" s="28" t="s">
        <v>117</v>
      </c>
      <c r="M338" s="60" t="s">
        <v>41</v>
      </c>
      <c r="N338" s="28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</row>
    <row r="339" spans="1:30" ht="14.4">
      <c r="A339" s="28" t="s">
        <v>18</v>
      </c>
      <c r="B339" s="28" t="s">
        <v>19</v>
      </c>
      <c r="C339" s="107" t="s">
        <v>306</v>
      </c>
      <c r="D339" s="107" t="s">
        <v>341</v>
      </c>
      <c r="E339" s="107"/>
      <c r="F339" s="28" t="s">
        <v>2103</v>
      </c>
      <c r="G339" s="28"/>
      <c r="H339" s="28"/>
      <c r="I339" s="28"/>
      <c r="J339" s="28" t="s">
        <v>2093</v>
      </c>
      <c r="K339" s="28"/>
      <c r="L339" s="28" t="s">
        <v>117</v>
      </c>
      <c r="M339" s="60" t="s">
        <v>41</v>
      </c>
      <c r="N339" s="28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</row>
    <row r="340" spans="1:30" ht="14.4">
      <c r="A340" s="28" t="s">
        <v>18</v>
      </c>
      <c r="B340" s="28" t="s">
        <v>19</v>
      </c>
      <c r="C340" s="107" t="s">
        <v>306</v>
      </c>
      <c r="D340" s="107" t="s">
        <v>341</v>
      </c>
      <c r="E340" s="107"/>
      <c r="F340" s="28" t="s">
        <v>2108</v>
      </c>
      <c r="G340" s="28"/>
      <c r="H340" s="28"/>
      <c r="I340" s="28"/>
      <c r="J340" s="28" t="s">
        <v>2093</v>
      </c>
      <c r="K340" s="28"/>
      <c r="L340" s="28" t="s">
        <v>117</v>
      </c>
      <c r="M340" s="60" t="s">
        <v>41</v>
      </c>
      <c r="N340" s="28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</row>
    <row r="341" spans="1:30" ht="14.4">
      <c r="A341" s="28" t="s">
        <v>18</v>
      </c>
      <c r="B341" s="28" t="s">
        <v>19</v>
      </c>
      <c r="C341" s="107" t="s">
        <v>306</v>
      </c>
      <c r="D341" s="107" t="s">
        <v>341</v>
      </c>
      <c r="E341" s="107"/>
      <c r="F341" s="28" t="s">
        <v>2109</v>
      </c>
      <c r="G341" s="28"/>
      <c r="H341" s="28"/>
      <c r="I341" s="28"/>
      <c r="J341" s="28" t="s">
        <v>2093</v>
      </c>
      <c r="K341" s="28"/>
      <c r="L341" s="28" t="s">
        <v>117</v>
      </c>
      <c r="M341" s="24" t="s">
        <v>41</v>
      </c>
      <c r="N341" s="28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</row>
    <row r="342" spans="1:30" ht="14.4">
      <c r="A342" s="28" t="s">
        <v>18</v>
      </c>
      <c r="B342" s="28" t="s">
        <v>19</v>
      </c>
      <c r="C342" s="107" t="s">
        <v>306</v>
      </c>
      <c r="D342" s="107" t="s">
        <v>341</v>
      </c>
      <c r="E342" s="107"/>
      <c r="F342" s="28" t="s">
        <v>2113</v>
      </c>
      <c r="G342" s="28"/>
      <c r="H342" s="28"/>
      <c r="I342" s="28"/>
      <c r="J342" s="28" t="s">
        <v>2093</v>
      </c>
      <c r="K342" s="28"/>
      <c r="L342" s="28" t="s">
        <v>117</v>
      </c>
      <c r="M342" s="24" t="s">
        <v>41</v>
      </c>
      <c r="N342" s="28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</row>
    <row r="343" spans="1:30" ht="14.4">
      <c r="A343" s="28" t="s">
        <v>18</v>
      </c>
      <c r="B343" s="28" t="s">
        <v>19</v>
      </c>
      <c r="C343" s="107" t="s">
        <v>306</v>
      </c>
      <c r="D343" s="107" t="s">
        <v>341</v>
      </c>
      <c r="E343" s="107"/>
      <c r="F343" s="28" t="s">
        <v>2116</v>
      </c>
      <c r="G343" s="28"/>
      <c r="H343" s="28"/>
      <c r="I343" s="28"/>
      <c r="J343" s="28" t="s">
        <v>2093</v>
      </c>
      <c r="K343" s="28"/>
      <c r="L343" s="28" t="s">
        <v>117</v>
      </c>
      <c r="M343" s="24" t="s">
        <v>41</v>
      </c>
      <c r="N343" s="28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</row>
    <row r="344" spans="1:30" ht="14.4">
      <c r="A344" s="28" t="s">
        <v>18</v>
      </c>
      <c r="B344" s="28" t="s">
        <v>19</v>
      </c>
      <c r="C344" s="107" t="s">
        <v>306</v>
      </c>
      <c r="D344" s="107" t="s">
        <v>341</v>
      </c>
      <c r="E344" s="107"/>
      <c r="F344" s="28" t="s">
        <v>2123</v>
      </c>
      <c r="G344" s="28"/>
      <c r="H344" s="28"/>
      <c r="I344" s="28"/>
      <c r="J344" s="28" t="s">
        <v>2093</v>
      </c>
      <c r="K344" s="28"/>
      <c r="L344" s="28" t="s">
        <v>117</v>
      </c>
      <c r="M344" s="60" t="s">
        <v>41</v>
      </c>
      <c r="N344" s="28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</row>
    <row r="345" spans="1:30" ht="14.4">
      <c r="A345" s="28" t="s">
        <v>18</v>
      </c>
      <c r="B345" s="28" t="s">
        <v>19</v>
      </c>
      <c r="C345" s="107" t="s">
        <v>306</v>
      </c>
      <c r="D345" s="107" t="s">
        <v>341</v>
      </c>
      <c r="E345" s="107"/>
      <c r="F345" s="28" t="s">
        <v>2124</v>
      </c>
      <c r="G345" s="28"/>
      <c r="H345" s="28"/>
      <c r="I345" s="28"/>
      <c r="J345" s="28" t="s">
        <v>2093</v>
      </c>
      <c r="K345" s="28"/>
      <c r="L345" s="28" t="s">
        <v>117</v>
      </c>
      <c r="M345" s="60" t="s">
        <v>41</v>
      </c>
      <c r="N345" s="28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</row>
    <row r="346" spans="1:30" ht="14.4">
      <c r="A346" s="28" t="s">
        <v>18</v>
      </c>
      <c r="B346" s="28" t="s">
        <v>19</v>
      </c>
      <c r="C346" s="107" t="s">
        <v>306</v>
      </c>
      <c r="D346" s="107" t="s">
        <v>341</v>
      </c>
      <c r="E346" s="107"/>
      <c r="F346" s="79" t="s">
        <v>2131</v>
      </c>
      <c r="G346" s="28"/>
      <c r="H346" s="28" t="s">
        <v>2132</v>
      </c>
      <c r="I346" s="28" t="s">
        <v>119</v>
      </c>
      <c r="J346" s="28" t="s">
        <v>2133</v>
      </c>
      <c r="K346" s="28"/>
      <c r="L346" s="28" t="s">
        <v>893</v>
      </c>
      <c r="M346" s="60" t="s">
        <v>41</v>
      </c>
      <c r="N346" s="28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</row>
    <row r="347" spans="1:30" ht="14.4">
      <c r="A347" s="28" t="s">
        <v>18</v>
      </c>
      <c r="B347" s="28" t="s">
        <v>19</v>
      </c>
      <c r="C347" s="107" t="s">
        <v>306</v>
      </c>
      <c r="D347" s="107" t="s">
        <v>341</v>
      </c>
      <c r="E347" s="107"/>
      <c r="F347" s="79" t="s">
        <v>2134</v>
      </c>
      <c r="G347" s="28"/>
      <c r="H347" s="28" t="s">
        <v>2132</v>
      </c>
      <c r="I347" s="28" t="s">
        <v>119</v>
      </c>
      <c r="J347" s="28" t="s">
        <v>2133</v>
      </c>
      <c r="K347" s="28"/>
      <c r="L347" s="28" t="s">
        <v>893</v>
      </c>
      <c r="M347" s="60" t="s">
        <v>41</v>
      </c>
      <c r="N347" s="28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</row>
    <row r="348" spans="1:30" ht="14.4">
      <c r="A348" s="28" t="s">
        <v>18</v>
      </c>
      <c r="B348" s="28" t="s">
        <v>19</v>
      </c>
      <c r="C348" s="107" t="s">
        <v>306</v>
      </c>
      <c r="D348" s="107" t="s">
        <v>341</v>
      </c>
      <c r="E348" s="107"/>
      <c r="F348" s="79" t="s">
        <v>2141</v>
      </c>
      <c r="G348" s="28"/>
      <c r="H348" s="28" t="s">
        <v>2132</v>
      </c>
      <c r="I348" s="28" t="s">
        <v>119</v>
      </c>
      <c r="J348" s="28" t="s">
        <v>2133</v>
      </c>
      <c r="K348" s="28"/>
      <c r="L348" s="28" t="s">
        <v>893</v>
      </c>
      <c r="M348" s="60" t="s">
        <v>41</v>
      </c>
      <c r="N348" s="28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</row>
    <row r="349" spans="1:30" ht="14.4">
      <c r="A349" s="28" t="s">
        <v>18</v>
      </c>
      <c r="B349" s="28" t="s">
        <v>19</v>
      </c>
      <c r="C349" s="107" t="s">
        <v>306</v>
      </c>
      <c r="D349" s="107" t="s">
        <v>341</v>
      </c>
      <c r="E349" s="107"/>
      <c r="F349" s="79" t="s">
        <v>2143</v>
      </c>
      <c r="G349" s="28"/>
      <c r="H349" s="28" t="s">
        <v>2132</v>
      </c>
      <c r="I349" s="28" t="s">
        <v>119</v>
      </c>
      <c r="J349" s="28" t="s">
        <v>2133</v>
      </c>
      <c r="K349" s="28"/>
      <c r="L349" s="28" t="s">
        <v>893</v>
      </c>
      <c r="M349" s="60" t="s">
        <v>41</v>
      </c>
      <c r="N349" s="28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</row>
    <row r="350" spans="1:30" ht="14.4">
      <c r="A350" s="28" t="s">
        <v>18</v>
      </c>
      <c r="B350" s="28" t="s">
        <v>19</v>
      </c>
      <c r="C350" s="107" t="s">
        <v>306</v>
      </c>
      <c r="D350" s="107" t="s">
        <v>341</v>
      </c>
      <c r="E350" s="107"/>
      <c r="F350" s="79" t="s">
        <v>2150</v>
      </c>
      <c r="G350" s="28"/>
      <c r="H350" s="28" t="s">
        <v>2132</v>
      </c>
      <c r="I350" s="28" t="s">
        <v>119</v>
      </c>
      <c r="J350" s="28" t="s">
        <v>2133</v>
      </c>
      <c r="K350" s="28"/>
      <c r="L350" s="28" t="s">
        <v>893</v>
      </c>
      <c r="M350" s="60" t="s">
        <v>41</v>
      </c>
      <c r="N350" s="28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</row>
    <row r="351" spans="1:30" ht="14.4">
      <c r="A351" s="28" t="s">
        <v>18</v>
      </c>
      <c r="B351" s="28" t="s">
        <v>19</v>
      </c>
      <c r="C351" s="107" t="s">
        <v>306</v>
      </c>
      <c r="D351" s="107" t="s">
        <v>341</v>
      </c>
      <c r="E351" s="107"/>
      <c r="F351" s="79" t="s">
        <v>2153</v>
      </c>
      <c r="G351" s="28"/>
      <c r="H351" s="28" t="s">
        <v>2132</v>
      </c>
      <c r="I351" s="28" t="s">
        <v>119</v>
      </c>
      <c r="J351" s="28" t="s">
        <v>2133</v>
      </c>
      <c r="K351" s="28"/>
      <c r="L351" s="28" t="s">
        <v>893</v>
      </c>
      <c r="M351" s="60" t="s">
        <v>41</v>
      </c>
      <c r="N351" s="28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</row>
    <row r="352" spans="1:30" ht="14.4">
      <c r="A352" s="28" t="s">
        <v>18</v>
      </c>
      <c r="B352" s="28" t="s">
        <v>19</v>
      </c>
      <c r="C352" s="107" t="s">
        <v>306</v>
      </c>
      <c r="D352" s="107" t="s">
        <v>341</v>
      </c>
      <c r="E352" s="107"/>
      <c r="F352" s="79" t="s">
        <v>2159</v>
      </c>
      <c r="G352" s="28"/>
      <c r="H352" s="28" t="s">
        <v>2132</v>
      </c>
      <c r="I352" s="28" t="s">
        <v>119</v>
      </c>
      <c r="J352" s="28" t="s">
        <v>2133</v>
      </c>
      <c r="K352" s="28"/>
      <c r="L352" s="28" t="s">
        <v>893</v>
      </c>
      <c r="M352" s="60" t="s">
        <v>41</v>
      </c>
      <c r="N352" s="28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</row>
    <row r="353" spans="1:30" ht="14.4">
      <c r="A353" s="28" t="s">
        <v>18</v>
      </c>
      <c r="B353" s="28" t="s">
        <v>19</v>
      </c>
      <c r="C353" s="107" t="s">
        <v>306</v>
      </c>
      <c r="D353" s="107" t="s">
        <v>341</v>
      </c>
      <c r="E353" s="107"/>
      <c r="F353" s="79" t="s">
        <v>2163</v>
      </c>
      <c r="G353" s="28"/>
      <c r="H353" s="28" t="s">
        <v>2132</v>
      </c>
      <c r="I353" s="28" t="s">
        <v>119</v>
      </c>
      <c r="J353" s="28" t="s">
        <v>2133</v>
      </c>
      <c r="K353" s="28"/>
      <c r="L353" s="28" t="s">
        <v>893</v>
      </c>
      <c r="M353" s="60" t="s">
        <v>41</v>
      </c>
      <c r="N353" s="28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</row>
    <row r="354" spans="1:30" ht="14.4">
      <c r="A354" s="28" t="s">
        <v>18</v>
      </c>
      <c r="B354" s="28" t="s">
        <v>19</v>
      </c>
      <c r="C354" s="107" t="s">
        <v>306</v>
      </c>
      <c r="D354" s="107" t="s">
        <v>341</v>
      </c>
      <c r="E354" s="107"/>
      <c r="F354" s="79" t="s">
        <v>2167</v>
      </c>
      <c r="G354" s="28"/>
      <c r="H354" s="28" t="s">
        <v>2132</v>
      </c>
      <c r="I354" s="28" t="s">
        <v>119</v>
      </c>
      <c r="J354" s="28" t="s">
        <v>2133</v>
      </c>
      <c r="K354" s="28"/>
      <c r="L354" s="28" t="s">
        <v>893</v>
      </c>
      <c r="M354" s="60" t="s">
        <v>41</v>
      </c>
      <c r="N354" s="28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</row>
    <row r="355" spans="1:30" ht="14.4">
      <c r="A355" s="28" t="s">
        <v>18</v>
      </c>
      <c r="B355" s="28" t="s">
        <v>19</v>
      </c>
      <c r="C355" s="107" t="s">
        <v>306</v>
      </c>
      <c r="D355" s="107" t="s">
        <v>341</v>
      </c>
      <c r="E355" s="107"/>
      <c r="F355" s="79" t="s">
        <v>2172</v>
      </c>
      <c r="G355" s="28"/>
      <c r="H355" s="28" t="s">
        <v>2132</v>
      </c>
      <c r="I355" s="28" t="s">
        <v>119</v>
      </c>
      <c r="J355" s="28" t="s">
        <v>2133</v>
      </c>
      <c r="K355" s="28"/>
      <c r="L355" s="28" t="s">
        <v>893</v>
      </c>
      <c r="M355" s="60" t="s">
        <v>41</v>
      </c>
      <c r="N355" s="28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</row>
    <row r="356" spans="1:30" ht="14.4">
      <c r="A356" s="28" t="s">
        <v>18</v>
      </c>
      <c r="B356" s="28" t="s">
        <v>19</v>
      </c>
      <c r="C356" s="107" t="s">
        <v>306</v>
      </c>
      <c r="D356" s="107" t="s">
        <v>341</v>
      </c>
      <c r="E356" s="107"/>
      <c r="F356" s="79" t="s">
        <v>2175</v>
      </c>
      <c r="G356" s="28"/>
      <c r="H356" s="28" t="s">
        <v>2132</v>
      </c>
      <c r="I356" s="28" t="s">
        <v>119</v>
      </c>
      <c r="J356" s="28" t="s">
        <v>2133</v>
      </c>
      <c r="K356" s="28"/>
      <c r="L356" s="28" t="s">
        <v>893</v>
      </c>
      <c r="M356" s="60" t="s">
        <v>41</v>
      </c>
      <c r="N356" s="28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</row>
    <row r="357" spans="1:30" ht="14.4">
      <c r="A357" s="28" t="s">
        <v>18</v>
      </c>
      <c r="B357" s="28" t="s">
        <v>19</v>
      </c>
      <c r="C357" s="107" t="s">
        <v>306</v>
      </c>
      <c r="D357" s="107" t="s">
        <v>341</v>
      </c>
      <c r="E357" s="107"/>
      <c r="F357" s="79" t="s">
        <v>2176</v>
      </c>
      <c r="G357" s="28"/>
      <c r="H357" s="28" t="s">
        <v>2132</v>
      </c>
      <c r="I357" s="28" t="s">
        <v>119</v>
      </c>
      <c r="J357" s="28" t="s">
        <v>2133</v>
      </c>
      <c r="K357" s="28"/>
      <c r="L357" s="28" t="s">
        <v>2000</v>
      </c>
      <c r="M357" s="60" t="s">
        <v>41</v>
      </c>
      <c r="N357" s="28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</row>
    <row r="358" spans="1:30" ht="14.4">
      <c r="A358" s="28" t="s">
        <v>18</v>
      </c>
      <c r="B358" s="28" t="s">
        <v>19</v>
      </c>
      <c r="C358" s="107" t="s">
        <v>306</v>
      </c>
      <c r="D358" s="107" t="s">
        <v>341</v>
      </c>
      <c r="E358" s="107"/>
      <c r="F358" s="79" t="s">
        <v>2182</v>
      </c>
      <c r="G358" s="28"/>
      <c r="H358" s="28" t="s">
        <v>2132</v>
      </c>
      <c r="I358" s="28" t="s">
        <v>119</v>
      </c>
      <c r="J358" s="28" t="s">
        <v>2133</v>
      </c>
      <c r="K358" s="28"/>
      <c r="L358" s="28" t="s">
        <v>893</v>
      </c>
      <c r="M358" s="60" t="s">
        <v>41</v>
      </c>
      <c r="N358" s="28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</row>
    <row r="359" spans="1:30" ht="14.4">
      <c r="A359" s="28" t="s">
        <v>18</v>
      </c>
      <c r="B359" s="28" t="s">
        <v>19</v>
      </c>
      <c r="C359" s="107" t="s">
        <v>306</v>
      </c>
      <c r="D359" s="107" t="s">
        <v>341</v>
      </c>
      <c r="E359" s="107"/>
      <c r="F359" s="79" t="s">
        <v>2184</v>
      </c>
      <c r="G359" s="28"/>
      <c r="H359" s="28" t="s">
        <v>2132</v>
      </c>
      <c r="I359" s="28" t="s">
        <v>119</v>
      </c>
      <c r="J359" s="28" t="s">
        <v>2133</v>
      </c>
      <c r="K359" s="28"/>
      <c r="L359" s="28" t="s">
        <v>893</v>
      </c>
      <c r="M359" s="60" t="s">
        <v>41</v>
      </c>
      <c r="N359" s="28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</row>
    <row r="360" spans="1:30" ht="14.4">
      <c r="A360" s="28" t="s">
        <v>18</v>
      </c>
      <c r="B360" s="28" t="s">
        <v>19</v>
      </c>
      <c r="C360" s="107" t="s">
        <v>306</v>
      </c>
      <c r="D360" s="107" t="s">
        <v>341</v>
      </c>
      <c r="E360" s="107"/>
      <c r="F360" s="79" t="s">
        <v>2187</v>
      </c>
      <c r="G360" s="28"/>
      <c r="H360" s="28" t="s">
        <v>2132</v>
      </c>
      <c r="I360" s="28" t="s">
        <v>119</v>
      </c>
      <c r="J360" s="28" t="s">
        <v>2133</v>
      </c>
      <c r="K360" s="28"/>
      <c r="L360" s="28" t="s">
        <v>893</v>
      </c>
      <c r="M360" s="60" t="s">
        <v>41</v>
      </c>
      <c r="N360" s="28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</row>
    <row r="361" spans="1:30" ht="14.4">
      <c r="A361" s="28" t="s">
        <v>18</v>
      </c>
      <c r="B361" s="28" t="s">
        <v>19</v>
      </c>
      <c r="C361" s="107" t="s">
        <v>306</v>
      </c>
      <c r="D361" s="107" t="s">
        <v>341</v>
      </c>
      <c r="E361" s="107"/>
      <c r="F361" s="79" t="s">
        <v>2190</v>
      </c>
      <c r="G361" s="28"/>
      <c r="H361" s="28" t="s">
        <v>2132</v>
      </c>
      <c r="I361" s="28" t="s">
        <v>119</v>
      </c>
      <c r="J361" s="28" t="s">
        <v>2133</v>
      </c>
      <c r="K361" s="28"/>
      <c r="L361" s="28" t="s">
        <v>893</v>
      </c>
      <c r="M361" s="60" t="s">
        <v>41</v>
      </c>
      <c r="N361" s="28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</row>
    <row r="362" spans="1:30" ht="14.4">
      <c r="A362" s="28" t="s">
        <v>18</v>
      </c>
      <c r="B362" s="28" t="s">
        <v>19</v>
      </c>
      <c r="C362" s="107" t="s">
        <v>306</v>
      </c>
      <c r="D362" s="107" t="s">
        <v>341</v>
      </c>
      <c r="E362" s="107"/>
      <c r="F362" s="79" t="s">
        <v>2197</v>
      </c>
      <c r="G362" s="28"/>
      <c r="H362" s="28" t="s">
        <v>2132</v>
      </c>
      <c r="I362" s="28" t="s">
        <v>119</v>
      </c>
      <c r="J362" s="28" t="s">
        <v>2133</v>
      </c>
      <c r="K362" s="28"/>
      <c r="L362" s="28" t="s">
        <v>893</v>
      </c>
      <c r="M362" s="60" t="s">
        <v>41</v>
      </c>
      <c r="N362" s="28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</row>
    <row r="363" spans="1:30" ht="14.4">
      <c r="A363" s="28" t="s">
        <v>18</v>
      </c>
      <c r="B363" s="28" t="s">
        <v>19</v>
      </c>
      <c r="C363" s="107" t="s">
        <v>306</v>
      </c>
      <c r="D363" s="107" t="s">
        <v>341</v>
      </c>
      <c r="E363" s="107"/>
      <c r="F363" s="79" t="s">
        <v>2198</v>
      </c>
      <c r="G363" s="28"/>
      <c r="H363" s="28" t="s">
        <v>2132</v>
      </c>
      <c r="I363" s="28" t="s">
        <v>119</v>
      </c>
      <c r="J363" s="28" t="s">
        <v>2133</v>
      </c>
      <c r="K363" s="28"/>
      <c r="L363" s="28" t="s">
        <v>2000</v>
      </c>
      <c r="M363" s="60" t="s">
        <v>41</v>
      </c>
      <c r="N363" s="28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</row>
    <row r="364" spans="1:30" ht="14.4">
      <c r="A364" s="28" t="s">
        <v>18</v>
      </c>
      <c r="B364" s="28" t="s">
        <v>19</v>
      </c>
      <c r="C364" s="107" t="s">
        <v>306</v>
      </c>
      <c r="D364" s="107" t="s">
        <v>341</v>
      </c>
      <c r="E364" s="107"/>
      <c r="F364" s="79" t="s">
        <v>2203</v>
      </c>
      <c r="G364" s="28"/>
      <c r="H364" s="28" t="s">
        <v>2132</v>
      </c>
      <c r="I364" s="28" t="s">
        <v>119</v>
      </c>
      <c r="J364" s="28" t="s">
        <v>2133</v>
      </c>
      <c r="K364" s="28"/>
      <c r="L364" s="28" t="s">
        <v>1828</v>
      </c>
      <c r="M364" s="60" t="s">
        <v>41</v>
      </c>
      <c r="N364" s="28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</row>
    <row r="365" spans="1:30" ht="14.4">
      <c r="A365" s="28" t="s">
        <v>18</v>
      </c>
      <c r="B365" s="28" t="s">
        <v>19</v>
      </c>
      <c r="C365" s="107" t="s">
        <v>306</v>
      </c>
      <c r="D365" s="107" t="s">
        <v>341</v>
      </c>
      <c r="E365" s="107"/>
      <c r="F365" s="79" t="s">
        <v>2207</v>
      </c>
      <c r="G365" s="28"/>
      <c r="H365" s="28" t="s">
        <v>2132</v>
      </c>
      <c r="I365" s="28" t="s">
        <v>119</v>
      </c>
      <c r="J365" s="28" t="s">
        <v>2133</v>
      </c>
      <c r="K365" s="28"/>
      <c r="L365" s="28" t="s">
        <v>2000</v>
      </c>
      <c r="M365" s="60" t="s">
        <v>41</v>
      </c>
      <c r="N365" s="28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</row>
    <row r="366" spans="1:30" ht="14.4">
      <c r="A366" s="28" t="s">
        <v>18</v>
      </c>
      <c r="B366" s="28" t="s">
        <v>19</v>
      </c>
      <c r="C366" s="107" t="s">
        <v>306</v>
      </c>
      <c r="D366" s="107" t="s">
        <v>341</v>
      </c>
      <c r="E366" s="107"/>
      <c r="F366" s="79" t="s">
        <v>2210</v>
      </c>
      <c r="G366" s="28"/>
      <c r="H366" s="28" t="s">
        <v>2132</v>
      </c>
      <c r="I366" s="28" t="s">
        <v>119</v>
      </c>
      <c r="J366" s="28" t="s">
        <v>2133</v>
      </c>
      <c r="K366" s="28"/>
      <c r="L366" s="28" t="s">
        <v>893</v>
      </c>
      <c r="M366" s="60" t="s">
        <v>41</v>
      </c>
      <c r="N366" s="28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</row>
    <row r="367" spans="1:30" ht="14.4">
      <c r="A367" s="28" t="s">
        <v>18</v>
      </c>
      <c r="B367" s="28" t="s">
        <v>19</v>
      </c>
      <c r="C367" s="107" t="s">
        <v>306</v>
      </c>
      <c r="D367" s="107" t="s">
        <v>341</v>
      </c>
      <c r="E367" s="107"/>
      <c r="F367" s="79" t="s">
        <v>2215</v>
      </c>
      <c r="G367" s="28"/>
      <c r="H367" s="28" t="s">
        <v>2132</v>
      </c>
      <c r="I367" s="28" t="s">
        <v>119</v>
      </c>
      <c r="J367" s="28" t="s">
        <v>2133</v>
      </c>
      <c r="K367" s="28"/>
      <c r="L367" s="28" t="s">
        <v>893</v>
      </c>
      <c r="M367" s="60" t="s">
        <v>41</v>
      </c>
      <c r="N367" s="28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</row>
    <row r="368" spans="1:30" ht="14.4">
      <c r="A368" s="28" t="s">
        <v>18</v>
      </c>
      <c r="B368" s="28" t="s">
        <v>19</v>
      </c>
      <c r="C368" s="107" t="s">
        <v>306</v>
      </c>
      <c r="D368" s="107" t="s">
        <v>341</v>
      </c>
      <c r="E368" s="107"/>
      <c r="F368" s="79" t="s">
        <v>2216</v>
      </c>
      <c r="G368" s="28"/>
      <c r="H368" s="28" t="s">
        <v>2132</v>
      </c>
      <c r="I368" s="28" t="s">
        <v>119</v>
      </c>
      <c r="J368" s="28" t="s">
        <v>2133</v>
      </c>
      <c r="K368" s="28"/>
      <c r="L368" s="28" t="s">
        <v>893</v>
      </c>
      <c r="M368" s="60" t="s">
        <v>41</v>
      </c>
      <c r="N368" s="28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</row>
    <row r="369" spans="1:30" ht="14.4">
      <c r="A369" s="28" t="s">
        <v>18</v>
      </c>
      <c r="B369" s="28" t="s">
        <v>19</v>
      </c>
      <c r="C369" s="107" t="s">
        <v>306</v>
      </c>
      <c r="D369" s="107" t="s">
        <v>341</v>
      </c>
      <c r="E369" s="107"/>
      <c r="F369" s="79" t="s">
        <v>2217</v>
      </c>
      <c r="G369" s="28"/>
      <c r="H369" s="28" t="s">
        <v>2132</v>
      </c>
      <c r="I369" s="28" t="s">
        <v>119</v>
      </c>
      <c r="J369" s="28" t="s">
        <v>2133</v>
      </c>
      <c r="K369" s="28"/>
      <c r="L369" s="28" t="s">
        <v>2000</v>
      </c>
      <c r="M369" s="60" t="s">
        <v>41</v>
      </c>
      <c r="N369" s="28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</row>
    <row r="370" spans="1:30" ht="14.4">
      <c r="A370" s="28" t="s">
        <v>18</v>
      </c>
      <c r="B370" s="28" t="s">
        <v>19</v>
      </c>
      <c r="C370" s="107" t="s">
        <v>306</v>
      </c>
      <c r="D370" s="107" t="s">
        <v>341</v>
      </c>
      <c r="E370" s="107"/>
      <c r="F370" s="79" t="s">
        <v>2221</v>
      </c>
      <c r="G370" s="28"/>
      <c r="H370" s="28" t="s">
        <v>2132</v>
      </c>
      <c r="I370" s="28" t="s">
        <v>119</v>
      </c>
      <c r="J370" s="28" t="s">
        <v>2133</v>
      </c>
      <c r="K370" s="28"/>
      <c r="L370" s="28" t="s">
        <v>893</v>
      </c>
      <c r="M370" s="24" t="s">
        <v>41</v>
      </c>
      <c r="N370" s="28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</row>
    <row r="371" spans="1:30" ht="14.4">
      <c r="A371" s="28" t="s">
        <v>18</v>
      </c>
      <c r="B371" s="28" t="s">
        <v>19</v>
      </c>
      <c r="C371" s="107" t="s">
        <v>306</v>
      </c>
      <c r="D371" s="107" t="s">
        <v>341</v>
      </c>
      <c r="E371" s="107"/>
      <c r="F371" s="79" t="s">
        <v>2223</v>
      </c>
      <c r="G371" s="28"/>
      <c r="H371" s="28" t="s">
        <v>2132</v>
      </c>
      <c r="I371" s="28" t="s">
        <v>119</v>
      </c>
      <c r="J371" s="28" t="s">
        <v>2133</v>
      </c>
      <c r="K371" s="28"/>
      <c r="L371" s="28" t="s">
        <v>893</v>
      </c>
      <c r="M371" s="24" t="s">
        <v>41</v>
      </c>
      <c r="N371" s="28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</row>
    <row r="372" spans="1:30" ht="14.4">
      <c r="A372" s="28" t="s">
        <v>18</v>
      </c>
      <c r="B372" s="28" t="s">
        <v>19</v>
      </c>
      <c r="C372" s="107" t="s">
        <v>306</v>
      </c>
      <c r="D372" s="107" t="s">
        <v>341</v>
      </c>
      <c r="E372" s="107"/>
      <c r="F372" s="79" t="s">
        <v>2226</v>
      </c>
      <c r="G372" s="28"/>
      <c r="H372" s="28" t="s">
        <v>2132</v>
      </c>
      <c r="I372" s="28" t="s">
        <v>119</v>
      </c>
      <c r="J372" s="28" t="s">
        <v>2133</v>
      </c>
      <c r="K372" s="28"/>
      <c r="L372" s="28" t="s">
        <v>2000</v>
      </c>
      <c r="M372" s="24" t="s">
        <v>41</v>
      </c>
      <c r="N372" s="28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</row>
    <row r="373" spans="1:30" ht="14.4">
      <c r="A373" s="28" t="s">
        <v>18</v>
      </c>
      <c r="B373" s="28" t="s">
        <v>19</v>
      </c>
      <c r="C373" s="107" t="s">
        <v>306</v>
      </c>
      <c r="D373" s="107" t="s">
        <v>341</v>
      </c>
      <c r="E373" s="107"/>
      <c r="F373" s="79" t="s">
        <v>2231</v>
      </c>
      <c r="G373" s="28"/>
      <c r="H373" s="28" t="s">
        <v>2132</v>
      </c>
      <c r="I373" s="28" t="s">
        <v>119</v>
      </c>
      <c r="J373" s="28" t="s">
        <v>2133</v>
      </c>
      <c r="K373" s="28"/>
      <c r="L373" s="28" t="s">
        <v>2000</v>
      </c>
      <c r="M373" s="24" t="s">
        <v>41</v>
      </c>
      <c r="N373" s="28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</row>
    <row r="374" spans="1:30" ht="14.4">
      <c r="A374" s="28" t="s">
        <v>18</v>
      </c>
      <c r="B374" s="28" t="s">
        <v>19</v>
      </c>
      <c r="C374" s="107" t="s">
        <v>306</v>
      </c>
      <c r="D374" s="107" t="s">
        <v>341</v>
      </c>
      <c r="E374" s="107"/>
      <c r="F374" s="79" t="s">
        <v>2232</v>
      </c>
      <c r="G374" s="28"/>
      <c r="H374" s="28" t="s">
        <v>2132</v>
      </c>
      <c r="I374" s="28" t="s">
        <v>119</v>
      </c>
      <c r="J374" s="28" t="s">
        <v>2133</v>
      </c>
      <c r="K374" s="28"/>
      <c r="L374" s="28" t="s">
        <v>893</v>
      </c>
      <c r="M374" s="60" t="s">
        <v>41</v>
      </c>
      <c r="N374" s="28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</row>
    <row r="375" spans="1:30" ht="14.4">
      <c r="A375" s="28" t="s">
        <v>18</v>
      </c>
      <c r="B375" s="28" t="s">
        <v>19</v>
      </c>
      <c r="C375" s="107" t="s">
        <v>306</v>
      </c>
      <c r="D375" s="107" t="s">
        <v>341</v>
      </c>
      <c r="E375" s="107"/>
      <c r="F375" s="79" t="s">
        <v>2237</v>
      </c>
      <c r="G375" s="28"/>
      <c r="H375" s="28" t="s">
        <v>2132</v>
      </c>
      <c r="I375" s="28" t="s">
        <v>119</v>
      </c>
      <c r="J375" s="28" t="s">
        <v>2133</v>
      </c>
      <c r="K375" s="28"/>
      <c r="L375" s="28" t="s">
        <v>2000</v>
      </c>
      <c r="M375" s="60" t="s">
        <v>41</v>
      </c>
      <c r="N375" s="28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</row>
    <row r="376" spans="1:30" ht="14.4">
      <c r="A376" s="28" t="s">
        <v>18</v>
      </c>
      <c r="B376" s="28" t="s">
        <v>19</v>
      </c>
      <c r="C376" s="107" t="s">
        <v>306</v>
      </c>
      <c r="D376" s="107" t="s">
        <v>341</v>
      </c>
      <c r="E376" s="107"/>
      <c r="F376" s="79" t="s">
        <v>2239</v>
      </c>
      <c r="G376" s="28"/>
      <c r="H376" s="28" t="s">
        <v>2132</v>
      </c>
      <c r="I376" s="28" t="s">
        <v>119</v>
      </c>
      <c r="J376" s="28" t="s">
        <v>2133</v>
      </c>
      <c r="K376" s="28"/>
      <c r="L376" s="28" t="s">
        <v>893</v>
      </c>
      <c r="M376" s="60" t="s">
        <v>41</v>
      </c>
      <c r="N376" s="28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</row>
    <row r="377" spans="1:30" ht="14.4">
      <c r="A377" s="28" t="s">
        <v>18</v>
      </c>
      <c r="B377" s="28" t="s">
        <v>19</v>
      </c>
      <c r="C377" s="107" t="s">
        <v>306</v>
      </c>
      <c r="D377" s="107" t="s">
        <v>341</v>
      </c>
      <c r="E377" s="107"/>
      <c r="F377" s="79" t="s">
        <v>2242</v>
      </c>
      <c r="G377" s="28"/>
      <c r="H377" s="28" t="s">
        <v>2132</v>
      </c>
      <c r="I377" s="28" t="s">
        <v>119</v>
      </c>
      <c r="J377" s="28" t="s">
        <v>2133</v>
      </c>
      <c r="K377" s="28"/>
      <c r="L377" s="28" t="s">
        <v>893</v>
      </c>
      <c r="M377" s="60" t="s">
        <v>41</v>
      </c>
      <c r="N377" s="28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</row>
    <row r="378" spans="1:30" ht="14.4">
      <c r="A378" s="28" t="s">
        <v>18</v>
      </c>
      <c r="B378" s="28" t="s">
        <v>19</v>
      </c>
      <c r="C378" s="107" t="s">
        <v>306</v>
      </c>
      <c r="D378" s="107" t="s">
        <v>341</v>
      </c>
      <c r="E378" s="107"/>
      <c r="F378" s="79" t="s">
        <v>2246</v>
      </c>
      <c r="G378" s="28"/>
      <c r="H378" s="28" t="s">
        <v>2132</v>
      </c>
      <c r="I378" s="28" t="s">
        <v>119</v>
      </c>
      <c r="J378" s="28" t="s">
        <v>2133</v>
      </c>
      <c r="K378" s="28"/>
      <c r="L378" s="28" t="s">
        <v>2000</v>
      </c>
      <c r="M378" s="60" t="s">
        <v>41</v>
      </c>
      <c r="N378" s="28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</row>
    <row r="379" spans="1:30" ht="14.4">
      <c r="A379" s="28" t="s">
        <v>18</v>
      </c>
      <c r="B379" s="28" t="s">
        <v>19</v>
      </c>
      <c r="C379" s="107" t="s">
        <v>306</v>
      </c>
      <c r="D379" s="107" t="s">
        <v>341</v>
      </c>
      <c r="E379" s="107"/>
      <c r="F379" s="79" t="s">
        <v>2249</v>
      </c>
      <c r="G379" s="28"/>
      <c r="H379" s="28" t="s">
        <v>2132</v>
      </c>
      <c r="I379" s="28" t="s">
        <v>119</v>
      </c>
      <c r="J379" s="28" t="s">
        <v>2133</v>
      </c>
      <c r="K379" s="28"/>
      <c r="L379" s="28" t="s">
        <v>2000</v>
      </c>
      <c r="M379" s="60" t="s">
        <v>41</v>
      </c>
      <c r="N379" s="28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</row>
    <row r="380" spans="1:30" ht="14.4">
      <c r="A380" s="28" t="s">
        <v>18</v>
      </c>
      <c r="B380" s="28" t="s">
        <v>19</v>
      </c>
      <c r="C380" s="107" t="s">
        <v>306</v>
      </c>
      <c r="D380" s="107" t="s">
        <v>341</v>
      </c>
      <c r="E380" s="107"/>
      <c r="F380" s="79" t="s">
        <v>2252</v>
      </c>
      <c r="G380" s="28"/>
      <c r="H380" s="28" t="s">
        <v>2132</v>
      </c>
      <c r="I380" s="28" t="s">
        <v>119</v>
      </c>
      <c r="J380" s="28" t="s">
        <v>2133</v>
      </c>
      <c r="K380" s="28"/>
      <c r="L380" s="28" t="s">
        <v>2000</v>
      </c>
      <c r="M380" s="60" t="s">
        <v>41</v>
      </c>
      <c r="N380" s="28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</row>
    <row r="381" spans="1:30" ht="14.4">
      <c r="A381" s="28" t="s">
        <v>18</v>
      </c>
      <c r="B381" s="28" t="s">
        <v>19</v>
      </c>
      <c r="C381" s="107" t="s">
        <v>306</v>
      </c>
      <c r="D381" s="107" t="s">
        <v>341</v>
      </c>
      <c r="E381" s="107"/>
      <c r="F381" s="79" t="s">
        <v>2258</v>
      </c>
      <c r="G381" s="28"/>
      <c r="H381" s="28" t="s">
        <v>2132</v>
      </c>
      <c r="I381" s="28" t="s">
        <v>119</v>
      </c>
      <c r="J381" s="28" t="s">
        <v>2133</v>
      </c>
      <c r="K381" s="28"/>
      <c r="L381" s="28" t="s">
        <v>2000</v>
      </c>
      <c r="M381" s="60" t="s">
        <v>41</v>
      </c>
      <c r="N381" s="28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</row>
    <row r="382" spans="1:30" ht="14.4">
      <c r="A382" s="28" t="s">
        <v>18</v>
      </c>
      <c r="B382" s="28" t="s">
        <v>19</v>
      </c>
      <c r="C382" s="107" t="s">
        <v>306</v>
      </c>
      <c r="D382" s="107" t="s">
        <v>341</v>
      </c>
      <c r="E382" s="107"/>
      <c r="F382" s="79" t="s">
        <v>2261</v>
      </c>
      <c r="G382" s="28"/>
      <c r="H382" s="28" t="s">
        <v>2132</v>
      </c>
      <c r="I382" s="28" t="s">
        <v>119</v>
      </c>
      <c r="J382" s="28" t="s">
        <v>2133</v>
      </c>
      <c r="K382" s="28"/>
      <c r="L382" s="28" t="s">
        <v>893</v>
      </c>
      <c r="M382" s="60" t="s">
        <v>41</v>
      </c>
      <c r="N382" s="28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</row>
    <row r="383" spans="1:30" ht="14.4">
      <c r="A383" s="28" t="s">
        <v>18</v>
      </c>
      <c r="B383" s="28" t="s">
        <v>19</v>
      </c>
      <c r="C383" s="107" t="s">
        <v>306</v>
      </c>
      <c r="D383" s="107" t="s">
        <v>341</v>
      </c>
      <c r="E383" s="107"/>
      <c r="F383" s="79" t="s">
        <v>2265</v>
      </c>
      <c r="G383" s="28"/>
      <c r="H383" s="28" t="s">
        <v>2132</v>
      </c>
      <c r="I383" s="28" t="s">
        <v>119</v>
      </c>
      <c r="J383" s="28" t="s">
        <v>2133</v>
      </c>
      <c r="K383" s="28"/>
      <c r="L383" s="28" t="s">
        <v>893</v>
      </c>
      <c r="M383" s="60" t="s">
        <v>41</v>
      </c>
      <c r="N383" s="28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</row>
    <row r="384" spans="1:30" ht="14.4">
      <c r="A384" s="28" t="s">
        <v>18</v>
      </c>
      <c r="B384" s="28" t="s">
        <v>19</v>
      </c>
      <c r="C384" s="107" t="s">
        <v>306</v>
      </c>
      <c r="D384" s="107" t="s">
        <v>341</v>
      </c>
      <c r="E384" s="107"/>
      <c r="F384" s="79" t="s">
        <v>2267</v>
      </c>
      <c r="G384" s="28"/>
      <c r="H384" s="28" t="s">
        <v>2132</v>
      </c>
      <c r="I384" s="28" t="s">
        <v>119</v>
      </c>
      <c r="J384" s="28" t="s">
        <v>2133</v>
      </c>
      <c r="K384" s="28"/>
      <c r="L384" s="28" t="s">
        <v>893</v>
      </c>
      <c r="M384" s="60" t="s">
        <v>41</v>
      </c>
      <c r="N384" s="28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</row>
    <row r="385" spans="1:30" ht="14.4">
      <c r="A385" s="28" t="s">
        <v>18</v>
      </c>
      <c r="B385" s="28" t="s">
        <v>19</v>
      </c>
      <c r="C385" s="107" t="s">
        <v>306</v>
      </c>
      <c r="D385" s="107" t="s">
        <v>341</v>
      </c>
      <c r="E385" s="107"/>
      <c r="F385" s="79" t="s">
        <v>2271</v>
      </c>
      <c r="G385" s="28"/>
      <c r="H385" s="28" t="s">
        <v>2132</v>
      </c>
      <c r="I385" s="28" t="s">
        <v>119</v>
      </c>
      <c r="J385" s="28" t="s">
        <v>2133</v>
      </c>
      <c r="K385" s="28"/>
      <c r="L385" s="28" t="s">
        <v>893</v>
      </c>
      <c r="M385" s="60" t="s">
        <v>41</v>
      </c>
      <c r="N385" s="28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</row>
    <row r="386" spans="1:30" ht="14.4">
      <c r="A386" s="28" t="s">
        <v>18</v>
      </c>
      <c r="B386" s="28" t="s">
        <v>19</v>
      </c>
      <c r="C386" s="107" t="s">
        <v>306</v>
      </c>
      <c r="D386" s="107" t="s">
        <v>341</v>
      </c>
      <c r="E386" s="107"/>
      <c r="F386" s="79" t="s">
        <v>2273</v>
      </c>
      <c r="G386" s="28"/>
      <c r="H386" s="28" t="s">
        <v>2132</v>
      </c>
      <c r="I386" s="28" t="s">
        <v>119</v>
      </c>
      <c r="J386" s="28" t="s">
        <v>2133</v>
      </c>
      <c r="K386" s="28"/>
      <c r="L386" s="28" t="s">
        <v>893</v>
      </c>
      <c r="M386" s="60" t="s">
        <v>41</v>
      </c>
      <c r="N386" s="28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</row>
    <row r="387" spans="1:30" ht="14.4">
      <c r="A387" s="28" t="s">
        <v>18</v>
      </c>
      <c r="B387" s="28" t="s">
        <v>19</v>
      </c>
      <c r="C387" s="107" t="s">
        <v>306</v>
      </c>
      <c r="D387" s="107" t="s">
        <v>341</v>
      </c>
      <c r="E387" s="107"/>
      <c r="F387" s="79" t="s">
        <v>2278</v>
      </c>
      <c r="G387" s="28"/>
      <c r="H387" s="28" t="s">
        <v>2132</v>
      </c>
      <c r="I387" s="28" t="s">
        <v>119</v>
      </c>
      <c r="J387" s="28" t="s">
        <v>2133</v>
      </c>
      <c r="K387" s="28"/>
      <c r="L387" s="28" t="s">
        <v>893</v>
      </c>
      <c r="M387" s="60" t="s">
        <v>41</v>
      </c>
      <c r="N387" s="28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</row>
    <row r="388" spans="1:30" ht="14.4">
      <c r="A388" s="28" t="s">
        <v>18</v>
      </c>
      <c r="B388" s="28" t="s">
        <v>19</v>
      </c>
      <c r="C388" s="107" t="s">
        <v>306</v>
      </c>
      <c r="D388" s="107" t="s">
        <v>341</v>
      </c>
      <c r="E388" s="107"/>
      <c r="F388" s="79" t="s">
        <v>2283</v>
      </c>
      <c r="G388" s="28"/>
      <c r="H388" s="28" t="s">
        <v>2132</v>
      </c>
      <c r="I388" s="28" t="s">
        <v>119</v>
      </c>
      <c r="J388" s="28" t="s">
        <v>2133</v>
      </c>
      <c r="K388" s="28"/>
      <c r="L388" s="28" t="s">
        <v>893</v>
      </c>
      <c r="M388" s="60" t="s">
        <v>41</v>
      </c>
      <c r="N388" s="28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</row>
    <row r="389" spans="1:30" ht="14.4">
      <c r="A389" s="28" t="s">
        <v>18</v>
      </c>
      <c r="B389" s="28" t="s">
        <v>19</v>
      </c>
      <c r="C389" s="107" t="s">
        <v>306</v>
      </c>
      <c r="D389" s="107" t="s">
        <v>341</v>
      </c>
      <c r="E389" s="107"/>
      <c r="F389" s="79" t="s">
        <v>2284</v>
      </c>
      <c r="G389" s="28"/>
      <c r="H389" s="28" t="s">
        <v>2285</v>
      </c>
      <c r="I389" s="28"/>
      <c r="J389" s="28" t="s">
        <v>2286</v>
      </c>
      <c r="K389" s="28"/>
      <c r="L389" s="28" t="s">
        <v>2287</v>
      </c>
      <c r="M389" s="60" t="s">
        <v>41</v>
      </c>
      <c r="N389" s="28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</row>
    <row r="390" spans="1:30" ht="14.4">
      <c r="A390" s="28" t="s">
        <v>18</v>
      </c>
      <c r="B390" s="28" t="s">
        <v>19</v>
      </c>
      <c r="C390" s="107" t="s">
        <v>306</v>
      </c>
      <c r="D390" s="107" t="s">
        <v>341</v>
      </c>
      <c r="E390" s="107"/>
      <c r="F390" s="79" t="s">
        <v>2290</v>
      </c>
      <c r="G390" s="28"/>
      <c r="H390" s="28" t="s">
        <v>2285</v>
      </c>
      <c r="I390" s="28"/>
      <c r="J390" s="28" t="s">
        <v>2286</v>
      </c>
      <c r="K390" s="28"/>
      <c r="L390" s="28" t="s">
        <v>2287</v>
      </c>
      <c r="M390" s="60" t="s">
        <v>41</v>
      </c>
      <c r="N390" s="28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</row>
    <row r="391" spans="1:30" ht="14.4">
      <c r="A391" s="28" t="s">
        <v>18</v>
      </c>
      <c r="B391" s="28" t="s">
        <v>19</v>
      </c>
      <c r="C391" s="107" t="s">
        <v>306</v>
      </c>
      <c r="D391" s="107" t="s">
        <v>341</v>
      </c>
      <c r="E391" s="107"/>
      <c r="F391" s="79" t="s">
        <v>2291</v>
      </c>
      <c r="G391" s="28"/>
      <c r="H391" s="28" t="s">
        <v>2285</v>
      </c>
      <c r="I391" s="28"/>
      <c r="J391" s="28" t="s">
        <v>2286</v>
      </c>
      <c r="K391" s="28"/>
      <c r="L391" s="28" t="s">
        <v>2287</v>
      </c>
      <c r="M391" s="60" t="s">
        <v>41</v>
      </c>
      <c r="N391" s="28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</row>
    <row r="392" spans="1:30" ht="14.4">
      <c r="A392" s="28" t="s">
        <v>18</v>
      </c>
      <c r="B392" s="28" t="s">
        <v>19</v>
      </c>
      <c r="C392" s="107" t="s">
        <v>306</v>
      </c>
      <c r="D392" s="107" t="s">
        <v>341</v>
      </c>
      <c r="E392" s="107"/>
      <c r="F392" s="79" t="s">
        <v>2293</v>
      </c>
      <c r="G392" s="28"/>
      <c r="H392" s="28" t="s">
        <v>2285</v>
      </c>
      <c r="I392" s="28"/>
      <c r="J392" s="28" t="s">
        <v>2286</v>
      </c>
      <c r="K392" s="28"/>
      <c r="L392" s="28" t="s">
        <v>2287</v>
      </c>
      <c r="M392" s="60" t="s">
        <v>41</v>
      </c>
      <c r="N392" s="28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</row>
    <row r="393" spans="1:30" ht="14.4">
      <c r="A393" s="28" t="s">
        <v>18</v>
      </c>
      <c r="B393" s="28" t="s">
        <v>19</v>
      </c>
      <c r="C393" s="107" t="s">
        <v>306</v>
      </c>
      <c r="D393" s="107" t="s">
        <v>341</v>
      </c>
      <c r="E393" s="107"/>
      <c r="F393" s="79" t="s">
        <v>2294</v>
      </c>
      <c r="G393" s="28"/>
      <c r="H393" s="28" t="s">
        <v>2285</v>
      </c>
      <c r="I393" s="28"/>
      <c r="J393" s="28" t="s">
        <v>2286</v>
      </c>
      <c r="K393" s="28"/>
      <c r="L393" s="28" t="s">
        <v>2287</v>
      </c>
      <c r="M393" s="60" t="s">
        <v>41</v>
      </c>
      <c r="N393" s="28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</row>
    <row r="394" spans="1:30" ht="14.4">
      <c r="A394" s="28" t="s">
        <v>18</v>
      </c>
      <c r="B394" s="28" t="s">
        <v>19</v>
      </c>
      <c r="C394" s="107" t="s">
        <v>306</v>
      </c>
      <c r="D394" s="107" t="s">
        <v>341</v>
      </c>
      <c r="E394" s="107"/>
      <c r="F394" s="79" t="s">
        <v>2295</v>
      </c>
      <c r="G394" s="28"/>
      <c r="H394" s="28"/>
      <c r="I394" s="28" t="s">
        <v>2000</v>
      </c>
      <c r="J394" s="28"/>
      <c r="K394" s="28"/>
      <c r="L394" s="28"/>
      <c r="M394" s="60"/>
      <c r="N394" s="28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</row>
    <row r="395" spans="1:30" ht="14.4">
      <c r="A395" s="28" t="s">
        <v>18</v>
      </c>
      <c r="B395" s="28" t="s">
        <v>19</v>
      </c>
      <c r="C395" s="107" t="s">
        <v>306</v>
      </c>
      <c r="D395" s="107" t="s">
        <v>341</v>
      </c>
      <c r="E395" s="107"/>
      <c r="F395" s="79" t="s">
        <v>2297</v>
      </c>
      <c r="G395" s="28"/>
      <c r="H395" s="28"/>
      <c r="I395" s="28"/>
      <c r="J395" s="28"/>
      <c r="K395" s="28"/>
      <c r="L395" s="28"/>
      <c r="M395" s="60"/>
      <c r="N395" s="28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</row>
    <row r="396" spans="1:30" ht="14.4">
      <c r="A396" s="28" t="s">
        <v>18</v>
      </c>
      <c r="B396" s="28" t="s">
        <v>19</v>
      </c>
      <c r="C396" s="107" t="s">
        <v>306</v>
      </c>
      <c r="D396" s="107" t="s">
        <v>341</v>
      </c>
      <c r="E396" s="107"/>
      <c r="F396" s="79" t="s">
        <v>2301</v>
      </c>
      <c r="G396" s="28"/>
      <c r="H396" s="28" t="s">
        <v>795</v>
      </c>
      <c r="I396" s="28"/>
      <c r="J396" s="28"/>
      <c r="K396" s="28"/>
      <c r="L396" s="28" t="s">
        <v>2000</v>
      </c>
      <c r="M396" s="60" t="s">
        <v>41</v>
      </c>
      <c r="N396" s="28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</row>
    <row r="397" spans="1:30" ht="14.4">
      <c r="A397" s="28" t="s">
        <v>18</v>
      </c>
      <c r="B397" s="28" t="s">
        <v>19</v>
      </c>
      <c r="C397" s="107" t="s">
        <v>306</v>
      </c>
      <c r="D397" s="107" t="s">
        <v>341</v>
      </c>
      <c r="E397" s="107"/>
      <c r="F397" s="79" t="s">
        <v>2308</v>
      </c>
      <c r="G397" s="28"/>
      <c r="H397" s="28"/>
      <c r="I397" s="28"/>
      <c r="J397" s="28"/>
      <c r="K397" s="28"/>
      <c r="L397" s="28"/>
      <c r="M397" s="60"/>
      <c r="N397" s="28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</row>
    <row r="398" spans="1:30" ht="14.4">
      <c r="A398" s="28" t="s">
        <v>18</v>
      </c>
      <c r="B398" s="28" t="s">
        <v>19</v>
      </c>
      <c r="C398" s="107" t="s">
        <v>306</v>
      </c>
      <c r="D398" s="107" t="s">
        <v>341</v>
      </c>
      <c r="E398" s="107"/>
      <c r="F398" s="79" t="s">
        <v>2312</v>
      </c>
      <c r="G398" s="28"/>
      <c r="H398" s="28"/>
      <c r="I398" s="28"/>
      <c r="J398" s="28" t="s">
        <v>2316</v>
      </c>
      <c r="K398" s="28"/>
      <c r="L398" s="28" t="s">
        <v>2318</v>
      </c>
      <c r="M398" s="60" t="s">
        <v>41</v>
      </c>
      <c r="N398" s="28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</row>
    <row r="399" spans="1:30" ht="14.4">
      <c r="A399" s="28" t="s">
        <v>18</v>
      </c>
      <c r="B399" s="28" t="s">
        <v>19</v>
      </c>
      <c r="C399" s="107" t="s">
        <v>306</v>
      </c>
      <c r="D399" s="107" t="s">
        <v>341</v>
      </c>
      <c r="E399" s="107"/>
      <c r="F399" s="79" t="s">
        <v>2319</v>
      </c>
      <c r="G399" s="28"/>
      <c r="H399" s="28"/>
      <c r="I399" s="28"/>
      <c r="J399" s="28" t="s">
        <v>2316</v>
      </c>
      <c r="K399" s="28"/>
      <c r="L399" s="28" t="s">
        <v>2318</v>
      </c>
      <c r="M399" s="60" t="s">
        <v>41</v>
      </c>
      <c r="N399" s="28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</row>
    <row r="400" spans="1:30" ht="14.4">
      <c r="A400" s="28" t="s">
        <v>18</v>
      </c>
      <c r="B400" s="28" t="s">
        <v>19</v>
      </c>
      <c r="C400" s="107" t="s">
        <v>306</v>
      </c>
      <c r="D400" s="107" t="s">
        <v>341</v>
      </c>
      <c r="E400" s="107"/>
      <c r="F400" s="79" t="s">
        <v>2324</v>
      </c>
      <c r="G400" s="28"/>
      <c r="H400" s="28"/>
      <c r="I400" s="28"/>
      <c r="J400" s="28" t="s">
        <v>2316</v>
      </c>
      <c r="K400" s="28"/>
      <c r="L400" s="28" t="s">
        <v>2318</v>
      </c>
      <c r="M400" s="60" t="s">
        <v>41</v>
      </c>
      <c r="N400" s="28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</row>
    <row r="401" spans="1:30" ht="14.4">
      <c r="A401" s="28" t="s">
        <v>18</v>
      </c>
      <c r="B401" s="28" t="s">
        <v>19</v>
      </c>
      <c r="C401" s="107" t="s">
        <v>306</v>
      </c>
      <c r="D401" s="107" t="s">
        <v>341</v>
      </c>
      <c r="E401" s="107"/>
      <c r="F401" s="79" t="s">
        <v>2326</v>
      </c>
      <c r="G401" s="28"/>
      <c r="H401" s="28"/>
      <c r="I401" s="28"/>
      <c r="J401" s="28" t="s">
        <v>2316</v>
      </c>
      <c r="K401" s="28"/>
      <c r="L401" s="28" t="s">
        <v>2318</v>
      </c>
      <c r="M401" s="60" t="s">
        <v>41</v>
      </c>
      <c r="N401" s="28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</row>
    <row r="402" spans="1:30" ht="14.4">
      <c r="A402" s="28" t="s">
        <v>18</v>
      </c>
      <c r="B402" s="28" t="s">
        <v>19</v>
      </c>
      <c r="C402" s="107" t="s">
        <v>306</v>
      </c>
      <c r="D402" s="107" t="s">
        <v>341</v>
      </c>
      <c r="E402" s="107"/>
      <c r="F402" s="79" t="s">
        <v>2330</v>
      </c>
      <c r="G402" s="28"/>
      <c r="H402" s="28"/>
      <c r="I402" s="28"/>
      <c r="J402" s="28" t="s">
        <v>2316</v>
      </c>
      <c r="K402" s="28"/>
      <c r="L402" s="28" t="s">
        <v>2318</v>
      </c>
      <c r="M402" s="60" t="s">
        <v>41</v>
      </c>
      <c r="N402" s="28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</row>
    <row r="403" spans="1:30" ht="14.4">
      <c r="A403" s="28" t="s">
        <v>18</v>
      </c>
      <c r="B403" s="28" t="s">
        <v>19</v>
      </c>
      <c r="C403" s="107" t="s">
        <v>306</v>
      </c>
      <c r="D403" s="107" t="s">
        <v>341</v>
      </c>
      <c r="E403" s="107"/>
      <c r="F403" s="79" t="s">
        <v>2334</v>
      </c>
      <c r="G403" s="28"/>
      <c r="H403" s="28"/>
      <c r="I403" s="28"/>
      <c r="J403" s="28" t="s">
        <v>2316</v>
      </c>
      <c r="K403" s="28"/>
      <c r="L403" s="28" t="s">
        <v>2318</v>
      </c>
      <c r="M403" s="60" t="s">
        <v>41</v>
      </c>
      <c r="N403" s="28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</row>
    <row r="404" spans="1:30" ht="14.4">
      <c r="A404" s="28" t="s">
        <v>18</v>
      </c>
      <c r="B404" s="28" t="s">
        <v>19</v>
      </c>
      <c r="C404" s="107" t="s">
        <v>306</v>
      </c>
      <c r="D404" s="107" t="s">
        <v>341</v>
      </c>
      <c r="E404" s="107"/>
      <c r="F404" s="79" t="s">
        <v>2337</v>
      </c>
      <c r="G404" s="28"/>
      <c r="H404" s="28"/>
      <c r="I404" s="28"/>
      <c r="J404" s="28" t="s">
        <v>2316</v>
      </c>
      <c r="K404" s="28"/>
      <c r="L404" s="28" t="s">
        <v>2318</v>
      </c>
      <c r="M404" s="60" t="s">
        <v>41</v>
      </c>
      <c r="N404" s="28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</row>
    <row r="405" spans="1:30" ht="14.4">
      <c r="A405" s="28" t="s">
        <v>18</v>
      </c>
      <c r="B405" s="28" t="s">
        <v>19</v>
      </c>
      <c r="C405" s="107" t="s">
        <v>306</v>
      </c>
      <c r="D405" s="107" t="s">
        <v>341</v>
      </c>
      <c r="E405" s="107"/>
      <c r="F405" s="79" t="s">
        <v>2342</v>
      </c>
      <c r="G405" s="28"/>
      <c r="H405" s="28"/>
      <c r="I405" s="28"/>
      <c r="J405" s="28" t="s">
        <v>2316</v>
      </c>
      <c r="K405" s="28"/>
      <c r="L405" s="28" t="s">
        <v>2318</v>
      </c>
      <c r="M405" s="60" t="s">
        <v>41</v>
      </c>
      <c r="N405" s="28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</row>
    <row r="406" spans="1:30" ht="14.4">
      <c r="A406" s="28" t="s">
        <v>18</v>
      </c>
      <c r="B406" s="28" t="s">
        <v>19</v>
      </c>
      <c r="C406" s="107" t="s">
        <v>306</v>
      </c>
      <c r="D406" s="107" t="s">
        <v>341</v>
      </c>
      <c r="E406" s="107"/>
      <c r="F406" s="79" t="s">
        <v>2344</v>
      </c>
      <c r="G406" s="28"/>
      <c r="H406" s="28"/>
      <c r="I406" s="28"/>
      <c r="J406" s="28" t="s">
        <v>2316</v>
      </c>
      <c r="K406" s="28"/>
      <c r="L406" s="28" t="s">
        <v>2318</v>
      </c>
      <c r="M406" s="60" t="s">
        <v>41</v>
      </c>
      <c r="N406" s="28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</row>
    <row r="407" spans="1:30" ht="14.4">
      <c r="A407" s="28" t="s">
        <v>18</v>
      </c>
      <c r="B407" s="28" t="s">
        <v>19</v>
      </c>
      <c r="C407" s="107" t="s">
        <v>306</v>
      </c>
      <c r="D407" s="107" t="s">
        <v>341</v>
      </c>
      <c r="E407" s="107"/>
      <c r="F407" s="79" t="s">
        <v>2351</v>
      </c>
      <c r="G407" s="28"/>
      <c r="H407" s="28"/>
      <c r="I407" s="28"/>
      <c r="J407" s="28" t="s">
        <v>2316</v>
      </c>
      <c r="K407" s="28"/>
      <c r="L407" s="28" t="s">
        <v>2318</v>
      </c>
      <c r="M407" s="60" t="s">
        <v>41</v>
      </c>
      <c r="N407" s="28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</row>
    <row r="408" spans="1:30" ht="14.4">
      <c r="A408" s="28" t="s">
        <v>18</v>
      </c>
      <c r="B408" s="28" t="s">
        <v>19</v>
      </c>
      <c r="C408" s="107" t="s">
        <v>306</v>
      </c>
      <c r="D408" s="107" t="s">
        <v>341</v>
      </c>
      <c r="E408" s="107"/>
      <c r="F408" s="79" t="s">
        <v>2353</v>
      </c>
      <c r="G408" s="28"/>
      <c r="H408" s="28"/>
      <c r="I408" s="28"/>
      <c r="J408" s="28" t="s">
        <v>2316</v>
      </c>
      <c r="K408" s="28"/>
      <c r="L408" s="28" t="s">
        <v>2318</v>
      </c>
      <c r="M408" s="60" t="s">
        <v>41</v>
      </c>
      <c r="N408" s="28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</row>
    <row r="409" spans="1:30" ht="14.4">
      <c r="A409" s="28" t="s">
        <v>18</v>
      </c>
      <c r="B409" s="28" t="s">
        <v>19</v>
      </c>
      <c r="C409" s="107" t="s">
        <v>306</v>
      </c>
      <c r="D409" s="107" t="s">
        <v>341</v>
      </c>
      <c r="E409" s="107"/>
      <c r="F409" s="79" t="s">
        <v>2357</v>
      </c>
      <c r="G409" s="28"/>
      <c r="H409" s="28"/>
      <c r="I409" s="28"/>
      <c r="J409" s="28" t="s">
        <v>2316</v>
      </c>
      <c r="K409" s="28"/>
      <c r="L409" s="28" t="s">
        <v>2318</v>
      </c>
      <c r="M409" s="60" t="s">
        <v>41</v>
      </c>
      <c r="N409" s="28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</row>
    <row r="410" spans="1:30" ht="14.4">
      <c r="A410" s="28" t="s">
        <v>18</v>
      </c>
      <c r="B410" s="28" t="s">
        <v>19</v>
      </c>
      <c r="C410" s="107" t="s">
        <v>306</v>
      </c>
      <c r="D410" s="107" t="s">
        <v>341</v>
      </c>
      <c r="E410" s="107"/>
      <c r="F410" s="79" t="s">
        <v>2358</v>
      </c>
      <c r="G410" s="28"/>
      <c r="H410" s="28"/>
      <c r="I410" s="28"/>
      <c r="J410" s="28" t="s">
        <v>2316</v>
      </c>
      <c r="K410" s="28"/>
      <c r="L410" s="28" t="s">
        <v>2318</v>
      </c>
      <c r="M410" s="60" t="s">
        <v>41</v>
      </c>
      <c r="N410" s="28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</row>
    <row r="411" spans="1:30" ht="14.4">
      <c r="A411" s="28" t="s">
        <v>18</v>
      </c>
      <c r="B411" s="28" t="s">
        <v>19</v>
      </c>
      <c r="C411" s="107" t="s">
        <v>306</v>
      </c>
      <c r="D411" s="107" t="s">
        <v>341</v>
      </c>
      <c r="E411" s="107"/>
      <c r="F411" s="79" t="s">
        <v>2363</v>
      </c>
      <c r="G411" s="28"/>
      <c r="H411" s="28"/>
      <c r="I411" s="28"/>
      <c r="J411" s="28" t="s">
        <v>2316</v>
      </c>
      <c r="K411" s="28"/>
      <c r="L411" s="28" t="s">
        <v>2318</v>
      </c>
      <c r="M411" s="60" t="s">
        <v>41</v>
      </c>
      <c r="N411" s="28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</row>
    <row r="412" spans="1:30" ht="14.4">
      <c r="A412" s="28" t="s">
        <v>18</v>
      </c>
      <c r="B412" s="28" t="s">
        <v>19</v>
      </c>
      <c r="C412" s="107" t="s">
        <v>306</v>
      </c>
      <c r="D412" s="107" t="s">
        <v>341</v>
      </c>
      <c r="E412" s="107"/>
      <c r="F412" s="79" t="s">
        <v>2365</v>
      </c>
      <c r="G412" s="28"/>
      <c r="H412" s="28"/>
      <c r="I412" s="28"/>
      <c r="J412" s="28" t="s">
        <v>2316</v>
      </c>
      <c r="K412" s="28"/>
      <c r="L412" s="28" t="s">
        <v>2318</v>
      </c>
      <c r="M412" s="60" t="s">
        <v>41</v>
      </c>
      <c r="N412" s="28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</row>
    <row r="413" spans="1:30" ht="14.4">
      <c r="A413" s="28" t="s">
        <v>18</v>
      </c>
      <c r="B413" s="28" t="s">
        <v>19</v>
      </c>
      <c r="C413" s="107" t="s">
        <v>306</v>
      </c>
      <c r="D413" s="107" t="s">
        <v>341</v>
      </c>
      <c r="E413" s="107"/>
      <c r="F413" s="79" t="s">
        <v>2368</v>
      </c>
      <c r="G413" s="28"/>
      <c r="H413" s="28" t="s">
        <v>2369</v>
      </c>
      <c r="I413" s="28"/>
      <c r="J413" s="28" t="s">
        <v>2370</v>
      </c>
      <c r="K413" s="28"/>
      <c r="L413" s="28" t="s">
        <v>532</v>
      </c>
      <c r="M413" s="60" t="s">
        <v>41</v>
      </c>
      <c r="N413" s="28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</row>
    <row r="414" spans="1:30" ht="14.4">
      <c r="A414" s="28" t="s">
        <v>18</v>
      </c>
      <c r="B414" s="28" t="s">
        <v>19</v>
      </c>
      <c r="C414" s="107" t="s">
        <v>306</v>
      </c>
      <c r="D414" s="107" t="s">
        <v>341</v>
      </c>
      <c r="E414" s="107"/>
      <c r="F414" s="79" t="s">
        <v>2375</v>
      </c>
      <c r="G414" s="28"/>
      <c r="H414" s="28" t="s">
        <v>2369</v>
      </c>
      <c r="I414" s="28"/>
      <c r="J414" s="28" t="s">
        <v>2370</v>
      </c>
      <c r="K414" s="28"/>
      <c r="L414" s="28" t="s">
        <v>532</v>
      </c>
      <c r="M414" s="60" t="s">
        <v>41</v>
      </c>
      <c r="N414" s="28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</row>
    <row r="415" spans="1:30" ht="14.4">
      <c r="A415" s="28" t="s">
        <v>18</v>
      </c>
      <c r="B415" s="28" t="s">
        <v>19</v>
      </c>
      <c r="C415" s="107" t="s">
        <v>306</v>
      </c>
      <c r="D415" s="107" t="s">
        <v>341</v>
      </c>
      <c r="E415" s="107"/>
      <c r="F415" s="79" t="s">
        <v>2376</v>
      </c>
      <c r="G415" s="28"/>
      <c r="H415" s="28" t="s">
        <v>2369</v>
      </c>
      <c r="I415" s="28"/>
      <c r="J415" s="28" t="s">
        <v>2370</v>
      </c>
      <c r="K415" s="28"/>
      <c r="L415" s="28" t="s">
        <v>532</v>
      </c>
      <c r="M415" s="60" t="s">
        <v>41</v>
      </c>
      <c r="N415" s="28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</row>
    <row r="416" spans="1:30" ht="14.4">
      <c r="A416" s="28" t="s">
        <v>18</v>
      </c>
      <c r="B416" s="28" t="s">
        <v>19</v>
      </c>
      <c r="C416" s="107" t="s">
        <v>306</v>
      </c>
      <c r="D416" s="107" t="s">
        <v>341</v>
      </c>
      <c r="E416" s="107"/>
      <c r="F416" s="79" t="s">
        <v>2381</v>
      </c>
      <c r="G416" s="28"/>
      <c r="H416" s="28" t="s">
        <v>2369</v>
      </c>
      <c r="I416" s="28"/>
      <c r="J416" s="28" t="s">
        <v>2370</v>
      </c>
      <c r="K416" s="28"/>
      <c r="L416" s="28" t="s">
        <v>532</v>
      </c>
      <c r="M416" s="60" t="s">
        <v>41</v>
      </c>
      <c r="N416" s="28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</row>
    <row r="417" spans="1:30" ht="14.4">
      <c r="A417" s="28" t="s">
        <v>18</v>
      </c>
      <c r="B417" s="28" t="s">
        <v>19</v>
      </c>
      <c r="C417" s="107" t="s">
        <v>306</v>
      </c>
      <c r="D417" s="107" t="s">
        <v>341</v>
      </c>
      <c r="E417" s="107"/>
      <c r="F417" s="79" t="s">
        <v>2385</v>
      </c>
      <c r="G417" s="28"/>
      <c r="H417" s="28" t="s">
        <v>2369</v>
      </c>
      <c r="I417" s="28"/>
      <c r="J417" s="28" t="s">
        <v>2370</v>
      </c>
      <c r="K417" s="28"/>
      <c r="L417" s="28" t="s">
        <v>532</v>
      </c>
      <c r="M417" s="60" t="s">
        <v>41</v>
      </c>
      <c r="N417" s="28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</row>
    <row r="418" spans="1:30" ht="14.4">
      <c r="A418" s="28" t="s">
        <v>18</v>
      </c>
      <c r="B418" s="28" t="s">
        <v>19</v>
      </c>
      <c r="C418" s="107" t="s">
        <v>306</v>
      </c>
      <c r="D418" s="107" t="s">
        <v>341</v>
      </c>
      <c r="E418" s="107"/>
      <c r="F418" s="79" t="s">
        <v>2386</v>
      </c>
      <c r="G418" s="28"/>
      <c r="H418" s="28" t="s">
        <v>2369</v>
      </c>
      <c r="I418" s="28"/>
      <c r="J418" s="28" t="s">
        <v>2370</v>
      </c>
      <c r="K418" s="28"/>
      <c r="L418" s="28" t="s">
        <v>532</v>
      </c>
      <c r="M418" s="60" t="s">
        <v>41</v>
      </c>
      <c r="N418" s="28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</row>
    <row r="419" spans="1:30" ht="14.4">
      <c r="A419" s="28" t="s">
        <v>18</v>
      </c>
      <c r="B419" s="28" t="s">
        <v>19</v>
      </c>
      <c r="C419" s="107" t="s">
        <v>306</v>
      </c>
      <c r="D419" s="107" t="s">
        <v>341</v>
      </c>
      <c r="E419" s="107"/>
      <c r="F419" s="79" t="s">
        <v>2388</v>
      </c>
      <c r="G419" s="28"/>
      <c r="H419" s="28" t="s">
        <v>2369</v>
      </c>
      <c r="I419" s="28"/>
      <c r="J419" s="28" t="s">
        <v>2370</v>
      </c>
      <c r="K419" s="28"/>
      <c r="L419" s="28" t="s">
        <v>532</v>
      </c>
      <c r="M419" s="24" t="s">
        <v>41</v>
      </c>
      <c r="N419" s="28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</row>
    <row r="420" spans="1:30" ht="14.4">
      <c r="A420" s="28" t="s">
        <v>18</v>
      </c>
      <c r="B420" s="28" t="s">
        <v>19</v>
      </c>
      <c r="C420" s="107" t="s">
        <v>306</v>
      </c>
      <c r="D420" s="107" t="s">
        <v>341</v>
      </c>
      <c r="E420" s="107"/>
      <c r="F420" s="79" t="s">
        <v>2391</v>
      </c>
      <c r="G420" s="28"/>
      <c r="H420" s="28" t="s">
        <v>2393</v>
      </c>
      <c r="I420" s="28"/>
      <c r="J420" s="28" t="s">
        <v>2395</v>
      </c>
      <c r="K420" s="28"/>
      <c r="L420" s="28" t="s">
        <v>790</v>
      </c>
      <c r="M420" s="60" t="s">
        <v>41</v>
      </c>
      <c r="N420" s="28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</row>
    <row r="421" spans="1:30" ht="14.4">
      <c r="A421" s="28" t="s">
        <v>18</v>
      </c>
      <c r="B421" s="28" t="s">
        <v>19</v>
      </c>
      <c r="C421" s="107" t="s">
        <v>306</v>
      </c>
      <c r="D421" s="107" t="s">
        <v>341</v>
      </c>
      <c r="E421" s="107"/>
      <c r="F421" s="79" t="s">
        <v>2396</v>
      </c>
      <c r="G421" s="28"/>
      <c r="H421" s="28" t="s">
        <v>2393</v>
      </c>
      <c r="I421" s="28"/>
      <c r="J421" s="28" t="s">
        <v>2395</v>
      </c>
      <c r="K421" s="28"/>
      <c r="L421" s="28" t="s">
        <v>790</v>
      </c>
      <c r="M421" s="60" t="s">
        <v>41</v>
      </c>
      <c r="N421" s="28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</row>
    <row r="422" spans="1:30" ht="14.4">
      <c r="A422" s="28" t="s">
        <v>18</v>
      </c>
      <c r="B422" s="28" t="s">
        <v>19</v>
      </c>
      <c r="C422" s="107" t="s">
        <v>306</v>
      </c>
      <c r="D422" s="107" t="s">
        <v>341</v>
      </c>
      <c r="E422" s="107"/>
      <c r="F422" s="79" t="s">
        <v>2402</v>
      </c>
      <c r="G422" s="28"/>
      <c r="H422" s="28" t="s">
        <v>2393</v>
      </c>
      <c r="I422" s="28"/>
      <c r="J422" s="28" t="s">
        <v>2395</v>
      </c>
      <c r="K422" s="28"/>
      <c r="L422" s="28" t="s">
        <v>790</v>
      </c>
      <c r="M422" s="60" t="s">
        <v>41</v>
      </c>
      <c r="N422" s="28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</row>
    <row r="423" spans="1:30" ht="14.4">
      <c r="A423" s="28" t="s">
        <v>18</v>
      </c>
      <c r="B423" s="28" t="s">
        <v>19</v>
      </c>
      <c r="C423" s="107" t="s">
        <v>306</v>
      </c>
      <c r="D423" s="107" t="s">
        <v>341</v>
      </c>
      <c r="E423" s="107"/>
      <c r="F423" s="79" t="s">
        <v>2404</v>
      </c>
      <c r="G423" s="28"/>
      <c r="H423" s="28" t="s">
        <v>2406</v>
      </c>
      <c r="I423" s="28" t="s">
        <v>2408</v>
      </c>
      <c r="J423" s="28" t="s">
        <v>2410</v>
      </c>
      <c r="K423" s="28"/>
      <c r="L423" s="28" t="s">
        <v>2411</v>
      </c>
      <c r="M423" s="60" t="s">
        <v>41</v>
      </c>
      <c r="N423" s="28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</row>
    <row r="424" spans="1:30" ht="14.4">
      <c r="A424" s="28" t="s">
        <v>18</v>
      </c>
      <c r="B424" s="28" t="s">
        <v>19</v>
      </c>
      <c r="C424" s="107" t="s">
        <v>306</v>
      </c>
      <c r="D424" s="107" t="s">
        <v>341</v>
      </c>
      <c r="E424" s="107"/>
      <c r="F424" s="79" t="s">
        <v>2413</v>
      </c>
      <c r="G424" s="28"/>
      <c r="H424" s="28" t="s">
        <v>2406</v>
      </c>
      <c r="I424" s="28" t="s">
        <v>2408</v>
      </c>
      <c r="J424" s="28" t="s">
        <v>2410</v>
      </c>
      <c r="K424" s="28"/>
      <c r="L424" s="28" t="s">
        <v>2411</v>
      </c>
      <c r="M424" s="60" t="s">
        <v>41</v>
      </c>
      <c r="N424" s="28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</row>
    <row r="425" spans="1:30" ht="14.4">
      <c r="A425" s="28" t="s">
        <v>18</v>
      </c>
      <c r="B425" s="28" t="s">
        <v>19</v>
      </c>
      <c r="C425" s="107" t="s">
        <v>306</v>
      </c>
      <c r="D425" s="107" t="s">
        <v>341</v>
      </c>
      <c r="E425" s="107"/>
      <c r="F425" s="79" t="s">
        <v>2418</v>
      </c>
      <c r="G425" s="28"/>
      <c r="H425" s="28" t="s">
        <v>2406</v>
      </c>
      <c r="I425" s="28" t="s">
        <v>2408</v>
      </c>
      <c r="J425" s="28" t="s">
        <v>2410</v>
      </c>
      <c r="K425" s="28"/>
      <c r="L425" s="28" t="s">
        <v>2411</v>
      </c>
      <c r="M425" s="60" t="s">
        <v>41</v>
      </c>
      <c r="N425" s="28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</row>
    <row r="426" spans="1:30" ht="14.4">
      <c r="A426" s="28" t="s">
        <v>18</v>
      </c>
      <c r="B426" s="28" t="s">
        <v>19</v>
      </c>
      <c r="C426" s="107" t="s">
        <v>306</v>
      </c>
      <c r="D426" s="107" t="s">
        <v>341</v>
      </c>
      <c r="E426" s="107"/>
      <c r="F426" s="79" t="s">
        <v>2420</v>
      </c>
      <c r="G426" s="28"/>
      <c r="H426" s="28" t="s">
        <v>2422</v>
      </c>
      <c r="I426" s="28"/>
      <c r="J426" s="28" t="s">
        <v>2424</v>
      </c>
      <c r="K426" s="28"/>
      <c r="L426" s="28" t="s">
        <v>2425</v>
      </c>
      <c r="M426" s="60" t="s">
        <v>41</v>
      </c>
      <c r="N426" s="28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</row>
    <row r="427" spans="1:30" ht="14.4">
      <c r="A427" s="28" t="s">
        <v>18</v>
      </c>
      <c r="B427" s="28" t="s">
        <v>19</v>
      </c>
      <c r="C427" s="107" t="s">
        <v>306</v>
      </c>
      <c r="D427" s="107" t="s">
        <v>341</v>
      </c>
      <c r="E427" s="107"/>
      <c r="F427" s="79" t="s">
        <v>2428</v>
      </c>
      <c r="G427" s="28"/>
      <c r="H427" s="28" t="s">
        <v>2422</v>
      </c>
      <c r="I427" s="28"/>
      <c r="J427" s="28" t="s">
        <v>2424</v>
      </c>
      <c r="K427" s="28"/>
      <c r="L427" s="28" t="s">
        <v>2425</v>
      </c>
      <c r="M427" s="60" t="s">
        <v>41</v>
      </c>
      <c r="N427" s="28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</row>
    <row r="428" spans="1:30" ht="14.4">
      <c r="A428" s="28" t="s">
        <v>18</v>
      </c>
      <c r="B428" s="28" t="s">
        <v>19</v>
      </c>
      <c r="C428" s="107" t="s">
        <v>306</v>
      </c>
      <c r="D428" s="107" t="s">
        <v>341</v>
      </c>
      <c r="E428" s="107"/>
      <c r="F428" s="79" t="s">
        <v>2432</v>
      </c>
      <c r="G428" s="28"/>
      <c r="H428" s="28" t="s">
        <v>2422</v>
      </c>
      <c r="I428" s="28"/>
      <c r="J428" s="28" t="s">
        <v>2424</v>
      </c>
      <c r="K428" s="28"/>
      <c r="L428" s="28" t="s">
        <v>2425</v>
      </c>
      <c r="M428" s="60" t="s">
        <v>41</v>
      </c>
      <c r="N428" s="28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</row>
    <row r="429" spans="1:30" ht="14.4">
      <c r="A429" s="28" t="s">
        <v>18</v>
      </c>
      <c r="B429" s="28" t="s">
        <v>19</v>
      </c>
      <c r="C429" s="107" t="s">
        <v>306</v>
      </c>
      <c r="D429" s="107" t="s">
        <v>341</v>
      </c>
      <c r="E429" s="107"/>
      <c r="F429" s="79" t="s">
        <v>2433</v>
      </c>
      <c r="G429" s="28"/>
      <c r="H429" s="28"/>
      <c r="I429" s="28" t="s">
        <v>227</v>
      </c>
      <c r="J429" s="28" t="s">
        <v>2434</v>
      </c>
      <c r="K429" s="28"/>
      <c r="L429" s="28" t="s">
        <v>229</v>
      </c>
      <c r="M429" s="60" t="s">
        <v>41</v>
      </c>
      <c r="N429" s="28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</row>
    <row r="430" spans="1:30" ht="14.4">
      <c r="A430" s="28" t="s">
        <v>18</v>
      </c>
      <c r="B430" s="28" t="s">
        <v>19</v>
      </c>
      <c r="C430" s="107" t="s">
        <v>306</v>
      </c>
      <c r="D430" s="107" t="s">
        <v>341</v>
      </c>
      <c r="E430" s="107"/>
      <c r="F430" s="79" t="s">
        <v>2438</v>
      </c>
      <c r="G430" s="28"/>
      <c r="H430" s="28"/>
      <c r="I430" s="28" t="s">
        <v>227</v>
      </c>
      <c r="J430" s="28" t="s">
        <v>2434</v>
      </c>
      <c r="K430" s="28"/>
      <c r="L430" s="28" t="s">
        <v>229</v>
      </c>
      <c r="M430" s="60" t="s">
        <v>41</v>
      </c>
      <c r="N430" s="28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</row>
    <row r="431" spans="1:30" ht="14.4">
      <c r="A431" s="28" t="s">
        <v>18</v>
      </c>
      <c r="B431" s="28" t="s">
        <v>19</v>
      </c>
      <c r="C431" s="107" t="s">
        <v>306</v>
      </c>
      <c r="D431" s="107" t="s">
        <v>341</v>
      </c>
      <c r="E431" s="107"/>
      <c r="F431" s="79" t="s">
        <v>2440</v>
      </c>
      <c r="G431" s="28"/>
      <c r="H431" s="28"/>
      <c r="I431" s="28" t="s">
        <v>227</v>
      </c>
      <c r="J431" s="28" t="s">
        <v>2434</v>
      </c>
      <c r="K431" s="28"/>
      <c r="L431" s="28" t="s">
        <v>229</v>
      </c>
      <c r="M431" s="60" t="s">
        <v>41</v>
      </c>
      <c r="N431" s="28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</row>
    <row r="432" spans="1:30" ht="14.4">
      <c r="A432" s="28" t="s">
        <v>18</v>
      </c>
      <c r="B432" s="28" t="s">
        <v>19</v>
      </c>
      <c r="C432" s="107" t="s">
        <v>306</v>
      </c>
      <c r="D432" s="107" t="s">
        <v>341</v>
      </c>
      <c r="E432" s="107"/>
      <c r="F432" s="79" t="s">
        <v>2441</v>
      </c>
      <c r="G432" s="28"/>
      <c r="H432" s="28"/>
      <c r="I432" s="28" t="s">
        <v>227</v>
      </c>
      <c r="J432" s="28" t="s">
        <v>2434</v>
      </c>
      <c r="K432" s="28"/>
      <c r="L432" s="28" t="s">
        <v>229</v>
      </c>
      <c r="M432" s="60" t="s">
        <v>41</v>
      </c>
      <c r="N432" s="28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</row>
    <row r="433" spans="1:30" ht="14.4">
      <c r="A433" s="28" t="s">
        <v>18</v>
      </c>
      <c r="B433" s="28" t="s">
        <v>19</v>
      </c>
      <c r="C433" s="107" t="s">
        <v>306</v>
      </c>
      <c r="D433" s="107" t="s">
        <v>341</v>
      </c>
      <c r="E433" s="107"/>
      <c r="F433" s="79" t="s">
        <v>2445</v>
      </c>
      <c r="G433" s="28"/>
      <c r="H433" s="28"/>
      <c r="I433" s="28" t="s">
        <v>227</v>
      </c>
      <c r="J433" s="28" t="s">
        <v>2434</v>
      </c>
      <c r="K433" s="28"/>
      <c r="L433" s="28" t="s">
        <v>229</v>
      </c>
      <c r="M433" s="60" t="s">
        <v>41</v>
      </c>
      <c r="N433" s="28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</row>
    <row r="434" spans="1:30" ht="14.4">
      <c r="A434" s="28" t="s">
        <v>18</v>
      </c>
      <c r="B434" s="28" t="s">
        <v>19</v>
      </c>
      <c r="C434" s="107" t="s">
        <v>306</v>
      </c>
      <c r="D434" s="107" t="s">
        <v>341</v>
      </c>
      <c r="E434" s="107"/>
      <c r="F434" s="79" t="s">
        <v>2446</v>
      </c>
      <c r="G434" s="28"/>
      <c r="H434" s="28"/>
      <c r="I434" s="28"/>
      <c r="J434" s="28" t="s">
        <v>2448</v>
      </c>
      <c r="K434" s="28"/>
      <c r="L434" s="28" t="s">
        <v>550</v>
      </c>
      <c r="M434" s="60" t="s">
        <v>41</v>
      </c>
      <c r="N434" s="28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</row>
    <row r="435" spans="1:30" ht="14.4">
      <c r="A435" s="28" t="s">
        <v>18</v>
      </c>
      <c r="B435" s="28" t="s">
        <v>19</v>
      </c>
      <c r="C435" s="107" t="s">
        <v>306</v>
      </c>
      <c r="D435" s="107" t="s">
        <v>341</v>
      </c>
      <c r="E435" s="107"/>
      <c r="F435" s="79" t="s">
        <v>2450</v>
      </c>
      <c r="G435" s="28"/>
      <c r="H435" s="28"/>
      <c r="I435" s="28"/>
      <c r="J435" s="28" t="s">
        <v>2448</v>
      </c>
      <c r="K435" s="28"/>
      <c r="L435" s="28" t="s">
        <v>550</v>
      </c>
      <c r="M435" s="60" t="s">
        <v>41</v>
      </c>
      <c r="N435" s="28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</row>
    <row r="436" spans="1:30" ht="14.4">
      <c r="A436" s="28" t="s">
        <v>18</v>
      </c>
      <c r="B436" s="28" t="s">
        <v>19</v>
      </c>
      <c r="C436" s="107" t="s">
        <v>306</v>
      </c>
      <c r="D436" s="107" t="s">
        <v>341</v>
      </c>
      <c r="E436" s="107"/>
      <c r="F436" s="79" t="s">
        <v>2452</v>
      </c>
      <c r="G436" s="28"/>
      <c r="H436" s="28"/>
      <c r="I436" s="28"/>
      <c r="J436" s="28" t="s">
        <v>2448</v>
      </c>
      <c r="K436" s="28"/>
      <c r="L436" s="28" t="s">
        <v>550</v>
      </c>
      <c r="M436" s="60" t="s">
        <v>41</v>
      </c>
      <c r="N436" s="28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</row>
    <row r="437" spans="1:30" ht="14.4">
      <c r="A437" s="28" t="s">
        <v>18</v>
      </c>
      <c r="B437" s="28" t="s">
        <v>19</v>
      </c>
      <c r="C437" s="107" t="s">
        <v>306</v>
      </c>
      <c r="D437" s="107" t="s">
        <v>341</v>
      </c>
      <c r="E437" s="107"/>
      <c r="F437" s="79" t="s">
        <v>2453</v>
      </c>
      <c r="G437" s="28"/>
      <c r="H437" s="28"/>
      <c r="I437" s="28"/>
      <c r="J437" s="28" t="s">
        <v>2448</v>
      </c>
      <c r="K437" s="28"/>
      <c r="L437" s="28" t="s">
        <v>550</v>
      </c>
      <c r="M437" s="60" t="s">
        <v>41</v>
      </c>
      <c r="N437" s="28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</row>
    <row r="438" spans="1:30" ht="14.4">
      <c r="A438" s="28" t="s">
        <v>18</v>
      </c>
      <c r="B438" s="28" t="s">
        <v>19</v>
      </c>
      <c r="C438" s="107" t="s">
        <v>306</v>
      </c>
      <c r="D438" s="107" t="s">
        <v>341</v>
      </c>
      <c r="E438" s="107"/>
      <c r="F438" s="79" t="s">
        <v>2455</v>
      </c>
      <c r="G438" s="28"/>
      <c r="H438" s="28"/>
      <c r="I438" s="28"/>
      <c r="J438" s="28" t="s">
        <v>2448</v>
      </c>
      <c r="K438" s="28"/>
      <c r="L438" s="28" t="s">
        <v>1975</v>
      </c>
      <c r="M438" s="60" t="s">
        <v>41</v>
      </c>
      <c r="N438" s="28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</row>
    <row r="439" spans="1:30" ht="14.4">
      <c r="A439" s="28" t="s">
        <v>18</v>
      </c>
      <c r="B439" s="28" t="s">
        <v>19</v>
      </c>
      <c r="C439" s="107" t="s">
        <v>306</v>
      </c>
      <c r="D439" s="107" t="s">
        <v>341</v>
      </c>
      <c r="E439" s="107"/>
      <c r="F439" s="79" t="s">
        <v>2458</v>
      </c>
      <c r="G439" s="28"/>
      <c r="H439" s="28" t="s">
        <v>2459</v>
      </c>
      <c r="I439" s="28" t="s">
        <v>227</v>
      </c>
      <c r="J439" s="28" t="s">
        <v>2461</v>
      </c>
      <c r="K439" s="28"/>
      <c r="L439" s="28" t="s">
        <v>511</v>
      </c>
      <c r="M439" s="60" t="s">
        <v>41</v>
      </c>
      <c r="N439" s="28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</row>
    <row r="440" spans="1:30" ht="14.4">
      <c r="A440" s="28" t="s">
        <v>18</v>
      </c>
      <c r="B440" s="28" t="s">
        <v>19</v>
      </c>
      <c r="C440" s="107" t="s">
        <v>306</v>
      </c>
      <c r="D440" s="107" t="s">
        <v>341</v>
      </c>
      <c r="E440" s="107"/>
      <c r="F440" s="79" t="s">
        <v>2465</v>
      </c>
      <c r="G440" s="28"/>
      <c r="H440" s="28" t="s">
        <v>2459</v>
      </c>
      <c r="I440" s="28" t="s">
        <v>227</v>
      </c>
      <c r="J440" s="28" t="s">
        <v>2461</v>
      </c>
      <c r="K440" s="28"/>
      <c r="L440" s="28" t="s">
        <v>511</v>
      </c>
      <c r="M440" s="60" t="s">
        <v>41</v>
      </c>
      <c r="N440" s="28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</row>
    <row r="441" spans="1:30" ht="14.4">
      <c r="A441" s="28" t="s">
        <v>18</v>
      </c>
      <c r="B441" s="28" t="s">
        <v>19</v>
      </c>
      <c r="C441" s="107" t="s">
        <v>306</v>
      </c>
      <c r="D441" s="107" t="s">
        <v>341</v>
      </c>
      <c r="E441" s="107"/>
      <c r="F441" s="79" t="s">
        <v>2469</v>
      </c>
      <c r="G441" s="28"/>
      <c r="H441" s="28"/>
      <c r="I441" s="28"/>
      <c r="J441" s="28"/>
      <c r="K441" s="28"/>
      <c r="L441" s="28"/>
      <c r="M441" s="60"/>
      <c r="N441" s="28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</row>
    <row r="442" spans="1:30" ht="14.4">
      <c r="A442" s="28" t="s">
        <v>18</v>
      </c>
      <c r="B442" s="28" t="s">
        <v>19</v>
      </c>
      <c r="C442" s="107" t="s">
        <v>306</v>
      </c>
      <c r="D442" s="107" t="s">
        <v>341</v>
      </c>
      <c r="E442" s="107"/>
      <c r="F442" s="79" t="s">
        <v>2471</v>
      </c>
      <c r="G442" s="28"/>
      <c r="H442" s="28"/>
      <c r="I442" s="28"/>
      <c r="J442" s="28" t="s">
        <v>2472</v>
      </c>
      <c r="K442" s="28"/>
      <c r="L442" s="28" t="s">
        <v>2000</v>
      </c>
      <c r="M442" s="60" t="s">
        <v>41</v>
      </c>
      <c r="N442" s="28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</row>
    <row r="443" spans="1:30" ht="14.4">
      <c r="A443" s="28" t="s">
        <v>18</v>
      </c>
      <c r="B443" s="28" t="s">
        <v>19</v>
      </c>
      <c r="C443" s="107" t="s">
        <v>306</v>
      </c>
      <c r="D443" s="107" t="s">
        <v>341</v>
      </c>
      <c r="E443" s="107"/>
      <c r="F443" s="79" t="s">
        <v>2476</v>
      </c>
      <c r="G443" s="28"/>
      <c r="H443" s="28"/>
      <c r="I443" s="28"/>
      <c r="J443" s="28" t="s">
        <v>2472</v>
      </c>
      <c r="K443" s="28"/>
      <c r="L443" s="28" t="s">
        <v>2477</v>
      </c>
      <c r="M443" s="60" t="s">
        <v>41</v>
      </c>
      <c r="N443" s="28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</row>
    <row r="444" spans="1:30" ht="14.4">
      <c r="A444" s="28" t="s">
        <v>18</v>
      </c>
      <c r="B444" s="28" t="s">
        <v>19</v>
      </c>
      <c r="C444" s="107" t="s">
        <v>306</v>
      </c>
      <c r="D444" s="107" t="s">
        <v>341</v>
      </c>
      <c r="E444" s="107"/>
      <c r="F444" s="79" t="s">
        <v>2478</v>
      </c>
      <c r="G444" s="28"/>
      <c r="H444" s="28"/>
      <c r="I444" s="28"/>
      <c r="J444" s="28"/>
      <c r="K444" s="28"/>
      <c r="L444" s="28"/>
      <c r="M444" s="60"/>
      <c r="N444" s="28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</row>
    <row r="445" spans="1:30" ht="14.4">
      <c r="A445" s="28" t="s">
        <v>18</v>
      </c>
      <c r="B445" s="28" t="s">
        <v>19</v>
      </c>
      <c r="C445" s="107" t="s">
        <v>306</v>
      </c>
      <c r="D445" s="107" t="s">
        <v>341</v>
      </c>
      <c r="E445" s="107"/>
      <c r="F445" s="79" t="s">
        <v>2479</v>
      </c>
      <c r="G445" s="28"/>
      <c r="H445" s="28"/>
      <c r="I445" s="28"/>
      <c r="J445" s="28"/>
      <c r="K445" s="28"/>
      <c r="L445" s="28"/>
      <c r="M445" s="60"/>
      <c r="N445" s="28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</row>
    <row r="446" spans="1:30" ht="14.4">
      <c r="A446" s="28" t="s">
        <v>18</v>
      </c>
      <c r="B446" s="28" t="s">
        <v>19</v>
      </c>
      <c r="C446" s="107" t="s">
        <v>306</v>
      </c>
      <c r="D446" s="107" t="s">
        <v>341</v>
      </c>
      <c r="E446" s="107"/>
      <c r="F446" s="79" t="s">
        <v>2483</v>
      </c>
      <c r="G446" s="28"/>
      <c r="H446" s="28"/>
      <c r="I446" s="28"/>
      <c r="J446" s="28"/>
      <c r="K446" s="28"/>
      <c r="L446" s="28"/>
      <c r="M446" s="60"/>
      <c r="N446" s="28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</row>
    <row r="447" spans="1:30" ht="14.4">
      <c r="A447" s="28" t="s">
        <v>18</v>
      </c>
      <c r="B447" s="28" t="s">
        <v>19</v>
      </c>
      <c r="C447" s="107" t="s">
        <v>306</v>
      </c>
      <c r="D447" s="107" t="s">
        <v>341</v>
      </c>
      <c r="E447" s="107"/>
      <c r="F447" s="79" t="s">
        <v>2485</v>
      </c>
      <c r="G447" s="28"/>
      <c r="H447" s="28"/>
      <c r="I447" s="28"/>
      <c r="J447" s="28"/>
      <c r="K447" s="28"/>
      <c r="L447" s="28"/>
      <c r="M447" s="60"/>
      <c r="N447" s="28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</row>
    <row r="448" spans="1:30" ht="14.4">
      <c r="A448" s="28" t="s">
        <v>18</v>
      </c>
      <c r="B448" s="28" t="s">
        <v>19</v>
      </c>
      <c r="C448" s="107" t="s">
        <v>306</v>
      </c>
      <c r="D448" s="107" t="s">
        <v>341</v>
      </c>
      <c r="E448" s="107"/>
      <c r="F448" s="79" t="s">
        <v>2492</v>
      </c>
      <c r="G448" s="28"/>
      <c r="H448" s="28"/>
      <c r="I448" s="28"/>
      <c r="J448" s="28"/>
      <c r="K448" s="28"/>
      <c r="L448" s="28"/>
      <c r="M448" s="60"/>
      <c r="N448" s="28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</row>
    <row r="449" spans="1:30" ht="14.4">
      <c r="A449" s="28" t="s">
        <v>18</v>
      </c>
      <c r="B449" s="28" t="s">
        <v>19</v>
      </c>
      <c r="C449" s="107" t="s">
        <v>306</v>
      </c>
      <c r="D449" s="107" t="s">
        <v>341</v>
      </c>
      <c r="E449" s="107"/>
      <c r="F449" s="79" t="s">
        <v>2493</v>
      </c>
      <c r="G449" s="28"/>
      <c r="H449" s="28"/>
      <c r="I449" s="28"/>
      <c r="J449" s="28"/>
      <c r="K449" s="28"/>
      <c r="L449" s="28"/>
      <c r="M449" s="60"/>
      <c r="N449" s="28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</row>
    <row r="450" spans="1:30" ht="14.4">
      <c r="A450" s="28" t="s">
        <v>18</v>
      </c>
      <c r="B450" s="28" t="s">
        <v>19</v>
      </c>
      <c r="C450" s="107" t="s">
        <v>306</v>
      </c>
      <c r="D450" s="107" t="s">
        <v>341</v>
      </c>
      <c r="E450" s="107"/>
      <c r="F450" s="79" t="s">
        <v>2497</v>
      </c>
      <c r="G450" s="28"/>
      <c r="H450" s="28"/>
      <c r="I450" s="28"/>
      <c r="J450" s="28"/>
      <c r="K450" s="28"/>
      <c r="L450" s="28"/>
      <c r="M450" s="60"/>
      <c r="N450" s="28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</row>
    <row r="451" spans="1:30" ht="14.4">
      <c r="A451" s="28" t="s">
        <v>18</v>
      </c>
      <c r="B451" s="28" t="s">
        <v>19</v>
      </c>
      <c r="C451" s="107" t="s">
        <v>306</v>
      </c>
      <c r="D451" s="107" t="s">
        <v>341</v>
      </c>
      <c r="E451" s="107"/>
      <c r="F451" s="79" t="s">
        <v>2498</v>
      </c>
      <c r="G451" s="28"/>
      <c r="H451" s="28"/>
      <c r="I451" s="28"/>
      <c r="J451" s="28" t="s">
        <v>2500</v>
      </c>
      <c r="K451" s="28"/>
      <c r="L451" s="28" t="s">
        <v>2000</v>
      </c>
      <c r="M451" s="60" t="s">
        <v>41</v>
      </c>
      <c r="N451" s="28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</row>
    <row r="452" spans="1:30" ht="14.4">
      <c r="A452" s="28" t="s">
        <v>18</v>
      </c>
      <c r="B452" s="28" t="s">
        <v>19</v>
      </c>
      <c r="C452" s="107" t="s">
        <v>306</v>
      </c>
      <c r="D452" s="107" t="s">
        <v>341</v>
      </c>
      <c r="E452" s="107"/>
      <c r="F452" s="79" t="s">
        <v>2502</v>
      </c>
      <c r="G452" s="28"/>
      <c r="H452" s="28" t="s">
        <v>2503</v>
      </c>
      <c r="I452" s="28"/>
      <c r="J452" s="28" t="s">
        <v>2500</v>
      </c>
      <c r="K452" s="28"/>
      <c r="L452" s="28" t="s">
        <v>2504</v>
      </c>
      <c r="M452" s="60" t="s">
        <v>41</v>
      </c>
      <c r="N452" s="28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</row>
    <row r="453" spans="1:30" ht="14.4">
      <c r="A453" s="28" t="s">
        <v>18</v>
      </c>
      <c r="B453" s="28" t="s">
        <v>19</v>
      </c>
      <c r="C453" s="107" t="s">
        <v>306</v>
      </c>
      <c r="D453" s="107" t="s">
        <v>341</v>
      </c>
      <c r="E453" s="107"/>
      <c r="F453" s="79" t="s">
        <v>2506</v>
      </c>
      <c r="G453" s="28"/>
      <c r="H453" s="28" t="s">
        <v>2503</v>
      </c>
      <c r="I453" s="28"/>
      <c r="J453" s="28" t="s">
        <v>2500</v>
      </c>
      <c r="K453" s="28"/>
      <c r="L453" s="28" t="s">
        <v>2504</v>
      </c>
      <c r="M453" s="60" t="s">
        <v>41</v>
      </c>
      <c r="N453" s="28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</row>
    <row r="454" spans="1:30" ht="14.4">
      <c r="A454" s="28" t="s">
        <v>18</v>
      </c>
      <c r="B454" s="28" t="s">
        <v>19</v>
      </c>
      <c r="C454" s="107" t="s">
        <v>306</v>
      </c>
      <c r="D454" s="107" t="s">
        <v>341</v>
      </c>
      <c r="E454" s="107"/>
      <c r="F454" s="79" t="s">
        <v>2508</v>
      </c>
      <c r="G454" s="28"/>
      <c r="H454" s="28" t="s">
        <v>695</v>
      </c>
      <c r="I454" s="28" t="s">
        <v>211</v>
      </c>
      <c r="J454" s="28" t="s">
        <v>2509</v>
      </c>
      <c r="K454" s="28"/>
      <c r="L454" s="28" t="s">
        <v>1989</v>
      </c>
      <c r="M454" s="60" t="s">
        <v>41</v>
      </c>
      <c r="N454" s="28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</row>
    <row r="455" spans="1:30" ht="14.4">
      <c r="A455" s="28" t="s">
        <v>18</v>
      </c>
      <c r="B455" s="28" t="s">
        <v>19</v>
      </c>
      <c r="C455" s="107" t="s">
        <v>306</v>
      </c>
      <c r="D455" s="107" t="s">
        <v>341</v>
      </c>
      <c r="E455" s="107"/>
      <c r="F455" s="79" t="s">
        <v>2510</v>
      </c>
      <c r="G455" s="28"/>
      <c r="H455" s="28" t="s">
        <v>695</v>
      </c>
      <c r="I455" s="28" t="s">
        <v>211</v>
      </c>
      <c r="J455" s="28" t="s">
        <v>2509</v>
      </c>
      <c r="K455" s="28"/>
      <c r="L455" s="28" t="s">
        <v>1989</v>
      </c>
      <c r="M455" s="60" t="s">
        <v>41</v>
      </c>
      <c r="N455" s="28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</row>
    <row r="456" spans="1:30" ht="14.4">
      <c r="A456" s="28" t="s">
        <v>18</v>
      </c>
      <c r="B456" s="28" t="s">
        <v>19</v>
      </c>
      <c r="C456" s="107" t="s">
        <v>306</v>
      </c>
      <c r="D456" s="107" t="s">
        <v>341</v>
      </c>
      <c r="E456" s="107"/>
      <c r="F456" s="79" t="s">
        <v>2517</v>
      </c>
      <c r="G456" s="28"/>
      <c r="H456" s="28" t="s">
        <v>695</v>
      </c>
      <c r="I456" s="28" t="s">
        <v>211</v>
      </c>
      <c r="J456" s="28" t="s">
        <v>2509</v>
      </c>
      <c r="K456" s="28"/>
      <c r="L456" s="28" t="s">
        <v>1989</v>
      </c>
      <c r="M456" s="60" t="s">
        <v>41</v>
      </c>
      <c r="N456" s="28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</row>
    <row r="457" spans="1:30" ht="14.4">
      <c r="A457" s="28" t="s">
        <v>18</v>
      </c>
      <c r="B457" s="28" t="s">
        <v>19</v>
      </c>
      <c r="C457" s="107" t="s">
        <v>306</v>
      </c>
      <c r="D457" s="107" t="s">
        <v>341</v>
      </c>
      <c r="E457" s="107"/>
      <c r="F457" s="79" t="s">
        <v>2518</v>
      </c>
      <c r="G457" s="28"/>
      <c r="H457" s="28" t="s">
        <v>2045</v>
      </c>
      <c r="I457" s="28" t="s">
        <v>66</v>
      </c>
      <c r="J457" s="28" t="s">
        <v>2519</v>
      </c>
      <c r="K457" s="28"/>
      <c r="L457" s="28" t="s">
        <v>2521</v>
      </c>
      <c r="M457" s="60" t="s">
        <v>41</v>
      </c>
      <c r="N457" s="28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</row>
    <row r="458" spans="1:30" ht="14.4">
      <c r="A458" s="28" t="s">
        <v>18</v>
      </c>
      <c r="B458" s="28" t="s">
        <v>19</v>
      </c>
      <c r="C458" s="107" t="s">
        <v>306</v>
      </c>
      <c r="D458" s="107" t="s">
        <v>341</v>
      </c>
      <c r="E458" s="107"/>
      <c r="F458" s="79" t="s">
        <v>2525</v>
      </c>
      <c r="G458" s="28"/>
      <c r="H458" s="28" t="s">
        <v>2045</v>
      </c>
      <c r="I458" s="28" t="s">
        <v>66</v>
      </c>
      <c r="J458" s="28" t="s">
        <v>2519</v>
      </c>
      <c r="K458" s="28"/>
      <c r="L458" s="28" t="s">
        <v>2526</v>
      </c>
      <c r="M458" s="60" t="s">
        <v>41</v>
      </c>
      <c r="N458" s="28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</row>
    <row r="459" spans="1:30" ht="14.4">
      <c r="A459" s="28" t="s">
        <v>18</v>
      </c>
      <c r="B459" s="28" t="s">
        <v>19</v>
      </c>
      <c r="C459" s="107" t="s">
        <v>306</v>
      </c>
      <c r="D459" s="107" t="s">
        <v>341</v>
      </c>
      <c r="E459" s="107"/>
      <c r="F459" s="79" t="s">
        <v>2527</v>
      </c>
      <c r="G459" s="28"/>
      <c r="H459" s="28" t="s">
        <v>2045</v>
      </c>
      <c r="I459" s="28" t="s">
        <v>66</v>
      </c>
      <c r="J459" s="28" t="s">
        <v>2519</v>
      </c>
      <c r="K459" s="28"/>
      <c r="L459" s="28" t="s">
        <v>2526</v>
      </c>
      <c r="M459" s="60" t="s">
        <v>41</v>
      </c>
      <c r="N459" s="28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</row>
    <row r="460" spans="1:30" ht="14.4">
      <c r="A460" s="28" t="s">
        <v>18</v>
      </c>
      <c r="B460" s="28" t="s">
        <v>19</v>
      </c>
      <c r="C460" s="107" t="s">
        <v>306</v>
      </c>
      <c r="D460" s="107" t="s">
        <v>341</v>
      </c>
      <c r="E460" s="107"/>
      <c r="F460" s="79" t="s">
        <v>2533</v>
      </c>
      <c r="G460" s="28"/>
      <c r="H460" s="28" t="s">
        <v>2045</v>
      </c>
      <c r="I460" s="28" t="s">
        <v>66</v>
      </c>
      <c r="J460" s="28" t="s">
        <v>2519</v>
      </c>
      <c r="K460" s="28"/>
      <c r="L460" s="28" t="s">
        <v>2526</v>
      </c>
      <c r="M460" s="60" t="s">
        <v>41</v>
      </c>
      <c r="N460" s="28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</row>
    <row r="461" spans="1:30" ht="14.4">
      <c r="A461" s="28" t="s">
        <v>18</v>
      </c>
      <c r="B461" s="28" t="s">
        <v>19</v>
      </c>
      <c r="C461" s="107" t="s">
        <v>306</v>
      </c>
      <c r="D461" s="107" t="s">
        <v>341</v>
      </c>
      <c r="E461" s="107"/>
      <c r="F461" s="79" t="s">
        <v>2534</v>
      </c>
      <c r="G461" s="28"/>
      <c r="H461" s="28" t="s">
        <v>2045</v>
      </c>
      <c r="I461" s="28" t="s">
        <v>66</v>
      </c>
      <c r="J461" s="28" t="s">
        <v>2519</v>
      </c>
      <c r="K461" s="28"/>
      <c r="L461" s="28" t="s">
        <v>2526</v>
      </c>
      <c r="M461" s="60" t="s">
        <v>41</v>
      </c>
      <c r="N461" s="28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</row>
    <row r="462" spans="1:30" ht="14.4">
      <c r="A462" s="28" t="s">
        <v>18</v>
      </c>
      <c r="B462" s="28" t="s">
        <v>19</v>
      </c>
      <c r="C462" s="107" t="s">
        <v>306</v>
      </c>
      <c r="D462" s="107" t="s">
        <v>341</v>
      </c>
      <c r="E462" s="107"/>
      <c r="F462" s="79" t="s">
        <v>2538</v>
      </c>
      <c r="G462" s="28"/>
      <c r="H462" s="28" t="s">
        <v>2045</v>
      </c>
      <c r="I462" s="28" t="s">
        <v>66</v>
      </c>
      <c r="J462" s="28" t="s">
        <v>2519</v>
      </c>
      <c r="K462" s="28"/>
      <c r="L462" s="28" t="s">
        <v>2526</v>
      </c>
      <c r="M462" s="60" t="s">
        <v>41</v>
      </c>
      <c r="N462" s="28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</row>
    <row r="463" spans="1:30" ht="14.4">
      <c r="A463" s="28" t="s">
        <v>18</v>
      </c>
      <c r="B463" s="28" t="s">
        <v>19</v>
      </c>
      <c r="C463" s="107" t="s">
        <v>306</v>
      </c>
      <c r="D463" s="107" t="s">
        <v>341</v>
      </c>
      <c r="E463" s="107"/>
      <c r="F463" s="79" t="s">
        <v>2541</v>
      </c>
      <c r="G463" s="28"/>
      <c r="H463" s="28" t="s">
        <v>2045</v>
      </c>
      <c r="I463" s="28" t="s">
        <v>66</v>
      </c>
      <c r="J463" s="28" t="s">
        <v>2519</v>
      </c>
      <c r="K463" s="28"/>
      <c r="L463" s="28" t="s">
        <v>2526</v>
      </c>
      <c r="M463" s="60" t="s">
        <v>41</v>
      </c>
      <c r="N463" s="28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</row>
    <row r="464" spans="1:30" ht="14.4">
      <c r="A464" s="28" t="s">
        <v>18</v>
      </c>
      <c r="B464" s="28" t="s">
        <v>19</v>
      </c>
      <c r="C464" s="107" t="s">
        <v>306</v>
      </c>
      <c r="D464" s="107" t="s">
        <v>341</v>
      </c>
      <c r="E464" s="107"/>
      <c r="F464" s="79" t="s">
        <v>2545</v>
      </c>
      <c r="G464" s="28"/>
      <c r="H464" s="28" t="s">
        <v>1973</v>
      </c>
      <c r="I464" s="28" t="s">
        <v>211</v>
      </c>
      <c r="J464" s="28" t="s">
        <v>2549</v>
      </c>
      <c r="K464" s="28"/>
      <c r="L464" s="28" t="s">
        <v>1975</v>
      </c>
      <c r="M464" s="60" t="s">
        <v>41</v>
      </c>
      <c r="N464" s="28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</row>
    <row r="465" spans="1:30" ht="14.4">
      <c r="A465" s="28" t="s">
        <v>18</v>
      </c>
      <c r="B465" s="28" t="s">
        <v>19</v>
      </c>
      <c r="C465" s="107" t="s">
        <v>306</v>
      </c>
      <c r="D465" s="107" t="s">
        <v>341</v>
      </c>
      <c r="E465" s="107"/>
      <c r="F465" s="79" t="s">
        <v>2550</v>
      </c>
      <c r="G465" s="28"/>
      <c r="H465" s="28" t="s">
        <v>1973</v>
      </c>
      <c r="I465" s="28" t="s">
        <v>211</v>
      </c>
      <c r="J465" s="28" t="s">
        <v>2549</v>
      </c>
      <c r="K465" s="28"/>
      <c r="L465" s="28" t="s">
        <v>1975</v>
      </c>
      <c r="M465" s="60" t="s">
        <v>41</v>
      </c>
      <c r="N465" s="28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</row>
    <row r="466" spans="1:30" ht="14.4">
      <c r="A466" s="28" t="s">
        <v>18</v>
      </c>
      <c r="B466" s="28" t="s">
        <v>19</v>
      </c>
      <c r="C466" s="107" t="s">
        <v>306</v>
      </c>
      <c r="D466" s="107" t="s">
        <v>341</v>
      </c>
      <c r="E466" s="107"/>
      <c r="F466" s="79" t="s">
        <v>2557</v>
      </c>
      <c r="G466" s="28"/>
      <c r="H466" s="28" t="s">
        <v>1973</v>
      </c>
      <c r="I466" s="28" t="s">
        <v>211</v>
      </c>
      <c r="J466" s="28" t="s">
        <v>2549</v>
      </c>
      <c r="K466" s="28"/>
      <c r="L466" s="28" t="s">
        <v>1975</v>
      </c>
      <c r="M466" s="60" t="s">
        <v>41</v>
      </c>
      <c r="N466" s="28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</row>
    <row r="467" spans="1:30" ht="14.4">
      <c r="A467" s="28" t="s">
        <v>18</v>
      </c>
      <c r="B467" s="28" t="s">
        <v>19</v>
      </c>
      <c r="C467" s="107" t="s">
        <v>306</v>
      </c>
      <c r="D467" s="107" t="s">
        <v>341</v>
      </c>
      <c r="E467" s="107"/>
      <c r="F467" s="79" t="s">
        <v>2560</v>
      </c>
      <c r="G467" s="28"/>
      <c r="H467" s="28" t="s">
        <v>1973</v>
      </c>
      <c r="I467" s="28" t="s">
        <v>211</v>
      </c>
      <c r="J467" s="28" t="s">
        <v>2549</v>
      </c>
      <c r="K467" s="28"/>
      <c r="L467" s="28" t="s">
        <v>1975</v>
      </c>
      <c r="M467" s="60" t="s">
        <v>41</v>
      </c>
      <c r="N467" s="28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</row>
    <row r="468" spans="1:30" ht="14.4">
      <c r="A468" s="28" t="s">
        <v>18</v>
      </c>
      <c r="B468" s="28" t="s">
        <v>19</v>
      </c>
      <c r="C468" s="107" t="s">
        <v>306</v>
      </c>
      <c r="D468" s="107" t="s">
        <v>341</v>
      </c>
      <c r="E468" s="107"/>
      <c r="F468" s="79" t="s">
        <v>2565</v>
      </c>
      <c r="G468" s="28"/>
      <c r="H468" s="28" t="s">
        <v>1973</v>
      </c>
      <c r="I468" s="28" t="s">
        <v>211</v>
      </c>
      <c r="J468" s="28" t="s">
        <v>2549</v>
      </c>
      <c r="K468" s="28"/>
      <c r="L468" s="28" t="s">
        <v>1975</v>
      </c>
      <c r="M468" s="60" t="s">
        <v>41</v>
      </c>
      <c r="N468" s="28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</row>
    <row r="469" spans="1:30" ht="14.4">
      <c r="A469" s="28" t="s">
        <v>18</v>
      </c>
      <c r="B469" s="28" t="s">
        <v>19</v>
      </c>
      <c r="C469" s="107" t="s">
        <v>306</v>
      </c>
      <c r="D469" s="107" t="s">
        <v>341</v>
      </c>
      <c r="E469" s="107"/>
      <c r="F469" s="79" t="s">
        <v>2570</v>
      </c>
      <c r="G469" s="28"/>
      <c r="H469" s="28" t="s">
        <v>1973</v>
      </c>
      <c r="I469" s="28" t="s">
        <v>211</v>
      </c>
      <c r="J469" s="28" t="s">
        <v>2549</v>
      </c>
      <c r="K469" s="28"/>
      <c r="L469" s="28" t="s">
        <v>1975</v>
      </c>
      <c r="M469" s="60" t="s">
        <v>41</v>
      </c>
      <c r="N469" s="28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</row>
    <row r="470" spans="1:30" ht="14.4">
      <c r="A470" s="28" t="s">
        <v>18</v>
      </c>
      <c r="B470" s="28" t="s">
        <v>19</v>
      </c>
      <c r="C470" s="107" t="s">
        <v>306</v>
      </c>
      <c r="D470" s="107" t="s">
        <v>341</v>
      </c>
      <c r="E470" s="107"/>
      <c r="F470" s="79" t="s">
        <v>2572</v>
      </c>
      <c r="G470" s="28"/>
      <c r="H470" s="28" t="s">
        <v>1973</v>
      </c>
      <c r="I470" s="28" t="s">
        <v>211</v>
      </c>
      <c r="J470" s="28" t="s">
        <v>2549</v>
      </c>
      <c r="K470" s="28"/>
      <c r="L470" s="28" t="s">
        <v>1975</v>
      </c>
      <c r="M470" s="60" t="s">
        <v>41</v>
      </c>
      <c r="N470" s="28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</row>
    <row r="471" spans="1:30" ht="14.4">
      <c r="A471" s="28" t="s">
        <v>18</v>
      </c>
      <c r="B471" s="28" t="s">
        <v>19</v>
      </c>
      <c r="C471" s="107" t="s">
        <v>306</v>
      </c>
      <c r="D471" s="107" t="s">
        <v>341</v>
      </c>
      <c r="E471" s="107"/>
      <c r="F471" s="79" t="s">
        <v>2577</v>
      </c>
      <c r="G471" s="28"/>
      <c r="H471" s="28" t="s">
        <v>1973</v>
      </c>
      <c r="I471" s="28" t="s">
        <v>211</v>
      </c>
      <c r="J471" s="28" t="s">
        <v>2549</v>
      </c>
      <c r="K471" s="28"/>
      <c r="L471" s="28" t="s">
        <v>1975</v>
      </c>
      <c r="M471" s="60" t="s">
        <v>41</v>
      </c>
      <c r="N471" s="28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</row>
    <row r="472" spans="1:30" ht="14.4">
      <c r="A472" s="28" t="s">
        <v>18</v>
      </c>
      <c r="B472" s="28" t="s">
        <v>19</v>
      </c>
      <c r="C472" s="107" t="s">
        <v>306</v>
      </c>
      <c r="D472" s="107" t="s">
        <v>341</v>
      </c>
      <c r="E472" s="107"/>
      <c r="F472" s="79" t="s">
        <v>2583</v>
      </c>
      <c r="G472" s="28"/>
      <c r="H472" s="28" t="s">
        <v>1973</v>
      </c>
      <c r="I472" s="28" t="s">
        <v>211</v>
      </c>
      <c r="J472" s="28" t="s">
        <v>2549</v>
      </c>
      <c r="K472" s="28"/>
      <c r="L472" s="28" t="s">
        <v>1975</v>
      </c>
      <c r="M472" s="60" t="s">
        <v>41</v>
      </c>
      <c r="N472" s="28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</row>
    <row r="473" spans="1:30" ht="14.4">
      <c r="A473" s="28" t="s">
        <v>18</v>
      </c>
      <c r="B473" s="28" t="s">
        <v>19</v>
      </c>
      <c r="C473" s="107" t="s">
        <v>306</v>
      </c>
      <c r="D473" s="107" t="s">
        <v>341</v>
      </c>
      <c r="E473" s="107"/>
      <c r="F473" s="79" t="s">
        <v>2584</v>
      </c>
      <c r="G473" s="28"/>
      <c r="H473" s="28" t="s">
        <v>1973</v>
      </c>
      <c r="I473" s="28" t="s">
        <v>211</v>
      </c>
      <c r="J473" s="28" t="s">
        <v>2549</v>
      </c>
      <c r="K473" s="28"/>
      <c r="L473" s="28" t="s">
        <v>1975</v>
      </c>
      <c r="M473" s="60" t="s">
        <v>41</v>
      </c>
      <c r="N473" s="28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</row>
    <row r="474" spans="1:30" ht="14.4">
      <c r="A474" s="28" t="s">
        <v>18</v>
      </c>
      <c r="B474" s="28" t="s">
        <v>19</v>
      </c>
      <c r="C474" s="107" t="s">
        <v>306</v>
      </c>
      <c r="D474" s="107" t="s">
        <v>341</v>
      </c>
      <c r="E474" s="107"/>
      <c r="F474" s="79" t="s">
        <v>2590</v>
      </c>
      <c r="G474" s="28"/>
      <c r="H474" s="28"/>
      <c r="I474" s="28" t="s">
        <v>227</v>
      </c>
      <c r="J474" s="28" t="s">
        <v>2461</v>
      </c>
      <c r="K474" s="28"/>
      <c r="L474" s="28" t="s">
        <v>2591</v>
      </c>
      <c r="M474" s="60" t="s">
        <v>41</v>
      </c>
      <c r="N474" s="28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</row>
    <row r="475" spans="1:30" ht="14.4">
      <c r="A475" s="28" t="s">
        <v>18</v>
      </c>
      <c r="B475" s="28" t="s">
        <v>19</v>
      </c>
      <c r="C475" s="107" t="s">
        <v>306</v>
      </c>
      <c r="D475" s="107" t="s">
        <v>341</v>
      </c>
      <c r="E475" s="107"/>
      <c r="F475" s="79" t="s">
        <v>2593</v>
      </c>
      <c r="G475" s="28"/>
      <c r="H475" s="28"/>
      <c r="I475" s="28" t="s">
        <v>227</v>
      </c>
      <c r="J475" s="28" t="s">
        <v>2461</v>
      </c>
      <c r="K475" s="28"/>
      <c r="L475" s="28" t="s">
        <v>2591</v>
      </c>
      <c r="M475" s="60" t="s">
        <v>41</v>
      </c>
      <c r="N475" s="28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</row>
    <row r="476" spans="1:30" ht="14.4">
      <c r="A476" s="28" t="s">
        <v>18</v>
      </c>
      <c r="B476" s="28" t="s">
        <v>19</v>
      </c>
      <c r="C476" s="107" t="s">
        <v>306</v>
      </c>
      <c r="D476" s="107" t="s">
        <v>341</v>
      </c>
      <c r="E476" s="107"/>
      <c r="F476" s="79" t="s">
        <v>2596</v>
      </c>
      <c r="G476" s="28"/>
      <c r="H476" s="28" t="s">
        <v>2459</v>
      </c>
      <c r="I476" s="28" t="s">
        <v>227</v>
      </c>
      <c r="J476" s="28" t="s">
        <v>2461</v>
      </c>
      <c r="K476" s="28"/>
      <c r="L476" s="28" t="s">
        <v>511</v>
      </c>
      <c r="M476" s="60" t="s">
        <v>41</v>
      </c>
      <c r="N476" s="28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</row>
    <row r="477" spans="1:30" ht="14.4">
      <c r="A477" s="28" t="s">
        <v>18</v>
      </c>
      <c r="B477" s="28" t="s">
        <v>19</v>
      </c>
      <c r="C477" s="107" t="s">
        <v>306</v>
      </c>
      <c r="D477" s="107" t="s">
        <v>341</v>
      </c>
      <c r="E477" s="107"/>
      <c r="F477" s="79" t="s">
        <v>2601</v>
      </c>
      <c r="G477" s="28"/>
      <c r="H477" s="28" t="s">
        <v>2459</v>
      </c>
      <c r="I477" s="28" t="s">
        <v>227</v>
      </c>
      <c r="J477" s="28" t="s">
        <v>2461</v>
      </c>
      <c r="K477" s="28"/>
      <c r="L477" s="28" t="s">
        <v>511</v>
      </c>
      <c r="M477" s="60" t="s">
        <v>41</v>
      </c>
      <c r="N477" s="28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</row>
    <row r="478" spans="1:30" ht="14.4">
      <c r="A478" s="28" t="s">
        <v>18</v>
      </c>
      <c r="B478" s="28" t="s">
        <v>19</v>
      </c>
      <c r="C478" s="107" t="s">
        <v>306</v>
      </c>
      <c r="D478" s="107" t="s">
        <v>341</v>
      </c>
      <c r="E478" s="107"/>
      <c r="F478" s="79" t="s">
        <v>2605</v>
      </c>
      <c r="G478" s="28"/>
      <c r="H478" s="28" t="s">
        <v>621</v>
      </c>
      <c r="I478" s="28" t="s">
        <v>2609</v>
      </c>
      <c r="J478" s="28" t="s">
        <v>2610</v>
      </c>
      <c r="K478" s="28"/>
      <c r="L478" s="28" t="s">
        <v>623</v>
      </c>
      <c r="M478" s="60" t="s">
        <v>41</v>
      </c>
      <c r="N478" s="28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</row>
    <row r="479" spans="1:30" ht="14.4">
      <c r="A479" s="28" t="s">
        <v>18</v>
      </c>
      <c r="B479" s="28" t="s">
        <v>19</v>
      </c>
      <c r="C479" s="107" t="s">
        <v>306</v>
      </c>
      <c r="D479" s="107" t="s">
        <v>341</v>
      </c>
      <c r="E479" s="107"/>
      <c r="F479" s="79" t="s">
        <v>2611</v>
      </c>
      <c r="G479" s="28"/>
      <c r="H479" s="28" t="s">
        <v>621</v>
      </c>
      <c r="I479" s="28" t="s">
        <v>2609</v>
      </c>
      <c r="J479" s="28" t="s">
        <v>2610</v>
      </c>
      <c r="K479" s="28"/>
      <c r="L479" s="28" t="s">
        <v>623</v>
      </c>
      <c r="M479" s="60" t="s">
        <v>41</v>
      </c>
      <c r="N479" s="28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</row>
    <row r="480" spans="1:30" ht="14.4">
      <c r="A480" s="28" t="s">
        <v>18</v>
      </c>
      <c r="B480" s="28" t="s">
        <v>19</v>
      </c>
      <c r="C480" s="107" t="s">
        <v>306</v>
      </c>
      <c r="D480" s="107" t="s">
        <v>341</v>
      </c>
      <c r="E480" s="107"/>
      <c r="F480" s="79" t="s">
        <v>2616</v>
      </c>
      <c r="G480" s="28"/>
      <c r="H480" s="28" t="s">
        <v>621</v>
      </c>
      <c r="I480" s="28" t="s">
        <v>2609</v>
      </c>
      <c r="J480" s="28" t="s">
        <v>2610</v>
      </c>
      <c r="K480" s="28"/>
      <c r="L480" s="28" t="s">
        <v>623</v>
      </c>
      <c r="M480" s="60" t="s">
        <v>41</v>
      </c>
      <c r="N480" s="28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</row>
    <row r="481" spans="1:30" ht="14.4">
      <c r="A481" s="28" t="s">
        <v>18</v>
      </c>
      <c r="B481" s="28" t="s">
        <v>19</v>
      </c>
      <c r="C481" s="107" t="s">
        <v>306</v>
      </c>
      <c r="D481" s="107" t="s">
        <v>341</v>
      </c>
      <c r="E481" s="107"/>
      <c r="F481" s="28" t="s">
        <v>2620</v>
      </c>
      <c r="G481" s="28"/>
      <c r="H481" s="28"/>
      <c r="I481" s="28"/>
      <c r="J481" s="28" t="s">
        <v>2621</v>
      </c>
      <c r="K481" s="28"/>
      <c r="L481" s="28" t="s">
        <v>2622</v>
      </c>
      <c r="M481" s="60" t="s">
        <v>41</v>
      </c>
      <c r="N481" s="28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</row>
    <row r="482" spans="1:30" ht="14.4">
      <c r="A482" s="28" t="s">
        <v>18</v>
      </c>
      <c r="B482" s="28" t="s">
        <v>19</v>
      </c>
      <c r="C482" s="107" t="s">
        <v>306</v>
      </c>
      <c r="D482" s="107" t="s">
        <v>341</v>
      </c>
      <c r="E482" s="107"/>
      <c r="F482" s="79" t="s">
        <v>2623</v>
      </c>
      <c r="G482" s="28"/>
      <c r="H482" s="28"/>
      <c r="I482" s="28"/>
      <c r="J482" s="28" t="s">
        <v>2621</v>
      </c>
      <c r="K482" s="28"/>
      <c r="L482" s="28" t="s">
        <v>2622</v>
      </c>
      <c r="M482" s="60" t="s">
        <v>41</v>
      </c>
      <c r="N482" s="28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</row>
    <row r="483" spans="1:30" ht="14.4">
      <c r="A483" s="28" t="s">
        <v>18</v>
      </c>
      <c r="B483" s="28" t="s">
        <v>19</v>
      </c>
      <c r="C483" s="107" t="s">
        <v>306</v>
      </c>
      <c r="D483" s="107" t="s">
        <v>341</v>
      </c>
      <c r="E483" s="107"/>
      <c r="F483" s="79" t="s">
        <v>2626</v>
      </c>
      <c r="G483" s="28"/>
      <c r="H483" s="28" t="s">
        <v>2627</v>
      </c>
      <c r="I483" s="28" t="s">
        <v>2628</v>
      </c>
      <c r="J483" s="28" t="s">
        <v>2629</v>
      </c>
      <c r="K483" s="28"/>
      <c r="L483" s="28" t="s">
        <v>2630</v>
      </c>
      <c r="M483" s="60" t="s">
        <v>41</v>
      </c>
      <c r="N483" s="28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</row>
    <row r="484" spans="1:30" ht="14.4">
      <c r="A484" s="28" t="s">
        <v>18</v>
      </c>
      <c r="B484" s="28" t="s">
        <v>19</v>
      </c>
      <c r="C484" s="107" t="s">
        <v>306</v>
      </c>
      <c r="D484" s="107" t="s">
        <v>341</v>
      </c>
      <c r="E484" s="107"/>
      <c r="F484" s="79" t="s">
        <v>2632</v>
      </c>
      <c r="G484" s="28"/>
      <c r="H484" s="28" t="s">
        <v>2627</v>
      </c>
      <c r="I484" s="28" t="s">
        <v>2628</v>
      </c>
      <c r="J484" s="28" t="s">
        <v>2629</v>
      </c>
      <c r="K484" s="28"/>
      <c r="L484" s="28" t="s">
        <v>2630</v>
      </c>
      <c r="M484" s="60" t="s">
        <v>41</v>
      </c>
      <c r="N484" s="28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</row>
    <row r="485" spans="1:30" ht="14.4">
      <c r="A485" s="28" t="s">
        <v>18</v>
      </c>
      <c r="B485" s="28" t="s">
        <v>19</v>
      </c>
      <c r="C485" s="107" t="s">
        <v>306</v>
      </c>
      <c r="D485" s="107" t="s">
        <v>341</v>
      </c>
      <c r="E485" s="107"/>
      <c r="F485" s="79" t="s">
        <v>2634</v>
      </c>
      <c r="G485" s="28"/>
      <c r="H485" s="28" t="s">
        <v>2627</v>
      </c>
      <c r="I485" s="28" t="s">
        <v>2628</v>
      </c>
      <c r="J485" s="28" t="s">
        <v>2629</v>
      </c>
      <c r="K485" s="28"/>
      <c r="L485" s="28" t="s">
        <v>2630</v>
      </c>
      <c r="M485" s="60" t="s">
        <v>41</v>
      </c>
      <c r="N485" s="28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</row>
    <row r="486" spans="1:30" ht="14.4">
      <c r="A486" s="28" t="s">
        <v>18</v>
      </c>
      <c r="B486" s="28" t="s">
        <v>19</v>
      </c>
      <c r="C486" s="107" t="s">
        <v>306</v>
      </c>
      <c r="D486" s="107" t="s">
        <v>341</v>
      </c>
      <c r="E486" s="107"/>
      <c r="F486" s="79" t="s">
        <v>2639</v>
      </c>
      <c r="G486" s="28"/>
      <c r="H486" s="28" t="s">
        <v>2640</v>
      </c>
      <c r="I486" s="28" t="s">
        <v>2038</v>
      </c>
      <c r="J486" s="28" t="s">
        <v>2641</v>
      </c>
      <c r="K486" s="28"/>
      <c r="L486" s="28" t="s">
        <v>2038</v>
      </c>
      <c r="M486" s="60" t="s">
        <v>41</v>
      </c>
      <c r="N486" s="28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</row>
    <row r="487" spans="1:30" ht="14.4">
      <c r="A487" s="28" t="s">
        <v>18</v>
      </c>
      <c r="B487" s="28" t="s">
        <v>19</v>
      </c>
      <c r="C487" s="107" t="s">
        <v>306</v>
      </c>
      <c r="D487" s="107" t="s">
        <v>341</v>
      </c>
      <c r="E487" s="107"/>
      <c r="F487" s="79" t="s">
        <v>2645</v>
      </c>
      <c r="G487" s="28"/>
      <c r="H487" s="28" t="s">
        <v>2640</v>
      </c>
      <c r="I487" s="28" t="s">
        <v>2038</v>
      </c>
      <c r="J487" s="28" t="s">
        <v>2641</v>
      </c>
      <c r="K487" s="28"/>
      <c r="L487" s="28" t="s">
        <v>2038</v>
      </c>
      <c r="M487" s="60" t="s">
        <v>41</v>
      </c>
      <c r="N487" s="28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</row>
    <row r="488" spans="1:30" ht="14.4">
      <c r="A488" s="28" t="s">
        <v>18</v>
      </c>
      <c r="B488" s="28" t="s">
        <v>19</v>
      </c>
      <c r="C488" s="107" t="s">
        <v>306</v>
      </c>
      <c r="D488" s="107" t="s">
        <v>341</v>
      </c>
      <c r="E488" s="107"/>
      <c r="F488" s="79" t="s">
        <v>2647</v>
      </c>
      <c r="G488" s="28"/>
      <c r="H488" s="28" t="s">
        <v>2640</v>
      </c>
      <c r="I488" s="28" t="s">
        <v>2038</v>
      </c>
      <c r="J488" s="28" t="s">
        <v>2641</v>
      </c>
      <c r="K488" s="28"/>
      <c r="L488" s="28" t="s">
        <v>2038</v>
      </c>
      <c r="M488" s="60" t="s">
        <v>41</v>
      </c>
      <c r="N488" s="28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</row>
    <row r="489" spans="1:30" ht="14.4">
      <c r="A489" s="28" t="s">
        <v>18</v>
      </c>
      <c r="B489" s="28" t="s">
        <v>19</v>
      </c>
      <c r="C489" s="107" t="s">
        <v>306</v>
      </c>
      <c r="D489" s="107" t="s">
        <v>341</v>
      </c>
      <c r="E489" s="107"/>
      <c r="F489" s="79" t="s">
        <v>2648</v>
      </c>
      <c r="G489" s="28"/>
      <c r="H489" s="28" t="s">
        <v>2650</v>
      </c>
      <c r="I489" s="28"/>
      <c r="J489" s="28" t="s">
        <v>2651</v>
      </c>
      <c r="K489" s="28"/>
      <c r="L489" s="28" t="s">
        <v>282</v>
      </c>
      <c r="M489" s="60" t="s">
        <v>41</v>
      </c>
      <c r="N489" s="28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</row>
    <row r="490" spans="1:30" ht="14.4">
      <c r="A490" s="28" t="s">
        <v>18</v>
      </c>
      <c r="B490" s="28" t="s">
        <v>19</v>
      </c>
      <c r="C490" s="107" t="s">
        <v>306</v>
      </c>
      <c r="D490" s="107" t="s">
        <v>341</v>
      </c>
      <c r="E490" s="107"/>
      <c r="F490" s="79" t="s">
        <v>2652</v>
      </c>
      <c r="G490" s="28"/>
      <c r="H490" s="28" t="s">
        <v>2650</v>
      </c>
      <c r="I490" s="28"/>
      <c r="J490" s="28" t="s">
        <v>2651</v>
      </c>
      <c r="K490" s="28"/>
      <c r="L490" s="28" t="s">
        <v>282</v>
      </c>
      <c r="M490" s="60" t="s">
        <v>41</v>
      </c>
      <c r="N490" s="28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</row>
    <row r="491" spans="1:30" ht="14.4">
      <c r="A491" s="28" t="s">
        <v>18</v>
      </c>
      <c r="B491" s="28" t="s">
        <v>19</v>
      </c>
      <c r="C491" s="107" t="s">
        <v>306</v>
      </c>
      <c r="D491" s="107" t="s">
        <v>341</v>
      </c>
      <c r="E491" s="107"/>
      <c r="F491" s="79" t="s">
        <v>2653</v>
      </c>
      <c r="G491" s="28"/>
      <c r="H491" s="28" t="s">
        <v>2650</v>
      </c>
      <c r="I491" s="28"/>
      <c r="J491" s="28" t="s">
        <v>2651</v>
      </c>
      <c r="K491" s="28"/>
      <c r="L491" s="28" t="s">
        <v>282</v>
      </c>
      <c r="M491" s="60" t="s">
        <v>41</v>
      </c>
      <c r="N491" s="28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</row>
    <row r="492" spans="1:30" ht="14.4">
      <c r="A492" s="28" t="s">
        <v>18</v>
      </c>
      <c r="B492" s="28" t="s">
        <v>19</v>
      </c>
      <c r="C492" s="107" t="s">
        <v>306</v>
      </c>
      <c r="D492" s="107" t="s">
        <v>341</v>
      </c>
      <c r="E492" s="107"/>
      <c r="F492" s="79" t="s">
        <v>2654</v>
      </c>
      <c r="G492" s="28"/>
      <c r="H492" s="28" t="s">
        <v>2650</v>
      </c>
      <c r="I492" s="28"/>
      <c r="J492" s="28" t="s">
        <v>2651</v>
      </c>
      <c r="K492" s="28"/>
      <c r="L492" s="28" t="s">
        <v>282</v>
      </c>
      <c r="M492" s="60" t="s">
        <v>41</v>
      </c>
      <c r="N492" s="28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</row>
    <row r="493" spans="1:30" ht="14.4">
      <c r="A493" s="28" t="s">
        <v>18</v>
      </c>
      <c r="B493" s="28" t="s">
        <v>19</v>
      </c>
      <c r="C493" s="107" t="s">
        <v>306</v>
      </c>
      <c r="D493" s="107" t="s">
        <v>341</v>
      </c>
      <c r="E493" s="107"/>
      <c r="F493" s="79" t="s">
        <v>2656</v>
      </c>
      <c r="G493" s="28"/>
      <c r="H493" s="28" t="s">
        <v>2650</v>
      </c>
      <c r="I493" s="28"/>
      <c r="J493" s="28" t="s">
        <v>2651</v>
      </c>
      <c r="K493" s="28"/>
      <c r="L493" s="28" t="s">
        <v>282</v>
      </c>
      <c r="M493" s="60" t="s">
        <v>41</v>
      </c>
      <c r="N493" s="28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</row>
    <row r="494" spans="1:30" ht="14.4">
      <c r="A494" s="28" t="s">
        <v>18</v>
      </c>
      <c r="B494" s="28" t="s">
        <v>19</v>
      </c>
      <c r="C494" s="107" t="s">
        <v>306</v>
      </c>
      <c r="D494" s="107" t="s">
        <v>341</v>
      </c>
      <c r="E494" s="107"/>
      <c r="F494" s="79" t="s">
        <v>2661</v>
      </c>
      <c r="G494" s="28"/>
      <c r="H494" s="28" t="s">
        <v>2650</v>
      </c>
      <c r="I494" s="28"/>
      <c r="J494" s="28" t="s">
        <v>2651</v>
      </c>
      <c r="K494" s="28"/>
      <c r="L494" s="28" t="s">
        <v>282</v>
      </c>
      <c r="M494" s="60" t="s">
        <v>41</v>
      </c>
      <c r="N494" s="28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</row>
    <row r="495" spans="1:30" ht="14.4">
      <c r="A495" s="28" t="s">
        <v>18</v>
      </c>
      <c r="B495" s="28" t="s">
        <v>19</v>
      </c>
      <c r="C495" s="107" t="s">
        <v>306</v>
      </c>
      <c r="D495" s="107" t="s">
        <v>341</v>
      </c>
      <c r="E495" s="107"/>
      <c r="F495" s="79" t="s">
        <v>2662</v>
      </c>
      <c r="G495" s="28"/>
      <c r="H495" s="28" t="s">
        <v>2650</v>
      </c>
      <c r="I495" s="28"/>
      <c r="J495" s="28" t="s">
        <v>2651</v>
      </c>
      <c r="K495" s="28"/>
      <c r="L495" s="28" t="s">
        <v>282</v>
      </c>
      <c r="M495" s="60" t="s">
        <v>41</v>
      </c>
      <c r="N495" s="28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</row>
    <row r="496" spans="1:30" ht="14.4">
      <c r="A496" s="28" t="s">
        <v>18</v>
      </c>
      <c r="B496" s="28" t="s">
        <v>19</v>
      </c>
      <c r="C496" s="107" t="s">
        <v>319</v>
      </c>
      <c r="D496" s="107"/>
      <c r="E496" s="107"/>
      <c r="F496" s="28" t="s">
        <v>2666</v>
      </c>
      <c r="G496" s="28"/>
      <c r="H496" s="28"/>
      <c r="I496" s="28"/>
      <c r="J496" s="28"/>
      <c r="K496" s="28"/>
      <c r="L496" s="28" t="s">
        <v>286</v>
      </c>
      <c r="M496" s="60" t="s">
        <v>41</v>
      </c>
      <c r="N496" s="165"/>
      <c r="O496" s="23">
        <v>38</v>
      </c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</row>
    <row r="497" spans="1:30" ht="14.4">
      <c r="A497" s="28" t="s">
        <v>18</v>
      </c>
      <c r="B497" s="28" t="s">
        <v>19</v>
      </c>
      <c r="C497" s="107" t="s">
        <v>319</v>
      </c>
      <c r="D497" s="107"/>
      <c r="E497" s="107"/>
      <c r="F497" s="28" t="s">
        <v>2673</v>
      </c>
      <c r="G497" s="28"/>
      <c r="H497" s="28"/>
      <c r="I497" s="28"/>
      <c r="J497" s="28"/>
      <c r="K497" s="28"/>
      <c r="L497" s="28" t="s">
        <v>286</v>
      </c>
      <c r="M497" s="60" t="s">
        <v>41</v>
      </c>
      <c r="N497" s="165"/>
      <c r="O497" s="45">
        <v>7</v>
      </c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</row>
    <row r="498" spans="1:30" ht="14.4">
      <c r="A498" s="28" t="s">
        <v>18</v>
      </c>
      <c r="B498" s="28" t="s">
        <v>19</v>
      </c>
      <c r="C498" s="107" t="s">
        <v>319</v>
      </c>
      <c r="D498" s="107"/>
      <c r="E498" s="107"/>
      <c r="F498" s="28" t="s">
        <v>2680</v>
      </c>
      <c r="G498" s="28"/>
      <c r="H498" s="28"/>
      <c r="I498" s="28"/>
      <c r="J498" s="28"/>
      <c r="K498" s="28"/>
      <c r="L498" s="28" t="s">
        <v>286</v>
      </c>
      <c r="M498" s="60" t="s">
        <v>41</v>
      </c>
      <c r="N498" s="165"/>
      <c r="O498" s="23">
        <v>95</v>
      </c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</row>
    <row r="499" spans="1:30" ht="14.4">
      <c r="A499" s="28" t="s">
        <v>18</v>
      </c>
      <c r="B499" s="28" t="s">
        <v>19</v>
      </c>
      <c r="C499" s="107" t="s">
        <v>319</v>
      </c>
      <c r="D499" s="107"/>
      <c r="E499" s="107"/>
      <c r="F499" s="28" t="s">
        <v>2684</v>
      </c>
      <c r="G499" s="28"/>
      <c r="H499" s="28"/>
      <c r="I499" s="28"/>
      <c r="J499" s="28"/>
      <c r="K499" s="28"/>
      <c r="L499" s="28" t="s">
        <v>286</v>
      </c>
      <c r="M499" s="60" t="s">
        <v>41</v>
      </c>
      <c r="N499" s="165"/>
      <c r="O499" s="45">
        <v>34</v>
      </c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</row>
    <row r="500" spans="1:30" ht="14.4">
      <c r="A500" s="28" t="s">
        <v>18</v>
      </c>
      <c r="B500" s="28" t="s">
        <v>19</v>
      </c>
      <c r="C500" s="107" t="s">
        <v>319</v>
      </c>
      <c r="D500" s="107"/>
      <c r="E500" s="107"/>
      <c r="F500" s="28" t="s">
        <v>2686</v>
      </c>
      <c r="G500" s="28"/>
      <c r="H500" s="28"/>
      <c r="I500" s="28"/>
      <c r="J500" s="28"/>
      <c r="K500" s="28"/>
      <c r="L500" s="28" t="s">
        <v>286</v>
      </c>
      <c r="M500" s="60" t="s">
        <v>41</v>
      </c>
      <c r="N500" s="165"/>
      <c r="O500" s="23">
        <v>6</v>
      </c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</row>
    <row r="501" spans="1:30" ht="14.4">
      <c r="A501" s="28" t="s">
        <v>18</v>
      </c>
      <c r="B501" s="28" t="s">
        <v>19</v>
      </c>
      <c r="C501" s="107" t="s">
        <v>319</v>
      </c>
      <c r="D501" s="107"/>
      <c r="E501" s="107"/>
      <c r="F501" s="28" t="s">
        <v>2693</v>
      </c>
      <c r="G501" s="28"/>
      <c r="H501" s="28"/>
      <c r="I501" s="28"/>
      <c r="J501" s="28"/>
      <c r="K501" s="28"/>
      <c r="L501" s="28" t="s">
        <v>68</v>
      </c>
      <c r="M501" s="60" t="s">
        <v>41</v>
      </c>
      <c r="N501" s="165"/>
      <c r="O501" s="23">
        <v>1</v>
      </c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</row>
    <row r="502" spans="1:30" ht="14.4">
      <c r="A502" s="28" t="s">
        <v>18</v>
      </c>
      <c r="B502" s="28" t="s">
        <v>19</v>
      </c>
      <c r="C502" s="107" t="s">
        <v>319</v>
      </c>
      <c r="D502" s="107"/>
      <c r="E502" s="107"/>
      <c r="F502" s="28" t="s">
        <v>2698</v>
      </c>
      <c r="G502" s="28"/>
      <c r="H502" s="28"/>
      <c r="I502" s="28"/>
      <c r="J502" s="28"/>
      <c r="K502" s="28"/>
      <c r="L502" s="28" t="s">
        <v>68</v>
      </c>
      <c r="M502" s="60" t="s">
        <v>41</v>
      </c>
      <c r="N502" s="165"/>
      <c r="O502" s="45">
        <v>9</v>
      </c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</row>
    <row r="503" spans="1:30" ht="14.4">
      <c r="A503" s="28" t="s">
        <v>18</v>
      </c>
      <c r="B503" s="28" t="s">
        <v>19</v>
      </c>
      <c r="C503" s="107" t="s">
        <v>319</v>
      </c>
      <c r="D503" s="107"/>
      <c r="E503" s="107"/>
      <c r="F503" s="28" t="s">
        <v>2701</v>
      </c>
      <c r="G503" s="28"/>
      <c r="H503" s="28"/>
      <c r="I503" s="28"/>
      <c r="J503" s="28"/>
      <c r="K503" s="28"/>
      <c r="L503" s="28" t="s">
        <v>68</v>
      </c>
      <c r="M503" s="60" t="s">
        <v>41</v>
      </c>
      <c r="N503" s="165"/>
      <c r="O503" s="23">
        <v>4</v>
      </c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</row>
    <row r="504" spans="1:30" ht="14.4">
      <c r="A504" s="28" t="s">
        <v>18</v>
      </c>
      <c r="B504" s="28" t="s">
        <v>19</v>
      </c>
      <c r="C504" s="107" t="s">
        <v>319</v>
      </c>
      <c r="D504" s="107"/>
      <c r="E504" s="107"/>
      <c r="F504" s="28" t="s">
        <v>2705</v>
      </c>
      <c r="G504" s="28"/>
      <c r="H504" s="28"/>
      <c r="I504" s="28"/>
      <c r="J504" s="28"/>
      <c r="K504" s="28"/>
      <c r="L504" s="28" t="s">
        <v>790</v>
      </c>
      <c r="M504" s="60" t="s">
        <v>41</v>
      </c>
      <c r="N504" s="165"/>
      <c r="O504" s="23">
        <f>SUM(O496:O503)</f>
        <v>194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</row>
    <row r="505" spans="1:30" ht="14.4">
      <c r="A505" s="28" t="s">
        <v>18</v>
      </c>
      <c r="B505" s="28" t="s">
        <v>19</v>
      </c>
      <c r="C505" s="107" t="s">
        <v>319</v>
      </c>
      <c r="D505" s="107"/>
      <c r="E505" s="107"/>
      <c r="F505" s="28" t="s">
        <v>2719</v>
      </c>
      <c r="G505" s="28"/>
      <c r="H505" s="28"/>
      <c r="I505" s="28"/>
      <c r="J505" s="28"/>
      <c r="K505" s="28"/>
      <c r="L505" s="28" t="s">
        <v>790</v>
      </c>
      <c r="M505" s="60" t="s">
        <v>41</v>
      </c>
      <c r="N505" s="165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</row>
    <row r="506" spans="1:30" ht="14.4">
      <c r="A506" s="28" t="s">
        <v>18</v>
      </c>
      <c r="B506" s="28" t="s">
        <v>19</v>
      </c>
      <c r="C506" s="107" t="s">
        <v>319</v>
      </c>
      <c r="D506" s="107"/>
      <c r="E506" s="107"/>
      <c r="F506" s="28" t="s">
        <v>2723</v>
      </c>
      <c r="G506" s="28"/>
      <c r="H506" s="28"/>
      <c r="I506" s="28"/>
      <c r="J506" s="28"/>
      <c r="K506" s="28"/>
      <c r="L506" s="28" t="s">
        <v>980</v>
      </c>
      <c r="M506" s="60" t="s">
        <v>41</v>
      </c>
      <c r="N506" s="165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</row>
    <row r="507" spans="1:30" ht="14.4">
      <c r="A507" s="28" t="s">
        <v>18</v>
      </c>
      <c r="B507" s="28" t="s">
        <v>19</v>
      </c>
      <c r="C507" s="107" t="s">
        <v>319</v>
      </c>
      <c r="D507" s="107"/>
      <c r="E507" s="107"/>
      <c r="F507" s="28" t="s">
        <v>2728</v>
      </c>
      <c r="G507" s="28"/>
      <c r="H507" s="28"/>
      <c r="I507" s="28"/>
      <c r="J507" s="28"/>
      <c r="K507" s="28"/>
      <c r="L507" s="28" t="s">
        <v>790</v>
      </c>
      <c r="M507" s="60" t="s">
        <v>41</v>
      </c>
      <c r="N507" s="165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</row>
    <row r="508" spans="1:30" ht="14.4">
      <c r="A508" s="28" t="s">
        <v>18</v>
      </c>
      <c r="B508" s="28" t="s">
        <v>19</v>
      </c>
      <c r="C508" s="107" t="s">
        <v>319</v>
      </c>
      <c r="D508" s="107"/>
      <c r="E508" s="107"/>
      <c r="F508" s="28" t="s">
        <v>2730</v>
      </c>
      <c r="G508" s="28"/>
      <c r="H508" s="28"/>
      <c r="I508" s="28"/>
      <c r="J508" s="28"/>
      <c r="K508" s="28"/>
      <c r="L508" s="28" t="s">
        <v>790</v>
      </c>
      <c r="M508" s="60" t="s">
        <v>41</v>
      </c>
      <c r="N508" s="165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</row>
    <row r="509" spans="1:30" ht="14.4">
      <c r="A509" s="28" t="s">
        <v>18</v>
      </c>
      <c r="B509" s="28" t="s">
        <v>19</v>
      </c>
      <c r="C509" s="107" t="s">
        <v>319</v>
      </c>
      <c r="D509" s="107"/>
      <c r="E509" s="107"/>
      <c r="F509" s="28" t="s">
        <v>2735</v>
      </c>
      <c r="G509" s="28"/>
      <c r="H509" s="28"/>
      <c r="I509" s="28"/>
      <c r="J509" s="28"/>
      <c r="K509" s="28"/>
      <c r="L509" s="28" t="s">
        <v>790</v>
      </c>
      <c r="M509" s="60" t="s">
        <v>41</v>
      </c>
      <c r="N509" s="165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</row>
    <row r="510" spans="1:30" ht="14.4">
      <c r="A510" s="28" t="s">
        <v>18</v>
      </c>
      <c r="B510" s="28" t="s">
        <v>19</v>
      </c>
      <c r="C510" s="107" t="s">
        <v>319</v>
      </c>
      <c r="D510" s="107"/>
      <c r="E510" s="107"/>
      <c r="F510" s="28" t="s">
        <v>2738</v>
      </c>
      <c r="G510" s="28"/>
      <c r="H510" s="28"/>
      <c r="I510" s="28"/>
      <c r="J510" s="28"/>
      <c r="K510" s="28"/>
      <c r="L510" s="28" t="s">
        <v>532</v>
      </c>
      <c r="M510" s="60" t="s">
        <v>41</v>
      </c>
      <c r="N510" s="165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</row>
    <row r="511" spans="1:30" ht="14.4">
      <c r="A511" s="28" t="s">
        <v>18</v>
      </c>
      <c r="B511" s="28" t="s">
        <v>19</v>
      </c>
      <c r="C511" s="107" t="s">
        <v>319</v>
      </c>
      <c r="D511" s="107"/>
      <c r="E511" s="107"/>
      <c r="F511" s="28" t="s">
        <v>2742</v>
      </c>
      <c r="G511" s="28"/>
      <c r="H511" s="28"/>
      <c r="I511" s="28"/>
      <c r="J511" s="28"/>
      <c r="K511" s="28"/>
      <c r="L511" s="28" t="s">
        <v>229</v>
      </c>
      <c r="M511" s="60" t="s">
        <v>41</v>
      </c>
      <c r="N511" s="165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</row>
    <row r="512" spans="1:30" ht="14.4">
      <c r="A512" s="28" t="s">
        <v>18</v>
      </c>
      <c r="B512" s="28" t="s">
        <v>19</v>
      </c>
      <c r="C512" s="107" t="s">
        <v>319</v>
      </c>
      <c r="D512" s="107"/>
      <c r="E512" s="107"/>
      <c r="F512" s="28" t="s">
        <v>2746</v>
      </c>
      <c r="G512" s="28"/>
      <c r="H512" s="28"/>
      <c r="I512" s="28"/>
      <c r="J512" s="28"/>
      <c r="K512" s="28"/>
      <c r="L512" s="28" t="s">
        <v>2748</v>
      </c>
      <c r="M512" s="60" t="s">
        <v>41</v>
      </c>
      <c r="N512" s="165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</row>
    <row r="513" spans="1:30" ht="14.4">
      <c r="A513" s="28" t="s">
        <v>18</v>
      </c>
      <c r="B513" s="28" t="s">
        <v>19</v>
      </c>
      <c r="C513" s="107" t="s">
        <v>319</v>
      </c>
      <c r="D513" s="107"/>
      <c r="E513" s="107"/>
      <c r="F513" s="28" t="s">
        <v>2750</v>
      </c>
      <c r="G513" s="28"/>
      <c r="H513" s="28"/>
      <c r="I513" s="28"/>
      <c r="J513" s="28"/>
      <c r="K513" s="28"/>
      <c r="L513" s="28" t="s">
        <v>229</v>
      </c>
      <c r="M513" s="60" t="s">
        <v>41</v>
      </c>
      <c r="N513" s="165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</row>
    <row r="514" spans="1:30" ht="14.4">
      <c r="A514" s="28" t="s">
        <v>18</v>
      </c>
      <c r="B514" s="28" t="s">
        <v>19</v>
      </c>
      <c r="C514" s="107" t="s">
        <v>319</v>
      </c>
      <c r="D514" s="107"/>
      <c r="E514" s="107"/>
      <c r="F514" s="28" t="s">
        <v>2751</v>
      </c>
      <c r="G514" s="28"/>
      <c r="H514" s="28"/>
      <c r="I514" s="28"/>
      <c r="J514" s="28"/>
      <c r="K514" s="28"/>
      <c r="L514" s="28" t="s">
        <v>980</v>
      </c>
      <c r="M514" s="24" t="s">
        <v>41</v>
      </c>
      <c r="N514" s="165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</row>
    <row r="515" spans="1:30" ht="14.4">
      <c r="A515" s="28" t="s">
        <v>18</v>
      </c>
      <c r="B515" s="28" t="s">
        <v>19</v>
      </c>
      <c r="C515" s="107" t="s">
        <v>319</v>
      </c>
      <c r="D515" s="107"/>
      <c r="E515" s="107"/>
      <c r="F515" s="28" t="s">
        <v>2756</v>
      </c>
      <c r="G515" s="28"/>
      <c r="H515" s="28"/>
      <c r="I515" s="28"/>
      <c r="J515" s="28"/>
      <c r="K515" s="28"/>
      <c r="L515" s="28" t="s">
        <v>2757</v>
      </c>
      <c r="M515" s="24" t="s">
        <v>41</v>
      </c>
      <c r="N515" s="165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</row>
    <row r="516" spans="1:30" ht="14.4">
      <c r="A516" s="28" t="s">
        <v>18</v>
      </c>
      <c r="B516" s="28" t="s">
        <v>19</v>
      </c>
      <c r="C516" s="107" t="s">
        <v>319</v>
      </c>
      <c r="D516" s="107"/>
      <c r="E516" s="107"/>
      <c r="F516" s="28" t="s">
        <v>2758</v>
      </c>
      <c r="G516" s="28"/>
      <c r="H516" s="28"/>
      <c r="I516" s="28"/>
      <c r="J516" s="28"/>
      <c r="K516" s="28"/>
      <c r="L516" s="28" t="s">
        <v>2757</v>
      </c>
      <c r="M516" s="24" t="s">
        <v>41</v>
      </c>
      <c r="N516" s="165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</row>
    <row r="517" spans="1:30" ht="14.4">
      <c r="A517" s="28" t="s">
        <v>18</v>
      </c>
      <c r="B517" s="28" t="s">
        <v>19</v>
      </c>
      <c r="C517" s="107" t="s">
        <v>319</v>
      </c>
      <c r="D517" s="107"/>
      <c r="E517" s="107"/>
      <c r="F517" s="28" t="s">
        <v>2763</v>
      </c>
      <c r="G517" s="28"/>
      <c r="H517" s="28"/>
      <c r="I517" s="28"/>
      <c r="J517" s="28"/>
      <c r="K517" s="28"/>
      <c r="L517" s="28" t="s">
        <v>2757</v>
      </c>
      <c r="M517" s="24" t="s">
        <v>41</v>
      </c>
      <c r="N517" s="165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</row>
    <row r="518" spans="1:30" ht="14.4">
      <c r="A518" s="28" t="s">
        <v>18</v>
      </c>
      <c r="B518" s="28" t="s">
        <v>19</v>
      </c>
      <c r="C518" s="107" t="s">
        <v>319</v>
      </c>
      <c r="D518" s="107"/>
      <c r="E518" s="107"/>
      <c r="F518" s="28" t="s">
        <v>2765</v>
      </c>
      <c r="G518" s="28"/>
      <c r="H518" s="28"/>
      <c r="I518" s="28"/>
      <c r="J518" s="28"/>
      <c r="K518" s="28"/>
      <c r="L518" s="28" t="s">
        <v>2757</v>
      </c>
      <c r="M518" s="24" t="s">
        <v>41</v>
      </c>
      <c r="N518" s="165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</row>
    <row r="519" spans="1:30" ht="14.4">
      <c r="A519" s="28" t="s">
        <v>18</v>
      </c>
      <c r="B519" s="28" t="s">
        <v>19</v>
      </c>
      <c r="C519" s="107" t="s">
        <v>319</v>
      </c>
      <c r="D519" s="107"/>
      <c r="E519" s="107"/>
      <c r="F519" s="28" t="s">
        <v>2769</v>
      </c>
      <c r="G519" s="28"/>
      <c r="H519" s="28"/>
      <c r="I519" s="28"/>
      <c r="J519" s="28"/>
      <c r="K519" s="28"/>
      <c r="L519" s="28" t="s">
        <v>2757</v>
      </c>
      <c r="M519" s="24" t="s">
        <v>41</v>
      </c>
      <c r="N519" s="165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</row>
    <row r="520" spans="1:30" ht="14.4">
      <c r="A520" s="28" t="s">
        <v>18</v>
      </c>
      <c r="B520" s="28" t="s">
        <v>19</v>
      </c>
      <c r="C520" s="107" t="s">
        <v>319</v>
      </c>
      <c r="D520" s="107"/>
      <c r="E520" s="107"/>
      <c r="F520" s="28" t="s">
        <v>2772</v>
      </c>
      <c r="G520" s="28"/>
      <c r="H520" s="28"/>
      <c r="I520" s="28"/>
      <c r="J520" s="28"/>
      <c r="K520" s="28"/>
      <c r="L520" s="28" t="s">
        <v>2757</v>
      </c>
      <c r="M520" s="60" t="s">
        <v>41</v>
      </c>
      <c r="N520" s="165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</row>
    <row r="521" spans="1:30" ht="14.4">
      <c r="A521" s="28" t="s">
        <v>18</v>
      </c>
      <c r="B521" s="28" t="s">
        <v>19</v>
      </c>
      <c r="C521" s="107" t="s">
        <v>319</v>
      </c>
      <c r="D521" s="107"/>
      <c r="E521" s="107"/>
      <c r="F521" s="28" t="s">
        <v>2778</v>
      </c>
      <c r="G521" s="28"/>
      <c r="H521" s="28"/>
      <c r="I521" s="28"/>
      <c r="J521" s="28"/>
      <c r="K521" s="28"/>
      <c r="L521" s="28" t="s">
        <v>2757</v>
      </c>
      <c r="M521" s="60" t="s">
        <v>41</v>
      </c>
      <c r="N521" s="165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</row>
    <row r="522" spans="1:30" ht="14.4">
      <c r="A522" s="28" t="s">
        <v>18</v>
      </c>
      <c r="B522" s="28" t="s">
        <v>19</v>
      </c>
      <c r="C522" s="107" t="s">
        <v>319</v>
      </c>
      <c r="D522" s="107"/>
      <c r="E522" s="107"/>
      <c r="F522" s="28" t="s">
        <v>2780</v>
      </c>
      <c r="G522" s="28"/>
      <c r="H522" s="28"/>
      <c r="I522" s="28"/>
      <c r="J522" s="28"/>
      <c r="K522" s="28"/>
      <c r="L522" s="28" t="s">
        <v>2757</v>
      </c>
      <c r="M522" s="60" t="s">
        <v>41</v>
      </c>
      <c r="N522" s="165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</row>
    <row r="523" spans="1:30" ht="14.4">
      <c r="A523" s="28" t="s">
        <v>18</v>
      </c>
      <c r="B523" s="28" t="s">
        <v>19</v>
      </c>
      <c r="C523" s="107" t="s">
        <v>319</v>
      </c>
      <c r="D523" s="107"/>
      <c r="E523" s="107"/>
      <c r="F523" s="28" t="s">
        <v>2787</v>
      </c>
      <c r="G523" s="28"/>
      <c r="H523" s="28"/>
      <c r="I523" s="28"/>
      <c r="J523" s="28"/>
      <c r="K523" s="28"/>
      <c r="L523" s="28" t="s">
        <v>2788</v>
      </c>
      <c r="M523" s="60" t="s">
        <v>41</v>
      </c>
      <c r="N523" s="165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</row>
    <row r="524" spans="1:30" ht="14.4">
      <c r="A524" s="28" t="s">
        <v>18</v>
      </c>
      <c r="B524" s="28" t="s">
        <v>19</v>
      </c>
      <c r="C524" s="107" t="s">
        <v>319</v>
      </c>
      <c r="D524" s="107"/>
      <c r="E524" s="107"/>
      <c r="F524" s="28" t="s">
        <v>2792</v>
      </c>
      <c r="G524" s="28"/>
      <c r="H524" s="28"/>
      <c r="I524" s="28"/>
      <c r="J524" s="28"/>
      <c r="K524" s="28"/>
      <c r="L524" s="28" t="s">
        <v>2788</v>
      </c>
      <c r="M524" s="60" t="s">
        <v>41</v>
      </c>
      <c r="N524" s="165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</row>
    <row r="525" spans="1:30" ht="14.4">
      <c r="A525" s="28" t="s">
        <v>18</v>
      </c>
      <c r="B525" s="28" t="s">
        <v>19</v>
      </c>
      <c r="C525" s="107" t="s">
        <v>319</v>
      </c>
      <c r="D525" s="107"/>
      <c r="E525" s="107"/>
      <c r="F525" s="28" t="s">
        <v>2795</v>
      </c>
      <c r="G525" s="28"/>
      <c r="H525" s="28"/>
      <c r="I525" s="28"/>
      <c r="J525" s="28"/>
      <c r="K525" s="28"/>
      <c r="L525" s="28" t="s">
        <v>980</v>
      </c>
      <c r="M525" s="60" t="s">
        <v>41</v>
      </c>
      <c r="N525" s="165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</row>
    <row r="526" spans="1:30" ht="14.4">
      <c r="A526" s="28" t="s">
        <v>18</v>
      </c>
      <c r="B526" s="28" t="s">
        <v>19</v>
      </c>
      <c r="C526" s="107" t="s">
        <v>319</v>
      </c>
      <c r="D526" s="107"/>
      <c r="E526" s="107"/>
      <c r="F526" s="28" t="s">
        <v>2800</v>
      </c>
      <c r="G526" s="28"/>
      <c r="H526" s="28"/>
      <c r="I526" s="28"/>
      <c r="J526" s="28"/>
      <c r="K526" s="28"/>
      <c r="L526" s="28" t="s">
        <v>980</v>
      </c>
      <c r="M526" s="60" t="s">
        <v>41</v>
      </c>
      <c r="N526" s="165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</row>
    <row r="527" spans="1:30" ht="14.4">
      <c r="A527" s="28" t="s">
        <v>18</v>
      </c>
      <c r="B527" s="28" t="s">
        <v>19</v>
      </c>
      <c r="C527" s="107" t="s">
        <v>319</v>
      </c>
      <c r="D527" s="107"/>
      <c r="E527" s="107"/>
      <c r="F527" s="28" t="s">
        <v>2803</v>
      </c>
      <c r="G527" s="28"/>
      <c r="H527" s="28"/>
      <c r="I527" s="28"/>
      <c r="J527" s="28"/>
      <c r="K527" s="28"/>
      <c r="L527" s="28" t="s">
        <v>229</v>
      </c>
      <c r="M527" s="60" t="s">
        <v>41</v>
      </c>
      <c r="N527" s="165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</row>
    <row r="528" spans="1:30" ht="14.4">
      <c r="A528" s="28" t="s">
        <v>18</v>
      </c>
      <c r="B528" s="28" t="s">
        <v>19</v>
      </c>
      <c r="C528" s="107" t="s">
        <v>319</v>
      </c>
      <c r="D528" s="107"/>
      <c r="E528" s="107"/>
      <c r="F528" s="28" t="s">
        <v>2806</v>
      </c>
      <c r="G528" s="28"/>
      <c r="H528" s="28"/>
      <c r="I528" s="28"/>
      <c r="J528" s="28"/>
      <c r="K528" s="28"/>
      <c r="L528" s="28" t="s">
        <v>40</v>
      </c>
      <c r="M528" s="60" t="s">
        <v>41</v>
      </c>
      <c r="N528" s="165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</row>
    <row r="529" spans="1:30" ht="14.4">
      <c r="A529" s="28" t="s">
        <v>18</v>
      </c>
      <c r="B529" s="28" t="s">
        <v>19</v>
      </c>
      <c r="C529" s="107" t="s">
        <v>319</v>
      </c>
      <c r="D529" s="107"/>
      <c r="E529" s="107"/>
      <c r="F529" s="28" t="s">
        <v>2811</v>
      </c>
      <c r="G529" s="28"/>
      <c r="H529" s="28"/>
      <c r="I529" s="28"/>
      <c r="J529" s="28"/>
      <c r="K529" s="28"/>
      <c r="L529" s="28" t="s">
        <v>40</v>
      </c>
      <c r="M529" s="60" t="s">
        <v>41</v>
      </c>
      <c r="N529" s="165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</row>
    <row r="530" spans="1:30" ht="14.4">
      <c r="A530" s="28" t="s">
        <v>18</v>
      </c>
      <c r="B530" s="28" t="s">
        <v>19</v>
      </c>
      <c r="C530" s="107" t="s">
        <v>319</v>
      </c>
      <c r="D530" s="107"/>
      <c r="E530" s="107"/>
      <c r="F530" s="28" t="s">
        <v>2813</v>
      </c>
      <c r="G530" s="28"/>
      <c r="H530" s="28"/>
      <c r="I530" s="28"/>
      <c r="J530" s="28"/>
      <c r="K530" s="28"/>
      <c r="L530" s="28" t="s">
        <v>40</v>
      </c>
      <c r="M530" s="60" t="s">
        <v>41</v>
      </c>
      <c r="N530" s="165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</row>
    <row r="531" spans="1:30" ht="14.4">
      <c r="A531" s="28" t="s">
        <v>18</v>
      </c>
      <c r="B531" s="28" t="s">
        <v>19</v>
      </c>
      <c r="C531" s="107" t="s">
        <v>319</v>
      </c>
      <c r="D531" s="107"/>
      <c r="E531" s="107"/>
      <c r="F531" s="28" t="s">
        <v>2816</v>
      </c>
      <c r="G531" s="28"/>
      <c r="H531" s="28"/>
      <c r="I531" s="28"/>
      <c r="J531" s="28"/>
      <c r="K531" s="28"/>
      <c r="L531" s="28" t="s">
        <v>40</v>
      </c>
      <c r="M531" s="60" t="s">
        <v>41</v>
      </c>
      <c r="N531" s="165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</row>
    <row r="532" spans="1:30" ht="14.4">
      <c r="A532" s="28" t="s">
        <v>18</v>
      </c>
      <c r="B532" s="28" t="s">
        <v>19</v>
      </c>
      <c r="C532" s="107" t="s">
        <v>319</v>
      </c>
      <c r="D532" s="107"/>
      <c r="E532" s="107"/>
      <c r="F532" s="28" t="s">
        <v>2822</v>
      </c>
      <c r="G532" s="28"/>
      <c r="H532" s="28"/>
      <c r="I532" s="28"/>
      <c r="J532" s="28"/>
      <c r="K532" s="28"/>
      <c r="L532" s="28" t="s">
        <v>40</v>
      </c>
      <c r="M532" s="60" t="s">
        <v>41</v>
      </c>
      <c r="N532" s="165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</row>
    <row r="533" spans="1:30" ht="14.4">
      <c r="A533" s="28" t="s">
        <v>18</v>
      </c>
      <c r="B533" s="28" t="s">
        <v>19</v>
      </c>
      <c r="C533" s="107" t="s">
        <v>319</v>
      </c>
      <c r="D533" s="107"/>
      <c r="E533" s="107"/>
      <c r="F533" s="28" t="s">
        <v>1834</v>
      </c>
      <c r="G533" s="28"/>
      <c r="H533" s="28"/>
      <c r="I533" s="28"/>
      <c r="J533" s="28"/>
      <c r="K533" s="28"/>
      <c r="L533" s="28" t="s">
        <v>217</v>
      </c>
      <c r="M533" s="60" t="s">
        <v>41</v>
      </c>
      <c r="N533" s="165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</row>
    <row r="534" spans="1:30" ht="14.4">
      <c r="A534" s="28" t="s">
        <v>18</v>
      </c>
      <c r="B534" s="28" t="s">
        <v>19</v>
      </c>
      <c r="C534" s="107" t="s">
        <v>319</v>
      </c>
      <c r="D534" s="107"/>
      <c r="E534" s="107"/>
      <c r="F534" s="28" t="s">
        <v>2827</v>
      </c>
      <c r="G534" s="28"/>
      <c r="H534" s="28"/>
      <c r="I534" s="28"/>
      <c r="J534" s="28"/>
      <c r="K534" s="28"/>
      <c r="L534" s="28" t="s">
        <v>980</v>
      </c>
      <c r="M534" s="60" t="s">
        <v>41</v>
      </c>
      <c r="N534" s="165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</row>
    <row r="535" spans="1:30" ht="14.4">
      <c r="A535" s="28" t="s">
        <v>18</v>
      </c>
      <c r="B535" s="28" t="s">
        <v>19</v>
      </c>
      <c r="C535" s="107" t="s">
        <v>319</v>
      </c>
      <c r="D535" s="107"/>
      <c r="E535" s="107"/>
      <c r="F535" s="28" t="s">
        <v>2833</v>
      </c>
      <c r="G535" s="28"/>
      <c r="H535" s="28"/>
      <c r="I535" s="28"/>
      <c r="J535" s="28"/>
      <c r="K535" s="28"/>
      <c r="L535" s="28" t="s">
        <v>217</v>
      </c>
      <c r="M535" s="60" t="s">
        <v>41</v>
      </c>
      <c r="N535" s="350" t="s">
        <v>2836</v>
      </c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</row>
    <row r="536" spans="1:30" ht="14.4">
      <c r="A536" s="28" t="s">
        <v>18</v>
      </c>
      <c r="B536" s="28" t="s">
        <v>19</v>
      </c>
      <c r="C536" s="107" t="s">
        <v>319</v>
      </c>
      <c r="D536" s="107"/>
      <c r="E536" s="107"/>
      <c r="F536" s="28" t="s">
        <v>2842</v>
      </c>
      <c r="G536" s="28"/>
      <c r="H536" s="28"/>
      <c r="I536" s="28"/>
      <c r="J536" s="28"/>
      <c r="K536" s="28"/>
      <c r="L536" s="28" t="s">
        <v>217</v>
      </c>
      <c r="M536" s="60" t="s">
        <v>41</v>
      </c>
      <c r="N536" s="351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</row>
    <row r="537" spans="1:30" ht="14.4">
      <c r="A537" s="28" t="s">
        <v>18</v>
      </c>
      <c r="B537" s="28" t="s">
        <v>19</v>
      </c>
      <c r="C537" s="107" t="s">
        <v>319</v>
      </c>
      <c r="D537" s="107"/>
      <c r="E537" s="107"/>
      <c r="F537" s="28" t="s">
        <v>2847</v>
      </c>
      <c r="G537" s="28"/>
      <c r="H537" s="28"/>
      <c r="I537" s="28"/>
      <c r="J537" s="28"/>
      <c r="K537" s="28"/>
      <c r="L537" s="28" t="s">
        <v>217</v>
      </c>
      <c r="M537" s="60" t="s">
        <v>41</v>
      </c>
      <c r="N537" s="351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</row>
    <row r="538" spans="1:30" ht="14.4">
      <c r="A538" s="28" t="s">
        <v>18</v>
      </c>
      <c r="B538" s="28" t="s">
        <v>19</v>
      </c>
      <c r="C538" s="107" t="s">
        <v>319</v>
      </c>
      <c r="D538" s="107"/>
      <c r="E538" s="107"/>
      <c r="F538" s="28" t="s">
        <v>2849</v>
      </c>
      <c r="G538" s="28"/>
      <c r="H538" s="28"/>
      <c r="I538" s="28"/>
      <c r="J538" s="28"/>
      <c r="K538" s="28"/>
      <c r="L538" s="28" t="s">
        <v>217</v>
      </c>
      <c r="M538" s="60" t="s">
        <v>41</v>
      </c>
      <c r="N538" s="351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</row>
    <row r="539" spans="1:30" ht="14.4">
      <c r="A539" s="28" t="s">
        <v>18</v>
      </c>
      <c r="B539" s="28" t="s">
        <v>19</v>
      </c>
      <c r="C539" s="107" t="s">
        <v>319</v>
      </c>
      <c r="D539" s="107"/>
      <c r="E539" s="107"/>
      <c r="F539" s="28" t="s">
        <v>2853</v>
      </c>
      <c r="G539" s="28"/>
      <c r="H539" s="28"/>
      <c r="I539" s="28"/>
      <c r="J539" s="28"/>
      <c r="K539" s="28"/>
      <c r="L539" s="28" t="s">
        <v>217</v>
      </c>
      <c r="M539" s="60" t="s">
        <v>41</v>
      </c>
      <c r="N539" s="344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</row>
    <row r="540" spans="1:30" ht="14.4">
      <c r="A540" s="28" t="s">
        <v>18</v>
      </c>
      <c r="B540" s="28" t="s">
        <v>19</v>
      </c>
      <c r="C540" s="107" t="s">
        <v>319</v>
      </c>
      <c r="D540" s="107"/>
      <c r="E540" s="107"/>
      <c r="F540" s="28" t="s">
        <v>2858</v>
      </c>
      <c r="G540" s="28"/>
      <c r="H540" s="28"/>
      <c r="I540" s="28"/>
      <c r="J540" s="28"/>
      <c r="K540" s="28"/>
      <c r="L540" s="28" t="s">
        <v>217</v>
      </c>
      <c r="M540" s="60" t="s">
        <v>41</v>
      </c>
      <c r="N540" s="165" t="s">
        <v>2038</v>
      </c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</row>
    <row r="541" spans="1:30" ht="14.4">
      <c r="A541" s="28" t="s">
        <v>18</v>
      </c>
      <c r="B541" s="28" t="s">
        <v>19</v>
      </c>
      <c r="C541" s="107" t="s">
        <v>319</v>
      </c>
      <c r="D541" s="107"/>
      <c r="E541" s="107"/>
      <c r="F541" s="28" t="s">
        <v>2862</v>
      </c>
      <c r="G541" s="28"/>
      <c r="H541" s="28"/>
      <c r="I541" s="28"/>
      <c r="J541" s="28"/>
      <c r="K541" s="28"/>
      <c r="L541" s="28" t="s">
        <v>217</v>
      </c>
      <c r="M541" s="60" t="s">
        <v>41</v>
      </c>
      <c r="N541" s="165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</row>
    <row r="542" spans="1:30" ht="14.4">
      <c r="A542" s="28" t="s">
        <v>18</v>
      </c>
      <c r="B542" s="28" t="s">
        <v>19</v>
      </c>
      <c r="C542" s="107" t="s">
        <v>319</v>
      </c>
      <c r="D542" s="107"/>
      <c r="E542" s="107"/>
      <c r="F542" s="28" t="s">
        <v>2866</v>
      </c>
      <c r="G542" s="28"/>
      <c r="H542" s="28"/>
      <c r="I542" s="28"/>
      <c r="J542" s="28"/>
      <c r="K542" s="28"/>
      <c r="L542" s="28" t="s">
        <v>217</v>
      </c>
      <c r="M542" s="60" t="s">
        <v>41</v>
      </c>
      <c r="N542" s="165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</row>
    <row r="543" spans="1:30" ht="14.4">
      <c r="A543" s="28" t="s">
        <v>18</v>
      </c>
      <c r="B543" s="28" t="s">
        <v>19</v>
      </c>
      <c r="C543" s="107" t="s">
        <v>319</v>
      </c>
      <c r="D543" s="107"/>
      <c r="E543" s="107"/>
      <c r="F543" s="28" t="s">
        <v>2868</v>
      </c>
      <c r="G543" s="28"/>
      <c r="H543" s="28"/>
      <c r="I543" s="28"/>
      <c r="J543" s="28"/>
      <c r="K543" s="28"/>
      <c r="L543" s="28" t="s">
        <v>217</v>
      </c>
      <c r="M543" s="60" t="s">
        <v>41</v>
      </c>
      <c r="N543" s="165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</row>
    <row r="544" spans="1:30" ht="14.4">
      <c r="A544" s="28" t="s">
        <v>18</v>
      </c>
      <c r="B544" s="28" t="s">
        <v>19</v>
      </c>
      <c r="C544" s="107" t="s">
        <v>319</v>
      </c>
      <c r="D544" s="107"/>
      <c r="E544" s="107"/>
      <c r="F544" s="28" t="s">
        <v>2870</v>
      </c>
      <c r="G544" s="28"/>
      <c r="H544" s="28"/>
      <c r="I544" s="28"/>
      <c r="J544" s="28"/>
      <c r="K544" s="28"/>
      <c r="L544" s="28" t="s">
        <v>217</v>
      </c>
      <c r="M544" s="60" t="s">
        <v>41</v>
      </c>
      <c r="N544" s="165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</row>
    <row r="545" spans="1:30" ht="14.4">
      <c r="A545" s="28" t="s">
        <v>18</v>
      </c>
      <c r="B545" s="28" t="s">
        <v>19</v>
      </c>
      <c r="C545" s="107" t="s">
        <v>319</v>
      </c>
      <c r="D545" s="107"/>
      <c r="E545" s="107"/>
      <c r="F545" s="28" t="s">
        <v>2874</v>
      </c>
      <c r="G545" s="28"/>
      <c r="H545" s="28"/>
      <c r="I545" s="28"/>
      <c r="J545" s="28"/>
      <c r="K545" s="28"/>
      <c r="L545" s="28" t="s">
        <v>217</v>
      </c>
      <c r="M545" s="60" t="s">
        <v>41</v>
      </c>
      <c r="N545" s="165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</row>
    <row r="546" spans="1:30" ht="14.4">
      <c r="A546" s="28" t="s">
        <v>18</v>
      </c>
      <c r="B546" s="28" t="s">
        <v>19</v>
      </c>
      <c r="C546" s="107" t="s">
        <v>319</v>
      </c>
      <c r="D546" s="107"/>
      <c r="E546" s="107"/>
      <c r="F546" s="28" t="s">
        <v>2876</v>
      </c>
      <c r="G546" s="28"/>
      <c r="H546" s="28"/>
      <c r="I546" s="28"/>
      <c r="J546" s="28"/>
      <c r="K546" s="28"/>
      <c r="L546" s="28" t="s">
        <v>217</v>
      </c>
      <c r="M546" s="60" t="s">
        <v>41</v>
      </c>
      <c r="N546" s="165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</row>
    <row r="547" spans="1:30" ht="14.4">
      <c r="A547" s="28" t="s">
        <v>18</v>
      </c>
      <c r="B547" s="28" t="s">
        <v>19</v>
      </c>
      <c r="C547" s="107" t="s">
        <v>319</v>
      </c>
      <c r="D547" s="107"/>
      <c r="E547" s="107"/>
      <c r="F547" s="28" t="s">
        <v>2878</v>
      </c>
      <c r="G547" s="28"/>
      <c r="H547" s="28"/>
      <c r="I547" s="28"/>
      <c r="J547" s="28"/>
      <c r="K547" s="28"/>
      <c r="L547" s="28" t="s">
        <v>217</v>
      </c>
      <c r="M547" s="60" t="s">
        <v>41</v>
      </c>
      <c r="N547" s="165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</row>
    <row r="548" spans="1:30" ht="14.4">
      <c r="A548" s="28" t="s">
        <v>18</v>
      </c>
      <c r="B548" s="28" t="s">
        <v>19</v>
      </c>
      <c r="C548" s="107" t="s">
        <v>319</v>
      </c>
      <c r="D548" s="107"/>
      <c r="E548" s="107"/>
      <c r="F548" s="28" t="s">
        <v>2879</v>
      </c>
      <c r="G548" s="28"/>
      <c r="H548" s="28"/>
      <c r="I548" s="28"/>
      <c r="J548" s="28"/>
      <c r="K548" s="28"/>
      <c r="L548" s="28" t="s">
        <v>217</v>
      </c>
      <c r="M548" s="60" t="s">
        <v>41</v>
      </c>
      <c r="N548" s="165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</row>
    <row r="549" spans="1:30" ht="14.4">
      <c r="A549" s="28" t="s">
        <v>18</v>
      </c>
      <c r="B549" s="28" t="s">
        <v>19</v>
      </c>
      <c r="C549" s="107" t="s">
        <v>319</v>
      </c>
      <c r="D549" s="107"/>
      <c r="E549" s="107"/>
      <c r="F549" s="28" t="s">
        <v>2880</v>
      </c>
      <c r="G549" s="28"/>
      <c r="H549" s="28"/>
      <c r="I549" s="28"/>
      <c r="J549" s="28"/>
      <c r="K549" s="28"/>
      <c r="L549" s="28" t="s">
        <v>217</v>
      </c>
      <c r="M549" s="60" t="s">
        <v>41</v>
      </c>
      <c r="N549" s="165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</row>
    <row r="550" spans="1:30" ht="14.4">
      <c r="A550" s="28" t="s">
        <v>18</v>
      </c>
      <c r="B550" s="28" t="s">
        <v>19</v>
      </c>
      <c r="C550" s="107" t="s">
        <v>319</v>
      </c>
      <c r="D550" s="107"/>
      <c r="E550" s="107"/>
      <c r="F550" s="28" t="s">
        <v>2882</v>
      </c>
      <c r="G550" s="28"/>
      <c r="H550" s="28"/>
      <c r="I550" s="28"/>
      <c r="J550" s="28"/>
      <c r="K550" s="28"/>
      <c r="L550" s="28" t="s">
        <v>217</v>
      </c>
      <c r="M550" s="60" t="s">
        <v>41</v>
      </c>
      <c r="N550" s="165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</row>
    <row r="551" spans="1:30" ht="14.4">
      <c r="A551" s="28" t="s">
        <v>18</v>
      </c>
      <c r="B551" s="28" t="s">
        <v>19</v>
      </c>
      <c r="C551" s="107" t="s">
        <v>319</v>
      </c>
      <c r="D551" s="107"/>
      <c r="E551" s="107"/>
      <c r="F551" s="28" t="s">
        <v>2883</v>
      </c>
      <c r="G551" s="28"/>
      <c r="H551" s="28"/>
      <c r="I551" s="28"/>
      <c r="J551" s="28"/>
      <c r="K551" s="28"/>
      <c r="L551" s="28" t="s">
        <v>629</v>
      </c>
      <c r="M551" s="60" t="s">
        <v>41</v>
      </c>
      <c r="N551" s="165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</row>
    <row r="552" spans="1:30" ht="14.4">
      <c r="A552" s="28" t="s">
        <v>18</v>
      </c>
      <c r="B552" s="28" t="s">
        <v>19</v>
      </c>
      <c r="C552" s="107" t="s">
        <v>319</v>
      </c>
      <c r="D552" s="107"/>
      <c r="E552" s="107"/>
      <c r="F552" s="28" t="s">
        <v>2885</v>
      </c>
      <c r="G552" s="28"/>
      <c r="H552" s="28"/>
      <c r="I552" s="28"/>
      <c r="J552" s="28"/>
      <c r="K552" s="28"/>
      <c r="L552" s="28" t="s">
        <v>629</v>
      </c>
      <c r="M552" s="60" t="s">
        <v>41</v>
      </c>
      <c r="N552" s="165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</row>
    <row r="553" spans="1:30" ht="14.4">
      <c r="A553" s="28" t="s">
        <v>18</v>
      </c>
      <c r="B553" s="28" t="s">
        <v>19</v>
      </c>
      <c r="C553" s="107" t="s">
        <v>319</v>
      </c>
      <c r="D553" s="107"/>
      <c r="E553" s="107"/>
      <c r="F553" s="28" t="s">
        <v>2888</v>
      </c>
      <c r="G553" s="28"/>
      <c r="H553" s="28"/>
      <c r="I553" s="28"/>
      <c r="J553" s="28"/>
      <c r="K553" s="28"/>
      <c r="L553" s="28" t="s">
        <v>629</v>
      </c>
      <c r="M553" s="60" t="s">
        <v>41</v>
      </c>
      <c r="N553" s="165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</row>
    <row r="554" spans="1:30" ht="14.4">
      <c r="A554" s="28" t="s">
        <v>18</v>
      </c>
      <c r="B554" s="28" t="s">
        <v>19</v>
      </c>
      <c r="C554" s="107" t="s">
        <v>319</v>
      </c>
      <c r="D554" s="107"/>
      <c r="E554" s="107"/>
      <c r="F554" s="28" t="s">
        <v>2896</v>
      </c>
      <c r="G554" s="28"/>
      <c r="H554" s="28"/>
      <c r="I554" s="28"/>
      <c r="J554" s="28"/>
      <c r="K554" s="28"/>
      <c r="L554" s="28" t="s">
        <v>629</v>
      </c>
      <c r="M554" s="60" t="s">
        <v>41</v>
      </c>
      <c r="N554" s="165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</row>
    <row r="555" spans="1:30" ht="14.4">
      <c r="A555" s="28" t="s">
        <v>18</v>
      </c>
      <c r="B555" s="28" t="s">
        <v>19</v>
      </c>
      <c r="C555" s="107" t="s">
        <v>319</v>
      </c>
      <c r="D555" s="107"/>
      <c r="E555" s="107"/>
      <c r="F555" s="28" t="s">
        <v>2897</v>
      </c>
      <c r="G555" s="28"/>
      <c r="H555" s="28"/>
      <c r="I555" s="28"/>
      <c r="J555" s="28"/>
      <c r="K555" s="28"/>
      <c r="L555" s="28" t="s">
        <v>629</v>
      </c>
      <c r="M555" s="60" t="s">
        <v>41</v>
      </c>
      <c r="N555" s="165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</row>
    <row r="556" spans="1:30" ht="14.4">
      <c r="A556" s="28" t="s">
        <v>18</v>
      </c>
      <c r="B556" s="28" t="s">
        <v>19</v>
      </c>
      <c r="C556" s="107" t="s">
        <v>319</v>
      </c>
      <c r="D556" s="107"/>
      <c r="E556" s="107"/>
      <c r="F556" s="28" t="s">
        <v>2900</v>
      </c>
      <c r="G556" s="28"/>
      <c r="H556" s="28"/>
      <c r="I556" s="28"/>
      <c r="J556" s="28"/>
      <c r="K556" s="28"/>
      <c r="L556" s="28" t="s">
        <v>629</v>
      </c>
      <c r="M556" s="60" t="s">
        <v>41</v>
      </c>
      <c r="N556" s="165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</row>
    <row r="557" spans="1:30" ht="14.4">
      <c r="A557" s="28" t="s">
        <v>18</v>
      </c>
      <c r="B557" s="28" t="s">
        <v>19</v>
      </c>
      <c r="C557" s="107" t="s">
        <v>319</v>
      </c>
      <c r="D557" s="107"/>
      <c r="E557" s="107"/>
      <c r="F557" s="28" t="s">
        <v>2902</v>
      </c>
      <c r="G557" s="28"/>
      <c r="H557" s="28"/>
      <c r="I557" s="28"/>
      <c r="J557" s="28"/>
      <c r="K557" s="28"/>
      <c r="L557" s="28" t="s">
        <v>629</v>
      </c>
      <c r="M557" s="60" t="s">
        <v>41</v>
      </c>
      <c r="N557" s="165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</row>
    <row r="558" spans="1:30" ht="14.4">
      <c r="A558" s="28" t="s">
        <v>18</v>
      </c>
      <c r="B558" s="28" t="s">
        <v>19</v>
      </c>
      <c r="C558" s="107" t="s">
        <v>319</v>
      </c>
      <c r="D558" s="107"/>
      <c r="E558" s="107"/>
      <c r="F558" s="28" t="s">
        <v>2904</v>
      </c>
      <c r="G558" s="28"/>
      <c r="H558" s="28"/>
      <c r="I558" s="28"/>
      <c r="J558" s="28"/>
      <c r="K558" s="28"/>
      <c r="L558" s="28" t="s">
        <v>266</v>
      </c>
      <c r="M558" s="60" t="s">
        <v>41</v>
      </c>
      <c r="N558" s="165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</row>
    <row r="559" spans="1:30" ht="14.4">
      <c r="A559" s="28" t="s">
        <v>18</v>
      </c>
      <c r="B559" s="28" t="s">
        <v>19</v>
      </c>
      <c r="C559" s="107" t="s">
        <v>319</v>
      </c>
      <c r="D559" s="107"/>
      <c r="E559" s="107"/>
      <c r="F559" s="28" t="s">
        <v>2905</v>
      </c>
      <c r="G559" s="28"/>
      <c r="H559" s="28"/>
      <c r="I559" s="28"/>
      <c r="J559" s="28"/>
      <c r="K559" s="28"/>
      <c r="L559" s="28" t="s">
        <v>266</v>
      </c>
      <c r="M559" s="60" t="s">
        <v>41</v>
      </c>
      <c r="N559" s="165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</row>
    <row r="560" spans="1:30" ht="14.4">
      <c r="A560" s="28" t="s">
        <v>18</v>
      </c>
      <c r="B560" s="28" t="s">
        <v>19</v>
      </c>
      <c r="C560" s="107" t="s">
        <v>319</v>
      </c>
      <c r="D560" s="107"/>
      <c r="E560" s="107"/>
      <c r="F560" s="28" t="s">
        <v>2910</v>
      </c>
      <c r="G560" s="28"/>
      <c r="H560" s="28"/>
      <c r="I560" s="28"/>
      <c r="J560" s="28"/>
      <c r="K560" s="28"/>
      <c r="L560" s="28" t="s">
        <v>266</v>
      </c>
      <c r="M560" s="60" t="s">
        <v>41</v>
      </c>
      <c r="N560" s="165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</row>
    <row r="561" spans="1:30" ht="14.4">
      <c r="A561" s="28" t="s">
        <v>18</v>
      </c>
      <c r="B561" s="28" t="s">
        <v>19</v>
      </c>
      <c r="C561" s="107" t="s">
        <v>319</v>
      </c>
      <c r="D561" s="107"/>
      <c r="E561" s="107"/>
      <c r="F561" s="28" t="s">
        <v>2912</v>
      </c>
      <c r="G561" s="28"/>
      <c r="H561" s="28"/>
      <c r="I561" s="28"/>
      <c r="J561" s="28"/>
      <c r="K561" s="28"/>
      <c r="L561" s="28" t="s">
        <v>2914</v>
      </c>
      <c r="M561" s="60" t="s">
        <v>41</v>
      </c>
      <c r="N561" s="165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</row>
    <row r="562" spans="1:30" ht="14.4">
      <c r="A562" s="28" t="s">
        <v>18</v>
      </c>
      <c r="B562" s="28" t="s">
        <v>19</v>
      </c>
      <c r="C562" s="107" t="s">
        <v>319</v>
      </c>
      <c r="D562" s="107"/>
      <c r="E562" s="107"/>
      <c r="F562" s="28" t="s">
        <v>2916</v>
      </c>
      <c r="G562" s="28"/>
      <c r="H562" s="28"/>
      <c r="I562" s="28"/>
      <c r="J562" s="28"/>
      <c r="K562" s="28"/>
      <c r="L562" s="28" t="s">
        <v>2914</v>
      </c>
      <c r="M562" s="60" t="s">
        <v>41</v>
      </c>
      <c r="N562" s="165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</row>
    <row r="563" spans="1:30" ht="14.4">
      <c r="A563" s="28" t="s">
        <v>18</v>
      </c>
      <c r="B563" s="28" t="s">
        <v>19</v>
      </c>
      <c r="C563" s="107" t="s">
        <v>319</v>
      </c>
      <c r="D563" s="107"/>
      <c r="E563" s="107"/>
      <c r="F563" s="28" t="s">
        <v>2921</v>
      </c>
      <c r="G563" s="28"/>
      <c r="H563" s="28"/>
      <c r="I563" s="28"/>
      <c r="J563" s="28"/>
      <c r="K563" s="28"/>
      <c r="L563" s="28" t="s">
        <v>2914</v>
      </c>
      <c r="M563" s="60" t="s">
        <v>41</v>
      </c>
      <c r="N563" s="165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</row>
    <row r="564" spans="1:30" ht="14.4">
      <c r="A564" s="28" t="s">
        <v>18</v>
      </c>
      <c r="B564" s="28" t="s">
        <v>19</v>
      </c>
      <c r="C564" s="107" t="s">
        <v>319</v>
      </c>
      <c r="D564" s="107"/>
      <c r="E564" s="107"/>
      <c r="F564" s="28" t="s">
        <v>2923</v>
      </c>
      <c r="G564" s="28"/>
      <c r="H564" s="28"/>
      <c r="I564" s="28"/>
      <c r="J564" s="28"/>
      <c r="K564" s="28"/>
      <c r="L564" s="28" t="s">
        <v>2925</v>
      </c>
      <c r="M564" s="60" t="s">
        <v>41</v>
      </c>
      <c r="N564" s="165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</row>
    <row r="565" spans="1:30" ht="14.4">
      <c r="A565" s="28" t="s">
        <v>18</v>
      </c>
      <c r="B565" s="28" t="s">
        <v>19</v>
      </c>
      <c r="C565" s="107" t="s">
        <v>319</v>
      </c>
      <c r="D565" s="107"/>
      <c r="E565" s="107"/>
      <c r="F565" s="28" t="s">
        <v>2929</v>
      </c>
      <c r="G565" s="28"/>
      <c r="H565" s="28"/>
      <c r="I565" s="28"/>
      <c r="J565" s="28"/>
      <c r="K565" s="28"/>
      <c r="L565" s="28" t="s">
        <v>2925</v>
      </c>
      <c r="M565" s="60" t="s">
        <v>41</v>
      </c>
      <c r="N565" s="165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</row>
    <row r="566" spans="1:30" ht="14.4">
      <c r="A566" s="28" t="s">
        <v>18</v>
      </c>
      <c r="B566" s="28" t="s">
        <v>19</v>
      </c>
      <c r="C566" s="107" t="s">
        <v>319</v>
      </c>
      <c r="D566" s="107"/>
      <c r="E566" s="107"/>
      <c r="F566" s="28" t="s">
        <v>2930</v>
      </c>
      <c r="G566" s="28"/>
      <c r="H566" s="28"/>
      <c r="I566" s="28"/>
      <c r="J566" s="28"/>
      <c r="K566" s="28"/>
      <c r="L566" s="28" t="s">
        <v>2925</v>
      </c>
      <c r="M566" s="60" t="s">
        <v>41</v>
      </c>
      <c r="N566" s="165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</row>
    <row r="567" spans="1:30" ht="14.4">
      <c r="A567" s="28" t="s">
        <v>18</v>
      </c>
      <c r="B567" s="28" t="s">
        <v>19</v>
      </c>
      <c r="C567" s="107" t="s">
        <v>319</v>
      </c>
      <c r="D567" s="107"/>
      <c r="E567" s="107"/>
      <c r="F567" s="28" t="s">
        <v>2935</v>
      </c>
      <c r="G567" s="28"/>
      <c r="H567" s="28"/>
      <c r="I567" s="28"/>
      <c r="J567" s="28"/>
      <c r="K567" s="28"/>
      <c r="L567" s="28" t="s">
        <v>2925</v>
      </c>
      <c r="M567" s="60" t="s">
        <v>41</v>
      </c>
      <c r="N567" s="165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</row>
    <row r="568" spans="1:30" ht="14.4">
      <c r="A568" s="28" t="s">
        <v>18</v>
      </c>
      <c r="B568" s="28" t="s">
        <v>19</v>
      </c>
      <c r="C568" s="107" t="s">
        <v>319</v>
      </c>
      <c r="D568" s="107"/>
      <c r="E568" s="107"/>
      <c r="F568" s="28" t="s">
        <v>2937</v>
      </c>
      <c r="G568" s="28"/>
      <c r="H568" s="28"/>
      <c r="I568" s="28"/>
      <c r="J568" s="28"/>
      <c r="K568" s="28"/>
      <c r="L568" s="28" t="s">
        <v>2925</v>
      </c>
      <c r="M568" s="60" t="s">
        <v>41</v>
      </c>
      <c r="N568" s="165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</row>
    <row r="569" spans="1:30" ht="14.4">
      <c r="A569" s="28" t="s">
        <v>18</v>
      </c>
      <c r="B569" s="28" t="s">
        <v>19</v>
      </c>
      <c r="C569" s="107" t="s">
        <v>319</v>
      </c>
      <c r="D569" s="107"/>
      <c r="E569" s="107"/>
      <c r="F569" s="28" t="s">
        <v>2940</v>
      </c>
      <c r="G569" s="28"/>
      <c r="H569" s="28"/>
      <c r="I569" s="28"/>
      <c r="J569" s="28"/>
      <c r="K569" s="28"/>
      <c r="L569" s="28" t="s">
        <v>140</v>
      </c>
      <c r="M569" s="60" t="s">
        <v>41</v>
      </c>
      <c r="N569" s="165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</row>
    <row r="570" spans="1:30" ht="14.4">
      <c r="A570" s="28" t="s">
        <v>18</v>
      </c>
      <c r="B570" s="28" t="s">
        <v>19</v>
      </c>
      <c r="C570" s="107" t="s">
        <v>319</v>
      </c>
      <c r="D570" s="107"/>
      <c r="E570" s="107"/>
      <c r="F570" s="28" t="s">
        <v>2946</v>
      </c>
      <c r="G570" s="28"/>
      <c r="H570" s="28"/>
      <c r="I570" s="28"/>
      <c r="J570" s="28"/>
      <c r="K570" s="28"/>
      <c r="L570" s="28" t="s">
        <v>140</v>
      </c>
      <c r="M570" s="60" t="s">
        <v>41</v>
      </c>
      <c r="N570" s="165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</row>
    <row r="571" spans="1:30" ht="14.4">
      <c r="A571" s="28" t="s">
        <v>18</v>
      </c>
      <c r="B571" s="28" t="s">
        <v>19</v>
      </c>
      <c r="C571" s="107" t="s">
        <v>319</v>
      </c>
      <c r="D571" s="107"/>
      <c r="E571" s="107"/>
      <c r="F571" s="28" t="s">
        <v>2949</v>
      </c>
      <c r="G571" s="28"/>
      <c r="H571" s="28"/>
      <c r="I571" s="28"/>
      <c r="J571" s="28"/>
      <c r="K571" s="28"/>
      <c r="L571" s="28" t="s">
        <v>140</v>
      </c>
      <c r="M571" s="60" t="s">
        <v>41</v>
      </c>
      <c r="N571" s="165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</row>
    <row r="572" spans="1:30" ht="14.4">
      <c r="A572" s="28" t="s">
        <v>18</v>
      </c>
      <c r="B572" s="28" t="s">
        <v>19</v>
      </c>
      <c r="C572" s="107" t="s">
        <v>319</v>
      </c>
      <c r="D572" s="107"/>
      <c r="E572" s="107"/>
      <c r="F572" s="28" t="s">
        <v>2952</v>
      </c>
      <c r="G572" s="28"/>
      <c r="H572" s="28"/>
      <c r="I572" s="28"/>
      <c r="J572" s="28"/>
      <c r="K572" s="28"/>
      <c r="L572" s="28" t="s">
        <v>140</v>
      </c>
      <c r="M572" s="60" t="s">
        <v>41</v>
      </c>
      <c r="N572" s="165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</row>
    <row r="573" spans="1:30" ht="14.4">
      <c r="A573" s="28" t="s">
        <v>18</v>
      </c>
      <c r="B573" s="28" t="s">
        <v>19</v>
      </c>
      <c r="C573" s="107" t="s">
        <v>319</v>
      </c>
      <c r="D573" s="107"/>
      <c r="E573" s="107"/>
      <c r="F573" s="28" t="s">
        <v>2957</v>
      </c>
      <c r="G573" s="28"/>
      <c r="H573" s="28"/>
      <c r="I573" s="28"/>
      <c r="J573" s="28"/>
      <c r="K573" s="28"/>
      <c r="L573" s="28" t="s">
        <v>140</v>
      </c>
      <c r="M573" s="60" t="s">
        <v>41</v>
      </c>
      <c r="N573" s="165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</row>
    <row r="574" spans="1:30" ht="14.4">
      <c r="A574" s="28" t="s">
        <v>18</v>
      </c>
      <c r="B574" s="28" t="s">
        <v>19</v>
      </c>
      <c r="C574" s="107" t="s">
        <v>319</v>
      </c>
      <c r="D574" s="107"/>
      <c r="E574" s="107"/>
      <c r="F574" s="28" t="s">
        <v>2964</v>
      </c>
      <c r="G574" s="28"/>
      <c r="H574" s="28"/>
      <c r="I574" s="28"/>
      <c r="J574" s="28"/>
      <c r="K574" s="28"/>
      <c r="L574" s="28" t="s">
        <v>2965</v>
      </c>
      <c r="M574" s="60" t="s">
        <v>41</v>
      </c>
      <c r="N574" s="165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</row>
    <row r="575" spans="1:30" ht="14.4">
      <c r="A575" s="28" t="s">
        <v>18</v>
      </c>
      <c r="B575" s="28" t="s">
        <v>19</v>
      </c>
      <c r="C575" s="107" t="s">
        <v>319</v>
      </c>
      <c r="D575" s="107"/>
      <c r="E575" s="107"/>
      <c r="F575" s="28" t="s">
        <v>2968</v>
      </c>
      <c r="G575" s="28"/>
      <c r="H575" s="28"/>
      <c r="I575" s="28"/>
      <c r="J575" s="28"/>
      <c r="K575" s="28"/>
      <c r="L575" s="28" t="s">
        <v>2965</v>
      </c>
      <c r="M575" s="60" t="s">
        <v>41</v>
      </c>
      <c r="N575" s="165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</row>
    <row r="576" spans="1:30" ht="14.4">
      <c r="A576" s="28" t="s">
        <v>18</v>
      </c>
      <c r="B576" s="28" t="s">
        <v>19</v>
      </c>
      <c r="C576" s="107" t="s">
        <v>319</v>
      </c>
      <c r="D576" s="107"/>
      <c r="E576" s="107"/>
      <c r="F576" s="28" t="s">
        <v>2970</v>
      </c>
      <c r="G576" s="28"/>
      <c r="H576" s="28"/>
      <c r="I576" s="28"/>
      <c r="J576" s="28"/>
      <c r="K576" s="28"/>
      <c r="L576" s="28" t="s">
        <v>2965</v>
      </c>
      <c r="M576" s="60" t="s">
        <v>41</v>
      </c>
      <c r="N576" s="165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</row>
    <row r="577" spans="1:30" ht="14.4">
      <c r="A577" s="28" t="s">
        <v>18</v>
      </c>
      <c r="B577" s="28" t="s">
        <v>19</v>
      </c>
      <c r="C577" s="107" t="s">
        <v>319</v>
      </c>
      <c r="D577" s="107"/>
      <c r="E577" s="107"/>
      <c r="F577" s="28" t="s">
        <v>2979</v>
      </c>
      <c r="G577" s="28"/>
      <c r="H577" s="28"/>
      <c r="I577" s="28"/>
      <c r="J577" s="28"/>
      <c r="K577" s="28"/>
      <c r="L577" s="28" t="s">
        <v>2965</v>
      </c>
      <c r="M577" s="60" t="s">
        <v>41</v>
      </c>
      <c r="N577" s="165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</row>
    <row r="578" spans="1:30" ht="14.4">
      <c r="A578" s="28" t="s">
        <v>18</v>
      </c>
      <c r="B578" s="28" t="s">
        <v>19</v>
      </c>
      <c r="C578" s="107" t="s">
        <v>319</v>
      </c>
      <c r="D578" s="107"/>
      <c r="E578" s="107"/>
      <c r="F578" s="28" t="s">
        <v>2982</v>
      </c>
      <c r="G578" s="28"/>
      <c r="H578" s="28"/>
      <c r="I578" s="28"/>
      <c r="J578" s="28"/>
      <c r="K578" s="28"/>
      <c r="L578" s="28" t="s">
        <v>2965</v>
      </c>
      <c r="M578" s="60" t="s">
        <v>41</v>
      </c>
      <c r="N578" s="165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</row>
    <row r="579" spans="1:30" ht="14.4">
      <c r="A579" s="28" t="s">
        <v>18</v>
      </c>
      <c r="B579" s="28" t="s">
        <v>19</v>
      </c>
      <c r="C579" s="107" t="s">
        <v>319</v>
      </c>
      <c r="D579" s="107"/>
      <c r="E579" s="107"/>
      <c r="F579" s="28" t="s">
        <v>2989</v>
      </c>
      <c r="G579" s="28"/>
      <c r="H579" s="28"/>
      <c r="I579" s="28"/>
      <c r="J579" s="28"/>
      <c r="K579" s="28"/>
      <c r="L579" s="28" t="s">
        <v>2965</v>
      </c>
      <c r="M579" s="60" t="s">
        <v>41</v>
      </c>
      <c r="N579" s="165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</row>
    <row r="580" spans="1:30" ht="14.4">
      <c r="A580" s="28" t="s">
        <v>18</v>
      </c>
      <c r="B580" s="28" t="s">
        <v>19</v>
      </c>
      <c r="C580" s="107" t="s">
        <v>319</v>
      </c>
      <c r="D580" s="107"/>
      <c r="E580" s="107"/>
      <c r="F580" s="28" t="s">
        <v>2995</v>
      </c>
      <c r="G580" s="28"/>
      <c r="H580" s="28"/>
      <c r="I580" s="28"/>
      <c r="J580" s="28"/>
      <c r="K580" s="28"/>
      <c r="L580" s="28" t="s">
        <v>2965</v>
      </c>
      <c r="M580" s="60" t="s">
        <v>41</v>
      </c>
      <c r="N580" s="165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</row>
    <row r="581" spans="1:30" ht="14.4">
      <c r="A581" s="28" t="s">
        <v>18</v>
      </c>
      <c r="B581" s="28" t="s">
        <v>19</v>
      </c>
      <c r="C581" s="107" t="s">
        <v>319</v>
      </c>
      <c r="D581" s="107"/>
      <c r="E581" s="107"/>
      <c r="F581" s="28" t="s">
        <v>3004</v>
      </c>
      <c r="G581" s="28"/>
      <c r="H581" s="28"/>
      <c r="I581" s="28"/>
      <c r="J581" s="28"/>
      <c r="K581" s="28"/>
      <c r="L581" s="28" t="s">
        <v>2965</v>
      </c>
      <c r="M581" s="60" t="s">
        <v>41</v>
      </c>
      <c r="N581" s="165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</row>
    <row r="582" spans="1:30" ht="14.4">
      <c r="A582" s="28" t="s">
        <v>18</v>
      </c>
      <c r="B582" s="28" t="s">
        <v>19</v>
      </c>
      <c r="C582" s="107" t="s">
        <v>319</v>
      </c>
      <c r="D582" s="107"/>
      <c r="E582" s="107"/>
      <c r="F582" s="28" t="s">
        <v>3009</v>
      </c>
      <c r="G582" s="28"/>
      <c r="H582" s="28"/>
      <c r="I582" s="28"/>
      <c r="J582" s="28"/>
      <c r="K582" s="28"/>
      <c r="L582" s="28" t="s">
        <v>2965</v>
      </c>
      <c r="M582" s="60" t="s">
        <v>41</v>
      </c>
      <c r="N582" s="165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</row>
    <row r="583" spans="1:30" ht="14.4">
      <c r="A583" s="28" t="s">
        <v>18</v>
      </c>
      <c r="B583" s="28" t="s">
        <v>19</v>
      </c>
      <c r="C583" s="107" t="s">
        <v>319</v>
      </c>
      <c r="D583" s="107"/>
      <c r="E583" s="107"/>
      <c r="F583" s="28" t="s">
        <v>3017</v>
      </c>
      <c r="G583" s="28"/>
      <c r="H583" s="28"/>
      <c r="I583" s="28"/>
      <c r="J583" s="28"/>
      <c r="K583" s="28"/>
      <c r="L583" s="28" t="s">
        <v>2965</v>
      </c>
      <c r="M583" s="60" t="s">
        <v>41</v>
      </c>
      <c r="N583" s="165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</row>
    <row r="584" spans="1:30" ht="14.4">
      <c r="A584" s="28" t="s">
        <v>18</v>
      </c>
      <c r="B584" s="28" t="s">
        <v>19</v>
      </c>
      <c r="C584" s="107" t="s">
        <v>319</v>
      </c>
      <c r="D584" s="107"/>
      <c r="E584" s="107"/>
      <c r="F584" s="28" t="s">
        <v>3024</v>
      </c>
      <c r="G584" s="28"/>
      <c r="H584" s="28"/>
      <c r="I584" s="28"/>
      <c r="J584" s="28"/>
      <c r="K584" s="28"/>
      <c r="L584" s="28" t="s">
        <v>3025</v>
      </c>
      <c r="M584" s="60" t="s">
        <v>41</v>
      </c>
      <c r="N584" s="165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</row>
    <row r="585" spans="1:30" ht="14.4">
      <c r="A585" s="28" t="s">
        <v>18</v>
      </c>
      <c r="B585" s="28" t="s">
        <v>19</v>
      </c>
      <c r="C585" s="107" t="s">
        <v>319</v>
      </c>
      <c r="D585" s="107"/>
      <c r="E585" s="107"/>
      <c r="F585" s="28" t="s">
        <v>3032</v>
      </c>
      <c r="G585" s="28"/>
      <c r="H585" s="28"/>
      <c r="I585" s="28"/>
      <c r="J585" s="28"/>
      <c r="K585" s="28"/>
      <c r="L585" s="28" t="s">
        <v>3025</v>
      </c>
      <c r="M585" s="60" t="s">
        <v>41</v>
      </c>
      <c r="N585" s="165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</row>
    <row r="586" spans="1:30" ht="14.4">
      <c r="A586" s="28" t="s">
        <v>18</v>
      </c>
      <c r="B586" s="28" t="s">
        <v>19</v>
      </c>
      <c r="C586" s="107" t="s">
        <v>319</v>
      </c>
      <c r="D586" s="107"/>
      <c r="E586" s="107"/>
      <c r="F586" s="28" t="s">
        <v>3039</v>
      </c>
      <c r="G586" s="28"/>
      <c r="H586" s="28"/>
      <c r="I586" s="28"/>
      <c r="J586" s="28"/>
      <c r="K586" s="28"/>
      <c r="L586" s="28" t="s">
        <v>3041</v>
      </c>
      <c r="M586" s="60" t="s">
        <v>41</v>
      </c>
      <c r="N586" s="165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</row>
    <row r="587" spans="1:30" ht="14.4">
      <c r="A587" s="28" t="s">
        <v>18</v>
      </c>
      <c r="B587" s="28" t="s">
        <v>19</v>
      </c>
      <c r="C587" s="107" t="s">
        <v>319</v>
      </c>
      <c r="D587" s="107"/>
      <c r="E587" s="107"/>
      <c r="F587" s="28" t="s">
        <v>3045</v>
      </c>
      <c r="G587" s="28"/>
      <c r="H587" s="28"/>
      <c r="I587" s="28"/>
      <c r="J587" s="28"/>
      <c r="K587" s="28"/>
      <c r="L587" s="28" t="s">
        <v>3041</v>
      </c>
      <c r="M587" s="60" t="s">
        <v>41</v>
      </c>
      <c r="N587" s="165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</row>
    <row r="588" spans="1:30" ht="14.4">
      <c r="A588" s="28" t="s">
        <v>18</v>
      </c>
      <c r="B588" s="28" t="s">
        <v>19</v>
      </c>
      <c r="C588" s="107" t="s">
        <v>319</v>
      </c>
      <c r="D588" s="107"/>
      <c r="E588" s="107"/>
      <c r="F588" s="28" t="s">
        <v>3047</v>
      </c>
      <c r="G588" s="28"/>
      <c r="H588" s="28"/>
      <c r="I588" s="28"/>
      <c r="J588" s="28"/>
      <c r="K588" s="28"/>
      <c r="L588" s="28" t="s">
        <v>3041</v>
      </c>
      <c r="M588" s="60" t="s">
        <v>41</v>
      </c>
      <c r="N588" s="165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</row>
    <row r="589" spans="1:30" ht="14.4">
      <c r="A589" s="28" t="s">
        <v>18</v>
      </c>
      <c r="B589" s="28" t="s">
        <v>19</v>
      </c>
      <c r="C589" s="107" t="s">
        <v>319</v>
      </c>
      <c r="D589" s="107"/>
      <c r="E589" s="107"/>
      <c r="F589" s="28" t="s">
        <v>3054</v>
      </c>
      <c r="G589" s="28"/>
      <c r="H589" s="28"/>
      <c r="I589" s="28"/>
      <c r="J589" s="28"/>
      <c r="K589" s="28"/>
      <c r="L589" s="28" t="s">
        <v>3055</v>
      </c>
      <c r="M589" s="60" t="s">
        <v>41</v>
      </c>
      <c r="N589" s="165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</row>
    <row r="590" spans="1:30" ht="14.4">
      <c r="A590" s="28" t="s">
        <v>18</v>
      </c>
      <c r="B590" s="28" t="s">
        <v>19</v>
      </c>
      <c r="C590" s="107" t="s">
        <v>319</v>
      </c>
      <c r="D590" s="107"/>
      <c r="E590" s="107"/>
      <c r="F590" s="28" t="s">
        <v>3062</v>
      </c>
      <c r="G590" s="28"/>
      <c r="H590" s="28"/>
      <c r="I590" s="28"/>
      <c r="J590" s="28"/>
      <c r="K590" s="28"/>
      <c r="L590" s="28" t="s">
        <v>3055</v>
      </c>
      <c r="M590" s="60" t="s">
        <v>41</v>
      </c>
      <c r="N590" s="165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</row>
    <row r="591" spans="1:30" ht="14.4">
      <c r="A591" s="28" t="s">
        <v>18</v>
      </c>
      <c r="B591" s="28" t="s">
        <v>19</v>
      </c>
      <c r="C591" s="107" t="s">
        <v>319</v>
      </c>
      <c r="D591" s="107"/>
      <c r="E591" s="107"/>
      <c r="F591" s="28" t="s">
        <v>3072</v>
      </c>
      <c r="G591" s="28"/>
      <c r="H591" s="28"/>
      <c r="I591" s="28"/>
      <c r="J591" s="28"/>
      <c r="K591" s="28"/>
      <c r="L591" s="28" t="s">
        <v>3055</v>
      </c>
      <c r="M591" s="60" t="s">
        <v>41</v>
      </c>
      <c r="N591" s="165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</row>
    <row r="592" spans="1:30" ht="14.4">
      <c r="A592" s="28" t="s">
        <v>18</v>
      </c>
      <c r="B592" s="28" t="s">
        <v>19</v>
      </c>
      <c r="C592" s="107" t="s">
        <v>319</v>
      </c>
      <c r="D592" s="107"/>
      <c r="E592" s="107"/>
      <c r="F592" s="28" t="s">
        <v>3073</v>
      </c>
      <c r="G592" s="28"/>
      <c r="H592" s="28"/>
      <c r="I592" s="28"/>
      <c r="J592" s="28"/>
      <c r="K592" s="28"/>
      <c r="L592" s="28" t="s">
        <v>3074</v>
      </c>
      <c r="M592" s="60" t="s">
        <v>41</v>
      </c>
      <c r="N592" s="165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</row>
    <row r="593" spans="1:30" ht="14.4">
      <c r="A593" s="28" t="s">
        <v>18</v>
      </c>
      <c r="B593" s="28" t="s">
        <v>19</v>
      </c>
      <c r="C593" s="107" t="s">
        <v>319</v>
      </c>
      <c r="D593" s="107"/>
      <c r="E593" s="107"/>
      <c r="F593" s="28" t="s">
        <v>3079</v>
      </c>
      <c r="G593" s="28"/>
      <c r="H593" s="28"/>
      <c r="I593" s="28"/>
      <c r="J593" s="28"/>
      <c r="K593" s="28"/>
      <c r="L593" s="28" t="s">
        <v>3074</v>
      </c>
      <c r="M593" s="60" t="s">
        <v>41</v>
      </c>
      <c r="N593" s="165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</row>
    <row r="594" spans="1:30" ht="14.4">
      <c r="A594" s="28" t="s">
        <v>18</v>
      </c>
      <c r="B594" s="28" t="s">
        <v>19</v>
      </c>
      <c r="C594" s="107" t="s">
        <v>319</v>
      </c>
      <c r="D594" s="107"/>
      <c r="E594" s="107"/>
      <c r="F594" s="28" t="s">
        <v>3084</v>
      </c>
      <c r="G594" s="28"/>
      <c r="H594" s="28"/>
      <c r="I594" s="28"/>
      <c r="J594" s="28"/>
      <c r="K594" s="28"/>
      <c r="L594" s="28" t="s">
        <v>3085</v>
      </c>
      <c r="M594" s="60" t="s">
        <v>41</v>
      </c>
      <c r="N594" s="165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</row>
    <row r="595" spans="1:30" ht="14.4">
      <c r="A595" s="28" t="s">
        <v>18</v>
      </c>
      <c r="B595" s="28" t="s">
        <v>19</v>
      </c>
      <c r="C595" s="107" t="s">
        <v>319</v>
      </c>
      <c r="D595" s="107"/>
      <c r="E595" s="107"/>
      <c r="F595" s="28" t="s">
        <v>3089</v>
      </c>
      <c r="G595" s="28"/>
      <c r="H595" s="28"/>
      <c r="I595" s="28"/>
      <c r="J595" s="28"/>
      <c r="K595" s="28"/>
      <c r="L595" s="28" t="s">
        <v>3085</v>
      </c>
      <c r="M595" s="60" t="s">
        <v>41</v>
      </c>
      <c r="N595" s="165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</row>
    <row r="596" spans="1:30" ht="14.4">
      <c r="A596" s="28" t="s">
        <v>18</v>
      </c>
      <c r="B596" s="28" t="s">
        <v>19</v>
      </c>
      <c r="C596" s="107" t="s">
        <v>319</v>
      </c>
      <c r="D596" s="107"/>
      <c r="E596" s="107"/>
      <c r="F596" s="28" t="s">
        <v>3096</v>
      </c>
      <c r="G596" s="28"/>
      <c r="H596" s="28"/>
      <c r="I596" s="28"/>
      <c r="J596" s="28"/>
      <c r="K596" s="28"/>
      <c r="L596" s="28" t="s">
        <v>3085</v>
      </c>
      <c r="M596" s="60" t="s">
        <v>41</v>
      </c>
      <c r="N596" s="165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</row>
    <row r="597" spans="1:30" ht="14.4">
      <c r="A597" s="28" t="s">
        <v>18</v>
      </c>
      <c r="B597" s="28" t="s">
        <v>19</v>
      </c>
      <c r="C597" s="107" t="s">
        <v>319</v>
      </c>
      <c r="D597" s="107"/>
      <c r="E597" s="107"/>
      <c r="F597" s="28" t="s">
        <v>3103</v>
      </c>
      <c r="G597" s="28"/>
      <c r="H597" s="28"/>
      <c r="I597" s="28"/>
      <c r="J597" s="28"/>
      <c r="K597" s="28"/>
      <c r="L597" s="28" t="s">
        <v>3085</v>
      </c>
      <c r="M597" s="60" t="s">
        <v>41</v>
      </c>
      <c r="N597" s="165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</row>
    <row r="598" spans="1:30" ht="14.4">
      <c r="A598" s="28" t="s">
        <v>18</v>
      </c>
      <c r="B598" s="28" t="s">
        <v>19</v>
      </c>
      <c r="C598" s="107" t="s">
        <v>319</v>
      </c>
      <c r="D598" s="107"/>
      <c r="E598" s="107"/>
      <c r="F598" s="28" t="s">
        <v>3106</v>
      </c>
      <c r="G598" s="28"/>
      <c r="H598" s="28"/>
      <c r="I598" s="28"/>
      <c r="J598" s="28"/>
      <c r="K598" s="28"/>
      <c r="L598" s="28" t="s">
        <v>3085</v>
      </c>
      <c r="M598" s="60" t="s">
        <v>41</v>
      </c>
      <c r="N598" s="165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</row>
    <row r="599" spans="1:30" ht="14.4">
      <c r="A599" s="28" t="s">
        <v>18</v>
      </c>
      <c r="B599" s="28" t="s">
        <v>19</v>
      </c>
      <c r="C599" s="107" t="s">
        <v>319</v>
      </c>
      <c r="D599" s="107"/>
      <c r="E599" s="107"/>
      <c r="F599" s="28" t="s">
        <v>3110</v>
      </c>
      <c r="G599" s="28"/>
      <c r="H599" s="28"/>
      <c r="I599" s="28"/>
      <c r="J599" s="28"/>
      <c r="K599" s="28"/>
      <c r="L599" s="28" t="s">
        <v>3085</v>
      </c>
      <c r="M599" s="60" t="s">
        <v>41</v>
      </c>
      <c r="N599" s="165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</row>
    <row r="600" spans="1:30" ht="14.4">
      <c r="A600" s="28" t="s">
        <v>18</v>
      </c>
      <c r="B600" s="28" t="s">
        <v>19</v>
      </c>
      <c r="C600" s="107" t="s">
        <v>319</v>
      </c>
      <c r="D600" s="107"/>
      <c r="E600" s="107"/>
      <c r="F600" s="28" t="s">
        <v>3116</v>
      </c>
      <c r="G600" s="28"/>
      <c r="H600" s="28"/>
      <c r="I600" s="28"/>
      <c r="J600" s="28"/>
      <c r="K600" s="28"/>
      <c r="L600" s="28" t="s">
        <v>3085</v>
      </c>
      <c r="M600" s="60" t="s">
        <v>41</v>
      </c>
      <c r="N600" s="165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</row>
    <row r="601" spans="1:30" ht="14.4">
      <c r="A601" s="28" t="s">
        <v>18</v>
      </c>
      <c r="B601" s="28" t="s">
        <v>19</v>
      </c>
      <c r="C601" s="107" t="s">
        <v>319</v>
      </c>
      <c r="D601" s="107"/>
      <c r="E601" s="107"/>
      <c r="F601" s="28" t="s">
        <v>3119</v>
      </c>
      <c r="G601" s="28"/>
      <c r="H601" s="28"/>
      <c r="I601" s="28"/>
      <c r="J601" s="28"/>
      <c r="K601" s="28"/>
      <c r="L601" s="28" t="s">
        <v>2084</v>
      </c>
      <c r="M601" s="60" t="s">
        <v>41</v>
      </c>
      <c r="N601" s="165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</row>
    <row r="602" spans="1:30" ht="14.4">
      <c r="A602" s="28" t="s">
        <v>18</v>
      </c>
      <c r="B602" s="28" t="s">
        <v>19</v>
      </c>
      <c r="C602" s="107" t="s">
        <v>319</v>
      </c>
      <c r="D602" s="107"/>
      <c r="E602" s="107"/>
      <c r="F602" s="28" t="s">
        <v>3134</v>
      </c>
      <c r="G602" s="28"/>
      <c r="H602" s="28"/>
      <c r="I602" s="28"/>
      <c r="J602" s="28"/>
      <c r="K602" s="28"/>
      <c r="L602" s="28" t="s">
        <v>2084</v>
      </c>
      <c r="M602" s="60" t="s">
        <v>41</v>
      </c>
      <c r="N602" s="165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</row>
    <row r="603" spans="1:30" ht="14.4">
      <c r="A603" s="28" t="s">
        <v>18</v>
      </c>
      <c r="B603" s="28" t="s">
        <v>19</v>
      </c>
      <c r="C603" s="107" t="s">
        <v>319</v>
      </c>
      <c r="D603" s="107"/>
      <c r="E603" s="107"/>
      <c r="F603" s="28" t="s">
        <v>3139</v>
      </c>
      <c r="G603" s="28"/>
      <c r="H603" s="28"/>
      <c r="I603" s="28"/>
      <c r="J603" s="28"/>
      <c r="K603" s="28"/>
      <c r="L603" s="28" t="s">
        <v>2084</v>
      </c>
      <c r="M603" s="60" t="s">
        <v>41</v>
      </c>
      <c r="N603" s="165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</row>
    <row r="604" spans="1:30" ht="14.4">
      <c r="A604" s="28" t="s">
        <v>18</v>
      </c>
      <c r="B604" s="28" t="s">
        <v>19</v>
      </c>
      <c r="C604" s="107" t="s">
        <v>319</v>
      </c>
      <c r="D604" s="107"/>
      <c r="E604" s="107"/>
      <c r="F604" s="28" t="s">
        <v>3141</v>
      </c>
      <c r="G604" s="28"/>
      <c r="H604" s="28"/>
      <c r="I604" s="28"/>
      <c r="J604" s="28"/>
      <c r="K604" s="28"/>
      <c r="L604" s="28" t="s">
        <v>2084</v>
      </c>
      <c r="M604" s="60" t="s">
        <v>41</v>
      </c>
      <c r="N604" s="165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</row>
    <row r="605" spans="1:30" ht="14.4">
      <c r="A605" s="28" t="s">
        <v>18</v>
      </c>
      <c r="B605" s="28" t="s">
        <v>19</v>
      </c>
      <c r="C605" s="107" t="s">
        <v>319</v>
      </c>
      <c r="D605" s="107"/>
      <c r="E605" s="107"/>
      <c r="F605" s="28" t="s">
        <v>3144</v>
      </c>
      <c r="G605" s="28"/>
      <c r="H605" s="28"/>
      <c r="I605" s="28"/>
      <c r="J605" s="28"/>
      <c r="K605" s="28"/>
      <c r="L605" s="28" t="s">
        <v>2084</v>
      </c>
      <c r="M605" s="60" t="s">
        <v>41</v>
      </c>
      <c r="N605" s="165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</row>
    <row r="606" spans="1:30" ht="14.4">
      <c r="A606" s="28" t="s">
        <v>18</v>
      </c>
      <c r="B606" s="28" t="s">
        <v>19</v>
      </c>
      <c r="C606" s="107" t="s">
        <v>319</v>
      </c>
      <c r="D606" s="107"/>
      <c r="E606" s="107"/>
      <c r="F606" s="28" t="s">
        <v>3150</v>
      </c>
      <c r="G606" s="28"/>
      <c r="H606" s="28"/>
      <c r="I606" s="28"/>
      <c r="J606" s="28"/>
      <c r="K606" s="28"/>
      <c r="L606" s="28" t="s">
        <v>2084</v>
      </c>
      <c r="M606" s="60" t="s">
        <v>41</v>
      </c>
      <c r="N606" s="165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</row>
    <row r="607" spans="1:30" ht="14.4">
      <c r="A607" s="28" t="s">
        <v>18</v>
      </c>
      <c r="B607" s="28" t="s">
        <v>19</v>
      </c>
      <c r="C607" s="107" t="s">
        <v>319</v>
      </c>
      <c r="D607" s="107"/>
      <c r="E607" s="107"/>
      <c r="F607" s="28" t="s">
        <v>3156</v>
      </c>
      <c r="G607" s="28"/>
      <c r="H607" s="28"/>
      <c r="I607" s="28"/>
      <c r="J607" s="28"/>
      <c r="K607" s="28"/>
      <c r="L607" s="28" t="s">
        <v>2084</v>
      </c>
      <c r="M607" s="60" t="s">
        <v>41</v>
      </c>
      <c r="N607" s="165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</row>
    <row r="608" spans="1:30" ht="14.4">
      <c r="A608" s="28" t="s">
        <v>18</v>
      </c>
      <c r="B608" s="28" t="s">
        <v>19</v>
      </c>
      <c r="C608" s="107" t="s">
        <v>319</v>
      </c>
      <c r="D608" s="107"/>
      <c r="E608" s="107"/>
      <c r="F608" s="28" t="s">
        <v>3159</v>
      </c>
      <c r="G608" s="28"/>
      <c r="H608" s="28"/>
      <c r="I608" s="28"/>
      <c r="J608" s="28"/>
      <c r="K608" s="28"/>
      <c r="L608" s="28" t="s">
        <v>2084</v>
      </c>
      <c r="M608" s="60" t="s">
        <v>41</v>
      </c>
      <c r="N608" s="165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</row>
    <row r="609" spans="1:30" ht="14.4">
      <c r="A609" s="28" t="s">
        <v>18</v>
      </c>
      <c r="B609" s="28" t="s">
        <v>19</v>
      </c>
      <c r="C609" s="107" t="s">
        <v>319</v>
      </c>
      <c r="D609" s="107"/>
      <c r="E609" s="107"/>
      <c r="F609" s="28" t="s">
        <v>3161</v>
      </c>
      <c r="G609" s="28"/>
      <c r="H609" s="28"/>
      <c r="I609" s="28"/>
      <c r="J609" s="28"/>
      <c r="K609" s="28"/>
      <c r="L609" s="28" t="s">
        <v>117</v>
      </c>
      <c r="M609" s="60" t="s">
        <v>41</v>
      </c>
      <c r="N609" s="165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</row>
    <row r="610" spans="1:30" ht="14.4">
      <c r="A610" s="28" t="s">
        <v>18</v>
      </c>
      <c r="B610" s="28" t="s">
        <v>19</v>
      </c>
      <c r="C610" s="107" t="s">
        <v>319</v>
      </c>
      <c r="D610" s="107"/>
      <c r="E610" s="107"/>
      <c r="F610" s="28" t="s">
        <v>3166</v>
      </c>
      <c r="G610" s="28"/>
      <c r="H610" s="28"/>
      <c r="I610" s="28"/>
      <c r="J610" s="28"/>
      <c r="K610" s="28"/>
      <c r="L610" s="28" t="s">
        <v>117</v>
      </c>
      <c r="M610" s="60" t="s">
        <v>41</v>
      </c>
      <c r="N610" s="165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</row>
    <row r="611" spans="1:30" ht="14.4">
      <c r="A611" s="28" t="s">
        <v>18</v>
      </c>
      <c r="B611" s="28" t="s">
        <v>19</v>
      </c>
      <c r="C611" s="107" t="s">
        <v>319</v>
      </c>
      <c r="D611" s="107"/>
      <c r="E611" s="107"/>
      <c r="F611" s="28" t="s">
        <v>3171</v>
      </c>
      <c r="G611" s="28"/>
      <c r="H611" s="28"/>
      <c r="I611" s="28"/>
      <c r="J611" s="28"/>
      <c r="K611" s="28"/>
      <c r="L611" s="28" t="s">
        <v>117</v>
      </c>
      <c r="M611" s="60" t="s">
        <v>41</v>
      </c>
      <c r="N611" s="165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</row>
    <row r="612" spans="1:30" ht="14.4">
      <c r="A612" s="28" t="s">
        <v>18</v>
      </c>
      <c r="B612" s="28" t="s">
        <v>19</v>
      </c>
      <c r="C612" s="107" t="s">
        <v>319</v>
      </c>
      <c r="D612" s="107"/>
      <c r="E612" s="107"/>
      <c r="F612" s="28" t="s">
        <v>3172</v>
      </c>
      <c r="G612" s="28"/>
      <c r="H612" s="28"/>
      <c r="I612" s="28"/>
      <c r="J612" s="28"/>
      <c r="K612" s="28"/>
      <c r="L612" s="28" t="s">
        <v>117</v>
      </c>
      <c r="M612" s="60" t="s">
        <v>41</v>
      </c>
      <c r="N612" s="165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</row>
    <row r="613" spans="1:30" ht="14.4">
      <c r="A613" s="28" t="s">
        <v>18</v>
      </c>
      <c r="B613" s="28" t="s">
        <v>19</v>
      </c>
      <c r="C613" s="107" t="s">
        <v>319</v>
      </c>
      <c r="D613" s="107"/>
      <c r="E613" s="107"/>
      <c r="F613" s="28" t="s">
        <v>3178</v>
      </c>
      <c r="G613" s="28"/>
      <c r="H613" s="28"/>
      <c r="I613" s="28"/>
      <c r="J613" s="28"/>
      <c r="K613" s="28"/>
      <c r="L613" s="28" t="s">
        <v>117</v>
      </c>
      <c r="M613" s="60" t="s">
        <v>41</v>
      </c>
      <c r="N613" s="165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</row>
    <row r="614" spans="1:30" ht="14.4">
      <c r="A614" s="28" t="s">
        <v>18</v>
      </c>
      <c r="B614" s="28" t="s">
        <v>19</v>
      </c>
      <c r="C614" s="107" t="s">
        <v>319</v>
      </c>
      <c r="D614" s="107"/>
      <c r="E614" s="107"/>
      <c r="F614" s="28" t="s">
        <v>3183</v>
      </c>
      <c r="G614" s="28"/>
      <c r="H614" s="28"/>
      <c r="I614" s="28"/>
      <c r="J614" s="28"/>
      <c r="K614" s="28"/>
      <c r="L614" s="28" t="s">
        <v>117</v>
      </c>
      <c r="M614" s="60" t="s">
        <v>41</v>
      </c>
      <c r="N614" s="165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</row>
    <row r="615" spans="1:30" ht="14.4">
      <c r="A615" s="28" t="s">
        <v>18</v>
      </c>
      <c r="B615" s="28" t="s">
        <v>19</v>
      </c>
      <c r="C615" s="107" t="s">
        <v>319</v>
      </c>
      <c r="D615" s="107"/>
      <c r="E615" s="107"/>
      <c r="F615" s="28" t="s">
        <v>3190</v>
      </c>
      <c r="G615" s="28"/>
      <c r="H615" s="28"/>
      <c r="I615" s="28"/>
      <c r="J615" s="28"/>
      <c r="K615" s="28"/>
      <c r="L615" s="28" t="s">
        <v>117</v>
      </c>
      <c r="M615" s="60" t="s">
        <v>41</v>
      </c>
      <c r="N615" s="165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</row>
    <row r="616" spans="1:30" ht="14.4">
      <c r="A616" s="28" t="s">
        <v>18</v>
      </c>
      <c r="B616" s="28" t="s">
        <v>19</v>
      </c>
      <c r="C616" s="107" t="s">
        <v>319</v>
      </c>
      <c r="D616" s="107"/>
      <c r="E616" s="107"/>
      <c r="F616" s="28" t="s">
        <v>3195</v>
      </c>
      <c r="G616" s="28"/>
      <c r="H616" s="28"/>
      <c r="I616" s="28"/>
      <c r="J616" s="28"/>
      <c r="K616" s="28"/>
      <c r="L616" s="28" t="s">
        <v>117</v>
      </c>
      <c r="M616" s="60" t="s">
        <v>41</v>
      </c>
      <c r="N616" s="165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</row>
    <row r="617" spans="1:30" ht="14.4">
      <c r="A617" s="28" t="s">
        <v>18</v>
      </c>
      <c r="B617" s="28" t="s">
        <v>19</v>
      </c>
      <c r="C617" s="107" t="s">
        <v>319</v>
      </c>
      <c r="D617" s="107"/>
      <c r="E617" s="107"/>
      <c r="F617" s="28" t="s">
        <v>3206</v>
      </c>
      <c r="G617" s="28"/>
      <c r="H617" s="28"/>
      <c r="I617" s="28"/>
      <c r="J617" s="28"/>
      <c r="K617" s="28"/>
      <c r="L617" s="28" t="s">
        <v>117</v>
      </c>
      <c r="M617" s="60" t="s">
        <v>41</v>
      </c>
      <c r="N617" s="165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</row>
    <row r="618" spans="1:30" ht="14.4">
      <c r="A618" s="28" t="s">
        <v>18</v>
      </c>
      <c r="B618" s="28" t="s">
        <v>19</v>
      </c>
      <c r="C618" s="107" t="s">
        <v>319</v>
      </c>
      <c r="D618" s="107"/>
      <c r="E618" s="107"/>
      <c r="F618" s="28" t="s">
        <v>3211</v>
      </c>
      <c r="G618" s="28"/>
      <c r="H618" s="28"/>
      <c r="I618" s="28"/>
      <c r="J618" s="28"/>
      <c r="K618" s="28"/>
      <c r="L618" s="28" t="s">
        <v>117</v>
      </c>
      <c r="M618" s="60" t="s">
        <v>41</v>
      </c>
      <c r="N618" s="165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</row>
    <row r="619" spans="1:30" ht="14.4">
      <c r="A619" s="28" t="s">
        <v>18</v>
      </c>
      <c r="B619" s="28" t="s">
        <v>19</v>
      </c>
      <c r="C619" s="107" t="s">
        <v>319</v>
      </c>
      <c r="D619" s="107"/>
      <c r="E619" s="107"/>
      <c r="F619" s="28" t="s">
        <v>3217</v>
      </c>
      <c r="G619" s="28"/>
      <c r="H619" s="28"/>
      <c r="I619" s="28"/>
      <c r="J619" s="28"/>
      <c r="K619" s="28"/>
      <c r="L619" s="28" t="s">
        <v>3220</v>
      </c>
      <c r="M619" s="60" t="s">
        <v>41</v>
      </c>
      <c r="N619" s="165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</row>
    <row r="620" spans="1:30" ht="14.4">
      <c r="A620" s="28" t="s">
        <v>18</v>
      </c>
      <c r="B620" s="28" t="s">
        <v>19</v>
      </c>
      <c r="C620" s="107" t="s">
        <v>319</v>
      </c>
      <c r="D620" s="107"/>
      <c r="E620" s="107"/>
      <c r="F620" s="28" t="s">
        <v>3224</v>
      </c>
      <c r="G620" s="28"/>
      <c r="H620" s="28"/>
      <c r="I620" s="28"/>
      <c r="J620" s="28"/>
      <c r="K620" s="28"/>
      <c r="L620" s="28" t="s">
        <v>3220</v>
      </c>
      <c r="M620" s="60" t="s">
        <v>41</v>
      </c>
      <c r="N620" s="165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</row>
    <row r="621" spans="1:30" ht="14.4">
      <c r="A621" s="28" t="s">
        <v>18</v>
      </c>
      <c r="B621" s="28" t="s">
        <v>19</v>
      </c>
      <c r="C621" s="107" t="s">
        <v>319</v>
      </c>
      <c r="D621" s="107"/>
      <c r="E621" s="107"/>
      <c r="F621" s="28" t="s">
        <v>3232</v>
      </c>
      <c r="G621" s="28"/>
      <c r="H621" s="28"/>
      <c r="I621" s="28"/>
      <c r="J621" s="28"/>
      <c r="K621" s="28"/>
      <c r="L621" s="28" t="s">
        <v>3220</v>
      </c>
      <c r="M621" s="60" t="s">
        <v>41</v>
      </c>
      <c r="N621" s="165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</row>
    <row r="622" spans="1:30" ht="14.4">
      <c r="A622" s="28" t="s">
        <v>18</v>
      </c>
      <c r="B622" s="28" t="s">
        <v>19</v>
      </c>
      <c r="C622" s="107" t="s">
        <v>319</v>
      </c>
      <c r="D622" s="107"/>
      <c r="E622" s="107"/>
      <c r="F622" s="28" t="s">
        <v>3236</v>
      </c>
      <c r="G622" s="28"/>
      <c r="H622" s="28"/>
      <c r="I622" s="28"/>
      <c r="J622" s="28"/>
      <c r="K622" s="28"/>
      <c r="L622" s="28" t="s">
        <v>3220</v>
      </c>
      <c r="M622" s="60" t="s">
        <v>41</v>
      </c>
      <c r="N622" s="165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</row>
    <row r="623" spans="1:30" ht="14.4">
      <c r="A623" s="28" t="s">
        <v>18</v>
      </c>
      <c r="B623" s="28" t="s">
        <v>19</v>
      </c>
      <c r="C623" s="107" t="s">
        <v>319</v>
      </c>
      <c r="D623" s="107"/>
      <c r="E623" s="107"/>
      <c r="F623" s="28" t="s">
        <v>3245</v>
      </c>
      <c r="G623" s="28"/>
      <c r="H623" s="28"/>
      <c r="I623" s="28"/>
      <c r="J623" s="28"/>
      <c r="K623" s="28"/>
      <c r="L623" s="28" t="s">
        <v>3220</v>
      </c>
      <c r="M623" s="60" t="s">
        <v>41</v>
      </c>
      <c r="N623" s="165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</row>
    <row r="624" spans="1:30" ht="14.4">
      <c r="A624" s="28" t="s">
        <v>18</v>
      </c>
      <c r="B624" s="28" t="s">
        <v>19</v>
      </c>
      <c r="C624" s="107" t="s">
        <v>319</v>
      </c>
      <c r="D624" s="107"/>
      <c r="E624" s="107"/>
      <c r="F624" s="28" t="s">
        <v>3254</v>
      </c>
      <c r="G624" s="28"/>
      <c r="H624" s="28"/>
      <c r="I624" s="28"/>
      <c r="J624" s="28"/>
      <c r="K624" s="28"/>
      <c r="L624" s="28" t="s">
        <v>3220</v>
      </c>
      <c r="M624" s="60" t="s">
        <v>41</v>
      </c>
      <c r="N624" s="165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</row>
    <row r="625" spans="1:30" ht="14.4">
      <c r="A625" s="28" t="s">
        <v>18</v>
      </c>
      <c r="B625" s="28" t="s">
        <v>19</v>
      </c>
      <c r="C625" s="107" t="s">
        <v>319</v>
      </c>
      <c r="D625" s="107"/>
      <c r="E625" s="107"/>
      <c r="F625" s="28" t="s">
        <v>3262</v>
      </c>
      <c r="G625" s="28"/>
      <c r="H625" s="28"/>
      <c r="I625" s="28"/>
      <c r="J625" s="28"/>
      <c r="K625" s="28"/>
      <c r="L625" s="28" t="s">
        <v>3220</v>
      </c>
      <c r="M625" s="60" t="s">
        <v>41</v>
      </c>
      <c r="N625" s="165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</row>
    <row r="626" spans="1:30" ht="14.4">
      <c r="A626" s="28" t="s">
        <v>18</v>
      </c>
      <c r="B626" s="28" t="s">
        <v>19</v>
      </c>
      <c r="C626" s="107" t="s">
        <v>319</v>
      </c>
      <c r="D626" s="107"/>
      <c r="E626" s="107"/>
      <c r="F626" s="28" t="s">
        <v>3266</v>
      </c>
      <c r="G626" s="28"/>
      <c r="H626" s="28"/>
      <c r="I626" s="28"/>
      <c r="J626" s="28"/>
      <c r="K626" s="28"/>
      <c r="L626" s="28" t="s">
        <v>3220</v>
      </c>
      <c r="M626" s="60" t="s">
        <v>41</v>
      </c>
      <c r="N626" s="165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</row>
    <row r="627" spans="1:30" ht="14.4">
      <c r="A627" s="28" t="s">
        <v>18</v>
      </c>
      <c r="B627" s="28" t="s">
        <v>19</v>
      </c>
      <c r="C627" s="107" t="s">
        <v>319</v>
      </c>
      <c r="D627" s="107"/>
      <c r="E627" s="107"/>
      <c r="F627" s="28" t="s">
        <v>3272</v>
      </c>
      <c r="G627" s="28"/>
      <c r="H627" s="28"/>
      <c r="I627" s="28"/>
      <c r="J627" s="28"/>
      <c r="K627" s="28"/>
      <c r="L627" s="28" t="s">
        <v>3220</v>
      </c>
      <c r="M627" s="60" t="s">
        <v>41</v>
      </c>
      <c r="N627" s="165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</row>
    <row r="628" spans="1:30" ht="14.4">
      <c r="A628" s="28" t="s">
        <v>18</v>
      </c>
      <c r="B628" s="28" t="s">
        <v>19</v>
      </c>
      <c r="C628" s="107" t="s">
        <v>319</v>
      </c>
      <c r="D628" s="107"/>
      <c r="E628" s="107"/>
      <c r="F628" s="28" t="s">
        <v>3279</v>
      </c>
      <c r="G628" s="28"/>
      <c r="H628" s="28"/>
      <c r="I628" s="28"/>
      <c r="J628" s="28"/>
      <c r="K628" s="28"/>
      <c r="L628" s="28" t="s">
        <v>3220</v>
      </c>
      <c r="M628" s="60" t="s">
        <v>41</v>
      </c>
      <c r="N628" s="165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</row>
    <row r="629" spans="1:30" ht="14.4">
      <c r="A629" s="28" t="s">
        <v>18</v>
      </c>
      <c r="B629" s="28" t="s">
        <v>19</v>
      </c>
      <c r="C629" s="107" t="s">
        <v>319</v>
      </c>
      <c r="D629" s="107"/>
      <c r="E629" s="107"/>
      <c r="F629" s="28" t="s">
        <v>3284</v>
      </c>
      <c r="G629" s="28"/>
      <c r="H629" s="28"/>
      <c r="I629" s="28"/>
      <c r="J629" s="28"/>
      <c r="K629" s="28"/>
      <c r="L629" s="28" t="s">
        <v>3220</v>
      </c>
      <c r="M629" s="60" t="s">
        <v>41</v>
      </c>
      <c r="N629" s="165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</row>
    <row r="630" spans="1:30" ht="14.4">
      <c r="A630" s="28" t="s">
        <v>18</v>
      </c>
      <c r="B630" s="28" t="s">
        <v>19</v>
      </c>
      <c r="C630" s="107" t="s">
        <v>319</v>
      </c>
      <c r="D630" s="107"/>
      <c r="E630" s="107"/>
      <c r="F630" s="28" t="s">
        <v>3287</v>
      </c>
      <c r="G630" s="28"/>
      <c r="H630" s="28"/>
      <c r="I630" s="28"/>
      <c r="J630" s="28"/>
      <c r="K630" s="28"/>
      <c r="L630" s="28" t="s">
        <v>3220</v>
      </c>
      <c r="M630" s="60" t="s">
        <v>41</v>
      </c>
      <c r="N630" s="165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</row>
    <row r="631" spans="1:30" ht="14.4">
      <c r="A631" s="28" t="s">
        <v>18</v>
      </c>
      <c r="B631" s="28" t="s">
        <v>19</v>
      </c>
      <c r="C631" s="107" t="s">
        <v>319</v>
      </c>
      <c r="D631" s="107"/>
      <c r="E631" s="107"/>
      <c r="F631" s="28" t="s">
        <v>3293</v>
      </c>
      <c r="G631" s="28"/>
      <c r="H631" s="28"/>
      <c r="I631" s="28"/>
      <c r="J631" s="28"/>
      <c r="K631" s="28"/>
      <c r="L631" s="28" t="s">
        <v>3220</v>
      </c>
      <c r="M631" s="60" t="s">
        <v>41</v>
      </c>
      <c r="N631" s="165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</row>
    <row r="632" spans="1:30" ht="14.4">
      <c r="A632" s="28" t="s">
        <v>18</v>
      </c>
      <c r="B632" s="28" t="s">
        <v>19</v>
      </c>
      <c r="C632" s="107" t="s">
        <v>319</v>
      </c>
      <c r="D632" s="107"/>
      <c r="E632" s="107"/>
      <c r="F632" s="28" t="s">
        <v>3299</v>
      </c>
      <c r="G632" s="28"/>
      <c r="H632" s="28"/>
      <c r="I632" s="28"/>
      <c r="J632" s="28"/>
      <c r="K632" s="28"/>
      <c r="L632" s="28" t="s">
        <v>3220</v>
      </c>
      <c r="M632" s="60" t="s">
        <v>41</v>
      </c>
      <c r="N632" s="165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</row>
    <row r="633" spans="1:30" ht="14.4">
      <c r="A633" s="28" t="s">
        <v>18</v>
      </c>
      <c r="B633" s="28" t="s">
        <v>19</v>
      </c>
      <c r="C633" s="107" t="s">
        <v>319</v>
      </c>
      <c r="D633" s="107"/>
      <c r="E633" s="107"/>
      <c r="F633" s="28" t="s">
        <v>3306</v>
      </c>
      <c r="G633" s="28"/>
      <c r="H633" s="28"/>
      <c r="I633" s="28"/>
      <c r="J633" s="28"/>
      <c r="K633" s="28"/>
      <c r="L633" s="28" t="s">
        <v>3220</v>
      </c>
      <c r="M633" s="60" t="s">
        <v>41</v>
      </c>
      <c r="N633" s="165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</row>
    <row r="634" spans="1:30" ht="14.4">
      <c r="A634" s="28" t="s">
        <v>18</v>
      </c>
      <c r="B634" s="28" t="s">
        <v>19</v>
      </c>
      <c r="C634" s="107" t="s">
        <v>319</v>
      </c>
      <c r="D634" s="107"/>
      <c r="E634" s="107"/>
      <c r="F634" s="28" t="s">
        <v>3310</v>
      </c>
      <c r="G634" s="28"/>
      <c r="H634" s="28"/>
      <c r="I634" s="28"/>
      <c r="J634" s="28"/>
      <c r="K634" s="28"/>
      <c r="L634" s="28" t="s">
        <v>3220</v>
      </c>
      <c r="M634" s="60" t="s">
        <v>41</v>
      </c>
      <c r="N634" s="165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</row>
    <row r="635" spans="1:30" ht="14.4">
      <c r="A635" s="28" t="s">
        <v>18</v>
      </c>
      <c r="B635" s="28" t="s">
        <v>19</v>
      </c>
      <c r="C635" s="107" t="s">
        <v>319</v>
      </c>
      <c r="D635" s="107"/>
      <c r="E635" s="107"/>
      <c r="F635" s="28" t="s">
        <v>3316</v>
      </c>
      <c r="G635" s="28"/>
      <c r="H635" s="28"/>
      <c r="I635" s="28"/>
      <c r="J635" s="28"/>
      <c r="K635" s="28"/>
      <c r="L635" s="28" t="s">
        <v>3220</v>
      </c>
      <c r="M635" s="60" t="s">
        <v>41</v>
      </c>
      <c r="N635" s="165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</row>
    <row r="636" spans="1:30" ht="14.4">
      <c r="A636" s="28" t="s">
        <v>18</v>
      </c>
      <c r="B636" s="28" t="s">
        <v>19</v>
      </c>
      <c r="C636" s="107" t="s">
        <v>319</v>
      </c>
      <c r="D636" s="107"/>
      <c r="E636" s="107"/>
      <c r="F636" s="28" t="s">
        <v>3324</v>
      </c>
      <c r="G636" s="28"/>
      <c r="H636" s="28"/>
      <c r="I636" s="28"/>
      <c r="J636" s="28"/>
      <c r="K636" s="28"/>
      <c r="L636" s="28" t="s">
        <v>3325</v>
      </c>
      <c r="M636" s="60" t="s">
        <v>41</v>
      </c>
      <c r="N636" s="165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</row>
    <row r="637" spans="1:30" ht="14.4">
      <c r="A637" s="28" t="s">
        <v>18</v>
      </c>
      <c r="B637" s="28" t="s">
        <v>19</v>
      </c>
      <c r="C637" s="107" t="s">
        <v>319</v>
      </c>
      <c r="D637" s="107"/>
      <c r="E637" s="107"/>
      <c r="F637" s="28" t="s">
        <v>3332</v>
      </c>
      <c r="G637" s="28"/>
      <c r="H637" s="28"/>
      <c r="I637" s="28"/>
      <c r="J637" s="28"/>
      <c r="K637" s="28"/>
      <c r="L637" s="28" t="s">
        <v>3335</v>
      </c>
      <c r="M637" s="60" t="s">
        <v>41</v>
      </c>
      <c r="N637" s="165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</row>
    <row r="638" spans="1:30" ht="14.4">
      <c r="A638" s="28" t="s">
        <v>18</v>
      </c>
      <c r="B638" s="28" t="s">
        <v>19</v>
      </c>
      <c r="C638" s="107" t="s">
        <v>319</v>
      </c>
      <c r="D638" s="107"/>
      <c r="E638" s="107"/>
      <c r="F638" s="28" t="s">
        <v>3338</v>
      </c>
      <c r="G638" s="28"/>
      <c r="H638" s="28"/>
      <c r="I638" s="28"/>
      <c r="J638" s="28"/>
      <c r="K638" s="28"/>
      <c r="L638" s="28" t="s">
        <v>3335</v>
      </c>
      <c r="M638" s="24" t="s">
        <v>41</v>
      </c>
      <c r="N638" s="165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</row>
    <row r="639" spans="1:30" ht="14.4">
      <c r="A639" s="28" t="s">
        <v>18</v>
      </c>
      <c r="B639" s="28" t="s">
        <v>19</v>
      </c>
      <c r="C639" s="107" t="s">
        <v>319</v>
      </c>
      <c r="D639" s="107"/>
      <c r="E639" s="107"/>
      <c r="F639" s="28" t="s">
        <v>3344</v>
      </c>
      <c r="G639" s="28"/>
      <c r="H639" s="28"/>
      <c r="I639" s="28"/>
      <c r="J639" s="28"/>
      <c r="K639" s="28"/>
      <c r="L639" s="28" t="s">
        <v>3349</v>
      </c>
      <c r="M639" s="60" t="s">
        <v>41</v>
      </c>
      <c r="N639" s="165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</row>
    <row r="640" spans="1:30" ht="14.4">
      <c r="A640" s="28" t="s">
        <v>18</v>
      </c>
      <c r="B640" s="28" t="s">
        <v>19</v>
      </c>
      <c r="C640" s="107" t="s">
        <v>319</v>
      </c>
      <c r="D640" s="107"/>
      <c r="E640" s="107"/>
      <c r="F640" s="28" t="s">
        <v>3353</v>
      </c>
      <c r="G640" s="28"/>
      <c r="H640" s="28"/>
      <c r="I640" s="28"/>
      <c r="J640" s="28"/>
      <c r="K640" s="28"/>
      <c r="L640" s="28" t="s">
        <v>3349</v>
      </c>
      <c r="M640" s="60" t="s">
        <v>41</v>
      </c>
      <c r="N640" s="165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</row>
    <row r="641" spans="1:30" ht="14.4">
      <c r="A641" s="28" t="s">
        <v>18</v>
      </c>
      <c r="B641" s="28" t="s">
        <v>19</v>
      </c>
      <c r="C641" s="107" t="s">
        <v>319</v>
      </c>
      <c r="D641" s="107"/>
      <c r="E641" s="107"/>
      <c r="F641" s="28" t="s">
        <v>3361</v>
      </c>
      <c r="G641" s="28"/>
      <c r="H641" s="28"/>
      <c r="I641" s="28"/>
      <c r="J641" s="28"/>
      <c r="K641" s="28"/>
      <c r="L641" s="28" t="s">
        <v>3349</v>
      </c>
      <c r="M641" s="60" t="s">
        <v>41</v>
      </c>
      <c r="N641" s="165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</row>
    <row r="642" spans="1:30" ht="14.4">
      <c r="A642" s="28" t="s">
        <v>18</v>
      </c>
      <c r="B642" s="28" t="s">
        <v>19</v>
      </c>
      <c r="C642" s="107" t="s">
        <v>319</v>
      </c>
      <c r="D642" s="107"/>
      <c r="E642" s="107"/>
      <c r="F642" s="28" t="s">
        <v>3366</v>
      </c>
      <c r="G642" s="28"/>
      <c r="H642" s="28"/>
      <c r="I642" s="28"/>
      <c r="J642" s="28"/>
      <c r="K642" s="28"/>
      <c r="L642" s="28" t="s">
        <v>3367</v>
      </c>
      <c r="M642" s="60" t="s">
        <v>41</v>
      </c>
      <c r="N642" s="165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</row>
    <row r="643" spans="1:30" ht="14.4">
      <c r="A643" s="28" t="s">
        <v>18</v>
      </c>
      <c r="B643" s="28" t="s">
        <v>19</v>
      </c>
      <c r="C643" s="107" t="s">
        <v>319</v>
      </c>
      <c r="D643" s="107"/>
      <c r="E643" s="107"/>
      <c r="F643" s="28" t="s">
        <v>3372</v>
      </c>
      <c r="G643" s="28"/>
      <c r="H643" s="28"/>
      <c r="I643" s="28"/>
      <c r="J643" s="28"/>
      <c r="K643" s="28"/>
      <c r="L643" s="28" t="s">
        <v>3367</v>
      </c>
      <c r="M643" s="60" t="s">
        <v>41</v>
      </c>
      <c r="N643" s="165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</row>
    <row r="644" spans="1:30" ht="14.4">
      <c r="A644" s="28" t="s">
        <v>18</v>
      </c>
      <c r="B644" s="28" t="s">
        <v>19</v>
      </c>
      <c r="C644" s="107" t="s">
        <v>319</v>
      </c>
      <c r="D644" s="107"/>
      <c r="E644" s="107"/>
      <c r="F644" s="28" t="s">
        <v>3380</v>
      </c>
      <c r="G644" s="28"/>
      <c r="H644" s="28"/>
      <c r="I644" s="28"/>
      <c r="J644" s="28"/>
      <c r="K644" s="28"/>
      <c r="L644" s="28" t="s">
        <v>3367</v>
      </c>
      <c r="M644" s="60" t="s">
        <v>41</v>
      </c>
      <c r="N644" s="165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</row>
    <row r="645" spans="1:30" ht="14.4">
      <c r="A645" s="28" t="s">
        <v>18</v>
      </c>
      <c r="B645" s="28" t="s">
        <v>19</v>
      </c>
      <c r="C645" s="107" t="s">
        <v>319</v>
      </c>
      <c r="D645" s="107"/>
      <c r="E645" s="107"/>
      <c r="F645" s="28" t="s">
        <v>3384</v>
      </c>
      <c r="G645" s="28"/>
      <c r="H645" s="28"/>
      <c r="I645" s="28"/>
      <c r="J645" s="28"/>
      <c r="K645" s="28"/>
      <c r="L645" s="28" t="s">
        <v>511</v>
      </c>
      <c r="M645" s="60" t="s">
        <v>41</v>
      </c>
      <c r="N645" s="165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</row>
    <row r="646" spans="1:30" ht="14.4">
      <c r="A646" s="28" t="s">
        <v>18</v>
      </c>
      <c r="B646" s="28" t="s">
        <v>19</v>
      </c>
      <c r="C646" s="107" t="s">
        <v>319</v>
      </c>
      <c r="D646" s="107"/>
      <c r="E646" s="107"/>
      <c r="F646" s="28" t="s">
        <v>3387</v>
      </c>
      <c r="G646" s="28"/>
      <c r="H646" s="28"/>
      <c r="I646" s="28"/>
      <c r="J646" s="28"/>
      <c r="K646" s="28"/>
      <c r="L646" s="28" t="s">
        <v>511</v>
      </c>
      <c r="M646" s="60" t="s">
        <v>41</v>
      </c>
      <c r="N646" s="165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</row>
    <row r="647" spans="1:30" ht="14.4">
      <c r="A647" s="28" t="s">
        <v>18</v>
      </c>
      <c r="B647" s="28" t="s">
        <v>19</v>
      </c>
      <c r="C647" s="107" t="s">
        <v>319</v>
      </c>
      <c r="D647" s="107"/>
      <c r="E647" s="107"/>
      <c r="F647" s="28" t="s">
        <v>3394</v>
      </c>
      <c r="G647" s="28"/>
      <c r="H647" s="28"/>
      <c r="I647" s="28"/>
      <c r="J647" s="28"/>
      <c r="K647" s="28"/>
      <c r="L647" s="28" t="s">
        <v>511</v>
      </c>
      <c r="M647" s="60" t="s">
        <v>41</v>
      </c>
      <c r="N647" s="165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</row>
    <row r="648" spans="1:30" ht="14.4">
      <c r="A648" s="28" t="s">
        <v>18</v>
      </c>
      <c r="B648" s="28" t="s">
        <v>19</v>
      </c>
      <c r="C648" s="107" t="s">
        <v>319</v>
      </c>
      <c r="D648" s="107"/>
      <c r="E648" s="107"/>
      <c r="F648" s="28" t="s">
        <v>3399</v>
      </c>
      <c r="G648" s="28"/>
      <c r="H648" s="28"/>
      <c r="I648" s="28"/>
      <c r="J648" s="28"/>
      <c r="K648" s="28"/>
      <c r="L648" s="28" t="s">
        <v>511</v>
      </c>
      <c r="M648" s="60" t="s">
        <v>41</v>
      </c>
      <c r="N648" s="165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</row>
    <row r="649" spans="1:30" ht="14.4">
      <c r="A649" s="28" t="s">
        <v>18</v>
      </c>
      <c r="B649" s="28" t="s">
        <v>19</v>
      </c>
      <c r="C649" s="107" t="s">
        <v>319</v>
      </c>
      <c r="D649" s="107"/>
      <c r="E649" s="107"/>
      <c r="F649" s="28" t="s">
        <v>3405</v>
      </c>
      <c r="G649" s="28"/>
      <c r="H649" s="28"/>
      <c r="I649" s="28"/>
      <c r="J649" s="28"/>
      <c r="K649" s="28"/>
      <c r="L649" s="28" t="s">
        <v>511</v>
      </c>
      <c r="M649" s="60" t="s">
        <v>41</v>
      </c>
      <c r="N649" s="165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</row>
    <row r="650" spans="1:30" ht="14.4">
      <c r="A650" s="28" t="s">
        <v>18</v>
      </c>
      <c r="B650" s="28" t="s">
        <v>19</v>
      </c>
      <c r="C650" s="107" t="s">
        <v>319</v>
      </c>
      <c r="D650" s="107"/>
      <c r="E650" s="107"/>
      <c r="F650" s="28" t="s">
        <v>3408</v>
      </c>
      <c r="G650" s="28"/>
      <c r="H650" s="28"/>
      <c r="I650" s="28"/>
      <c r="J650" s="28"/>
      <c r="K650" s="28"/>
      <c r="L650" s="28" t="s">
        <v>511</v>
      </c>
      <c r="M650" s="60" t="s">
        <v>41</v>
      </c>
      <c r="N650" s="165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</row>
    <row r="651" spans="1:30" ht="14.4">
      <c r="A651" s="28" t="s">
        <v>18</v>
      </c>
      <c r="B651" s="28" t="s">
        <v>19</v>
      </c>
      <c r="C651" s="107" t="s">
        <v>319</v>
      </c>
      <c r="D651" s="107"/>
      <c r="E651" s="107"/>
      <c r="F651" s="28" t="s">
        <v>3417</v>
      </c>
      <c r="G651" s="28"/>
      <c r="H651" s="28"/>
      <c r="I651" s="28"/>
      <c r="J651" s="28"/>
      <c r="K651" s="28"/>
      <c r="L651" s="28" t="s">
        <v>511</v>
      </c>
      <c r="M651" s="60" t="s">
        <v>41</v>
      </c>
      <c r="N651" s="165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</row>
    <row r="652" spans="1:30" ht="14.4">
      <c r="A652" s="28" t="s">
        <v>18</v>
      </c>
      <c r="B652" s="28" t="s">
        <v>19</v>
      </c>
      <c r="C652" s="107" t="s">
        <v>319</v>
      </c>
      <c r="D652" s="107"/>
      <c r="E652" s="107"/>
      <c r="F652" s="28" t="s">
        <v>3424</v>
      </c>
      <c r="G652" s="28"/>
      <c r="H652" s="28"/>
      <c r="I652" s="28"/>
      <c r="J652" s="28"/>
      <c r="K652" s="28"/>
      <c r="L652" s="28" t="s">
        <v>511</v>
      </c>
      <c r="M652" s="60" t="s">
        <v>41</v>
      </c>
      <c r="N652" s="165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</row>
    <row r="653" spans="1:30" ht="14.4">
      <c r="A653" s="28" t="s">
        <v>18</v>
      </c>
      <c r="B653" s="28" t="s">
        <v>19</v>
      </c>
      <c r="C653" s="107" t="s">
        <v>319</v>
      </c>
      <c r="D653" s="107"/>
      <c r="E653" s="107"/>
      <c r="F653" s="28" t="s">
        <v>3429</v>
      </c>
      <c r="G653" s="28"/>
      <c r="H653" s="28"/>
      <c r="I653" s="28"/>
      <c r="J653" s="28"/>
      <c r="K653" s="28"/>
      <c r="L653" s="28" t="s">
        <v>511</v>
      </c>
      <c r="M653" s="60" t="s">
        <v>41</v>
      </c>
      <c r="N653" s="165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</row>
    <row r="654" spans="1:30" ht="14.4">
      <c r="A654" s="28" t="s">
        <v>18</v>
      </c>
      <c r="B654" s="28" t="s">
        <v>19</v>
      </c>
      <c r="C654" s="107" t="s">
        <v>319</v>
      </c>
      <c r="D654" s="107"/>
      <c r="E654" s="107"/>
      <c r="F654" s="28" t="s">
        <v>3433</v>
      </c>
      <c r="G654" s="28"/>
      <c r="H654" s="28"/>
      <c r="I654" s="28"/>
      <c r="J654" s="28"/>
      <c r="K654" s="28"/>
      <c r="L654" s="28" t="s">
        <v>511</v>
      </c>
      <c r="M654" s="60" t="s">
        <v>41</v>
      </c>
      <c r="N654" s="165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</row>
    <row r="655" spans="1:30" ht="14.4">
      <c r="A655" s="28" t="s">
        <v>18</v>
      </c>
      <c r="B655" s="28" t="s">
        <v>19</v>
      </c>
      <c r="C655" s="107" t="s">
        <v>319</v>
      </c>
      <c r="D655" s="107"/>
      <c r="E655" s="107"/>
      <c r="F655" s="28" t="s">
        <v>3441</v>
      </c>
      <c r="G655" s="28"/>
      <c r="H655" s="28"/>
      <c r="I655" s="28"/>
      <c r="J655" s="28"/>
      <c r="K655" s="28"/>
      <c r="L655" s="28" t="s">
        <v>511</v>
      </c>
      <c r="M655" s="60" t="s">
        <v>41</v>
      </c>
      <c r="N655" s="165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</row>
    <row r="656" spans="1:30" ht="14.4">
      <c r="A656" s="28" t="s">
        <v>18</v>
      </c>
      <c r="B656" s="28" t="s">
        <v>19</v>
      </c>
      <c r="C656" s="107" t="s">
        <v>319</v>
      </c>
      <c r="D656" s="107"/>
      <c r="E656" s="107"/>
      <c r="F656" s="28" t="s">
        <v>3446</v>
      </c>
      <c r="G656" s="28"/>
      <c r="H656" s="28"/>
      <c r="I656" s="28"/>
      <c r="J656" s="28"/>
      <c r="K656" s="28"/>
      <c r="L656" s="28" t="s">
        <v>511</v>
      </c>
      <c r="M656" s="60" t="s">
        <v>41</v>
      </c>
      <c r="N656" s="165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</row>
    <row r="657" spans="1:30" ht="14.4">
      <c r="A657" s="28" t="s">
        <v>18</v>
      </c>
      <c r="B657" s="28" t="s">
        <v>19</v>
      </c>
      <c r="C657" s="107" t="s">
        <v>319</v>
      </c>
      <c r="D657" s="107"/>
      <c r="E657" s="107"/>
      <c r="F657" s="28" t="s">
        <v>3458</v>
      </c>
      <c r="G657" s="28"/>
      <c r="H657" s="28"/>
      <c r="I657" s="28"/>
      <c r="J657" s="28"/>
      <c r="K657" s="28"/>
      <c r="L657" s="28" t="s">
        <v>511</v>
      </c>
      <c r="M657" s="60" t="s">
        <v>41</v>
      </c>
      <c r="N657" s="165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</row>
    <row r="658" spans="1:30" ht="14.4">
      <c r="A658" s="28" t="s">
        <v>18</v>
      </c>
      <c r="B658" s="28" t="s">
        <v>19</v>
      </c>
      <c r="C658" s="107" t="s">
        <v>319</v>
      </c>
      <c r="D658" s="107"/>
      <c r="E658" s="107"/>
      <c r="F658" s="28" t="s">
        <v>3463</v>
      </c>
      <c r="G658" s="28"/>
      <c r="H658" s="28"/>
      <c r="I658" s="28"/>
      <c r="J658" s="28"/>
      <c r="K658" s="28"/>
      <c r="L658" s="28" t="s">
        <v>511</v>
      </c>
      <c r="M658" s="60" t="s">
        <v>41</v>
      </c>
      <c r="N658" s="165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</row>
    <row r="659" spans="1:30" ht="14.4">
      <c r="A659" s="28" t="s">
        <v>18</v>
      </c>
      <c r="B659" s="28" t="s">
        <v>19</v>
      </c>
      <c r="C659" s="107" t="s">
        <v>319</v>
      </c>
      <c r="D659" s="107"/>
      <c r="E659" s="107"/>
      <c r="F659" s="28" t="s">
        <v>3470</v>
      </c>
      <c r="G659" s="28"/>
      <c r="H659" s="28"/>
      <c r="I659" s="28"/>
      <c r="J659" s="28"/>
      <c r="K659" s="28"/>
      <c r="L659" s="28" t="s">
        <v>511</v>
      </c>
      <c r="M659" s="60" t="s">
        <v>41</v>
      </c>
      <c r="N659" s="165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</row>
    <row r="660" spans="1:30" ht="14.4">
      <c r="A660" s="28" t="s">
        <v>18</v>
      </c>
      <c r="B660" s="28" t="s">
        <v>19</v>
      </c>
      <c r="C660" s="107" t="s">
        <v>319</v>
      </c>
      <c r="D660" s="107"/>
      <c r="E660" s="107"/>
      <c r="F660" s="28" t="s">
        <v>3475</v>
      </c>
      <c r="G660" s="28"/>
      <c r="H660" s="28"/>
      <c r="I660" s="28"/>
      <c r="J660" s="28"/>
      <c r="K660" s="28"/>
      <c r="L660" s="28" t="s">
        <v>511</v>
      </c>
      <c r="M660" s="60" t="s">
        <v>41</v>
      </c>
      <c r="N660" s="165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</row>
    <row r="661" spans="1:30" ht="14.4">
      <c r="A661" s="28" t="s">
        <v>18</v>
      </c>
      <c r="B661" s="28" t="s">
        <v>19</v>
      </c>
      <c r="C661" s="107" t="s">
        <v>319</v>
      </c>
      <c r="D661" s="107"/>
      <c r="E661" s="107"/>
      <c r="F661" s="28" t="s">
        <v>3478</v>
      </c>
      <c r="G661" s="28"/>
      <c r="H661" s="28"/>
      <c r="I661" s="28"/>
      <c r="J661" s="28"/>
      <c r="K661" s="28"/>
      <c r="L661" s="28" t="s">
        <v>511</v>
      </c>
      <c r="M661" s="60" t="s">
        <v>41</v>
      </c>
      <c r="N661" s="165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</row>
    <row r="662" spans="1:30" ht="14.4">
      <c r="A662" s="28" t="s">
        <v>18</v>
      </c>
      <c r="B662" s="28" t="s">
        <v>19</v>
      </c>
      <c r="C662" s="107" t="s">
        <v>319</v>
      </c>
      <c r="D662" s="107"/>
      <c r="E662" s="107"/>
      <c r="F662" s="28" t="s">
        <v>3479</v>
      </c>
      <c r="G662" s="28"/>
      <c r="H662" s="28"/>
      <c r="I662" s="28"/>
      <c r="J662" s="28"/>
      <c r="K662" s="28"/>
      <c r="L662" s="28" t="s">
        <v>511</v>
      </c>
      <c r="M662" s="60" t="s">
        <v>41</v>
      </c>
      <c r="N662" s="165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</row>
    <row r="663" spans="1:30" ht="14.4">
      <c r="A663" s="28" t="s">
        <v>18</v>
      </c>
      <c r="B663" s="28" t="s">
        <v>19</v>
      </c>
      <c r="C663" s="107" t="s">
        <v>319</v>
      </c>
      <c r="D663" s="107"/>
      <c r="E663" s="107"/>
      <c r="F663" s="28" t="s">
        <v>3483</v>
      </c>
      <c r="G663" s="28"/>
      <c r="H663" s="28"/>
      <c r="I663" s="28"/>
      <c r="J663" s="28"/>
      <c r="K663" s="28"/>
      <c r="L663" s="28" t="s">
        <v>511</v>
      </c>
      <c r="M663" s="60" t="s">
        <v>41</v>
      </c>
      <c r="N663" s="165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</row>
    <row r="664" spans="1:30" ht="14.4">
      <c r="A664" s="28" t="s">
        <v>18</v>
      </c>
      <c r="B664" s="28" t="s">
        <v>19</v>
      </c>
      <c r="C664" s="107" t="s">
        <v>319</v>
      </c>
      <c r="D664" s="107"/>
      <c r="E664" s="107"/>
      <c r="F664" s="28" t="s">
        <v>3485</v>
      </c>
      <c r="G664" s="28"/>
      <c r="H664" s="28"/>
      <c r="I664" s="28"/>
      <c r="J664" s="28"/>
      <c r="K664" s="28"/>
      <c r="L664" s="28" t="s">
        <v>511</v>
      </c>
      <c r="M664" s="60" t="s">
        <v>41</v>
      </c>
      <c r="N664" s="165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</row>
    <row r="665" spans="1:30" ht="14.4">
      <c r="A665" s="28" t="s">
        <v>18</v>
      </c>
      <c r="B665" s="28" t="s">
        <v>19</v>
      </c>
      <c r="C665" s="107" t="s">
        <v>319</v>
      </c>
      <c r="D665" s="107"/>
      <c r="E665" s="107"/>
      <c r="F665" s="28" t="s">
        <v>3492</v>
      </c>
      <c r="G665" s="28"/>
      <c r="H665" s="28"/>
      <c r="I665" s="28"/>
      <c r="J665" s="28"/>
      <c r="K665" s="28"/>
      <c r="L665" s="28" t="s">
        <v>511</v>
      </c>
      <c r="M665" s="60" t="s">
        <v>41</v>
      </c>
      <c r="N665" s="165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</row>
    <row r="666" spans="1:30" ht="14.4">
      <c r="A666" s="28" t="s">
        <v>18</v>
      </c>
      <c r="B666" s="28" t="s">
        <v>19</v>
      </c>
      <c r="C666" s="107" t="s">
        <v>319</v>
      </c>
      <c r="D666" s="107"/>
      <c r="E666" s="107"/>
      <c r="F666" s="28" t="s">
        <v>3496</v>
      </c>
      <c r="G666" s="28"/>
      <c r="H666" s="28"/>
      <c r="I666" s="28"/>
      <c r="J666" s="28"/>
      <c r="K666" s="28"/>
      <c r="L666" s="28" t="s">
        <v>511</v>
      </c>
      <c r="M666" s="60" t="s">
        <v>41</v>
      </c>
      <c r="N666" s="165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</row>
    <row r="667" spans="1:30" ht="14.4">
      <c r="A667" s="28" t="s">
        <v>18</v>
      </c>
      <c r="B667" s="28" t="s">
        <v>19</v>
      </c>
      <c r="C667" s="107" t="s">
        <v>319</v>
      </c>
      <c r="D667" s="107"/>
      <c r="E667" s="107"/>
      <c r="F667" s="28" t="s">
        <v>3502</v>
      </c>
      <c r="G667" s="28"/>
      <c r="H667" s="28"/>
      <c r="I667" s="28"/>
      <c r="J667" s="28"/>
      <c r="K667" s="28"/>
      <c r="L667" s="28" t="s">
        <v>511</v>
      </c>
      <c r="M667" s="60" t="s">
        <v>41</v>
      </c>
      <c r="N667" s="165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</row>
    <row r="668" spans="1:30" ht="14.4">
      <c r="A668" s="28" t="s">
        <v>18</v>
      </c>
      <c r="B668" s="28" t="s">
        <v>19</v>
      </c>
      <c r="C668" s="107" t="s">
        <v>319</v>
      </c>
      <c r="D668" s="107"/>
      <c r="E668" s="107"/>
      <c r="F668" s="28" t="s">
        <v>3508</v>
      </c>
      <c r="G668" s="28"/>
      <c r="H668" s="28"/>
      <c r="I668" s="28"/>
      <c r="J668" s="28"/>
      <c r="K668" s="28"/>
      <c r="L668" s="28" t="s">
        <v>511</v>
      </c>
      <c r="M668" s="60" t="s">
        <v>41</v>
      </c>
      <c r="N668" s="165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</row>
    <row r="669" spans="1:30" ht="14.4">
      <c r="A669" s="28" t="s">
        <v>18</v>
      </c>
      <c r="B669" s="28" t="s">
        <v>19</v>
      </c>
      <c r="C669" s="107" t="s">
        <v>319</v>
      </c>
      <c r="D669" s="107"/>
      <c r="E669" s="107"/>
      <c r="F669" s="28" t="s">
        <v>3513</v>
      </c>
      <c r="G669" s="28"/>
      <c r="H669" s="28"/>
      <c r="I669" s="28"/>
      <c r="J669" s="28"/>
      <c r="K669" s="28"/>
      <c r="L669" s="28" t="s">
        <v>1808</v>
      </c>
      <c r="M669" s="60" t="s">
        <v>41</v>
      </c>
      <c r="N669" s="165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</row>
    <row r="670" spans="1:30" ht="14.4">
      <c r="A670" s="28" t="s">
        <v>18</v>
      </c>
      <c r="B670" s="28" t="s">
        <v>19</v>
      </c>
      <c r="C670" s="107" t="s">
        <v>319</v>
      </c>
      <c r="D670" s="107"/>
      <c r="E670" s="107"/>
      <c r="F670" s="28" t="s">
        <v>3517</v>
      </c>
      <c r="G670" s="28"/>
      <c r="H670" s="28"/>
      <c r="I670" s="28"/>
      <c r="J670" s="28"/>
      <c r="K670" s="28"/>
      <c r="L670" s="28" t="s">
        <v>1808</v>
      </c>
      <c r="M670" s="60" t="s">
        <v>41</v>
      </c>
      <c r="N670" s="165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</row>
    <row r="671" spans="1:30" ht="14.4">
      <c r="A671" s="28" t="s">
        <v>18</v>
      </c>
      <c r="B671" s="28" t="s">
        <v>19</v>
      </c>
      <c r="C671" s="107" t="s">
        <v>319</v>
      </c>
      <c r="D671" s="107"/>
      <c r="E671" s="107"/>
      <c r="F671" s="28" t="s">
        <v>3522</v>
      </c>
      <c r="G671" s="28"/>
      <c r="H671" s="28"/>
      <c r="I671" s="28"/>
      <c r="J671" s="28"/>
      <c r="K671" s="28"/>
      <c r="L671" s="28" t="s">
        <v>1808</v>
      </c>
      <c r="M671" s="60" t="s">
        <v>41</v>
      </c>
      <c r="N671" s="165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</row>
    <row r="672" spans="1:30" ht="14.4">
      <c r="A672" s="28" t="s">
        <v>18</v>
      </c>
      <c r="B672" s="28" t="s">
        <v>19</v>
      </c>
      <c r="C672" s="107" t="s">
        <v>319</v>
      </c>
      <c r="D672" s="107"/>
      <c r="E672" s="107"/>
      <c r="F672" s="28" t="s">
        <v>3527</v>
      </c>
      <c r="G672" s="28"/>
      <c r="H672" s="28"/>
      <c r="I672" s="28"/>
      <c r="J672" s="28"/>
      <c r="K672" s="28"/>
      <c r="L672" s="28" t="s">
        <v>1808</v>
      </c>
      <c r="M672" s="60" t="s">
        <v>41</v>
      </c>
      <c r="N672" s="352" t="s">
        <v>3531</v>
      </c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</row>
    <row r="673" spans="1:30" ht="14.4">
      <c r="A673" s="28" t="s">
        <v>18</v>
      </c>
      <c r="B673" s="28" t="s">
        <v>19</v>
      </c>
      <c r="C673" s="107" t="s">
        <v>319</v>
      </c>
      <c r="D673" s="107"/>
      <c r="E673" s="107"/>
      <c r="F673" s="28" t="s">
        <v>3539</v>
      </c>
      <c r="G673" s="28"/>
      <c r="H673" s="28"/>
      <c r="I673" s="28"/>
      <c r="J673" s="28"/>
      <c r="K673" s="28"/>
      <c r="L673" s="28" t="s">
        <v>1808</v>
      </c>
      <c r="M673" s="60" t="s">
        <v>41</v>
      </c>
      <c r="N673" s="351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</row>
    <row r="674" spans="1:30" ht="14.4">
      <c r="A674" s="28" t="s">
        <v>18</v>
      </c>
      <c r="B674" s="28" t="s">
        <v>19</v>
      </c>
      <c r="C674" s="107" t="s">
        <v>319</v>
      </c>
      <c r="D674" s="107"/>
      <c r="E674" s="107"/>
      <c r="F674" s="28" t="s">
        <v>3542</v>
      </c>
      <c r="G674" s="28"/>
      <c r="H674" s="28"/>
      <c r="I674" s="28"/>
      <c r="J674" s="28"/>
      <c r="K674" s="28"/>
      <c r="L674" s="28" t="s">
        <v>1808</v>
      </c>
      <c r="M674" s="60" t="s">
        <v>41</v>
      </c>
      <c r="N674" s="351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</row>
    <row r="675" spans="1:30" ht="14.4">
      <c r="A675" s="28" t="s">
        <v>18</v>
      </c>
      <c r="B675" s="28" t="s">
        <v>19</v>
      </c>
      <c r="C675" s="107" t="s">
        <v>319</v>
      </c>
      <c r="D675" s="107"/>
      <c r="E675" s="107"/>
      <c r="F675" s="28" t="s">
        <v>3548</v>
      </c>
      <c r="G675" s="28"/>
      <c r="H675" s="28"/>
      <c r="I675" s="28"/>
      <c r="J675" s="28"/>
      <c r="K675" s="28"/>
      <c r="L675" s="28" t="s">
        <v>1808</v>
      </c>
      <c r="M675" s="60" t="s">
        <v>41</v>
      </c>
      <c r="N675" s="351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</row>
    <row r="676" spans="1:30" ht="14.4">
      <c r="A676" s="28" t="s">
        <v>18</v>
      </c>
      <c r="B676" s="28" t="s">
        <v>19</v>
      </c>
      <c r="C676" s="107" t="s">
        <v>319</v>
      </c>
      <c r="D676" s="107"/>
      <c r="E676" s="107"/>
      <c r="F676" s="28" t="s">
        <v>3550</v>
      </c>
      <c r="G676" s="28"/>
      <c r="H676" s="28"/>
      <c r="I676" s="28"/>
      <c r="J676" s="28"/>
      <c r="K676" s="28"/>
      <c r="L676" s="28" t="s">
        <v>1808</v>
      </c>
      <c r="M676" s="60" t="s">
        <v>41</v>
      </c>
      <c r="N676" s="344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</row>
    <row r="677" spans="1:30" ht="14.4">
      <c r="A677" s="28" t="s">
        <v>18</v>
      </c>
      <c r="B677" s="28" t="s">
        <v>19</v>
      </c>
      <c r="C677" s="107" t="s">
        <v>319</v>
      </c>
      <c r="D677" s="107"/>
      <c r="E677" s="107"/>
      <c r="F677" s="28" t="s">
        <v>3555</v>
      </c>
      <c r="G677" s="28"/>
      <c r="H677" s="28"/>
      <c r="I677" s="28"/>
      <c r="J677" s="28"/>
      <c r="K677" s="28"/>
      <c r="L677" s="28" t="s">
        <v>3556</v>
      </c>
      <c r="M677" s="24" t="s">
        <v>41</v>
      </c>
      <c r="N677" s="165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</row>
    <row r="678" spans="1:30" ht="14.4">
      <c r="A678" s="28" t="s">
        <v>18</v>
      </c>
      <c r="B678" s="28" t="s">
        <v>19</v>
      </c>
      <c r="C678" s="107" t="s">
        <v>319</v>
      </c>
      <c r="D678" s="107"/>
      <c r="E678" s="107"/>
      <c r="F678" s="28" t="s">
        <v>3560</v>
      </c>
      <c r="G678" s="28"/>
      <c r="H678" s="28"/>
      <c r="I678" s="28"/>
      <c r="J678" s="28"/>
      <c r="K678" s="28"/>
      <c r="L678" s="28" t="s">
        <v>3561</v>
      </c>
      <c r="M678" s="60" t="s">
        <v>41</v>
      </c>
      <c r="N678" s="165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</row>
    <row r="679" spans="1:30" ht="14.4">
      <c r="A679" s="28" t="s">
        <v>18</v>
      </c>
      <c r="B679" s="28" t="s">
        <v>19</v>
      </c>
      <c r="C679" s="107" t="s">
        <v>319</v>
      </c>
      <c r="D679" s="107"/>
      <c r="E679" s="107"/>
      <c r="F679" s="28" t="s">
        <v>3563</v>
      </c>
      <c r="G679" s="28"/>
      <c r="H679" s="28"/>
      <c r="I679" s="28"/>
      <c r="J679" s="28"/>
      <c r="K679" s="28"/>
      <c r="L679" s="28" t="s">
        <v>3566</v>
      </c>
      <c r="M679" s="60" t="s">
        <v>41</v>
      </c>
      <c r="N679" s="165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</row>
    <row r="680" spans="1:30" ht="14.4">
      <c r="A680" s="28" t="s">
        <v>18</v>
      </c>
      <c r="B680" s="28" t="s">
        <v>19</v>
      </c>
      <c r="C680" s="107" t="s">
        <v>319</v>
      </c>
      <c r="D680" s="107"/>
      <c r="E680" s="107"/>
      <c r="F680" s="28" t="s">
        <v>3569</v>
      </c>
      <c r="G680" s="28"/>
      <c r="H680" s="28"/>
      <c r="I680" s="28"/>
      <c r="J680" s="28"/>
      <c r="K680" s="28"/>
      <c r="L680" s="28" t="s">
        <v>3566</v>
      </c>
      <c r="M680" s="60" t="s">
        <v>41</v>
      </c>
      <c r="N680" s="165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</row>
    <row r="681" spans="1:30" ht="14.4">
      <c r="A681" s="28" t="s">
        <v>18</v>
      </c>
      <c r="B681" s="28" t="s">
        <v>19</v>
      </c>
      <c r="C681" s="107" t="s">
        <v>319</v>
      </c>
      <c r="D681" s="107"/>
      <c r="E681" s="107"/>
      <c r="F681" s="28" t="s">
        <v>3574</v>
      </c>
      <c r="G681" s="28"/>
      <c r="H681" s="28"/>
      <c r="I681" s="28"/>
      <c r="J681" s="28"/>
      <c r="K681" s="28"/>
      <c r="L681" s="28" t="s">
        <v>3566</v>
      </c>
      <c r="M681" s="60" t="s">
        <v>41</v>
      </c>
      <c r="N681" s="165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</row>
    <row r="682" spans="1:30" ht="14.4">
      <c r="A682" s="28" t="s">
        <v>18</v>
      </c>
      <c r="B682" s="28" t="s">
        <v>19</v>
      </c>
      <c r="C682" s="107" t="s">
        <v>319</v>
      </c>
      <c r="D682" s="107"/>
      <c r="E682" s="107"/>
      <c r="F682" s="28" t="s">
        <v>3577</v>
      </c>
      <c r="G682" s="28"/>
      <c r="H682" s="28"/>
      <c r="I682" s="28"/>
      <c r="J682" s="28"/>
      <c r="K682" s="28"/>
      <c r="L682" s="28" t="s">
        <v>3566</v>
      </c>
      <c r="M682" s="60" t="s">
        <v>41</v>
      </c>
      <c r="N682" s="165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</row>
    <row r="683" spans="1:30" ht="14.4">
      <c r="A683" s="28" t="s">
        <v>18</v>
      </c>
      <c r="B683" s="28" t="s">
        <v>19</v>
      </c>
      <c r="C683" s="107" t="s">
        <v>319</v>
      </c>
      <c r="D683" s="107"/>
      <c r="E683" s="107"/>
      <c r="F683" s="28" t="s">
        <v>3581</v>
      </c>
      <c r="G683" s="28"/>
      <c r="H683" s="28"/>
      <c r="I683" s="28"/>
      <c r="J683" s="28"/>
      <c r="K683" s="28"/>
      <c r="L683" s="28" t="s">
        <v>3566</v>
      </c>
      <c r="M683" s="60" t="s">
        <v>41</v>
      </c>
      <c r="N683" s="165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</row>
    <row r="684" spans="1:30" ht="14.4">
      <c r="A684" s="28" t="s">
        <v>18</v>
      </c>
      <c r="B684" s="28" t="s">
        <v>19</v>
      </c>
      <c r="C684" s="107" t="s">
        <v>319</v>
      </c>
      <c r="D684" s="107"/>
      <c r="E684" s="107"/>
      <c r="F684" s="28" t="s">
        <v>3585</v>
      </c>
      <c r="G684" s="28"/>
      <c r="H684" s="28"/>
      <c r="I684" s="28"/>
      <c r="J684" s="28"/>
      <c r="K684" s="28"/>
      <c r="L684" s="28" t="s">
        <v>3566</v>
      </c>
      <c r="M684" s="60" t="s">
        <v>41</v>
      </c>
      <c r="N684" s="165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</row>
    <row r="685" spans="1:30" ht="14.4">
      <c r="A685" s="28" t="s">
        <v>18</v>
      </c>
      <c r="B685" s="28" t="s">
        <v>19</v>
      </c>
      <c r="C685" s="107" t="s">
        <v>319</v>
      </c>
      <c r="D685" s="107"/>
      <c r="E685" s="107"/>
      <c r="F685" s="28" t="s">
        <v>3589</v>
      </c>
      <c r="G685" s="28"/>
      <c r="H685" s="28"/>
      <c r="I685" s="28"/>
      <c r="J685" s="28"/>
      <c r="K685" s="28"/>
      <c r="L685" s="28" t="s">
        <v>623</v>
      </c>
      <c r="M685" s="60" t="s">
        <v>41</v>
      </c>
      <c r="N685" s="165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</row>
    <row r="686" spans="1:30" ht="14.4">
      <c r="A686" s="28" t="s">
        <v>18</v>
      </c>
      <c r="B686" s="28" t="s">
        <v>19</v>
      </c>
      <c r="C686" s="107" t="s">
        <v>319</v>
      </c>
      <c r="D686" s="107"/>
      <c r="E686" s="107"/>
      <c r="F686" s="28" t="s">
        <v>3596</v>
      </c>
      <c r="G686" s="28"/>
      <c r="H686" s="28"/>
      <c r="I686" s="28"/>
      <c r="J686" s="28"/>
      <c r="K686" s="28"/>
      <c r="L686" s="28" t="s">
        <v>623</v>
      </c>
      <c r="M686" s="60" t="s">
        <v>41</v>
      </c>
      <c r="N686" s="165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</row>
    <row r="687" spans="1:30" ht="14.4">
      <c r="A687" s="28" t="s">
        <v>18</v>
      </c>
      <c r="B687" s="28" t="s">
        <v>19</v>
      </c>
      <c r="C687" s="107" t="s">
        <v>319</v>
      </c>
      <c r="D687" s="107"/>
      <c r="E687" s="107"/>
      <c r="F687" s="28" t="s">
        <v>3603</v>
      </c>
      <c r="G687" s="28"/>
      <c r="H687" s="28"/>
      <c r="I687" s="28"/>
      <c r="J687" s="28"/>
      <c r="K687" s="28"/>
      <c r="L687" s="28" t="s">
        <v>117</v>
      </c>
      <c r="M687" s="60" t="s">
        <v>41</v>
      </c>
      <c r="N687" s="165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</row>
    <row r="688" spans="1:30" ht="14.4">
      <c r="A688" s="133" t="s">
        <v>18</v>
      </c>
      <c r="B688" s="98" t="s">
        <v>19</v>
      </c>
      <c r="C688" s="107" t="s">
        <v>319</v>
      </c>
      <c r="D688" s="184"/>
      <c r="E688" s="184"/>
      <c r="F688" s="98" t="s">
        <v>3610</v>
      </c>
      <c r="G688" s="98"/>
      <c r="H688" s="98"/>
      <c r="I688" s="98"/>
      <c r="J688" s="98"/>
      <c r="K688" s="28"/>
      <c r="L688" s="28" t="s">
        <v>117</v>
      </c>
      <c r="M688" s="98" t="s">
        <v>41</v>
      </c>
      <c r="N688" s="185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</row>
    <row r="689" spans="1:30" ht="14.4">
      <c r="A689" s="28" t="s">
        <v>18</v>
      </c>
      <c r="B689" s="28" t="s">
        <v>19</v>
      </c>
      <c r="C689" s="107" t="s">
        <v>319</v>
      </c>
      <c r="D689" s="107"/>
      <c r="E689" s="107"/>
      <c r="F689" s="28" t="s">
        <v>3621</v>
      </c>
      <c r="G689" s="28"/>
      <c r="H689" s="28"/>
      <c r="I689" s="28"/>
      <c r="J689" s="28"/>
      <c r="K689" s="28"/>
      <c r="L689" s="28" t="s">
        <v>117</v>
      </c>
      <c r="M689" s="98" t="s">
        <v>41</v>
      </c>
      <c r="N689" s="165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</row>
    <row r="690" spans="1:30" ht="14.4">
      <c r="A690" s="28" t="s">
        <v>18</v>
      </c>
      <c r="B690" s="60" t="s">
        <v>19</v>
      </c>
      <c r="C690" s="107" t="s">
        <v>319</v>
      </c>
      <c r="D690" s="107"/>
      <c r="E690" s="107"/>
      <c r="F690" s="28" t="s">
        <v>3626</v>
      </c>
      <c r="G690" s="186"/>
      <c r="H690" s="186"/>
      <c r="I690" s="186"/>
      <c r="J690" s="186"/>
      <c r="K690" s="28"/>
      <c r="L690" s="28" t="s">
        <v>117</v>
      </c>
      <c r="M690" s="98" t="s">
        <v>41</v>
      </c>
      <c r="N690" s="187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</row>
    <row r="691" spans="1:30" ht="14.4">
      <c r="A691" s="28" t="s">
        <v>18</v>
      </c>
      <c r="B691" s="28" t="s">
        <v>19</v>
      </c>
      <c r="C691" s="178" t="s">
        <v>337</v>
      </c>
      <c r="D691" s="45" t="s">
        <v>3635</v>
      </c>
      <c r="E691" s="45"/>
      <c r="F691" s="178" t="s">
        <v>3638</v>
      </c>
      <c r="G691" s="178" t="s">
        <v>3640</v>
      </c>
      <c r="H691" s="178"/>
      <c r="I691" s="178"/>
      <c r="J691" s="188"/>
      <c r="K691" s="189"/>
      <c r="L691" s="190" t="s">
        <v>117</v>
      </c>
      <c r="M691" s="179" t="s">
        <v>41</v>
      </c>
      <c r="N691" s="11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</row>
    <row r="692" spans="1:30" ht="14.4">
      <c r="A692" s="28" t="s">
        <v>18</v>
      </c>
      <c r="B692" s="60" t="s">
        <v>19</v>
      </c>
      <c r="C692" s="178" t="s">
        <v>337</v>
      </c>
      <c r="D692" s="45" t="s">
        <v>3635</v>
      </c>
      <c r="E692" s="45"/>
      <c r="F692" s="178" t="s">
        <v>3653</v>
      </c>
      <c r="G692" s="191" t="s">
        <v>3654</v>
      </c>
      <c r="H692" s="178"/>
      <c r="I692" s="178"/>
      <c r="J692" s="188"/>
      <c r="K692" s="189"/>
      <c r="L692" s="190" t="s">
        <v>3657</v>
      </c>
      <c r="M692" s="179" t="s">
        <v>41</v>
      </c>
      <c r="N692" s="11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</row>
    <row r="693" spans="1:30" ht="14.4">
      <c r="A693" s="28" t="s">
        <v>18</v>
      </c>
      <c r="B693" s="28" t="s">
        <v>19</v>
      </c>
      <c r="C693" s="178" t="s">
        <v>337</v>
      </c>
      <c r="D693" s="45" t="s">
        <v>3635</v>
      </c>
      <c r="E693" s="45"/>
      <c r="F693" s="178" t="s">
        <v>3666</v>
      </c>
      <c r="G693" s="191" t="s">
        <v>3668</v>
      </c>
      <c r="H693" s="178"/>
      <c r="I693" s="178"/>
      <c r="J693" s="188"/>
      <c r="K693" s="189"/>
      <c r="L693" s="190" t="s">
        <v>1808</v>
      </c>
      <c r="M693" s="179" t="s">
        <v>41</v>
      </c>
      <c r="N693" s="11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</row>
    <row r="694" spans="1:30" ht="14.4">
      <c r="A694" s="28" t="s">
        <v>18</v>
      </c>
      <c r="B694" s="60" t="s">
        <v>19</v>
      </c>
      <c r="C694" s="178" t="s">
        <v>337</v>
      </c>
      <c r="D694" s="45" t="s">
        <v>3635</v>
      </c>
      <c r="E694" s="45"/>
      <c r="F694" s="178" t="s">
        <v>3671</v>
      </c>
      <c r="G694" s="191" t="s">
        <v>3672</v>
      </c>
      <c r="H694" s="178"/>
      <c r="I694" s="178"/>
      <c r="J694" s="188"/>
      <c r="K694" s="189"/>
      <c r="L694" s="190" t="s">
        <v>2477</v>
      </c>
      <c r="M694" s="179" t="s">
        <v>41</v>
      </c>
      <c r="N694" s="11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</row>
    <row r="695" spans="1:30" ht="14.4">
      <c r="A695" s="28" t="s">
        <v>18</v>
      </c>
      <c r="B695" s="28" t="s">
        <v>19</v>
      </c>
      <c r="C695" s="178" t="s">
        <v>337</v>
      </c>
      <c r="D695" s="45" t="s">
        <v>3635</v>
      </c>
      <c r="E695" s="45"/>
      <c r="F695" s="178" t="s">
        <v>3680</v>
      </c>
      <c r="G695" s="191" t="s">
        <v>3681</v>
      </c>
      <c r="H695" s="178"/>
      <c r="I695" s="178"/>
      <c r="J695" s="188"/>
      <c r="K695" s="189"/>
      <c r="L695" s="190" t="s">
        <v>3683</v>
      </c>
      <c r="M695" s="179" t="s">
        <v>41</v>
      </c>
      <c r="N695" s="11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</row>
    <row r="696" spans="1:30" ht="14.4">
      <c r="A696" s="28" t="s">
        <v>18</v>
      </c>
      <c r="B696" s="60" t="s">
        <v>19</v>
      </c>
      <c r="C696" s="178" t="s">
        <v>337</v>
      </c>
      <c r="D696" s="45" t="s">
        <v>3635</v>
      </c>
      <c r="E696" s="45"/>
      <c r="F696" s="178" t="s">
        <v>3685</v>
      </c>
      <c r="G696" s="178" t="s">
        <v>3640</v>
      </c>
      <c r="H696" s="178"/>
      <c r="I696" s="178"/>
      <c r="J696" s="188"/>
      <c r="K696" s="189"/>
      <c r="L696" s="190" t="s">
        <v>3688</v>
      </c>
      <c r="M696" s="179" t="s">
        <v>41</v>
      </c>
      <c r="N696" s="11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</row>
    <row r="697" spans="1:30" ht="14.4">
      <c r="A697" s="28" t="s">
        <v>18</v>
      </c>
      <c r="B697" s="28" t="s">
        <v>19</v>
      </c>
      <c r="C697" s="178" t="s">
        <v>337</v>
      </c>
      <c r="D697" s="45" t="s">
        <v>3635</v>
      </c>
      <c r="E697" s="45"/>
      <c r="F697" s="178" t="s">
        <v>3695</v>
      </c>
      <c r="G697" s="178" t="s">
        <v>3640</v>
      </c>
      <c r="H697" s="178"/>
      <c r="I697" s="178"/>
      <c r="J697" s="188"/>
      <c r="K697" s="189"/>
      <c r="L697" s="190" t="s">
        <v>140</v>
      </c>
      <c r="M697" s="179" t="s">
        <v>41</v>
      </c>
      <c r="N697" s="11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</row>
    <row r="698" spans="1:30" ht="14.4">
      <c r="A698" s="28" t="s">
        <v>18</v>
      </c>
      <c r="B698" s="60" t="s">
        <v>19</v>
      </c>
      <c r="C698" s="178" t="s">
        <v>337</v>
      </c>
      <c r="D698" s="45" t="s">
        <v>3635</v>
      </c>
      <c r="E698" s="45"/>
      <c r="F698" s="178" t="s">
        <v>3701</v>
      </c>
      <c r="G698" s="191" t="s">
        <v>3703</v>
      </c>
      <c r="H698" s="178"/>
      <c r="I698" s="178"/>
      <c r="J698" s="188"/>
      <c r="K698" s="189"/>
      <c r="L698" s="190" t="s">
        <v>3706</v>
      </c>
      <c r="M698" s="179" t="s">
        <v>41</v>
      </c>
      <c r="N698" s="11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</row>
    <row r="699" spans="1:30" ht="14.4">
      <c r="A699" s="28" t="s">
        <v>18</v>
      </c>
      <c r="B699" s="28" t="s">
        <v>19</v>
      </c>
      <c r="C699" s="178" t="s">
        <v>337</v>
      </c>
      <c r="D699" s="45" t="s">
        <v>3635</v>
      </c>
      <c r="E699" s="45"/>
      <c r="F699" s="178" t="s">
        <v>3708</v>
      </c>
      <c r="G699" s="191" t="s">
        <v>3709</v>
      </c>
      <c r="H699" s="178"/>
      <c r="I699" s="178"/>
      <c r="J699" s="188"/>
      <c r="K699" s="189"/>
      <c r="L699" s="190" t="s">
        <v>3711</v>
      </c>
      <c r="M699" s="179" t="s">
        <v>41</v>
      </c>
      <c r="N699" s="11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</row>
    <row r="700" spans="1:30" ht="14.4">
      <c r="A700" s="28" t="s">
        <v>18</v>
      </c>
      <c r="B700" s="60" t="s">
        <v>19</v>
      </c>
      <c r="C700" s="178" t="s">
        <v>337</v>
      </c>
      <c r="D700" s="45" t="s">
        <v>3635</v>
      </c>
      <c r="E700" s="45"/>
      <c r="F700" s="178" t="s">
        <v>3719</v>
      </c>
      <c r="G700" s="191" t="s">
        <v>3720</v>
      </c>
      <c r="H700" s="178"/>
      <c r="I700" s="178"/>
      <c r="J700" s="188"/>
      <c r="K700" s="189"/>
      <c r="L700" s="190" t="s">
        <v>40</v>
      </c>
      <c r="M700" s="179" t="s">
        <v>41</v>
      </c>
      <c r="N700" s="11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</row>
    <row r="701" spans="1:30" ht="14.4">
      <c r="A701" s="28" t="s">
        <v>18</v>
      </c>
      <c r="B701" s="28" t="s">
        <v>19</v>
      </c>
      <c r="C701" s="178" t="s">
        <v>337</v>
      </c>
      <c r="D701" s="45" t="s">
        <v>3635</v>
      </c>
      <c r="E701" s="45"/>
      <c r="F701" s="178" t="s">
        <v>3726</v>
      </c>
      <c r="G701" s="191" t="s">
        <v>3729</v>
      </c>
      <c r="H701" s="178"/>
      <c r="I701" s="178"/>
      <c r="J701" s="188"/>
      <c r="K701" s="189"/>
      <c r="L701" s="190" t="s">
        <v>3731</v>
      </c>
      <c r="M701" s="179" t="s">
        <v>41</v>
      </c>
      <c r="N701" s="11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</row>
    <row r="702" spans="1:30" ht="14.4">
      <c r="A702" s="28" t="s">
        <v>18</v>
      </c>
      <c r="B702" s="60" t="s">
        <v>19</v>
      </c>
      <c r="C702" s="178" t="s">
        <v>337</v>
      </c>
      <c r="D702" s="45" t="s">
        <v>3635</v>
      </c>
      <c r="E702" s="45"/>
      <c r="F702" s="178" t="s">
        <v>3737</v>
      </c>
      <c r="G702" s="191" t="s">
        <v>3739</v>
      </c>
      <c r="H702" s="178"/>
      <c r="I702" s="178"/>
      <c r="J702" s="188"/>
      <c r="K702" s="189"/>
      <c r="L702" s="190" t="s">
        <v>3740</v>
      </c>
      <c r="M702" s="179" t="s">
        <v>41</v>
      </c>
      <c r="N702" s="11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</row>
    <row r="703" spans="1:30" ht="14.4">
      <c r="A703" s="28" t="s">
        <v>18</v>
      </c>
      <c r="B703" s="28" t="s">
        <v>19</v>
      </c>
      <c r="C703" s="178" t="s">
        <v>337</v>
      </c>
      <c r="D703" s="45" t="s">
        <v>3635</v>
      </c>
      <c r="E703" s="45"/>
      <c r="F703" s="178" t="s">
        <v>3744</v>
      </c>
      <c r="G703" s="178" t="s">
        <v>3640</v>
      </c>
      <c r="H703" s="178"/>
      <c r="I703" s="178"/>
      <c r="J703" s="188"/>
      <c r="K703" s="189"/>
      <c r="L703" s="190" t="s">
        <v>3747</v>
      </c>
      <c r="M703" s="179" t="s">
        <v>41</v>
      </c>
      <c r="N703" s="11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</row>
    <row r="704" spans="1:30" ht="14.4">
      <c r="A704" s="28" t="s">
        <v>18</v>
      </c>
      <c r="B704" s="60" t="s">
        <v>19</v>
      </c>
      <c r="C704" s="178" t="s">
        <v>337</v>
      </c>
      <c r="D704" s="45" t="s">
        <v>3635</v>
      </c>
      <c r="E704" s="45"/>
      <c r="F704" s="178" t="s">
        <v>3752</v>
      </c>
      <c r="G704" s="178" t="s">
        <v>3640</v>
      </c>
      <c r="H704" s="178"/>
      <c r="I704" s="178"/>
      <c r="J704" s="188"/>
      <c r="K704" s="189"/>
      <c r="L704" s="190" t="s">
        <v>117</v>
      </c>
      <c r="M704" s="179" t="s">
        <v>41</v>
      </c>
      <c r="N704" s="11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</row>
    <row r="705" spans="1:30" ht="14.4">
      <c r="A705" s="28" t="s">
        <v>18</v>
      </c>
      <c r="B705" s="28" t="s">
        <v>19</v>
      </c>
      <c r="C705" s="178" t="s">
        <v>337</v>
      </c>
      <c r="D705" s="45" t="s">
        <v>3635</v>
      </c>
      <c r="E705" s="45"/>
      <c r="F705" s="178" t="s">
        <v>3759</v>
      </c>
      <c r="G705" s="178" t="s">
        <v>3640</v>
      </c>
      <c r="H705" s="178"/>
      <c r="I705" s="178"/>
      <c r="J705" s="188"/>
      <c r="K705" s="189"/>
      <c r="L705" s="193" t="s">
        <v>3761</v>
      </c>
      <c r="M705" s="179" t="s">
        <v>41</v>
      </c>
      <c r="N705" s="11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</row>
    <row r="706" spans="1:30" ht="14.4">
      <c r="A706" s="28" t="s">
        <v>18</v>
      </c>
      <c r="B706" s="60" t="s">
        <v>19</v>
      </c>
      <c r="C706" s="178" t="s">
        <v>337</v>
      </c>
      <c r="D706" s="45" t="s">
        <v>3635</v>
      </c>
      <c r="E706" s="45"/>
      <c r="F706" s="178" t="s">
        <v>3772</v>
      </c>
      <c r="G706" s="178" t="s">
        <v>3640</v>
      </c>
      <c r="H706" s="178"/>
      <c r="I706" s="178"/>
      <c r="J706" s="188"/>
      <c r="K706" s="189"/>
      <c r="L706" s="193" t="s">
        <v>3761</v>
      </c>
      <c r="M706" s="179" t="s">
        <v>41</v>
      </c>
      <c r="N706" s="11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</row>
    <row r="707" spans="1:30" ht="14.4">
      <c r="A707" s="28" t="s">
        <v>18</v>
      </c>
      <c r="B707" s="28" t="s">
        <v>19</v>
      </c>
      <c r="C707" s="178" t="s">
        <v>337</v>
      </c>
      <c r="D707" s="45" t="s">
        <v>3635</v>
      </c>
      <c r="E707" s="45"/>
      <c r="F707" s="178" t="s">
        <v>3780</v>
      </c>
      <c r="G707" s="178" t="s">
        <v>3640</v>
      </c>
      <c r="H707" s="178"/>
      <c r="I707" s="178"/>
      <c r="J707" s="188"/>
      <c r="K707" s="189"/>
      <c r="L707" s="193" t="s">
        <v>3761</v>
      </c>
      <c r="M707" s="179" t="s">
        <v>41</v>
      </c>
      <c r="N707" s="11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</row>
    <row r="708" spans="1:30" ht="14.4">
      <c r="A708" s="28" t="s">
        <v>18</v>
      </c>
      <c r="B708" s="60" t="s">
        <v>19</v>
      </c>
      <c r="C708" s="178" t="s">
        <v>337</v>
      </c>
      <c r="D708" s="45" t="s">
        <v>3635</v>
      </c>
      <c r="E708" s="45"/>
      <c r="F708" s="178" t="s">
        <v>3784</v>
      </c>
      <c r="G708" s="191" t="s">
        <v>3787</v>
      </c>
      <c r="H708" s="178"/>
      <c r="I708" s="178"/>
      <c r="J708" s="188"/>
      <c r="K708" s="189"/>
      <c r="L708" s="190" t="s">
        <v>1808</v>
      </c>
      <c r="M708" s="179" t="s">
        <v>41</v>
      </c>
      <c r="N708" s="11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</row>
    <row r="709" spans="1:30" ht="14.4">
      <c r="A709" s="28" t="s">
        <v>18</v>
      </c>
      <c r="B709" s="28" t="s">
        <v>19</v>
      </c>
      <c r="C709" s="178" t="s">
        <v>337</v>
      </c>
      <c r="D709" s="45" t="s">
        <v>3635</v>
      </c>
      <c r="E709" s="45"/>
      <c r="F709" s="178" t="s">
        <v>3793</v>
      </c>
      <c r="G709" s="191" t="s">
        <v>3640</v>
      </c>
      <c r="H709" s="178"/>
      <c r="I709" s="178"/>
      <c r="J709" s="194"/>
      <c r="K709" s="178" t="s">
        <v>3796</v>
      </c>
      <c r="L709" s="190" t="s">
        <v>3797</v>
      </c>
      <c r="M709" s="179" t="s">
        <v>41</v>
      </c>
      <c r="N709" s="11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</row>
    <row r="710" spans="1:30" ht="14.4">
      <c r="A710" s="28" t="s">
        <v>18</v>
      </c>
      <c r="B710" s="60" t="s">
        <v>19</v>
      </c>
      <c r="C710" s="178" t="s">
        <v>337</v>
      </c>
      <c r="D710" s="45" t="s">
        <v>3635</v>
      </c>
      <c r="E710" s="45"/>
      <c r="F710" s="178" t="s">
        <v>3803</v>
      </c>
      <c r="G710" s="195" t="s">
        <v>3805</v>
      </c>
      <c r="H710" s="178"/>
      <c r="I710" s="178"/>
      <c r="J710" s="194"/>
      <c r="K710" s="188"/>
      <c r="L710" s="190" t="s">
        <v>3731</v>
      </c>
      <c r="M710" s="179" t="s">
        <v>41</v>
      </c>
      <c r="N710" s="11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</row>
    <row r="711" spans="1:30" ht="14.4">
      <c r="A711" s="28" t="s">
        <v>18</v>
      </c>
      <c r="B711" s="28" t="s">
        <v>19</v>
      </c>
      <c r="C711" s="178" t="s">
        <v>337</v>
      </c>
      <c r="D711" s="45" t="s">
        <v>3635</v>
      </c>
      <c r="E711" s="45"/>
      <c r="F711" s="178" t="s">
        <v>3815</v>
      </c>
      <c r="G711" s="191" t="s">
        <v>3817</v>
      </c>
      <c r="H711" s="178"/>
      <c r="I711" s="178"/>
      <c r="J711" s="194"/>
      <c r="K711" s="188"/>
      <c r="L711" s="190" t="s">
        <v>40</v>
      </c>
      <c r="M711" s="179" t="s">
        <v>41</v>
      </c>
      <c r="N711" s="11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</row>
    <row r="712" spans="1:30" ht="14.4">
      <c r="A712" s="28" t="s">
        <v>18</v>
      </c>
      <c r="B712" s="60" t="s">
        <v>19</v>
      </c>
      <c r="C712" s="178" t="s">
        <v>337</v>
      </c>
      <c r="D712" s="45" t="s">
        <v>3635</v>
      </c>
      <c r="E712" s="45"/>
      <c r="F712" s="178" t="s">
        <v>3826</v>
      </c>
      <c r="G712" s="191" t="s">
        <v>3672</v>
      </c>
      <c r="H712" s="178"/>
      <c r="I712" s="178"/>
      <c r="J712" s="194"/>
      <c r="K712" s="188"/>
      <c r="L712" s="190" t="s">
        <v>40</v>
      </c>
      <c r="M712" s="179" t="s">
        <v>41</v>
      </c>
      <c r="N712" s="11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</row>
    <row r="713" spans="1:30" ht="14.4">
      <c r="A713" s="28" t="s">
        <v>18</v>
      </c>
      <c r="B713" s="28" t="s">
        <v>19</v>
      </c>
      <c r="C713" s="178" t="s">
        <v>337</v>
      </c>
      <c r="D713" s="45" t="s">
        <v>3635</v>
      </c>
      <c r="E713" s="45"/>
      <c r="F713" s="178" t="s">
        <v>3833</v>
      </c>
      <c r="G713" s="191" t="s">
        <v>3835</v>
      </c>
      <c r="H713" s="178"/>
      <c r="I713" s="178"/>
      <c r="J713" s="194"/>
      <c r="K713" s="188"/>
      <c r="L713" s="190" t="s">
        <v>3797</v>
      </c>
      <c r="M713" s="179" t="s">
        <v>41</v>
      </c>
      <c r="N713" s="11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</row>
    <row r="714" spans="1:30" ht="14.4">
      <c r="A714" s="28" t="s">
        <v>18</v>
      </c>
      <c r="B714" s="60" t="s">
        <v>19</v>
      </c>
      <c r="C714" s="178" t="s">
        <v>337</v>
      </c>
      <c r="D714" s="45" t="s">
        <v>3635</v>
      </c>
      <c r="E714" s="45"/>
      <c r="F714" s="178" t="s">
        <v>3841</v>
      </c>
      <c r="G714" s="178" t="s">
        <v>3640</v>
      </c>
      <c r="H714" s="178"/>
      <c r="I714" s="178"/>
      <c r="J714" s="194"/>
      <c r="K714" s="188"/>
      <c r="L714" s="190" t="s">
        <v>3843</v>
      </c>
      <c r="M714" s="179" t="s">
        <v>41</v>
      </c>
      <c r="N714" s="11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</row>
    <row r="715" spans="1:30" ht="14.4">
      <c r="A715" s="28" t="s">
        <v>18</v>
      </c>
      <c r="B715" s="28" t="s">
        <v>19</v>
      </c>
      <c r="C715" s="178" t="s">
        <v>337</v>
      </c>
      <c r="D715" s="45" t="s">
        <v>3635</v>
      </c>
      <c r="E715" s="45"/>
      <c r="F715" s="178" t="s">
        <v>3848</v>
      </c>
      <c r="G715" s="191" t="s">
        <v>3850</v>
      </c>
      <c r="H715" s="178"/>
      <c r="I715" s="178"/>
      <c r="J715" s="194"/>
      <c r="K715" s="188"/>
      <c r="L715" s="190" t="s">
        <v>532</v>
      </c>
      <c r="M715" s="179" t="s">
        <v>41</v>
      </c>
      <c r="N715" s="11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</row>
    <row r="716" spans="1:30" ht="14.4">
      <c r="A716" s="28" t="s">
        <v>18</v>
      </c>
      <c r="B716" s="60" t="s">
        <v>19</v>
      </c>
      <c r="C716" s="178" t="s">
        <v>337</v>
      </c>
      <c r="D716" s="45" t="s">
        <v>3635</v>
      </c>
      <c r="E716" s="45"/>
      <c r="F716" s="178" t="s">
        <v>3856</v>
      </c>
      <c r="G716" s="178" t="s">
        <v>3640</v>
      </c>
      <c r="H716" s="178"/>
      <c r="I716" s="178"/>
      <c r="J716" s="194"/>
      <c r="K716" s="188"/>
      <c r="L716" s="190" t="s">
        <v>1808</v>
      </c>
      <c r="M716" s="179" t="s">
        <v>41</v>
      </c>
      <c r="N716" s="11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</row>
    <row r="717" spans="1:30" ht="14.4">
      <c r="A717" s="28" t="s">
        <v>18</v>
      </c>
      <c r="B717" s="28" t="s">
        <v>19</v>
      </c>
      <c r="C717" s="178" t="s">
        <v>337</v>
      </c>
      <c r="D717" s="45" t="s">
        <v>3635</v>
      </c>
      <c r="E717" s="45"/>
      <c r="F717" s="178" t="s">
        <v>3864</v>
      </c>
      <c r="G717" s="191" t="s">
        <v>3865</v>
      </c>
      <c r="H717" s="178"/>
      <c r="I717" s="178"/>
      <c r="J717" s="194"/>
      <c r="K717" s="188"/>
      <c r="L717" s="190" t="s">
        <v>3868</v>
      </c>
      <c r="M717" s="179" t="s">
        <v>41</v>
      </c>
      <c r="N717" s="11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</row>
    <row r="718" spans="1:30" ht="14.4">
      <c r="A718" s="28" t="s">
        <v>18</v>
      </c>
      <c r="B718" s="60" t="s">
        <v>19</v>
      </c>
      <c r="C718" s="178" t="s">
        <v>337</v>
      </c>
      <c r="D718" s="45" t="s">
        <v>3635</v>
      </c>
      <c r="E718" s="45"/>
      <c r="F718" s="178" t="s">
        <v>3871</v>
      </c>
      <c r="G718" s="178" t="s">
        <v>3640</v>
      </c>
      <c r="H718" s="178"/>
      <c r="I718" s="178"/>
      <c r="J718" s="194"/>
      <c r="K718" s="188" t="s">
        <v>3875</v>
      </c>
      <c r="L718" s="190" t="s">
        <v>1808</v>
      </c>
      <c r="M718" s="179" t="s">
        <v>41</v>
      </c>
      <c r="N718" s="11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</row>
    <row r="719" spans="1:30" ht="14.4">
      <c r="A719" s="28" t="s">
        <v>18</v>
      </c>
      <c r="B719" s="28" t="s">
        <v>19</v>
      </c>
      <c r="C719" s="178" t="s">
        <v>337</v>
      </c>
      <c r="D719" s="45" t="s">
        <v>3635</v>
      </c>
      <c r="E719" s="45"/>
      <c r="F719" s="178" t="s">
        <v>3883</v>
      </c>
      <c r="G719" s="191" t="s">
        <v>3884</v>
      </c>
      <c r="H719" s="178"/>
      <c r="I719" s="178"/>
      <c r="J719" s="194"/>
      <c r="K719" s="188"/>
      <c r="L719" s="190" t="s">
        <v>2477</v>
      </c>
      <c r="M719" s="179" t="s">
        <v>41</v>
      </c>
      <c r="N719" s="11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</row>
    <row r="720" spans="1:30" ht="14.4">
      <c r="A720" s="28" t="s">
        <v>18</v>
      </c>
      <c r="B720" s="60" t="s">
        <v>19</v>
      </c>
      <c r="C720" s="178" t="s">
        <v>337</v>
      </c>
      <c r="D720" s="45" t="s">
        <v>3635</v>
      </c>
      <c r="E720" s="45"/>
      <c r="F720" s="178" t="s">
        <v>3891</v>
      </c>
      <c r="G720" s="178" t="s">
        <v>3640</v>
      </c>
      <c r="H720" s="178"/>
      <c r="I720" s="178"/>
      <c r="J720" s="194"/>
      <c r="K720" s="188" t="s">
        <v>3892</v>
      </c>
      <c r="L720" s="190" t="s">
        <v>1808</v>
      </c>
      <c r="M720" s="179" t="s">
        <v>41</v>
      </c>
      <c r="N720" s="11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</row>
    <row r="721" spans="1:30" ht="14.4">
      <c r="A721" s="28" t="s">
        <v>18</v>
      </c>
      <c r="B721" s="28" t="s">
        <v>19</v>
      </c>
      <c r="C721" s="178" t="s">
        <v>337</v>
      </c>
      <c r="D721" s="45" t="s">
        <v>3635</v>
      </c>
      <c r="E721" s="45"/>
      <c r="F721" s="178" t="s">
        <v>3897</v>
      </c>
      <c r="G721" s="191" t="s">
        <v>3899</v>
      </c>
      <c r="H721" s="178"/>
      <c r="I721" s="178"/>
      <c r="J721" s="194"/>
      <c r="K721" s="178" t="s">
        <v>3900</v>
      </c>
      <c r="L721" s="190" t="s">
        <v>1808</v>
      </c>
      <c r="M721" s="179" t="s">
        <v>41</v>
      </c>
      <c r="N721" s="11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</row>
    <row r="722" spans="1:30" ht="14.4">
      <c r="A722" s="28" t="s">
        <v>18</v>
      </c>
      <c r="B722" s="60" t="s">
        <v>19</v>
      </c>
      <c r="C722" s="178" t="s">
        <v>337</v>
      </c>
      <c r="D722" s="45" t="s">
        <v>3635</v>
      </c>
      <c r="E722" s="45"/>
      <c r="F722" s="178" t="s">
        <v>3901</v>
      </c>
      <c r="G722" s="191" t="s">
        <v>3902</v>
      </c>
      <c r="H722" s="178"/>
      <c r="I722" s="178"/>
      <c r="J722" s="188"/>
      <c r="K722" s="196" t="s">
        <v>3904</v>
      </c>
      <c r="L722" s="190" t="s">
        <v>1808</v>
      </c>
      <c r="M722" s="179" t="s">
        <v>41</v>
      </c>
      <c r="N722" s="11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</row>
    <row r="723" spans="1:30" ht="14.4">
      <c r="A723" s="28" t="s">
        <v>18</v>
      </c>
      <c r="B723" s="28" t="s">
        <v>19</v>
      </c>
      <c r="C723" s="178" t="s">
        <v>337</v>
      </c>
      <c r="D723" s="45" t="s">
        <v>3635</v>
      </c>
      <c r="E723" s="45"/>
      <c r="F723" s="178" t="s">
        <v>3908</v>
      </c>
      <c r="G723" s="191" t="s">
        <v>3909</v>
      </c>
      <c r="H723" s="178"/>
      <c r="I723" s="178"/>
      <c r="J723" s="188"/>
      <c r="K723" s="197" t="s">
        <v>3913</v>
      </c>
      <c r="L723" s="198" t="s">
        <v>40</v>
      </c>
      <c r="M723" s="179" t="s">
        <v>41</v>
      </c>
      <c r="N723" s="11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</row>
    <row r="724" spans="1:30" ht="14.4">
      <c r="A724" s="28" t="s">
        <v>18</v>
      </c>
      <c r="B724" s="60" t="s">
        <v>19</v>
      </c>
      <c r="C724" s="178" t="s">
        <v>337</v>
      </c>
      <c r="D724" s="45" t="s">
        <v>3635</v>
      </c>
      <c r="E724" s="45"/>
      <c r="F724" s="178" t="s">
        <v>3919</v>
      </c>
      <c r="G724" s="191" t="s">
        <v>3920</v>
      </c>
      <c r="H724" s="178"/>
      <c r="I724" s="178"/>
      <c r="J724" s="188"/>
      <c r="K724" s="189"/>
      <c r="L724" s="190" t="s">
        <v>40</v>
      </c>
      <c r="M724" s="179" t="s">
        <v>41</v>
      </c>
      <c r="N724" s="11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</row>
    <row r="725" spans="1:30" ht="14.4">
      <c r="A725" s="28" t="s">
        <v>18</v>
      </c>
      <c r="B725" s="28" t="s">
        <v>19</v>
      </c>
      <c r="C725" s="178" t="s">
        <v>337</v>
      </c>
      <c r="D725" s="45" t="s">
        <v>3635</v>
      </c>
      <c r="E725" s="45"/>
      <c r="F725" s="178" t="s">
        <v>3922</v>
      </c>
      <c r="G725" s="191" t="s">
        <v>3923</v>
      </c>
      <c r="H725" s="178"/>
      <c r="I725" s="178"/>
      <c r="J725" s="188"/>
      <c r="K725" s="189"/>
      <c r="L725" s="190" t="s">
        <v>2477</v>
      </c>
      <c r="M725" s="179" t="s">
        <v>41</v>
      </c>
      <c r="N725" s="11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</row>
    <row r="726" spans="1:30" ht="14.4">
      <c r="A726" s="28" t="s">
        <v>18</v>
      </c>
      <c r="B726" s="60" t="s">
        <v>19</v>
      </c>
      <c r="C726" s="178" t="s">
        <v>337</v>
      </c>
      <c r="D726" s="45" t="s">
        <v>3635</v>
      </c>
      <c r="E726" s="45"/>
      <c r="F726" s="178" t="s">
        <v>3926</v>
      </c>
      <c r="G726" s="191" t="s">
        <v>3928</v>
      </c>
      <c r="H726" s="178"/>
      <c r="I726" s="178"/>
      <c r="J726" s="188"/>
      <c r="K726" s="189"/>
      <c r="L726" s="190" t="s">
        <v>40</v>
      </c>
      <c r="M726" s="179" t="s">
        <v>41</v>
      </c>
      <c r="N726" s="11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</row>
    <row r="727" spans="1:30" ht="14.4">
      <c r="A727" s="28" t="s">
        <v>18</v>
      </c>
      <c r="B727" s="28" t="s">
        <v>19</v>
      </c>
      <c r="C727" s="178" t="s">
        <v>337</v>
      </c>
      <c r="D727" s="45" t="s">
        <v>3635</v>
      </c>
      <c r="E727" s="45"/>
      <c r="F727" s="178" t="s">
        <v>3931</v>
      </c>
      <c r="G727" s="191" t="s">
        <v>3932</v>
      </c>
      <c r="H727" s="178"/>
      <c r="I727" s="178"/>
      <c r="J727" s="188"/>
      <c r="K727" s="189"/>
      <c r="L727" s="190" t="s">
        <v>40</v>
      </c>
      <c r="M727" s="179" t="s">
        <v>41</v>
      </c>
      <c r="N727" s="11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</row>
    <row r="728" spans="1:30" ht="14.4">
      <c r="A728" s="28" t="s">
        <v>18</v>
      </c>
      <c r="B728" s="60" t="s">
        <v>19</v>
      </c>
      <c r="C728" s="178" t="s">
        <v>337</v>
      </c>
      <c r="D728" s="45" t="s">
        <v>3635</v>
      </c>
      <c r="E728" s="45"/>
      <c r="F728" s="178" t="s">
        <v>3934</v>
      </c>
      <c r="G728" s="191" t="s">
        <v>3936</v>
      </c>
      <c r="H728" s="178"/>
      <c r="I728" s="178"/>
      <c r="J728" s="188"/>
      <c r="K728" s="197" t="s">
        <v>3913</v>
      </c>
      <c r="L728" s="190" t="s">
        <v>40</v>
      </c>
      <c r="M728" s="179" t="s">
        <v>41</v>
      </c>
      <c r="N728" s="11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</row>
    <row r="729" spans="1:30" ht="14.4">
      <c r="A729" s="28" t="s">
        <v>18</v>
      </c>
      <c r="B729" s="28" t="s">
        <v>19</v>
      </c>
      <c r="C729" s="178" t="s">
        <v>337</v>
      </c>
      <c r="D729" s="45" t="s">
        <v>3635</v>
      </c>
      <c r="E729" s="45"/>
      <c r="F729" s="178" t="s">
        <v>3940</v>
      </c>
      <c r="G729" s="191" t="s">
        <v>3942</v>
      </c>
      <c r="H729" s="178"/>
      <c r="I729" s="178"/>
      <c r="J729" s="188"/>
      <c r="K729" s="189"/>
      <c r="L729" s="190" t="s">
        <v>40</v>
      </c>
      <c r="M729" s="179" t="s">
        <v>41</v>
      </c>
      <c r="N729" s="11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</row>
    <row r="730" spans="1:30" ht="14.4">
      <c r="A730" s="28" t="s">
        <v>18</v>
      </c>
      <c r="B730" s="60" t="s">
        <v>19</v>
      </c>
      <c r="C730" s="178" t="s">
        <v>337</v>
      </c>
      <c r="D730" s="45" t="s">
        <v>3635</v>
      </c>
      <c r="E730" s="45"/>
      <c r="F730" s="178" t="s">
        <v>3945</v>
      </c>
      <c r="G730" s="191" t="s">
        <v>3946</v>
      </c>
      <c r="H730" s="178" t="s">
        <v>3947</v>
      </c>
      <c r="I730" s="178"/>
      <c r="J730" s="188"/>
      <c r="K730" s="189"/>
      <c r="L730" s="190" t="s">
        <v>40</v>
      </c>
      <c r="M730" s="179" t="s">
        <v>41</v>
      </c>
      <c r="N730" s="11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</row>
    <row r="731" spans="1:30" ht="14.4">
      <c r="A731" s="28" t="s">
        <v>18</v>
      </c>
      <c r="B731" s="28" t="s">
        <v>19</v>
      </c>
      <c r="C731" s="178" t="s">
        <v>337</v>
      </c>
      <c r="D731" s="45" t="s">
        <v>3635</v>
      </c>
      <c r="E731" s="45"/>
      <c r="F731" s="178" t="s">
        <v>3950</v>
      </c>
      <c r="G731" s="191" t="s">
        <v>3951</v>
      </c>
      <c r="H731" s="178"/>
      <c r="I731" s="178"/>
      <c r="J731" s="188"/>
      <c r="K731" s="189"/>
      <c r="L731" s="190" t="s">
        <v>40</v>
      </c>
      <c r="M731" s="179" t="s">
        <v>41</v>
      </c>
      <c r="N731" s="11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</row>
    <row r="732" spans="1:30" ht="14.4">
      <c r="A732" s="14" t="s">
        <v>18</v>
      </c>
      <c r="B732" s="14" t="s">
        <v>19</v>
      </c>
      <c r="C732" s="14" t="s">
        <v>20</v>
      </c>
      <c r="D732" s="14" t="s">
        <v>1305</v>
      </c>
      <c r="E732" s="199" t="s">
        <v>2969</v>
      </c>
      <c r="F732" s="14" t="s">
        <v>3960</v>
      </c>
      <c r="G732" s="200" t="s">
        <v>3962</v>
      </c>
      <c r="H732" s="14" t="s">
        <v>933</v>
      </c>
      <c r="I732" s="14" t="s">
        <v>3965</v>
      </c>
      <c r="J732" s="14" t="s">
        <v>3966</v>
      </c>
      <c r="K732" s="14" t="s">
        <v>784</v>
      </c>
      <c r="L732" s="200" t="s">
        <v>41</v>
      </c>
      <c r="M732" s="14"/>
      <c r="N732" s="201"/>
      <c r="O732" s="201"/>
      <c r="P732" s="201"/>
      <c r="Q732" s="201"/>
      <c r="R732" s="201"/>
      <c r="S732" s="201"/>
      <c r="T732" s="201"/>
      <c r="U732" s="201"/>
      <c r="V732" s="201"/>
      <c r="W732" s="201"/>
      <c r="X732" s="201"/>
      <c r="Y732" s="201"/>
      <c r="Z732" s="202"/>
      <c r="AA732" s="202"/>
      <c r="AB732" s="202"/>
      <c r="AC732" s="202"/>
      <c r="AD732" s="202"/>
    </row>
    <row r="733" spans="1:30" ht="13.8">
      <c r="A733" s="46"/>
      <c r="B733" s="46"/>
      <c r="C733" s="47"/>
      <c r="D733" s="47"/>
      <c r="E733" s="47"/>
      <c r="F733" s="46"/>
      <c r="G733" s="46"/>
      <c r="H733" s="46"/>
      <c r="I733" s="46"/>
      <c r="J733" s="46"/>
      <c r="K733" s="46"/>
      <c r="L733" s="46"/>
      <c r="M733" s="46"/>
      <c r="N733" s="203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 spans="1:30" ht="13.8">
      <c r="A734" s="46"/>
      <c r="B734" s="46"/>
      <c r="C734" s="47"/>
      <c r="D734" s="47"/>
      <c r="E734" s="47"/>
      <c r="F734" s="46"/>
      <c r="G734" s="46"/>
      <c r="H734" s="46"/>
      <c r="I734" s="46"/>
      <c r="J734" s="46"/>
      <c r="K734" s="46"/>
      <c r="L734" s="46"/>
      <c r="M734" s="46"/>
      <c r="N734" s="203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 spans="1:30" ht="13.8">
      <c r="A735" s="46"/>
      <c r="B735" s="46"/>
      <c r="C735" s="47"/>
      <c r="D735" s="47"/>
      <c r="E735" s="47"/>
      <c r="F735" s="46"/>
      <c r="G735" s="46"/>
      <c r="H735" s="46"/>
      <c r="I735" s="46"/>
      <c r="J735" s="46"/>
      <c r="K735" s="46"/>
      <c r="L735" s="46"/>
      <c r="M735" s="46"/>
      <c r="N735" s="203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 spans="1:30" ht="13.8">
      <c r="A736" s="46"/>
      <c r="B736" s="46"/>
      <c r="C736" s="47"/>
      <c r="D736" s="47"/>
      <c r="E736" s="47"/>
      <c r="F736" s="46"/>
      <c r="G736" s="46"/>
      <c r="H736" s="46"/>
      <c r="I736" s="46"/>
      <c r="J736" s="46"/>
      <c r="K736" s="46"/>
      <c r="L736" s="46"/>
      <c r="M736" s="46"/>
      <c r="N736" s="203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 spans="1:30" ht="13.8">
      <c r="A737" s="46"/>
      <c r="B737" s="46"/>
      <c r="C737" s="47"/>
      <c r="D737" s="47"/>
      <c r="E737" s="47"/>
      <c r="F737" s="46"/>
      <c r="G737" s="46"/>
      <c r="H737" s="46"/>
      <c r="I737" s="46"/>
      <c r="J737" s="46"/>
      <c r="K737" s="46"/>
      <c r="L737" s="46"/>
      <c r="M737" s="46"/>
      <c r="N737" s="203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 spans="1:30" ht="13.8">
      <c r="A738" s="46"/>
      <c r="B738" s="46"/>
      <c r="C738" s="47"/>
      <c r="D738" s="47"/>
      <c r="E738" s="47"/>
      <c r="F738" s="46"/>
      <c r="G738" s="46"/>
      <c r="H738" s="46"/>
      <c r="I738" s="46"/>
      <c r="J738" s="46"/>
      <c r="K738" s="46"/>
      <c r="L738" s="46"/>
      <c r="M738" s="46"/>
      <c r="N738" s="203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 spans="1:30" ht="13.8">
      <c r="A739" s="46"/>
      <c r="B739" s="46"/>
      <c r="C739" s="47"/>
      <c r="D739" s="47"/>
      <c r="E739" s="47"/>
      <c r="F739" s="46"/>
      <c r="G739" s="46"/>
      <c r="H739" s="46"/>
      <c r="I739" s="46"/>
      <c r="J739" s="46"/>
      <c r="K739" s="46"/>
      <c r="L739" s="46"/>
      <c r="M739" s="46"/>
      <c r="N739" s="203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 spans="1:30" ht="13.8">
      <c r="A740" s="46"/>
      <c r="B740" s="46"/>
      <c r="C740" s="47"/>
      <c r="D740" s="47"/>
      <c r="E740" s="47"/>
      <c r="F740" s="46"/>
      <c r="G740" s="46"/>
      <c r="H740" s="46"/>
      <c r="I740" s="46"/>
      <c r="J740" s="46"/>
      <c r="K740" s="46"/>
      <c r="L740" s="46"/>
      <c r="M740" s="46"/>
      <c r="N740" s="203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 spans="1:30" ht="13.8">
      <c r="A741" s="46"/>
      <c r="B741" s="46"/>
      <c r="C741" s="47"/>
      <c r="D741" s="47"/>
      <c r="E741" s="47"/>
      <c r="F741" s="46"/>
      <c r="G741" s="46"/>
      <c r="H741" s="46"/>
      <c r="I741" s="46"/>
      <c r="J741" s="46"/>
      <c r="K741" s="46"/>
      <c r="L741" s="46"/>
      <c r="M741" s="46"/>
      <c r="N741" s="203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 spans="1:30" ht="13.8">
      <c r="A742" s="46"/>
      <c r="B742" s="46"/>
      <c r="C742" s="47"/>
      <c r="D742" s="47"/>
      <c r="E742" s="47"/>
      <c r="F742" s="46"/>
      <c r="G742" s="46"/>
      <c r="H742" s="46"/>
      <c r="I742" s="46"/>
      <c r="J742" s="46"/>
      <c r="K742" s="46"/>
      <c r="L742" s="46"/>
      <c r="M742" s="46"/>
      <c r="N742" s="203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 spans="1:30" ht="13.8">
      <c r="A743" s="46"/>
      <c r="B743" s="46"/>
      <c r="C743" s="47"/>
      <c r="D743" s="47"/>
      <c r="E743" s="47"/>
      <c r="F743" s="46"/>
      <c r="G743" s="46"/>
      <c r="H743" s="46"/>
      <c r="I743" s="46"/>
      <c r="J743" s="46"/>
      <c r="K743" s="46"/>
      <c r="L743" s="46"/>
      <c r="M743" s="46"/>
      <c r="N743" s="203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 spans="1:30" ht="13.8">
      <c r="A744" s="46"/>
      <c r="B744" s="46"/>
      <c r="C744" s="47"/>
      <c r="D744" s="47"/>
      <c r="E744" s="47"/>
      <c r="F744" s="46"/>
      <c r="G744" s="46"/>
      <c r="H744" s="46"/>
      <c r="I744" s="46"/>
      <c r="J744" s="46"/>
      <c r="K744" s="46"/>
      <c r="L744" s="46"/>
      <c r="M744" s="46"/>
      <c r="N744" s="203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 spans="1:30" ht="13.8">
      <c r="A745" s="46"/>
      <c r="B745" s="46"/>
      <c r="C745" s="47"/>
      <c r="D745" s="47"/>
      <c r="E745" s="47"/>
      <c r="F745" s="46"/>
      <c r="G745" s="46"/>
      <c r="H745" s="46"/>
      <c r="I745" s="46"/>
      <c r="J745" s="46"/>
      <c r="K745" s="46"/>
      <c r="L745" s="46"/>
      <c r="M745" s="46"/>
      <c r="N745" s="203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 spans="1:30" ht="13.8">
      <c r="A746" s="46"/>
      <c r="B746" s="46"/>
      <c r="C746" s="47"/>
      <c r="D746" s="47"/>
      <c r="E746" s="47"/>
      <c r="F746" s="46"/>
      <c r="G746" s="46"/>
      <c r="H746" s="46"/>
      <c r="I746" s="46"/>
      <c r="J746" s="46"/>
      <c r="K746" s="46"/>
      <c r="L746" s="46"/>
      <c r="M746" s="46"/>
      <c r="N746" s="203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 spans="1:30" ht="13.8">
      <c r="A747" s="46"/>
      <c r="B747" s="46"/>
      <c r="C747" s="47"/>
      <c r="D747" s="47"/>
      <c r="E747" s="47"/>
      <c r="F747" s="46"/>
      <c r="G747" s="46"/>
      <c r="H747" s="46"/>
      <c r="I747" s="46"/>
      <c r="J747" s="46"/>
      <c r="K747" s="46"/>
      <c r="L747" s="46"/>
      <c r="M747" s="46"/>
      <c r="N747" s="203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 spans="1:30" ht="13.8">
      <c r="A748" s="46"/>
      <c r="B748" s="46"/>
      <c r="C748" s="47"/>
      <c r="D748" s="47"/>
      <c r="E748" s="47"/>
      <c r="F748" s="46"/>
      <c r="G748" s="46"/>
      <c r="H748" s="46"/>
      <c r="I748" s="46"/>
      <c r="J748" s="46"/>
      <c r="K748" s="46"/>
      <c r="L748" s="46"/>
      <c r="M748" s="46"/>
      <c r="N748" s="203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 spans="1:30" ht="13.8">
      <c r="A749" s="46"/>
      <c r="B749" s="46"/>
      <c r="C749" s="47"/>
      <c r="D749" s="47"/>
      <c r="E749" s="47"/>
      <c r="F749" s="46"/>
      <c r="G749" s="46"/>
      <c r="H749" s="46"/>
      <c r="I749" s="46"/>
      <c r="J749" s="46"/>
      <c r="K749" s="46"/>
      <c r="L749" s="46"/>
      <c r="M749" s="46"/>
      <c r="N749" s="203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 spans="1:30" ht="13.8">
      <c r="A750" s="46"/>
      <c r="B750" s="46"/>
      <c r="C750" s="47"/>
      <c r="D750" s="47"/>
      <c r="E750" s="47"/>
      <c r="F750" s="46"/>
      <c r="G750" s="46"/>
      <c r="H750" s="46"/>
      <c r="I750" s="46"/>
      <c r="J750" s="46"/>
      <c r="K750" s="46"/>
      <c r="L750" s="46"/>
      <c r="M750" s="46"/>
      <c r="N750" s="203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 spans="1:30" ht="13.8">
      <c r="A751" s="46"/>
      <c r="B751" s="46"/>
      <c r="C751" s="47"/>
      <c r="D751" s="47"/>
      <c r="E751" s="47"/>
      <c r="F751" s="46"/>
      <c r="G751" s="46"/>
      <c r="H751" s="46"/>
      <c r="I751" s="46"/>
      <c r="J751" s="46"/>
      <c r="K751" s="46"/>
      <c r="L751" s="46"/>
      <c r="M751" s="46"/>
      <c r="N751" s="203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 spans="1:30" ht="13.8">
      <c r="A752" s="46"/>
      <c r="B752" s="46"/>
      <c r="C752" s="47"/>
      <c r="D752" s="47"/>
      <c r="E752" s="47"/>
      <c r="F752" s="46"/>
      <c r="G752" s="46"/>
      <c r="H752" s="46"/>
      <c r="I752" s="46"/>
      <c r="J752" s="46"/>
      <c r="K752" s="46"/>
      <c r="L752" s="46"/>
      <c r="M752" s="46"/>
      <c r="N752" s="203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 spans="1:30" ht="13.8">
      <c r="A753" s="46"/>
      <c r="B753" s="46"/>
      <c r="C753" s="47"/>
      <c r="D753" s="47"/>
      <c r="E753" s="47"/>
      <c r="F753" s="46"/>
      <c r="G753" s="46"/>
      <c r="H753" s="46"/>
      <c r="I753" s="46"/>
      <c r="J753" s="46"/>
      <c r="K753" s="46"/>
      <c r="L753" s="46"/>
      <c r="M753" s="46"/>
      <c r="N753" s="203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 spans="1:30" ht="13.8">
      <c r="A754" s="46"/>
      <c r="B754" s="46"/>
      <c r="C754" s="47"/>
      <c r="D754" s="47"/>
      <c r="E754" s="47"/>
      <c r="F754" s="46"/>
      <c r="G754" s="46"/>
      <c r="H754" s="46"/>
      <c r="I754" s="46"/>
      <c r="J754" s="46"/>
      <c r="K754" s="46"/>
      <c r="L754" s="46"/>
      <c r="M754" s="46"/>
      <c r="N754" s="203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 spans="1:30" ht="13.8">
      <c r="A755" s="46"/>
      <c r="B755" s="46"/>
      <c r="C755" s="47"/>
      <c r="D755" s="47"/>
      <c r="E755" s="47"/>
      <c r="F755" s="46"/>
      <c r="G755" s="46"/>
      <c r="H755" s="46"/>
      <c r="I755" s="46"/>
      <c r="J755" s="46"/>
      <c r="K755" s="46"/>
      <c r="L755" s="46"/>
      <c r="M755" s="46"/>
      <c r="N755" s="203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 spans="1:30" ht="13.8">
      <c r="A756" s="46"/>
      <c r="B756" s="46"/>
      <c r="C756" s="47"/>
      <c r="D756" s="47"/>
      <c r="E756" s="47"/>
      <c r="F756" s="46"/>
      <c r="G756" s="46"/>
      <c r="H756" s="46"/>
      <c r="I756" s="46"/>
      <c r="J756" s="46"/>
      <c r="K756" s="46"/>
      <c r="L756" s="46"/>
      <c r="M756" s="46"/>
      <c r="N756" s="203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 spans="1:30" ht="13.8">
      <c r="A757" s="46"/>
      <c r="B757" s="46"/>
      <c r="C757" s="47"/>
      <c r="D757" s="47"/>
      <c r="E757" s="47"/>
      <c r="F757" s="46"/>
      <c r="G757" s="46"/>
      <c r="H757" s="46"/>
      <c r="I757" s="46"/>
      <c r="J757" s="46"/>
      <c r="K757" s="46"/>
      <c r="L757" s="46"/>
      <c r="M757" s="46"/>
      <c r="N757" s="203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 spans="1:30" ht="13.8">
      <c r="A758" s="46"/>
      <c r="B758" s="46"/>
      <c r="C758" s="47"/>
      <c r="D758" s="47"/>
      <c r="E758" s="47"/>
      <c r="F758" s="46"/>
      <c r="G758" s="46"/>
      <c r="H758" s="46"/>
      <c r="I758" s="46"/>
      <c r="J758" s="46"/>
      <c r="K758" s="46"/>
      <c r="L758" s="46"/>
      <c r="M758" s="46"/>
      <c r="N758" s="203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 spans="1:30" ht="13.8">
      <c r="A759" s="46"/>
      <c r="B759" s="46"/>
      <c r="C759" s="47"/>
      <c r="D759" s="47"/>
      <c r="E759" s="47"/>
      <c r="F759" s="46"/>
      <c r="G759" s="46"/>
      <c r="H759" s="46"/>
      <c r="I759" s="46"/>
      <c r="J759" s="46"/>
      <c r="K759" s="46"/>
      <c r="L759" s="46"/>
      <c r="M759" s="46"/>
      <c r="N759" s="203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 spans="1:30" ht="13.8">
      <c r="A760" s="46"/>
      <c r="B760" s="46"/>
      <c r="C760" s="47"/>
      <c r="D760" s="47"/>
      <c r="E760" s="47"/>
      <c r="F760" s="46"/>
      <c r="G760" s="46"/>
      <c r="H760" s="46"/>
      <c r="I760" s="46"/>
      <c r="J760" s="46"/>
      <c r="K760" s="46"/>
      <c r="L760" s="46"/>
      <c r="M760" s="46"/>
      <c r="N760" s="203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 spans="1:30" ht="13.8">
      <c r="A761" s="46"/>
      <c r="B761" s="46"/>
      <c r="C761" s="47"/>
      <c r="D761" s="47"/>
      <c r="E761" s="47"/>
      <c r="F761" s="46"/>
      <c r="G761" s="46"/>
      <c r="H761" s="46"/>
      <c r="I761" s="46"/>
      <c r="J761" s="46"/>
      <c r="K761" s="46"/>
      <c r="L761" s="46"/>
      <c r="M761" s="46"/>
      <c r="N761" s="203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 spans="1:30" ht="13.8">
      <c r="A762" s="46"/>
      <c r="B762" s="46"/>
      <c r="C762" s="47"/>
      <c r="D762" s="47"/>
      <c r="E762" s="47"/>
      <c r="F762" s="46"/>
      <c r="G762" s="46"/>
      <c r="H762" s="46"/>
      <c r="I762" s="46"/>
      <c r="J762" s="46"/>
      <c r="K762" s="46"/>
      <c r="L762" s="46"/>
      <c r="M762" s="46"/>
      <c r="N762" s="203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 spans="1:30" ht="13.8">
      <c r="A763" s="46"/>
      <c r="B763" s="46"/>
      <c r="C763" s="47"/>
      <c r="D763" s="47"/>
      <c r="E763" s="47"/>
      <c r="F763" s="46"/>
      <c r="G763" s="46"/>
      <c r="H763" s="46"/>
      <c r="I763" s="46"/>
      <c r="J763" s="46"/>
      <c r="K763" s="46"/>
      <c r="L763" s="46"/>
      <c r="M763" s="46"/>
      <c r="N763" s="203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 spans="1:30" ht="13.8">
      <c r="A764" s="46"/>
      <c r="B764" s="46"/>
      <c r="C764" s="47"/>
      <c r="D764" s="47"/>
      <c r="E764" s="47"/>
      <c r="F764" s="46"/>
      <c r="G764" s="46"/>
      <c r="H764" s="46"/>
      <c r="I764" s="46"/>
      <c r="J764" s="46"/>
      <c r="K764" s="46"/>
      <c r="L764" s="46"/>
      <c r="M764" s="46"/>
      <c r="N764" s="203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 spans="1:30" ht="13.8">
      <c r="A765" s="46"/>
      <c r="B765" s="46"/>
      <c r="C765" s="47"/>
      <c r="D765" s="47"/>
      <c r="E765" s="47"/>
      <c r="F765" s="46"/>
      <c r="G765" s="46"/>
      <c r="H765" s="46"/>
      <c r="I765" s="46"/>
      <c r="J765" s="46"/>
      <c r="K765" s="46"/>
      <c r="L765" s="46"/>
      <c r="M765" s="46"/>
      <c r="N765" s="203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 spans="1:30" ht="13.8">
      <c r="A766" s="46"/>
      <c r="B766" s="46"/>
      <c r="C766" s="47"/>
      <c r="D766" s="47"/>
      <c r="E766" s="47"/>
      <c r="F766" s="46"/>
      <c r="G766" s="46"/>
      <c r="H766" s="46"/>
      <c r="I766" s="46"/>
      <c r="J766" s="46"/>
      <c r="K766" s="46"/>
      <c r="L766" s="46"/>
      <c r="M766" s="46"/>
      <c r="N766" s="203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 spans="1:30" ht="13.8">
      <c r="A767" s="46"/>
      <c r="B767" s="46"/>
      <c r="C767" s="47"/>
      <c r="D767" s="47"/>
      <c r="E767" s="47"/>
      <c r="F767" s="46"/>
      <c r="G767" s="46"/>
      <c r="H767" s="46"/>
      <c r="I767" s="46"/>
      <c r="J767" s="46"/>
      <c r="K767" s="46"/>
      <c r="L767" s="46"/>
      <c r="M767" s="46"/>
      <c r="N767" s="203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 spans="1:30" ht="13.8">
      <c r="A768" s="46"/>
      <c r="B768" s="46"/>
      <c r="C768" s="47"/>
      <c r="D768" s="47"/>
      <c r="E768" s="47"/>
      <c r="F768" s="46"/>
      <c r="G768" s="46"/>
      <c r="H768" s="46"/>
      <c r="I768" s="46"/>
      <c r="J768" s="46"/>
      <c r="K768" s="46"/>
      <c r="L768" s="46"/>
      <c r="M768" s="46"/>
      <c r="N768" s="203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 spans="1:30" ht="13.8">
      <c r="A769" s="46"/>
      <c r="B769" s="46"/>
      <c r="C769" s="47"/>
      <c r="D769" s="47"/>
      <c r="E769" s="47"/>
      <c r="F769" s="46"/>
      <c r="G769" s="46"/>
      <c r="H769" s="46"/>
      <c r="I769" s="46"/>
      <c r="J769" s="46"/>
      <c r="K769" s="46"/>
      <c r="L769" s="46"/>
      <c r="M769" s="46"/>
      <c r="N769" s="203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 spans="1:30" ht="13.8">
      <c r="A770" s="46"/>
      <c r="B770" s="46"/>
      <c r="C770" s="47"/>
      <c r="D770" s="47"/>
      <c r="E770" s="47"/>
      <c r="F770" s="46"/>
      <c r="G770" s="46"/>
      <c r="H770" s="46"/>
      <c r="I770" s="46"/>
      <c r="J770" s="46"/>
      <c r="K770" s="46"/>
      <c r="L770" s="46"/>
      <c r="M770" s="46"/>
      <c r="N770" s="203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 spans="1:30" ht="13.8">
      <c r="A771" s="46"/>
      <c r="B771" s="46"/>
      <c r="C771" s="47"/>
      <c r="D771" s="47"/>
      <c r="E771" s="47"/>
      <c r="F771" s="46"/>
      <c r="G771" s="46"/>
      <c r="H771" s="46"/>
      <c r="I771" s="46"/>
      <c r="J771" s="46"/>
      <c r="K771" s="46"/>
      <c r="L771" s="46"/>
      <c r="M771" s="46"/>
      <c r="N771" s="203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 spans="1:30" ht="13.8">
      <c r="A772" s="46"/>
      <c r="B772" s="46"/>
      <c r="C772" s="47"/>
      <c r="D772" s="47"/>
      <c r="E772" s="47"/>
      <c r="F772" s="46"/>
      <c r="G772" s="46"/>
      <c r="H772" s="46"/>
      <c r="I772" s="46"/>
      <c r="J772" s="46"/>
      <c r="K772" s="46"/>
      <c r="L772" s="46"/>
      <c r="M772" s="46"/>
      <c r="N772" s="203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 spans="1:30" ht="13.8">
      <c r="A773" s="46"/>
      <c r="B773" s="46"/>
      <c r="C773" s="47"/>
      <c r="D773" s="47"/>
      <c r="E773" s="47"/>
      <c r="F773" s="46"/>
      <c r="G773" s="46"/>
      <c r="H773" s="46"/>
      <c r="I773" s="46"/>
      <c r="J773" s="46"/>
      <c r="K773" s="46"/>
      <c r="L773" s="46"/>
      <c r="M773" s="46"/>
      <c r="N773" s="203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 spans="1:30" ht="13.8">
      <c r="A774" s="46"/>
      <c r="B774" s="46"/>
      <c r="C774" s="47"/>
      <c r="D774" s="47"/>
      <c r="E774" s="47"/>
      <c r="F774" s="46"/>
      <c r="G774" s="46"/>
      <c r="H774" s="46"/>
      <c r="I774" s="46"/>
      <c r="J774" s="46"/>
      <c r="K774" s="46"/>
      <c r="L774" s="46"/>
      <c r="M774" s="46"/>
      <c r="N774" s="203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 spans="1:30" ht="13.8">
      <c r="A775" s="46"/>
      <c r="B775" s="46"/>
      <c r="C775" s="47"/>
      <c r="D775" s="47"/>
      <c r="E775" s="47"/>
      <c r="F775" s="46"/>
      <c r="G775" s="46"/>
      <c r="H775" s="46"/>
      <c r="I775" s="46"/>
      <c r="J775" s="46"/>
      <c r="K775" s="46"/>
      <c r="L775" s="46"/>
      <c r="M775" s="46"/>
      <c r="N775" s="203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 spans="1:30" ht="13.8">
      <c r="A776" s="46"/>
      <c r="B776" s="46"/>
      <c r="C776" s="47"/>
      <c r="D776" s="47"/>
      <c r="E776" s="47"/>
      <c r="F776" s="46"/>
      <c r="G776" s="46"/>
      <c r="H776" s="46"/>
      <c r="I776" s="46"/>
      <c r="J776" s="46"/>
      <c r="K776" s="46"/>
      <c r="L776" s="46"/>
      <c r="M776" s="46"/>
      <c r="N776" s="203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 spans="1:30" ht="13.8">
      <c r="A777" s="46"/>
      <c r="B777" s="46"/>
      <c r="C777" s="47"/>
      <c r="D777" s="47"/>
      <c r="E777" s="47"/>
      <c r="F777" s="46"/>
      <c r="G777" s="46"/>
      <c r="H777" s="46"/>
      <c r="I777" s="46"/>
      <c r="J777" s="46"/>
      <c r="K777" s="46"/>
      <c r="L777" s="46"/>
      <c r="M777" s="46"/>
      <c r="N777" s="203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 spans="1:30" ht="13.8">
      <c r="A778" s="46"/>
      <c r="B778" s="46"/>
      <c r="C778" s="47"/>
      <c r="D778" s="47"/>
      <c r="E778" s="47"/>
      <c r="F778" s="46"/>
      <c r="G778" s="46"/>
      <c r="H778" s="46"/>
      <c r="I778" s="46"/>
      <c r="J778" s="46"/>
      <c r="K778" s="46"/>
      <c r="L778" s="46"/>
      <c r="M778" s="46"/>
      <c r="N778" s="203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 spans="1:30" ht="13.8">
      <c r="A779" s="46"/>
      <c r="B779" s="46"/>
      <c r="C779" s="47"/>
      <c r="D779" s="47"/>
      <c r="E779" s="47"/>
      <c r="F779" s="46"/>
      <c r="G779" s="46"/>
      <c r="H779" s="46"/>
      <c r="I779" s="46"/>
      <c r="J779" s="46"/>
      <c r="K779" s="46"/>
      <c r="L779" s="46"/>
      <c r="M779" s="46"/>
      <c r="N779" s="203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 spans="1:30" ht="13.8">
      <c r="A780" s="46"/>
      <c r="B780" s="46"/>
      <c r="C780" s="47"/>
      <c r="D780" s="47"/>
      <c r="E780" s="47"/>
      <c r="F780" s="46"/>
      <c r="G780" s="46"/>
      <c r="H780" s="46"/>
      <c r="I780" s="46"/>
      <c r="J780" s="46"/>
      <c r="K780" s="46"/>
      <c r="L780" s="46"/>
      <c r="M780" s="46"/>
      <c r="N780" s="203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 spans="1:30" ht="13.8">
      <c r="A781" s="46"/>
      <c r="B781" s="46"/>
      <c r="C781" s="47"/>
      <c r="D781" s="47"/>
      <c r="E781" s="47"/>
      <c r="F781" s="46"/>
      <c r="G781" s="46"/>
      <c r="H781" s="46"/>
      <c r="I781" s="46"/>
      <c r="J781" s="46"/>
      <c r="K781" s="46"/>
      <c r="L781" s="46"/>
      <c r="M781" s="46"/>
      <c r="N781" s="203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 spans="1:30" ht="13.8">
      <c r="A782" s="46"/>
      <c r="B782" s="46"/>
      <c r="C782" s="47"/>
      <c r="D782" s="47"/>
      <c r="E782" s="47"/>
      <c r="F782" s="46"/>
      <c r="G782" s="46"/>
      <c r="H782" s="46"/>
      <c r="I782" s="46"/>
      <c r="J782" s="46"/>
      <c r="K782" s="46"/>
      <c r="L782" s="46"/>
      <c r="M782" s="46"/>
      <c r="N782" s="203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 spans="1:30" ht="13.8">
      <c r="A783" s="46"/>
      <c r="B783" s="46"/>
      <c r="C783" s="47"/>
      <c r="D783" s="47"/>
      <c r="E783" s="47"/>
      <c r="F783" s="46"/>
      <c r="G783" s="46"/>
      <c r="H783" s="46"/>
      <c r="I783" s="46"/>
      <c r="J783" s="46"/>
      <c r="K783" s="46"/>
      <c r="L783" s="46"/>
      <c r="M783" s="46"/>
      <c r="N783" s="203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 spans="1:30" ht="13.8">
      <c r="A784" s="46"/>
      <c r="B784" s="46"/>
      <c r="C784" s="47"/>
      <c r="D784" s="47"/>
      <c r="E784" s="47"/>
      <c r="F784" s="46"/>
      <c r="G784" s="46"/>
      <c r="H784" s="46"/>
      <c r="I784" s="46"/>
      <c r="J784" s="46"/>
      <c r="K784" s="46"/>
      <c r="L784" s="46"/>
      <c r="M784" s="46"/>
      <c r="N784" s="203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 spans="1:30" ht="13.8">
      <c r="A785" s="46"/>
      <c r="B785" s="46"/>
      <c r="C785" s="47"/>
      <c r="D785" s="47"/>
      <c r="E785" s="47"/>
      <c r="F785" s="46"/>
      <c r="G785" s="46"/>
      <c r="H785" s="46"/>
      <c r="I785" s="46"/>
      <c r="J785" s="46"/>
      <c r="K785" s="46"/>
      <c r="L785" s="46"/>
      <c r="M785" s="46"/>
      <c r="N785" s="203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 spans="1:30" ht="13.8">
      <c r="A786" s="46"/>
      <c r="B786" s="46"/>
      <c r="C786" s="47"/>
      <c r="D786" s="47"/>
      <c r="E786" s="47"/>
      <c r="F786" s="46"/>
      <c r="G786" s="46"/>
      <c r="H786" s="46"/>
      <c r="I786" s="46"/>
      <c r="J786" s="46"/>
      <c r="K786" s="46"/>
      <c r="L786" s="46"/>
      <c r="M786" s="46"/>
      <c r="N786" s="203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 spans="1:30" ht="13.8">
      <c r="A787" s="46"/>
      <c r="B787" s="46"/>
      <c r="C787" s="47"/>
      <c r="D787" s="47"/>
      <c r="E787" s="47"/>
      <c r="F787" s="46"/>
      <c r="G787" s="46"/>
      <c r="H787" s="46"/>
      <c r="I787" s="46"/>
      <c r="J787" s="46"/>
      <c r="K787" s="46"/>
      <c r="L787" s="46"/>
      <c r="M787" s="46"/>
      <c r="N787" s="203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 spans="1:30" ht="13.8">
      <c r="A788" s="46"/>
      <c r="B788" s="46"/>
      <c r="C788" s="47"/>
      <c r="D788" s="47"/>
      <c r="E788" s="47"/>
      <c r="F788" s="46"/>
      <c r="G788" s="46"/>
      <c r="H788" s="46"/>
      <c r="I788" s="46"/>
      <c r="J788" s="46"/>
      <c r="K788" s="46"/>
      <c r="L788" s="46"/>
      <c r="M788" s="46"/>
      <c r="N788" s="203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 spans="1:30" ht="13.8">
      <c r="A789" s="46"/>
      <c r="B789" s="46"/>
      <c r="C789" s="47"/>
      <c r="D789" s="47"/>
      <c r="E789" s="47"/>
      <c r="F789" s="46"/>
      <c r="G789" s="46"/>
      <c r="H789" s="46"/>
      <c r="I789" s="46"/>
      <c r="J789" s="46"/>
      <c r="K789" s="46"/>
      <c r="L789" s="46"/>
      <c r="M789" s="46"/>
      <c r="N789" s="203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 spans="1:30" ht="13.8">
      <c r="A790" s="46"/>
      <c r="B790" s="46"/>
      <c r="C790" s="47"/>
      <c r="D790" s="47"/>
      <c r="E790" s="47"/>
      <c r="F790" s="46"/>
      <c r="G790" s="46"/>
      <c r="H790" s="46"/>
      <c r="I790" s="46"/>
      <c r="J790" s="46"/>
      <c r="K790" s="46"/>
      <c r="L790" s="46"/>
      <c r="M790" s="46"/>
      <c r="N790" s="203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 spans="1:30" ht="13.8">
      <c r="A791" s="46"/>
      <c r="B791" s="46"/>
      <c r="C791" s="47"/>
      <c r="D791" s="47"/>
      <c r="E791" s="47"/>
      <c r="F791" s="46"/>
      <c r="G791" s="46"/>
      <c r="H791" s="46"/>
      <c r="I791" s="46"/>
      <c r="J791" s="46"/>
      <c r="K791" s="46"/>
      <c r="L791" s="46"/>
      <c r="M791" s="46"/>
      <c r="N791" s="203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 spans="1:30" ht="13.8">
      <c r="A792" s="46"/>
      <c r="B792" s="46"/>
      <c r="C792" s="47"/>
      <c r="D792" s="47"/>
      <c r="E792" s="47"/>
      <c r="F792" s="46"/>
      <c r="G792" s="46"/>
      <c r="H792" s="46"/>
      <c r="I792" s="46"/>
      <c r="J792" s="46"/>
      <c r="K792" s="46"/>
      <c r="L792" s="46"/>
      <c r="M792" s="46"/>
      <c r="N792" s="203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 spans="1:30" ht="13.8">
      <c r="A793" s="46"/>
      <c r="B793" s="46"/>
      <c r="C793" s="47"/>
      <c r="D793" s="47"/>
      <c r="E793" s="47"/>
      <c r="F793" s="46"/>
      <c r="G793" s="46"/>
      <c r="H793" s="46"/>
      <c r="I793" s="46"/>
      <c r="J793" s="46"/>
      <c r="K793" s="46"/>
      <c r="L793" s="46"/>
      <c r="M793" s="46"/>
      <c r="N793" s="203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 spans="1:30" ht="13.8">
      <c r="A794" s="46"/>
      <c r="B794" s="46"/>
      <c r="C794" s="47"/>
      <c r="D794" s="47"/>
      <c r="E794" s="47"/>
      <c r="F794" s="46"/>
      <c r="G794" s="46"/>
      <c r="H794" s="46"/>
      <c r="I794" s="46"/>
      <c r="J794" s="46"/>
      <c r="K794" s="46"/>
      <c r="L794" s="46"/>
      <c r="M794" s="46"/>
      <c r="N794" s="203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 spans="1:30" ht="13.8">
      <c r="A795" s="46"/>
      <c r="B795" s="46"/>
      <c r="C795" s="47"/>
      <c r="D795" s="47"/>
      <c r="E795" s="47"/>
      <c r="F795" s="46"/>
      <c r="G795" s="46"/>
      <c r="H795" s="46"/>
      <c r="I795" s="46"/>
      <c r="J795" s="46"/>
      <c r="K795" s="46"/>
      <c r="L795" s="46"/>
      <c r="M795" s="46"/>
      <c r="N795" s="203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 spans="1:30" ht="13.8">
      <c r="A796" s="46"/>
      <c r="B796" s="46"/>
      <c r="C796" s="47"/>
      <c r="D796" s="47"/>
      <c r="E796" s="47"/>
      <c r="F796" s="46"/>
      <c r="G796" s="46"/>
      <c r="H796" s="46"/>
      <c r="I796" s="46"/>
      <c r="J796" s="46"/>
      <c r="K796" s="46"/>
      <c r="L796" s="46"/>
      <c r="M796" s="46"/>
      <c r="N796" s="203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 spans="1:30" ht="13.8">
      <c r="A797" s="46"/>
      <c r="B797" s="46"/>
      <c r="C797" s="47"/>
      <c r="D797" s="47"/>
      <c r="E797" s="47"/>
      <c r="F797" s="46"/>
      <c r="G797" s="46"/>
      <c r="H797" s="46"/>
      <c r="I797" s="46"/>
      <c r="J797" s="46"/>
      <c r="K797" s="46"/>
      <c r="L797" s="46"/>
      <c r="M797" s="46"/>
      <c r="N797" s="203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 spans="1:30" ht="13.8">
      <c r="A798" s="46"/>
      <c r="B798" s="46"/>
      <c r="C798" s="47"/>
      <c r="D798" s="47"/>
      <c r="E798" s="47"/>
      <c r="F798" s="46"/>
      <c r="G798" s="46"/>
      <c r="H798" s="46"/>
      <c r="I798" s="46"/>
      <c r="J798" s="46"/>
      <c r="K798" s="46"/>
      <c r="L798" s="46"/>
      <c r="M798" s="46"/>
      <c r="N798" s="203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 spans="1:30" ht="13.8">
      <c r="A799" s="46"/>
      <c r="B799" s="46"/>
      <c r="C799" s="47"/>
      <c r="D799" s="47"/>
      <c r="E799" s="47"/>
      <c r="F799" s="46"/>
      <c r="G799" s="46"/>
      <c r="H799" s="46"/>
      <c r="I799" s="46"/>
      <c r="J799" s="46"/>
      <c r="K799" s="46"/>
      <c r="L799" s="46"/>
      <c r="M799" s="46"/>
      <c r="N799" s="203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 spans="1:30" ht="13.8">
      <c r="A800" s="46"/>
      <c r="B800" s="46"/>
      <c r="C800" s="47"/>
      <c r="D800" s="47"/>
      <c r="E800" s="47"/>
      <c r="F800" s="46"/>
      <c r="G800" s="46"/>
      <c r="H800" s="46"/>
      <c r="I800" s="46"/>
      <c r="J800" s="46"/>
      <c r="K800" s="46"/>
      <c r="L800" s="46"/>
      <c r="M800" s="46"/>
      <c r="N800" s="203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 spans="1:30" ht="13.8">
      <c r="A801" s="46"/>
      <c r="B801" s="46"/>
      <c r="C801" s="47"/>
      <c r="D801" s="47"/>
      <c r="E801" s="47"/>
      <c r="F801" s="46"/>
      <c r="G801" s="46"/>
      <c r="H801" s="46"/>
      <c r="I801" s="46"/>
      <c r="J801" s="46"/>
      <c r="K801" s="46"/>
      <c r="L801" s="46"/>
      <c r="M801" s="46"/>
      <c r="N801" s="203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 spans="1:30" ht="13.8">
      <c r="A802" s="46"/>
      <c r="B802" s="46"/>
      <c r="C802" s="47"/>
      <c r="D802" s="47"/>
      <c r="E802" s="47"/>
      <c r="F802" s="46"/>
      <c r="G802" s="46"/>
      <c r="H802" s="46"/>
      <c r="I802" s="46"/>
      <c r="J802" s="46"/>
      <c r="K802" s="46"/>
      <c r="L802" s="46"/>
      <c r="M802" s="46"/>
      <c r="N802" s="203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 spans="1:30" ht="13.8">
      <c r="A803" s="46"/>
      <c r="B803" s="46"/>
      <c r="C803" s="47"/>
      <c r="D803" s="47"/>
      <c r="E803" s="47"/>
      <c r="F803" s="46"/>
      <c r="G803" s="46"/>
      <c r="H803" s="46"/>
      <c r="I803" s="46"/>
      <c r="J803" s="46"/>
      <c r="K803" s="46"/>
      <c r="L803" s="46"/>
      <c r="M803" s="46"/>
      <c r="N803" s="203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 spans="1:30" ht="13.8">
      <c r="A804" s="46"/>
      <c r="B804" s="46"/>
      <c r="C804" s="47"/>
      <c r="D804" s="47"/>
      <c r="E804" s="47"/>
      <c r="F804" s="46"/>
      <c r="G804" s="46"/>
      <c r="H804" s="46"/>
      <c r="I804" s="46"/>
      <c r="J804" s="46"/>
      <c r="K804" s="46"/>
      <c r="L804" s="46"/>
      <c r="M804" s="46"/>
      <c r="N804" s="203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 spans="1:30" ht="13.8">
      <c r="A805" s="46"/>
      <c r="B805" s="46"/>
      <c r="C805" s="47"/>
      <c r="D805" s="47"/>
      <c r="E805" s="47"/>
      <c r="F805" s="46"/>
      <c r="G805" s="46"/>
      <c r="H805" s="46"/>
      <c r="I805" s="46"/>
      <c r="J805" s="46"/>
      <c r="K805" s="46"/>
      <c r="L805" s="46"/>
      <c r="M805" s="46"/>
      <c r="N805" s="203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 spans="1:30" ht="13.8">
      <c r="A806" s="46"/>
      <c r="B806" s="46"/>
      <c r="C806" s="47"/>
      <c r="D806" s="47"/>
      <c r="E806" s="47"/>
      <c r="F806" s="46"/>
      <c r="G806" s="46"/>
      <c r="H806" s="46"/>
      <c r="I806" s="46"/>
      <c r="J806" s="46"/>
      <c r="K806" s="46"/>
      <c r="L806" s="46"/>
      <c r="M806" s="46"/>
      <c r="N806" s="203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 spans="1:30" ht="13.8">
      <c r="A807" s="46"/>
      <c r="B807" s="46"/>
      <c r="C807" s="47"/>
      <c r="D807" s="47"/>
      <c r="E807" s="47"/>
      <c r="F807" s="46"/>
      <c r="G807" s="46"/>
      <c r="H807" s="46"/>
      <c r="I807" s="46"/>
      <c r="J807" s="46"/>
      <c r="K807" s="46"/>
      <c r="L807" s="46"/>
      <c r="M807" s="46"/>
      <c r="N807" s="203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 spans="1:30" ht="13.8">
      <c r="A808" s="46"/>
      <c r="B808" s="46"/>
      <c r="C808" s="47"/>
      <c r="D808" s="47"/>
      <c r="E808" s="47"/>
      <c r="F808" s="46"/>
      <c r="G808" s="46"/>
      <c r="H808" s="46"/>
      <c r="I808" s="46"/>
      <c r="J808" s="46"/>
      <c r="K808" s="46"/>
      <c r="L808" s="46"/>
      <c r="M808" s="46"/>
      <c r="N808" s="203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 spans="1:30" ht="13.8">
      <c r="A809" s="46"/>
      <c r="B809" s="46"/>
      <c r="C809" s="47"/>
      <c r="D809" s="47"/>
      <c r="E809" s="47"/>
      <c r="F809" s="46"/>
      <c r="G809" s="46"/>
      <c r="H809" s="46"/>
      <c r="I809" s="46"/>
      <c r="J809" s="46"/>
      <c r="K809" s="46"/>
      <c r="L809" s="46"/>
      <c r="M809" s="46"/>
      <c r="N809" s="203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 spans="1:30" ht="13.8">
      <c r="A810" s="46"/>
      <c r="B810" s="46"/>
      <c r="C810" s="47"/>
      <c r="D810" s="47"/>
      <c r="E810" s="47"/>
      <c r="F810" s="46"/>
      <c r="G810" s="46"/>
      <c r="H810" s="46"/>
      <c r="I810" s="46"/>
      <c r="J810" s="46"/>
      <c r="K810" s="46"/>
      <c r="L810" s="46"/>
      <c r="M810" s="46"/>
      <c r="N810" s="203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 spans="1:30" ht="13.8">
      <c r="A811" s="46"/>
      <c r="B811" s="46"/>
      <c r="C811" s="47"/>
      <c r="D811" s="47"/>
      <c r="E811" s="47"/>
      <c r="F811" s="46"/>
      <c r="G811" s="46"/>
      <c r="H811" s="46"/>
      <c r="I811" s="46"/>
      <c r="J811" s="46"/>
      <c r="K811" s="46"/>
      <c r="L811" s="46"/>
      <c r="M811" s="46"/>
      <c r="N811" s="203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 spans="1:30" ht="13.8">
      <c r="A812" s="46"/>
      <c r="B812" s="46"/>
      <c r="C812" s="47"/>
      <c r="D812" s="47"/>
      <c r="E812" s="47"/>
      <c r="F812" s="46"/>
      <c r="G812" s="46"/>
      <c r="H812" s="46"/>
      <c r="I812" s="46"/>
      <c r="J812" s="46"/>
      <c r="K812" s="46"/>
      <c r="L812" s="46"/>
      <c r="M812" s="46"/>
      <c r="N812" s="203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 spans="1:30" ht="13.8">
      <c r="A813" s="46"/>
      <c r="B813" s="46"/>
      <c r="C813" s="47"/>
      <c r="D813" s="47"/>
      <c r="E813" s="47"/>
      <c r="F813" s="46"/>
      <c r="G813" s="46"/>
      <c r="H813" s="46"/>
      <c r="I813" s="46"/>
      <c r="J813" s="46"/>
      <c r="K813" s="46"/>
      <c r="L813" s="46"/>
      <c r="M813" s="46"/>
      <c r="N813" s="203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 spans="1:30" ht="13.8">
      <c r="A814" s="46"/>
      <c r="B814" s="46"/>
      <c r="C814" s="47"/>
      <c r="D814" s="47"/>
      <c r="E814" s="47"/>
      <c r="F814" s="46"/>
      <c r="G814" s="46"/>
      <c r="H814" s="46"/>
      <c r="I814" s="46"/>
      <c r="J814" s="46"/>
      <c r="K814" s="46"/>
      <c r="L814" s="46"/>
      <c r="M814" s="46"/>
      <c r="N814" s="203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 spans="1:30" ht="13.8">
      <c r="A815" s="46"/>
      <c r="B815" s="46"/>
      <c r="C815" s="47"/>
      <c r="D815" s="47"/>
      <c r="E815" s="47"/>
      <c r="F815" s="46"/>
      <c r="G815" s="46"/>
      <c r="H815" s="46"/>
      <c r="I815" s="46"/>
      <c r="J815" s="46"/>
      <c r="K815" s="46"/>
      <c r="L815" s="46"/>
      <c r="M815" s="46"/>
      <c r="N815" s="203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 spans="1:30" ht="13.8">
      <c r="A816" s="46"/>
      <c r="B816" s="46"/>
      <c r="C816" s="47"/>
      <c r="D816" s="47"/>
      <c r="E816" s="47"/>
      <c r="F816" s="46"/>
      <c r="G816" s="46"/>
      <c r="H816" s="46"/>
      <c r="I816" s="46"/>
      <c r="J816" s="46"/>
      <c r="K816" s="46"/>
      <c r="L816" s="46"/>
      <c r="M816" s="46"/>
      <c r="N816" s="203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 spans="1:30" ht="13.8">
      <c r="A817" s="46"/>
      <c r="B817" s="46"/>
      <c r="C817" s="47"/>
      <c r="D817" s="47"/>
      <c r="E817" s="47"/>
      <c r="F817" s="46"/>
      <c r="G817" s="46"/>
      <c r="H817" s="46"/>
      <c r="I817" s="46"/>
      <c r="J817" s="46"/>
      <c r="K817" s="46"/>
      <c r="L817" s="46"/>
      <c r="M817" s="46"/>
      <c r="N817" s="203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 spans="1:30" ht="13.8">
      <c r="A818" s="46"/>
      <c r="B818" s="46"/>
      <c r="C818" s="47"/>
      <c r="D818" s="47"/>
      <c r="E818" s="47"/>
      <c r="F818" s="46"/>
      <c r="G818" s="46"/>
      <c r="H818" s="46"/>
      <c r="I818" s="46"/>
      <c r="J818" s="46"/>
      <c r="K818" s="46"/>
      <c r="L818" s="46"/>
      <c r="M818" s="46"/>
      <c r="N818" s="203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 spans="1:30" ht="13.8">
      <c r="A819" s="46"/>
      <c r="B819" s="46"/>
      <c r="C819" s="47"/>
      <c r="D819" s="47"/>
      <c r="E819" s="47"/>
      <c r="F819" s="46"/>
      <c r="G819" s="46"/>
      <c r="H819" s="46"/>
      <c r="I819" s="46"/>
      <c r="J819" s="46"/>
      <c r="K819" s="46"/>
      <c r="L819" s="46"/>
      <c r="M819" s="46"/>
      <c r="N819" s="203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 spans="1:30" ht="13.8">
      <c r="A820" s="46"/>
      <c r="B820" s="46"/>
      <c r="C820" s="47"/>
      <c r="D820" s="47"/>
      <c r="E820" s="47"/>
      <c r="F820" s="46"/>
      <c r="G820" s="46"/>
      <c r="H820" s="46"/>
      <c r="I820" s="46"/>
      <c r="J820" s="46"/>
      <c r="K820" s="46"/>
      <c r="L820" s="46"/>
      <c r="M820" s="46"/>
      <c r="N820" s="203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 spans="1:30" ht="13.8">
      <c r="A821" s="46"/>
      <c r="B821" s="46"/>
      <c r="C821" s="47"/>
      <c r="D821" s="47"/>
      <c r="E821" s="47"/>
      <c r="F821" s="46"/>
      <c r="G821" s="46"/>
      <c r="H821" s="46"/>
      <c r="I821" s="46"/>
      <c r="J821" s="46"/>
      <c r="K821" s="46"/>
      <c r="L821" s="46"/>
      <c r="M821" s="46"/>
      <c r="N821" s="203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 spans="1:30" ht="13.8">
      <c r="A822" s="46"/>
      <c r="B822" s="46"/>
      <c r="C822" s="47"/>
      <c r="D822" s="47"/>
      <c r="E822" s="47"/>
      <c r="F822" s="46"/>
      <c r="G822" s="46"/>
      <c r="H822" s="46"/>
      <c r="I822" s="46"/>
      <c r="J822" s="46"/>
      <c r="K822" s="46"/>
      <c r="L822" s="46"/>
      <c r="M822" s="46"/>
      <c r="N822" s="203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 spans="1:30" ht="13.8">
      <c r="A823" s="46"/>
      <c r="B823" s="46"/>
      <c r="C823" s="47"/>
      <c r="D823" s="47"/>
      <c r="E823" s="47"/>
      <c r="F823" s="46"/>
      <c r="G823" s="46"/>
      <c r="H823" s="46"/>
      <c r="I823" s="46"/>
      <c r="J823" s="46"/>
      <c r="K823" s="46"/>
      <c r="L823" s="46"/>
      <c r="M823" s="46"/>
      <c r="N823" s="203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 spans="1:30" ht="13.8">
      <c r="A824" s="46"/>
      <c r="B824" s="46"/>
      <c r="C824" s="47"/>
      <c r="D824" s="47"/>
      <c r="E824" s="47"/>
      <c r="F824" s="46"/>
      <c r="G824" s="46"/>
      <c r="H824" s="46"/>
      <c r="I824" s="46"/>
      <c r="J824" s="46"/>
      <c r="K824" s="46"/>
      <c r="L824" s="46"/>
      <c r="M824" s="46"/>
      <c r="N824" s="203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 spans="1:30" ht="13.8">
      <c r="A825" s="46"/>
      <c r="B825" s="46"/>
      <c r="C825" s="47"/>
      <c r="D825" s="47"/>
      <c r="E825" s="47"/>
      <c r="F825" s="46"/>
      <c r="G825" s="46"/>
      <c r="H825" s="46"/>
      <c r="I825" s="46"/>
      <c r="J825" s="46"/>
      <c r="K825" s="46"/>
      <c r="L825" s="46"/>
      <c r="M825" s="46"/>
      <c r="N825" s="203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 spans="1:30" ht="13.8">
      <c r="A826" s="46"/>
      <c r="B826" s="46"/>
      <c r="C826" s="47"/>
      <c r="D826" s="47"/>
      <c r="E826" s="47"/>
      <c r="F826" s="46"/>
      <c r="G826" s="46"/>
      <c r="H826" s="46"/>
      <c r="I826" s="46"/>
      <c r="J826" s="46"/>
      <c r="K826" s="46"/>
      <c r="L826" s="46"/>
      <c r="M826" s="46"/>
      <c r="N826" s="203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 spans="1:30" ht="13.8">
      <c r="A827" s="46"/>
      <c r="B827" s="46"/>
      <c r="C827" s="47"/>
      <c r="D827" s="47"/>
      <c r="E827" s="47"/>
      <c r="F827" s="46"/>
      <c r="G827" s="46"/>
      <c r="H827" s="46"/>
      <c r="I827" s="46"/>
      <c r="J827" s="46"/>
      <c r="K827" s="46"/>
      <c r="L827" s="46"/>
      <c r="M827" s="46"/>
      <c r="N827" s="203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 spans="1:30" ht="13.8">
      <c r="A828" s="46"/>
      <c r="B828" s="46"/>
      <c r="C828" s="47"/>
      <c r="D828" s="47"/>
      <c r="E828" s="47"/>
      <c r="F828" s="46"/>
      <c r="G828" s="46"/>
      <c r="H828" s="46"/>
      <c r="I828" s="46"/>
      <c r="J828" s="46"/>
      <c r="K828" s="46"/>
      <c r="L828" s="46"/>
      <c r="M828" s="46"/>
      <c r="N828" s="203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 spans="1:30" ht="13.8">
      <c r="A829" s="46"/>
      <c r="B829" s="46"/>
      <c r="C829" s="47"/>
      <c r="D829" s="47"/>
      <c r="E829" s="47"/>
      <c r="F829" s="46"/>
      <c r="G829" s="46"/>
      <c r="H829" s="46"/>
      <c r="I829" s="46"/>
      <c r="J829" s="46"/>
      <c r="K829" s="46"/>
      <c r="L829" s="46"/>
      <c r="M829" s="46"/>
      <c r="N829" s="203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 spans="1:30" ht="13.8">
      <c r="A830" s="46"/>
      <c r="B830" s="46"/>
      <c r="C830" s="47"/>
      <c r="D830" s="47"/>
      <c r="E830" s="47"/>
      <c r="F830" s="46"/>
      <c r="G830" s="46"/>
      <c r="H830" s="46"/>
      <c r="I830" s="46"/>
      <c r="J830" s="46"/>
      <c r="K830" s="46"/>
      <c r="L830" s="46"/>
      <c r="M830" s="46"/>
      <c r="N830" s="203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 spans="1:30" ht="13.8">
      <c r="A831" s="46"/>
      <c r="B831" s="46"/>
      <c r="C831" s="47"/>
      <c r="D831" s="47"/>
      <c r="E831" s="47"/>
      <c r="F831" s="46"/>
      <c r="G831" s="46"/>
      <c r="H831" s="46"/>
      <c r="I831" s="46"/>
      <c r="J831" s="46"/>
      <c r="K831" s="46"/>
      <c r="L831" s="46"/>
      <c r="M831" s="46"/>
      <c r="N831" s="203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 spans="1:30" ht="13.8">
      <c r="A832" s="46"/>
      <c r="B832" s="46"/>
      <c r="C832" s="47"/>
      <c r="D832" s="47"/>
      <c r="E832" s="47"/>
      <c r="F832" s="46"/>
      <c r="G832" s="46"/>
      <c r="H832" s="46"/>
      <c r="I832" s="46"/>
      <c r="J832" s="46"/>
      <c r="K832" s="46"/>
      <c r="L832" s="46"/>
      <c r="M832" s="46"/>
      <c r="N832" s="203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 spans="1:30" ht="13.8">
      <c r="A833" s="46"/>
      <c r="B833" s="46"/>
      <c r="C833" s="47"/>
      <c r="D833" s="47"/>
      <c r="E833" s="47"/>
      <c r="F833" s="46"/>
      <c r="G833" s="46"/>
      <c r="H833" s="46"/>
      <c r="I833" s="46"/>
      <c r="J833" s="46"/>
      <c r="K833" s="46"/>
      <c r="L833" s="46"/>
      <c r="M833" s="46"/>
      <c r="N833" s="203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 spans="1:30" ht="13.8">
      <c r="A834" s="46"/>
      <c r="B834" s="46"/>
      <c r="C834" s="47"/>
      <c r="D834" s="47"/>
      <c r="E834" s="47"/>
      <c r="F834" s="46"/>
      <c r="G834" s="46"/>
      <c r="H834" s="46"/>
      <c r="I834" s="46"/>
      <c r="J834" s="46"/>
      <c r="K834" s="46"/>
      <c r="L834" s="46"/>
      <c r="M834" s="46"/>
      <c r="N834" s="203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 spans="1:30" ht="13.8">
      <c r="A835" s="46"/>
      <c r="B835" s="46"/>
      <c r="C835" s="47"/>
      <c r="D835" s="47"/>
      <c r="E835" s="47"/>
      <c r="F835" s="46"/>
      <c r="G835" s="46"/>
      <c r="H835" s="46"/>
      <c r="I835" s="46"/>
      <c r="J835" s="46"/>
      <c r="K835" s="46"/>
      <c r="L835" s="46"/>
      <c r="M835" s="46"/>
      <c r="N835" s="203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 spans="1:30" ht="13.8">
      <c r="A836" s="46"/>
      <c r="B836" s="46"/>
      <c r="C836" s="47"/>
      <c r="D836" s="47"/>
      <c r="E836" s="47"/>
      <c r="F836" s="46"/>
      <c r="G836" s="46"/>
      <c r="H836" s="46"/>
      <c r="I836" s="46"/>
      <c r="J836" s="46"/>
      <c r="K836" s="46"/>
      <c r="L836" s="46"/>
      <c r="M836" s="46"/>
      <c r="N836" s="203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 spans="1:30" ht="13.8">
      <c r="A837" s="46"/>
      <c r="B837" s="46"/>
      <c r="C837" s="47"/>
      <c r="D837" s="47"/>
      <c r="E837" s="47"/>
      <c r="F837" s="46"/>
      <c r="G837" s="46"/>
      <c r="H837" s="46"/>
      <c r="I837" s="46"/>
      <c r="J837" s="46"/>
      <c r="K837" s="46"/>
      <c r="L837" s="46"/>
      <c r="M837" s="46"/>
      <c r="N837" s="203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 spans="1:30" ht="13.8">
      <c r="A838" s="46"/>
      <c r="B838" s="46"/>
      <c r="C838" s="47"/>
      <c r="D838" s="47"/>
      <c r="E838" s="47"/>
      <c r="F838" s="46"/>
      <c r="G838" s="46"/>
      <c r="H838" s="46"/>
      <c r="I838" s="46"/>
      <c r="J838" s="46"/>
      <c r="K838" s="46"/>
      <c r="L838" s="46"/>
      <c r="M838" s="46"/>
      <c r="N838" s="203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 spans="1:30" ht="13.8">
      <c r="A839" s="46"/>
      <c r="B839" s="46"/>
      <c r="C839" s="47"/>
      <c r="D839" s="47"/>
      <c r="E839" s="47"/>
      <c r="F839" s="46"/>
      <c r="G839" s="46"/>
      <c r="H839" s="46"/>
      <c r="I839" s="46"/>
      <c r="J839" s="46"/>
      <c r="K839" s="46"/>
      <c r="L839" s="46"/>
      <c r="M839" s="46"/>
      <c r="N839" s="203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 spans="1:30" ht="13.8">
      <c r="A840" s="46"/>
      <c r="B840" s="46"/>
      <c r="C840" s="47"/>
      <c r="D840" s="47"/>
      <c r="E840" s="47"/>
      <c r="F840" s="46"/>
      <c r="G840" s="46"/>
      <c r="H840" s="46"/>
      <c r="I840" s="46"/>
      <c r="J840" s="46"/>
      <c r="K840" s="46"/>
      <c r="L840" s="46"/>
      <c r="M840" s="46"/>
      <c r="N840" s="203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 spans="1:30" ht="13.8">
      <c r="A841" s="46"/>
      <c r="B841" s="46"/>
      <c r="C841" s="47"/>
      <c r="D841" s="47"/>
      <c r="E841" s="47"/>
      <c r="F841" s="46"/>
      <c r="G841" s="46"/>
      <c r="H841" s="46"/>
      <c r="I841" s="46"/>
      <c r="J841" s="46"/>
      <c r="K841" s="46"/>
      <c r="L841" s="46"/>
      <c r="M841" s="46"/>
      <c r="N841" s="203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 spans="1:30" ht="13.8">
      <c r="A842" s="46"/>
      <c r="B842" s="46"/>
      <c r="C842" s="47"/>
      <c r="D842" s="47"/>
      <c r="E842" s="47"/>
      <c r="F842" s="46"/>
      <c r="G842" s="46"/>
      <c r="H842" s="46"/>
      <c r="I842" s="46"/>
      <c r="J842" s="46"/>
      <c r="K842" s="46"/>
      <c r="L842" s="46"/>
      <c r="M842" s="46"/>
      <c r="N842" s="203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 spans="1:30" ht="13.8">
      <c r="A843" s="46"/>
      <c r="B843" s="46"/>
      <c r="C843" s="47"/>
      <c r="D843" s="47"/>
      <c r="E843" s="47"/>
      <c r="F843" s="46"/>
      <c r="G843" s="46"/>
      <c r="H843" s="46"/>
      <c r="I843" s="46"/>
      <c r="J843" s="46"/>
      <c r="K843" s="46"/>
      <c r="L843" s="46"/>
      <c r="M843" s="46"/>
      <c r="N843" s="203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 spans="1:30" ht="13.8">
      <c r="A844" s="46"/>
      <c r="B844" s="46"/>
      <c r="C844" s="47"/>
      <c r="D844" s="47"/>
      <c r="E844" s="47"/>
      <c r="F844" s="46"/>
      <c r="G844" s="46"/>
      <c r="H844" s="46"/>
      <c r="I844" s="46"/>
      <c r="J844" s="46"/>
      <c r="K844" s="46"/>
      <c r="L844" s="46"/>
      <c r="M844" s="46"/>
      <c r="N844" s="203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 spans="1:30" ht="13.8">
      <c r="A845" s="46"/>
      <c r="B845" s="46"/>
      <c r="C845" s="47"/>
      <c r="D845" s="47"/>
      <c r="E845" s="47"/>
      <c r="F845" s="46"/>
      <c r="G845" s="46"/>
      <c r="H845" s="46"/>
      <c r="I845" s="46"/>
      <c r="J845" s="46"/>
      <c r="K845" s="46"/>
      <c r="L845" s="46"/>
      <c r="M845" s="46"/>
      <c r="N845" s="203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 spans="1:30" ht="13.8">
      <c r="A846" s="46"/>
      <c r="B846" s="46"/>
      <c r="C846" s="47"/>
      <c r="D846" s="47"/>
      <c r="E846" s="47"/>
      <c r="F846" s="46"/>
      <c r="G846" s="46"/>
      <c r="H846" s="46"/>
      <c r="I846" s="46"/>
      <c r="J846" s="46"/>
      <c r="K846" s="46"/>
      <c r="L846" s="46"/>
      <c r="M846" s="46"/>
      <c r="N846" s="203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 spans="1:30" ht="13.8">
      <c r="A847" s="46"/>
      <c r="B847" s="46"/>
      <c r="C847" s="47"/>
      <c r="D847" s="47"/>
      <c r="E847" s="47"/>
      <c r="F847" s="46"/>
      <c r="G847" s="46"/>
      <c r="H847" s="46"/>
      <c r="I847" s="46"/>
      <c r="J847" s="46"/>
      <c r="K847" s="46"/>
      <c r="L847" s="46"/>
      <c r="M847" s="46"/>
      <c r="N847" s="203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 spans="1:30" ht="13.8">
      <c r="A848" s="46"/>
      <c r="B848" s="46"/>
      <c r="C848" s="47"/>
      <c r="D848" s="47"/>
      <c r="E848" s="47"/>
      <c r="F848" s="46"/>
      <c r="G848" s="46"/>
      <c r="H848" s="46"/>
      <c r="I848" s="46"/>
      <c r="J848" s="46"/>
      <c r="K848" s="46"/>
      <c r="L848" s="46"/>
      <c r="M848" s="46"/>
      <c r="N848" s="203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 spans="1:30" ht="13.8">
      <c r="A849" s="46"/>
      <c r="B849" s="46"/>
      <c r="C849" s="47"/>
      <c r="D849" s="47"/>
      <c r="E849" s="47"/>
      <c r="F849" s="46"/>
      <c r="G849" s="46"/>
      <c r="H849" s="46"/>
      <c r="I849" s="46"/>
      <c r="J849" s="46"/>
      <c r="K849" s="46"/>
      <c r="L849" s="46"/>
      <c r="M849" s="46"/>
      <c r="N849" s="203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 spans="1:30" ht="13.8">
      <c r="A850" s="46"/>
      <c r="B850" s="46"/>
      <c r="C850" s="47"/>
      <c r="D850" s="47"/>
      <c r="E850" s="47"/>
      <c r="F850" s="46"/>
      <c r="G850" s="46"/>
      <c r="H850" s="46"/>
      <c r="I850" s="46"/>
      <c r="J850" s="46"/>
      <c r="K850" s="46"/>
      <c r="L850" s="46"/>
      <c r="M850" s="46"/>
      <c r="N850" s="203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 spans="1:30" ht="13.8">
      <c r="A851" s="46"/>
      <c r="B851" s="46"/>
      <c r="C851" s="47"/>
      <c r="D851" s="47"/>
      <c r="E851" s="47"/>
      <c r="F851" s="46"/>
      <c r="G851" s="46"/>
      <c r="H851" s="46"/>
      <c r="I851" s="46"/>
      <c r="J851" s="46"/>
      <c r="K851" s="46"/>
      <c r="L851" s="46"/>
      <c r="M851" s="46"/>
      <c r="N851" s="203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 spans="1:30" ht="13.8">
      <c r="A852" s="46"/>
      <c r="B852" s="46"/>
      <c r="C852" s="47"/>
      <c r="D852" s="47"/>
      <c r="E852" s="47"/>
      <c r="F852" s="46"/>
      <c r="G852" s="46"/>
      <c r="H852" s="46"/>
      <c r="I852" s="46"/>
      <c r="J852" s="46"/>
      <c r="K852" s="46"/>
      <c r="L852" s="46"/>
      <c r="M852" s="46"/>
      <c r="N852" s="203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 spans="1:30" ht="13.8">
      <c r="A853" s="46"/>
      <c r="B853" s="46"/>
      <c r="C853" s="47"/>
      <c r="D853" s="47"/>
      <c r="E853" s="47"/>
      <c r="F853" s="46"/>
      <c r="G853" s="46"/>
      <c r="H853" s="46"/>
      <c r="I853" s="46"/>
      <c r="J853" s="46"/>
      <c r="K853" s="46"/>
      <c r="L853" s="46"/>
      <c r="M853" s="46"/>
      <c r="N853" s="203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 spans="1:30" ht="13.8">
      <c r="A854" s="46"/>
      <c r="B854" s="46"/>
      <c r="C854" s="47"/>
      <c r="D854" s="47"/>
      <c r="E854" s="47"/>
      <c r="F854" s="46"/>
      <c r="G854" s="46"/>
      <c r="H854" s="46"/>
      <c r="I854" s="46"/>
      <c r="J854" s="46"/>
      <c r="K854" s="46"/>
      <c r="L854" s="46"/>
      <c r="M854" s="46"/>
      <c r="N854" s="203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 spans="1:30" ht="13.8">
      <c r="A855" s="46"/>
      <c r="B855" s="46"/>
      <c r="C855" s="47"/>
      <c r="D855" s="47"/>
      <c r="E855" s="47"/>
      <c r="F855" s="46"/>
      <c r="G855" s="46"/>
      <c r="H855" s="46"/>
      <c r="I855" s="46"/>
      <c r="J855" s="46"/>
      <c r="K855" s="46"/>
      <c r="L855" s="46"/>
      <c r="M855" s="46"/>
      <c r="N855" s="203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 spans="1:30" ht="13.8">
      <c r="A856" s="46"/>
      <c r="B856" s="46"/>
      <c r="C856" s="47"/>
      <c r="D856" s="47"/>
      <c r="E856" s="47"/>
      <c r="F856" s="46"/>
      <c r="G856" s="46"/>
      <c r="H856" s="46"/>
      <c r="I856" s="46"/>
      <c r="J856" s="46"/>
      <c r="K856" s="46"/>
      <c r="L856" s="46"/>
      <c r="M856" s="46"/>
      <c r="N856" s="203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 spans="1:30" ht="13.8">
      <c r="A857" s="46"/>
      <c r="B857" s="46"/>
      <c r="C857" s="47"/>
      <c r="D857" s="47"/>
      <c r="E857" s="47"/>
      <c r="F857" s="46"/>
      <c r="G857" s="46"/>
      <c r="H857" s="46"/>
      <c r="I857" s="46"/>
      <c r="J857" s="46"/>
      <c r="K857" s="46"/>
      <c r="L857" s="46"/>
      <c r="M857" s="46"/>
      <c r="N857" s="203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 spans="1:30" ht="13.8">
      <c r="A858" s="46"/>
      <c r="B858" s="46"/>
      <c r="C858" s="47"/>
      <c r="D858" s="47"/>
      <c r="E858" s="47"/>
      <c r="F858" s="46"/>
      <c r="G858" s="46"/>
      <c r="H858" s="46"/>
      <c r="I858" s="46"/>
      <c r="J858" s="46"/>
      <c r="K858" s="46"/>
      <c r="L858" s="46"/>
      <c r="M858" s="46"/>
      <c r="N858" s="203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 spans="1:30" ht="13.8">
      <c r="A859" s="46"/>
      <c r="B859" s="46"/>
      <c r="C859" s="47"/>
      <c r="D859" s="47"/>
      <c r="E859" s="47"/>
      <c r="F859" s="46"/>
      <c r="G859" s="46"/>
      <c r="H859" s="46"/>
      <c r="I859" s="46"/>
      <c r="J859" s="46"/>
      <c r="K859" s="46"/>
      <c r="L859" s="46"/>
      <c r="M859" s="46"/>
      <c r="N859" s="203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 spans="1:30" ht="13.8">
      <c r="A860" s="46"/>
      <c r="B860" s="46"/>
      <c r="C860" s="47"/>
      <c r="D860" s="47"/>
      <c r="E860" s="47"/>
      <c r="F860" s="46"/>
      <c r="G860" s="46"/>
      <c r="H860" s="46"/>
      <c r="I860" s="46"/>
      <c r="J860" s="46"/>
      <c r="K860" s="46"/>
      <c r="L860" s="46"/>
      <c r="M860" s="46"/>
      <c r="N860" s="203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 spans="1:30" ht="13.8">
      <c r="A861" s="46"/>
      <c r="B861" s="46"/>
      <c r="C861" s="47"/>
      <c r="D861" s="47"/>
      <c r="E861" s="47"/>
      <c r="F861" s="46"/>
      <c r="G861" s="46"/>
      <c r="H861" s="46"/>
      <c r="I861" s="46"/>
      <c r="J861" s="46"/>
      <c r="K861" s="46"/>
      <c r="L861" s="46"/>
      <c r="M861" s="46"/>
      <c r="N861" s="203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 spans="1:30" ht="13.8">
      <c r="A862" s="46"/>
      <c r="B862" s="46"/>
      <c r="C862" s="47"/>
      <c r="D862" s="47"/>
      <c r="E862" s="47"/>
      <c r="F862" s="46"/>
      <c r="G862" s="46"/>
      <c r="H862" s="46"/>
      <c r="I862" s="46"/>
      <c r="J862" s="46"/>
      <c r="K862" s="46"/>
      <c r="L862" s="46"/>
      <c r="M862" s="46"/>
      <c r="N862" s="203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 spans="1:30" ht="13.8">
      <c r="A863" s="46"/>
      <c r="B863" s="46"/>
      <c r="C863" s="47"/>
      <c r="D863" s="47"/>
      <c r="E863" s="47"/>
      <c r="F863" s="46"/>
      <c r="G863" s="46"/>
      <c r="H863" s="46"/>
      <c r="I863" s="46"/>
      <c r="J863" s="46"/>
      <c r="K863" s="46"/>
      <c r="L863" s="46"/>
      <c r="M863" s="46"/>
      <c r="N863" s="203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 spans="1:30" ht="13.8">
      <c r="A864" s="46"/>
      <c r="B864" s="46"/>
      <c r="C864" s="47"/>
      <c r="D864" s="47"/>
      <c r="E864" s="47"/>
      <c r="F864" s="46"/>
      <c r="G864" s="46"/>
      <c r="H864" s="46"/>
      <c r="I864" s="46"/>
      <c r="J864" s="46"/>
      <c r="K864" s="46"/>
      <c r="L864" s="46"/>
      <c r="M864" s="46"/>
      <c r="N864" s="203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 spans="1:30" ht="13.8">
      <c r="A865" s="46"/>
      <c r="B865" s="46"/>
      <c r="C865" s="47"/>
      <c r="D865" s="47"/>
      <c r="E865" s="47"/>
      <c r="F865" s="46"/>
      <c r="G865" s="46"/>
      <c r="H865" s="46"/>
      <c r="I865" s="46"/>
      <c r="J865" s="46"/>
      <c r="K865" s="46"/>
      <c r="L865" s="46"/>
      <c r="M865" s="46"/>
      <c r="N865" s="203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 spans="1:30" ht="13.8">
      <c r="A866" s="46"/>
      <c r="B866" s="46"/>
      <c r="C866" s="47"/>
      <c r="D866" s="47"/>
      <c r="E866" s="47"/>
      <c r="F866" s="46"/>
      <c r="G866" s="46"/>
      <c r="H866" s="46"/>
      <c r="I866" s="46"/>
      <c r="J866" s="46"/>
      <c r="K866" s="46"/>
      <c r="L866" s="46"/>
      <c r="M866" s="46"/>
      <c r="N866" s="203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 spans="1:30" ht="13.8">
      <c r="A867" s="46"/>
      <c r="B867" s="46"/>
      <c r="C867" s="47"/>
      <c r="D867" s="47"/>
      <c r="E867" s="47"/>
      <c r="F867" s="46"/>
      <c r="G867" s="46"/>
      <c r="H867" s="46"/>
      <c r="I867" s="46"/>
      <c r="J867" s="46"/>
      <c r="K867" s="46"/>
      <c r="L867" s="46"/>
      <c r="M867" s="46"/>
      <c r="N867" s="203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 spans="1:30" ht="13.8">
      <c r="A868" s="46"/>
      <c r="B868" s="46"/>
      <c r="C868" s="47"/>
      <c r="D868" s="47"/>
      <c r="E868" s="47"/>
      <c r="F868" s="46"/>
      <c r="G868" s="46"/>
      <c r="H868" s="46"/>
      <c r="I868" s="46"/>
      <c r="J868" s="46"/>
      <c r="K868" s="46"/>
      <c r="L868" s="46"/>
      <c r="M868" s="46"/>
      <c r="N868" s="203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 spans="1:30" ht="13.8">
      <c r="A869" s="46"/>
      <c r="B869" s="46"/>
      <c r="C869" s="47"/>
      <c r="D869" s="47"/>
      <c r="E869" s="47"/>
      <c r="F869" s="46"/>
      <c r="G869" s="46"/>
      <c r="H869" s="46"/>
      <c r="I869" s="46"/>
      <c r="J869" s="46"/>
      <c r="K869" s="46"/>
      <c r="L869" s="46"/>
      <c r="M869" s="46"/>
      <c r="N869" s="203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 spans="1:30" ht="13.8">
      <c r="A870" s="46"/>
      <c r="B870" s="46"/>
      <c r="C870" s="47"/>
      <c r="D870" s="47"/>
      <c r="E870" s="47"/>
      <c r="F870" s="46"/>
      <c r="G870" s="46"/>
      <c r="H870" s="46"/>
      <c r="I870" s="46"/>
      <c r="J870" s="46"/>
      <c r="K870" s="46"/>
      <c r="L870" s="46"/>
      <c r="M870" s="46"/>
      <c r="N870" s="203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 spans="1:30" ht="13.8">
      <c r="A871" s="46"/>
      <c r="B871" s="46"/>
      <c r="C871" s="47"/>
      <c r="D871" s="47"/>
      <c r="E871" s="47"/>
      <c r="F871" s="46"/>
      <c r="G871" s="46"/>
      <c r="H871" s="46"/>
      <c r="I871" s="46"/>
      <c r="J871" s="46"/>
      <c r="K871" s="46"/>
      <c r="L871" s="46"/>
      <c r="M871" s="46"/>
      <c r="N871" s="203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 spans="1:30" ht="13.8">
      <c r="A872" s="46"/>
      <c r="B872" s="46"/>
      <c r="C872" s="47"/>
      <c r="D872" s="47"/>
      <c r="E872" s="47"/>
      <c r="F872" s="46"/>
      <c r="G872" s="46"/>
      <c r="H872" s="46"/>
      <c r="I872" s="46"/>
      <c r="J872" s="46"/>
      <c r="K872" s="46"/>
      <c r="L872" s="46"/>
      <c r="M872" s="46"/>
      <c r="N872" s="203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 spans="1:30" ht="13.8">
      <c r="A873" s="46"/>
      <c r="B873" s="46"/>
      <c r="C873" s="47"/>
      <c r="D873" s="47"/>
      <c r="E873" s="47"/>
      <c r="F873" s="46"/>
      <c r="G873" s="46"/>
      <c r="H873" s="46"/>
      <c r="I873" s="46"/>
      <c r="J873" s="46"/>
      <c r="K873" s="46"/>
      <c r="L873" s="46"/>
      <c r="M873" s="46"/>
      <c r="N873" s="203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 spans="1:30" ht="13.8">
      <c r="A874" s="46"/>
      <c r="B874" s="46"/>
      <c r="C874" s="47"/>
      <c r="D874" s="47"/>
      <c r="E874" s="47"/>
      <c r="F874" s="46"/>
      <c r="G874" s="46"/>
      <c r="H874" s="46"/>
      <c r="I874" s="46"/>
      <c r="J874" s="46"/>
      <c r="K874" s="46"/>
      <c r="L874" s="46"/>
      <c r="M874" s="46"/>
      <c r="N874" s="203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 spans="1:30" ht="13.8">
      <c r="A875" s="46"/>
      <c r="B875" s="46"/>
      <c r="C875" s="47"/>
      <c r="D875" s="47"/>
      <c r="E875" s="47"/>
      <c r="F875" s="46"/>
      <c r="G875" s="46"/>
      <c r="H875" s="46"/>
      <c r="I875" s="46"/>
      <c r="J875" s="46"/>
      <c r="K875" s="46"/>
      <c r="L875" s="46"/>
      <c r="M875" s="46"/>
      <c r="N875" s="203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 spans="1:30" ht="13.8">
      <c r="A876" s="46"/>
      <c r="B876" s="46"/>
      <c r="C876" s="47"/>
      <c r="D876" s="47"/>
      <c r="E876" s="47"/>
      <c r="F876" s="46"/>
      <c r="G876" s="46"/>
      <c r="H876" s="46"/>
      <c r="I876" s="46"/>
      <c r="J876" s="46"/>
      <c r="K876" s="46"/>
      <c r="L876" s="46"/>
      <c r="M876" s="46"/>
      <c r="N876" s="203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 spans="1:30" ht="13.8">
      <c r="A877" s="46"/>
      <c r="B877" s="46"/>
      <c r="C877" s="47"/>
      <c r="D877" s="47"/>
      <c r="E877" s="47"/>
      <c r="F877" s="46"/>
      <c r="G877" s="46"/>
      <c r="H877" s="46"/>
      <c r="I877" s="46"/>
      <c r="J877" s="46"/>
      <c r="K877" s="46"/>
      <c r="L877" s="46"/>
      <c r="M877" s="46"/>
      <c r="N877" s="203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 spans="1:30" ht="13.8">
      <c r="A878" s="46"/>
      <c r="B878" s="46"/>
      <c r="C878" s="47"/>
      <c r="D878" s="47"/>
      <c r="E878" s="47"/>
      <c r="F878" s="46"/>
      <c r="G878" s="46"/>
      <c r="H878" s="46"/>
      <c r="I878" s="46"/>
      <c r="J878" s="46"/>
      <c r="K878" s="46"/>
      <c r="L878" s="46"/>
      <c r="M878" s="46"/>
      <c r="N878" s="203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</sheetData>
  <autoFilter ref="A2:N732" xr:uid="{00000000-0009-0000-0000-000002000000}"/>
  <mergeCells count="2">
    <mergeCell ref="N535:N539"/>
    <mergeCell ref="N672:N676"/>
  </mergeCells>
  <conditionalFormatting sqref="D219:D731">
    <cfRule type="notContainsBlanks" dxfId="1" priority="1">
      <formula>LEN(TRIM(D219))&gt;0</formula>
    </cfRule>
  </conditionalFormatting>
  <printOptions horizontalCentered="1" gridLines="1"/>
  <pageMargins left="0.25" right="0.25" top="0.75" bottom="0.75" header="0" footer="0"/>
  <pageSetup paperSize="14" scale="8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B995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/>
  <cols>
    <col min="1" max="1" width="7.6640625" customWidth="1"/>
    <col min="3" max="3" width="40" customWidth="1"/>
    <col min="4" max="4" width="11.109375" customWidth="1"/>
    <col min="6" max="6" width="22.21875" customWidth="1"/>
    <col min="7" max="7" width="20.109375" customWidth="1"/>
  </cols>
  <sheetData>
    <row r="1" spans="1:28" ht="15.75" customHeight="1">
      <c r="A1" s="348" t="s">
        <v>0</v>
      </c>
      <c r="B1" s="349"/>
      <c r="C1" s="349"/>
      <c r="D1" s="349"/>
      <c r="E1" s="349"/>
      <c r="F1" s="11"/>
      <c r="G1" s="11"/>
      <c r="H1" s="11"/>
      <c r="I1" s="11"/>
      <c r="J1" s="11"/>
      <c r="K1" s="11"/>
      <c r="L1" s="11"/>
      <c r="M1" s="11"/>
      <c r="N1" s="11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spans="1:28" ht="15.75" customHeight="1">
      <c r="A2" s="8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0" t="s">
        <v>8</v>
      </c>
      <c r="G2" s="10" t="s">
        <v>24</v>
      </c>
      <c r="H2" s="10" t="s">
        <v>10</v>
      </c>
      <c r="I2" s="10" t="s">
        <v>11</v>
      </c>
      <c r="J2" s="10" t="s">
        <v>12</v>
      </c>
      <c r="K2" s="10" t="s">
        <v>14</v>
      </c>
      <c r="L2" s="10" t="s">
        <v>15</v>
      </c>
      <c r="M2" s="10" t="s">
        <v>16</v>
      </c>
      <c r="N2" s="19" t="s">
        <v>17</v>
      </c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</row>
    <row r="3" spans="1:28" ht="15.75" customHeight="1">
      <c r="A3" s="24" t="s">
        <v>21</v>
      </c>
      <c r="B3" s="26" t="s">
        <v>49</v>
      </c>
      <c r="C3" s="26" t="s">
        <v>51</v>
      </c>
      <c r="D3" s="29" t="s">
        <v>52</v>
      </c>
      <c r="E3" s="26" t="s">
        <v>54</v>
      </c>
      <c r="F3" s="31" t="s">
        <v>55</v>
      </c>
      <c r="G3" s="26" t="s">
        <v>57</v>
      </c>
      <c r="H3" s="26" t="s">
        <v>58</v>
      </c>
      <c r="I3" s="26" t="s">
        <v>59</v>
      </c>
      <c r="J3" s="26" t="s">
        <v>60</v>
      </c>
      <c r="K3" s="26" t="s">
        <v>61</v>
      </c>
      <c r="L3" s="26" t="s">
        <v>62</v>
      </c>
      <c r="M3" s="26" t="s">
        <v>41</v>
      </c>
      <c r="N3" s="34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</row>
    <row r="4" spans="1:28" ht="15.75" customHeight="1">
      <c r="A4" s="28" t="s">
        <v>21</v>
      </c>
      <c r="B4" s="26" t="s">
        <v>49</v>
      </c>
      <c r="C4" s="26" t="s">
        <v>70</v>
      </c>
      <c r="D4" s="29" t="s">
        <v>71</v>
      </c>
      <c r="E4" s="26" t="s">
        <v>54</v>
      </c>
      <c r="F4" s="26" t="s">
        <v>72</v>
      </c>
      <c r="G4" s="26" t="s">
        <v>74</v>
      </c>
      <c r="H4" s="26" t="s">
        <v>58</v>
      </c>
      <c r="I4" s="26" t="s">
        <v>59</v>
      </c>
      <c r="J4" s="26" t="s">
        <v>76</v>
      </c>
      <c r="K4" s="26" t="s">
        <v>61</v>
      </c>
      <c r="L4" s="26" t="s">
        <v>62</v>
      </c>
      <c r="M4" s="26" t="s">
        <v>41</v>
      </c>
      <c r="N4" s="34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</row>
    <row r="5" spans="1:28" ht="15.75" customHeight="1">
      <c r="A5" s="28" t="s">
        <v>21</v>
      </c>
      <c r="B5" s="26" t="s">
        <v>49</v>
      </c>
      <c r="C5" s="26" t="s">
        <v>79</v>
      </c>
      <c r="D5" s="43" t="s">
        <v>80</v>
      </c>
      <c r="E5" s="26" t="s">
        <v>54</v>
      </c>
      <c r="F5" s="26" t="s">
        <v>81</v>
      </c>
      <c r="G5" s="26" t="s">
        <v>82</v>
      </c>
      <c r="H5" s="26" t="s">
        <v>58</v>
      </c>
      <c r="I5" s="26" t="s">
        <v>59</v>
      </c>
      <c r="J5" s="26" t="s">
        <v>83</v>
      </c>
      <c r="K5" s="26" t="s">
        <v>61</v>
      </c>
      <c r="L5" s="26" t="s">
        <v>62</v>
      </c>
      <c r="M5" s="26" t="s">
        <v>41</v>
      </c>
      <c r="N5" s="34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</row>
    <row r="6" spans="1:28" ht="15.75" customHeight="1">
      <c r="A6" s="28" t="s">
        <v>21</v>
      </c>
      <c r="B6" s="26" t="s">
        <v>49</v>
      </c>
      <c r="C6" s="26" t="s">
        <v>85</v>
      </c>
      <c r="D6" s="28" t="s">
        <v>86</v>
      </c>
      <c r="E6" s="26" t="s">
        <v>54</v>
      </c>
      <c r="F6" s="26" t="s">
        <v>87</v>
      </c>
      <c r="G6" s="26" t="s">
        <v>88</v>
      </c>
      <c r="H6" s="26" t="s">
        <v>89</v>
      </c>
      <c r="I6" s="26" t="s">
        <v>90</v>
      </c>
      <c r="J6" s="26" t="s">
        <v>92</v>
      </c>
      <c r="K6" s="26" t="s">
        <v>89</v>
      </c>
      <c r="L6" s="26" t="s">
        <v>62</v>
      </c>
      <c r="M6" s="26" t="s">
        <v>41</v>
      </c>
      <c r="N6" s="34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</row>
    <row r="7" spans="1:28" ht="15.75" customHeight="1">
      <c r="A7" s="28" t="s">
        <v>21</v>
      </c>
      <c r="B7" s="26" t="s">
        <v>49</v>
      </c>
      <c r="C7" s="26" t="s">
        <v>85</v>
      </c>
      <c r="D7" s="28" t="s">
        <v>86</v>
      </c>
      <c r="E7" s="26" t="s">
        <v>54</v>
      </c>
      <c r="F7" s="26" t="s">
        <v>98</v>
      </c>
      <c r="G7" s="26" t="s">
        <v>99</v>
      </c>
      <c r="H7" s="26" t="s">
        <v>100</v>
      </c>
      <c r="I7" s="26" t="s">
        <v>101</v>
      </c>
      <c r="J7" s="26" t="s">
        <v>102</v>
      </c>
      <c r="K7" s="26" t="s">
        <v>100</v>
      </c>
      <c r="L7" s="26" t="s">
        <v>62</v>
      </c>
      <c r="M7" s="26" t="s">
        <v>41</v>
      </c>
      <c r="N7" s="34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</row>
    <row r="8" spans="1:28" ht="15.75" customHeight="1">
      <c r="A8" s="28" t="s">
        <v>21</v>
      </c>
      <c r="B8" s="26" t="s">
        <v>49</v>
      </c>
      <c r="C8" s="26" t="s">
        <v>85</v>
      </c>
      <c r="D8" s="28" t="s">
        <v>86</v>
      </c>
      <c r="E8" s="26" t="s">
        <v>54</v>
      </c>
      <c r="F8" s="26" t="s">
        <v>108</v>
      </c>
      <c r="G8" s="26" t="s">
        <v>109</v>
      </c>
      <c r="H8" s="26" t="s">
        <v>110</v>
      </c>
      <c r="I8" s="26" t="s">
        <v>111</v>
      </c>
      <c r="J8" s="26" t="s">
        <v>112</v>
      </c>
      <c r="K8" s="26" t="s">
        <v>113</v>
      </c>
      <c r="L8" s="26" t="s">
        <v>62</v>
      </c>
      <c r="M8" s="26" t="s">
        <v>41</v>
      </c>
      <c r="N8" s="34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</row>
    <row r="9" spans="1:28" ht="15.75" customHeight="1">
      <c r="A9" s="28" t="s">
        <v>21</v>
      </c>
      <c r="B9" s="26" t="s">
        <v>49</v>
      </c>
      <c r="C9" s="26" t="s">
        <v>85</v>
      </c>
      <c r="D9" s="28" t="s">
        <v>86</v>
      </c>
      <c r="E9" s="26" t="s">
        <v>54</v>
      </c>
      <c r="F9" s="26" t="s">
        <v>121</v>
      </c>
      <c r="G9" s="26" t="s">
        <v>122</v>
      </c>
      <c r="H9" s="26" t="s">
        <v>123</v>
      </c>
      <c r="I9" s="26" t="s">
        <v>124</v>
      </c>
      <c r="J9" s="26" t="s">
        <v>125</v>
      </c>
      <c r="K9" s="26" t="s">
        <v>123</v>
      </c>
      <c r="L9" s="26" t="s">
        <v>62</v>
      </c>
      <c r="M9" s="26" t="s">
        <v>41</v>
      </c>
      <c r="N9" s="34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</row>
    <row r="10" spans="1:28" ht="15.75" customHeight="1">
      <c r="A10" s="28" t="s">
        <v>21</v>
      </c>
      <c r="B10" s="26" t="s">
        <v>49</v>
      </c>
      <c r="C10" s="26" t="s">
        <v>85</v>
      </c>
      <c r="D10" s="28" t="s">
        <v>86</v>
      </c>
      <c r="E10" s="26" t="s">
        <v>54</v>
      </c>
      <c r="F10" s="26" t="s">
        <v>131</v>
      </c>
      <c r="G10" s="26" t="s">
        <v>132</v>
      </c>
      <c r="H10" s="26" t="s">
        <v>133</v>
      </c>
      <c r="I10" s="26" t="s">
        <v>134</v>
      </c>
      <c r="J10" s="26" t="s">
        <v>135</v>
      </c>
      <c r="K10" s="26" t="s">
        <v>133</v>
      </c>
      <c r="L10" s="26" t="s">
        <v>62</v>
      </c>
      <c r="M10" s="26" t="s">
        <v>41</v>
      </c>
      <c r="N10" s="34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</row>
    <row r="11" spans="1:28" ht="15.75" customHeight="1">
      <c r="A11" s="28" t="s">
        <v>21</v>
      </c>
      <c r="B11" s="26" t="s">
        <v>49</v>
      </c>
      <c r="C11" s="26" t="s">
        <v>85</v>
      </c>
      <c r="D11" s="28" t="s">
        <v>86</v>
      </c>
      <c r="E11" s="26" t="s">
        <v>54</v>
      </c>
      <c r="F11" s="26" t="s">
        <v>141</v>
      </c>
      <c r="G11" s="26" t="s">
        <v>142</v>
      </c>
      <c r="H11" s="26" t="s">
        <v>143</v>
      </c>
      <c r="I11" s="26" t="s">
        <v>144</v>
      </c>
      <c r="J11" s="26" t="s">
        <v>145</v>
      </c>
      <c r="K11" s="26" t="s">
        <v>143</v>
      </c>
      <c r="L11" s="26" t="s">
        <v>62</v>
      </c>
      <c r="M11" s="26" t="s">
        <v>41</v>
      </c>
      <c r="N11" s="34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</row>
    <row r="12" spans="1:28" ht="15.75" customHeight="1">
      <c r="A12" s="28" t="s">
        <v>21</v>
      </c>
      <c r="B12" s="26" t="s">
        <v>49</v>
      </c>
      <c r="C12" s="26" t="s">
        <v>85</v>
      </c>
      <c r="D12" s="28" t="s">
        <v>86</v>
      </c>
      <c r="E12" s="26" t="s">
        <v>54</v>
      </c>
      <c r="F12" s="26" t="s">
        <v>152</v>
      </c>
      <c r="G12" s="26" t="s">
        <v>153</v>
      </c>
      <c r="H12" s="26" t="s">
        <v>154</v>
      </c>
      <c r="I12" s="26" t="s">
        <v>155</v>
      </c>
      <c r="J12" s="26" t="s">
        <v>156</v>
      </c>
      <c r="K12" s="26" t="s">
        <v>154</v>
      </c>
      <c r="L12" s="26" t="s">
        <v>62</v>
      </c>
      <c r="M12" s="26" t="s">
        <v>41</v>
      </c>
      <c r="N12" s="34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</row>
    <row r="13" spans="1:28" ht="15.75" customHeight="1">
      <c r="A13" s="28" t="s">
        <v>21</v>
      </c>
      <c r="B13" s="26" t="s">
        <v>49</v>
      </c>
      <c r="C13" s="26" t="s">
        <v>85</v>
      </c>
      <c r="D13" s="28" t="s">
        <v>86</v>
      </c>
      <c r="E13" s="26" t="s">
        <v>54</v>
      </c>
      <c r="F13" s="26" t="s">
        <v>162</v>
      </c>
      <c r="G13" s="26" t="s">
        <v>163</v>
      </c>
      <c r="H13" s="26" t="s">
        <v>164</v>
      </c>
      <c r="I13" s="26" t="s">
        <v>165</v>
      </c>
      <c r="J13" s="26" t="s">
        <v>167</v>
      </c>
      <c r="K13" s="26" t="s">
        <v>169</v>
      </c>
      <c r="L13" s="26" t="s">
        <v>62</v>
      </c>
      <c r="M13" s="26" t="s">
        <v>41</v>
      </c>
      <c r="N13" s="34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</row>
    <row r="14" spans="1:28" ht="15.75" customHeight="1">
      <c r="A14" s="28" t="s">
        <v>21</v>
      </c>
      <c r="B14" s="26" t="s">
        <v>49</v>
      </c>
      <c r="C14" s="26" t="s">
        <v>85</v>
      </c>
      <c r="D14" s="28" t="s">
        <v>86</v>
      </c>
      <c r="E14" s="26" t="s">
        <v>54</v>
      </c>
      <c r="F14" s="26" t="s">
        <v>173</v>
      </c>
      <c r="G14" s="26" t="s">
        <v>175</v>
      </c>
      <c r="H14" s="26" t="s">
        <v>178</v>
      </c>
      <c r="I14" s="26" t="s">
        <v>180</v>
      </c>
      <c r="J14" s="26" t="s">
        <v>181</v>
      </c>
      <c r="K14" s="26" t="s">
        <v>183</v>
      </c>
      <c r="L14" s="26" t="s">
        <v>62</v>
      </c>
      <c r="M14" s="26" t="s">
        <v>41</v>
      </c>
      <c r="N14" s="34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</row>
    <row r="15" spans="1:28" ht="15.75" customHeight="1">
      <c r="A15" s="28" t="s">
        <v>21</v>
      </c>
      <c r="B15" s="26" t="s">
        <v>49</v>
      </c>
      <c r="C15" s="26" t="s">
        <v>85</v>
      </c>
      <c r="D15" s="28" t="s">
        <v>86</v>
      </c>
      <c r="E15" s="26" t="s">
        <v>54</v>
      </c>
      <c r="F15" s="26" t="s">
        <v>194</v>
      </c>
      <c r="G15" s="26" t="s">
        <v>196</v>
      </c>
      <c r="H15" s="26" t="s">
        <v>110</v>
      </c>
      <c r="I15" s="26" t="s">
        <v>111</v>
      </c>
      <c r="J15" s="26" t="s">
        <v>198</v>
      </c>
      <c r="K15" s="26" t="s">
        <v>113</v>
      </c>
      <c r="L15" s="26" t="s">
        <v>62</v>
      </c>
      <c r="M15" s="26" t="s">
        <v>41</v>
      </c>
      <c r="N15" s="34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</row>
    <row r="16" spans="1:28" ht="15.75" customHeight="1">
      <c r="A16" s="28" t="s">
        <v>21</v>
      </c>
      <c r="B16" s="26" t="s">
        <v>49</v>
      </c>
      <c r="C16" s="26" t="s">
        <v>85</v>
      </c>
      <c r="D16" s="28" t="s">
        <v>86</v>
      </c>
      <c r="E16" s="26" t="s">
        <v>54</v>
      </c>
      <c r="F16" s="26" t="s">
        <v>202</v>
      </c>
      <c r="G16" s="26" t="s">
        <v>203</v>
      </c>
      <c r="H16" s="26" t="s">
        <v>205</v>
      </c>
      <c r="I16" s="26" t="s">
        <v>206</v>
      </c>
      <c r="J16" s="26" t="s">
        <v>207</v>
      </c>
      <c r="K16" s="26" t="s">
        <v>205</v>
      </c>
      <c r="L16" s="26" t="s">
        <v>62</v>
      </c>
      <c r="M16" s="26" t="s">
        <v>41</v>
      </c>
      <c r="N16" s="34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</row>
    <row r="17" spans="1:28" ht="15.75" customHeight="1">
      <c r="A17" s="28" t="s">
        <v>21</v>
      </c>
      <c r="B17" s="26" t="s">
        <v>49</v>
      </c>
      <c r="C17" s="26" t="s">
        <v>85</v>
      </c>
      <c r="D17" s="28" t="s">
        <v>86</v>
      </c>
      <c r="E17" s="26" t="s">
        <v>54</v>
      </c>
      <c r="F17" s="26" t="s">
        <v>213</v>
      </c>
      <c r="G17" s="26" t="s">
        <v>214</v>
      </c>
      <c r="H17" s="26" t="s">
        <v>216</v>
      </c>
      <c r="I17" s="26" t="s">
        <v>218</v>
      </c>
      <c r="J17" s="26" t="s">
        <v>219</v>
      </c>
      <c r="K17" s="26" t="s">
        <v>216</v>
      </c>
      <c r="L17" s="26" t="s">
        <v>62</v>
      </c>
      <c r="M17" s="26" t="s">
        <v>41</v>
      </c>
      <c r="N17" s="34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</row>
    <row r="18" spans="1:28" ht="14.4">
      <c r="A18" s="28" t="s">
        <v>21</v>
      </c>
      <c r="B18" s="26" t="s">
        <v>49</v>
      </c>
      <c r="C18" s="26" t="s">
        <v>85</v>
      </c>
      <c r="D18" s="28" t="s">
        <v>86</v>
      </c>
      <c r="E18" s="26" t="s">
        <v>54</v>
      </c>
      <c r="F18" s="26" t="s">
        <v>221</v>
      </c>
      <c r="G18" s="26" t="s">
        <v>222</v>
      </c>
      <c r="H18" s="26" t="s">
        <v>224</v>
      </c>
      <c r="I18" s="26" t="s">
        <v>155</v>
      </c>
      <c r="J18" s="26" t="s">
        <v>231</v>
      </c>
      <c r="K18" s="26" t="s">
        <v>224</v>
      </c>
      <c r="L18" s="26" t="s">
        <v>62</v>
      </c>
      <c r="M18" s="26" t="s">
        <v>41</v>
      </c>
      <c r="N18" s="34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</row>
    <row r="19" spans="1:28" ht="14.4">
      <c r="A19" s="28" t="s">
        <v>21</v>
      </c>
      <c r="B19" s="26" t="s">
        <v>49</v>
      </c>
      <c r="C19" s="26" t="s">
        <v>220</v>
      </c>
      <c r="D19" s="57" t="s">
        <v>234</v>
      </c>
      <c r="E19" s="26" t="s">
        <v>54</v>
      </c>
      <c r="F19" s="26" t="s">
        <v>236</v>
      </c>
      <c r="G19" s="26" t="s">
        <v>237</v>
      </c>
      <c r="H19" s="26" t="s">
        <v>238</v>
      </c>
      <c r="I19" s="26" t="s">
        <v>239</v>
      </c>
      <c r="J19" s="26" t="s">
        <v>240</v>
      </c>
      <c r="K19" s="26" t="s">
        <v>238</v>
      </c>
      <c r="L19" s="26" t="s">
        <v>62</v>
      </c>
      <c r="M19" s="26" t="s">
        <v>41</v>
      </c>
      <c r="N19" s="34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</row>
    <row r="20" spans="1:28" ht="14.4">
      <c r="A20" s="28" t="s">
        <v>21</v>
      </c>
      <c r="B20" s="26" t="s">
        <v>49</v>
      </c>
      <c r="C20" s="26" t="s">
        <v>220</v>
      </c>
      <c r="D20" s="57" t="s">
        <v>234</v>
      </c>
      <c r="E20" s="26" t="s">
        <v>54</v>
      </c>
      <c r="F20" s="26" t="s">
        <v>252</v>
      </c>
      <c r="G20" s="26" t="s">
        <v>254</v>
      </c>
      <c r="H20" s="26" t="s">
        <v>183</v>
      </c>
      <c r="I20" s="26" t="s">
        <v>180</v>
      </c>
      <c r="J20" s="26" t="s">
        <v>256</v>
      </c>
      <c r="K20" s="26" t="s">
        <v>183</v>
      </c>
      <c r="L20" s="26" t="s">
        <v>62</v>
      </c>
      <c r="M20" s="26" t="s">
        <v>41</v>
      </c>
      <c r="N20" s="34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</row>
    <row r="21" spans="1:28" ht="14.4">
      <c r="A21" s="28" t="s">
        <v>21</v>
      </c>
      <c r="B21" s="26" t="s">
        <v>49</v>
      </c>
      <c r="C21" s="26" t="s">
        <v>220</v>
      </c>
      <c r="D21" s="57" t="s">
        <v>234</v>
      </c>
      <c r="E21" s="26" t="s">
        <v>54</v>
      </c>
      <c r="F21" s="26" t="s">
        <v>259</v>
      </c>
      <c r="G21" s="26" t="s">
        <v>262</v>
      </c>
      <c r="H21" s="26" t="s">
        <v>58</v>
      </c>
      <c r="I21" s="26" t="s">
        <v>264</v>
      </c>
      <c r="J21" s="26" t="s">
        <v>265</v>
      </c>
      <c r="K21" s="26" t="s">
        <v>58</v>
      </c>
      <c r="L21" s="26" t="s">
        <v>62</v>
      </c>
      <c r="M21" s="26" t="s">
        <v>41</v>
      </c>
      <c r="N21" s="34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</row>
    <row r="22" spans="1:28" ht="14.4">
      <c r="A22" s="28" t="s">
        <v>21</v>
      </c>
      <c r="B22" s="26" t="s">
        <v>49</v>
      </c>
      <c r="C22" s="26" t="s">
        <v>220</v>
      </c>
      <c r="D22" s="57" t="s">
        <v>234</v>
      </c>
      <c r="E22" s="26" t="s">
        <v>54</v>
      </c>
      <c r="F22" s="26" t="s">
        <v>269</v>
      </c>
      <c r="G22" s="26" t="s">
        <v>271</v>
      </c>
      <c r="H22" s="26" t="s">
        <v>272</v>
      </c>
      <c r="I22" s="26" t="s">
        <v>264</v>
      </c>
      <c r="J22" s="26" t="s">
        <v>240</v>
      </c>
      <c r="K22" s="26" t="s">
        <v>58</v>
      </c>
      <c r="L22" s="26" t="s">
        <v>62</v>
      </c>
      <c r="M22" s="26" t="s">
        <v>41</v>
      </c>
      <c r="N22" s="34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</row>
    <row r="23" spans="1:28" ht="14.4">
      <c r="A23" s="28" t="s">
        <v>21</v>
      </c>
      <c r="B23" s="26" t="s">
        <v>49</v>
      </c>
      <c r="C23" s="26" t="s">
        <v>220</v>
      </c>
      <c r="D23" s="57" t="s">
        <v>234</v>
      </c>
      <c r="E23" s="26" t="s">
        <v>54</v>
      </c>
      <c r="F23" s="26" t="s">
        <v>276</v>
      </c>
      <c r="G23" s="26" t="s">
        <v>277</v>
      </c>
      <c r="H23" s="26" t="s">
        <v>272</v>
      </c>
      <c r="I23" s="26" t="s">
        <v>264</v>
      </c>
      <c r="J23" s="26" t="s">
        <v>279</v>
      </c>
      <c r="K23" s="26" t="s">
        <v>58</v>
      </c>
      <c r="L23" s="26" t="s">
        <v>62</v>
      </c>
      <c r="M23" s="26" t="s">
        <v>41</v>
      </c>
      <c r="N23" s="34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</row>
    <row r="24" spans="1:28" ht="14.4">
      <c r="A24" s="28" t="s">
        <v>21</v>
      </c>
      <c r="B24" s="26" t="s">
        <v>49</v>
      </c>
      <c r="C24" s="26" t="s">
        <v>220</v>
      </c>
      <c r="D24" s="57" t="s">
        <v>234</v>
      </c>
      <c r="E24" s="26" t="s">
        <v>54</v>
      </c>
      <c r="F24" s="26" t="s">
        <v>283</v>
      </c>
      <c r="G24" s="26" t="s">
        <v>284</v>
      </c>
      <c r="H24" s="26" t="s">
        <v>100</v>
      </c>
      <c r="I24" s="26" t="s">
        <v>101</v>
      </c>
      <c r="J24" s="26" t="s">
        <v>285</v>
      </c>
      <c r="K24" s="26" t="s">
        <v>100</v>
      </c>
      <c r="L24" s="26" t="s">
        <v>62</v>
      </c>
      <c r="M24" s="26" t="s">
        <v>41</v>
      </c>
      <c r="N24" s="34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</row>
    <row r="25" spans="1:28" ht="14.4">
      <c r="A25" s="28" t="s">
        <v>21</v>
      </c>
      <c r="B25" s="26" t="s">
        <v>49</v>
      </c>
      <c r="C25" s="26" t="s">
        <v>220</v>
      </c>
      <c r="D25" s="57" t="s">
        <v>234</v>
      </c>
      <c r="E25" s="26" t="s">
        <v>54</v>
      </c>
      <c r="F25" s="26" t="s">
        <v>288</v>
      </c>
      <c r="G25" s="26" t="s">
        <v>289</v>
      </c>
      <c r="H25" s="26" t="s">
        <v>290</v>
      </c>
      <c r="I25" s="26" t="s">
        <v>291</v>
      </c>
      <c r="J25" s="26" t="s">
        <v>292</v>
      </c>
      <c r="K25" s="26" t="s">
        <v>224</v>
      </c>
      <c r="L25" s="26" t="s">
        <v>62</v>
      </c>
      <c r="M25" s="26" t="s">
        <v>41</v>
      </c>
      <c r="N25" s="34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</row>
    <row r="26" spans="1:28" ht="14.4">
      <c r="A26" s="28" t="s">
        <v>21</v>
      </c>
      <c r="B26" s="26" t="s">
        <v>49</v>
      </c>
      <c r="C26" s="26" t="s">
        <v>233</v>
      </c>
      <c r="D26" s="29" t="s">
        <v>298</v>
      </c>
      <c r="E26" s="26" t="s">
        <v>54</v>
      </c>
      <c r="F26" s="26" t="s">
        <v>300</v>
      </c>
      <c r="G26" s="26" t="s">
        <v>301</v>
      </c>
      <c r="H26" s="26" t="s">
        <v>303</v>
      </c>
      <c r="I26" s="26" t="s">
        <v>304</v>
      </c>
      <c r="J26" s="26" t="s">
        <v>305</v>
      </c>
      <c r="K26" s="26" t="s">
        <v>303</v>
      </c>
      <c r="L26" s="26" t="s">
        <v>62</v>
      </c>
      <c r="M26" s="26" t="s">
        <v>41</v>
      </c>
      <c r="N26" s="34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</row>
    <row r="27" spans="1:28" ht="14.4">
      <c r="A27" s="28" t="s">
        <v>21</v>
      </c>
      <c r="B27" s="26" t="s">
        <v>49</v>
      </c>
      <c r="C27" s="26" t="s">
        <v>233</v>
      </c>
      <c r="D27" s="29" t="s">
        <v>298</v>
      </c>
      <c r="E27" s="26" t="s">
        <v>54</v>
      </c>
      <c r="F27" s="26" t="s">
        <v>307</v>
      </c>
      <c r="G27" s="26" t="s">
        <v>309</v>
      </c>
      <c r="H27" s="26" t="s">
        <v>224</v>
      </c>
      <c r="I27" s="26" t="s">
        <v>311</v>
      </c>
      <c r="J27" s="26" t="s">
        <v>312</v>
      </c>
      <c r="K27" s="26" t="s">
        <v>224</v>
      </c>
      <c r="L27" s="26" t="s">
        <v>62</v>
      </c>
      <c r="M27" s="26" t="s">
        <v>41</v>
      </c>
      <c r="N27" s="34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</row>
    <row r="28" spans="1:28" ht="14.4">
      <c r="A28" s="28" t="s">
        <v>21</v>
      </c>
      <c r="B28" s="26" t="s">
        <v>49</v>
      </c>
      <c r="C28" s="26" t="s">
        <v>233</v>
      </c>
      <c r="D28" s="29" t="s">
        <v>298</v>
      </c>
      <c r="E28" s="26" t="s">
        <v>54</v>
      </c>
      <c r="F28" s="26" t="s">
        <v>315</v>
      </c>
      <c r="G28" s="26" t="s">
        <v>316</v>
      </c>
      <c r="H28" s="26" t="s">
        <v>224</v>
      </c>
      <c r="I28" s="26" t="s">
        <v>311</v>
      </c>
      <c r="J28" s="26" t="s">
        <v>317</v>
      </c>
      <c r="K28" s="26" t="s">
        <v>318</v>
      </c>
      <c r="L28" s="26" t="s">
        <v>62</v>
      </c>
      <c r="M28" s="26" t="s">
        <v>41</v>
      </c>
      <c r="N28" s="34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</row>
    <row r="29" spans="1:28" ht="14.4">
      <c r="A29" s="37" t="s">
        <v>21</v>
      </c>
      <c r="B29" s="67" t="s">
        <v>49</v>
      </c>
      <c r="C29" s="26" t="s">
        <v>233</v>
      </c>
      <c r="D29" s="29" t="s">
        <v>298</v>
      </c>
      <c r="E29" s="67" t="s">
        <v>54</v>
      </c>
      <c r="F29" s="67" t="s">
        <v>324</v>
      </c>
      <c r="G29" s="67" t="s">
        <v>325</v>
      </c>
      <c r="H29" s="67" t="s">
        <v>326</v>
      </c>
      <c r="I29" s="67" t="s">
        <v>327</v>
      </c>
      <c r="J29" s="67" t="s">
        <v>328</v>
      </c>
      <c r="K29" s="67" t="s">
        <v>326</v>
      </c>
      <c r="L29" s="26" t="s">
        <v>62</v>
      </c>
      <c r="M29" s="26" t="s">
        <v>41</v>
      </c>
      <c r="N29" s="69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</row>
    <row r="30" spans="1:28" ht="14.4">
      <c r="A30" s="28" t="s">
        <v>21</v>
      </c>
      <c r="B30" s="26" t="s">
        <v>49</v>
      </c>
      <c r="C30" s="26" t="s">
        <v>296</v>
      </c>
      <c r="D30" s="73">
        <v>33508</v>
      </c>
      <c r="E30" s="26" t="s">
        <v>54</v>
      </c>
      <c r="F30" s="31" t="s">
        <v>333</v>
      </c>
      <c r="G30" s="26" t="s">
        <v>334</v>
      </c>
      <c r="H30" s="26" t="s">
        <v>303</v>
      </c>
      <c r="I30" s="26" t="s">
        <v>335</v>
      </c>
      <c r="J30" s="26" t="s">
        <v>336</v>
      </c>
      <c r="K30" s="26"/>
      <c r="L30" s="26" t="s">
        <v>62</v>
      </c>
      <c r="M30" s="26" t="s">
        <v>41</v>
      </c>
      <c r="N30" s="34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</row>
    <row r="31" spans="1:28" ht="14.4">
      <c r="A31" s="28" t="s">
        <v>21</v>
      </c>
      <c r="B31" s="26" t="s">
        <v>49</v>
      </c>
      <c r="C31" s="26" t="s">
        <v>306</v>
      </c>
      <c r="D31" s="34" t="s">
        <v>341</v>
      </c>
      <c r="E31" s="26" t="s">
        <v>54</v>
      </c>
      <c r="F31" s="79" t="s">
        <v>343</v>
      </c>
      <c r="G31" s="26"/>
      <c r="H31" s="26" t="s">
        <v>205</v>
      </c>
      <c r="I31" s="26" t="s">
        <v>344</v>
      </c>
      <c r="J31" s="26"/>
      <c r="K31" s="26" t="s">
        <v>205</v>
      </c>
      <c r="L31" s="26" t="s">
        <v>62</v>
      </c>
      <c r="M31" s="26" t="s">
        <v>41</v>
      </c>
      <c r="N31" s="34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</row>
    <row r="32" spans="1:28" ht="14.4">
      <c r="A32" s="28" t="s">
        <v>21</v>
      </c>
      <c r="B32" s="26" t="s">
        <v>49</v>
      </c>
      <c r="C32" s="26" t="s">
        <v>306</v>
      </c>
      <c r="D32" s="34" t="s">
        <v>341</v>
      </c>
      <c r="E32" s="26" t="s">
        <v>54</v>
      </c>
      <c r="F32" s="31" t="s">
        <v>348</v>
      </c>
      <c r="G32" s="26"/>
      <c r="H32" s="26" t="s">
        <v>349</v>
      </c>
      <c r="I32" s="26" t="s">
        <v>327</v>
      </c>
      <c r="J32" s="26"/>
      <c r="K32" s="26" t="s">
        <v>349</v>
      </c>
      <c r="L32" s="26" t="s">
        <v>62</v>
      </c>
      <c r="M32" s="26" t="s">
        <v>41</v>
      </c>
      <c r="N32" s="34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</row>
    <row r="33" spans="1:28" ht="14.4">
      <c r="A33" s="28" t="s">
        <v>21</v>
      </c>
      <c r="B33" s="26" t="s">
        <v>49</v>
      </c>
      <c r="C33" s="26" t="s">
        <v>306</v>
      </c>
      <c r="D33" s="34" t="s">
        <v>341</v>
      </c>
      <c r="E33" s="26" t="s">
        <v>54</v>
      </c>
      <c r="F33" s="31" t="s">
        <v>351</v>
      </c>
      <c r="G33" s="26" t="s">
        <v>352</v>
      </c>
      <c r="H33" s="26" t="s">
        <v>154</v>
      </c>
      <c r="I33" s="26" t="s">
        <v>354</v>
      </c>
      <c r="J33" s="26" t="s">
        <v>62</v>
      </c>
      <c r="K33" s="26" t="s">
        <v>154</v>
      </c>
      <c r="L33" s="26" t="s">
        <v>62</v>
      </c>
      <c r="M33" s="26" t="s">
        <v>41</v>
      </c>
      <c r="N33" s="34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</row>
    <row r="34" spans="1:28" ht="14.4">
      <c r="A34" s="28" t="s">
        <v>21</v>
      </c>
      <c r="B34" s="26" t="s">
        <v>355</v>
      </c>
      <c r="C34" s="26" t="s">
        <v>51</v>
      </c>
      <c r="D34" s="29" t="s">
        <v>52</v>
      </c>
      <c r="E34" s="26" t="s">
        <v>54</v>
      </c>
      <c r="F34" s="31" t="s">
        <v>357</v>
      </c>
      <c r="G34" s="26" t="s">
        <v>358</v>
      </c>
      <c r="H34" s="26" t="s">
        <v>359</v>
      </c>
      <c r="I34" s="26" t="s">
        <v>360</v>
      </c>
      <c r="J34" s="26" t="s">
        <v>361</v>
      </c>
      <c r="K34" s="26" t="s">
        <v>362</v>
      </c>
      <c r="L34" s="26" t="s">
        <v>62</v>
      </c>
      <c r="M34" s="26" t="s">
        <v>41</v>
      </c>
      <c r="N34" s="34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</row>
    <row r="35" spans="1:28" ht="14.4">
      <c r="A35" s="28" t="s">
        <v>21</v>
      </c>
      <c r="B35" s="26" t="s">
        <v>355</v>
      </c>
      <c r="C35" s="26" t="s">
        <v>70</v>
      </c>
      <c r="D35" s="29" t="s">
        <v>71</v>
      </c>
      <c r="E35" s="26" t="s">
        <v>54</v>
      </c>
      <c r="F35" s="26" t="s">
        <v>357</v>
      </c>
      <c r="G35" s="26"/>
      <c r="H35" s="26" t="s">
        <v>359</v>
      </c>
      <c r="I35" s="26" t="s">
        <v>360</v>
      </c>
      <c r="J35" s="26" t="s">
        <v>365</v>
      </c>
      <c r="K35" s="26" t="s">
        <v>362</v>
      </c>
      <c r="L35" s="26" t="s">
        <v>62</v>
      </c>
      <c r="M35" s="26" t="s">
        <v>41</v>
      </c>
      <c r="N35" s="34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</row>
    <row r="36" spans="1:28" ht="14.4">
      <c r="A36" s="28" t="s">
        <v>21</v>
      </c>
      <c r="B36" s="26" t="s">
        <v>355</v>
      </c>
      <c r="C36" s="26" t="s">
        <v>79</v>
      </c>
      <c r="D36" s="43" t="s">
        <v>80</v>
      </c>
      <c r="E36" s="26" t="s">
        <v>54</v>
      </c>
      <c r="F36" s="26" t="s">
        <v>367</v>
      </c>
      <c r="G36" s="26" t="s">
        <v>368</v>
      </c>
      <c r="H36" s="26" t="s">
        <v>369</v>
      </c>
      <c r="I36" s="26" t="s">
        <v>360</v>
      </c>
      <c r="J36" s="26" t="s">
        <v>371</v>
      </c>
      <c r="K36" s="26" t="s">
        <v>362</v>
      </c>
      <c r="L36" s="26" t="s">
        <v>62</v>
      </c>
      <c r="M36" s="26" t="s">
        <v>41</v>
      </c>
      <c r="N36" s="34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</row>
    <row r="37" spans="1:28" ht="14.4">
      <c r="A37" s="28" t="s">
        <v>21</v>
      </c>
      <c r="B37" s="26" t="s">
        <v>355</v>
      </c>
      <c r="C37" s="26" t="s">
        <v>85</v>
      </c>
      <c r="D37" s="28" t="s">
        <v>86</v>
      </c>
      <c r="E37" s="26" t="s">
        <v>54</v>
      </c>
      <c r="F37" s="26" t="s">
        <v>377</v>
      </c>
      <c r="G37" s="26" t="s">
        <v>379</v>
      </c>
      <c r="H37" s="87" t="s">
        <v>382</v>
      </c>
      <c r="I37" s="26" t="s">
        <v>384</v>
      </c>
      <c r="J37" s="26" t="s">
        <v>386</v>
      </c>
      <c r="K37" s="87" t="s">
        <v>387</v>
      </c>
      <c r="L37" s="26" t="s">
        <v>62</v>
      </c>
      <c r="M37" s="26" t="s">
        <v>41</v>
      </c>
      <c r="N37" s="34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</row>
    <row r="38" spans="1:28" ht="14.4">
      <c r="A38" s="28" t="s">
        <v>21</v>
      </c>
      <c r="B38" s="26" t="s">
        <v>355</v>
      </c>
      <c r="C38" s="26" t="s">
        <v>85</v>
      </c>
      <c r="D38" s="28" t="s">
        <v>86</v>
      </c>
      <c r="E38" s="26" t="s">
        <v>54</v>
      </c>
      <c r="F38" s="26" t="s">
        <v>388</v>
      </c>
      <c r="G38" s="26" t="s">
        <v>389</v>
      </c>
      <c r="H38" s="87" t="s">
        <v>390</v>
      </c>
      <c r="I38" s="26" t="s">
        <v>391</v>
      </c>
      <c r="J38" s="26" t="s">
        <v>386</v>
      </c>
      <c r="K38" s="26" t="s">
        <v>47</v>
      </c>
      <c r="L38" s="26" t="s">
        <v>62</v>
      </c>
      <c r="M38" s="26" t="s">
        <v>41</v>
      </c>
      <c r="N38" s="34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</row>
    <row r="39" spans="1:28" ht="14.4">
      <c r="A39" s="28" t="s">
        <v>21</v>
      </c>
      <c r="B39" s="26" t="s">
        <v>355</v>
      </c>
      <c r="C39" s="26" t="s">
        <v>85</v>
      </c>
      <c r="D39" s="28" t="s">
        <v>86</v>
      </c>
      <c r="E39" s="26" t="s">
        <v>54</v>
      </c>
      <c r="F39" s="26" t="s">
        <v>393</v>
      </c>
      <c r="G39" s="26" t="s">
        <v>394</v>
      </c>
      <c r="H39" s="26" t="s">
        <v>396</v>
      </c>
      <c r="I39" s="26" t="s">
        <v>397</v>
      </c>
      <c r="J39" s="26" t="s">
        <v>386</v>
      </c>
      <c r="K39" s="26" t="s">
        <v>398</v>
      </c>
      <c r="L39" s="26" t="s">
        <v>62</v>
      </c>
      <c r="M39" s="26" t="s">
        <v>41</v>
      </c>
      <c r="N39" s="34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</row>
    <row r="40" spans="1:28" ht="14.4">
      <c r="A40" s="28" t="s">
        <v>21</v>
      </c>
      <c r="B40" s="26" t="s">
        <v>355</v>
      </c>
      <c r="C40" s="26" t="s">
        <v>85</v>
      </c>
      <c r="D40" s="28" t="s">
        <v>86</v>
      </c>
      <c r="E40" s="26" t="s">
        <v>54</v>
      </c>
      <c r="F40" s="26" t="s">
        <v>399</v>
      </c>
      <c r="G40" s="26" t="s">
        <v>400</v>
      </c>
      <c r="H40" s="87" t="s">
        <v>401</v>
      </c>
      <c r="I40" s="26" t="s">
        <v>397</v>
      </c>
      <c r="J40" s="26" t="s">
        <v>386</v>
      </c>
      <c r="K40" s="26" t="s">
        <v>402</v>
      </c>
      <c r="L40" s="26" t="s">
        <v>62</v>
      </c>
      <c r="M40" s="26" t="s">
        <v>41</v>
      </c>
      <c r="N40" s="34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</row>
    <row r="41" spans="1:28" ht="14.4">
      <c r="A41" s="28" t="s">
        <v>21</v>
      </c>
      <c r="B41" s="26" t="s">
        <v>355</v>
      </c>
      <c r="C41" s="26" t="s">
        <v>85</v>
      </c>
      <c r="D41" s="28" t="s">
        <v>86</v>
      </c>
      <c r="E41" s="26" t="s">
        <v>54</v>
      </c>
      <c r="F41" s="26" t="s">
        <v>404</v>
      </c>
      <c r="G41" s="26" t="s">
        <v>405</v>
      </c>
      <c r="H41" s="26" t="s">
        <v>396</v>
      </c>
      <c r="I41" s="26" t="s">
        <v>397</v>
      </c>
      <c r="J41" s="26" t="s">
        <v>386</v>
      </c>
      <c r="K41" s="26" t="s">
        <v>396</v>
      </c>
      <c r="L41" s="26" t="s">
        <v>62</v>
      </c>
      <c r="M41" s="26" t="s">
        <v>41</v>
      </c>
      <c r="N41" s="34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</row>
    <row r="42" spans="1:28" ht="14.4">
      <c r="A42" s="28" t="s">
        <v>21</v>
      </c>
      <c r="B42" s="26" t="s">
        <v>355</v>
      </c>
      <c r="C42" s="26" t="s">
        <v>85</v>
      </c>
      <c r="D42" s="28" t="s">
        <v>86</v>
      </c>
      <c r="E42" s="26" t="s">
        <v>54</v>
      </c>
      <c r="F42" s="26" t="s">
        <v>408</v>
      </c>
      <c r="G42" s="26" t="s">
        <v>409</v>
      </c>
      <c r="H42" s="87" t="s">
        <v>410</v>
      </c>
      <c r="I42" s="26" t="s">
        <v>397</v>
      </c>
      <c r="J42" s="26" t="s">
        <v>386</v>
      </c>
      <c r="K42" s="26" t="s">
        <v>412</v>
      </c>
      <c r="L42" s="26" t="s">
        <v>62</v>
      </c>
      <c r="M42" s="26" t="s">
        <v>41</v>
      </c>
      <c r="N42" s="34" t="s">
        <v>413</v>
      </c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</row>
    <row r="43" spans="1:28" ht="14.4">
      <c r="A43" s="28" t="s">
        <v>21</v>
      </c>
      <c r="B43" s="26" t="s">
        <v>355</v>
      </c>
      <c r="C43" s="26" t="s">
        <v>85</v>
      </c>
      <c r="D43" s="28" t="s">
        <v>86</v>
      </c>
      <c r="E43" s="26" t="s">
        <v>54</v>
      </c>
      <c r="F43" s="26" t="s">
        <v>417</v>
      </c>
      <c r="G43" s="26" t="s">
        <v>418</v>
      </c>
      <c r="H43" s="87" t="s">
        <v>419</v>
      </c>
      <c r="I43" s="89" t="s">
        <v>397</v>
      </c>
      <c r="J43" s="26" t="s">
        <v>386</v>
      </c>
      <c r="K43" s="87" t="s">
        <v>421</v>
      </c>
      <c r="L43" s="26" t="s">
        <v>62</v>
      </c>
      <c r="M43" s="26" t="s">
        <v>41</v>
      </c>
      <c r="N43" s="28" t="s">
        <v>423</v>
      </c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</row>
    <row r="44" spans="1:28" ht="14.4">
      <c r="A44" s="28" t="s">
        <v>21</v>
      </c>
      <c r="B44" s="26" t="s">
        <v>355</v>
      </c>
      <c r="C44" s="26" t="s">
        <v>85</v>
      </c>
      <c r="D44" s="28" t="s">
        <v>86</v>
      </c>
      <c r="E44" s="26" t="s">
        <v>54</v>
      </c>
      <c r="F44" s="26" t="s">
        <v>427</v>
      </c>
      <c r="G44" s="26" t="s">
        <v>428</v>
      </c>
      <c r="H44" s="26" t="s">
        <v>429</v>
      </c>
      <c r="I44" s="26" t="s">
        <v>430</v>
      </c>
      <c r="J44" s="26" t="s">
        <v>386</v>
      </c>
      <c r="K44" s="26" t="s">
        <v>431</v>
      </c>
      <c r="L44" s="26" t="s">
        <v>62</v>
      </c>
      <c r="M44" s="26" t="s">
        <v>41</v>
      </c>
      <c r="N44" s="34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</row>
    <row r="45" spans="1:28" ht="14.4">
      <c r="A45" s="28" t="s">
        <v>21</v>
      </c>
      <c r="B45" s="26" t="s">
        <v>355</v>
      </c>
      <c r="C45" s="26" t="s">
        <v>85</v>
      </c>
      <c r="D45" s="28" t="s">
        <v>86</v>
      </c>
      <c r="E45" s="26" t="s">
        <v>54</v>
      </c>
      <c r="F45" s="26" t="s">
        <v>436</v>
      </c>
      <c r="G45" s="26" t="s">
        <v>437</v>
      </c>
      <c r="H45" s="26" t="s">
        <v>439</v>
      </c>
      <c r="I45" s="26" t="s">
        <v>440</v>
      </c>
      <c r="J45" s="26" t="s">
        <v>386</v>
      </c>
      <c r="K45" s="87" t="s">
        <v>441</v>
      </c>
      <c r="L45" s="26" t="s">
        <v>62</v>
      </c>
      <c r="M45" s="26" t="s">
        <v>41</v>
      </c>
      <c r="N45" s="34" t="s">
        <v>423</v>
      </c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</row>
    <row r="46" spans="1:28" ht="14.4">
      <c r="A46" s="28" t="s">
        <v>21</v>
      </c>
      <c r="B46" s="26" t="s">
        <v>355</v>
      </c>
      <c r="C46" s="26" t="s">
        <v>85</v>
      </c>
      <c r="D46" s="28" t="s">
        <v>86</v>
      </c>
      <c r="E46" s="26" t="s">
        <v>54</v>
      </c>
      <c r="F46" s="26" t="s">
        <v>443</v>
      </c>
      <c r="G46" s="26" t="s">
        <v>444</v>
      </c>
      <c r="H46" s="87" t="s">
        <v>446</v>
      </c>
      <c r="I46" s="87" t="s">
        <v>448</v>
      </c>
      <c r="J46" s="26" t="s">
        <v>386</v>
      </c>
      <c r="K46" s="26" t="s">
        <v>450</v>
      </c>
      <c r="L46" s="26" t="s">
        <v>62</v>
      </c>
      <c r="M46" s="26" t="s">
        <v>41</v>
      </c>
      <c r="N46" s="34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</row>
    <row r="47" spans="1:28" ht="14.4">
      <c r="A47" s="28" t="s">
        <v>21</v>
      </c>
      <c r="B47" s="26" t="s">
        <v>355</v>
      </c>
      <c r="C47" s="26" t="s">
        <v>85</v>
      </c>
      <c r="D47" s="28" t="s">
        <v>86</v>
      </c>
      <c r="E47" s="26" t="s">
        <v>54</v>
      </c>
      <c r="F47" s="26" t="s">
        <v>453</v>
      </c>
      <c r="G47" s="26" t="s">
        <v>454</v>
      </c>
      <c r="H47" s="87" t="s">
        <v>456</v>
      </c>
      <c r="I47" s="90" t="s">
        <v>457</v>
      </c>
      <c r="J47" s="26" t="s">
        <v>386</v>
      </c>
      <c r="K47" s="26" t="s">
        <v>458</v>
      </c>
      <c r="L47" s="26" t="s">
        <v>62</v>
      </c>
      <c r="M47" s="26" t="s">
        <v>41</v>
      </c>
      <c r="N47" s="28" t="s">
        <v>459</v>
      </c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</row>
    <row r="48" spans="1:28" ht="14.4">
      <c r="A48" s="28" t="s">
        <v>21</v>
      </c>
      <c r="B48" s="26" t="s">
        <v>355</v>
      </c>
      <c r="C48" s="26" t="s">
        <v>85</v>
      </c>
      <c r="D48" s="28" t="s">
        <v>86</v>
      </c>
      <c r="E48" s="26" t="s">
        <v>54</v>
      </c>
      <c r="F48" s="26" t="s">
        <v>462</v>
      </c>
      <c r="G48" s="26" t="s">
        <v>464</v>
      </c>
      <c r="H48" s="91" t="s">
        <v>467</v>
      </c>
      <c r="I48" s="26" t="s">
        <v>468</v>
      </c>
      <c r="J48" s="26" t="s">
        <v>386</v>
      </c>
      <c r="K48" s="91" t="s">
        <v>469</v>
      </c>
      <c r="L48" s="26" t="s">
        <v>62</v>
      </c>
      <c r="M48" s="26" t="s">
        <v>41</v>
      </c>
      <c r="N48" s="34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</row>
    <row r="49" spans="1:28" ht="14.4">
      <c r="A49" s="28" t="s">
        <v>21</v>
      </c>
      <c r="B49" s="26" t="s">
        <v>355</v>
      </c>
      <c r="C49" s="26" t="s">
        <v>85</v>
      </c>
      <c r="D49" s="28" t="s">
        <v>86</v>
      </c>
      <c r="E49" s="26" t="s">
        <v>54</v>
      </c>
      <c r="F49" s="26" t="s">
        <v>471</v>
      </c>
      <c r="G49" s="26" t="s">
        <v>472</v>
      </c>
      <c r="H49" s="26" t="s">
        <v>473</v>
      </c>
      <c r="I49" s="26" t="s">
        <v>474</v>
      </c>
      <c r="J49" s="26" t="s">
        <v>386</v>
      </c>
      <c r="K49" s="26" t="s">
        <v>475</v>
      </c>
      <c r="L49" s="26" t="s">
        <v>62</v>
      </c>
      <c r="M49" s="26" t="s">
        <v>41</v>
      </c>
      <c r="N49" s="28" t="s">
        <v>423</v>
      </c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</row>
    <row r="50" spans="1:28" ht="14.4">
      <c r="A50" s="28" t="s">
        <v>21</v>
      </c>
      <c r="B50" s="26" t="s">
        <v>355</v>
      </c>
      <c r="C50" s="26" t="s">
        <v>85</v>
      </c>
      <c r="D50" s="28" t="s">
        <v>86</v>
      </c>
      <c r="E50" s="26" t="s">
        <v>54</v>
      </c>
      <c r="F50" s="26" t="s">
        <v>477</v>
      </c>
      <c r="G50" s="26" t="s">
        <v>478</v>
      </c>
      <c r="H50" s="26" t="s">
        <v>479</v>
      </c>
      <c r="I50" s="26" t="s">
        <v>480</v>
      </c>
      <c r="J50" s="26" t="s">
        <v>386</v>
      </c>
      <c r="K50" s="26" t="s">
        <v>479</v>
      </c>
      <c r="L50" s="26" t="s">
        <v>62</v>
      </c>
      <c r="M50" s="26" t="s">
        <v>41</v>
      </c>
      <c r="N50" s="28" t="s">
        <v>481</v>
      </c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</row>
    <row r="51" spans="1:28" ht="14.4">
      <c r="A51" s="28" t="s">
        <v>21</v>
      </c>
      <c r="B51" s="26" t="s">
        <v>355</v>
      </c>
      <c r="C51" s="26" t="s">
        <v>220</v>
      </c>
      <c r="D51" s="57" t="s">
        <v>234</v>
      </c>
      <c r="E51" s="26" t="s">
        <v>54</v>
      </c>
      <c r="F51" s="26" t="s">
        <v>485</v>
      </c>
      <c r="G51" s="26" t="s">
        <v>486</v>
      </c>
      <c r="H51" s="91" t="s">
        <v>487</v>
      </c>
      <c r="I51" s="26" t="s">
        <v>474</v>
      </c>
      <c r="J51" s="26" t="s">
        <v>488</v>
      </c>
      <c r="K51" s="91" t="s">
        <v>487</v>
      </c>
      <c r="L51" s="26" t="s">
        <v>62</v>
      </c>
      <c r="M51" s="26" t="s">
        <v>41</v>
      </c>
      <c r="N51" s="28" t="s">
        <v>423</v>
      </c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</row>
    <row r="52" spans="1:28" ht="14.4">
      <c r="A52" s="28" t="s">
        <v>21</v>
      </c>
      <c r="B52" s="26" t="s">
        <v>355</v>
      </c>
      <c r="C52" s="26" t="s">
        <v>220</v>
      </c>
      <c r="D52" s="57" t="s">
        <v>234</v>
      </c>
      <c r="E52" s="26" t="s">
        <v>54</v>
      </c>
      <c r="F52" s="26" t="s">
        <v>489</v>
      </c>
      <c r="G52" s="26" t="s">
        <v>490</v>
      </c>
      <c r="H52" s="91" t="s">
        <v>492</v>
      </c>
      <c r="I52" s="26" t="s">
        <v>440</v>
      </c>
      <c r="J52" s="26" t="s">
        <v>488</v>
      </c>
      <c r="K52" s="91" t="s">
        <v>494</v>
      </c>
      <c r="L52" s="26" t="s">
        <v>62</v>
      </c>
      <c r="M52" s="26" t="s">
        <v>41</v>
      </c>
      <c r="N52" s="2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</row>
    <row r="53" spans="1:28" ht="14.4">
      <c r="A53" s="28" t="s">
        <v>21</v>
      </c>
      <c r="B53" s="26" t="s">
        <v>355</v>
      </c>
      <c r="C53" s="26" t="s">
        <v>220</v>
      </c>
      <c r="D53" s="57" t="s">
        <v>234</v>
      </c>
      <c r="E53" s="26" t="s">
        <v>54</v>
      </c>
      <c r="F53" s="26" t="s">
        <v>498</v>
      </c>
      <c r="G53" s="26" t="s">
        <v>500</v>
      </c>
      <c r="H53" s="26" t="s">
        <v>479</v>
      </c>
      <c r="I53" s="26" t="s">
        <v>480</v>
      </c>
      <c r="J53" s="26" t="s">
        <v>488</v>
      </c>
      <c r="K53" s="91" t="s">
        <v>502</v>
      </c>
      <c r="L53" s="26" t="s">
        <v>62</v>
      </c>
      <c r="M53" s="26" t="s">
        <v>41</v>
      </c>
      <c r="N53" s="2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</row>
    <row r="54" spans="1:28" ht="14.4">
      <c r="A54" s="28" t="s">
        <v>21</v>
      </c>
      <c r="B54" s="26" t="s">
        <v>355</v>
      </c>
      <c r="C54" s="26" t="s">
        <v>220</v>
      </c>
      <c r="D54" s="57" t="s">
        <v>234</v>
      </c>
      <c r="E54" s="26" t="s">
        <v>54</v>
      </c>
      <c r="F54" s="26" t="s">
        <v>503</v>
      </c>
      <c r="G54" s="26" t="s">
        <v>504</v>
      </c>
      <c r="H54" s="91" t="s">
        <v>505</v>
      </c>
      <c r="I54" s="26" t="s">
        <v>506</v>
      </c>
      <c r="J54" s="26" t="s">
        <v>488</v>
      </c>
      <c r="K54" s="91" t="s">
        <v>508</v>
      </c>
      <c r="L54" s="26" t="s">
        <v>62</v>
      </c>
      <c r="M54" s="26" t="s">
        <v>41</v>
      </c>
      <c r="N54" s="28" t="s">
        <v>423</v>
      </c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</row>
    <row r="55" spans="1:28" ht="14.4">
      <c r="A55" s="28" t="s">
        <v>21</v>
      </c>
      <c r="B55" s="26" t="s">
        <v>355</v>
      </c>
      <c r="C55" s="26" t="s">
        <v>220</v>
      </c>
      <c r="D55" s="57" t="s">
        <v>234</v>
      </c>
      <c r="E55" s="26" t="s">
        <v>54</v>
      </c>
      <c r="F55" s="26" t="s">
        <v>512</v>
      </c>
      <c r="G55" s="26" t="s">
        <v>513</v>
      </c>
      <c r="H55" s="91" t="s">
        <v>505</v>
      </c>
      <c r="I55" s="26" t="s">
        <v>506</v>
      </c>
      <c r="J55" s="26" t="s">
        <v>488</v>
      </c>
      <c r="K55" s="91" t="s">
        <v>514</v>
      </c>
      <c r="L55" s="26" t="s">
        <v>62</v>
      </c>
      <c r="M55" s="26" t="s">
        <v>41</v>
      </c>
      <c r="N55" s="28" t="s">
        <v>423</v>
      </c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</row>
    <row r="56" spans="1:28" ht="14.4">
      <c r="A56" s="28" t="s">
        <v>21</v>
      </c>
      <c r="B56" s="26" t="s">
        <v>355</v>
      </c>
      <c r="C56" s="26" t="s">
        <v>233</v>
      </c>
      <c r="D56" s="29" t="s">
        <v>298</v>
      </c>
      <c r="E56" s="26" t="s">
        <v>54</v>
      </c>
      <c r="F56" s="26" t="s">
        <v>518</v>
      </c>
      <c r="G56" s="26" t="s">
        <v>519</v>
      </c>
      <c r="H56" s="91" t="s">
        <v>520</v>
      </c>
      <c r="I56" s="26" t="s">
        <v>521</v>
      </c>
      <c r="J56" s="26" t="s">
        <v>523</v>
      </c>
      <c r="K56" s="91" t="s">
        <v>520</v>
      </c>
      <c r="L56" s="26" t="s">
        <v>62</v>
      </c>
      <c r="M56" s="26" t="s">
        <v>41</v>
      </c>
      <c r="N56" s="34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</row>
    <row r="57" spans="1:28" ht="14.4">
      <c r="A57" s="28" t="s">
        <v>21</v>
      </c>
      <c r="B57" s="26" t="s">
        <v>355</v>
      </c>
      <c r="C57" s="26" t="s">
        <v>233</v>
      </c>
      <c r="D57" s="29" t="s">
        <v>298</v>
      </c>
      <c r="E57" s="26" t="s">
        <v>54</v>
      </c>
      <c r="F57" s="26" t="s">
        <v>530</v>
      </c>
      <c r="G57" s="26" t="s">
        <v>531</v>
      </c>
      <c r="H57" s="91" t="s">
        <v>533</v>
      </c>
      <c r="I57" s="26" t="s">
        <v>430</v>
      </c>
      <c r="J57" s="26" t="s">
        <v>523</v>
      </c>
      <c r="K57" s="91" t="s">
        <v>533</v>
      </c>
      <c r="L57" s="26" t="s">
        <v>62</v>
      </c>
      <c r="M57" s="26" t="s">
        <v>41</v>
      </c>
      <c r="N57" s="34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</row>
    <row r="58" spans="1:28" ht="14.4">
      <c r="A58" s="28" t="s">
        <v>21</v>
      </c>
      <c r="B58" s="26" t="s">
        <v>355</v>
      </c>
      <c r="C58" s="26" t="s">
        <v>233</v>
      </c>
      <c r="D58" s="29" t="s">
        <v>298</v>
      </c>
      <c r="E58" s="26" t="s">
        <v>54</v>
      </c>
      <c r="F58" s="26" t="s">
        <v>538</v>
      </c>
      <c r="G58" s="26" t="s">
        <v>539</v>
      </c>
      <c r="H58" s="91" t="s">
        <v>540</v>
      </c>
      <c r="I58" s="26" t="s">
        <v>480</v>
      </c>
      <c r="J58" s="26" t="s">
        <v>523</v>
      </c>
      <c r="K58" s="91" t="s">
        <v>540</v>
      </c>
      <c r="L58" s="26" t="s">
        <v>62</v>
      </c>
      <c r="M58" s="26" t="s">
        <v>41</v>
      </c>
      <c r="N58" s="34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</row>
    <row r="59" spans="1:28" ht="14.4">
      <c r="A59" s="28" t="s">
        <v>21</v>
      </c>
      <c r="B59" s="26" t="s">
        <v>355</v>
      </c>
      <c r="C59" s="26" t="s">
        <v>275</v>
      </c>
      <c r="D59" s="28" t="s">
        <v>543</v>
      </c>
      <c r="E59" s="26" t="s">
        <v>54</v>
      </c>
      <c r="F59" s="31" t="s">
        <v>544</v>
      </c>
      <c r="G59" s="26" t="s">
        <v>545</v>
      </c>
      <c r="H59" s="26" t="s">
        <v>396</v>
      </c>
      <c r="I59" s="26" t="s">
        <v>397</v>
      </c>
      <c r="J59" s="94">
        <v>44900</v>
      </c>
      <c r="K59" s="26" t="s">
        <v>396</v>
      </c>
      <c r="L59" s="26" t="s">
        <v>62</v>
      </c>
      <c r="M59" s="26" t="s">
        <v>41</v>
      </c>
      <c r="N59" s="34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</row>
    <row r="60" spans="1:28" ht="14.4">
      <c r="A60" s="28" t="s">
        <v>21</v>
      </c>
      <c r="B60" s="26" t="s">
        <v>355</v>
      </c>
      <c r="C60" s="26" t="s">
        <v>233</v>
      </c>
      <c r="D60" s="29" t="s">
        <v>298</v>
      </c>
      <c r="E60" s="26" t="s">
        <v>54</v>
      </c>
      <c r="F60" s="26" t="s">
        <v>552</v>
      </c>
      <c r="G60" s="26" t="s">
        <v>554</v>
      </c>
      <c r="H60" s="91" t="s">
        <v>555</v>
      </c>
      <c r="I60" s="26" t="s">
        <v>557</v>
      </c>
      <c r="J60" s="26" t="s">
        <v>558</v>
      </c>
      <c r="K60" s="26" t="s">
        <v>559</v>
      </c>
      <c r="L60" s="26" t="s">
        <v>62</v>
      </c>
      <c r="M60" s="26" t="s">
        <v>41</v>
      </c>
      <c r="N60" s="34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</row>
    <row r="61" spans="1:28" ht="14.4">
      <c r="A61" s="28" t="s">
        <v>21</v>
      </c>
      <c r="B61" s="26" t="s">
        <v>355</v>
      </c>
      <c r="C61" s="26" t="s">
        <v>296</v>
      </c>
      <c r="D61" s="73">
        <v>33508</v>
      </c>
      <c r="E61" s="26" t="s">
        <v>54</v>
      </c>
      <c r="F61" s="95" t="s">
        <v>560</v>
      </c>
      <c r="G61" s="26"/>
      <c r="H61" s="26" t="s">
        <v>303</v>
      </c>
      <c r="I61" s="26" t="s">
        <v>335</v>
      </c>
      <c r="J61" s="26" t="s">
        <v>336</v>
      </c>
      <c r="K61" s="26"/>
      <c r="L61" s="26" t="s">
        <v>62</v>
      </c>
      <c r="M61" s="26" t="s">
        <v>41</v>
      </c>
      <c r="N61" s="34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</row>
    <row r="62" spans="1:28" ht="14.4">
      <c r="A62" s="28" t="s">
        <v>21</v>
      </c>
      <c r="B62" s="26" t="s">
        <v>564</v>
      </c>
      <c r="C62" s="26" t="s">
        <v>51</v>
      </c>
      <c r="D62" s="29" t="s">
        <v>52</v>
      </c>
      <c r="E62" s="26" t="s">
        <v>54</v>
      </c>
      <c r="F62" s="31" t="s">
        <v>565</v>
      </c>
      <c r="G62" s="26" t="s">
        <v>566</v>
      </c>
      <c r="H62" s="26" t="s">
        <v>226</v>
      </c>
      <c r="I62" s="26" t="s">
        <v>567</v>
      </c>
      <c r="J62" s="26" t="s">
        <v>568</v>
      </c>
      <c r="K62" s="26" t="s">
        <v>569</v>
      </c>
      <c r="L62" s="26" t="s">
        <v>62</v>
      </c>
      <c r="M62" s="26" t="s">
        <v>41</v>
      </c>
      <c r="N62" s="34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</row>
    <row r="63" spans="1:28" ht="14.4">
      <c r="A63" s="28" t="s">
        <v>21</v>
      </c>
      <c r="B63" s="26" t="s">
        <v>564</v>
      </c>
      <c r="C63" s="26" t="s">
        <v>70</v>
      </c>
      <c r="D63" s="29" t="s">
        <v>71</v>
      </c>
      <c r="E63" s="26" t="s">
        <v>54</v>
      </c>
      <c r="F63" s="26" t="s">
        <v>565</v>
      </c>
      <c r="G63" s="26"/>
      <c r="H63" s="26" t="s">
        <v>226</v>
      </c>
      <c r="I63" s="26" t="s">
        <v>567</v>
      </c>
      <c r="J63" s="26" t="s">
        <v>573</v>
      </c>
      <c r="K63" s="26" t="s">
        <v>569</v>
      </c>
      <c r="L63" s="26" t="s">
        <v>62</v>
      </c>
      <c r="M63" s="26" t="s">
        <v>41</v>
      </c>
      <c r="N63" s="34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</row>
    <row r="64" spans="1:28" ht="14.4">
      <c r="A64" s="28" t="s">
        <v>21</v>
      </c>
      <c r="B64" s="26" t="s">
        <v>564</v>
      </c>
      <c r="C64" s="26" t="s">
        <v>79</v>
      </c>
      <c r="D64" s="43" t="s">
        <v>80</v>
      </c>
      <c r="E64" s="26" t="s">
        <v>54</v>
      </c>
      <c r="F64" s="26" t="s">
        <v>574</v>
      </c>
      <c r="G64" s="26" t="s">
        <v>575</v>
      </c>
      <c r="H64" s="26" t="s">
        <v>226</v>
      </c>
      <c r="I64" s="26" t="s">
        <v>360</v>
      </c>
      <c r="J64" s="26" t="s">
        <v>576</v>
      </c>
      <c r="K64" s="26" t="s">
        <v>569</v>
      </c>
      <c r="L64" s="26" t="s">
        <v>62</v>
      </c>
      <c r="M64" s="26" t="s">
        <v>41</v>
      </c>
      <c r="N64" s="34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</row>
    <row r="65" spans="1:28" ht="14.4">
      <c r="A65" s="28" t="s">
        <v>21</v>
      </c>
      <c r="B65" s="26" t="s">
        <v>564</v>
      </c>
      <c r="C65" s="26" t="s">
        <v>85</v>
      </c>
      <c r="D65" s="28" t="s">
        <v>86</v>
      </c>
      <c r="E65" s="26" t="s">
        <v>54</v>
      </c>
      <c r="F65" s="26" t="s">
        <v>580</v>
      </c>
      <c r="G65" s="26" t="s">
        <v>581</v>
      </c>
      <c r="H65" s="26" t="s">
        <v>582</v>
      </c>
      <c r="I65" s="26" t="s">
        <v>457</v>
      </c>
      <c r="J65" s="26" t="s">
        <v>583</v>
      </c>
      <c r="K65" s="26"/>
      <c r="L65" s="26" t="s">
        <v>62</v>
      </c>
      <c r="M65" s="26" t="s">
        <v>41</v>
      </c>
      <c r="N65" s="34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</row>
    <row r="66" spans="1:28" ht="14.4">
      <c r="A66" s="28" t="s">
        <v>21</v>
      </c>
      <c r="B66" s="26" t="s">
        <v>564</v>
      </c>
      <c r="C66" s="26" t="s">
        <v>85</v>
      </c>
      <c r="D66" s="28" t="s">
        <v>86</v>
      </c>
      <c r="E66" s="26" t="s">
        <v>54</v>
      </c>
      <c r="F66" s="26" t="s">
        <v>584</v>
      </c>
      <c r="G66" s="26" t="s">
        <v>586</v>
      </c>
      <c r="H66" s="26" t="s">
        <v>582</v>
      </c>
      <c r="I66" s="26" t="s">
        <v>457</v>
      </c>
      <c r="J66" s="26" t="s">
        <v>583</v>
      </c>
      <c r="K66" s="26"/>
      <c r="L66" s="26" t="s">
        <v>62</v>
      </c>
      <c r="M66" s="26" t="s">
        <v>41</v>
      </c>
      <c r="N66" s="34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</row>
    <row r="67" spans="1:28" ht="14.4">
      <c r="A67" s="28" t="s">
        <v>21</v>
      </c>
      <c r="B67" s="26" t="s">
        <v>564</v>
      </c>
      <c r="C67" s="26" t="s">
        <v>85</v>
      </c>
      <c r="D67" s="28" t="s">
        <v>86</v>
      </c>
      <c r="E67" s="26" t="s">
        <v>54</v>
      </c>
      <c r="F67" s="26" t="s">
        <v>588</v>
      </c>
      <c r="G67" s="26" t="s">
        <v>589</v>
      </c>
      <c r="H67" s="26" t="s">
        <v>582</v>
      </c>
      <c r="I67" s="26" t="s">
        <v>457</v>
      </c>
      <c r="J67" s="26" t="s">
        <v>583</v>
      </c>
      <c r="K67" s="26"/>
      <c r="L67" s="26" t="s">
        <v>62</v>
      </c>
      <c r="M67" s="26" t="s">
        <v>41</v>
      </c>
      <c r="N67" s="34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</row>
    <row r="68" spans="1:28" ht="14.4">
      <c r="A68" s="28" t="s">
        <v>21</v>
      </c>
      <c r="B68" s="26" t="s">
        <v>564</v>
      </c>
      <c r="C68" s="26" t="s">
        <v>85</v>
      </c>
      <c r="D68" s="28" t="s">
        <v>86</v>
      </c>
      <c r="E68" s="26" t="s">
        <v>54</v>
      </c>
      <c r="F68" s="26" t="s">
        <v>593</v>
      </c>
      <c r="G68" s="26" t="s">
        <v>594</v>
      </c>
      <c r="H68" s="26" t="s">
        <v>582</v>
      </c>
      <c r="I68" s="26" t="s">
        <v>457</v>
      </c>
      <c r="J68" s="26" t="s">
        <v>583</v>
      </c>
      <c r="K68" s="26"/>
      <c r="L68" s="26" t="s">
        <v>62</v>
      </c>
      <c r="M68" s="26" t="s">
        <v>41</v>
      </c>
      <c r="N68" s="34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</row>
    <row r="69" spans="1:28" ht="14.4">
      <c r="A69" s="28" t="s">
        <v>21</v>
      </c>
      <c r="B69" s="26" t="s">
        <v>564</v>
      </c>
      <c r="C69" s="26" t="s">
        <v>85</v>
      </c>
      <c r="D69" s="28" t="s">
        <v>86</v>
      </c>
      <c r="E69" s="26" t="s">
        <v>54</v>
      </c>
      <c r="F69" s="26" t="s">
        <v>598</v>
      </c>
      <c r="G69" s="26" t="s">
        <v>599</v>
      </c>
      <c r="H69" s="26" t="s">
        <v>582</v>
      </c>
      <c r="I69" s="26" t="s">
        <v>457</v>
      </c>
      <c r="J69" s="26" t="s">
        <v>583</v>
      </c>
      <c r="K69" s="26"/>
      <c r="L69" s="26" t="s">
        <v>62</v>
      </c>
      <c r="M69" s="26" t="s">
        <v>41</v>
      </c>
      <c r="N69" s="34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</row>
    <row r="70" spans="1:28" ht="14.4">
      <c r="A70" s="28" t="s">
        <v>21</v>
      </c>
      <c r="B70" s="26" t="s">
        <v>564</v>
      </c>
      <c r="C70" s="26" t="s">
        <v>85</v>
      </c>
      <c r="D70" s="28" t="s">
        <v>86</v>
      </c>
      <c r="E70" s="26" t="s">
        <v>54</v>
      </c>
      <c r="F70" s="26" t="s">
        <v>601</v>
      </c>
      <c r="G70" s="26" t="s">
        <v>602</v>
      </c>
      <c r="H70" s="26" t="s">
        <v>582</v>
      </c>
      <c r="I70" s="26" t="s">
        <v>457</v>
      </c>
      <c r="J70" s="26" t="s">
        <v>583</v>
      </c>
      <c r="K70" s="26"/>
      <c r="L70" s="26" t="s">
        <v>62</v>
      </c>
      <c r="M70" s="26" t="s">
        <v>41</v>
      </c>
      <c r="N70" s="34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</row>
    <row r="71" spans="1:28" ht="14.4">
      <c r="A71" s="28" t="s">
        <v>21</v>
      </c>
      <c r="B71" s="26" t="s">
        <v>564</v>
      </c>
      <c r="C71" s="26" t="s">
        <v>85</v>
      </c>
      <c r="D71" s="28" t="s">
        <v>86</v>
      </c>
      <c r="E71" s="26" t="s">
        <v>54</v>
      </c>
      <c r="F71" s="26" t="s">
        <v>605</v>
      </c>
      <c r="G71" s="26" t="s">
        <v>606</v>
      </c>
      <c r="H71" s="26" t="s">
        <v>582</v>
      </c>
      <c r="I71" s="26" t="s">
        <v>457</v>
      </c>
      <c r="J71" s="26" t="s">
        <v>583</v>
      </c>
      <c r="K71" s="26"/>
      <c r="L71" s="26" t="s">
        <v>62</v>
      </c>
      <c r="M71" s="26" t="s">
        <v>41</v>
      </c>
      <c r="N71" s="34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</row>
    <row r="72" spans="1:28" ht="14.4">
      <c r="A72" s="28" t="s">
        <v>21</v>
      </c>
      <c r="B72" s="26" t="s">
        <v>564</v>
      </c>
      <c r="C72" s="26" t="s">
        <v>85</v>
      </c>
      <c r="D72" s="28" t="s">
        <v>86</v>
      </c>
      <c r="E72" s="26" t="s">
        <v>54</v>
      </c>
      <c r="F72" s="26" t="s">
        <v>608</v>
      </c>
      <c r="G72" s="26" t="s">
        <v>609</v>
      </c>
      <c r="H72" s="26" t="s">
        <v>582</v>
      </c>
      <c r="I72" s="26" t="s">
        <v>457</v>
      </c>
      <c r="J72" s="26" t="s">
        <v>583</v>
      </c>
      <c r="K72" s="26"/>
      <c r="L72" s="26" t="s">
        <v>62</v>
      </c>
      <c r="M72" s="26" t="s">
        <v>41</v>
      </c>
      <c r="N72" s="34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</row>
    <row r="73" spans="1:28" ht="14.4">
      <c r="A73" s="28" t="s">
        <v>21</v>
      </c>
      <c r="B73" s="26" t="s">
        <v>564</v>
      </c>
      <c r="C73" s="26" t="s">
        <v>85</v>
      </c>
      <c r="D73" s="28" t="s">
        <v>86</v>
      </c>
      <c r="E73" s="26" t="s">
        <v>54</v>
      </c>
      <c r="F73" s="26" t="s">
        <v>612</v>
      </c>
      <c r="G73" s="26" t="s">
        <v>613</v>
      </c>
      <c r="H73" s="26" t="s">
        <v>582</v>
      </c>
      <c r="I73" s="26" t="s">
        <v>457</v>
      </c>
      <c r="J73" s="26" t="s">
        <v>583</v>
      </c>
      <c r="K73" s="26"/>
      <c r="L73" s="26" t="s">
        <v>62</v>
      </c>
      <c r="M73" s="26" t="s">
        <v>41</v>
      </c>
      <c r="N73" s="34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</row>
    <row r="74" spans="1:28" ht="14.4">
      <c r="A74" s="28" t="s">
        <v>21</v>
      </c>
      <c r="B74" s="26" t="s">
        <v>564</v>
      </c>
      <c r="C74" s="26" t="s">
        <v>85</v>
      </c>
      <c r="D74" s="28" t="s">
        <v>86</v>
      </c>
      <c r="E74" s="26" t="s">
        <v>54</v>
      </c>
      <c r="F74" s="26" t="s">
        <v>615</v>
      </c>
      <c r="G74" s="26" t="s">
        <v>616</v>
      </c>
      <c r="H74" s="26" t="s">
        <v>582</v>
      </c>
      <c r="I74" s="26" t="s">
        <v>457</v>
      </c>
      <c r="J74" s="26" t="s">
        <v>583</v>
      </c>
      <c r="K74" s="26"/>
      <c r="L74" s="26" t="s">
        <v>62</v>
      </c>
      <c r="M74" s="26" t="s">
        <v>41</v>
      </c>
      <c r="N74" s="34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</row>
    <row r="75" spans="1:28" ht="14.4">
      <c r="A75" s="28" t="s">
        <v>21</v>
      </c>
      <c r="B75" s="26" t="s">
        <v>564</v>
      </c>
      <c r="C75" s="26" t="s">
        <v>85</v>
      </c>
      <c r="D75" s="28" t="s">
        <v>86</v>
      </c>
      <c r="E75" s="26" t="s">
        <v>54</v>
      </c>
      <c r="F75" s="26" t="s">
        <v>618</v>
      </c>
      <c r="G75" s="26" t="s">
        <v>620</v>
      </c>
      <c r="H75" s="26" t="s">
        <v>582</v>
      </c>
      <c r="I75" s="26" t="s">
        <v>457</v>
      </c>
      <c r="J75" s="26" t="s">
        <v>583</v>
      </c>
      <c r="K75" s="26"/>
      <c r="L75" s="26" t="s">
        <v>62</v>
      </c>
      <c r="M75" s="26" t="s">
        <v>41</v>
      </c>
      <c r="N75" s="34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</row>
    <row r="76" spans="1:28" ht="14.4">
      <c r="A76" s="28" t="s">
        <v>21</v>
      </c>
      <c r="B76" s="26" t="s">
        <v>564</v>
      </c>
      <c r="C76" s="26" t="s">
        <v>85</v>
      </c>
      <c r="D76" s="28" t="s">
        <v>86</v>
      </c>
      <c r="E76" s="26" t="s">
        <v>54</v>
      </c>
      <c r="F76" s="26" t="s">
        <v>624</v>
      </c>
      <c r="G76" s="26" t="s">
        <v>625</v>
      </c>
      <c r="H76" s="26" t="s">
        <v>582</v>
      </c>
      <c r="I76" s="26" t="s">
        <v>457</v>
      </c>
      <c r="J76" s="26" t="s">
        <v>583</v>
      </c>
      <c r="K76" s="26"/>
      <c r="L76" s="26" t="s">
        <v>62</v>
      </c>
      <c r="M76" s="26" t="s">
        <v>41</v>
      </c>
      <c r="N76" s="34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</row>
    <row r="77" spans="1:28" ht="14.4">
      <c r="A77" s="28" t="s">
        <v>21</v>
      </c>
      <c r="B77" s="26" t="s">
        <v>564</v>
      </c>
      <c r="C77" s="26" t="s">
        <v>85</v>
      </c>
      <c r="D77" s="28" t="s">
        <v>86</v>
      </c>
      <c r="E77" s="26" t="s">
        <v>54</v>
      </c>
      <c r="F77" s="26" t="s">
        <v>630</v>
      </c>
      <c r="G77" s="26" t="s">
        <v>631</v>
      </c>
      <c r="H77" s="26" t="s">
        <v>582</v>
      </c>
      <c r="I77" s="26" t="s">
        <v>457</v>
      </c>
      <c r="J77" s="26" t="s">
        <v>583</v>
      </c>
      <c r="K77" s="26"/>
      <c r="L77" s="26" t="s">
        <v>62</v>
      </c>
      <c r="M77" s="26" t="s">
        <v>41</v>
      </c>
      <c r="N77" s="34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</row>
    <row r="78" spans="1:28" ht="14.4">
      <c r="A78" s="28" t="s">
        <v>21</v>
      </c>
      <c r="B78" s="26" t="s">
        <v>564</v>
      </c>
      <c r="C78" s="26" t="s">
        <v>85</v>
      </c>
      <c r="D78" s="28" t="s">
        <v>86</v>
      </c>
      <c r="E78" s="26" t="s">
        <v>54</v>
      </c>
      <c r="F78" s="26" t="s">
        <v>632</v>
      </c>
      <c r="G78" s="26" t="s">
        <v>633</v>
      </c>
      <c r="H78" s="26" t="s">
        <v>582</v>
      </c>
      <c r="I78" s="26" t="s">
        <v>457</v>
      </c>
      <c r="J78" s="26" t="s">
        <v>583</v>
      </c>
      <c r="K78" s="26"/>
      <c r="L78" s="26" t="s">
        <v>62</v>
      </c>
      <c r="M78" s="26" t="s">
        <v>41</v>
      </c>
      <c r="N78" s="34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</row>
    <row r="79" spans="1:28" ht="14.4">
      <c r="A79" s="28" t="s">
        <v>21</v>
      </c>
      <c r="B79" s="26" t="s">
        <v>564</v>
      </c>
      <c r="C79" s="26" t="s">
        <v>220</v>
      </c>
      <c r="D79" s="57" t="s">
        <v>234</v>
      </c>
      <c r="E79" s="26" t="s">
        <v>54</v>
      </c>
      <c r="F79" s="26" t="s">
        <v>635</v>
      </c>
      <c r="G79" s="26" t="s">
        <v>636</v>
      </c>
      <c r="H79" s="26" t="s">
        <v>637</v>
      </c>
      <c r="I79" s="26" t="s">
        <v>480</v>
      </c>
      <c r="J79" s="26" t="s">
        <v>638</v>
      </c>
      <c r="K79" s="26" t="s">
        <v>637</v>
      </c>
      <c r="L79" s="26" t="s">
        <v>62</v>
      </c>
      <c r="M79" s="26" t="s">
        <v>41</v>
      </c>
      <c r="N79" s="34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</row>
    <row r="80" spans="1:28" ht="14.4">
      <c r="A80" s="28" t="s">
        <v>21</v>
      </c>
      <c r="B80" s="26" t="s">
        <v>564</v>
      </c>
      <c r="C80" s="26" t="s">
        <v>220</v>
      </c>
      <c r="D80" s="57" t="s">
        <v>234</v>
      </c>
      <c r="E80" s="26" t="s">
        <v>54</v>
      </c>
      <c r="F80" s="26" t="s">
        <v>642</v>
      </c>
      <c r="G80" s="26" t="s">
        <v>643</v>
      </c>
      <c r="H80" s="26" t="s">
        <v>637</v>
      </c>
      <c r="I80" s="26" t="s">
        <v>480</v>
      </c>
      <c r="J80" s="26" t="s">
        <v>638</v>
      </c>
      <c r="K80" s="26" t="s">
        <v>637</v>
      </c>
      <c r="L80" s="26" t="s">
        <v>62</v>
      </c>
      <c r="M80" s="26" t="s">
        <v>41</v>
      </c>
      <c r="N80" s="34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</row>
    <row r="81" spans="1:28" ht="14.4">
      <c r="A81" s="28" t="s">
        <v>21</v>
      </c>
      <c r="B81" s="26" t="s">
        <v>564</v>
      </c>
      <c r="C81" s="26" t="s">
        <v>233</v>
      </c>
      <c r="D81" s="29" t="s">
        <v>298</v>
      </c>
      <c r="E81" s="26" t="s">
        <v>54</v>
      </c>
      <c r="F81" s="26" t="s">
        <v>645</v>
      </c>
      <c r="G81" s="26" t="s">
        <v>646</v>
      </c>
      <c r="H81" s="26" t="s">
        <v>226</v>
      </c>
      <c r="I81" s="26" t="s">
        <v>480</v>
      </c>
      <c r="J81" s="26" t="s">
        <v>638</v>
      </c>
      <c r="K81" s="26" t="s">
        <v>226</v>
      </c>
      <c r="L81" s="26" t="s">
        <v>62</v>
      </c>
      <c r="M81" s="26" t="s">
        <v>41</v>
      </c>
      <c r="N81" s="34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</row>
    <row r="82" spans="1:28" ht="14.4">
      <c r="A82" s="28" t="s">
        <v>21</v>
      </c>
      <c r="B82" s="26" t="s">
        <v>564</v>
      </c>
      <c r="C82" s="26" t="s">
        <v>233</v>
      </c>
      <c r="D82" s="29" t="s">
        <v>298</v>
      </c>
      <c r="E82" s="26" t="s">
        <v>54</v>
      </c>
      <c r="F82" s="26" t="s">
        <v>647</v>
      </c>
      <c r="G82" s="26" t="s">
        <v>648</v>
      </c>
      <c r="H82" s="26" t="s">
        <v>226</v>
      </c>
      <c r="I82" s="26" t="s">
        <v>480</v>
      </c>
      <c r="J82" s="26" t="s">
        <v>638</v>
      </c>
      <c r="K82" s="26" t="s">
        <v>226</v>
      </c>
      <c r="L82" s="26" t="s">
        <v>62</v>
      </c>
      <c r="M82" s="26" t="s">
        <v>41</v>
      </c>
      <c r="N82" s="34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</row>
    <row r="83" spans="1:28" ht="14.4">
      <c r="A83" s="28" t="s">
        <v>21</v>
      </c>
      <c r="B83" s="26" t="s">
        <v>564</v>
      </c>
      <c r="C83" s="26" t="s">
        <v>275</v>
      </c>
      <c r="D83" s="28" t="s">
        <v>543</v>
      </c>
      <c r="E83" s="26" t="s">
        <v>54</v>
      </c>
      <c r="F83" s="31" t="s">
        <v>652</v>
      </c>
      <c r="G83" s="26" t="s">
        <v>653</v>
      </c>
      <c r="H83" s="26" t="s">
        <v>654</v>
      </c>
      <c r="I83" s="26" t="s">
        <v>655</v>
      </c>
      <c r="J83" s="94">
        <v>44901</v>
      </c>
      <c r="K83" s="26" t="s">
        <v>654</v>
      </c>
      <c r="L83" s="26" t="s">
        <v>62</v>
      </c>
      <c r="M83" s="26" t="s">
        <v>41</v>
      </c>
      <c r="N83" s="34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</row>
    <row r="84" spans="1:28" ht="14.4">
      <c r="A84" s="28" t="s">
        <v>21</v>
      </c>
      <c r="B84" s="26" t="s">
        <v>564</v>
      </c>
      <c r="C84" s="26" t="s">
        <v>233</v>
      </c>
      <c r="D84" s="29" t="s">
        <v>298</v>
      </c>
      <c r="E84" s="26" t="s">
        <v>54</v>
      </c>
      <c r="F84" s="26" t="s">
        <v>656</v>
      </c>
      <c r="G84" s="26" t="s">
        <v>657</v>
      </c>
      <c r="H84" s="26" t="s">
        <v>659</v>
      </c>
      <c r="I84" s="26" t="s">
        <v>660</v>
      </c>
      <c r="J84" s="26" t="s">
        <v>661</v>
      </c>
      <c r="K84" s="26" t="s">
        <v>662</v>
      </c>
      <c r="L84" s="26" t="s">
        <v>62</v>
      </c>
      <c r="M84" s="26" t="s">
        <v>41</v>
      </c>
      <c r="N84" s="34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</row>
    <row r="85" spans="1:28" ht="14.4">
      <c r="A85" s="28" t="s">
        <v>21</v>
      </c>
      <c r="B85" s="26" t="s">
        <v>564</v>
      </c>
      <c r="C85" s="26" t="s">
        <v>296</v>
      </c>
      <c r="D85" s="73">
        <v>33508</v>
      </c>
      <c r="E85" s="26" t="s">
        <v>54</v>
      </c>
      <c r="F85" s="31" t="s">
        <v>663</v>
      </c>
      <c r="G85" s="26" t="s">
        <v>664</v>
      </c>
      <c r="H85" s="26" t="s">
        <v>303</v>
      </c>
      <c r="I85" s="26" t="s">
        <v>335</v>
      </c>
      <c r="J85" s="26" t="s">
        <v>336</v>
      </c>
      <c r="K85" s="26"/>
      <c r="L85" s="26" t="s">
        <v>62</v>
      </c>
      <c r="M85" s="26" t="s">
        <v>41</v>
      </c>
      <c r="N85" s="34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</row>
    <row r="86" spans="1:28" ht="14.4">
      <c r="A86" s="28" t="s">
        <v>21</v>
      </c>
      <c r="B86" s="26" t="s">
        <v>666</v>
      </c>
      <c r="C86" s="26" t="s">
        <v>51</v>
      </c>
      <c r="D86" s="29" t="s">
        <v>52</v>
      </c>
      <c r="E86" s="26" t="s">
        <v>54</v>
      </c>
      <c r="F86" s="31" t="s">
        <v>668</v>
      </c>
      <c r="G86" s="26" t="s">
        <v>669</v>
      </c>
      <c r="H86" s="26" t="s">
        <v>670</v>
      </c>
      <c r="I86" s="26" t="s">
        <v>671</v>
      </c>
      <c r="J86" s="26" t="s">
        <v>672</v>
      </c>
      <c r="K86" s="26" t="s">
        <v>673</v>
      </c>
      <c r="L86" s="26" t="s">
        <v>62</v>
      </c>
      <c r="M86" s="26" t="s">
        <v>41</v>
      </c>
      <c r="N86" s="34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</row>
    <row r="87" spans="1:28" ht="14.4">
      <c r="A87" s="28" t="s">
        <v>21</v>
      </c>
      <c r="B87" s="26" t="s">
        <v>666</v>
      </c>
      <c r="C87" s="26" t="s">
        <v>70</v>
      </c>
      <c r="D87" s="29" t="s">
        <v>71</v>
      </c>
      <c r="E87" s="26" t="s">
        <v>54</v>
      </c>
      <c r="F87" s="26" t="s">
        <v>668</v>
      </c>
      <c r="G87" s="26"/>
      <c r="H87" s="26" t="s">
        <v>670</v>
      </c>
      <c r="I87" s="26" t="s">
        <v>671</v>
      </c>
      <c r="J87" s="26" t="s">
        <v>674</v>
      </c>
      <c r="K87" s="26" t="s">
        <v>673</v>
      </c>
      <c r="L87" s="26" t="s">
        <v>62</v>
      </c>
      <c r="M87" s="26" t="s">
        <v>41</v>
      </c>
      <c r="N87" s="34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</row>
    <row r="88" spans="1:28" ht="14.4">
      <c r="A88" s="28" t="s">
        <v>21</v>
      </c>
      <c r="B88" s="26" t="s">
        <v>666</v>
      </c>
      <c r="C88" s="26" t="s">
        <v>79</v>
      </c>
      <c r="D88" s="43" t="s">
        <v>80</v>
      </c>
      <c r="E88" s="26" t="s">
        <v>54</v>
      </c>
      <c r="F88" s="26" t="s">
        <v>676</v>
      </c>
      <c r="G88" s="26" t="s">
        <v>677</v>
      </c>
      <c r="H88" s="26" t="s">
        <v>670</v>
      </c>
      <c r="I88" s="26" t="s">
        <v>360</v>
      </c>
      <c r="J88" s="26" t="s">
        <v>678</v>
      </c>
      <c r="K88" s="26" t="s">
        <v>673</v>
      </c>
      <c r="L88" s="26" t="s">
        <v>62</v>
      </c>
      <c r="M88" s="26" t="s">
        <v>41</v>
      </c>
      <c r="N88" s="34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</row>
    <row r="89" spans="1:28" ht="14.4">
      <c r="A89" s="28" t="s">
        <v>21</v>
      </c>
      <c r="B89" s="26" t="s">
        <v>666</v>
      </c>
      <c r="C89" s="26" t="s">
        <v>85</v>
      </c>
      <c r="D89" s="28" t="s">
        <v>86</v>
      </c>
      <c r="E89" s="26" t="s">
        <v>54</v>
      </c>
      <c r="F89" s="26" t="s">
        <v>680</v>
      </c>
      <c r="G89" s="26" t="s">
        <v>681</v>
      </c>
      <c r="H89" s="26" t="s">
        <v>682</v>
      </c>
      <c r="I89" s="26" t="s">
        <v>683</v>
      </c>
      <c r="J89" s="26" t="s">
        <v>685</v>
      </c>
      <c r="K89" s="26" t="s">
        <v>682</v>
      </c>
      <c r="L89" s="26" t="s">
        <v>62</v>
      </c>
      <c r="M89" s="26" t="s">
        <v>41</v>
      </c>
      <c r="N89" s="2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</row>
    <row r="90" spans="1:28" ht="14.4">
      <c r="A90" s="28" t="s">
        <v>21</v>
      </c>
      <c r="B90" s="26" t="s">
        <v>666</v>
      </c>
      <c r="C90" s="26" t="s">
        <v>85</v>
      </c>
      <c r="D90" s="28" t="s">
        <v>86</v>
      </c>
      <c r="E90" s="26" t="s">
        <v>54</v>
      </c>
      <c r="F90" s="26" t="s">
        <v>686</v>
      </c>
      <c r="G90" s="26" t="s">
        <v>687</v>
      </c>
      <c r="H90" s="26" t="s">
        <v>688</v>
      </c>
      <c r="I90" s="26" t="s">
        <v>689</v>
      </c>
      <c r="J90" s="26" t="s">
        <v>685</v>
      </c>
      <c r="K90" s="26" t="s">
        <v>688</v>
      </c>
      <c r="L90" s="26" t="s">
        <v>62</v>
      </c>
      <c r="M90" s="26" t="s">
        <v>41</v>
      </c>
      <c r="N90" s="2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</row>
    <row r="91" spans="1:28" ht="14.4">
      <c r="A91" s="28" t="s">
        <v>21</v>
      </c>
      <c r="B91" s="26" t="s">
        <v>666</v>
      </c>
      <c r="C91" s="26" t="s">
        <v>85</v>
      </c>
      <c r="D91" s="28" t="s">
        <v>86</v>
      </c>
      <c r="E91" s="26" t="s">
        <v>54</v>
      </c>
      <c r="F91" s="26" t="s">
        <v>692</v>
      </c>
      <c r="G91" s="26" t="s">
        <v>693</v>
      </c>
      <c r="H91" s="26" t="s">
        <v>682</v>
      </c>
      <c r="I91" s="26" t="s">
        <v>683</v>
      </c>
      <c r="J91" s="26" t="s">
        <v>685</v>
      </c>
      <c r="K91" s="26" t="s">
        <v>682</v>
      </c>
      <c r="L91" s="26" t="s">
        <v>62</v>
      </c>
      <c r="M91" s="26" t="s">
        <v>41</v>
      </c>
      <c r="N91" s="2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</row>
    <row r="92" spans="1:28" ht="14.4">
      <c r="A92" s="28" t="s">
        <v>21</v>
      </c>
      <c r="B92" s="26" t="s">
        <v>666</v>
      </c>
      <c r="C92" s="26" t="s">
        <v>85</v>
      </c>
      <c r="D92" s="28" t="s">
        <v>86</v>
      </c>
      <c r="E92" s="26" t="s">
        <v>54</v>
      </c>
      <c r="F92" s="26" t="s">
        <v>697</v>
      </c>
      <c r="G92" s="26" t="s">
        <v>698</v>
      </c>
      <c r="H92" s="26" t="s">
        <v>699</v>
      </c>
      <c r="I92" s="26" t="s">
        <v>700</v>
      </c>
      <c r="J92" s="26" t="s">
        <v>685</v>
      </c>
      <c r="K92" s="26" t="s">
        <v>699</v>
      </c>
      <c r="L92" s="26" t="s">
        <v>62</v>
      </c>
      <c r="M92" s="26" t="s">
        <v>41</v>
      </c>
      <c r="N92" s="2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</row>
    <row r="93" spans="1:28" ht="14.4">
      <c r="A93" s="28" t="s">
        <v>21</v>
      </c>
      <c r="B93" s="26" t="s">
        <v>666</v>
      </c>
      <c r="C93" s="26" t="s">
        <v>85</v>
      </c>
      <c r="D93" s="28" t="s">
        <v>86</v>
      </c>
      <c r="E93" s="26" t="s">
        <v>54</v>
      </c>
      <c r="F93" s="26" t="s">
        <v>702</v>
      </c>
      <c r="G93" s="26" t="s">
        <v>703</v>
      </c>
      <c r="H93" s="26" t="s">
        <v>682</v>
      </c>
      <c r="I93" s="26" t="s">
        <v>683</v>
      </c>
      <c r="J93" s="26" t="s">
        <v>685</v>
      </c>
      <c r="K93" s="26" t="s">
        <v>682</v>
      </c>
      <c r="L93" s="26" t="s">
        <v>62</v>
      </c>
      <c r="M93" s="26" t="s">
        <v>41</v>
      </c>
      <c r="N93" s="2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</row>
    <row r="94" spans="1:28" ht="14.4">
      <c r="A94" s="28" t="s">
        <v>21</v>
      </c>
      <c r="B94" s="26" t="s">
        <v>666</v>
      </c>
      <c r="C94" s="26" t="s">
        <v>85</v>
      </c>
      <c r="D94" s="28" t="s">
        <v>86</v>
      </c>
      <c r="E94" s="26" t="s">
        <v>54</v>
      </c>
      <c r="F94" s="26" t="s">
        <v>704</v>
      </c>
      <c r="G94" s="26" t="s">
        <v>705</v>
      </c>
      <c r="H94" s="26" t="s">
        <v>706</v>
      </c>
      <c r="I94" s="26" t="s">
        <v>708</v>
      </c>
      <c r="J94" s="26" t="s">
        <v>685</v>
      </c>
      <c r="K94" s="26" t="s">
        <v>706</v>
      </c>
      <c r="L94" s="26" t="s">
        <v>62</v>
      </c>
      <c r="M94" s="26" t="s">
        <v>41</v>
      </c>
      <c r="N94" s="28" t="s">
        <v>709</v>
      </c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</row>
    <row r="95" spans="1:28" ht="14.4">
      <c r="A95" s="28" t="s">
        <v>21</v>
      </c>
      <c r="B95" s="26" t="s">
        <v>666</v>
      </c>
      <c r="C95" s="26" t="s">
        <v>85</v>
      </c>
      <c r="D95" s="28" t="s">
        <v>86</v>
      </c>
      <c r="E95" s="26" t="s">
        <v>54</v>
      </c>
      <c r="F95" s="26" t="s">
        <v>711</v>
      </c>
      <c r="G95" s="26" t="s">
        <v>712</v>
      </c>
      <c r="H95" s="26" t="s">
        <v>713</v>
      </c>
      <c r="I95" s="26" t="s">
        <v>714</v>
      </c>
      <c r="J95" s="26" t="s">
        <v>685</v>
      </c>
      <c r="K95" s="26" t="s">
        <v>713</v>
      </c>
      <c r="L95" s="26" t="s">
        <v>62</v>
      </c>
      <c r="M95" s="26" t="s">
        <v>41</v>
      </c>
      <c r="N95" s="2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</row>
    <row r="96" spans="1:28" ht="14.4">
      <c r="A96" s="28" t="s">
        <v>21</v>
      </c>
      <c r="B96" s="26" t="s">
        <v>666</v>
      </c>
      <c r="C96" s="26" t="s">
        <v>85</v>
      </c>
      <c r="D96" s="28" t="s">
        <v>86</v>
      </c>
      <c r="E96" s="26" t="s">
        <v>54</v>
      </c>
      <c r="F96" s="26" t="s">
        <v>715</v>
      </c>
      <c r="G96" s="26" t="s">
        <v>717</v>
      </c>
      <c r="H96" s="26" t="s">
        <v>718</v>
      </c>
      <c r="I96" s="26" t="s">
        <v>719</v>
      </c>
      <c r="J96" s="26" t="s">
        <v>685</v>
      </c>
      <c r="K96" s="26" t="s">
        <v>718</v>
      </c>
      <c r="L96" s="26" t="s">
        <v>62</v>
      </c>
      <c r="M96" s="26" t="s">
        <v>41</v>
      </c>
      <c r="N96" s="28" t="s">
        <v>720</v>
      </c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</row>
    <row r="97" spans="1:28" ht="14.4">
      <c r="A97" s="28" t="s">
        <v>21</v>
      </c>
      <c r="B97" s="26" t="s">
        <v>666</v>
      </c>
      <c r="C97" s="26" t="s">
        <v>85</v>
      </c>
      <c r="D97" s="28" t="s">
        <v>86</v>
      </c>
      <c r="E97" s="26" t="s">
        <v>54</v>
      </c>
      <c r="F97" s="26" t="s">
        <v>721</v>
      </c>
      <c r="G97" s="26" t="s">
        <v>722</v>
      </c>
      <c r="H97" s="26" t="s">
        <v>723</v>
      </c>
      <c r="I97" s="26" t="s">
        <v>724</v>
      </c>
      <c r="J97" s="26" t="s">
        <v>685</v>
      </c>
      <c r="K97" s="26" t="s">
        <v>723</v>
      </c>
      <c r="L97" s="26" t="s">
        <v>62</v>
      </c>
      <c r="M97" s="26" t="s">
        <v>41</v>
      </c>
      <c r="N97" s="2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</row>
    <row r="98" spans="1:28" ht="14.4">
      <c r="A98" s="28" t="s">
        <v>21</v>
      </c>
      <c r="B98" s="26" t="s">
        <v>666</v>
      </c>
      <c r="C98" s="26" t="s">
        <v>85</v>
      </c>
      <c r="D98" s="28" t="s">
        <v>86</v>
      </c>
      <c r="E98" s="26" t="s">
        <v>54</v>
      </c>
      <c r="F98" s="26" t="s">
        <v>728</v>
      </c>
      <c r="G98" s="26" t="s">
        <v>730</v>
      </c>
      <c r="H98" s="26" t="s">
        <v>718</v>
      </c>
      <c r="I98" s="26" t="s">
        <v>719</v>
      </c>
      <c r="J98" s="26" t="s">
        <v>685</v>
      </c>
      <c r="K98" s="26" t="s">
        <v>718</v>
      </c>
      <c r="L98" s="26" t="s">
        <v>62</v>
      </c>
      <c r="M98" s="26" t="s">
        <v>41</v>
      </c>
      <c r="N98" s="2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</row>
    <row r="99" spans="1:28" ht="14.4">
      <c r="A99" s="28" t="s">
        <v>21</v>
      </c>
      <c r="B99" s="26" t="s">
        <v>666</v>
      </c>
      <c r="C99" s="26" t="s">
        <v>85</v>
      </c>
      <c r="D99" s="28" t="s">
        <v>86</v>
      </c>
      <c r="E99" s="26" t="s">
        <v>54</v>
      </c>
      <c r="F99" s="26" t="s">
        <v>731</v>
      </c>
      <c r="G99" s="26" t="s">
        <v>732</v>
      </c>
      <c r="H99" s="26" t="s">
        <v>713</v>
      </c>
      <c r="I99" s="26" t="s">
        <v>714</v>
      </c>
      <c r="J99" s="26" t="s">
        <v>685</v>
      </c>
      <c r="K99" s="26" t="s">
        <v>713</v>
      </c>
      <c r="L99" s="26" t="s">
        <v>62</v>
      </c>
      <c r="M99" s="26" t="s">
        <v>41</v>
      </c>
      <c r="N99" s="28" t="s">
        <v>734</v>
      </c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</row>
    <row r="100" spans="1:28" ht="14.4">
      <c r="A100" s="28" t="s">
        <v>21</v>
      </c>
      <c r="B100" s="26" t="s">
        <v>666</v>
      </c>
      <c r="C100" s="26" t="s">
        <v>85</v>
      </c>
      <c r="D100" s="28" t="s">
        <v>86</v>
      </c>
      <c r="E100" s="26" t="s">
        <v>54</v>
      </c>
      <c r="F100" s="26" t="s">
        <v>735</v>
      </c>
      <c r="G100" s="26" t="s">
        <v>736</v>
      </c>
      <c r="H100" s="26" t="s">
        <v>682</v>
      </c>
      <c r="I100" s="26" t="s">
        <v>683</v>
      </c>
      <c r="J100" s="26" t="s">
        <v>685</v>
      </c>
      <c r="K100" s="26" t="s">
        <v>682</v>
      </c>
      <c r="L100" s="26" t="s">
        <v>62</v>
      </c>
      <c r="M100" s="26" t="s">
        <v>41</v>
      </c>
      <c r="N100" s="2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</row>
    <row r="101" spans="1:28" ht="14.4">
      <c r="A101" s="28" t="s">
        <v>21</v>
      </c>
      <c r="B101" s="26" t="s">
        <v>666</v>
      </c>
      <c r="C101" s="26" t="s">
        <v>85</v>
      </c>
      <c r="D101" s="28" t="s">
        <v>86</v>
      </c>
      <c r="E101" s="26" t="s">
        <v>54</v>
      </c>
      <c r="F101" s="26" t="s">
        <v>742</v>
      </c>
      <c r="G101" s="26" t="s">
        <v>743</v>
      </c>
      <c r="H101" s="26" t="s">
        <v>723</v>
      </c>
      <c r="I101" s="26" t="s">
        <v>724</v>
      </c>
      <c r="J101" s="26" t="s">
        <v>685</v>
      </c>
      <c r="K101" s="26" t="s">
        <v>723</v>
      </c>
      <c r="L101" s="26" t="s">
        <v>62</v>
      </c>
      <c r="M101" s="26" t="s">
        <v>41</v>
      </c>
      <c r="N101" s="28" t="s">
        <v>746</v>
      </c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</row>
    <row r="102" spans="1:28" ht="14.4">
      <c r="A102" s="28" t="s">
        <v>21</v>
      </c>
      <c r="B102" s="26" t="s">
        <v>666</v>
      </c>
      <c r="C102" s="26" t="s">
        <v>85</v>
      </c>
      <c r="D102" s="28" t="s">
        <v>86</v>
      </c>
      <c r="E102" s="26" t="s">
        <v>54</v>
      </c>
      <c r="F102" s="26" t="s">
        <v>748</v>
      </c>
      <c r="G102" s="26" t="s">
        <v>749</v>
      </c>
      <c r="H102" s="26" t="s">
        <v>750</v>
      </c>
      <c r="I102" s="26" t="s">
        <v>752</v>
      </c>
      <c r="J102" s="26" t="s">
        <v>685</v>
      </c>
      <c r="K102" s="26" t="s">
        <v>750</v>
      </c>
      <c r="L102" s="26" t="s">
        <v>62</v>
      </c>
      <c r="M102" s="26" t="s">
        <v>41</v>
      </c>
      <c r="N102" s="34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</row>
    <row r="103" spans="1:28" ht="14.4">
      <c r="A103" s="28" t="s">
        <v>21</v>
      </c>
      <c r="B103" s="26" t="s">
        <v>666</v>
      </c>
      <c r="C103" s="26" t="s">
        <v>220</v>
      </c>
      <c r="D103" s="57" t="s">
        <v>234</v>
      </c>
      <c r="E103" s="26" t="s">
        <v>54</v>
      </c>
      <c r="F103" s="26" t="s">
        <v>753</v>
      </c>
      <c r="G103" s="26" t="s">
        <v>755</v>
      </c>
      <c r="H103" s="26" t="s">
        <v>718</v>
      </c>
      <c r="I103" s="26" t="s">
        <v>655</v>
      </c>
      <c r="J103" s="26" t="s">
        <v>757</v>
      </c>
      <c r="K103" s="26" t="s">
        <v>718</v>
      </c>
      <c r="L103" s="26" t="s">
        <v>62</v>
      </c>
      <c r="M103" s="26" t="s">
        <v>41</v>
      </c>
      <c r="N103" s="28" t="s">
        <v>759</v>
      </c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</row>
    <row r="104" spans="1:28" ht="14.4">
      <c r="A104" s="28" t="s">
        <v>21</v>
      </c>
      <c r="B104" s="26" t="s">
        <v>666</v>
      </c>
      <c r="C104" s="26" t="s">
        <v>220</v>
      </c>
      <c r="D104" s="57" t="s">
        <v>234</v>
      </c>
      <c r="E104" s="26" t="s">
        <v>54</v>
      </c>
      <c r="F104" s="26" t="s">
        <v>761</v>
      </c>
      <c r="G104" s="26" t="s">
        <v>762</v>
      </c>
      <c r="H104" s="26" t="s">
        <v>763</v>
      </c>
      <c r="I104" s="26" t="s">
        <v>521</v>
      </c>
      <c r="J104" s="26" t="s">
        <v>757</v>
      </c>
      <c r="K104" s="26" t="s">
        <v>763</v>
      </c>
      <c r="L104" s="26" t="s">
        <v>62</v>
      </c>
      <c r="M104" s="26" t="s">
        <v>41</v>
      </c>
      <c r="N104" s="28" t="s">
        <v>765</v>
      </c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</row>
    <row r="105" spans="1:28" ht="14.4">
      <c r="A105" s="28" t="s">
        <v>21</v>
      </c>
      <c r="B105" s="26" t="s">
        <v>666</v>
      </c>
      <c r="C105" s="26" t="s">
        <v>220</v>
      </c>
      <c r="D105" s="57" t="s">
        <v>234</v>
      </c>
      <c r="E105" s="26" t="s">
        <v>54</v>
      </c>
      <c r="F105" s="26" t="s">
        <v>766</v>
      </c>
      <c r="G105" s="26" t="s">
        <v>767</v>
      </c>
      <c r="H105" s="26" t="s">
        <v>768</v>
      </c>
      <c r="I105" s="26" t="s">
        <v>769</v>
      </c>
      <c r="J105" s="26" t="s">
        <v>757</v>
      </c>
      <c r="K105" s="26" t="s">
        <v>768</v>
      </c>
      <c r="L105" s="26" t="s">
        <v>62</v>
      </c>
      <c r="M105" s="26" t="s">
        <v>41</v>
      </c>
      <c r="N105" s="28" t="s">
        <v>770</v>
      </c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</row>
    <row r="106" spans="1:28" ht="14.4">
      <c r="A106" s="28" t="s">
        <v>21</v>
      </c>
      <c r="B106" s="26" t="s">
        <v>666</v>
      </c>
      <c r="C106" s="26" t="s">
        <v>233</v>
      </c>
      <c r="D106" s="29" t="s">
        <v>298</v>
      </c>
      <c r="E106" s="26" t="s">
        <v>54</v>
      </c>
      <c r="F106" s="26" t="s">
        <v>771</v>
      </c>
      <c r="G106" s="26" t="s">
        <v>772</v>
      </c>
      <c r="H106" s="26" t="s">
        <v>773</v>
      </c>
      <c r="I106" s="26" t="s">
        <v>774</v>
      </c>
      <c r="J106" s="26" t="s">
        <v>775</v>
      </c>
      <c r="K106" s="26" t="s">
        <v>773</v>
      </c>
      <c r="L106" s="26" t="s">
        <v>62</v>
      </c>
      <c r="M106" s="26" t="s">
        <v>41</v>
      </c>
      <c r="N106" s="34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</row>
    <row r="107" spans="1:28" ht="14.4">
      <c r="A107" s="28" t="s">
        <v>21</v>
      </c>
      <c r="B107" s="26" t="s">
        <v>666</v>
      </c>
      <c r="C107" s="26" t="s">
        <v>233</v>
      </c>
      <c r="D107" s="29" t="s">
        <v>298</v>
      </c>
      <c r="E107" s="26" t="s">
        <v>54</v>
      </c>
      <c r="F107" s="26" t="s">
        <v>777</v>
      </c>
      <c r="G107" s="26" t="s">
        <v>778</v>
      </c>
      <c r="H107" s="26" t="s">
        <v>779</v>
      </c>
      <c r="I107" s="26" t="s">
        <v>671</v>
      </c>
      <c r="J107" s="26" t="s">
        <v>775</v>
      </c>
      <c r="K107" s="26" t="s">
        <v>780</v>
      </c>
      <c r="L107" s="26" t="s">
        <v>62</v>
      </c>
      <c r="M107" s="26" t="s">
        <v>41</v>
      </c>
      <c r="N107" s="34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</row>
    <row r="108" spans="1:28" ht="14.4">
      <c r="A108" s="28" t="s">
        <v>21</v>
      </c>
      <c r="B108" s="26" t="s">
        <v>666</v>
      </c>
      <c r="C108" s="26" t="s">
        <v>275</v>
      </c>
      <c r="D108" s="28" t="s">
        <v>543</v>
      </c>
      <c r="E108" s="26" t="s">
        <v>54</v>
      </c>
      <c r="F108" s="31" t="s">
        <v>781</v>
      </c>
      <c r="G108" s="26" t="s">
        <v>782</v>
      </c>
      <c r="H108" s="26" t="s">
        <v>718</v>
      </c>
      <c r="I108" s="26" t="s">
        <v>655</v>
      </c>
      <c r="J108" s="94">
        <v>44866</v>
      </c>
      <c r="K108" s="26" t="s">
        <v>718</v>
      </c>
      <c r="L108" s="26" t="s">
        <v>62</v>
      </c>
      <c r="M108" s="26" t="s">
        <v>41</v>
      </c>
      <c r="N108" s="34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</row>
    <row r="109" spans="1:28" ht="14.4">
      <c r="A109" s="28" t="s">
        <v>21</v>
      </c>
      <c r="B109" s="26" t="s">
        <v>666</v>
      </c>
      <c r="C109" s="26" t="s">
        <v>233</v>
      </c>
      <c r="D109" s="96" t="s">
        <v>298</v>
      </c>
      <c r="E109" s="26" t="s">
        <v>54</v>
      </c>
      <c r="F109" s="26" t="s">
        <v>786</v>
      </c>
      <c r="G109" s="26" t="s">
        <v>787</v>
      </c>
      <c r="H109" s="26" t="s">
        <v>789</v>
      </c>
      <c r="I109" s="26" t="s">
        <v>557</v>
      </c>
      <c r="J109" s="26" t="s">
        <v>792</v>
      </c>
      <c r="K109" s="26" t="s">
        <v>793</v>
      </c>
      <c r="L109" s="26" t="s">
        <v>62</v>
      </c>
      <c r="M109" s="26" t="s">
        <v>41</v>
      </c>
      <c r="N109" s="34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</row>
    <row r="110" spans="1:28" ht="14.4">
      <c r="A110" s="24" t="s">
        <v>21</v>
      </c>
      <c r="B110" s="26" t="s">
        <v>49</v>
      </c>
      <c r="C110" s="24" t="s">
        <v>319</v>
      </c>
      <c r="D110" s="28" t="s">
        <v>796</v>
      </c>
      <c r="E110" s="26" t="s">
        <v>54</v>
      </c>
      <c r="F110" s="97" t="s">
        <v>797</v>
      </c>
      <c r="G110" s="26"/>
      <c r="H110" s="26" t="s">
        <v>718</v>
      </c>
      <c r="I110" s="26" t="s">
        <v>719</v>
      </c>
      <c r="J110" s="26"/>
      <c r="K110" s="26" t="s">
        <v>718</v>
      </c>
      <c r="L110" s="26" t="s">
        <v>62</v>
      </c>
      <c r="M110" s="26" t="s">
        <v>41</v>
      </c>
      <c r="N110" s="34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</row>
    <row r="111" spans="1:28" ht="14.4">
      <c r="A111" s="24" t="s">
        <v>21</v>
      </c>
      <c r="B111" s="26" t="s">
        <v>49</v>
      </c>
      <c r="C111" s="24" t="s">
        <v>319</v>
      </c>
      <c r="D111" s="28" t="s">
        <v>796</v>
      </c>
      <c r="E111" s="26" t="s">
        <v>54</v>
      </c>
      <c r="F111" s="97" t="s">
        <v>799</v>
      </c>
      <c r="G111" s="26"/>
      <c r="H111" s="26" t="s">
        <v>718</v>
      </c>
      <c r="I111" s="26" t="s">
        <v>719</v>
      </c>
      <c r="J111" s="26"/>
      <c r="K111" s="26" t="s">
        <v>718</v>
      </c>
      <c r="L111" s="26" t="s">
        <v>62</v>
      </c>
      <c r="M111" s="26" t="s">
        <v>41</v>
      </c>
      <c r="N111" s="34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</row>
    <row r="112" spans="1:28" ht="14.4">
      <c r="A112" s="24" t="s">
        <v>21</v>
      </c>
      <c r="B112" s="26" t="s">
        <v>49</v>
      </c>
      <c r="C112" s="24" t="s">
        <v>319</v>
      </c>
      <c r="D112" s="28" t="s">
        <v>796</v>
      </c>
      <c r="E112" s="26" t="s">
        <v>54</v>
      </c>
      <c r="F112" s="97" t="s">
        <v>803</v>
      </c>
      <c r="G112" s="26"/>
      <c r="H112" s="26" t="s">
        <v>718</v>
      </c>
      <c r="I112" s="26" t="s">
        <v>719</v>
      </c>
      <c r="J112" s="26"/>
      <c r="K112" s="26" t="s">
        <v>718</v>
      </c>
      <c r="L112" s="26" t="s">
        <v>62</v>
      </c>
      <c r="M112" s="26" t="s">
        <v>41</v>
      </c>
      <c r="N112" s="34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</row>
    <row r="113" spans="1:28" ht="14.4">
      <c r="A113" s="24" t="s">
        <v>21</v>
      </c>
      <c r="B113" s="26" t="s">
        <v>49</v>
      </c>
      <c r="C113" s="24" t="s">
        <v>319</v>
      </c>
      <c r="D113" s="28" t="s">
        <v>796</v>
      </c>
      <c r="E113" s="26" t="s">
        <v>54</v>
      </c>
      <c r="F113" s="97" t="s">
        <v>804</v>
      </c>
      <c r="G113" s="26"/>
      <c r="H113" s="26" t="s">
        <v>718</v>
      </c>
      <c r="I113" s="26" t="s">
        <v>719</v>
      </c>
      <c r="J113" s="26"/>
      <c r="K113" s="26" t="s">
        <v>718</v>
      </c>
      <c r="L113" s="26" t="s">
        <v>62</v>
      </c>
      <c r="M113" s="26" t="s">
        <v>41</v>
      </c>
      <c r="N113" s="34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</row>
    <row r="114" spans="1:28" ht="14.4">
      <c r="A114" s="24" t="s">
        <v>21</v>
      </c>
      <c r="B114" s="26" t="s">
        <v>49</v>
      </c>
      <c r="C114" s="24" t="s">
        <v>319</v>
      </c>
      <c r="D114" s="28" t="s">
        <v>796</v>
      </c>
      <c r="E114" s="26" t="s">
        <v>54</v>
      </c>
      <c r="F114" s="97" t="s">
        <v>808</v>
      </c>
      <c r="G114" s="26"/>
      <c r="H114" s="26" t="s">
        <v>718</v>
      </c>
      <c r="I114" s="26" t="s">
        <v>719</v>
      </c>
      <c r="J114" s="26"/>
      <c r="K114" s="26" t="s">
        <v>718</v>
      </c>
      <c r="L114" s="26" t="s">
        <v>62</v>
      </c>
      <c r="M114" s="26" t="s">
        <v>41</v>
      </c>
      <c r="N114" s="34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</row>
    <row r="115" spans="1:28" ht="14.4">
      <c r="A115" s="24" t="s">
        <v>21</v>
      </c>
      <c r="B115" s="26" t="s">
        <v>49</v>
      </c>
      <c r="C115" s="24" t="s">
        <v>319</v>
      </c>
      <c r="D115" s="28" t="s">
        <v>796</v>
      </c>
      <c r="E115" s="26" t="s">
        <v>54</v>
      </c>
      <c r="F115" s="97" t="s">
        <v>810</v>
      </c>
      <c r="G115" s="26"/>
      <c r="H115" s="26" t="s">
        <v>718</v>
      </c>
      <c r="I115" s="26" t="s">
        <v>719</v>
      </c>
      <c r="J115" s="26"/>
      <c r="K115" s="26" t="s">
        <v>718</v>
      </c>
      <c r="L115" s="26" t="s">
        <v>62</v>
      </c>
      <c r="M115" s="26" t="s">
        <v>41</v>
      </c>
      <c r="N115" s="34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</row>
    <row r="116" spans="1:28" ht="14.4">
      <c r="A116" s="24" t="s">
        <v>21</v>
      </c>
      <c r="B116" s="26" t="s">
        <v>49</v>
      </c>
      <c r="C116" s="24" t="s">
        <v>319</v>
      </c>
      <c r="D116" s="28" t="s">
        <v>796</v>
      </c>
      <c r="E116" s="26" t="s">
        <v>54</v>
      </c>
      <c r="F116" s="97" t="s">
        <v>811</v>
      </c>
      <c r="G116" s="26"/>
      <c r="H116" s="26" t="s">
        <v>718</v>
      </c>
      <c r="I116" s="26" t="s">
        <v>719</v>
      </c>
      <c r="J116" s="26"/>
      <c r="K116" s="26" t="s">
        <v>718</v>
      </c>
      <c r="L116" s="26" t="s">
        <v>62</v>
      </c>
      <c r="M116" s="26" t="s">
        <v>41</v>
      </c>
      <c r="N116" s="34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</row>
    <row r="117" spans="1:28" ht="14.4">
      <c r="A117" s="24" t="s">
        <v>21</v>
      </c>
      <c r="B117" s="26" t="s">
        <v>49</v>
      </c>
      <c r="C117" s="24" t="s">
        <v>319</v>
      </c>
      <c r="D117" s="28" t="s">
        <v>796</v>
      </c>
      <c r="E117" s="26" t="s">
        <v>54</v>
      </c>
      <c r="F117" s="97" t="s">
        <v>814</v>
      </c>
      <c r="G117" s="26"/>
      <c r="H117" s="26" t="s">
        <v>718</v>
      </c>
      <c r="I117" s="26" t="s">
        <v>719</v>
      </c>
      <c r="J117" s="26"/>
      <c r="K117" s="26" t="s">
        <v>718</v>
      </c>
      <c r="L117" s="26" t="s">
        <v>62</v>
      </c>
      <c r="M117" s="26" t="s">
        <v>41</v>
      </c>
      <c r="N117" s="34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</row>
    <row r="118" spans="1:28" ht="14.4">
      <c r="A118" s="24" t="s">
        <v>21</v>
      </c>
      <c r="B118" s="26" t="s">
        <v>49</v>
      </c>
      <c r="C118" s="24" t="s">
        <v>319</v>
      </c>
      <c r="D118" s="28" t="s">
        <v>796</v>
      </c>
      <c r="E118" s="26" t="s">
        <v>54</v>
      </c>
      <c r="F118" s="97" t="s">
        <v>816</v>
      </c>
      <c r="G118" s="26"/>
      <c r="H118" s="26" t="s">
        <v>718</v>
      </c>
      <c r="I118" s="26" t="s">
        <v>719</v>
      </c>
      <c r="J118" s="26"/>
      <c r="K118" s="26" t="s">
        <v>718</v>
      </c>
      <c r="L118" s="26" t="s">
        <v>62</v>
      </c>
      <c r="M118" s="26" t="s">
        <v>41</v>
      </c>
      <c r="N118" s="34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</row>
    <row r="119" spans="1:28" ht="14.4">
      <c r="A119" s="24" t="s">
        <v>21</v>
      </c>
      <c r="B119" s="26" t="s">
        <v>49</v>
      </c>
      <c r="C119" s="24" t="s">
        <v>319</v>
      </c>
      <c r="D119" s="28" t="s">
        <v>796</v>
      </c>
      <c r="E119" s="26" t="s">
        <v>54</v>
      </c>
      <c r="F119" s="97" t="s">
        <v>820</v>
      </c>
      <c r="G119" s="26"/>
      <c r="H119" s="26" t="s">
        <v>718</v>
      </c>
      <c r="I119" s="26" t="s">
        <v>719</v>
      </c>
      <c r="J119" s="26"/>
      <c r="K119" s="26" t="s">
        <v>718</v>
      </c>
      <c r="L119" s="26" t="s">
        <v>62</v>
      </c>
      <c r="M119" s="26" t="s">
        <v>41</v>
      </c>
      <c r="N119" s="34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</row>
    <row r="120" spans="1:28" ht="14.4">
      <c r="A120" s="24" t="s">
        <v>21</v>
      </c>
      <c r="B120" s="26" t="s">
        <v>49</v>
      </c>
      <c r="C120" s="24" t="s">
        <v>319</v>
      </c>
      <c r="D120" s="28" t="s">
        <v>796</v>
      </c>
      <c r="E120" s="26" t="s">
        <v>54</v>
      </c>
      <c r="F120" s="97" t="s">
        <v>822</v>
      </c>
      <c r="G120" s="26"/>
      <c r="H120" s="26" t="s">
        <v>718</v>
      </c>
      <c r="I120" s="26" t="s">
        <v>719</v>
      </c>
      <c r="J120" s="26"/>
      <c r="K120" s="26" t="s">
        <v>718</v>
      </c>
      <c r="L120" s="26" t="s">
        <v>62</v>
      </c>
      <c r="M120" s="26" t="s">
        <v>41</v>
      </c>
      <c r="N120" s="34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</row>
    <row r="121" spans="1:28" ht="14.4">
      <c r="A121" s="24" t="s">
        <v>21</v>
      </c>
      <c r="B121" s="26" t="s">
        <v>49</v>
      </c>
      <c r="C121" s="24" t="s">
        <v>319</v>
      </c>
      <c r="D121" s="28" t="s">
        <v>796</v>
      </c>
      <c r="E121" s="26" t="s">
        <v>54</v>
      </c>
      <c r="F121" s="97" t="s">
        <v>823</v>
      </c>
      <c r="G121" s="26"/>
      <c r="H121" s="26" t="s">
        <v>718</v>
      </c>
      <c r="I121" s="26" t="s">
        <v>719</v>
      </c>
      <c r="J121" s="26"/>
      <c r="K121" s="26" t="s">
        <v>718</v>
      </c>
      <c r="L121" s="26" t="s">
        <v>62</v>
      </c>
      <c r="M121" s="26" t="s">
        <v>41</v>
      </c>
      <c r="N121" s="34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</row>
    <row r="122" spans="1:28" ht="14.4">
      <c r="A122" s="24" t="s">
        <v>21</v>
      </c>
      <c r="B122" s="26" t="s">
        <v>49</v>
      </c>
      <c r="C122" s="24" t="s">
        <v>319</v>
      </c>
      <c r="D122" s="28" t="s">
        <v>796</v>
      </c>
      <c r="E122" s="26" t="s">
        <v>54</v>
      </c>
      <c r="F122" s="97" t="s">
        <v>826</v>
      </c>
      <c r="G122" s="26"/>
      <c r="H122" s="26" t="s">
        <v>718</v>
      </c>
      <c r="I122" s="26" t="s">
        <v>719</v>
      </c>
      <c r="J122" s="26"/>
      <c r="K122" s="26" t="s">
        <v>718</v>
      </c>
      <c r="L122" s="26" t="s">
        <v>62</v>
      </c>
      <c r="M122" s="26" t="s">
        <v>41</v>
      </c>
      <c r="N122" s="34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</row>
    <row r="123" spans="1:28" ht="14.4">
      <c r="A123" s="24" t="s">
        <v>21</v>
      </c>
      <c r="B123" s="26" t="s">
        <v>49</v>
      </c>
      <c r="C123" s="24" t="s">
        <v>319</v>
      </c>
      <c r="D123" s="28" t="s">
        <v>796</v>
      </c>
      <c r="E123" s="26" t="s">
        <v>54</v>
      </c>
      <c r="F123" s="97" t="s">
        <v>827</v>
      </c>
      <c r="G123" s="26"/>
      <c r="H123" s="26" t="s">
        <v>718</v>
      </c>
      <c r="I123" s="26" t="s">
        <v>719</v>
      </c>
      <c r="J123" s="26"/>
      <c r="K123" s="26" t="s">
        <v>718</v>
      </c>
      <c r="L123" s="26" t="s">
        <v>62</v>
      </c>
      <c r="M123" s="26" t="s">
        <v>41</v>
      </c>
      <c r="N123" s="34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</row>
    <row r="124" spans="1:28" ht="14.4">
      <c r="A124" s="24" t="s">
        <v>21</v>
      </c>
      <c r="B124" s="26" t="s">
        <v>49</v>
      </c>
      <c r="C124" s="24" t="s">
        <v>319</v>
      </c>
      <c r="D124" s="28" t="s">
        <v>796</v>
      </c>
      <c r="E124" s="26" t="s">
        <v>54</v>
      </c>
      <c r="F124" s="97" t="s">
        <v>828</v>
      </c>
      <c r="G124" s="26"/>
      <c r="H124" s="26" t="s">
        <v>718</v>
      </c>
      <c r="I124" s="26" t="s">
        <v>719</v>
      </c>
      <c r="J124" s="26"/>
      <c r="K124" s="26" t="s">
        <v>718</v>
      </c>
      <c r="L124" s="26" t="s">
        <v>62</v>
      </c>
      <c r="M124" s="26" t="s">
        <v>41</v>
      </c>
      <c r="N124" s="34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</row>
    <row r="125" spans="1:28" ht="14.4">
      <c r="A125" s="24" t="s">
        <v>21</v>
      </c>
      <c r="B125" s="26" t="s">
        <v>49</v>
      </c>
      <c r="C125" s="24" t="s">
        <v>319</v>
      </c>
      <c r="D125" s="28" t="s">
        <v>796</v>
      </c>
      <c r="E125" s="26" t="s">
        <v>54</v>
      </c>
      <c r="F125" s="97" t="s">
        <v>829</v>
      </c>
      <c r="G125" s="26"/>
      <c r="H125" s="26" t="s">
        <v>718</v>
      </c>
      <c r="I125" s="26" t="s">
        <v>719</v>
      </c>
      <c r="J125" s="26"/>
      <c r="K125" s="26" t="s">
        <v>718</v>
      </c>
      <c r="L125" s="26" t="s">
        <v>62</v>
      </c>
      <c r="M125" s="26" t="s">
        <v>41</v>
      </c>
      <c r="N125" s="34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</row>
    <row r="126" spans="1:28" ht="14.4">
      <c r="A126" s="28" t="s">
        <v>21</v>
      </c>
      <c r="B126" s="28" t="s">
        <v>666</v>
      </c>
      <c r="C126" s="24" t="s">
        <v>319</v>
      </c>
      <c r="D126" s="28" t="s">
        <v>796</v>
      </c>
      <c r="E126" s="26" t="s">
        <v>54</v>
      </c>
      <c r="F126" s="97" t="s">
        <v>830</v>
      </c>
      <c r="G126" s="26"/>
      <c r="H126" s="28" t="s">
        <v>47</v>
      </c>
      <c r="I126" s="28" t="s">
        <v>47</v>
      </c>
      <c r="J126" s="26"/>
      <c r="K126" s="28" t="s">
        <v>47</v>
      </c>
      <c r="L126" s="28" t="s">
        <v>47</v>
      </c>
      <c r="M126" s="26" t="s">
        <v>41</v>
      </c>
      <c r="N126" s="34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</row>
    <row r="127" spans="1:28" ht="14.4">
      <c r="A127" s="28" t="s">
        <v>21</v>
      </c>
      <c r="B127" s="26" t="s">
        <v>666</v>
      </c>
      <c r="C127" s="26" t="s">
        <v>296</v>
      </c>
      <c r="D127" s="73">
        <v>33508</v>
      </c>
      <c r="E127" s="26" t="s">
        <v>54</v>
      </c>
      <c r="F127" s="31" t="s">
        <v>831</v>
      </c>
      <c r="G127" s="26"/>
      <c r="H127" s="26" t="s">
        <v>303</v>
      </c>
      <c r="I127" s="26" t="s">
        <v>335</v>
      </c>
      <c r="J127" s="26" t="s">
        <v>336</v>
      </c>
      <c r="K127" s="26" t="s">
        <v>303</v>
      </c>
      <c r="L127" s="26" t="s">
        <v>834</v>
      </c>
      <c r="M127" s="26" t="s">
        <v>41</v>
      </c>
      <c r="N127" s="34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</row>
    <row r="128" spans="1:28" ht="14.4">
      <c r="A128" s="28" t="s">
        <v>21</v>
      </c>
      <c r="B128" s="26" t="s">
        <v>836</v>
      </c>
      <c r="C128" s="26" t="s">
        <v>51</v>
      </c>
      <c r="D128" s="29" t="s">
        <v>52</v>
      </c>
      <c r="E128" s="26" t="s">
        <v>54</v>
      </c>
      <c r="F128" s="31" t="s">
        <v>837</v>
      </c>
      <c r="G128" s="26" t="s">
        <v>838</v>
      </c>
      <c r="H128" s="26" t="s">
        <v>839</v>
      </c>
      <c r="I128" s="26" t="s">
        <v>360</v>
      </c>
      <c r="J128" s="26" t="s">
        <v>840</v>
      </c>
      <c r="K128" s="26" t="s">
        <v>839</v>
      </c>
      <c r="L128" s="26" t="s">
        <v>729</v>
      </c>
      <c r="M128" s="26" t="s">
        <v>41</v>
      </c>
      <c r="N128" s="34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</row>
    <row r="129" spans="1:28" ht="14.4">
      <c r="A129" s="28" t="s">
        <v>21</v>
      </c>
      <c r="B129" s="26" t="s">
        <v>836</v>
      </c>
      <c r="C129" s="26" t="s">
        <v>70</v>
      </c>
      <c r="D129" s="29" t="s">
        <v>71</v>
      </c>
      <c r="E129" s="26" t="s">
        <v>54</v>
      </c>
      <c r="F129" s="26" t="s">
        <v>837</v>
      </c>
      <c r="G129" s="26"/>
      <c r="H129" s="26" t="s">
        <v>839</v>
      </c>
      <c r="I129" s="26" t="s">
        <v>360</v>
      </c>
      <c r="J129" s="26" t="s">
        <v>842</v>
      </c>
      <c r="K129" s="26"/>
      <c r="L129" s="26"/>
      <c r="M129" s="26" t="s">
        <v>41</v>
      </c>
      <c r="N129" s="34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</row>
    <row r="130" spans="1:28" ht="14.4">
      <c r="A130" s="28" t="s">
        <v>21</v>
      </c>
      <c r="B130" s="26" t="s">
        <v>836</v>
      </c>
      <c r="C130" s="26" t="s">
        <v>85</v>
      </c>
      <c r="D130" s="28" t="s">
        <v>86</v>
      </c>
      <c r="E130" s="26" t="s">
        <v>54</v>
      </c>
      <c r="F130" s="26" t="s">
        <v>843</v>
      </c>
      <c r="G130" s="26" t="s">
        <v>844</v>
      </c>
      <c r="H130" s="26" t="s">
        <v>845</v>
      </c>
      <c r="I130" s="26" t="s">
        <v>846</v>
      </c>
      <c r="J130" s="26" t="s">
        <v>847</v>
      </c>
      <c r="K130" s="26" t="s">
        <v>845</v>
      </c>
      <c r="L130" s="26"/>
      <c r="M130" s="26" t="s">
        <v>41</v>
      </c>
      <c r="N130" s="34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</row>
    <row r="131" spans="1:28" ht="14.4">
      <c r="A131" s="28" t="s">
        <v>21</v>
      </c>
      <c r="B131" s="26" t="s">
        <v>836</v>
      </c>
      <c r="C131" s="26" t="s">
        <v>85</v>
      </c>
      <c r="D131" s="28" t="s">
        <v>86</v>
      </c>
      <c r="E131" s="26" t="s">
        <v>54</v>
      </c>
      <c r="F131" s="26" t="s">
        <v>849</v>
      </c>
      <c r="G131" s="26" t="s">
        <v>850</v>
      </c>
      <c r="H131" s="26" t="s">
        <v>851</v>
      </c>
      <c r="I131" s="26" t="s">
        <v>506</v>
      </c>
      <c r="J131" s="26" t="s">
        <v>847</v>
      </c>
      <c r="K131" s="26" t="s">
        <v>851</v>
      </c>
      <c r="L131" s="26"/>
      <c r="M131" s="26" t="s">
        <v>41</v>
      </c>
      <c r="N131" s="34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</row>
    <row r="132" spans="1:28" ht="14.4">
      <c r="A132" s="28" t="s">
        <v>21</v>
      </c>
      <c r="B132" s="26" t="s">
        <v>836</v>
      </c>
      <c r="C132" s="26" t="s">
        <v>85</v>
      </c>
      <c r="D132" s="28" t="s">
        <v>86</v>
      </c>
      <c r="E132" s="26" t="s">
        <v>54</v>
      </c>
      <c r="F132" s="26" t="s">
        <v>853</v>
      </c>
      <c r="G132" s="26" t="s">
        <v>854</v>
      </c>
      <c r="H132" s="26" t="s">
        <v>855</v>
      </c>
      <c r="I132" s="26" t="s">
        <v>384</v>
      </c>
      <c r="J132" s="26" t="s">
        <v>847</v>
      </c>
      <c r="K132" s="26" t="s">
        <v>855</v>
      </c>
      <c r="L132" s="26"/>
      <c r="M132" s="26" t="s">
        <v>41</v>
      </c>
      <c r="N132" s="34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</row>
    <row r="133" spans="1:28" ht="14.4">
      <c r="A133" s="28" t="s">
        <v>21</v>
      </c>
      <c r="B133" s="26" t="s">
        <v>836</v>
      </c>
      <c r="C133" s="26" t="s">
        <v>85</v>
      </c>
      <c r="D133" s="28" t="s">
        <v>86</v>
      </c>
      <c r="E133" s="26" t="s">
        <v>54</v>
      </c>
      <c r="F133" s="26" t="s">
        <v>856</v>
      </c>
      <c r="G133" s="26" t="s">
        <v>858</v>
      </c>
      <c r="H133" s="26" t="s">
        <v>859</v>
      </c>
      <c r="I133" s="26" t="s">
        <v>860</v>
      </c>
      <c r="J133" s="26" t="s">
        <v>847</v>
      </c>
      <c r="K133" s="26" t="s">
        <v>859</v>
      </c>
      <c r="L133" s="26"/>
      <c r="M133" s="26" t="s">
        <v>41</v>
      </c>
      <c r="N133" s="34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</row>
    <row r="134" spans="1:28" ht="14.4">
      <c r="A134" s="28" t="s">
        <v>21</v>
      </c>
      <c r="B134" s="26" t="s">
        <v>836</v>
      </c>
      <c r="C134" s="26" t="s">
        <v>85</v>
      </c>
      <c r="D134" s="28" t="s">
        <v>86</v>
      </c>
      <c r="E134" s="26" t="s">
        <v>54</v>
      </c>
      <c r="F134" s="26" t="s">
        <v>864</v>
      </c>
      <c r="G134" s="26" t="s">
        <v>865</v>
      </c>
      <c r="H134" s="26" t="s">
        <v>859</v>
      </c>
      <c r="I134" s="26" t="s">
        <v>860</v>
      </c>
      <c r="J134" s="26" t="s">
        <v>847</v>
      </c>
      <c r="K134" s="26" t="s">
        <v>859</v>
      </c>
      <c r="L134" s="26"/>
      <c r="M134" s="26" t="s">
        <v>41</v>
      </c>
      <c r="N134" s="34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</row>
    <row r="135" spans="1:28" ht="14.4">
      <c r="A135" s="28" t="s">
        <v>21</v>
      </c>
      <c r="B135" s="26" t="s">
        <v>836</v>
      </c>
      <c r="C135" s="26" t="s">
        <v>85</v>
      </c>
      <c r="D135" s="28" t="s">
        <v>86</v>
      </c>
      <c r="E135" s="26" t="s">
        <v>54</v>
      </c>
      <c r="F135" s="26" t="s">
        <v>866</v>
      </c>
      <c r="G135" s="26" t="s">
        <v>867</v>
      </c>
      <c r="H135" s="26" t="s">
        <v>859</v>
      </c>
      <c r="I135" s="26" t="s">
        <v>860</v>
      </c>
      <c r="J135" s="26" t="s">
        <v>847</v>
      </c>
      <c r="K135" s="26" t="s">
        <v>859</v>
      </c>
      <c r="L135" s="26"/>
      <c r="M135" s="26" t="s">
        <v>41</v>
      </c>
      <c r="N135" s="34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</row>
    <row r="136" spans="1:28" ht="14.4">
      <c r="A136" s="28" t="s">
        <v>21</v>
      </c>
      <c r="B136" s="26" t="s">
        <v>836</v>
      </c>
      <c r="C136" s="26" t="s">
        <v>85</v>
      </c>
      <c r="D136" s="28" t="s">
        <v>86</v>
      </c>
      <c r="E136" s="26" t="s">
        <v>54</v>
      </c>
      <c r="F136" s="26" t="s">
        <v>873</v>
      </c>
      <c r="G136" s="26" t="s">
        <v>874</v>
      </c>
      <c r="H136" s="26" t="s">
        <v>859</v>
      </c>
      <c r="I136" s="26" t="s">
        <v>860</v>
      </c>
      <c r="J136" s="26" t="s">
        <v>847</v>
      </c>
      <c r="K136" s="26" t="s">
        <v>859</v>
      </c>
      <c r="L136" s="26"/>
      <c r="M136" s="26" t="s">
        <v>41</v>
      </c>
      <c r="N136" s="34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</row>
    <row r="137" spans="1:28" ht="14.4">
      <c r="A137" s="28" t="s">
        <v>21</v>
      </c>
      <c r="B137" s="26" t="s">
        <v>836</v>
      </c>
      <c r="C137" s="26" t="s">
        <v>85</v>
      </c>
      <c r="D137" s="28" t="s">
        <v>86</v>
      </c>
      <c r="E137" s="26" t="s">
        <v>54</v>
      </c>
      <c r="F137" s="26" t="s">
        <v>878</v>
      </c>
      <c r="G137" s="26" t="s">
        <v>880</v>
      </c>
      <c r="H137" s="26" t="s">
        <v>859</v>
      </c>
      <c r="I137" s="26" t="s">
        <v>860</v>
      </c>
      <c r="J137" s="26" t="s">
        <v>847</v>
      </c>
      <c r="K137" s="26" t="s">
        <v>859</v>
      </c>
      <c r="L137" s="26"/>
      <c r="M137" s="26" t="s">
        <v>41</v>
      </c>
      <c r="N137" s="34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</row>
    <row r="138" spans="1:28" ht="14.4">
      <c r="A138" s="28" t="s">
        <v>21</v>
      </c>
      <c r="B138" s="26" t="s">
        <v>836</v>
      </c>
      <c r="C138" s="26" t="s">
        <v>85</v>
      </c>
      <c r="D138" s="28" t="s">
        <v>86</v>
      </c>
      <c r="E138" s="26" t="s">
        <v>54</v>
      </c>
      <c r="F138" s="26" t="s">
        <v>884</v>
      </c>
      <c r="G138" s="26" t="s">
        <v>885</v>
      </c>
      <c r="H138" s="26" t="s">
        <v>886</v>
      </c>
      <c r="I138" s="26" t="s">
        <v>887</v>
      </c>
      <c r="J138" s="26" t="s">
        <v>847</v>
      </c>
      <c r="K138" s="26" t="s">
        <v>886</v>
      </c>
      <c r="L138" s="26"/>
      <c r="M138" s="26" t="s">
        <v>41</v>
      </c>
      <c r="N138" s="34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</row>
    <row r="139" spans="1:28" ht="14.4">
      <c r="A139" s="28" t="s">
        <v>21</v>
      </c>
      <c r="B139" s="26" t="s">
        <v>836</v>
      </c>
      <c r="C139" s="26" t="s">
        <v>85</v>
      </c>
      <c r="D139" s="28" t="s">
        <v>86</v>
      </c>
      <c r="E139" s="26" t="s">
        <v>54</v>
      </c>
      <c r="F139" s="26" t="s">
        <v>892</v>
      </c>
      <c r="G139" s="26" t="s">
        <v>894</v>
      </c>
      <c r="H139" s="26" t="s">
        <v>895</v>
      </c>
      <c r="I139" s="26" t="s">
        <v>896</v>
      </c>
      <c r="J139" s="26" t="s">
        <v>847</v>
      </c>
      <c r="K139" s="26" t="s">
        <v>895</v>
      </c>
      <c r="L139" s="26"/>
      <c r="M139" s="26" t="s">
        <v>41</v>
      </c>
      <c r="N139" s="34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</row>
    <row r="140" spans="1:28" ht="14.4">
      <c r="A140" s="28" t="s">
        <v>21</v>
      </c>
      <c r="B140" s="26" t="s">
        <v>836</v>
      </c>
      <c r="C140" s="26" t="s">
        <v>85</v>
      </c>
      <c r="D140" s="28" t="s">
        <v>86</v>
      </c>
      <c r="E140" s="26" t="s">
        <v>54</v>
      </c>
      <c r="F140" s="26" t="s">
        <v>901</v>
      </c>
      <c r="G140" s="26" t="s">
        <v>902</v>
      </c>
      <c r="H140" s="26" t="s">
        <v>903</v>
      </c>
      <c r="I140" s="26" t="s">
        <v>440</v>
      </c>
      <c r="J140" s="26" t="s">
        <v>847</v>
      </c>
      <c r="K140" s="26" t="s">
        <v>903</v>
      </c>
      <c r="L140" s="26"/>
      <c r="M140" s="26" t="s">
        <v>41</v>
      </c>
      <c r="N140" s="34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</row>
    <row r="141" spans="1:28" ht="14.4">
      <c r="A141" s="28" t="s">
        <v>21</v>
      </c>
      <c r="B141" s="26" t="s">
        <v>836</v>
      </c>
      <c r="C141" s="26" t="s">
        <v>85</v>
      </c>
      <c r="D141" s="28" t="s">
        <v>86</v>
      </c>
      <c r="E141" s="26" t="s">
        <v>54</v>
      </c>
      <c r="F141" s="26" t="s">
        <v>904</v>
      </c>
      <c r="G141" s="26" t="s">
        <v>905</v>
      </c>
      <c r="H141" s="26" t="s">
        <v>906</v>
      </c>
      <c r="I141" s="26" t="s">
        <v>907</v>
      </c>
      <c r="J141" s="26" t="s">
        <v>847</v>
      </c>
      <c r="K141" s="26" t="s">
        <v>906</v>
      </c>
      <c r="L141" s="26"/>
      <c r="M141" s="26" t="s">
        <v>41</v>
      </c>
      <c r="N141" s="34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</row>
    <row r="142" spans="1:28" ht="14.4">
      <c r="A142" s="28" t="s">
        <v>21</v>
      </c>
      <c r="B142" s="26" t="s">
        <v>836</v>
      </c>
      <c r="C142" s="26" t="s">
        <v>85</v>
      </c>
      <c r="D142" s="28" t="s">
        <v>86</v>
      </c>
      <c r="E142" s="26" t="s">
        <v>54</v>
      </c>
      <c r="F142" s="26" t="s">
        <v>908</v>
      </c>
      <c r="G142" s="26" t="s">
        <v>910</v>
      </c>
      <c r="H142" s="26" t="s">
        <v>911</v>
      </c>
      <c r="I142" s="26" t="s">
        <v>468</v>
      </c>
      <c r="J142" s="26" t="s">
        <v>847</v>
      </c>
      <c r="K142" s="26" t="s">
        <v>911</v>
      </c>
      <c r="L142" s="26"/>
      <c r="M142" s="26" t="s">
        <v>41</v>
      </c>
      <c r="N142" s="34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</row>
    <row r="143" spans="1:28" ht="14.4">
      <c r="A143" s="28" t="s">
        <v>21</v>
      </c>
      <c r="B143" s="26" t="s">
        <v>836</v>
      </c>
      <c r="C143" s="26" t="s">
        <v>85</v>
      </c>
      <c r="D143" s="28" t="s">
        <v>86</v>
      </c>
      <c r="E143" s="26" t="s">
        <v>54</v>
      </c>
      <c r="F143" s="26" t="s">
        <v>917</v>
      </c>
      <c r="G143" s="26" t="s">
        <v>919</v>
      </c>
      <c r="H143" s="26" t="s">
        <v>920</v>
      </c>
      <c r="I143" s="26" t="s">
        <v>922</v>
      </c>
      <c r="J143" s="26" t="s">
        <v>847</v>
      </c>
      <c r="K143" s="26" t="s">
        <v>920</v>
      </c>
      <c r="L143" s="26"/>
      <c r="M143" s="26" t="s">
        <v>41</v>
      </c>
      <c r="N143" s="34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</row>
    <row r="144" spans="1:28" ht="14.4">
      <c r="A144" s="28" t="s">
        <v>21</v>
      </c>
      <c r="B144" s="26" t="s">
        <v>836</v>
      </c>
      <c r="C144" s="26" t="s">
        <v>220</v>
      </c>
      <c r="D144" s="57" t="s">
        <v>234</v>
      </c>
      <c r="E144" s="26" t="s">
        <v>54</v>
      </c>
      <c r="F144" s="26" t="s">
        <v>925</v>
      </c>
      <c r="G144" s="26" t="s">
        <v>926</v>
      </c>
      <c r="H144" s="26" t="s">
        <v>927</v>
      </c>
      <c r="I144" s="26" t="s">
        <v>929</v>
      </c>
      <c r="J144" s="26" t="s">
        <v>931</v>
      </c>
      <c r="K144" s="26" t="s">
        <v>927</v>
      </c>
      <c r="L144" s="26"/>
      <c r="M144" s="26" t="s">
        <v>41</v>
      </c>
      <c r="N144" s="34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</row>
    <row r="145" spans="1:28" ht="14.4">
      <c r="A145" s="28" t="s">
        <v>21</v>
      </c>
      <c r="B145" s="26" t="s">
        <v>836</v>
      </c>
      <c r="C145" s="26" t="s">
        <v>220</v>
      </c>
      <c r="D145" s="57" t="s">
        <v>234</v>
      </c>
      <c r="E145" s="26" t="s">
        <v>54</v>
      </c>
      <c r="F145" s="26" t="s">
        <v>936</v>
      </c>
      <c r="G145" s="26" t="s">
        <v>937</v>
      </c>
      <c r="H145" s="26" t="s">
        <v>938</v>
      </c>
      <c r="I145" s="26" t="s">
        <v>939</v>
      </c>
      <c r="J145" s="26" t="s">
        <v>931</v>
      </c>
      <c r="K145" s="26" t="s">
        <v>938</v>
      </c>
      <c r="L145" s="26"/>
      <c r="M145" s="26" t="s">
        <v>41</v>
      </c>
      <c r="N145" s="34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</row>
    <row r="146" spans="1:28" ht="14.4">
      <c r="A146" s="28" t="s">
        <v>21</v>
      </c>
      <c r="B146" s="26" t="s">
        <v>836</v>
      </c>
      <c r="C146" s="26" t="s">
        <v>220</v>
      </c>
      <c r="D146" s="57" t="s">
        <v>234</v>
      </c>
      <c r="E146" s="26" t="s">
        <v>54</v>
      </c>
      <c r="F146" s="26" t="s">
        <v>945</v>
      </c>
      <c r="G146" s="26" t="s">
        <v>946</v>
      </c>
      <c r="H146" s="26" t="s">
        <v>948</v>
      </c>
      <c r="I146" s="26" t="s">
        <v>438</v>
      </c>
      <c r="J146" s="26" t="s">
        <v>931</v>
      </c>
      <c r="K146" s="26" t="s">
        <v>948</v>
      </c>
      <c r="L146" s="26"/>
      <c r="M146" s="26" t="s">
        <v>41</v>
      </c>
      <c r="N146" s="34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</row>
    <row r="147" spans="1:28" ht="14.4">
      <c r="A147" s="28" t="s">
        <v>21</v>
      </c>
      <c r="B147" s="26" t="s">
        <v>836</v>
      </c>
      <c r="C147" s="26" t="s">
        <v>233</v>
      </c>
      <c r="D147" s="29" t="s">
        <v>298</v>
      </c>
      <c r="E147" s="26" t="s">
        <v>54</v>
      </c>
      <c r="F147" s="26" t="s">
        <v>951</v>
      </c>
      <c r="G147" s="26" t="s">
        <v>952</v>
      </c>
      <c r="H147" s="26" t="s">
        <v>845</v>
      </c>
      <c r="I147" s="26" t="s">
        <v>846</v>
      </c>
      <c r="J147" s="26" t="s">
        <v>953</v>
      </c>
      <c r="K147" s="26" t="s">
        <v>845</v>
      </c>
      <c r="L147" s="26" t="s">
        <v>729</v>
      </c>
      <c r="M147" s="26" t="s">
        <v>41</v>
      </c>
      <c r="N147" s="34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</row>
    <row r="148" spans="1:28" ht="14.4">
      <c r="A148" s="28" t="s">
        <v>21</v>
      </c>
      <c r="B148" s="26" t="s">
        <v>836</v>
      </c>
      <c r="C148" s="26" t="s">
        <v>233</v>
      </c>
      <c r="D148" s="29" t="s">
        <v>298</v>
      </c>
      <c r="E148" s="26" t="s">
        <v>54</v>
      </c>
      <c r="F148" s="26" t="s">
        <v>956</v>
      </c>
      <c r="G148" s="26" t="s">
        <v>957</v>
      </c>
      <c r="H148" s="26" t="s">
        <v>903</v>
      </c>
      <c r="I148" s="26" t="s">
        <v>440</v>
      </c>
      <c r="J148" s="26" t="s">
        <v>953</v>
      </c>
      <c r="K148" s="26" t="s">
        <v>903</v>
      </c>
      <c r="L148" s="26" t="s">
        <v>729</v>
      </c>
      <c r="M148" s="26" t="s">
        <v>41</v>
      </c>
      <c r="N148" s="34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</row>
    <row r="149" spans="1:28" ht="14.4">
      <c r="A149" s="28" t="s">
        <v>21</v>
      </c>
      <c r="B149" s="26" t="s">
        <v>836</v>
      </c>
      <c r="C149" s="26" t="s">
        <v>275</v>
      </c>
      <c r="D149" s="28" t="s">
        <v>543</v>
      </c>
      <c r="E149" s="26" t="s">
        <v>54</v>
      </c>
      <c r="F149" s="31" t="s">
        <v>959</v>
      </c>
      <c r="G149" s="26" t="s">
        <v>960</v>
      </c>
      <c r="H149" s="26" t="s">
        <v>845</v>
      </c>
      <c r="I149" s="26" t="s">
        <v>846</v>
      </c>
      <c r="J149" s="94">
        <v>44897</v>
      </c>
      <c r="K149" s="26" t="s">
        <v>845</v>
      </c>
      <c r="L149" s="26"/>
      <c r="M149" s="26" t="s">
        <v>41</v>
      </c>
      <c r="N149" s="34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</row>
    <row r="150" spans="1:28" ht="14.4">
      <c r="A150" s="28" t="s">
        <v>21</v>
      </c>
      <c r="B150" s="26" t="s">
        <v>836</v>
      </c>
      <c r="C150" s="26" t="s">
        <v>233</v>
      </c>
      <c r="D150" s="29" t="s">
        <v>298</v>
      </c>
      <c r="E150" s="26" t="s">
        <v>54</v>
      </c>
      <c r="F150" s="26" t="s">
        <v>968</v>
      </c>
      <c r="G150" s="26" t="s">
        <v>969</v>
      </c>
      <c r="H150" s="26" t="s">
        <v>927</v>
      </c>
      <c r="I150" s="26" t="s">
        <v>660</v>
      </c>
      <c r="J150" s="26" t="s">
        <v>970</v>
      </c>
      <c r="K150" s="26" t="s">
        <v>971</v>
      </c>
      <c r="L150" s="26" t="s">
        <v>729</v>
      </c>
      <c r="M150" s="26" t="s">
        <v>41</v>
      </c>
      <c r="N150" s="34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</row>
    <row r="151" spans="1:28" ht="14.4">
      <c r="A151" s="28" t="s">
        <v>21</v>
      </c>
      <c r="B151" s="26" t="s">
        <v>836</v>
      </c>
      <c r="C151" s="26" t="s">
        <v>296</v>
      </c>
      <c r="D151" s="73">
        <v>33508</v>
      </c>
      <c r="E151" s="26" t="s">
        <v>54</v>
      </c>
      <c r="F151" s="31" t="s">
        <v>974</v>
      </c>
      <c r="G151" s="26"/>
      <c r="H151" s="26" t="s">
        <v>303</v>
      </c>
      <c r="I151" s="26" t="s">
        <v>335</v>
      </c>
      <c r="J151" s="26" t="s">
        <v>336</v>
      </c>
      <c r="K151" s="26"/>
      <c r="L151" s="26" t="s">
        <v>975</v>
      </c>
      <c r="M151" s="26" t="s">
        <v>41</v>
      </c>
      <c r="N151" s="34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</row>
    <row r="152" spans="1:28" ht="14.4">
      <c r="A152" s="28" t="s">
        <v>21</v>
      </c>
      <c r="B152" s="26" t="s">
        <v>978</v>
      </c>
      <c r="C152" s="26" t="s">
        <v>51</v>
      </c>
      <c r="D152" s="29" t="s">
        <v>52</v>
      </c>
      <c r="E152" s="26" t="s">
        <v>54</v>
      </c>
      <c r="F152" s="31" t="s">
        <v>72</v>
      </c>
      <c r="G152" s="26" t="s">
        <v>981</v>
      </c>
      <c r="H152" s="26" t="s">
        <v>982</v>
      </c>
      <c r="I152" s="26" t="s">
        <v>983</v>
      </c>
      <c r="J152" s="26" t="s">
        <v>984</v>
      </c>
      <c r="K152" s="26" t="s">
        <v>985</v>
      </c>
      <c r="L152" s="26" t="s">
        <v>729</v>
      </c>
      <c r="M152" s="26" t="s">
        <v>41</v>
      </c>
      <c r="N152" s="34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</row>
    <row r="153" spans="1:28" ht="14.4">
      <c r="A153" s="28" t="s">
        <v>21</v>
      </c>
      <c r="B153" s="26" t="s">
        <v>978</v>
      </c>
      <c r="C153" s="26" t="s">
        <v>70</v>
      </c>
      <c r="D153" s="29" t="s">
        <v>71</v>
      </c>
      <c r="E153" s="26" t="s">
        <v>54</v>
      </c>
      <c r="F153" s="26" t="s">
        <v>990</v>
      </c>
      <c r="G153" s="26"/>
      <c r="H153" s="26" t="s">
        <v>982</v>
      </c>
      <c r="I153" s="26" t="s">
        <v>991</v>
      </c>
      <c r="J153" s="26" t="s">
        <v>992</v>
      </c>
      <c r="K153" s="26" t="s">
        <v>985</v>
      </c>
      <c r="L153" s="26"/>
      <c r="M153" s="26" t="s">
        <v>41</v>
      </c>
      <c r="N153" s="34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</row>
    <row r="154" spans="1:28" ht="14.4">
      <c r="A154" s="28" t="s">
        <v>21</v>
      </c>
      <c r="B154" s="26" t="s">
        <v>978</v>
      </c>
      <c r="C154" s="26" t="s">
        <v>79</v>
      </c>
      <c r="D154" s="43" t="s">
        <v>80</v>
      </c>
      <c r="E154" s="26" t="s">
        <v>54</v>
      </c>
      <c r="F154" s="26" t="s">
        <v>998</v>
      </c>
      <c r="G154" s="26" t="s">
        <v>999</v>
      </c>
      <c r="H154" s="26" t="s">
        <v>982</v>
      </c>
      <c r="I154" s="26" t="s">
        <v>991</v>
      </c>
      <c r="J154" s="26" t="s">
        <v>1000</v>
      </c>
      <c r="K154" s="26" t="s">
        <v>985</v>
      </c>
      <c r="L154" s="26" t="s">
        <v>729</v>
      </c>
      <c r="M154" s="26" t="s">
        <v>41</v>
      </c>
      <c r="N154" s="34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</row>
    <row r="155" spans="1:28" ht="14.4">
      <c r="A155" s="28" t="s">
        <v>21</v>
      </c>
      <c r="B155" s="26" t="s">
        <v>978</v>
      </c>
      <c r="C155" s="26" t="s">
        <v>296</v>
      </c>
      <c r="D155" s="73">
        <v>33508</v>
      </c>
      <c r="E155" s="26" t="s">
        <v>54</v>
      </c>
      <c r="F155" s="31" t="s">
        <v>1002</v>
      </c>
      <c r="G155" s="26"/>
      <c r="H155" s="26" t="s">
        <v>303</v>
      </c>
      <c r="I155" s="26" t="s">
        <v>335</v>
      </c>
      <c r="J155" s="26" t="s">
        <v>336</v>
      </c>
      <c r="K155" s="26"/>
      <c r="L155" s="26" t="s">
        <v>1004</v>
      </c>
      <c r="M155" s="26" t="s">
        <v>41</v>
      </c>
      <c r="N155" s="34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</row>
    <row r="156" spans="1:28" ht="14.4">
      <c r="A156" s="28" t="s">
        <v>21</v>
      </c>
      <c r="B156" s="26" t="s">
        <v>49</v>
      </c>
      <c r="C156" s="26" t="s">
        <v>79</v>
      </c>
      <c r="D156" s="43" t="s">
        <v>80</v>
      </c>
      <c r="E156" s="26" t="s">
        <v>54</v>
      </c>
      <c r="F156" s="26" t="s">
        <v>1007</v>
      </c>
      <c r="G156" s="26" t="s">
        <v>1008</v>
      </c>
      <c r="H156" s="26" t="s">
        <v>1009</v>
      </c>
      <c r="I156" s="26" t="s">
        <v>1010</v>
      </c>
      <c r="J156" s="26" t="s">
        <v>1011</v>
      </c>
      <c r="K156" s="26" t="s">
        <v>1013</v>
      </c>
      <c r="L156" s="26" t="s">
        <v>62</v>
      </c>
      <c r="M156" s="26" t="s">
        <v>41</v>
      </c>
      <c r="N156" s="34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</row>
    <row r="157" spans="1:28" ht="14.4">
      <c r="A157" s="28" t="s">
        <v>21</v>
      </c>
      <c r="B157" s="26" t="s">
        <v>49</v>
      </c>
      <c r="C157" s="26" t="s">
        <v>79</v>
      </c>
      <c r="D157" s="43" t="s">
        <v>80</v>
      </c>
      <c r="E157" s="26" t="s">
        <v>54</v>
      </c>
      <c r="F157" s="26" t="s">
        <v>1016</v>
      </c>
      <c r="G157" s="26" t="s">
        <v>1017</v>
      </c>
      <c r="H157" s="26" t="s">
        <v>1009</v>
      </c>
      <c r="I157" s="26" t="s">
        <v>1010</v>
      </c>
      <c r="J157" s="26" t="s">
        <v>1011</v>
      </c>
      <c r="K157" s="26" t="s">
        <v>1013</v>
      </c>
      <c r="L157" s="26" t="s">
        <v>62</v>
      </c>
      <c r="M157" s="26" t="s">
        <v>41</v>
      </c>
      <c r="N157" s="34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</row>
    <row r="158" spans="1:28" ht="14.4">
      <c r="A158" s="28" t="s">
        <v>21</v>
      </c>
      <c r="B158" s="26" t="s">
        <v>978</v>
      </c>
      <c r="C158" s="26" t="s">
        <v>85</v>
      </c>
      <c r="D158" s="28" t="s">
        <v>86</v>
      </c>
      <c r="E158" s="26" t="s">
        <v>54</v>
      </c>
      <c r="F158" s="26" t="s">
        <v>1018</v>
      </c>
      <c r="G158" s="26" t="s">
        <v>1019</v>
      </c>
      <c r="H158" s="26" t="s">
        <v>1020</v>
      </c>
      <c r="I158" s="26" t="s">
        <v>1021</v>
      </c>
      <c r="J158" s="26" t="s">
        <v>1022</v>
      </c>
      <c r="K158" s="26" t="s">
        <v>1020</v>
      </c>
      <c r="L158" s="26"/>
      <c r="M158" s="26" t="s">
        <v>41</v>
      </c>
      <c r="N158" s="34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</row>
    <row r="159" spans="1:28" ht="14.4">
      <c r="A159" s="28" t="s">
        <v>21</v>
      </c>
      <c r="B159" s="26" t="s">
        <v>978</v>
      </c>
      <c r="C159" s="26" t="s">
        <v>85</v>
      </c>
      <c r="D159" s="28" t="s">
        <v>86</v>
      </c>
      <c r="E159" s="26" t="s">
        <v>54</v>
      </c>
      <c r="F159" s="26" t="s">
        <v>1027</v>
      </c>
      <c r="G159" s="26" t="s">
        <v>1029</v>
      </c>
      <c r="H159" s="26" t="s">
        <v>1020</v>
      </c>
      <c r="I159" s="26" t="s">
        <v>1021</v>
      </c>
      <c r="J159" s="26" t="s">
        <v>1022</v>
      </c>
      <c r="K159" s="26" t="s">
        <v>1020</v>
      </c>
      <c r="L159" s="26"/>
      <c r="M159" s="26" t="s">
        <v>41</v>
      </c>
      <c r="N159" s="34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</row>
    <row r="160" spans="1:28" ht="14.4">
      <c r="A160" s="28" t="s">
        <v>21</v>
      </c>
      <c r="B160" s="26" t="s">
        <v>978</v>
      </c>
      <c r="C160" s="26" t="s">
        <v>85</v>
      </c>
      <c r="D160" s="28" t="s">
        <v>86</v>
      </c>
      <c r="E160" s="26" t="s">
        <v>54</v>
      </c>
      <c r="F160" s="26" t="s">
        <v>1032</v>
      </c>
      <c r="G160" s="26" t="s">
        <v>1033</v>
      </c>
      <c r="H160" s="26" t="s">
        <v>1020</v>
      </c>
      <c r="I160" s="26" t="s">
        <v>1021</v>
      </c>
      <c r="J160" s="26" t="s">
        <v>1022</v>
      </c>
      <c r="K160" s="26" t="s">
        <v>1020</v>
      </c>
      <c r="L160" s="26"/>
      <c r="M160" s="26" t="s">
        <v>41</v>
      </c>
      <c r="N160" s="34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</row>
    <row r="161" spans="1:28" ht="14.4">
      <c r="A161" s="28" t="s">
        <v>21</v>
      </c>
      <c r="B161" s="26" t="s">
        <v>978</v>
      </c>
      <c r="C161" s="26" t="s">
        <v>85</v>
      </c>
      <c r="D161" s="28" t="s">
        <v>86</v>
      </c>
      <c r="E161" s="26" t="s">
        <v>54</v>
      </c>
      <c r="F161" s="26" t="s">
        <v>1035</v>
      </c>
      <c r="G161" s="26" t="s">
        <v>1036</v>
      </c>
      <c r="H161" s="26" t="s">
        <v>1020</v>
      </c>
      <c r="I161" s="26" t="s">
        <v>1021</v>
      </c>
      <c r="J161" s="26" t="s">
        <v>1022</v>
      </c>
      <c r="K161" s="26" t="s">
        <v>1020</v>
      </c>
      <c r="L161" s="26"/>
      <c r="M161" s="26" t="s">
        <v>41</v>
      </c>
      <c r="N161" s="34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</row>
    <row r="162" spans="1:28" ht="14.4">
      <c r="A162" s="28" t="s">
        <v>21</v>
      </c>
      <c r="B162" s="26" t="s">
        <v>978</v>
      </c>
      <c r="C162" s="26" t="s">
        <v>85</v>
      </c>
      <c r="D162" s="28" t="s">
        <v>86</v>
      </c>
      <c r="E162" s="26" t="s">
        <v>54</v>
      </c>
      <c r="F162" s="26" t="s">
        <v>1038</v>
      </c>
      <c r="G162" s="26" t="s">
        <v>1039</v>
      </c>
      <c r="H162" s="26" t="s">
        <v>1020</v>
      </c>
      <c r="I162" s="26" t="s">
        <v>1021</v>
      </c>
      <c r="J162" s="26" t="s">
        <v>1022</v>
      </c>
      <c r="K162" s="26" t="s">
        <v>1020</v>
      </c>
      <c r="L162" s="26"/>
      <c r="M162" s="26" t="s">
        <v>41</v>
      </c>
      <c r="N162" s="34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</row>
    <row r="163" spans="1:28" ht="14.4">
      <c r="A163" s="28" t="s">
        <v>21</v>
      </c>
      <c r="B163" s="26" t="s">
        <v>978</v>
      </c>
      <c r="C163" s="26" t="s">
        <v>85</v>
      </c>
      <c r="D163" s="28" t="s">
        <v>86</v>
      </c>
      <c r="E163" s="26" t="s">
        <v>54</v>
      </c>
      <c r="F163" s="26" t="s">
        <v>1042</v>
      </c>
      <c r="G163" s="26" t="s">
        <v>1043</v>
      </c>
      <c r="H163" s="26" t="s">
        <v>1020</v>
      </c>
      <c r="I163" s="26" t="s">
        <v>1021</v>
      </c>
      <c r="J163" s="26" t="s">
        <v>1022</v>
      </c>
      <c r="K163" s="26" t="s">
        <v>1020</v>
      </c>
      <c r="L163" s="26"/>
      <c r="M163" s="26" t="s">
        <v>41</v>
      </c>
      <c r="N163" s="34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</row>
    <row r="164" spans="1:28" ht="14.4">
      <c r="A164" s="28" t="s">
        <v>21</v>
      </c>
      <c r="B164" s="26" t="s">
        <v>978</v>
      </c>
      <c r="C164" s="26" t="s">
        <v>85</v>
      </c>
      <c r="D164" s="28" t="s">
        <v>86</v>
      </c>
      <c r="E164" s="26" t="s">
        <v>54</v>
      </c>
      <c r="F164" s="26" t="s">
        <v>1045</v>
      </c>
      <c r="G164" s="26" t="s">
        <v>1046</v>
      </c>
      <c r="H164" s="26" t="s">
        <v>1047</v>
      </c>
      <c r="I164" s="26" t="s">
        <v>1048</v>
      </c>
      <c r="J164" s="26" t="s">
        <v>1022</v>
      </c>
      <c r="K164" s="26" t="s">
        <v>1047</v>
      </c>
      <c r="L164" s="26"/>
      <c r="M164" s="26" t="s">
        <v>41</v>
      </c>
      <c r="N164" s="34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</row>
    <row r="165" spans="1:28" ht="14.4">
      <c r="A165" s="28" t="s">
        <v>21</v>
      </c>
      <c r="B165" s="26" t="s">
        <v>978</v>
      </c>
      <c r="C165" s="26" t="s">
        <v>85</v>
      </c>
      <c r="D165" s="28" t="s">
        <v>86</v>
      </c>
      <c r="E165" s="26" t="s">
        <v>54</v>
      </c>
      <c r="F165" s="26" t="s">
        <v>1053</v>
      </c>
      <c r="G165" s="26" t="s">
        <v>1054</v>
      </c>
      <c r="H165" s="26" t="s">
        <v>1047</v>
      </c>
      <c r="I165" s="26" t="s">
        <v>1048</v>
      </c>
      <c r="J165" s="26" t="s">
        <v>1022</v>
      </c>
      <c r="K165" s="26" t="s">
        <v>1047</v>
      </c>
      <c r="L165" s="26"/>
      <c r="M165" s="26" t="s">
        <v>41</v>
      </c>
      <c r="N165" s="34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</row>
    <row r="166" spans="1:28" ht="14.4">
      <c r="A166" s="28" t="s">
        <v>21</v>
      </c>
      <c r="B166" s="26" t="s">
        <v>978</v>
      </c>
      <c r="C166" s="26" t="s">
        <v>85</v>
      </c>
      <c r="D166" s="28" t="s">
        <v>86</v>
      </c>
      <c r="E166" s="26" t="s">
        <v>54</v>
      </c>
      <c r="F166" s="26" t="s">
        <v>1057</v>
      </c>
      <c r="G166" s="26" t="s">
        <v>1058</v>
      </c>
      <c r="H166" s="26" t="s">
        <v>1047</v>
      </c>
      <c r="I166" s="26" t="s">
        <v>1048</v>
      </c>
      <c r="J166" s="26" t="s">
        <v>1022</v>
      </c>
      <c r="K166" s="26" t="s">
        <v>1047</v>
      </c>
      <c r="L166" s="26"/>
      <c r="M166" s="26" t="s">
        <v>41</v>
      </c>
      <c r="N166" s="34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</row>
    <row r="167" spans="1:28" ht="14.4">
      <c r="A167" s="28" t="s">
        <v>21</v>
      </c>
      <c r="B167" s="26" t="s">
        <v>978</v>
      </c>
      <c r="C167" s="26" t="s">
        <v>85</v>
      </c>
      <c r="D167" s="28" t="s">
        <v>86</v>
      </c>
      <c r="E167" s="26" t="s">
        <v>54</v>
      </c>
      <c r="F167" s="26" t="s">
        <v>1061</v>
      </c>
      <c r="G167" s="26" t="s">
        <v>1062</v>
      </c>
      <c r="H167" s="26" t="s">
        <v>1047</v>
      </c>
      <c r="I167" s="26" t="s">
        <v>1048</v>
      </c>
      <c r="J167" s="26" t="s">
        <v>1022</v>
      </c>
      <c r="K167" s="26" t="s">
        <v>1047</v>
      </c>
      <c r="L167" s="26"/>
      <c r="M167" s="26" t="s">
        <v>41</v>
      </c>
      <c r="N167" s="34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</row>
    <row r="168" spans="1:28" ht="14.4">
      <c r="A168" s="28" t="s">
        <v>21</v>
      </c>
      <c r="B168" s="26" t="s">
        <v>978</v>
      </c>
      <c r="C168" s="26" t="s">
        <v>85</v>
      </c>
      <c r="D168" s="28" t="s">
        <v>86</v>
      </c>
      <c r="E168" s="26" t="s">
        <v>54</v>
      </c>
      <c r="F168" s="26" t="s">
        <v>1067</v>
      </c>
      <c r="G168" s="26" t="s">
        <v>1068</v>
      </c>
      <c r="H168" s="26" t="s">
        <v>1070</v>
      </c>
      <c r="I168" s="26" t="s">
        <v>1071</v>
      </c>
      <c r="J168" s="26" t="s">
        <v>1022</v>
      </c>
      <c r="K168" s="26" t="s">
        <v>1070</v>
      </c>
      <c r="L168" s="26"/>
      <c r="M168" s="26" t="s">
        <v>41</v>
      </c>
      <c r="N168" s="34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</row>
    <row r="169" spans="1:28" ht="14.4">
      <c r="A169" s="28" t="s">
        <v>21</v>
      </c>
      <c r="B169" s="26" t="s">
        <v>978</v>
      </c>
      <c r="C169" s="26" t="s">
        <v>85</v>
      </c>
      <c r="D169" s="28" t="s">
        <v>86</v>
      </c>
      <c r="E169" s="26" t="s">
        <v>54</v>
      </c>
      <c r="F169" s="26" t="s">
        <v>1072</v>
      </c>
      <c r="G169" s="26" t="s">
        <v>1073</v>
      </c>
      <c r="H169" s="26" t="s">
        <v>1074</v>
      </c>
      <c r="I169" s="26" t="s">
        <v>384</v>
      </c>
      <c r="J169" s="26" t="s">
        <v>1022</v>
      </c>
      <c r="K169" s="26" t="s">
        <v>1074</v>
      </c>
      <c r="L169" s="26"/>
      <c r="M169" s="26" t="s">
        <v>41</v>
      </c>
      <c r="N169" s="34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</row>
    <row r="170" spans="1:28" ht="14.4">
      <c r="A170" s="28" t="s">
        <v>21</v>
      </c>
      <c r="B170" s="26" t="s">
        <v>978</v>
      </c>
      <c r="C170" s="26" t="s">
        <v>85</v>
      </c>
      <c r="D170" s="28" t="s">
        <v>86</v>
      </c>
      <c r="E170" s="26" t="s">
        <v>54</v>
      </c>
      <c r="F170" s="26" t="s">
        <v>1077</v>
      </c>
      <c r="G170" s="26" t="s">
        <v>1078</v>
      </c>
      <c r="H170" s="26" t="s">
        <v>1079</v>
      </c>
      <c r="I170" s="26" t="s">
        <v>1080</v>
      </c>
      <c r="J170" s="26" t="s">
        <v>1022</v>
      </c>
      <c r="K170" s="26" t="s">
        <v>1079</v>
      </c>
      <c r="L170" s="26"/>
      <c r="M170" s="26" t="s">
        <v>41</v>
      </c>
      <c r="N170" s="34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</row>
    <row r="171" spans="1:28" ht="14.4">
      <c r="A171" s="28" t="s">
        <v>21</v>
      </c>
      <c r="B171" s="26" t="s">
        <v>978</v>
      </c>
      <c r="C171" s="26" t="s">
        <v>85</v>
      </c>
      <c r="D171" s="28" t="s">
        <v>86</v>
      </c>
      <c r="E171" s="26" t="s">
        <v>54</v>
      </c>
      <c r="F171" s="26" t="s">
        <v>1082</v>
      </c>
      <c r="G171" s="26" t="s">
        <v>1083</v>
      </c>
      <c r="H171" s="26" t="s">
        <v>1084</v>
      </c>
      <c r="I171" s="26" t="s">
        <v>468</v>
      </c>
      <c r="J171" s="26" t="s">
        <v>1022</v>
      </c>
      <c r="K171" s="26" t="s">
        <v>1084</v>
      </c>
      <c r="L171" s="26"/>
      <c r="M171" s="26" t="s">
        <v>41</v>
      </c>
      <c r="N171" s="34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</row>
    <row r="172" spans="1:28" ht="14.4">
      <c r="A172" s="28" t="s">
        <v>21</v>
      </c>
      <c r="B172" s="26" t="s">
        <v>978</v>
      </c>
      <c r="C172" s="26" t="s">
        <v>220</v>
      </c>
      <c r="D172" s="57" t="s">
        <v>234</v>
      </c>
      <c r="E172" s="26" t="s">
        <v>54</v>
      </c>
      <c r="F172" s="26" t="s">
        <v>1093</v>
      </c>
      <c r="G172" s="26" t="s">
        <v>1094</v>
      </c>
      <c r="H172" s="26" t="s">
        <v>1020</v>
      </c>
      <c r="I172" s="26" t="s">
        <v>1021</v>
      </c>
      <c r="J172" s="26" t="s">
        <v>1096</v>
      </c>
      <c r="K172" s="26" t="s">
        <v>1020</v>
      </c>
      <c r="L172" s="26"/>
      <c r="M172" s="26" t="s">
        <v>41</v>
      </c>
      <c r="N172" s="34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</row>
    <row r="173" spans="1:28" ht="14.4">
      <c r="A173" s="28" t="s">
        <v>21</v>
      </c>
      <c r="B173" s="26" t="s">
        <v>978</v>
      </c>
      <c r="C173" s="26" t="s">
        <v>220</v>
      </c>
      <c r="D173" s="57" t="s">
        <v>234</v>
      </c>
      <c r="E173" s="26" t="s">
        <v>54</v>
      </c>
      <c r="F173" s="26" t="s">
        <v>1100</v>
      </c>
      <c r="G173" s="26" t="s">
        <v>1101</v>
      </c>
      <c r="H173" s="26" t="s">
        <v>1020</v>
      </c>
      <c r="I173" s="26" t="s">
        <v>1021</v>
      </c>
      <c r="J173" s="26" t="s">
        <v>1096</v>
      </c>
      <c r="K173" s="26" t="s">
        <v>1020</v>
      </c>
      <c r="L173" s="26"/>
      <c r="M173" s="26" t="s">
        <v>41</v>
      </c>
      <c r="N173" s="34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</row>
    <row r="174" spans="1:28" ht="14.4">
      <c r="A174" s="28" t="s">
        <v>21</v>
      </c>
      <c r="B174" s="26" t="s">
        <v>978</v>
      </c>
      <c r="C174" s="26" t="s">
        <v>220</v>
      </c>
      <c r="D174" s="57" t="s">
        <v>234</v>
      </c>
      <c r="E174" s="26" t="s">
        <v>54</v>
      </c>
      <c r="F174" s="26" t="s">
        <v>1103</v>
      </c>
      <c r="G174" s="26" t="s">
        <v>1105</v>
      </c>
      <c r="H174" s="26" t="s">
        <v>1020</v>
      </c>
      <c r="I174" s="26" t="s">
        <v>1021</v>
      </c>
      <c r="J174" s="26" t="s">
        <v>1096</v>
      </c>
      <c r="K174" s="26" t="s">
        <v>1020</v>
      </c>
      <c r="L174" s="26"/>
      <c r="M174" s="26" t="s">
        <v>41</v>
      </c>
      <c r="N174" s="34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</row>
    <row r="175" spans="1:28" ht="14.4">
      <c r="A175" s="28" t="s">
        <v>21</v>
      </c>
      <c r="B175" s="26" t="s">
        <v>978</v>
      </c>
      <c r="C175" s="26" t="s">
        <v>233</v>
      </c>
      <c r="D175" s="29" t="s">
        <v>298</v>
      </c>
      <c r="E175" s="26" t="s">
        <v>54</v>
      </c>
      <c r="F175" s="26" t="s">
        <v>1112</v>
      </c>
      <c r="G175" s="26" t="s">
        <v>1113</v>
      </c>
      <c r="H175" s="26" t="s">
        <v>1020</v>
      </c>
      <c r="I175" s="26" t="s">
        <v>1021</v>
      </c>
      <c r="J175" s="26" t="s">
        <v>1115</v>
      </c>
      <c r="K175" s="26" t="s">
        <v>1020</v>
      </c>
      <c r="L175" s="26" t="s">
        <v>729</v>
      </c>
      <c r="M175" s="26" t="s">
        <v>41</v>
      </c>
      <c r="N175" s="34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</row>
    <row r="176" spans="1:28" ht="14.4">
      <c r="A176" s="28" t="s">
        <v>21</v>
      </c>
      <c r="B176" s="26" t="s">
        <v>978</v>
      </c>
      <c r="C176" s="26" t="s">
        <v>233</v>
      </c>
      <c r="D176" s="29" t="s">
        <v>298</v>
      </c>
      <c r="E176" s="26" t="s">
        <v>54</v>
      </c>
      <c r="F176" s="26" t="s">
        <v>1120</v>
      </c>
      <c r="G176" s="26" t="s">
        <v>1128</v>
      </c>
      <c r="H176" s="26" t="s">
        <v>1020</v>
      </c>
      <c r="I176" s="26" t="s">
        <v>1021</v>
      </c>
      <c r="J176" s="26" t="s">
        <v>1115</v>
      </c>
      <c r="K176" s="26" t="s">
        <v>1020</v>
      </c>
      <c r="L176" s="26" t="s">
        <v>729</v>
      </c>
      <c r="M176" s="26" t="s">
        <v>41</v>
      </c>
      <c r="N176" s="34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</row>
    <row r="177" spans="1:28" ht="14.4">
      <c r="A177" s="28" t="s">
        <v>21</v>
      </c>
      <c r="B177" s="26" t="s">
        <v>978</v>
      </c>
      <c r="C177" s="26" t="s">
        <v>275</v>
      </c>
      <c r="D177" s="28" t="s">
        <v>543</v>
      </c>
      <c r="E177" s="26" t="s">
        <v>54</v>
      </c>
      <c r="F177" s="31" t="s">
        <v>1145</v>
      </c>
      <c r="G177" s="26" t="s">
        <v>1146</v>
      </c>
      <c r="H177" s="26" t="s">
        <v>1147</v>
      </c>
      <c r="I177" s="26" t="s">
        <v>384</v>
      </c>
      <c r="J177" s="94">
        <v>44899</v>
      </c>
      <c r="K177" s="26" t="s">
        <v>1147</v>
      </c>
      <c r="L177" s="26"/>
      <c r="M177" s="26" t="s">
        <v>41</v>
      </c>
      <c r="N177" s="34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</row>
    <row r="178" spans="1:28" ht="14.4">
      <c r="A178" s="28" t="s">
        <v>21</v>
      </c>
      <c r="B178" s="26" t="s">
        <v>978</v>
      </c>
      <c r="C178" s="26" t="s">
        <v>233</v>
      </c>
      <c r="D178" s="29" t="s">
        <v>298</v>
      </c>
      <c r="E178" s="26" t="s">
        <v>54</v>
      </c>
      <c r="F178" s="26" t="s">
        <v>1152</v>
      </c>
      <c r="G178" s="26" t="s">
        <v>1153</v>
      </c>
      <c r="H178" s="26" t="s">
        <v>1154</v>
      </c>
      <c r="I178" s="26" t="s">
        <v>660</v>
      </c>
      <c r="J178" s="26" t="s">
        <v>1155</v>
      </c>
      <c r="K178" s="26" t="s">
        <v>1156</v>
      </c>
      <c r="L178" s="26" t="s">
        <v>729</v>
      </c>
      <c r="M178" s="26" t="s">
        <v>41</v>
      </c>
      <c r="N178" s="34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</row>
    <row r="179" spans="1:28" ht="14.4">
      <c r="A179" s="28" t="s">
        <v>21</v>
      </c>
      <c r="B179" s="26" t="s">
        <v>1158</v>
      </c>
      <c r="C179" s="26" t="s">
        <v>85</v>
      </c>
      <c r="D179" s="28" t="s">
        <v>86</v>
      </c>
      <c r="E179" s="26" t="s">
        <v>54</v>
      </c>
      <c r="F179" s="26" t="s">
        <v>1159</v>
      </c>
      <c r="G179" s="26" t="s">
        <v>1160</v>
      </c>
      <c r="H179" s="26" t="s">
        <v>1161</v>
      </c>
      <c r="I179" s="26" t="s">
        <v>1162</v>
      </c>
      <c r="J179" s="26" t="s">
        <v>1164</v>
      </c>
      <c r="K179" s="26" t="s">
        <v>1166</v>
      </c>
      <c r="L179" s="26"/>
      <c r="M179" s="26" t="s">
        <v>41</v>
      </c>
      <c r="N179" s="34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</row>
    <row r="180" spans="1:28" ht="14.4">
      <c r="A180" s="28" t="s">
        <v>21</v>
      </c>
      <c r="B180" s="26" t="s">
        <v>1158</v>
      </c>
      <c r="C180" s="26" t="s">
        <v>85</v>
      </c>
      <c r="D180" s="28" t="s">
        <v>86</v>
      </c>
      <c r="E180" s="26" t="s">
        <v>54</v>
      </c>
      <c r="F180" s="26" t="s">
        <v>1170</v>
      </c>
      <c r="G180" s="26" t="s">
        <v>1171</v>
      </c>
      <c r="H180" s="26" t="s">
        <v>1161</v>
      </c>
      <c r="I180" s="26" t="s">
        <v>1162</v>
      </c>
      <c r="J180" s="26" t="s">
        <v>1164</v>
      </c>
      <c r="K180" s="26" t="s">
        <v>1166</v>
      </c>
      <c r="L180" s="26"/>
      <c r="M180" s="26" t="s">
        <v>41</v>
      </c>
      <c r="N180" s="34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</row>
    <row r="181" spans="1:28" ht="14.4">
      <c r="A181" s="28" t="s">
        <v>21</v>
      </c>
      <c r="B181" s="26" t="s">
        <v>1158</v>
      </c>
      <c r="C181" s="26" t="s">
        <v>85</v>
      </c>
      <c r="D181" s="28" t="s">
        <v>86</v>
      </c>
      <c r="E181" s="26" t="s">
        <v>54</v>
      </c>
      <c r="F181" s="26" t="s">
        <v>1176</v>
      </c>
      <c r="G181" s="26" t="s">
        <v>1177</v>
      </c>
      <c r="H181" s="26" t="s">
        <v>1161</v>
      </c>
      <c r="I181" s="26" t="s">
        <v>1162</v>
      </c>
      <c r="J181" s="26" t="s">
        <v>1164</v>
      </c>
      <c r="K181" s="26" t="s">
        <v>1166</v>
      </c>
      <c r="L181" s="26"/>
      <c r="M181" s="26" t="s">
        <v>41</v>
      </c>
      <c r="N181" s="34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</row>
    <row r="182" spans="1:28" ht="14.4">
      <c r="A182" s="28" t="s">
        <v>21</v>
      </c>
      <c r="B182" s="26" t="s">
        <v>1158</v>
      </c>
      <c r="C182" s="26" t="s">
        <v>85</v>
      </c>
      <c r="D182" s="28" t="s">
        <v>86</v>
      </c>
      <c r="E182" s="26" t="s">
        <v>54</v>
      </c>
      <c r="F182" s="26" t="s">
        <v>1178</v>
      </c>
      <c r="G182" s="26" t="s">
        <v>1179</v>
      </c>
      <c r="H182" s="26" t="s">
        <v>1161</v>
      </c>
      <c r="I182" s="26" t="s">
        <v>1162</v>
      </c>
      <c r="J182" s="26" t="s">
        <v>1164</v>
      </c>
      <c r="K182" s="26" t="s">
        <v>1166</v>
      </c>
      <c r="L182" s="26"/>
      <c r="M182" s="26" t="s">
        <v>41</v>
      </c>
      <c r="N182" s="34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</row>
    <row r="183" spans="1:28" ht="14.4">
      <c r="A183" s="28" t="s">
        <v>21</v>
      </c>
      <c r="B183" s="26" t="s">
        <v>1158</v>
      </c>
      <c r="C183" s="26" t="s">
        <v>85</v>
      </c>
      <c r="D183" s="28" t="s">
        <v>86</v>
      </c>
      <c r="E183" s="26" t="s">
        <v>54</v>
      </c>
      <c r="F183" s="26" t="s">
        <v>1183</v>
      </c>
      <c r="G183" s="26" t="s">
        <v>1185</v>
      </c>
      <c r="H183" s="26" t="s">
        <v>1161</v>
      </c>
      <c r="I183" s="26" t="s">
        <v>1162</v>
      </c>
      <c r="J183" s="26" t="s">
        <v>1164</v>
      </c>
      <c r="K183" s="26" t="s">
        <v>1166</v>
      </c>
      <c r="L183" s="26"/>
      <c r="M183" s="26" t="s">
        <v>41</v>
      </c>
      <c r="N183" s="34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</row>
    <row r="184" spans="1:28" ht="14.4">
      <c r="A184" s="28" t="s">
        <v>21</v>
      </c>
      <c r="B184" s="26" t="s">
        <v>1158</v>
      </c>
      <c r="C184" s="26" t="s">
        <v>85</v>
      </c>
      <c r="D184" s="28" t="s">
        <v>86</v>
      </c>
      <c r="E184" s="26" t="s">
        <v>54</v>
      </c>
      <c r="F184" s="26" t="s">
        <v>1186</v>
      </c>
      <c r="G184" s="26" t="s">
        <v>1187</v>
      </c>
      <c r="H184" s="26" t="s">
        <v>1161</v>
      </c>
      <c r="I184" s="26" t="s">
        <v>1162</v>
      </c>
      <c r="J184" s="26" t="s">
        <v>1164</v>
      </c>
      <c r="K184" s="26" t="s">
        <v>1166</v>
      </c>
      <c r="L184" s="26"/>
      <c r="M184" s="26" t="s">
        <v>41</v>
      </c>
      <c r="N184" s="34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</row>
    <row r="185" spans="1:28" ht="14.4">
      <c r="A185" s="28" t="s">
        <v>21</v>
      </c>
      <c r="B185" s="26" t="s">
        <v>1158</v>
      </c>
      <c r="C185" s="26" t="s">
        <v>85</v>
      </c>
      <c r="D185" s="28" t="s">
        <v>86</v>
      </c>
      <c r="E185" s="26" t="s">
        <v>54</v>
      </c>
      <c r="F185" s="26" t="s">
        <v>1188</v>
      </c>
      <c r="G185" s="26" t="s">
        <v>1190</v>
      </c>
      <c r="H185" s="26" t="s">
        <v>1161</v>
      </c>
      <c r="I185" s="26" t="s">
        <v>1162</v>
      </c>
      <c r="J185" s="26" t="s">
        <v>1164</v>
      </c>
      <c r="K185" s="26" t="s">
        <v>1166</v>
      </c>
      <c r="L185" s="26"/>
      <c r="M185" s="26" t="s">
        <v>41</v>
      </c>
      <c r="N185" s="34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</row>
    <row r="186" spans="1:28" ht="14.4">
      <c r="A186" s="28" t="s">
        <v>21</v>
      </c>
      <c r="B186" s="26" t="s">
        <v>1158</v>
      </c>
      <c r="C186" s="26" t="s">
        <v>85</v>
      </c>
      <c r="D186" s="28" t="s">
        <v>86</v>
      </c>
      <c r="E186" s="26" t="s">
        <v>54</v>
      </c>
      <c r="F186" s="26" t="s">
        <v>1193</v>
      </c>
      <c r="G186" s="26" t="s">
        <v>1194</v>
      </c>
      <c r="H186" s="26" t="s">
        <v>1161</v>
      </c>
      <c r="I186" s="26" t="s">
        <v>1162</v>
      </c>
      <c r="J186" s="26" t="s">
        <v>1164</v>
      </c>
      <c r="K186" s="26" t="s">
        <v>1166</v>
      </c>
      <c r="L186" s="26"/>
      <c r="M186" s="26" t="s">
        <v>41</v>
      </c>
      <c r="N186" s="34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</row>
    <row r="187" spans="1:28" ht="14.4">
      <c r="A187" s="28" t="s">
        <v>21</v>
      </c>
      <c r="B187" s="26" t="s">
        <v>1158</v>
      </c>
      <c r="C187" s="26" t="s">
        <v>85</v>
      </c>
      <c r="D187" s="28" t="s">
        <v>86</v>
      </c>
      <c r="E187" s="26" t="s">
        <v>54</v>
      </c>
      <c r="F187" s="26" t="s">
        <v>1197</v>
      </c>
      <c r="G187" s="26" t="s">
        <v>1198</v>
      </c>
      <c r="H187" s="26" t="s">
        <v>1161</v>
      </c>
      <c r="I187" s="26" t="s">
        <v>1162</v>
      </c>
      <c r="J187" s="26" t="s">
        <v>1164</v>
      </c>
      <c r="K187" s="26" t="s">
        <v>1166</v>
      </c>
      <c r="L187" s="26"/>
      <c r="M187" s="26" t="s">
        <v>41</v>
      </c>
      <c r="N187" s="34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</row>
    <row r="188" spans="1:28" ht="14.4">
      <c r="A188" s="28" t="s">
        <v>21</v>
      </c>
      <c r="B188" s="26" t="s">
        <v>1158</v>
      </c>
      <c r="C188" s="26" t="s">
        <v>85</v>
      </c>
      <c r="D188" s="28" t="s">
        <v>86</v>
      </c>
      <c r="E188" s="26" t="s">
        <v>54</v>
      </c>
      <c r="F188" s="26" t="s">
        <v>1202</v>
      </c>
      <c r="G188" s="26" t="s">
        <v>1203</v>
      </c>
      <c r="H188" s="26" t="s">
        <v>1161</v>
      </c>
      <c r="I188" s="26" t="s">
        <v>1162</v>
      </c>
      <c r="J188" s="26" t="s">
        <v>1164</v>
      </c>
      <c r="K188" s="26" t="s">
        <v>1166</v>
      </c>
      <c r="L188" s="26"/>
      <c r="M188" s="26" t="s">
        <v>41</v>
      </c>
      <c r="N188" s="34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</row>
    <row r="189" spans="1:28" ht="14.4">
      <c r="A189" s="28" t="s">
        <v>21</v>
      </c>
      <c r="B189" s="26" t="s">
        <v>1158</v>
      </c>
      <c r="C189" s="26" t="s">
        <v>85</v>
      </c>
      <c r="D189" s="28" t="s">
        <v>86</v>
      </c>
      <c r="E189" s="26" t="s">
        <v>54</v>
      </c>
      <c r="F189" s="26" t="s">
        <v>1208</v>
      </c>
      <c r="G189" s="26" t="s">
        <v>1210</v>
      </c>
      <c r="H189" s="26" t="s">
        <v>1161</v>
      </c>
      <c r="I189" s="26" t="s">
        <v>1162</v>
      </c>
      <c r="J189" s="26" t="s">
        <v>1164</v>
      </c>
      <c r="K189" s="26" t="s">
        <v>1166</v>
      </c>
      <c r="L189" s="26"/>
      <c r="M189" s="26" t="s">
        <v>41</v>
      </c>
      <c r="N189" s="34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</row>
    <row r="190" spans="1:28" ht="14.4">
      <c r="A190" s="28" t="s">
        <v>21</v>
      </c>
      <c r="B190" s="26" t="s">
        <v>1158</v>
      </c>
      <c r="C190" s="26" t="s">
        <v>85</v>
      </c>
      <c r="D190" s="28" t="s">
        <v>86</v>
      </c>
      <c r="E190" s="26" t="s">
        <v>54</v>
      </c>
      <c r="F190" s="26" t="s">
        <v>1211</v>
      </c>
      <c r="G190" s="26" t="s">
        <v>1212</v>
      </c>
      <c r="H190" s="26" t="s">
        <v>1161</v>
      </c>
      <c r="I190" s="26" t="s">
        <v>1162</v>
      </c>
      <c r="J190" s="26" t="s">
        <v>1164</v>
      </c>
      <c r="K190" s="26" t="s">
        <v>1166</v>
      </c>
      <c r="L190" s="26"/>
      <c r="M190" s="26" t="s">
        <v>41</v>
      </c>
      <c r="N190" s="34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</row>
    <row r="191" spans="1:28" ht="14.4">
      <c r="A191" s="28" t="s">
        <v>21</v>
      </c>
      <c r="B191" s="26" t="s">
        <v>1158</v>
      </c>
      <c r="C191" s="26" t="s">
        <v>85</v>
      </c>
      <c r="D191" s="28" t="s">
        <v>86</v>
      </c>
      <c r="E191" s="26" t="s">
        <v>54</v>
      </c>
      <c r="F191" s="26" t="s">
        <v>1217</v>
      </c>
      <c r="G191" s="26" t="s">
        <v>1218</v>
      </c>
      <c r="H191" s="26" t="s">
        <v>1161</v>
      </c>
      <c r="I191" s="26" t="s">
        <v>1162</v>
      </c>
      <c r="J191" s="26" t="s">
        <v>1164</v>
      </c>
      <c r="K191" s="26" t="s">
        <v>1166</v>
      </c>
      <c r="L191" s="26"/>
      <c r="M191" s="26" t="s">
        <v>41</v>
      </c>
      <c r="N191" s="34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</row>
    <row r="192" spans="1:28" ht="14.4">
      <c r="A192" s="28" t="s">
        <v>21</v>
      </c>
      <c r="B192" s="26" t="s">
        <v>1158</v>
      </c>
      <c r="C192" s="26" t="s">
        <v>85</v>
      </c>
      <c r="D192" s="28" t="s">
        <v>86</v>
      </c>
      <c r="E192" s="26" t="s">
        <v>54</v>
      </c>
      <c r="F192" s="26" t="s">
        <v>1219</v>
      </c>
      <c r="G192" s="26" t="s">
        <v>1221</v>
      </c>
      <c r="H192" s="26" t="s">
        <v>1161</v>
      </c>
      <c r="I192" s="26" t="s">
        <v>1162</v>
      </c>
      <c r="J192" s="26" t="s">
        <v>1164</v>
      </c>
      <c r="K192" s="26" t="s">
        <v>1166</v>
      </c>
      <c r="L192" s="26"/>
      <c r="M192" s="26" t="s">
        <v>41</v>
      </c>
      <c r="N192" s="34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</row>
    <row r="193" spans="1:28" ht="14.4">
      <c r="A193" s="28" t="s">
        <v>21</v>
      </c>
      <c r="B193" s="26" t="s">
        <v>1158</v>
      </c>
      <c r="C193" s="26" t="s">
        <v>220</v>
      </c>
      <c r="D193" s="57" t="s">
        <v>234</v>
      </c>
      <c r="E193" s="26" t="s">
        <v>54</v>
      </c>
      <c r="F193" s="26" t="s">
        <v>1227</v>
      </c>
      <c r="G193" s="26" t="s">
        <v>1228</v>
      </c>
      <c r="H193" s="26" t="s">
        <v>1161</v>
      </c>
      <c r="I193" s="26" t="s">
        <v>929</v>
      </c>
      <c r="J193" s="26" t="s">
        <v>1229</v>
      </c>
      <c r="K193" s="26" t="s">
        <v>1161</v>
      </c>
      <c r="L193" s="26"/>
      <c r="M193" s="26" t="s">
        <v>41</v>
      </c>
      <c r="N193" s="34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</row>
    <row r="194" spans="1:28" ht="14.4">
      <c r="A194" s="28" t="s">
        <v>21</v>
      </c>
      <c r="B194" s="26" t="s">
        <v>1158</v>
      </c>
      <c r="C194" s="26" t="s">
        <v>220</v>
      </c>
      <c r="D194" s="57" t="s">
        <v>234</v>
      </c>
      <c r="E194" s="26" t="s">
        <v>54</v>
      </c>
      <c r="F194" s="26" t="s">
        <v>1234</v>
      </c>
      <c r="G194" s="26" t="s">
        <v>1235</v>
      </c>
      <c r="H194" s="26" t="s">
        <v>1161</v>
      </c>
      <c r="I194" s="26" t="s">
        <v>929</v>
      </c>
      <c r="J194" s="26" t="s">
        <v>1229</v>
      </c>
      <c r="K194" s="26" t="s">
        <v>1161</v>
      </c>
      <c r="L194" s="26"/>
      <c r="M194" s="26" t="s">
        <v>41</v>
      </c>
      <c r="N194" s="34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</row>
    <row r="195" spans="1:28" ht="14.4">
      <c r="A195" s="28" t="s">
        <v>21</v>
      </c>
      <c r="B195" s="26" t="s">
        <v>1158</v>
      </c>
      <c r="C195" s="26" t="s">
        <v>220</v>
      </c>
      <c r="D195" s="57" t="s">
        <v>234</v>
      </c>
      <c r="E195" s="26" t="s">
        <v>54</v>
      </c>
      <c r="F195" s="26" t="s">
        <v>1240</v>
      </c>
      <c r="G195" s="26" t="s">
        <v>1241</v>
      </c>
      <c r="H195" s="26" t="s">
        <v>1161</v>
      </c>
      <c r="I195" s="26" t="s">
        <v>929</v>
      </c>
      <c r="J195" s="26" t="s">
        <v>1229</v>
      </c>
      <c r="K195" s="26" t="s">
        <v>1161</v>
      </c>
      <c r="L195" s="26"/>
      <c r="M195" s="26" t="s">
        <v>41</v>
      </c>
      <c r="N195" s="34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</row>
    <row r="196" spans="1:28" ht="14.4">
      <c r="A196" s="28" t="s">
        <v>21</v>
      </c>
      <c r="B196" s="26" t="s">
        <v>1158</v>
      </c>
      <c r="C196" s="26" t="s">
        <v>233</v>
      </c>
      <c r="D196" s="29" t="s">
        <v>298</v>
      </c>
      <c r="E196" s="26" t="s">
        <v>54</v>
      </c>
      <c r="F196" s="26" t="s">
        <v>1246</v>
      </c>
      <c r="G196" s="26" t="s">
        <v>1247</v>
      </c>
      <c r="H196" s="26" t="s">
        <v>1161</v>
      </c>
      <c r="I196" s="26" t="s">
        <v>557</v>
      </c>
      <c r="J196" s="26" t="s">
        <v>1249</v>
      </c>
      <c r="K196" s="26" t="s">
        <v>1161</v>
      </c>
      <c r="L196" s="26" t="s">
        <v>729</v>
      </c>
      <c r="M196" s="26" t="s">
        <v>41</v>
      </c>
      <c r="N196" s="34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</row>
    <row r="197" spans="1:28" ht="14.4">
      <c r="A197" s="28" t="s">
        <v>21</v>
      </c>
      <c r="B197" s="26" t="s">
        <v>1158</v>
      </c>
      <c r="C197" s="26" t="s">
        <v>233</v>
      </c>
      <c r="D197" s="29" t="s">
        <v>298</v>
      </c>
      <c r="E197" s="26" t="s">
        <v>54</v>
      </c>
      <c r="F197" s="26" t="s">
        <v>1256</v>
      </c>
      <c r="G197" s="26" t="s">
        <v>1258</v>
      </c>
      <c r="H197" s="26" t="s">
        <v>1161</v>
      </c>
      <c r="I197" s="26" t="s">
        <v>557</v>
      </c>
      <c r="J197" s="26" t="s">
        <v>1249</v>
      </c>
      <c r="K197" s="26" t="s">
        <v>1161</v>
      </c>
      <c r="L197" s="26" t="s">
        <v>729</v>
      </c>
      <c r="M197" s="26" t="s">
        <v>41</v>
      </c>
      <c r="N197" s="34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</row>
    <row r="198" spans="1:28" ht="14.4">
      <c r="A198" s="28" t="s">
        <v>21</v>
      </c>
      <c r="B198" s="26" t="s">
        <v>1158</v>
      </c>
      <c r="C198" s="26" t="s">
        <v>275</v>
      </c>
      <c r="D198" s="28" t="s">
        <v>543</v>
      </c>
      <c r="E198" s="26" t="s">
        <v>54</v>
      </c>
      <c r="F198" s="31" t="s">
        <v>1261</v>
      </c>
      <c r="G198" s="26" t="s">
        <v>1262</v>
      </c>
      <c r="H198" s="26" t="s">
        <v>1264</v>
      </c>
      <c r="I198" s="26" t="s">
        <v>384</v>
      </c>
      <c r="J198" s="94">
        <v>44898</v>
      </c>
      <c r="K198" s="26" t="s">
        <v>1267</v>
      </c>
      <c r="L198" s="26"/>
      <c r="M198" s="26" t="s">
        <v>41</v>
      </c>
      <c r="N198" s="34"/>
      <c r="O198" s="38"/>
      <c r="P198" s="45"/>
      <c r="Q198" s="45"/>
      <c r="R198" s="45"/>
      <c r="S198" s="45"/>
      <c r="T198" s="45"/>
      <c r="U198" s="45"/>
      <c r="V198" s="45"/>
      <c r="W198" s="45"/>
      <c r="X198" s="38"/>
      <c r="Y198" s="38"/>
      <c r="Z198" s="38"/>
      <c r="AA198" s="38"/>
      <c r="AB198" s="38"/>
    </row>
    <row r="199" spans="1:28" ht="14.4">
      <c r="A199" s="34" t="s">
        <v>21</v>
      </c>
      <c r="B199" s="26" t="s">
        <v>1158</v>
      </c>
      <c r="C199" s="26" t="s">
        <v>233</v>
      </c>
      <c r="D199" s="29" t="s">
        <v>298</v>
      </c>
      <c r="E199" s="26" t="s">
        <v>54</v>
      </c>
      <c r="F199" s="26" t="s">
        <v>1272</v>
      </c>
      <c r="G199" s="26" t="s">
        <v>1274</v>
      </c>
      <c r="H199" s="26" t="s">
        <v>1276</v>
      </c>
      <c r="I199" s="26" t="s">
        <v>557</v>
      </c>
      <c r="J199" s="26" t="s">
        <v>1277</v>
      </c>
      <c r="K199" s="26" t="s">
        <v>1279</v>
      </c>
      <c r="L199" s="26" t="s">
        <v>729</v>
      </c>
      <c r="M199" s="26" t="s">
        <v>41</v>
      </c>
      <c r="N199" s="34"/>
      <c r="O199" s="38"/>
      <c r="P199" s="45"/>
      <c r="Q199" s="45"/>
      <c r="R199" s="45"/>
      <c r="S199" s="45"/>
      <c r="T199" s="45"/>
      <c r="U199" s="45"/>
      <c r="V199" s="45"/>
      <c r="W199" s="45"/>
      <c r="X199" s="38"/>
      <c r="Y199" s="38"/>
      <c r="Z199" s="38"/>
      <c r="AA199" s="38"/>
      <c r="AB199" s="38"/>
    </row>
    <row r="200" spans="1:28" ht="14.4">
      <c r="A200" s="34" t="s">
        <v>21</v>
      </c>
      <c r="B200" s="26" t="s">
        <v>1158</v>
      </c>
      <c r="C200" s="26" t="s">
        <v>287</v>
      </c>
      <c r="D200" s="28" t="s">
        <v>71</v>
      </c>
      <c r="E200" s="26" t="s">
        <v>54</v>
      </c>
      <c r="F200" s="26"/>
      <c r="G200" s="26"/>
      <c r="H200" s="26"/>
      <c r="I200" s="26"/>
      <c r="J200" s="26"/>
      <c r="K200" s="26"/>
      <c r="L200" s="26"/>
      <c r="M200" s="26"/>
      <c r="N200" s="34"/>
      <c r="O200" s="38"/>
      <c r="P200" s="45"/>
      <c r="Q200" s="45"/>
      <c r="R200" s="45"/>
      <c r="S200" s="45"/>
      <c r="T200" s="45"/>
      <c r="U200" s="45"/>
      <c r="V200" s="45"/>
      <c r="W200" s="45"/>
      <c r="X200" s="38"/>
      <c r="Y200" s="38"/>
      <c r="Z200" s="38"/>
      <c r="AA200" s="38"/>
      <c r="AB200" s="38"/>
    </row>
    <row r="201" spans="1:28" ht="14.4">
      <c r="A201" s="34" t="s">
        <v>21</v>
      </c>
      <c r="B201" s="110" t="s">
        <v>1158</v>
      </c>
      <c r="C201" s="110" t="s">
        <v>296</v>
      </c>
      <c r="D201" s="73">
        <v>33508</v>
      </c>
      <c r="E201" s="26" t="s">
        <v>54</v>
      </c>
      <c r="F201" s="97" t="s">
        <v>1293</v>
      </c>
      <c r="G201" s="110"/>
      <c r="H201" s="110" t="s">
        <v>303</v>
      </c>
      <c r="I201" s="110" t="s">
        <v>335</v>
      </c>
      <c r="J201" s="110" t="s">
        <v>336</v>
      </c>
      <c r="K201" s="110"/>
      <c r="L201" s="110" t="s">
        <v>1298</v>
      </c>
      <c r="M201" s="110" t="s">
        <v>41</v>
      </c>
      <c r="N201" s="28"/>
      <c r="O201" s="38"/>
      <c r="P201" s="45"/>
      <c r="Q201" s="45"/>
      <c r="R201" s="45"/>
      <c r="S201" s="45"/>
      <c r="T201" s="45"/>
      <c r="U201" s="45"/>
      <c r="V201" s="45"/>
      <c r="W201" s="45"/>
      <c r="X201" s="38"/>
      <c r="Y201" s="38"/>
      <c r="Z201" s="38"/>
      <c r="AA201" s="38"/>
      <c r="AB201" s="38"/>
    </row>
    <row r="202" spans="1:28" ht="14.4">
      <c r="A202" s="28" t="s">
        <v>21</v>
      </c>
      <c r="B202" s="26" t="s">
        <v>49</v>
      </c>
      <c r="C202" s="26" t="s">
        <v>20</v>
      </c>
      <c r="D202" s="28" t="s">
        <v>1305</v>
      </c>
      <c r="E202" s="26" t="s">
        <v>54</v>
      </c>
      <c r="F202" s="26" t="s">
        <v>1306</v>
      </c>
      <c r="G202" s="26" t="s">
        <v>1309</v>
      </c>
      <c r="H202" s="28" t="s">
        <v>1312</v>
      </c>
      <c r="I202" s="26" t="s">
        <v>1314</v>
      </c>
      <c r="J202" s="26" t="s">
        <v>1315</v>
      </c>
      <c r="K202" s="28" t="s">
        <v>303</v>
      </c>
      <c r="L202" s="89" t="s">
        <v>1318</v>
      </c>
      <c r="M202" s="26" t="s">
        <v>41</v>
      </c>
      <c r="N202" s="57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45"/>
      <c r="AB202" s="45"/>
    </row>
    <row r="203" spans="1:28" ht="14.4">
      <c r="A203" s="28" t="s">
        <v>21</v>
      </c>
      <c r="B203" s="26" t="s">
        <v>49</v>
      </c>
      <c r="C203" s="26" t="s">
        <v>20</v>
      </c>
      <c r="D203" s="28" t="s">
        <v>1305</v>
      </c>
      <c r="E203" s="26" t="s">
        <v>54</v>
      </c>
      <c r="F203" s="26" t="s">
        <v>1327</v>
      </c>
      <c r="G203" s="26" t="s">
        <v>1329</v>
      </c>
      <c r="H203" s="28" t="s">
        <v>1330</v>
      </c>
      <c r="I203" s="26" t="s">
        <v>1314</v>
      </c>
      <c r="J203" s="26"/>
      <c r="K203" s="28" t="s">
        <v>1333</v>
      </c>
      <c r="L203" s="89" t="s">
        <v>1318</v>
      </c>
      <c r="M203" s="26" t="s">
        <v>41</v>
      </c>
      <c r="N203" s="106"/>
      <c r="O203" s="45"/>
      <c r="P203" s="45"/>
      <c r="Q203" s="45"/>
      <c r="R203" s="45"/>
      <c r="S203" s="45"/>
      <c r="T203" s="45"/>
      <c r="U203" s="45"/>
      <c r="V203" s="38"/>
      <c r="W203" s="38"/>
      <c r="X203" s="38"/>
      <c r="Y203" s="38"/>
      <c r="Z203" s="38"/>
      <c r="AA203" s="45"/>
      <c r="AB203" s="45"/>
    </row>
    <row r="204" spans="1:28" ht="14.4">
      <c r="A204" s="28" t="s">
        <v>21</v>
      </c>
      <c r="B204" s="26" t="s">
        <v>355</v>
      </c>
      <c r="C204" s="26" t="s">
        <v>260</v>
      </c>
      <c r="D204" s="28" t="s">
        <v>1337</v>
      </c>
      <c r="E204" s="26" t="s">
        <v>54</v>
      </c>
      <c r="F204" s="26" t="s">
        <v>1340</v>
      </c>
      <c r="G204" s="26" t="s">
        <v>1342</v>
      </c>
      <c r="H204" s="26" t="s">
        <v>1343</v>
      </c>
      <c r="I204" s="26" t="s">
        <v>1344</v>
      </c>
      <c r="J204" s="26" t="s">
        <v>1345</v>
      </c>
      <c r="K204" s="26" t="s">
        <v>1343</v>
      </c>
      <c r="L204" s="26"/>
      <c r="M204" s="26" t="s">
        <v>41</v>
      </c>
      <c r="N204" s="106"/>
      <c r="O204" s="45"/>
      <c r="P204" s="45"/>
      <c r="Q204" s="45"/>
      <c r="R204" s="45"/>
      <c r="S204" s="45"/>
      <c r="T204" s="45"/>
      <c r="U204" s="45"/>
      <c r="V204" s="38"/>
      <c r="W204" s="38"/>
      <c r="X204" s="38"/>
      <c r="Y204" s="38"/>
      <c r="Z204" s="38"/>
      <c r="AA204" s="45"/>
      <c r="AB204" s="45"/>
    </row>
    <row r="205" spans="1:28" ht="14.4">
      <c r="A205" s="28" t="s">
        <v>21</v>
      </c>
      <c r="B205" s="26" t="s">
        <v>355</v>
      </c>
      <c r="C205" s="26" t="s">
        <v>260</v>
      </c>
      <c r="D205" s="28" t="s">
        <v>1337</v>
      </c>
      <c r="E205" s="26" t="s">
        <v>54</v>
      </c>
      <c r="F205" s="26" t="s">
        <v>1349</v>
      </c>
      <c r="G205" s="26" t="s">
        <v>1342</v>
      </c>
      <c r="H205" s="91" t="s">
        <v>1352</v>
      </c>
      <c r="I205" s="26" t="s">
        <v>474</v>
      </c>
      <c r="J205" s="26" t="s">
        <v>1345</v>
      </c>
      <c r="K205" s="26" t="s">
        <v>1355</v>
      </c>
      <c r="L205" s="26"/>
      <c r="M205" s="26" t="s">
        <v>41</v>
      </c>
      <c r="N205" s="106"/>
      <c r="O205" s="45"/>
      <c r="P205" s="45"/>
      <c r="Q205" s="45"/>
      <c r="R205" s="45"/>
      <c r="S205" s="45"/>
      <c r="T205" s="45"/>
      <c r="U205" s="45"/>
      <c r="V205" s="113"/>
      <c r="W205" s="113"/>
      <c r="X205" s="113"/>
      <c r="Y205" s="113"/>
      <c r="Z205" s="113"/>
      <c r="AA205" s="45"/>
      <c r="AB205" s="45"/>
    </row>
    <row r="206" spans="1:28" ht="14.4">
      <c r="A206" s="28" t="s">
        <v>21</v>
      </c>
      <c r="B206" s="26" t="s">
        <v>355</v>
      </c>
      <c r="C206" s="26" t="s">
        <v>260</v>
      </c>
      <c r="D206" s="28" t="s">
        <v>1337</v>
      </c>
      <c r="E206" s="26" t="s">
        <v>54</v>
      </c>
      <c r="F206" s="26" t="s">
        <v>1362</v>
      </c>
      <c r="G206" s="26" t="s">
        <v>1342</v>
      </c>
      <c r="H206" s="26" t="s">
        <v>1364</v>
      </c>
      <c r="I206" s="26" t="s">
        <v>922</v>
      </c>
      <c r="J206" s="26" t="s">
        <v>1345</v>
      </c>
      <c r="K206" s="26" t="s">
        <v>1364</v>
      </c>
      <c r="L206" s="26"/>
      <c r="M206" s="26" t="s">
        <v>41</v>
      </c>
      <c r="N206" s="106"/>
      <c r="O206" s="45"/>
      <c r="P206" s="45"/>
      <c r="Q206" s="45"/>
      <c r="R206" s="45"/>
      <c r="S206" s="45"/>
      <c r="T206" s="45"/>
      <c r="U206" s="45"/>
      <c r="V206" s="113"/>
      <c r="W206" s="113"/>
      <c r="X206" s="113"/>
      <c r="Y206" s="113"/>
      <c r="Z206" s="113"/>
      <c r="AA206" s="45"/>
      <c r="AB206" s="45"/>
    </row>
    <row r="207" spans="1:28" ht="14.4">
      <c r="A207" s="28" t="s">
        <v>21</v>
      </c>
      <c r="B207" s="26" t="s">
        <v>355</v>
      </c>
      <c r="C207" s="26" t="s">
        <v>260</v>
      </c>
      <c r="D207" s="28" t="s">
        <v>1337</v>
      </c>
      <c r="E207" s="26" t="s">
        <v>54</v>
      </c>
      <c r="F207" s="26" t="s">
        <v>1368</v>
      </c>
      <c r="G207" s="26" t="s">
        <v>1342</v>
      </c>
      <c r="H207" s="26" t="s">
        <v>1370</v>
      </c>
      <c r="I207" s="26" t="s">
        <v>468</v>
      </c>
      <c r="J207" s="26" t="s">
        <v>1345</v>
      </c>
      <c r="K207" s="26" t="s">
        <v>1370</v>
      </c>
      <c r="L207" s="26"/>
      <c r="M207" s="26" t="s">
        <v>41</v>
      </c>
      <c r="N207" s="106"/>
      <c r="O207" s="45"/>
      <c r="P207" s="45"/>
      <c r="Q207" s="45"/>
      <c r="R207" s="45"/>
      <c r="S207" s="45"/>
      <c r="T207" s="45"/>
      <c r="U207" s="45"/>
      <c r="V207" s="113"/>
      <c r="W207" s="113"/>
      <c r="X207" s="113"/>
      <c r="Y207" s="113"/>
      <c r="Z207" s="113"/>
      <c r="AA207" s="45"/>
      <c r="AB207" s="45"/>
    </row>
    <row r="208" spans="1:28" ht="14.4">
      <c r="A208" s="28" t="s">
        <v>21</v>
      </c>
      <c r="B208" s="26" t="s">
        <v>355</v>
      </c>
      <c r="C208" s="26" t="s">
        <v>260</v>
      </c>
      <c r="D208" s="28" t="s">
        <v>1337</v>
      </c>
      <c r="E208" s="26" t="s">
        <v>54</v>
      </c>
      <c r="F208" s="26" t="s">
        <v>1373</v>
      </c>
      <c r="G208" s="26" t="s">
        <v>1342</v>
      </c>
      <c r="H208" s="91" t="s">
        <v>1374</v>
      </c>
      <c r="I208" s="26" t="s">
        <v>887</v>
      </c>
      <c r="J208" s="26" t="s">
        <v>1345</v>
      </c>
      <c r="K208" s="91" t="s">
        <v>1374</v>
      </c>
      <c r="L208" s="26"/>
      <c r="M208" s="26" t="s">
        <v>41</v>
      </c>
      <c r="N208" s="57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45"/>
      <c r="AB208" s="45"/>
    </row>
    <row r="209" spans="1:28" ht="14.4">
      <c r="A209" s="28" t="s">
        <v>21</v>
      </c>
      <c r="B209" s="26" t="s">
        <v>355</v>
      </c>
      <c r="C209" s="26" t="s">
        <v>260</v>
      </c>
      <c r="D209" s="28" t="s">
        <v>1337</v>
      </c>
      <c r="E209" s="26" t="s">
        <v>54</v>
      </c>
      <c r="F209" s="26" t="s">
        <v>1381</v>
      </c>
      <c r="G209" s="26" t="s">
        <v>1342</v>
      </c>
      <c r="H209" s="26" t="s">
        <v>1383</v>
      </c>
      <c r="I209" s="26" t="s">
        <v>397</v>
      </c>
      <c r="J209" s="26" t="s">
        <v>1345</v>
      </c>
      <c r="K209" s="26" t="s">
        <v>1385</v>
      </c>
      <c r="L209" s="26"/>
      <c r="M209" s="26" t="s">
        <v>41</v>
      </c>
      <c r="N209" s="57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45"/>
      <c r="AB209" s="45"/>
    </row>
    <row r="210" spans="1:28" ht="14.4">
      <c r="A210" s="28" t="s">
        <v>21</v>
      </c>
      <c r="B210" s="26" t="s">
        <v>355</v>
      </c>
      <c r="C210" s="26" t="s">
        <v>260</v>
      </c>
      <c r="D210" s="28" t="s">
        <v>1337</v>
      </c>
      <c r="E210" s="26" t="s">
        <v>54</v>
      </c>
      <c r="F210" s="26" t="s">
        <v>1393</v>
      </c>
      <c r="G210" s="26" t="s">
        <v>1342</v>
      </c>
      <c r="H210" s="91" t="s">
        <v>1394</v>
      </c>
      <c r="I210" s="26" t="s">
        <v>1395</v>
      </c>
      <c r="J210" s="26" t="s">
        <v>1345</v>
      </c>
      <c r="K210" s="26" t="s">
        <v>1396</v>
      </c>
      <c r="L210" s="26"/>
      <c r="M210" s="26" t="s">
        <v>41</v>
      </c>
      <c r="N210" s="57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45"/>
      <c r="AB210" s="45"/>
    </row>
    <row r="211" spans="1:28" ht="14.4">
      <c r="A211" s="28" t="s">
        <v>21</v>
      </c>
      <c r="B211" s="26" t="s">
        <v>355</v>
      </c>
      <c r="C211" s="26" t="s">
        <v>260</v>
      </c>
      <c r="D211" s="28" t="s">
        <v>1337</v>
      </c>
      <c r="E211" s="26" t="s">
        <v>54</v>
      </c>
      <c r="F211" s="26" t="s">
        <v>1403</v>
      </c>
      <c r="G211" s="26" t="s">
        <v>1342</v>
      </c>
      <c r="H211" s="91" t="s">
        <v>1406</v>
      </c>
      <c r="I211" s="26" t="s">
        <v>557</v>
      </c>
      <c r="J211" s="26" t="s">
        <v>1345</v>
      </c>
      <c r="K211" s="26" t="s">
        <v>1409</v>
      </c>
      <c r="L211" s="26"/>
      <c r="M211" s="26" t="s">
        <v>41</v>
      </c>
      <c r="N211" s="57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45"/>
      <c r="AB211" s="45"/>
    </row>
    <row r="212" spans="1:28" ht="14.4">
      <c r="A212" s="28" t="s">
        <v>21</v>
      </c>
      <c r="B212" s="26" t="s">
        <v>355</v>
      </c>
      <c r="C212" s="26" t="s">
        <v>260</v>
      </c>
      <c r="D212" s="28" t="s">
        <v>1337</v>
      </c>
      <c r="E212" s="26" t="s">
        <v>54</v>
      </c>
      <c r="F212" s="26" t="s">
        <v>1415</v>
      </c>
      <c r="G212" s="26" t="s">
        <v>1342</v>
      </c>
      <c r="H212" s="26" t="s">
        <v>1417</v>
      </c>
      <c r="I212" s="26" t="s">
        <v>480</v>
      </c>
      <c r="J212" s="26" t="s">
        <v>1419</v>
      </c>
      <c r="K212" s="26" t="s">
        <v>1420</v>
      </c>
      <c r="L212" s="26"/>
      <c r="M212" s="26" t="s">
        <v>41</v>
      </c>
      <c r="N212" s="57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45"/>
      <c r="AB212" s="45"/>
    </row>
    <row r="213" spans="1:28" ht="14.4">
      <c r="A213" s="28" t="s">
        <v>21</v>
      </c>
      <c r="B213" s="26" t="s">
        <v>355</v>
      </c>
      <c r="C213" s="26" t="s">
        <v>260</v>
      </c>
      <c r="D213" s="28" t="s">
        <v>1337</v>
      </c>
      <c r="E213" s="26" t="s">
        <v>54</v>
      </c>
      <c r="F213" s="26" t="s">
        <v>1426</v>
      </c>
      <c r="G213" s="26" t="s">
        <v>1342</v>
      </c>
      <c r="H213" s="26" t="s">
        <v>1428</v>
      </c>
      <c r="I213" s="26" t="s">
        <v>480</v>
      </c>
      <c r="J213" s="26" t="s">
        <v>1419</v>
      </c>
      <c r="K213" s="26" t="s">
        <v>1428</v>
      </c>
      <c r="L213" s="26"/>
      <c r="M213" s="26" t="s">
        <v>41</v>
      </c>
      <c r="N213" s="57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45"/>
      <c r="AB213" s="45"/>
    </row>
    <row r="214" spans="1:28" ht="14.4">
      <c r="A214" s="28" t="s">
        <v>21</v>
      </c>
      <c r="B214" s="26" t="s">
        <v>355</v>
      </c>
      <c r="C214" s="26" t="s">
        <v>20</v>
      </c>
      <c r="D214" s="28" t="s">
        <v>1305</v>
      </c>
      <c r="E214" s="26" t="s">
        <v>54</v>
      </c>
      <c r="F214" s="26" t="s">
        <v>1435</v>
      </c>
      <c r="G214" s="26" t="s">
        <v>1436</v>
      </c>
      <c r="H214" s="26" t="s">
        <v>359</v>
      </c>
      <c r="I214" s="26" t="s">
        <v>1438</v>
      </c>
      <c r="J214" s="26" t="s">
        <v>1440</v>
      </c>
      <c r="K214" s="26" t="s">
        <v>359</v>
      </c>
      <c r="L214" s="26" t="s">
        <v>1442</v>
      </c>
      <c r="M214" s="26" t="s">
        <v>41</v>
      </c>
      <c r="N214" s="57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45"/>
      <c r="AB214" s="45"/>
    </row>
    <row r="215" spans="1:28" ht="14.4">
      <c r="A215" s="28" t="s">
        <v>21</v>
      </c>
      <c r="B215" s="26" t="s">
        <v>564</v>
      </c>
      <c r="C215" s="26" t="s">
        <v>260</v>
      </c>
      <c r="D215" s="28" t="s">
        <v>1337</v>
      </c>
      <c r="E215" s="26" t="s">
        <v>54</v>
      </c>
      <c r="F215" s="26" t="s">
        <v>1445</v>
      </c>
      <c r="G215" s="26" t="s">
        <v>1342</v>
      </c>
      <c r="H215" s="26" t="s">
        <v>226</v>
      </c>
      <c r="I215" s="26"/>
      <c r="J215" s="26" t="s">
        <v>1448</v>
      </c>
      <c r="K215" s="26"/>
      <c r="L215" s="26"/>
      <c r="M215" s="26" t="s">
        <v>41</v>
      </c>
      <c r="N215" s="57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45"/>
      <c r="AB215" s="45"/>
    </row>
    <row r="216" spans="1:28" ht="14.4">
      <c r="A216" s="28" t="s">
        <v>21</v>
      </c>
      <c r="B216" s="26" t="s">
        <v>564</v>
      </c>
      <c r="C216" s="26" t="s">
        <v>260</v>
      </c>
      <c r="D216" s="28" t="s">
        <v>1337</v>
      </c>
      <c r="E216" s="26" t="s">
        <v>54</v>
      </c>
      <c r="F216" s="26" t="s">
        <v>1453</v>
      </c>
      <c r="G216" s="26" t="s">
        <v>1342</v>
      </c>
      <c r="H216" s="26" t="s">
        <v>226</v>
      </c>
      <c r="I216" s="26"/>
      <c r="J216" s="26" t="s">
        <v>1448</v>
      </c>
      <c r="K216" s="26"/>
      <c r="L216" s="26"/>
      <c r="M216" s="26" t="s">
        <v>41</v>
      </c>
      <c r="N216" s="57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45"/>
      <c r="AB216" s="45"/>
    </row>
    <row r="217" spans="1:28" ht="14.4">
      <c r="A217" s="28" t="s">
        <v>21</v>
      </c>
      <c r="B217" s="26" t="s">
        <v>564</v>
      </c>
      <c r="C217" s="26" t="s">
        <v>260</v>
      </c>
      <c r="D217" s="28" t="s">
        <v>1337</v>
      </c>
      <c r="E217" s="26" t="s">
        <v>54</v>
      </c>
      <c r="F217" s="26" t="s">
        <v>1458</v>
      </c>
      <c r="G217" s="26" t="s">
        <v>1342</v>
      </c>
      <c r="H217" s="26" t="s">
        <v>226</v>
      </c>
      <c r="I217" s="26"/>
      <c r="J217" s="26" t="s">
        <v>1459</v>
      </c>
      <c r="K217" s="26"/>
      <c r="L217" s="26"/>
      <c r="M217" s="26" t="s">
        <v>41</v>
      </c>
      <c r="N217" s="57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45"/>
      <c r="AB217" s="45"/>
    </row>
    <row r="218" spans="1:28" ht="14.4">
      <c r="A218" s="28" t="s">
        <v>21</v>
      </c>
      <c r="B218" s="26" t="s">
        <v>564</v>
      </c>
      <c r="C218" s="26" t="s">
        <v>20</v>
      </c>
      <c r="D218" s="28" t="s">
        <v>1305</v>
      </c>
      <c r="E218" s="26" t="s">
        <v>54</v>
      </c>
      <c r="F218" s="26" t="s">
        <v>1462</v>
      </c>
      <c r="G218" s="26" t="s">
        <v>1463</v>
      </c>
      <c r="H218" s="26" t="s">
        <v>1464</v>
      </c>
      <c r="I218" s="26" t="s">
        <v>1465</v>
      </c>
      <c r="J218" s="26" t="s">
        <v>1315</v>
      </c>
      <c r="K218" s="26" t="s">
        <v>1467</v>
      </c>
      <c r="L218" s="26" t="s">
        <v>1468</v>
      </c>
      <c r="M218" s="26" t="s">
        <v>41</v>
      </c>
      <c r="N218" s="57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45"/>
      <c r="AB218" s="45"/>
    </row>
    <row r="219" spans="1:28" ht="14.4">
      <c r="A219" s="28" t="s">
        <v>21</v>
      </c>
      <c r="B219" s="26" t="s">
        <v>666</v>
      </c>
      <c r="C219" s="26" t="s">
        <v>260</v>
      </c>
      <c r="D219" s="28" t="s">
        <v>1337</v>
      </c>
      <c r="E219" s="26" t="s">
        <v>54</v>
      </c>
      <c r="F219" s="26" t="s">
        <v>1472</v>
      </c>
      <c r="G219" s="26" t="s">
        <v>1342</v>
      </c>
      <c r="H219" s="117" t="s">
        <v>1474</v>
      </c>
      <c r="I219" s="26" t="s">
        <v>1477</v>
      </c>
      <c r="J219" s="26"/>
      <c r="K219" s="26" t="s">
        <v>750</v>
      </c>
      <c r="L219" s="28" t="s">
        <v>1478</v>
      </c>
      <c r="M219" s="26" t="s">
        <v>41</v>
      </c>
      <c r="N219" s="57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45"/>
      <c r="AB219" s="45"/>
    </row>
    <row r="220" spans="1:28" ht="14.4">
      <c r="A220" s="28" t="s">
        <v>21</v>
      </c>
      <c r="B220" s="26" t="s">
        <v>666</v>
      </c>
      <c r="C220" s="26" t="s">
        <v>20</v>
      </c>
      <c r="D220" s="28" t="s">
        <v>1305</v>
      </c>
      <c r="E220" s="26" t="s">
        <v>54</v>
      </c>
      <c r="F220" s="26" t="s">
        <v>1482</v>
      </c>
      <c r="G220" s="26" t="s">
        <v>1483</v>
      </c>
      <c r="H220" s="26" t="s">
        <v>670</v>
      </c>
      <c r="I220" s="26" t="s">
        <v>1438</v>
      </c>
      <c r="J220" s="26" t="s">
        <v>1484</v>
      </c>
      <c r="K220" s="26" t="s">
        <v>670</v>
      </c>
      <c r="L220" s="26" t="s">
        <v>1485</v>
      </c>
      <c r="M220" s="26" t="s">
        <v>41</v>
      </c>
      <c r="N220" s="57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45"/>
      <c r="AB220" s="45"/>
    </row>
    <row r="221" spans="1:28" ht="14.4">
      <c r="A221" s="28" t="s">
        <v>21</v>
      </c>
      <c r="B221" s="26" t="s">
        <v>836</v>
      </c>
      <c r="C221" s="26" t="s">
        <v>260</v>
      </c>
      <c r="D221" s="28" t="s">
        <v>1337</v>
      </c>
      <c r="E221" s="26" t="s">
        <v>54</v>
      </c>
      <c r="F221" s="26" t="s">
        <v>1490</v>
      </c>
      <c r="G221" s="26" t="s">
        <v>1342</v>
      </c>
      <c r="H221" s="26" t="s">
        <v>859</v>
      </c>
      <c r="I221" s="26" t="s">
        <v>860</v>
      </c>
      <c r="J221" s="26" t="s">
        <v>1491</v>
      </c>
      <c r="K221" s="26" t="s">
        <v>859</v>
      </c>
      <c r="L221" s="26"/>
      <c r="M221" s="26" t="s">
        <v>41</v>
      </c>
      <c r="N221" s="57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45"/>
      <c r="AB221" s="45"/>
    </row>
    <row r="222" spans="1:28" ht="14.4">
      <c r="A222" s="28" t="s">
        <v>21</v>
      </c>
      <c r="B222" s="26" t="s">
        <v>836</v>
      </c>
      <c r="C222" s="26" t="s">
        <v>260</v>
      </c>
      <c r="D222" s="28" t="s">
        <v>1337</v>
      </c>
      <c r="E222" s="26" t="s">
        <v>54</v>
      </c>
      <c r="F222" s="26" t="s">
        <v>1495</v>
      </c>
      <c r="G222" s="26" t="s">
        <v>1342</v>
      </c>
      <c r="H222" s="26" t="s">
        <v>859</v>
      </c>
      <c r="I222" s="26" t="s">
        <v>860</v>
      </c>
      <c r="J222" s="26" t="s">
        <v>1491</v>
      </c>
      <c r="K222" s="26" t="s">
        <v>859</v>
      </c>
      <c r="L222" s="26"/>
      <c r="M222" s="26" t="s">
        <v>41</v>
      </c>
      <c r="N222" s="57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45"/>
      <c r="AB222" s="45"/>
    </row>
    <row r="223" spans="1:28" ht="14.4">
      <c r="A223" s="28" t="s">
        <v>21</v>
      </c>
      <c r="B223" s="26" t="s">
        <v>836</v>
      </c>
      <c r="C223" s="26" t="s">
        <v>260</v>
      </c>
      <c r="D223" s="28" t="s">
        <v>1337</v>
      </c>
      <c r="E223" s="26" t="s">
        <v>54</v>
      </c>
      <c r="F223" s="26" t="s">
        <v>1500</v>
      </c>
      <c r="G223" s="26" t="s">
        <v>1342</v>
      </c>
      <c r="H223" s="26" t="s">
        <v>859</v>
      </c>
      <c r="I223" s="26" t="s">
        <v>860</v>
      </c>
      <c r="J223" s="26" t="s">
        <v>1491</v>
      </c>
      <c r="K223" s="26" t="s">
        <v>859</v>
      </c>
      <c r="L223" s="26"/>
      <c r="M223" s="26" t="s">
        <v>41</v>
      </c>
      <c r="N223" s="57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45"/>
      <c r="AB223" s="45"/>
    </row>
    <row r="224" spans="1:28" ht="14.4">
      <c r="A224" s="28" t="s">
        <v>21</v>
      </c>
      <c r="B224" s="26" t="s">
        <v>836</v>
      </c>
      <c r="C224" s="26" t="s">
        <v>260</v>
      </c>
      <c r="D224" s="28" t="s">
        <v>1337</v>
      </c>
      <c r="E224" s="26" t="s">
        <v>54</v>
      </c>
      <c r="F224" s="26" t="s">
        <v>1501</v>
      </c>
      <c r="G224" s="26" t="s">
        <v>1342</v>
      </c>
      <c r="H224" s="26" t="s">
        <v>859</v>
      </c>
      <c r="I224" s="26" t="s">
        <v>860</v>
      </c>
      <c r="J224" s="26" t="s">
        <v>1491</v>
      </c>
      <c r="K224" s="26" t="s">
        <v>859</v>
      </c>
      <c r="L224" s="26"/>
      <c r="M224" s="26" t="s">
        <v>41</v>
      </c>
      <c r="N224" s="57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45"/>
      <c r="AB224" s="45"/>
    </row>
    <row r="225" spans="1:28" ht="14.4">
      <c r="A225" s="28" t="s">
        <v>21</v>
      </c>
      <c r="B225" s="26" t="s">
        <v>836</v>
      </c>
      <c r="C225" s="26" t="s">
        <v>20</v>
      </c>
      <c r="D225" s="28" t="s">
        <v>1305</v>
      </c>
      <c r="E225" s="26" t="s">
        <v>54</v>
      </c>
      <c r="F225" s="26" t="s">
        <v>1506</v>
      </c>
      <c r="G225" s="26" t="s">
        <v>1507</v>
      </c>
      <c r="H225" s="26" t="s">
        <v>1508</v>
      </c>
      <c r="I225" s="26"/>
      <c r="J225" s="26" t="s">
        <v>1510</v>
      </c>
      <c r="K225" s="26"/>
      <c r="L225" s="26"/>
      <c r="M225" s="26" t="s">
        <v>41</v>
      </c>
      <c r="N225" s="57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45"/>
      <c r="AB225" s="45"/>
    </row>
    <row r="226" spans="1:28" ht="14.4">
      <c r="A226" s="28" t="s">
        <v>21</v>
      </c>
      <c r="B226" s="26" t="s">
        <v>978</v>
      </c>
      <c r="C226" s="26" t="s">
        <v>260</v>
      </c>
      <c r="D226" s="28" t="s">
        <v>1337</v>
      </c>
      <c r="E226" s="26" t="s">
        <v>54</v>
      </c>
      <c r="F226" s="26" t="s">
        <v>1513</v>
      </c>
      <c r="G226" s="26" t="s">
        <v>1342</v>
      </c>
      <c r="H226" s="26" t="s">
        <v>1020</v>
      </c>
      <c r="I226" s="26" t="s">
        <v>1021</v>
      </c>
      <c r="J226" s="26" t="s">
        <v>1514</v>
      </c>
      <c r="K226" s="26" t="s">
        <v>1020</v>
      </c>
      <c r="L226" s="26"/>
      <c r="M226" s="26" t="s">
        <v>41</v>
      </c>
      <c r="N226" s="57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45"/>
      <c r="AB226" s="45"/>
    </row>
    <row r="227" spans="1:28" ht="14.4">
      <c r="A227" s="28" t="s">
        <v>21</v>
      </c>
      <c r="B227" s="26" t="s">
        <v>978</v>
      </c>
      <c r="C227" s="26" t="s">
        <v>260</v>
      </c>
      <c r="D227" s="28" t="s">
        <v>1337</v>
      </c>
      <c r="E227" s="26" t="s">
        <v>54</v>
      </c>
      <c r="F227" s="26" t="s">
        <v>1519</v>
      </c>
      <c r="G227" s="26" t="s">
        <v>1342</v>
      </c>
      <c r="H227" s="26" t="s">
        <v>1020</v>
      </c>
      <c r="I227" s="26" t="s">
        <v>1021</v>
      </c>
      <c r="J227" s="26" t="s">
        <v>1514</v>
      </c>
      <c r="K227" s="26" t="s">
        <v>1020</v>
      </c>
      <c r="L227" s="26"/>
      <c r="M227" s="26" t="s">
        <v>41</v>
      </c>
      <c r="N227" s="57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45"/>
      <c r="AB227" s="45"/>
    </row>
    <row r="228" spans="1:28" ht="14.4">
      <c r="A228" s="28" t="s">
        <v>21</v>
      </c>
      <c r="B228" s="26" t="s">
        <v>978</v>
      </c>
      <c r="C228" s="26" t="s">
        <v>260</v>
      </c>
      <c r="D228" s="28" t="s">
        <v>1337</v>
      </c>
      <c r="E228" s="26" t="s">
        <v>54</v>
      </c>
      <c r="F228" s="26" t="s">
        <v>1520</v>
      </c>
      <c r="G228" s="26" t="s">
        <v>1342</v>
      </c>
      <c r="H228" s="26" t="s">
        <v>1020</v>
      </c>
      <c r="I228" s="26" t="s">
        <v>1021</v>
      </c>
      <c r="J228" s="26" t="s">
        <v>1514</v>
      </c>
      <c r="K228" s="26" t="s">
        <v>1020</v>
      </c>
      <c r="L228" s="26"/>
      <c r="M228" s="26" t="s">
        <v>41</v>
      </c>
      <c r="N228" s="57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45"/>
      <c r="AB228" s="45"/>
    </row>
    <row r="229" spans="1:28" ht="14.4">
      <c r="A229" s="28" t="s">
        <v>21</v>
      </c>
      <c r="B229" s="26" t="s">
        <v>978</v>
      </c>
      <c r="C229" s="26" t="s">
        <v>20</v>
      </c>
      <c r="D229" s="28" t="s">
        <v>1305</v>
      </c>
      <c r="E229" s="26" t="s">
        <v>54</v>
      </c>
      <c r="F229" s="26" t="s">
        <v>1524</v>
      </c>
      <c r="G229" s="26" t="s">
        <v>1526</v>
      </c>
      <c r="H229" s="26" t="s">
        <v>1527</v>
      </c>
      <c r="I229" s="26" t="s">
        <v>1528</v>
      </c>
      <c r="J229" s="26" t="s">
        <v>1529</v>
      </c>
      <c r="K229" s="26" t="s">
        <v>1527</v>
      </c>
      <c r="L229" s="26" t="s">
        <v>1530</v>
      </c>
      <c r="M229" s="26" t="s">
        <v>41</v>
      </c>
      <c r="N229" s="106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</row>
    <row r="230" spans="1:28" ht="14.4">
      <c r="A230" s="28" t="s">
        <v>21</v>
      </c>
      <c r="B230" s="26" t="s">
        <v>1158</v>
      </c>
      <c r="C230" s="26" t="s">
        <v>260</v>
      </c>
      <c r="D230" s="28" t="s">
        <v>1337</v>
      </c>
      <c r="E230" s="26" t="s">
        <v>54</v>
      </c>
      <c r="F230" s="26" t="s">
        <v>1532</v>
      </c>
      <c r="G230" s="26" t="s">
        <v>1342</v>
      </c>
      <c r="H230" s="26" t="s">
        <v>1534</v>
      </c>
      <c r="I230" s="26"/>
      <c r="J230" s="26" t="s">
        <v>1536</v>
      </c>
      <c r="K230" s="26"/>
      <c r="L230" s="26"/>
      <c r="M230" s="26" t="s">
        <v>41</v>
      </c>
      <c r="N230" s="106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</row>
    <row r="231" spans="1:28" ht="14.4">
      <c r="A231" s="28" t="s">
        <v>21</v>
      </c>
      <c r="B231" s="26" t="s">
        <v>1158</v>
      </c>
      <c r="C231" s="26" t="s">
        <v>260</v>
      </c>
      <c r="D231" s="28" t="s">
        <v>1337</v>
      </c>
      <c r="E231" s="26" t="s">
        <v>54</v>
      </c>
      <c r="F231" s="26" t="s">
        <v>1537</v>
      </c>
      <c r="G231" s="26" t="s">
        <v>1342</v>
      </c>
      <c r="H231" s="26" t="s">
        <v>1534</v>
      </c>
      <c r="I231" s="26"/>
      <c r="J231" s="26" t="s">
        <v>1536</v>
      </c>
      <c r="K231" s="26"/>
      <c r="L231" s="26"/>
      <c r="M231" s="26" t="s">
        <v>41</v>
      </c>
      <c r="N231" s="106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</row>
    <row r="232" spans="1:28" ht="14.4">
      <c r="A232" s="28" t="s">
        <v>21</v>
      </c>
      <c r="B232" s="26" t="s">
        <v>1158</v>
      </c>
      <c r="C232" s="26" t="s">
        <v>260</v>
      </c>
      <c r="D232" s="28" t="s">
        <v>1337</v>
      </c>
      <c r="E232" s="26" t="s">
        <v>54</v>
      </c>
      <c r="F232" s="26" t="s">
        <v>1539</v>
      </c>
      <c r="G232" s="26" t="s">
        <v>1342</v>
      </c>
      <c r="H232" s="26" t="s">
        <v>1534</v>
      </c>
      <c r="I232" s="26"/>
      <c r="J232" s="26" t="s">
        <v>1536</v>
      </c>
      <c r="K232" s="26"/>
      <c r="L232" s="26"/>
      <c r="M232" s="26" t="s">
        <v>41</v>
      </c>
      <c r="N232" s="106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</row>
    <row r="233" spans="1:28" ht="14.4">
      <c r="A233" s="28" t="s">
        <v>21</v>
      </c>
      <c r="B233" s="26" t="s">
        <v>1158</v>
      </c>
      <c r="C233" s="26" t="s">
        <v>260</v>
      </c>
      <c r="D233" s="28" t="s">
        <v>1337</v>
      </c>
      <c r="E233" s="26" t="s">
        <v>54</v>
      </c>
      <c r="F233" s="26" t="s">
        <v>1543</v>
      </c>
      <c r="G233" s="26" t="s">
        <v>1342</v>
      </c>
      <c r="H233" s="26" t="s">
        <v>1545</v>
      </c>
      <c r="I233" s="26" t="s">
        <v>1546</v>
      </c>
      <c r="J233" s="26" t="s">
        <v>1547</v>
      </c>
      <c r="K233" s="26"/>
      <c r="L233" s="26"/>
      <c r="M233" s="26" t="s">
        <v>41</v>
      </c>
      <c r="N233" s="106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</row>
    <row r="234" spans="1:28" ht="14.4">
      <c r="A234" s="28" t="s">
        <v>21</v>
      </c>
      <c r="B234" s="110" t="s">
        <v>1158</v>
      </c>
      <c r="C234" s="110" t="s">
        <v>20</v>
      </c>
      <c r="D234" s="28" t="s">
        <v>1305</v>
      </c>
      <c r="E234" s="26" t="s">
        <v>54</v>
      </c>
      <c r="F234" s="110" t="s">
        <v>1551</v>
      </c>
      <c r="G234" s="110" t="s">
        <v>1552</v>
      </c>
      <c r="H234" s="110" t="s">
        <v>859</v>
      </c>
      <c r="I234" s="110" t="s">
        <v>1438</v>
      </c>
      <c r="J234" s="110" t="s">
        <v>1553</v>
      </c>
      <c r="K234" s="110" t="s">
        <v>1545</v>
      </c>
      <c r="L234" s="110" t="s">
        <v>1555</v>
      </c>
      <c r="M234" s="110" t="s">
        <v>41</v>
      </c>
      <c r="N234" s="106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</row>
    <row r="235" spans="1:28" ht="14.4">
      <c r="A235" s="28" t="s">
        <v>21</v>
      </c>
      <c r="B235" s="28" t="s">
        <v>1379</v>
      </c>
      <c r="C235" s="28" t="s">
        <v>20</v>
      </c>
      <c r="D235" s="28" t="s">
        <v>1305</v>
      </c>
      <c r="E235" s="28" t="s">
        <v>54</v>
      </c>
      <c r="F235" s="28" t="s">
        <v>1558</v>
      </c>
      <c r="G235" s="28" t="s">
        <v>1559</v>
      </c>
      <c r="H235" s="28" t="s">
        <v>1561</v>
      </c>
      <c r="I235" s="28" t="s">
        <v>916</v>
      </c>
      <c r="J235" s="28" t="s">
        <v>1563</v>
      </c>
      <c r="K235" s="28" t="s">
        <v>1561</v>
      </c>
      <c r="L235" s="28" t="s">
        <v>1565</v>
      </c>
      <c r="M235" s="28" t="s">
        <v>41</v>
      </c>
      <c r="N235" s="28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</row>
    <row r="236" spans="1:28" ht="14.4">
      <c r="A236" s="118"/>
      <c r="B236" s="118"/>
      <c r="C236" s="118"/>
      <c r="D236" s="119" t="s">
        <v>1570</v>
      </c>
      <c r="E236" s="46"/>
      <c r="F236" s="120" t="s">
        <v>1574</v>
      </c>
      <c r="G236" s="46"/>
      <c r="H236" s="46"/>
      <c r="I236" s="13"/>
      <c r="J236" s="13"/>
      <c r="K236" s="13"/>
      <c r="L236" s="13"/>
      <c r="M236" s="13"/>
      <c r="N236" s="13"/>
    </row>
    <row r="237" spans="1:28" ht="14.4">
      <c r="A237" s="118"/>
      <c r="B237" s="118"/>
      <c r="C237" s="118"/>
      <c r="D237" s="119" t="s">
        <v>1570</v>
      </c>
      <c r="E237" s="46"/>
      <c r="F237" s="121" t="s">
        <v>1579</v>
      </c>
      <c r="G237" s="46"/>
      <c r="H237" s="46"/>
      <c r="I237" s="13"/>
      <c r="J237" s="13"/>
      <c r="K237" s="13"/>
      <c r="L237" s="13"/>
      <c r="M237" s="13"/>
      <c r="N237" s="13"/>
    </row>
    <row r="238" spans="1:28" ht="28.8">
      <c r="A238" s="28" t="s">
        <v>21</v>
      </c>
      <c r="B238" s="122" t="s">
        <v>1585</v>
      </c>
      <c r="C238" s="123" t="s">
        <v>1588</v>
      </c>
      <c r="D238" s="124">
        <v>1498000</v>
      </c>
      <c r="E238" s="46"/>
      <c r="F238" s="125" t="s">
        <v>1591</v>
      </c>
      <c r="G238" s="119" t="s">
        <v>1592</v>
      </c>
      <c r="H238" s="46" t="s">
        <v>670</v>
      </c>
      <c r="I238" s="46" t="s">
        <v>1595</v>
      </c>
      <c r="J238" s="13"/>
      <c r="K238" s="13"/>
      <c r="L238" s="13"/>
      <c r="M238" s="13"/>
      <c r="N238" s="13"/>
    </row>
    <row r="239" spans="1:28" ht="28.8">
      <c r="A239" s="28" t="s">
        <v>21</v>
      </c>
      <c r="B239" s="122" t="s">
        <v>1597</v>
      </c>
      <c r="C239" s="123" t="s">
        <v>1588</v>
      </c>
      <c r="D239" s="124">
        <v>1498000</v>
      </c>
      <c r="E239" s="46"/>
      <c r="F239" s="125" t="s">
        <v>1598</v>
      </c>
      <c r="G239" s="119" t="s">
        <v>1599</v>
      </c>
      <c r="H239" s="126" t="s">
        <v>1601</v>
      </c>
      <c r="I239" s="46" t="s">
        <v>434</v>
      </c>
      <c r="J239" s="13"/>
      <c r="K239" s="13"/>
      <c r="L239" s="13"/>
      <c r="M239" s="13"/>
      <c r="N239" s="13"/>
    </row>
    <row r="240" spans="1:28" ht="28.8">
      <c r="A240" s="28" t="s">
        <v>21</v>
      </c>
      <c r="B240" s="122" t="s">
        <v>1605</v>
      </c>
      <c r="C240" s="123" t="s">
        <v>1588</v>
      </c>
      <c r="D240" s="124">
        <v>1498000</v>
      </c>
      <c r="E240" s="46"/>
      <c r="F240" s="125" t="s">
        <v>1606</v>
      </c>
      <c r="G240" s="119" t="s">
        <v>1607</v>
      </c>
      <c r="H240" s="46" t="s">
        <v>1608</v>
      </c>
      <c r="I240" s="46" t="s">
        <v>1610</v>
      </c>
      <c r="J240" s="13"/>
      <c r="K240" s="13"/>
      <c r="L240" s="13"/>
      <c r="M240" s="13"/>
      <c r="N240" s="13"/>
    </row>
    <row r="241" spans="1:28" ht="28.8">
      <c r="A241" s="28" t="s">
        <v>21</v>
      </c>
      <c r="B241" s="122" t="s">
        <v>1613</v>
      </c>
      <c r="C241" s="123" t="s">
        <v>1588</v>
      </c>
      <c r="D241" s="124">
        <v>1498000</v>
      </c>
      <c r="E241" s="46"/>
      <c r="F241" s="127" t="s">
        <v>1614</v>
      </c>
      <c r="G241" s="119" t="s">
        <v>1615</v>
      </c>
      <c r="H241" s="46" t="s">
        <v>982</v>
      </c>
      <c r="I241" s="46" t="s">
        <v>933</v>
      </c>
      <c r="J241" s="13"/>
      <c r="K241" s="13"/>
      <c r="L241" s="13"/>
      <c r="M241" s="13"/>
      <c r="N241" s="13"/>
    </row>
    <row r="242" spans="1:28" ht="28.8">
      <c r="A242" s="28" t="s">
        <v>21</v>
      </c>
      <c r="B242" s="122" t="s">
        <v>1621</v>
      </c>
      <c r="C242" s="123" t="s">
        <v>1588</v>
      </c>
      <c r="D242" s="124">
        <v>1498000</v>
      </c>
      <c r="E242" s="46"/>
      <c r="F242" s="127" t="s">
        <v>1623</v>
      </c>
      <c r="G242" s="119" t="s">
        <v>1626</v>
      </c>
      <c r="H242" s="46" t="s">
        <v>659</v>
      </c>
      <c r="I242" s="46" t="s">
        <v>434</v>
      </c>
      <c r="J242" s="13"/>
      <c r="K242" s="13"/>
      <c r="L242" s="13"/>
      <c r="M242" s="13"/>
      <c r="N242" s="13"/>
    </row>
    <row r="243" spans="1:28" ht="28.8">
      <c r="A243" s="28" t="s">
        <v>21</v>
      </c>
      <c r="B243" s="123" t="s">
        <v>1627</v>
      </c>
      <c r="C243" s="123" t="s">
        <v>1588</v>
      </c>
      <c r="D243" s="124">
        <v>1498000</v>
      </c>
      <c r="E243" s="46"/>
      <c r="F243" s="127" t="s">
        <v>1630</v>
      </c>
      <c r="G243" s="119" t="s">
        <v>1631</v>
      </c>
      <c r="H243" s="46" t="s">
        <v>1632</v>
      </c>
      <c r="I243" s="46" t="s">
        <v>1633</v>
      </c>
      <c r="J243" s="13"/>
      <c r="K243" s="13"/>
      <c r="L243" s="13"/>
      <c r="M243" s="13"/>
      <c r="N243" s="13"/>
    </row>
    <row r="244" spans="1:28" ht="28.8">
      <c r="A244" s="28" t="s">
        <v>21</v>
      </c>
      <c r="B244" s="122" t="s">
        <v>1613</v>
      </c>
      <c r="C244" s="123" t="s">
        <v>1588</v>
      </c>
      <c r="D244" s="124">
        <v>1498000</v>
      </c>
      <c r="E244" s="46"/>
      <c r="F244" s="127" t="s">
        <v>1636</v>
      </c>
      <c r="G244" s="119" t="s">
        <v>1637</v>
      </c>
      <c r="H244" s="46" t="s">
        <v>982</v>
      </c>
      <c r="I244" s="46" t="s">
        <v>933</v>
      </c>
      <c r="J244" s="13"/>
      <c r="K244" s="13"/>
      <c r="L244" s="13"/>
      <c r="M244" s="13"/>
      <c r="N244" s="13"/>
    </row>
    <row r="245" spans="1:28" ht="13.8">
      <c r="A245" s="118"/>
      <c r="B245" s="118"/>
      <c r="C245" s="118"/>
      <c r="D245" s="46"/>
      <c r="E245" s="46"/>
      <c r="F245" s="46"/>
      <c r="G245" s="46"/>
      <c r="H245" s="46"/>
      <c r="I245" s="13"/>
      <c r="J245" s="13"/>
      <c r="K245" s="13"/>
      <c r="L245" s="13"/>
      <c r="M245" s="13"/>
      <c r="N245" s="13"/>
    </row>
    <row r="246" spans="1:28" ht="13.8">
      <c r="A246" s="118"/>
      <c r="B246" s="118"/>
      <c r="C246" s="118"/>
      <c r="D246" s="46"/>
      <c r="E246" s="46"/>
      <c r="F246" s="46"/>
      <c r="G246" s="46"/>
      <c r="H246" s="46"/>
      <c r="I246" s="13"/>
      <c r="J246" s="13"/>
      <c r="K246" s="13"/>
      <c r="L246" s="13"/>
      <c r="M246" s="13"/>
      <c r="N246" s="13"/>
    </row>
    <row r="247" spans="1:28" ht="13.8">
      <c r="A247" s="118"/>
      <c r="B247" s="118"/>
      <c r="C247" s="118"/>
      <c r="D247" s="46"/>
      <c r="E247" s="46"/>
      <c r="F247" s="46"/>
      <c r="G247" s="46"/>
      <c r="H247" s="46"/>
      <c r="I247" s="13"/>
      <c r="J247" s="13"/>
      <c r="K247" s="13"/>
      <c r="L247" s="13"/>
      <c r="M247" s="13"/>
      <c r="N247" s="13"/>
    </row>
    <row r="248" spans="1:28" ht="13.8">
      <c r="A248" s="353" t="s">
        <v>1642</v>
      </c>
      <c r="B248" s="354"/>
      <c r="C248" s="354"/>
      <c r="D248" s="46"/>
      <c r="E248" s="46"/>
      <c r="F248" s="46"/>
      <c r="G248" s="46"/>
      <c r="H248" s="46"/>
      <c r="I248" s="13"/>
      <c r="J248" s="13"/>
      <c r="K248" s="13"/>
      <c r="L248" s="13"/>
      <c r="M248" s="13"/>
      <c r="N248" s="13"/>
    </row>
    <row r="249" spans="1:28" ht="13.8">
      <c r="A249" s="353" t="s">
        <v>1645</v>
      </c>
      <c r="B249" s="354"/>
      <c r="C249" s="354"/>
      <c r="D249" s="354"/>
      <c r="E249" s="354"/>
      <c r="F249" s="354"/>
      <c r="G249" s="354"/>
      <c r="H249" s="46"/>
      <c r="I249" s="13"/>
      <c r="J249" s="13"/>
      <c r="K249" s="13"/>
      <c r="L249" s="13"/>
      <c r="M249" s="13"/>
      <c r="N249" s="13"/>
    </row>
    <row r="250" spans="1:28" ht="13.8">
      <c r="A250" s="353" t="s">
        <v>1646</v>
      </c>
      <c r="B250" s="354"/>
      <c r="C250" s="354"/>
      <c r="D250" s="46"/>
      <c r="E250" s="46"/>
      <c r="F250" s="46"/>
      <c r="G250" s="46"/>
      <c r="H250" s="46"/>
      <c r="I250" s="13"/>
      <c r="J250" s="13"/>
      <c r="K250" s="13"/>
      <c r="L250" s="13"/>
      <c r="M250" s="13"/>
      <c r="N250" s="13"/>
    </row>
    <row r="251" spans="1:28" ht="13.8">
      <c r="A251" s="46"/>
      <c r="B251" s="46"/>
      <c r="C251" s="47"/>
      <c r="D251" s="47"/>
      <c r="E251" s="47"/>
      <c r="F251" s="46"/>
      <c r="G251" s="46"/>
      <c r="H251" s="46"/>
      <c r="I251" s="46"/>
      <c r="J251" s="46"/>
      <c r="K251" s="46"/>
      <c r="L251" s="46"/>
      <c r="M251" s="46"/>
      <c r="N251" s="46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</row>
    <row r="252" spans="1:28" ht="13.8">
      <c r="A252" s="353" t="s">
        <v>1653</v>
      </c>
      <c r="B252" s="354"/>
      <c r="C252" s="354"/>
      <c r="D252" s="354"/>
      <c r="E252" s="354"/>
      <c r="F252" s="354"/>
      <c r="G252" s="354"/>
      <c r="H252" s="354"/>
      <c r="I252" s="46"/>
      <c r="J252" s="46"/>
      <c r="K252" s="46"/>
      <c r="L252" s="46"/>
      <c r="M252" s="46"/>
      <c r="N252" s="46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</row>
    <row r="253" spans="1:28" ht="13.8">
      <c r="A253" s="46"/>
      <c r="B253" s="46"/>
      <c r="C253" s="47"/>
      <c r="D253" s="47"/>
      <c r="E253" s="47"/>
      <c r="F253" s="46"/>
      <c r="G253" s="46"/>
      <c r="H253" s="46"/>
      <c r="I253" s="46"/>
      <c r="J253" s="46"/>
      <c r="K253" s="46"/>
      <c r="L253" s="46"/>
      <c r="M253" s="46"/>
      <c r="N253" s="46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</row>
    <row r="254" spans="1:28" ht="13.8">
      <c r="A254" s="46"/>
      <c r="B254" s="46"/>
      <c r="C254" s="47"/>
      <c r="D254" s="47"/>
      <c r="E254" s="47"/>
      <c r="F254" s="46"/>
      <c r="G254" s="46"/>
      <c r="H254" s="46"/>
      <c r="I254" s="46"/>
      <c r="J254" s="46"/>
      <c r="K254" s="46"/>
      <c r="L254" s="46"/>
      <c r="M254" s="46"/>
      <c r="N254" s="46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</row>
    <row r="255" spans="1:28" ht="13.8">
      <c r="A255" s="46"/>
      <c r="B255" s="46"/>
      <c r="C255" s="47"/>
      <c r="D255" s="47"/>
      <c r="E255" s="47"/>
      <c r="F255" s="46"/>
      <c r="G255" s="46"/>
      <c r="H255" s="46"/>
      <c r="I255" s="46"/>
      <c r="J255" s="46"/>
      <c r="K255" s="46"/>
      <c r="L255" s="46"/>
      <c r="M255" s="46"/>
      <c r="N255" s="46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</row>
    <row r="256" spans="1:28" ht="13.8">
      <c r="A256" s="46"/>
      <c r="B256" s="46"/>
      <c r="C256" s="47"/>
      <c r="D256" s="47"/>
      <c r="E256" s="47"/>
      <c r="F256" s="46"/>
      <c r="G256" s="46"/>
      <c r="H256" s="46"/>
      <c r="I256" s="46"/>
      <c r="J256" s="46"/>
      <c r="K256" s="46"/>
      <c r="L256" s="46"/>
      <c r="M256" s="46"/>
      <c r="N256" s="46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</row>
    <row r="257" spans="1:28" ht="13.8">
      <c r="A257" s="46"/>
      <c r="B257" s="46"/>
      <c r="C257" s="47"/>
      <c r="D257" s="47"/>
      <c r="E257" s="47"/>
      <c r="F257" s="46"/>
      <c r="G257" s="46"/>
      <c r="H257" s="46"/>
      <c r="I257" s="46"/>
      <c r="J257" s="46"/>
      <c r="K257" s="46"/>
      <c r="L257" s="46"/>
      <c r="M257" s="46"/>
      <c r="N257" s="46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</row>
    <row r="258" spans="1:28" ht="13.8">
      <c r="A258" s="46"/>
      <c r="B258" s="46"/>
      <c r="C258" s="47"/>
      <c r="D258" s="47"/>
      <c r="E258" s="47"/>
      <c r="F258" s="46"/>
      <c r="G258" s="46"/>
      <c r="H258" s="46"/>
      <c r="I258" s="46"/>
      <c r="J258" s="46"/>
      <c r="K258" s="46"/>
      <c r="L258" s="46"/>
      <c r="M258" s="46"/>
      <c r="N258" s="46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</row>
    <row r="259" spans="1:28" ht="13.8">
      <c r="A259" s="46"/>
      <c r="B259" s="46"/>
      <c r="C259" s="47"/>
      <c r="D259" s="47"/>
      <c r="E259" s="47"/>
      <c r="F259" s="46"/>
      <c r="G259" s="46"/>
      <c r="H259" s="46"/>
      <c r="I259" s="46"/>
      <c r="J259" s="46"/>
      <c r="K259" s="46"/>
      <c r="L259" s="46"/>
      <c r="M259" s="46"/>
      <c r="N259" s="46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</row>
    <row r="260" spans="1:28" ht="13.8">
      <c r="A260" s="46"/>
      <c r="B260" s="46"/>
      <c r="C260" s="47"/>
      <c r="D260" s="47"/>
      <c r="E260" s="47"/>
      <c r="F260" s="46"/>
      <c r="G260" s="46"/>
      <c r="H260" s="46"/>
      <c r="I260" s="46"/>
      <c r="J260" s="46"/>
      <c r="K260" s="46"/>
      <c r="L260" s="46"/>
      <c r="M260" s="46"/>
      <c r="N260" s="46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</row>
    <row r="261" spans="1:28" ht="13.8">
      <c r="A261" s="46"/>
      <c r="B261" s="46"/>
      <c r="C261" s="47"/>
      <c r="D261" s="47"/>
      <c r="E261" s="47"/>
      <c r="F261" s="46"/>
      <c r="G261" s="46"/>
      <c r="H261" s="46"/>
      <c r="I261" s="46"/>
      <c r="J261" s="46"/>
      <c r="K261" s="46"/>
      <c r="L261" s="46"/>
      <c r="M261" s="46"/>
      <c r="N261" s="46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</row>
    <row r="262" spans="1:28" ht="13.8">
      <c r="A262" s="46"/>
      <c r="B262" s="46"/>
      <c r="C262" s="47"/>
      <c r="D262" s="47"/>
      <c r="E262" s="47"/>
      <c r="F262" s="46"/>
      <c r="G262" s="46"/>
      <c r="H262" s="46"/>
      <c r="I262" s="46"/>
      <c r="J262" s="46"/>
      <c r="K262" s="46"/>
      <c r="L262" s="46"/>
      <c r="M262" s="46"/>
      <c r="N262" s="46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</row>
    <row r="263" spans="1:28" ht="13.8">
      <c r="A263" s="46"/>
      <c r="B263" s="46"/>
      <c r="C263" s="47"/>
      <c r="D263" s="47"/>
      <c r="E263" s="47"/>
      <c r="F263" s="46"/>
      <c r="G263" s="46"/>
      <c r="H263" s="46"/>
      <c r="I263" s="46"/>
      <c r="J263" s="46"/>
      <c r="K263" s="46"/>
      <c r="L263" s="46"/>
      <c r="M263" s="46"/>
      <c r="N263" s="46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</row>
    <row r="264" spans="1:28" ht="13.8">
      <c r="A264" s="46"/>
      <c r="B264" s="46"/>
      <c r="C264" s="47"/>
      <c r="D264" s="47"/>
      <c r="E264" s="47"/>
      <c r="F264" s="46"/>
      <c r="G264" s="46"/>
      <c r="H264" s="46"/>
      <c r="I264" s="46"/>
      <c r="J264" s="46"/>
      <c r="K264" s="46"/>
      <c r="L264" s="46"/>
      <c r="M264" s="46"/>
      <c r="N264" s="46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</row>
    <row r="265" spans="1:28" ht="13.8">
      <c r="A265" s="46"/>
      <c r="B265" s="46"/>
      <c r="C265" s="47"/>
      <c r="D265" s="47"/>
      <c r="E265" s="47"/>
      <c r="F265" s="46"/>
      <c r="G265" s="46"/>
      <c r="H265" s="46"/>
      <c r="I265" s="46"/>
      <c r="J265" s="46"/>
      <c r="K265" s="46"/>
      <c r="L265" s="46"/>
      <c r="M265" s="46"/>
      <c r="N265" s="46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</row>
    <row r="266" spans="1:28" ht="13.8">
      <c r="A266" s="46"/>
      <c r="B266" s="46"/>
      <c r="C266" s="47"/>
      <c r="D266" s="47"/>
      <c r="E266" s="47"/>
      <c r="F266" s="46"/>
      <c r="G266" s="46"/>
      <c r="H266" s="46"/>
      <c r="I266" s="46"/>
      <c r="J266" s="46"/>
      <c r="K266" s="46"/>
      <c r="L266" s="46"/>
      <c r="M266" s="46"/>
      <c r="N266" s="46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</row>
    <row r="267" spans="1:28" ht="13.8">
      <c r="A267" s="46"/>
      <c r="B267" s="46"/>
      <c r="C267" s="47"/>
      <c r="D267" s="47"/>
      <c r="E267" s="47"/>
      <c r="F267" s="46"/>
      <c r="G267" s="46"/>
      <c r="H267" s="46"/>
      <c r="I267" s="46"/>
      <c r="J267" s="46"/>
      <c r="K267" s="46"/>
      <c r="L267" s="46"/>
      <c r="M267" s="46"/>
      <c r="N267" s="46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</row>
    <row r="268" spans="1:28" ht="13.8">
      <c r="A268" s="46"/>
      <c r="B268" s="46"/>
      <c r="C268" s="47"/>
      <c r="D268" s="47"/>
      <c r="E268" s="47"/>
      <c r="F268" s="46"/>
      <c r="G268" s="46"/>
      <c r="H268" s="46"/>
      <c r="I268" s="46"/>
      <c r="J268" s="46"/>
      <c r="K268" s="46"/>
      <c r="L268" s="46"/>
      <c r="M268" s="46"/>
      <c r="N268" s="46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</row>
    <row r="269" spans="1:28" ht="13.8">
      <c r="A269" s="46"/>
      <c r="B269" s="46"/>
      <c r="C269" s="47"/>
      <c r="D269" s="47"/>
      <c r="E269" s="47"/>
      <c r="F269" s="46"/>
      <c r="G269" s="46"/>
      <c r="H269" s="46"/>
      <c r="I269" s="46"/>
      <c r="J269" s="46"/>
      <c r="K269" s="46"/>
      <c r="L269" s="46"/>
      <c r="M269" s="46"/>
      <c r="N269" s="46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</row>
    <row r="270" spans="1:28" ht="13.8">
      <c r="A270" s="46"/>
      <c r="B270" s="46"/>
      <c r="C270" s="47"/>
      <c r="D270" s="47"/>
      <c r="E270" s="47"/>
      <c r="F270" s="46"/>
      <c r="G270" s="46"/>
      <c r="H270" s="46"/>
      <c r="I270" s="46"/>
      <c r="J270" s="46"/>
      <c r="K270" s="46"/>
      <c r="L270" s="46"/>
      <c r="M270" s="46"/>
      <c r="N270" s="46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</row>
    <row r="271" spans="1:28" ht="13.8">
      <c r="A271" s="46"/>
      <c r="B271" s="46"/>
      <c r="C271" s="47"/>
      <c r="D271" s="47"/>
      <c r="E271" s="47"/>
      <c r="F271" s="46"/>
      <c r="G271" s="46"/>
      <c r="H271" s="46"/>
      <c r="I271" s="46"/>
      <c r="J271" s="46"/>
      <c r="K271" s="46"/>
      <c r="L271" s="46"/>
      <c r="M271" s="46"/>
      <c r="N271" s="46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</row>
    <row r="272" spans="1:28" ht="13.8">
      <c r="A272" s="46"/>
      <c r="B272" s="46"/>
      <c r="C272" s="47"/>
      <c r="D272" s="47"/>
      <c r="E272" s="47"/>
      <c r="F272" s="46"/>
      <c r="G272" s="46"/>
      <c r="H272" s="46"/>
      <c r="I272" s="46"/>
      <c r="J272" s="46"/>
      <c r="K272" s="46"/>
      <c r="L272" s="46"/>
      <c r="M272" s="46"/>
      <c r="N272" s="46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</row>
    <row r="273" spans="1:28" ht="13.8">
      <c r="A273" s="46"/>
      <c r="B273" s="46"/>
      <c r="C273" s="47"/>
      <c r="D273" s="47"/>
      <c r="E273" s="47"/>
      <c r="F273" s="46"/>
      <c r="G273" s="46"/>
      <c r="H273" s="46"/>
      <c r="I273" s="46"/>
      <c r="J273" s="46"/>
      <c r="K273" s="46"/>
      <c r="L273" s="46"/>
      <c r="M273" s="46"/>
      <c r="N273" s="46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</row>
    <row r="274" spans="1:28" ht="13.8">
      <c r="A274" s="46"/>
      <c r="B274" s="46"/>
      <c r="C274" s="47"/>
      <c r="D274" s="47"/>
      <c r="E274" s="47"/>
      <c r="F274" s="46"/>
      <c r="G274" s="46"/>
      <c r="H274" s="46"/>
      <c r="I274" s="46"/>
      <c r="J274" s="46"/>
      <c r="K274" s="46"/>
      <c r="L274" s="46"/>
      <c r="M274" s="46"/>
      <c r="N274" s="46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</row>
    <row r="275" spans="1:28" ht="13.8">
      <c r="A275" s="46"/>
      <c r="B275" s="46"/>
      <c r="C275" s="47"/>
      <c r="D275" s="47"/>
      <c r="E275" s="47"/>
      <c r="F275" s="46"/>
      <c r="G275" s="46"/>
      <c r="H275" s="46"/>
      <c r="I275" s="46"/>
      <c r="J275" s="46"/>
      <c r="K275" s="46"/>
      <c r="L275" s="46"/>
      <c r="M275" s="46"/>
      <c r="N275" s="46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</row>
    <row r="276" spans="1:28" ht="13.8">
      <c r="A276" s="46"/>
      <c r="B276" s="46"/>
      <c r="C276" s="47"/>
      <c r="D276" s="47"/>
      <c r="E276" s="47"/>
      <c r="F276" s="46"/>
      <c r="G276" s="46"/>
      <c r="H276" s="46"/>
      <c r="I276" s="46"/>
      <c r="J276" s="46"/>
      <c r="K276" s="46"/>
      <c r="L276" s="46"/>
      <c r="M276" s="46"/>
      <c r="N276" s="46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</row>
    <row r="277" spans="1:28" ht="13.8">
      <c r="A277" s="46"/>
      <c r="B277" s="46"/>
      <c r="C277" s="47"/>
      <c r="D277" s="47"/>
      <c r="E277" s="47"/>
      <c r="F277" s="46"/>
      <c r="G277" s="46"/>
      <c r="H277" s="46"/>
      <c r="I277" s="46"/>
      <c r="J277" s="46"/>
      <c r="K277" s="46"/>
      <c r="L277" s="46"/>
      <c r="M277" s="46"/>
      <c r="N277" s="46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</row>
    <row r="278" spans="1:28" ht="13.8">
      <c r="A278" s="46"/>
      <c r="B278" s="46"/>
      <c r="C278" s="47"/>
      <c r="D278" s="47"/>
      <c r="E278" s="47"/>
      <c r="F278" s="46"/>
      <c r="G278" s="46"/>
      <c r="H278" s="46"/>
      <c r="I278" s="46"/>
      <c r="J278" s="46"/>
      <c r="K278" s="46"/>
      <c r="L278" s="46"/>
      <c r="M278" s="46"/>
      <c r="N278" s="46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</row>
    <row r="279" spans="1:28" ht="13.8">
      <c r="A279" s="46"/>
      <c r="B279" s="46"/>
      <c r="C279" s="47"/>
      <c r="D279" s="47"/>
      <c r="E279" s="47"/>
      <c r="F279" s="46"/>
      <c r="G279" s="46"/>
      <c r="H279" s="46"/>
      <c r="I279" s="46"/>
      <c r="J279" s="46"/>
      <c r="K279" s="46"/>
      <c r="L279" s="46"/>
      <c r="M279" s="46"/>
      <c r="N279" s="46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</row>
    <row r="280" spans="1:28" ht="13.8">
      <c r="A280" s="46"/>
      <c r="B280" s="46"/>
      <c r="C280" s="47"/>
      <c r="D280" s="47"/>
      <c r="E280" s="47"/>
      <c r="F280" s="46"/>
      <c r="G280" s="46"/>
      <c r="H280" s="46"/>
      <c r="I280" s="46"/>
      <c r="J280" s="46"/>
      <c r="K280" s="46"/>
      <c r="L280" s="46"/>
      <c r="M280" s="46"/>
      <c r="N280" s="46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</row>
    <row r="281" spans="1:28" ht="13.8">
      <c r="A281" s="46"/>
      <c r="B281" s="46"/>
      <c r="C281" s="47"/>
      <c r="D281" s="47"/>
      <c r="E281" s="47"/>
      <c r="F281" s="46"/>
      <c r="G281" s="46"/>
      <c r="H281" s="46"/>
      <c r="I281" s="46"/>
      <c r="J281" s="46"/>
      <c r="K281" s="46"/>
      <c r="L281" s="46"/>
      <c r="M281" s="46"/>
      <c r="N281" s="46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</row>
    <row r="282" spans="1:28" ht="13.8">
      <c r="A282" s="46"/>
      <c r="B282" s="46"/>
      <c r="C282" s="47"/>
      <c r="D282" s="47"/>
      <c r="E282" s="47"/>
      <c r="F282" s="46"/>
      <c r="G282" s="46"/>
      <c r="H282" s="46"/>
      <c r="I282" s="46"/>
      <c r="J282" s="46"/>
      <c r="K282" s="46"/>
      <c r="L282" s="46"/>
      <c r="M282" s="46"/>
      <c r="N282" s="46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</row>
    <row r="283" spans="1:28" ht="13.8">
      <c r="A283" s="46"/>
      <c r="B283" s="46"/>
      <c r="C283" s="47"/>
      <c r="D283" s="47"/>
      <c r="E283" s="47"/>
      <c r="F283" s="46"/>
      <c r="G283" s="46"/>
      <c r="H283" s="46"/>
      <c r="I283" s="46"/>
      <c r="J283" s="46"/>
      <c r="K283" s="46"/>
      <c r="L283" s="46"/>
      <c r="M283" s="46"/>
      <c r="N283" s="46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</row>
    <row r="284" spans="1:28" ht="13.8">
      <c r="A284" s="46"/>
      <c r="B284" s="46"/>
      <c r="C284" s="47"/>
      <c r="D284" s="47"/>
      <c r="E284" s="47"/>
      <c r="F284" s="46"/>
      <c r="G284" s="46"/>
      <c r="H284" s="46"/>
      <c r="I284" s="46"/>
      <c r="J284" s="46"/>
      <c r="K284" s="46"/>
      <c r="L284" s="46"/>
      <c r="M284" s="46"/>
      <c r="N284" s="46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</row>
    <row r="285" spans="1:28" ht="13.8">
      <c r="A285" s="46"/>
      <c r="B285" s="46"/>
      <c r="C285" s="47"/>
      <c r="D285" s="47"/>
      <c r="E285" s="47"/>
      <c r="F285" s="46"/>
      <c r="G285" s="46"/>
      <c r="H285" s="46"/>
      <c r="I285" s="46"/>
      <c r="J285" s="46"/>
      <c r="K285" s="46"/>
      <c r="L285" s="46"/>
      <c r="M285" s="46"/>
      <c r="N285" s="46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</row>
    <row r="286" spans="1:28" ht="13.8">
      <c r="A286" s="46"/>
      <c r="B286" s="46"/>
      <c r="C286" s="47"/>
      <c r="D286" s="47"/>
      <c r="E286" s="47"/>
      <c r="F286" s="46"/>
      <c r="G286" s="46"/>
      <c r="H286" s="46"/>
      <c r="I286" s="46"/>
      <c r="J286" s="46"/>
      <c r="K286" s="46"/>
      <c r="L286" s="46"/>
      <c r="M286" s="46"/>
      <c r="N286" s="46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</row>
    <row r="287" spans="1:28" ht="13.8">
      <c r="A287" s="46"/>
      <c r="B287" s="46"/>
      <c r="C287" s="47"/>
      <c r="D287" s="47"/>
      <c r="E287" s="47"/>
      <c r="F287" s="46"/>
      <c r="G287" s="46"/>
      <c r="H287" s="46"/>
      <c r="I287" s="46"/>
      <c r="J287" s="46"/>
      <c r="K287" s="46"/>
      <c r="L287" s="46"/>
      <c r="M287" s="46"/>
      <c r="N287" s="46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</row>
    <row r="288" spans="1:28" ht="13.8">
      <c r="A288" s="46"/>
      <c r="B288" s="46"/>
      <c r="C288" s="47"/>
      <c r="D288" s="47"/>
      <c r="E288" s="47"/>
      <c r="F288" s="46"/>
      <c r="G288" s="46"/>
      <c r="H288" s="46"/>
      <c r="I288" s="46"/>
      <c r="J288" s="46"/>
      <c r="K288" s="46"/>
      <c r="L288" s="46"/>
      <c r="M288" s="46"/>
      <c r="N288" s="46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</row>
    <row r="289" spans="1:28" ht="13.8">
      <c r="A289" s="46"/>
      <c r="B289" s="46"/>
      <c r="C289" s="47"/>
      <c r="D289" s="47"/>
      <c r="E289" s="47"/>
      <c r="F289" s="46"/>
      <c r="G289" s="46"/>
      <c r="H289" s="46"/>
      <c r="I289" s="46"/>
      <c r="J289" s="46"/>
      <c r="K289" s="46"/>
      <c r="L289" s="46"/>
      <c r="M289" s="46"/>
      <c r="N289" s="46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</row>
    <row r="290" spans="1:28" ht="13.8">
      <c r="A290" s="46"/>
      <c r="B290" s="46"/>
      <c r="C290" s="47"/>
      <c r="D290" s="47"/>
      <c r="E290" s="47"/>
      <c r="F290" s="46"/>
      <c r="G290" s="46"/>
      <c r="H290" s="46"/>
      <c r="I290" s="46"/>
      <c r="J290" s="46"/>
      <c r="K290" s="46"/>
      <c r="L290" s="46"/>
      <c r="M290" s="46"/>
      <c r="N290" s="46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</row>
    <row r="291" spans="1:28" ht="13.8">
      <c r="A291" s="46"/>
      <c r="B291" s="46"/>
      <c r="C291" s="47"/>
      <c r="D291" s="47"/>
      <c r="E291" s="47"/>
      <c r="F291" s="46"/>
      <c r="G291" s="46"/>
      <c r="H291" s="46"/>
      <c r="I291" s="46"/>
      <c r="J291" s="46"/>
      <c r="K291" s="46"/>
      <c r="L291" s="46"/>
      <c r="M291" s="46"/>
      <c r="N291" s="46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</row>
    <row r="292" spans="1:28" ht="13.8">
      <c r="A292" s="46"/>
      <c r="B292" s="46"/>
      <c r="C292" s="47"/>
      <c r="D292" s="47"/>
      <c r="E292" s="47"/>
      <c r="F292" s="46"/>
      <c r="G292" s="46"/>
      <c r="H292" s="46"/>
      <c r="I292" s="46"/>
      <c r="J292" s="46"/>
      <c r="K292" s="46"/>
      <c r="L292" s="46"/>
      <c r="M292" s="46"/>
      <c r="N292" s="46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</row>
    <row r="293" spans="1:28" ht="13.8">
      <c r="A293" s="46"/>
      <c r="B293" s="46"/>
      <c r="C293" s="47"/>
      <c r="D293" s="47"/>
      <c r="E293" s="47"/>
      <c r="F293" s="46"/>
      <c r="G293" s="46"/>
      <c r="H293" s="46"/>
      <c r="I293" s="46"/>
      <c r="J293" s="46"/>
      <c r="K293" s="46"/>
      <c r="L293" s="46"/>
      <c r="M293" s="46"/>
      <c r="N293" s="46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</row>
    <row r="294" spans="1:28" ht="13.8">
      <c r="A294" s="46"/>
      <c r="B294" s="46"/>
      <c r="C294" s="47"/>
      <c r="D294" s="47"/>
      <c r="E294" s="47"/>
      <c r="F294" s="46"/>
      <c r="G294" s="46"/>
      <c r="H294" s="46"/>
      <c r="I294" s="46"/>
      <c r="J294" s="46"/>
      <c r="K294" s="46"/>
      <c r="L294" s="46"/>
      <c r="M294" s="46"/>
      <c r="N294" s="46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</row>
    <row r="295" spans="1:28" ht="13.8">
      <c r="A295" s="46"/>
      <c r="B295" s="46"/>
      <c r="C295" s="47"/>
      <c r="D295" s="47"/>
      <c r="E295" s="47"/>
      <c r="F295" s="46"/>
      <c r="G295" s="46"/>
      <c r="H295" s="46"/>
      <c r="I295" s="46"/>
      <c r="J295" s="46"/>
      <c r="K295" s="46"/>
      <c r="L295" s="46"/>
      <c r="M295" s="46"/>
      <c r="N295" s="46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</row>
    <row r="296" spans="1:28" ht="13.8">
      <c r="A296" s="46"/>
      <c r="B296" s="46"/>
      <c r="C296" s="47"/>
      <c r="D296" s="47"/>
      <c r="E296" s="47"/>
      <c r="F296" s="46"/>
      <c r="G296" s="46"/>
      <c r="H296" s="46"/>
      <c r="I296" s="46"/>
      <c r="J296" s="46"/>
      <c r="K296" s="46"/>
      <c r="L296" s="46"/>
      <c r="M296" s="46"/>
      <c r="N296" s="46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</row>
    <row r="297" spans="1:28" ht="13.8">
      <c r="A297" s="46"/>
      <c r="B297" s="46"/>
      <c r="C297" s="47"/>
      <c r="D297" s="47"/>
      <c r="E297" s="47"/>
      <c r="F297" s="46"/>
      <c r="G297" s="46"/>
      <c r="H297" s="46"/>
      <c r="I297" s="46"/>
      <c r="J297" s="46"/>
      <c r="K297" s="46"/>
      <c r="L297" s="46"/>
      <c r="M297" s="46"/>
      <c r="N297" s="46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</row>
    <row r="298" spans="1:28" ht="13.8">
      <c r="A298" s="46"/>
      <c r="B298" s="46"/>
      <c r="C298" s="47"/>
      <c r="D298" s="47"/>
      <c r="E298" s="47"/>
      <c r="F298" s="46"/>
      <c r="G298" s="46"/>
      <c r="H298" s="46"/>
      <c r="I298" s="46"/>
      <c r="J298" s="46"/>
      <c r="K298" s="46"/>
      <c r="L298" s="46"/>
      <c r="M298" s="46"/>
      <c r="N298" s="46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</row>
    <row r="299" spans="1:28" ht="13.8">
      <c r="A299" s="46"/>
      <c r="B299" s="46"/>
      <c r="C299" s="47"/>
      <c r="D299" s="47"/>
      <c r="E299" s="47"/>
      <c r="F299" s="46"/>
      <c r="G299" s="46"/>
      <c r="H299" s="46"/>
      <c r="I299" s="46"/>
      <c r="J299" s="46"/>
      <c r="K299" s="46"/>
      <c r="L299" s="46"/>
      <c r="M299" s="46"/>
      <c r="N299" s="46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</row>
    <row r="300" spans="1:28" ht="13.8">
      <c r="A300" s="46"/>
      <c r="B300" s="46"/>
      <c r="C300" s="47"/>
      <c r="D300" s="47"/>
      <c r="E300" s="47"/>
      <c r="F300" s="46"/>
      <c r="G300" s="46"/>
      <c r="H300" s="46"/>
      <c r="I300" s="46"/>
      <c r="J300" s="46"/>
      <c r="K300" s="46"/>
      <c r="L300" s="46"/>
      <c r="M300" s="46"/>
      <c r="N300" s="46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</row>
    <row r="301" spans="1:28" ht="13.8">
      <c r="A301" s="46"/>
      <c r="B301" s="46"/>
      <c r="C301" s="47"/>
      <c r="D301" s="47"/>
      <c r="E301" s="47"/>
      <c r="F301" s="46"/>
      <c r="G301" s="46"/>
      <c r="H301" s="46"/>
      <c r="I301" s="46"/>
      <c r="J301" s="46"/>
      <c r="K301" s="46"/>
      <c r="L301" s="46"/>
      <c r="M301" s="46"/>
      <c r="N301" s="46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</row>
    <row r="302" spans="1:28" ht="13.8">
      <c r="A302" s="46"/>
      <c r="B302" s="46"/>
      <c r="C302" s="47"/>
      <c r="D302" s="47"/>
      <c r="E302" s="47"/>
      <c r="F302" s="46"/>
      <c r="G302" s="46"/>
      <c r="H302" s="46"/>
      <c r="I302" s="46"/>
      <c r="J302" s="46"/>
      <c r="K302" s="46"/>
      <c r="L302" s="46"/>
      <c r="M302" s="46"/>
      <c r="N302" s="46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</row>
    <row r="303" spans="1:28" ht="13.8">
      <c r="A303" s="46"/>
      <c r="B303" s="46"/>
      <c r="C303" s="47"/>
      <c r="D303" s="47"/>
      <c r="E303" s="47"/>
      <c r="F303" s="46"/>
      <c r="G303" s="46"/>
      <c r="H303" s="46"/>
      <c r="I303" s="46"/>
      <c r="J303" s="46"/>
      <c r="K303" s="46"/>
      <c r="L303" s="46"/>
      <c r="M303" s="46"/>
      <c r="N303" s="46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</row>
    <row r="304" spans="1:28" ht="13.8">
      <c r="A304" s="46"/>
      <c r="B304" s="46"/>
      <c r="C304" s="47"/>
      <c r="D304" s="47"/>
      <c r="E304" s="47"/>
      <c r="F304" s="46"/>
      <c r="G304" s="46"/>
      <c r="H304" s="46"/>
      <c r="I304" s="46"/>
      <c r="J304" s="46"/>
      <c r="K304" s="46"/>
      <c r="L304" s="46"/>
      <c r="M304" s="46"/>
      <c r="N304" s="46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</row>
    <row r="305" spans="1:28" ht="13.8">
      <c r="A305" s="46"/>
      <c r="B305" s="46"/>
      <c r="C305" s="47"/>
      <c r="D305" s="47"/>
      <c r="E305" s="47"/>
      <c r="F305" s="46"/>
      <c r="G305" s="46"/>
      <c r="H305" s="46"/>
      <c r="I305" s="46"/>
      <c r="J305" s="46"/>
      <c r="K305" s="46"/>
      <c r="L305" s="46"/>
      <c r="M305" s="46"/>
      <c r="N305" s="46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</row>
    <row r="306" spans="1:28" ht="13.8">
      <c r="A306" s="46"/>
      <c r="B306" s="46"/>
      <c r="C306" s="47"/>
      <c r="D306" s="47"/>
      <c r="E306" s="47"/>
      <c r="F306" s="46"/>
      <c r="G306" s="46"/>
      <c r="H306" s="46"/>
      <c r="I306" s="46"/>
      <c r="J306" s="46"/>
      <c r="K306" s="46"/>
      <c r="L306" s="46"/>
      <c r="M306" s="46"/>
      <c r="N306" s="46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</row>
    <row r="307" spans="1:28" ht="13.8">
      <c r="A307" s="46"/>
      <c r="B307" s="46"/>
      <c r="C307" s="47"/>
      <c r="D307" s="47"/>
      <c r="E307" s="47"/>
      <c r="F307" s="46"/>
      <c r="G307" s="46"/>
      <c r="H307" s="46"/>
      <c r="I307" s="46"/>
      <c r="J307" s="46"/>
      <c r="K307" s="46"/>
      <c r="L307" s="46"/>
      <c r="M307" s="46"/>
      <c r="N307" s="46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</row>
    <row r="308" spans="1:28" ht="13.8">
      <c r="A308" s="46"/>
      <c r="B308" s="46"/>
      <c r="C308" s="47"/>
      <c r="D308" s="47"/>
      <c r="E308" s="47"/>
      <c r="F308" s="46"/>
      <c r="G308" s="46"/>
      <c r="H308" s="46"/>
      <c r="I308" s="46"/>
      <c r="J308" s="46"/>
      <c r="K308" s="46"/>
      <c r="L308" s="46"/>
      <c r="M308" s="46"/>
      <c r="N308" s="46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</row>
    <row r="309" spans="1:28" ht="13.8">
      <c r="A309" s="46"/>
      <c r="B309" s="46"/>
      <c r="C309" s="47"/>
      <c r="D309" s="47"/>
      <c r="E309" s="47"/>
      <c r="F309" s="46"/>
      <c r="G309" s="46"/>
      <c r="H309" s="46"/>
      <c r="I309" s="46"/>
      <c r="J309" s="46"/>
      <c r="K309" s="46"/>
      <c r="L309" s="46"/>
      <c r="M309" s="46"/>
      <c r="N309" s="46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</row>
    <row r="310" spans="1:28" ht="13.8">
      <c r="A310" s="46"/>
      <c r="B310" s="46"/>
      <c r="C310" s="47"/>
      <c r="D310" s="47"/>
      <c r="E310" s="47"/>
      <c r="F310" s="46"/>
      <c r="G310" s="46"/>
      <c r="H310" s="46"/>
      <c r="I310" s="46"/>
      <c r="J310" s="46"/>
      <c r="K310" s="46"/>
      <c r="L310" s="46"/>
      <c r="M310" s="46"/>
      <c r="N310" s="46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</row>
    <row r="311" spans="1:28" ht="13.8">
      <c r="A311" s="46"/>
      <c r="B311" s="46"/>
      <c r="C311" s="47"/>
      <c r="D311" s="47"/>
      <c r="E311" s="47"/>
      <c r="F311" s="46"/>
      <c r="G311" s="46"/>
      <c r="H311" s="46"/>
      <c r="I311" s="46"/>
      <c r="J311" s="46"/>
      <c r="K311" s="46"/>
      <c r="L311" s="46"/>
      <c r="M311" s="46"/>
      <c r="N311" s="46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</row>
    <row r="312" spans="1:28" ht="13.8">
      <c r="A312" s="46"/>
      <c r="B312" s="46"/>
      <c r="C312" s="47"/>
      <c r="D312" s="47"/>
      <c r="E312" s="47"/>
      <c r="F312" s="46"/>
      <c r="G312" s="46"/>
      <c r="H312" s="46"/>
      <c r="I312" s="46"/>
      <c r="J312" s="46"/>
      <c r="K312" s="46"/>
      <c r="L312" s="46"/>
      <c r="M312" s="46"/>
      <c r="N312" s="46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</row>
    <row r="313" spans="1:28" ht="13.8">
      <c r="A313" s="46"/>
      <c r="B313" s="46"/>
      <c r="C313" s="47"/>
      <c r="D313" s="47"/>
      <c r="E313" s="47"/>
      <c r="F313" s="46"/>
      <c r="G313" s="46"/>
      <c r="H313" s="46"/>
      <c r="I313" s="46"/>
      <c r="J313" s="46"/>
      <c r="K313" s="46"/>
      <c r="L313" s="46"/>
      <c r="M313" s="46"/>
      <c r="N313" s="46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</row>
    <row r="314" spans="1:28" ht="13.8">
      <c r="A314" s="46"/>
      <c r="B314" s="46"/>
      <c r="C314" s="47"/>
      <c r="D314" s="47"/>
      <c r="E314" s="47"/>
      <c r="F314" s="46"/>
      <c r="G314" s="46"/>
      <c r="H314" s="46"/>
      <c r="I314" s="46"/>
      <c r="J314" s="46"/>
      <c r="K314" s="46"/>
      <c r="L314" s="46"/>
      <c r="M314" s="46"/>
      <c r="N314" s="46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</row>
    <row r="315" spans="1:28" ht="13.8">
      <c r="A315" s="46"/>
      <c r="B315" s="46"/>
      <c r="C315" s="47"/>
      <c r="D315" s="47"/>
      <c r="E315" s="47"/>
      <c r="F315" s="46"/>
      <c r="G315" s="46"/>
      <c r="H315" s="46"/>
      <c r="I315" s="46"/>
      <c r="J315" s="46"/>
      <c r="K315" s="46"/>
      <c r="L315" s="46"/>
      <c r="M315" s="46"/>
      <c r="N315" s="46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</row>
    <row r="316" spans="1:28" ht="13.8">
      <c r="A316" s="46"/>
      <c r="B316" s="46"/>
      <c r="C316" s="47"/>
      <c r="D316" s="47"/>
      <c r="E316" s="47"/>
      <c r="F316" s="46"/>
      <c r="G316" s="46"/>
      <c r="H316" s="46"/>
      <c r="I316" s="46"/>
      <c r="J316" s="46"/>
      <c r="K316" s="46"/>
      <c r="L316" s="46"/>
      <c r="M316" s="46"/>
      <c r="N316" s="46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</row>
    <row r="317" spans="1:28" ht="13.8">
      <c r="A317" s="46"/>
      <c r="B317" s="46"/>
      <c r="C317" s="47"/>
      <c r="D317" s="47"/>
      <c r="E317" s="47"/>
      <c r="F317" s="46"/>
      <c r="G317" s="46"/>
      <c r="H317" s="46"/>
      <c r="I317" s="46"/>
      <c r="J317" s="46"/>
      <c r="K317" s="46"/>
      <c r="L317" s="46"/>
      <c r="M317" s="46"/>
      <c r="N317" s="46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</row>
    <row r="318" spans="1:28" ht="13.8">
      <c r="A318" s="46"/>
      <c r="B318" s="46"/>
      <c r="C318" s="47"/>
      <c r="D318" s="47"/>
      <c r="E318" s="47"/>
      <c r="F318" s="46"/>
      <c r="G318" s="46"/>
      <c r="H318" s="46"/>
      <c r="I318" s="46"/>
      <c r="J318" s="46"/>
      <c r="K318" s="46"/>
      <c r="L318" s="46"/>
      <c r="M318" s="46"/>
      <c r="N318" s="46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</row>
    <row r="319" spans="1:28" ht="13.8">
      <c r="A319" s="46"/>
      <c r="B319" s="46"/>
      <c r="C319" s="47"/>
      <c r="D319" s="47"/>
      <c r="E319" s="47"/>
      <c r="F319" s="46"/>
      <c r="G319" s="46"/>
      <c r="H319" s="46"/>
      <c r="I319" s="46"/>
      <c r="J319" s="46"/>
      <c r="K319" s="46"/>
      <c r="L319" s="46"/>
      <c r="M319" s="46"/>
      <c r="N319" s="46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</row>
    <row r="320" spans="1:28" ht="13.8">
      <c r="A320" s="46"/>
      <c r="B320" s="46"/>
      <c r="C320" s="47"/>
      <c r="D320" s="47"/>
      <c r="E320" s="47"/>
      <c r="F320" s="46"/>
      <c r="G320" s="46"/>
      <c r="H320" s="46"/>
      <c r="I320" s="46"/>
      <c r="J320" s="46"/>
      <c r="K320" s="46"/>
      <c r="L320" s="46"/>
      <c r="M320" s="46"/>
      <c r="N320" s="46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</row>
    <row r="321" spans="1:28" ht="13.8">
      <c r="A321" s="46"/>
      <c r="B321" s="46"/>
      <c r="C321" s="47"/>
      <c r="D321" s="47"/>
      <c r="E321" s="47"/>
      <c r="F321" s="46"/>
      <c r="G321" s="46"/>
      <c r="H321" s="46"/>
      <c r="I321" s="46"/>
      <c r="J321" s="46"/>
      <c r="K321" s="46"/>
      <c r="L321" s="46"/>
      <c r="M321" s="46"/>
      <c r="N321" s="46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</row>
    <row r="322" spans="1:28" ht="13.8">
      <c r="A322" s="46"/>
      <c r="B322" s="46"/>
      <c r="C322" s="47"/>
      <c r="D322" s="47"/>
      <c r="E322" s="47"/>
      <c r="F322" s="46"/>
      <c r="G322" s="46"/>
      <c r="H322" s="46"/>
      <c r="I322" s="46"/>
      <c r="J322" s="46"/>
      <c r="K322" s="46"/>
      <c r="L322" s="46"/>
      <c r="M322" s="46"/>
      <c r="N322" s="46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</row>
    <row r="323" spans="1:28" ht="13.8">
      <c r="A323" s="46"/>
      <c r="B323" s="46"/>
      <c r="C323" s="47"/>
      <c r="D323" s="47"/>
      <c r="E323" s="47"/>
      <c r="F323" s="46"/>
      <c r="G323" s="46"/>
      <c r="H323" s="46"/>
      <c r="I323" s="46"/>
      <c r="J323" s="46"/>
      <c r="K323" s="46"/>
      <c r="L323" s="46"/>
      <c r="M323" s="46"/>
      <c r="N323" s="46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</row>
    <row r="324" spans="1:28" ht="13.8">
      <c r="A324" s="46"/>
      <c r="B324" s="46"/>
      <c r="C324" s="47"/>
      <c r="D324" s="47"/>
      <c r="E324" s="47"/>
      <c r="F324" s="46"/>
      <c r="G324" s="46"/>
      <c r="H324" s="46"/>
      <c r="I324" s="46"/>
      <c r="J324" s="46"/>
      <c r="K324" s="46"/>
      <c r="L324" s="46"/>
      <c r="M324" s="46"/>
      <c r="N324" s="46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</row>
    <row r="325" spans="1:28" ht="13.8">
      <c r="A325" s="46"/>
      <c r="B325" s="46"/>
      <c r="C325" s="47"/>
      <c r="D325" s="47"/>
      <c r="E325" s="47"/>
      <c r="F325" s="46"/>
      <c r="G325" s="46"/>
      <c r="H325" s="46"/>
      <c r="I325" s="46"/>
      <c r="J325" s="46"/>
      <c r="K325" s="46"/>
      <c r="L325" s="46"/>
      <c r="M325" s="46"/>
      <c r="N325" s="46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</row>
    <row r="326" spans="1:28" ht="13.8">
      <c r="A326" s="46"/>
      <c r="B326" s="46"/>
      <c r="C326" s="47"/>
      <c r="D326" s="47"/>
      <c r="E326" s="47"/>
      <c r="F326" s="46"/>
      <c r="G326" s="46"/>
      <c r="H326" s="46"/>
      <c r="I326" s="46"/>
      <c r="J326" s="46"/>
      <c r="K326" s="46"/>
      <c r="L326" s="46"/>
      <c r="M326" s="46"/>
      <c r="N326" s="46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</row>
    <row r="327" spans="1:28" ht="13.8">
      <c r="A327" s="46"/>
      <c r="B327" s="46"/>
      <c r="C327" s="47"/>
      <c r="D327" s="47"/>
      <c r="E327" s="47"/>
      <c r="F327" s="46"/>
      <c r="G327" s="46"/>
      <c r="H327" s="46"/>
      <c r="I327" s="46"/>
      <c r="J327" s="46"/>
      <c r="K327" s="46"/>
      <c r="L327" s="46"/>
      <c r="M327" s="46"/>
      <c r="N327" s="46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</row>
    <row r="328" spans="1:28" ht="13.8">
      <c r="A328" s="46"/>
      <c r="B328" s="46"/>
      <c r="C328" s="47"/>
      <c r="D328" s="47"/>
      <c r="E328" s="47"/>
      <c r="F328" s="46"/>
      <c r="G328" s="46"/>
      <c r="H328" s="46"/>
      <c r="I328" s="46"/>
      <c r="J328" s="46"/>
      <c r="K328" s="46"/>
      <c r="L328" s="46"/>
      <c r="M328" s="46"/>
      <c r="N328" s="46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</row>
    <row r="329" spans="1:28" ht="13.8">
      <c r="A329" s="46"/>
      <c r="B329" s="46"/>
      <c r="C329" s="47"/>
      <c r="D329" s="47"/>
      <c r="E329" s="47"/>
      <c r="F329" s="46"/>
      <c r="G329" s="46"/>
      <c r="H329" s="46"/>
      <c r="I329" s="46"/>
      <c r="J329" s="46"/>
      <c r="K329" s="46"/>
      <c r="L329" s="46"/>
      <c r="M329" s="46"/>
      <c r="N329" s="46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</row>
    <row r="330" spans="1:28" ht="13.8">
      <c r="A330" s="46"/>
      <c r="B330" s="46"/>
      <c r="C330" s="47"/>
      <c r="D330" s="47"/>
      <c r="E330" s="47"/>
      <c r="F330" s="46"/>
      <c r="G330" s="46"/>
      <c r="H330" s="46"/>
      <c r="I330" s="46"/>
      <c r="J330" s="46"/>
      <c r="K330" s="46"/>
      <c r="L330" s="46"/>
      <c r="M330" s="46"/>
      <c r="N330" s="46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</row>
    <row r="331" spans="1:28" ht="13.8">
      <c r="A331" s="46"/>
      <c r="B331" s="46"/>
      <c r="C331" s="47"/>
      <c r="D331" s="47"/>
      <c r="E331" s="47"/>
      <c r="F331" s="46"/>
      <c r="G331" s="46"/>
      <c r="H331" s="46"/>
      <c r="I331" s="46"/>
      <c r="J331" s="46"/>
      <c r="K331" s="46"/>
      <c r="L331" s="46"/>
      <c r="M331" s="46"/>
      <c r="N331" s="46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</row>
    <row r="332" spans="1:28" ht="13.8">
      <c r="A332" s="46"/>
      <c r="B332" s="46"/>
      <c r="C332" s="47"/>
      <c r="D332" s="47"/>
      <c r="E332" s="47"/>
      <c r="F332" s="46"/>
      <c r="G332" s="46"/>
      <c r="H332" s="46"/>
      <c r="I332" s="46"/>
      <c r="J332" s="46"/>
      <c r="K332" s="46"/>
      <c r="L332" s="46"/>
      <c r="M332" s="46"/>
      <c r="N332" s="46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</row>
    <row r="333" spans="1:28" ht="13.8">
      <c r="A333" s="46"/>
      <c r="B333" s="46"/>
      <c r="C333" s="47"/>
      <c r="D333" s="47"/>
      <c r="E333" s="47"/>
      <c r="F333" s="46"/>
      <c r="G333" s="46"/>
      <c r="H333" s="46"/>
      <c r="I333" s="46"/>
      <c r="J333" s="46"/>
      <c r="K333" s="46"/>
      <c r="L333" s="46"/>
      <c r="M333" s="46"/>
      <c r="N333" s="46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</row>
    <row r="334" spans="1:28" ht="13.8">
      <c r="A334" s="46"/>
      <c r="B334" s="46"/>
      <c r="C334" s="47"/>
      <c r="D334" s="47"/>
      <c r="E334" s="47"/>
      <c r="F334" s="46"/>
      <c r="G334" s="46"/>
      <c r="H334" s="46"/>
      <c r="I334" s="46"/>
      <c r="J334" s="46"/>
      <c r="K334" s="46"/>
      <c r="L334" s="46"/>
      <c r="M334" s="46"/>
      <c r="N334" s="46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</row>
    <row r="335" spans="1:28" ht="13.8">
      <c r="A335" s="46"/>
      <c r="B335" s="46"/>
      <c r="C335" s="47"/>
      <c r="D335" s="47"/>
      <c r="E335" s="47"/>
      <c r="F335" s="46"/>
      <c r="G335" s="46"/>
      <c r="H335" s="46"/>
      <c r="I335" s="46"/>
      <c r="J335" s="46"/>
      <c r="K335" s="46"/>
      <c r="L335" s="46"/>
      <c r="M335" s="46"/>
      <c r="N335" s="46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</row>
    <row r="336" spans="1:28" ht="13.8">
      <c r="A336" s="46"/>
      <c r="B336" s="46"/>
      <c r="C336" s="47"/>
      <c r="D336" s="47"/>
      <c r="E336" s="47"/>
      <c r="F336" s="46"/>
      <c r="G336" s="46"/>
      <c r="H336" s="46"/>
      <c r="I336" s="46"/>
      <c r="J336" s="46"/>
      <c r="K336" s="46"/>
      <c r="L336" s="46"/>
      <c r="M336" s="46"/>
      <c r="N336" s="46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</row>
    <row r="337" spans="1:28" ht="13.8">
      <c r="A337" s="46"/>
      <c r="B337" s="46"/>
      <c r="C337" s="47"/>
      <c r="D337" s="47"/>
      <c r="E337" s="47"/>
      <c r="F337" s="46"/>
      <c r="G337" s="46"/>
      <c r="H337" s="46"/>
      <c r="I337" s="46"/>
      <c r="J337" s="46"/>
      <c r="K337" s="46"/>
      <c r="L337" s="46"/>
      <c r="M337" s="46"/>
      <c r="N337" s="46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</row>
    <row r="338" spans="1:28" ht="13.8">
      <c r="A338" s="46"/>
      <c r="B338" s="46"/>
      <c r="C338" s="47"/>
      <c r="D338" s="47"/>
      <c r="E338" s="47"/>
      <c r="F338" s="46"/>
      <c r="G338" s="46"/>
      <c r="H338" s="46"/>
      <c r="I338" s="46"/>
      <c r="J338" s="46"/>
      <c r="K338" s="46"/>
      <c r="L338" s="46"/>
      <c r="M338" s="46"/>
      <c r="N338" s="46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</row>
    <row r="339" spans="1:28" ht="13.8">
      <c r="A339" s="46"/>
      <c r="B339" s="46"/>
      <c r="C339" s="47"/>
      <c r="D339" s="47"/>
      <c r="E339" s="47"/>
      <c r="F339" s="46"/>
      <c r="G339" s="46"/>
      <c r="H339" s="46"/>
      <c r="I339" s="46"/>
      <c r="J339" s="46"/>
      <c r="K339" s="46"/>
      <c r="L339" s="46"/>
      <c r="M339" s="46"/>
      <c r="N339" s="46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</row>
    <row r="340" spans="1:28" ht="13.8">
      <c r="A340" s="46"/>
      <c r="B340" s="46"/>
      <c r="C340" s="47"/>
      <c r="D340" s="47"/>
      <c r="E340" s="47"/>
      <c r="F340" s="46"/>
      <c r="G340" s="46"/>
      <c r="H340" s="46"/>
      <c r="I340" s="46"/>
      <c r="J340" s="46"/>
      <c r="K340" s="46"/>
      <c r="L340" s="46"/>
      <c r="M340" s="46"/>
      <c r="N340" s="46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</row>
    <row r="341" spans="1:28" ht="13.8">
      <c r="A341" s="46"/>
      <c r="B341" s="46"/>
      <c r="C341" s="47"/>
      <c r="D341" s="47"/>
      <c r="E341" s="47"/>
      <c r="F341" s="46"/>
      <c r="G341" s="46"/>
      <c r="H341" s="46"/>
      <c r="I341" s="46"/>
      <c r="J341" s="46"/>
      <c r="K341" s="46"/>
      <c r="L341" s="46"/>
      <c r="M341" s="46"/>
      <c r="N341" s="46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</row>
    <row r="342" spans="1:28" ht="13.8">
      <c r="A342" s="46"/>
      <c r="B342" s="46"/>
      <c r="C342" s="47"/>
      <c r="D342" s="47"/>
      <c r="E342" s="47"/>
      <c r="F342" s="46"/>
      <c r="G342" s="46"/>
      <c r="H342" s="46"/>
      <c r="I342" s="46"/>
      <c r="J342" s="46"/>
      <c r="K342" s="46"/>
      <c r="L342" s="46"/>
      <c r="M342" s="46"/>
      <c r="N342" s="46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</row>
    <row r="343" spans="1:28" ht="13.8">
      <c r="A343" s="46"/>
      <c r="B343" s="46"/>
      <c r="C343" s="47"/>
      <c r="D343" s="47"/>
      <c r="E343" s="47"/>
      <c r="F343" s="46"/>
      <c r="G343" s="46"/>
      <c r="H343" s="46"/>
      <c r="I343" s="46"/>
      <c r="J343" s="46"/>
      <c r="K343" s="46"/>
      <c r="L343" s="46"/>
      <c r="M343" s="46"/>
      <c r="N343" s="46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</row>
    <row r="344" spans="1:28" ht="13.8">
      <c r="A344" s="46"/>
      <c r="B344" s="46"/>
      <c r="C344" s="47"/>
      <c r="D344" s="47"/>
      <c r="E344" s="47"/>
      <c r="F344" s="46"/>
      <c r="G344" s="46"/>
      <c r="H344" s="46"/>
      <c r="I344" s="46"/>
      <c r="J344" s="46"/>
      <c r="K344" s="46"/>
      <c r="L344" s="46"/>
      <c r="M344" s="46"/>
      <c r="N344" s="46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</row>
    <row r="345" spans="1:28" ht="13.8">
      <c r="A345" s="46"/>
      <c r="B345" s="46"/>
      <c r="C345" s="47"/>
      <c r="D345" s="47"/>
      <c r="E345" s="47"/>
      <c r="F345" s="46"/>
      <c r="G345" s="46"/>
      <c r="H345" s="46"/>
      <c r="I345" s="46"/>
      <c r="J345" s="46"/>
      <c r="K345" s="46"/>
      <c r="L345" s="46"/>
      <c r="M345" s="46"/>
      <c r="N345" s="46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</row>
    <row r="346" spans="1:28" ht="13.8">
      <c r="A346" s="46"/>
      <c r="B346" s="46"/>
      <c r="C346" s="47"/>
      <c r="D346" s="47"/>
      <c r="E346" s="47"/>
      <c r="F346" s="46"/>
      <c r="G346" s="46"/>
      <c r="H346" s="46"/>
      <c r="I346" s="46"/>
      <c r="J346" s="46"/>
      <c r="K346" s="46"/>
      <c r="L346" s="46"/>
      <c r="M346" s="46"/>
      <c r="N346" s="46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</row>
    <row r="347" spans="1:28" ht="13.8">
      <c r="A347" s="46"/>
      <c r="B347" s="46"/>
      <c r="C347" s="47"/>
      <c r="D347" s="47"/>
      <c r="E347" s="47"/>
      <c r="F347" s="46"/>
      <c r="G347" s="46"/>
      <c r="H347" s="46"/>
      <c r="I347" s="46"/>
      <c r="J347" s="46"/>
      <c r="K347" s="46"/>
      <c r="L347" s="46"/>
      <c r="M347" s="46"/>
      <c r="N347" s="46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</row>
    <row r="348" spans="1:28" ht="13.8">
      <c r="A348" s="46"/>
      <c r="B348" s="46"/>
      <c r="C348" s="47"/>
      <c r="D348" s="47"/>
      <c r="E348" s="47"/>
      <c r="F348" s="46"/>
      <c r="G348" s="46"/>
      <c r="H348" s="46"/>
      <c r="I348" s="46"/>
      <c r="J348" s="46"/>
      <c r="K348" s="46"/>
      <c r="L348" s="46"/>
      <c r="M348" s="46"/>
      <c r="N348" s="46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</row>
    <row r="349" spans="1:28" ht="13.8">
      <c r="A349" s="46"/>
      <c r="B349" s="46"/>
      <c r="C349" s="47"/>
      <c r="D349" s="47"/>
      <c r="E349" s="47"/>
      <c r="F349" s="46"/>
      <c r="G349" s="46"/>
      <c r="H349" s="46"/>
      <c r="I349" s="46"/>
      <c r="J349" s="46"/>
      <c r="K349" s="46"/>
      <c r="L349" s="46"/>
      <c r="M349" s="46"/>
      <c r="N349" s="46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</row>
    <row r="350" spans="1:28" ht="13.8">
      <c r="A350" s="46"/>
      <c r="B350" s="46"/>
      <c r="C350" s="47"/>
      <c r="D350" s="47"/>
      <c r="E350" s="47"/>
      <c r="F350" s="46"/>
      <c r="G350" s="46"/>
      <c r="H350" s="46"/>
      <c r="I350" s="46"/>
      <c r="J350" s="46"/>
      <c r="K350" s="46"/>
      <c r="L350" s="46"/>
      <c r="M350" s="46"/>
      <c r="N350" s="46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</row>
    <row r="351" spans="1:28" ht="13.8">
      <c r="A351" s="46"/>
      <c r="B351" s="46"/>
      <c r="C351" s="47"/>
      <c r="D351" s="47"/>
      <c r="E351" s="47"/>
      <c r="F351" s="46"/>
      <c r="G351" s="46"/>
      <c r="H351" s="46"/>
      <c r="I351" s="46"/>
      <c r="J351" s="46"/>
      <c r="K351" s="46"/>
      <c r="L351" s="46"/>
      <c r="M351" s="46"/>
      <c r="N351" s="46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</row>
    <row r="352" spans="1:28" ht="13.8">
      <c r="A352" s="46"/>
      <c r="B352" s="46"/>
      <c r="C352" s="47"/>
      <c r="D352" s="47"/>
      <c r="E352" s="47"/>
      <c r="F352" s="46"/>
      <c r="G352" s="46"/>
      <c r="H352" s="46"/>
      <c r="I352" s="46"/>
      <c r="J352" s="46"/>
      <c r="K352" s="46"/>
      <c r="L352" s="46"/>
      <c r="M352" s="46"/>
      <c r="N352" s="46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</row>
    <row r="353" spans="1:28" ht="13.8">
      <c r="A353" s="46"/>
      <c r="B353" s="46"/>
      <c r="C353" s="47"/>
      <c r="D353" s="47"/>
      <c r="E353" s="47"/>
      <c r="F353" s="46"/>
      <c r="G353" s="46"/>
      <c r="H353" s="46"/>
      <c r="I353" s="46"/>
      <c r="J353" s="46"/>
      <c r="K353" s="46"/>
      <c r="L353" s="46"/>
      <c r="M353" s="46"/>
      <c r="N353" s="46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</row>
    <row r="354" spans="1:28" ht="13.8">
      <c r="A354" s="46"/>
      <c r="B354" s="46"/>
      <c r="C354" s="47"/>
      <c r="D354" s="47"/>
      <c r="E354" s="47"/>
      <c r="F354" s="46"/>
      <c r="G354" s="46"/>
      <c r="H354" s="46"/>
      <c r="I354" s="46"/>
      <c r="J354" s="46"/>
      <c r="K354" s="46"/>
      <c r="L354" s="46"/>
      <c r="M354" s="46"/>
      <c r="N354" s="46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</row>
    <row r="355" spans="1:28" ht="13.8">
      <c r="A355" s="46"/>
      <c r="B355" s="46"/>
      <c r="C355" s="47"/>
      <c r="D355" s="47"/>
      <c r="E355" s="47"/>
      <c r="F355" s="46"/>
      <c r="G355" s="46"/>
      <c r="H355" s="46"/>
      <c r="I355" s="46"/>
      <c r="J355" s="46"/>
      <c r="K355" s="46"/>
      <c r="L355" s="46"/>
      <c r="M355" s="46"/>
      <c r="N355" s="46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</row>
    <row r="356" spans="1:28" ht="13.8">
      <c r="A356" s="46"/>
      <c r="B356" s="46"/>
      <c r="C356" s="47"/>
      <c r="D356" s="47"/>
      <c r="E356" s="47"/>
      <c r="F356" s="46"/>
      <c r="G356" s="46"/>
      <c r="H356" s="46"/>
      <c r="I356" s="46"/>
      <c r="J356" s="46"/>
      <c r="K356" s="46"/>
      <c r="L356" s="46"/>
      <c r="M356" s="46"/>
      <c r="N356" s="46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</row>
    <row r="357" spans="1:28" ht="13.8">
      <c r="A357" s="46"/>
      <c r="B357" s="46"/>
      <c r="C357" s="47"/>
      <c r="D357" s="47"/>
      <c r="E357" s="47"/>
      <c r="F357" s="46"/>
      <c r="G357" s="46"/>
      <c r="H357" s="46"/>
      <c r="I357" s="46"/>
      <c r="J357" s="46"/>
      <c r="K357" s="46"/>
      <c r="L357" s="46"/>
      <c r="M357" s="46"/>
      <c r="N357" s="46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</row>
    <row r="358" spans="1:28" ht="13.8">
      <c r="A358" s="46"/>
      <c r="B358" s="46"/>
      <c r="C358" s="47"/>
      <c r="D358" s="47"/>
      <c r="E358" s="47"/>
      <c r="F358" s="46"/>
      <c r="G358" s="46"/>
      <c r="H358" s="46"/>
      <c r="I358" s="46"/>
      <c r="J358" s="46"/>
      <c r="K358" s="46"/>
      <c r="L358" s="46"/>
      <c r="M358" s="46"/>
      <c r="N358" s="46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</row>
    <row r="359" spans="1:28" ht="13.8">
      <c r="A359" s="46"/>
      <c r="B359" s="46"/>
      <c r="C359" s="47"/>
      <c r="D359" s="47"/>
      <c r="E359" s="47"/>
      <c r="F359" s="46"/>
      <c r="G359" s="46"/>
      <c r="H359" s="46"/>
      <c r="I359" s="46"/>
      <c r="J359" s="46"/>
      <c r="K359" s="46"/>
      <c r="L359" s="46"/>
      <c r="M359" s="46"/>
      <c r="N359" s="46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</row>
    <row r="360" spans="1:28" ht="13.8">
      <c r="A360" s="46"/>
      <c r="B360" s="46"/>
      <c r="C360" s="47"/>
      <c r="D360" s="47"/>
      <c r="E360" s="47"/>
      <c r="F360" s="46"/>
      <c r="G360" s="46"/>
      <c r="H360" s="46"/>
      <c r="I360" s="46"/>
      <c r="J360" s="46"/>
      <c r="K360" s="46"/>
      <c r="L360" s="46"/>
      <c r="M360" s="46"/>
      <c r="N360" s="46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</row>
    <row r="361" spans="1:28" ht="13.8">
      <c r="A361" s="46"/>
      <c r="B361" s="46"/>
      <c r="C361" s="47"/>
      <c r="D361" s="47"/>
      <c r="E361" s="47"/>
      <c r="F361" s="46"/>
      <c r="G361" s="46"/>
      <c r="H361" s="46"/>
      <c r="I361" s="46"/>
      <c r="J361" s="46"/>
      <c r="K361" s="46"/>
      <c r="L361" s="46"/>
      <c r="M361" s="46"/>
      <c r="N361" s="46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</row>
    <row r="362" spans="1:28" ht="13.8">
      <c r="A362" s="46"/>
      <c r="B362" s="46"/>
      <c r="C362" s="47"/>
      <c r="D362" s="47"/>
      <c r="E362" s="47"/>
      <c r="F362" s="46"/>
      <c r="G362" s="46"/>
      <c r="H362" s="46"/>
      <c r="I362" s="46"/>
      <c r="J362" s="46"/>
      <c r="K362" s="46"/>
      <c r="L362" s="46"/>
      <c r="M362" s="46"/>
      <c r="N362" s="46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</row>
    <row r="363" spans="1:28" ht="13.8">
      <c r="A363" s="46"/>
      <c r="B363" s="46"/>
      <c r="C363" s="47"/>
      <c r="D363" s="47"/>
      <c r="E363" s="47"/>
      <c r="F363" s="46"/>
      <c r="G363" s="46"/>
      <c r="H363" s="46"/>
      <c r="I363" s="46"/>
      <c r="J363" s="46"/>
      <c r="K363" s="46"/>
      <c r="L363" s="46"/>
      <c r="M363" s="46"/>
      <c r="N363" s="46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</row>
    <row r="364" spans="1:28" ht="13.8">
      <c r="A364" s="46"/>
      <c r="B364" s="46"/>
      <c r="C364" s="47"/>
      <c r="D364" s="47"/>
      <c r="E364" s="47"/>
      <c r="F364" s="46"/>
      <c r="G364" s="46"/>
      <c r="H364" s="46"/>
      <c r="I364" s="46"/>
      <c r="J364" s="46"/>
      <c r="K364" s="46"/>
      <c r="L364" s="46"/>
      <c r="M364" s="46"/>
      <c r="N364" s="46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</row>
    <row r="365" spans="1:28" ht="13.8">
      <c r="A365" s="46"/>
      <c r="B365" s="46"/>
      <c r="C365" s="47"/>
      <c r="D365" s="47"/>
      <c r="E365" s="47"/>
      <c r="F365" s="46"/>
      <c r="G365" s="46"/>
      <c r="H365" s="46"/>
      <c r="I365" s="46"/>
      <c r="J365" s="46"/>
      <c r="K365" s="46"/>
      <c r="L365" s="46"/>
      <c r="M365" s="46"/>
      <c r="N365" s="46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</row>
    <row r="366" spans="1:28" ht="13.8">
      <c r="A366" s="46"/>
      <c r="B366" s="46"/>
      <c r="C366" s="47"/>
      <c r="D366" s="47"/>
      <c r="E366" s="47"/>
      <c r="F366" s="46"/>
      <c r="G366" s="46"/>
      <c r="H366" s="46"/>
      <c r="I366" s="46"/>
      <c r="J366" s="46"/>
      <c r="K366" s="46"/>
      <c r="L366" s="46"/>
      <c r="M366" s="46"/>
      <c r="N366" s="46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</row>
    <row r="367" spans="1:28" ht="13.8">
      <c r="A367" s="46"/>
      <c r="B367" s="46"/>
      <c r="C367" s="47"/>
      <c r="D367" s="47"/>
      <c r="E367" s="47"/>
      <c r="F367" s="46"/>
      <c r="G367" s="46"/>
      <c r="H367" s="46"/>
      <c r="I367" s="46"/>
      <c r="J367" s="46"/>
      <c r="K367" s="46"/>
      <c r="L367" s="46"/>
      <c r="M367" s="46"/>
      <c r="N367" s="46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</row>
    <row r="368" spans="1:28" ht="13.8">
      <c r="A368" s="46"/>
      <c r="B368" s="46"/>
      <c r="C368" s="47"/>
      <c r="D368" s="47"/>
      <c r="E368" s="47"/>
      <c r="F368" s="46"/>
      <c r="G368" s="46"/>
      <c r="H368" s="46"/>
      <c r="I368" s="46"/>
      <c r="J368" s="46"/>
      <c r="K368" s="46"/>
      <c r="L368" s="46"/>
      <c r="M368" s="46"/>
      <c r="N368" s="46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</row>
    <row r="369" spans="1:28" ht="13.8">
      <c r="A369" s="46"/>
      <c r="B369" s="46"/>
      <c r="C369" s="47"/>
      <c r="D369" s="47"/>
      <c r="E369" s="47"/>
      <c r="F369" s="46"/>
      <c r="G369" s="46"/>
      <c r="H369" s="46"/>
      <c r="I369" s="46"/>
      <c r="J369" s="46"/>
      <c r="K369" s="46"/>
      <c r="L369" s="46"/>
      <c r="M369" s="46"/>
      <c r="N369" s="46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</row>
    <row r="370" spans="1:28" ht="13.8">
      <c r="A370" s="46"/>
      <c r="B370" s="46"/>
      <c r="C370" s="47"/>
      <c r="D370" s="47"/>
      <c r="E370" s="47"/>
      <c r="F370" s="46"/>
      <c r="G370" s="46"/>
      <c r="H370" s="46"/>
      <c r="I370" s="46"/>
      <c r="J370" s="46"/>
      <c r="K370" s="46"/>
      <c r="L370" s="46"/>
      <c r="M370" s="46"/>
      <c r="N370" s="46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</row>
    <row r="371" spans="1:28" ht="13.8">
      <c r="A371" s="46"/>
      <c r="B371" s="46"/>
      <c r="C371" s="47"/>
      <c r="D371" s="47"/>
      <c r="E371" s="47"/>
      <c r="F371" s="46"/>
      <c r="G371" s="46"/>
      <c r="H371" s="46"/>
      <c r="I371" s="46"/>
      <c r="J371" s="46"/>
      <c r="K371" s="46"/>
      <c r="L371" s="46"/>
      <c r="M371" s="46"/>
      <c r="N371" s="46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</row>
    <row r="372" spans="1:28" ht="13.8">
      <c r="A372" s="46"/>
      <c r="B372" s="46"/>
      <c r="C372" s="47"/>
      <c r="D372" s="47"/>
      <c r="E372" s="47"/>
      <c r="F372" s="46"/>
      <c r="G372" s="46"/>
      <c r="H372" s="46"/>
      <c r="I372" s="46"/>
      <c r="J372" s="46"/>
      <c r="K372" s="46"/>
      <c r="L372" s="46"/>
      <c r="M372" s="46"/>
      <c r="N372" s="46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</row>
    <row r="373" spans="1:28" ht="13.8">
      <c r="A373" s="46"/>
      <c r="B373" s="46"/>
      <c r="C373" s="47"/>
      <c r="D373" s="47"/>
      <c r="E373" s="47"/>
      <c r="F373" s="46"/>
      <c r="G373" s="46"/>
      <c r="H373" s="46"/>
      <c r="I373" s="46"/>
      <c r="J373" s="46"/>
      <c r="K373" s="46"/>
      <c r="L373" s="46"/>
      <c r="M373" s="46"/>
      <c r="N373" s="46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</row>
    <row r="374" spans="1:28" ht="13.8">
      <c r="A374" s="46"/>
      <c r="B374" s="46"/>
      <c r="C374" s="47"/>
      <c r="D374" s="47"/>
      <c r="E374" s="47"/>
      <c r="F374" s="46"/>
      <c r="G374" s="46"/>
      <c r="H374" s="46"/>
      <c r="I374" s="46"/>
      <c r="J374" s="46"/>
      <c r="K374" s="46"/>
      <c r="L374" s="46"/>
      <c r="M374" s="46"/>
      <c r="N374" s="46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</row>
    <row r="375" spans="1:28" ht="13.8">
      <c r="A375" s="46"/>
      <c r="B375" s="46"/>
      <c r="C375" s="47"/>
      <c r="D375" s="47"/>
      <c r="E375" s="47"/>
      <c r="F375" s="46"/>
      <c r="G375" s="46"/>
      <c r="H375" s="46"/>
      <c r="I375" s="46"/>
      <c r="J375" s="46"/>
      <c r="K375" s="46"/>
      <c r="L375" s="46"/>
      <c r="M375" s="46"/>
      <c r="N375" s="46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</row>
    <row r="376" spans="1:28" ht="13.8">
      <c r="A376" s="46"/>
      <c r="B376" s="46"/>
      <c r="C376" s="47"/>
      <c r="D376" s="47"/>
      <c r="E376" s="47"/>
      <c r="F376" s="46"/>
      <c r="G376" s="46"/>
      <c r="H376" s="46"/>
      <c r="I376" s="46"/>
      <c r="J376" s="46"/>
      <c r="K376" s="46"/>
      <c r="L376" s="46"/>
      <c r="M376" s="46"/>
      <c r="N376" s="46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</row>
    <row r="377" spans="1:28" ht="13.8">
      <c r="A377" s="46"/>
      <c r="B377" s="46"/>
      <c r="C377" s="47"/>
      <c r="D377" s="47"/>
      <c r="E377" s="47"/>
      <c r="F377" s="46"/>
      <c r="G377" s="46"/>
      <c r="H377" s="46"/>
      <c r="I377" s="46"/>
      <c r="J377" s="46"/>
      <c r="K377" s="46"/>
      <c r="L377" s="46"/>
      <c r="M377" s="46"/>
      <c r="N377" s="46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</row>
    <row r="378" spans="1:28" ht="13.8">
      <c r="A378" s="46"/>
      <c r="B378" s="46"/>
      <c r="C378" s="47"/>
      <c r="D378" s="47"/>
      <c r="E378" s="47"/>
      <c r="F378" s="46"/>
      <c r="G378" s="46"/>
      <c r="H378" s="46"/>
      <c r="I378" s="46"/>
      <c r="J378" s="46"/>
      <c r="K378" s="46"/>
      <c r="L378" s="46"/>
      <c r="M378" s="46"/>
      <c r="N378" s="46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</row>
    <row r="379" spans="1:28" ht="13.8">
      <c r="A379" s="46"/>
      <c r="B379" s="46"/>
      <c r="C379" s="47"/>
      <c r="D379" s="47"/>
      <c r="E379" s="47"/>
      <c r="F379" s="46"/>
      <c r="G379" s="46"/>
      <c r="H379" s="46"/>
      <c r="I379" s="46"/>
      <c r="J379" s="46"/>
      <c r="K379" s="46"/>
      <c r="L379" s="46"/>
      <c r="M379" s="46"/>
      <c r="N379" s="46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</row>
    <row r="380" spans="1:28" ht="13.8">
      <c r="A380" s="46"/>
      <c r="B380" s="46"/>
      <c r="C380" s="47"/>
      <c r="D380" s="47"/>
      <c r="E380" s="47"/>
      <c r="F380" s="46"/>
      <c r="G380" s="46"/>
      <c r="H380" s="46"/>
      <c r="I380" s="46"/>
      <c r="J380" s="46"/>
      <c r="K380" s="46"/>
      <c r="L380" s="46"/>
      <c r="M380" s="46"/>
      <c r="N380" s="46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</row>
    <row r="381" spans="1:28" ht="13.8">
      <c r="A381" s="46"/>
      <c r="B381" s="46"/>
      <c r="C381" s="47"/>
      <c r="D381" s="47"/>
      <c r="E381" s="47"/>
      <c r="F381" s="46"/>
      <c r="G381" s="46"/>
      <c r="H381" s="46"/>
      <c r="I381" s="46"/>
      <c r="J381" s="46"/>
      <c r="K381" s="46"/>
      <c r="L381" s="46"/>
      <c r="M381" s="46"/>
      <c r="N381" s="46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</row>
    <row r="382" spans="1:28" ht="13.8">
      <c r="A382" s="46"/>
      <c r="B382" s="46"/>
      <c r="C382" s="47"/>
      <c r="D382" s="47"/>
      <c r="E382" s="47"/>
      <c r="F382" s="46"/>
      <c r="G382" s="46"/>
      <c r="H382" s="46"/>
      <c r="I382" s="46"/>
      <c r="J382" s="46"/>
      <c r="K382" s="46"/>
      <c r="L382" s="46"/>
      <c r="M382" s="46"/>
      <c r="N382" s="46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</row>
    <row r="383" spans="1:28" ht="13.8">
      <c r="A383" s="46"/>
      <c r="B383" s="46"/>
      <c r="C383" s="47"/>
      <c r="D383" s="47"/>
      <c r="E383" s="47"/>
      <c r="F383" s="46"/>
      <c r="G383" s="46"/>
      <c r="H383" s="46"/>
      <c r="I383" s="46"/>
      <c r="J383" s="46"/>
      <c r="K383" s="46"/>
      <c r="L383" s="46"/>
      <c r="M383" s="46"/>
      <c r="N383" s="46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</row>
    <row r="384" spans="1:28" ht="13.8">
      <c r="A384" s="46"/>
      <c r="B384" s="46"/>
      <c r="C384" s="47"/>
      <c r="D384" s="47"/>
      <c r="E384" s="47"/>
      <c r="F384" s="46"/>
      <c r="G384" s="46"/>
      <c r="H384" s="46"/>
      <c r="I384" s="46"/>
      <c r="J384" s="46"/>
      <c r="K384" s="46"/>
      <c r="L384" s="46"/>
      <c r="M384" s="46"/>
      <c r="N384" s="46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</row>
    <row r="385" spans="1:28" ht="13.8">
      <c r="A385" s="46"/>
      <c r="B385" s="46"/>
      <c r="C385" s="47"/>
      <c r="D385" s="47"/>
      <c r="E385" s="47"/>
      <c r="F385" s="46"/>
      <c r="G385" s="46"/>
      <c r="H385" s="46"/>
      <c r="I385" s="46"/>
      <c r="J385" s="46"/>
      <c r="K385" s="46"/>
      <c r="L385" s="46"/>
      <c r="M385" s="46"/>
      <c r="N385" s="46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</row>
    <row r="386" spans="1:28" ht="13.8">
      <c r="A386" s="46"/>
      <c r="B386" s="46"/>
      <c r="C386" s="47"/>
      <c r="D386" s="47"/>
      <c r="E386" s="47"/>
      <c r="F386" s="46"/>
      <c r="G386" s="46"/>
      <c r="H386" s="46"/>
      <c r="I386" s="46"/>
      <c r="J386" s="46"/>
      <c r="K386" s="46"/>
      <c r="L386" s="46"/>
      <c r="M386" s="46"/>
      <c r="N386" s="46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</row>
    <row r="387" spans="1:28" ht="13.8">
      <c r="A387" s="46"/>
      <c r="B387" s="46"/>
      <c r="C387" s="47"/>
      <c r="D387" s="47"/>
      <c r="E387" s="47"/>
      <c r="F387" s="46"/>
      <c r="G387" s="46"/>
      <c r="H387" s="46"/>
      <c r="I387" s="46"/>
      <c r="J387" s="46"/>
      <c r="K387" s="46"/>
      <c r="L387" s="46"/>
      <c r="M387" s="46"/>
      <c r="N387" s="46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</row>
    <row r="388" spans="1:28" ht="13.8">
      <c r="A388" s="46"/>
      <c r="B388" s="46"/>
      <c r="C388" s="47"/>
      <c r="D388" s="47"/>
      <c r="E388" s="47"/>
      <c r="F388" s="46"/>
      <c r="G388" s="46"/>
      <c r="H388" s="46"/>
      <c r="I388" s="46"/>
      <c r="J388" s="46"/>
      <c r="K388" s="46"/>
      <c r="L388" s="46"/>
      <c r="M388" s="46"/>
      <c r="N388" s="46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</row>
    <row r="389" spans="1:28" ht="13.8">
      <c r="A389" s="46"/>
      <c r="B389" s="46"/>
      <c r="C389" s="47"/>
      <c r="D389" s="47"/>
      <c r="E389" s="47"/>
      <c r="F389" s="46"/>
      <c r="G389" s="46"/>
      <c r="H389" s="46"/>
      <c r="I389" s="46"/>
      <c r="J389" s="46"/>
      <c r="K389" s="46"/>
      <c r="L389" s="46"/>
      <c r="M389" s="46"/>
      <c r="N389" s="46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</row>
    <row r="390" spans="1:28" ht="13.8">
      <c r="A390" s="46"/>
      <c r="B390" s="46"/>
      <c r="C390" s="47"/>
      <c r="D390" s="47"/>
      <c r="E390" s="47"/>
      <c r="F390" s="46"/>
      <c r="G390" s="46"/>
      <c r="H390" s="46"/>
      <c r="I390" s="46"/>
      <c r="J390" s="46"/>
      <c r="K390" s="46"/>
      <c r="L390" s="46"/>
      <c r="M390" s="46"/>
      <c r="N390" s="46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</row>
    <row r="391" spans="1:28" ht="13.8">
      <c r="A391" s="46"/>
      <c r="B391" s="46"/>
      <c r="C391" s="47"/>
      <c r="D391" s="47"/>
      <c r="E391" s="47"/>
      <c r="F391" s="46"/>
      <c r="G391" s="46"/>
      <c r="H391" s="46"/>
      <c r="I391" s="46"/>
      <c r="J391" s="46"/>
      <c r="K391" s="46"/>
      <c r="L391" s="46"/>
      <c r="M391" s="46"/>
      <c r="N391" s="46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</row>
    <row r="392" spans="1:28" ht="13.8">
      <c r="A392" s="46"/>
      <c r="B392" s="46"/>
      <c r="C392" s="47"/>
      <c r="D392" s="47"/>
      <c r="E392" s="47"/>
      <c r="F392" s="46"/>
      <c r="G392" s="46"/>
      <c r="H392" s="46"/>
      <c r="I392" s="46"/>
      <c r="J392" s="46"/>
      <c r="K392" s="46"/>
      <c r="L392" s="46"/>
      <c r="M392" s="46"/>
      <c r="N392" s="46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</row>
    <row r="393" spans="1:28" ht="13.8">
      <c r="A393" s="46"/>
      <c r="B393" s="46"/>
      <c r="C393" s="47"/>
      <c r="D393" s="47"/>
      <c r="E393" s="47"/>
      <c r="F393" s="46"/>
      <c r="G393" s="46"/>
      <c r="H393" s="46"/>
      <c r="I393" s="46"/>
      <c r="J393" s="46"/>
      <c r="K393" s="46"/>
      <c r="L393" s="46"/>
      <c r="M393" s="46"/>
      <c r="N393" s="46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</row>
    <row r="394" spans="1:28" ht="13.8">
      <c r="A394" s="46"/>
      <c r="B394" s="46"/>
      <c r="C394" s="47"/>
      <c r="D394" s="47"/>
      <c r="E394" s="47"/>
      <c r="F394" s="46"/>
      <c r="G394" s="46"/>
      <c r="H394" s="46"/>
      <c r="I394" s="46"/>
      <c r="J394" s="46"/>
      <c r="K394" s="46"/>
      <c r="L394" s="46"/>
      <c r="M394" s="46"/>
      <c r="N394" s="46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</row>
    <row r="395" spans="1:28" ht="13.8">
      <c r="A395" s="46"/>
      <c r="B395" s="46"/>
      <c r="C395" s="47"/>
      <c r="D395" s="47"/>
      <c r="E395" s="47"/>
      <c r="F395" s="46"/>
      <c r="G395" s="46"/>
      <c r="H395" s="46"/>
      <c r="I395" s="46"/>
      <c r="J395" s="46"/>
      <c r="K395" s="46"/>
      <c r="L395" s="46"/>
      <c r="M395" s="46"/>
      <c r="N395" s="46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</row>
    <row r="396" spans="1:28" ht="13.8">
      <c r="A396" s="46"/>
      <c r="B396" s="46"/>
      <c r="C396" s="47"/>
      <c r="D396" s="47"/>
      <c r="E396" s="47"/>
      <c r="F396" s="46"/>
      <c r="G396" s="46"/>
      <c r="H396" s="46"/>
      <c r="I396" s="46"/>
      <c r="J396" s="46"/>
      <c r="K396" s="46"/>
      <c r="L396" s="46"/>
      <c r="M396" s="46"/>
      <c r="N396" s="46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</row>
    <row r="397" spans="1:28" ht="13.8">
      <c r="A397" s="46"/>
      <c r="B397" s="46"/>
      <c r="C397" s="47"/>
      <c r="D397" s="47"/>
      <c r="E397" s="47"/>
      <c r="F397" s="46"/>
      <c r="G397" s="46"/>
      <c r="H397" s="46"/>
      <c r="I397" s="46"/>
      <c r="J397" s="46"/>
      <c r="K397" s="46"/>
      <c r="L397" s="46"/>
      <c r="M397" s="46"/>
      <c r="N397" s="46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</row>
    <row r="398" spans="1:28" ht="13.8">
      <c r="A398" s="46"/>
      <c r="B398" s="46"/>
      <c r="C398" s="47"/>
      <c r="D398" s="47"/>
      <c r="E398" s="47"/>
      <c r="F398" s="46"/>
      <c r="G398" s="46"/>
      <c r="H398" s="46"/>
      <c r="I398" s="46"/>
      <c r="J398" s="46"/>
      <c r="K398" s="46"/>
      <c r="L398" s="46"/>
      <c r="M398" s="46"/>
      <c r="N398" s="46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</row>
    <row r="399" spans="1:28" ht="13.8">
      <c r="A399" s="46"/>
      <c r="B399" s="46"/>
      <c r="C399" s="47"/>
      <c r="D399" s="47"/>
      <c r="E399" s="47"/>
      <c r="F399" s="46"/>
      <c r="G399" s="46"/>
      <c r="H399" s="46"/>
      <c r="I399" s="46"/>
      <c r="J399" s="46"/>
      <c r="K399" s="46"/>
      <c r="L399" s="46"/>
      <c r="M399" s="46"/>
      <c r="N399" s="46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</row>
    <row r="400" spans="1:28" ht="13.8">
      <c r="A400" s="46"/>
      <c r="B400" s="46"/>
      <c r="C400" s="47"/>
      <c r="D400" s="47"/>
      <c r="E400" s="47"/>
      <c r="F400" s="46"/>
      <c r="G400" s="46"/>
      <c r="H400" s="46"/>
      <c r="I400" s="46"/>
      <c r="J400" s="46"/>
      <c r="K400" s="46"/>
      <c r="L400" s="46"/>
      <c r="M400" s="46"/>
      <c r="N400" s="46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</row>
    <row r="401" spans="1:28" ht="13.8">
      <c r="A401" s="46"/>
      <c r="B401" s="46"/>
      <c r="C401" s="47"/>
      <c r="D401" s="47"/>
      <c r="E401" s="47"/>
      <c r="F401" s="46"/>
      <c r="G401" s="46"/>
      <c r="H401" s="46"/>
      <c r="I401" s="46"/>
      <c r="J401" s="46"/>
      <c r="K401" s="46"/>
      <c r="L401" s="46"/>
      <c r="M401" s="46"/>
      <c r="N401" s="46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</row>
    <row r="402" spans="1:28" ht="13.8">
      <c r="A402" s="46"/>
      <c r="B402" s="46"/>
      <c r="C402" s="47"/>
      <c r="D402" s="47"/>
      <c r="E402" s="47"/>
      <c r="F402" s="46"/>
      <c r="G402" s="46"/>
      <c r="H402" s="46"/>
      <c r="I402" s="46"/>
      <c r="J402" s="46"/>
      <c r="K402" s="46"/>
      <c r="L402" s="46"/>
      <c r="M402" s="46"/>
      <c r="N402" s="46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</row>
    <row r="403" spans="1:28" ht="13.8">
      <c r="A403" s="46"/>
      <c r="B403" s="46"/>
      <c r="C403" s="47"/>
      <c r="D403" s="47"/>
      <c r="E403" s="47"/>
      <c r="F403" s="46"/>
      <c r="G403" s="46"/>
      <c r="H403" s="46"/>
      <c r="I403" s="46"/>
      <c r="J403" s="46"/>
      <c r="K403" s="46"/>
      <c r="L403" s="46"/>
      <c r="M403" s="46"/>
      <c r="N403" s="46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</row>
    <row r="404" spans="1:28" ht="13.8">
      <c r="A404" s="46"/>
      <c r="B404" s="46"/>
      <c r="C404" s="47"/>
      <c r="D404" s="47"/>
      <c r="E404" s="47"/>
      <c r="F404" s="46"/>
      <c r="G404" s="46"/>
      <c r="H404" s="46"/>
      <c r="I404" s="46"/>
      <c r="J404" s="46"/>
      <c r="K404" s="46"/>
      <c r="L404" s="46"/>
      <c r="M404" s="46"/>
      <c r="N404" s="46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</row>
    <row r="405" spans="1:28" ht="13.8">
      <c r="A405" s="46"/>
      <c r="B405" s="46"/>
      <c r="C405" s="47"/>
      <c r="D405" s="47"/>
      <c r="E405" s="47"/>
      <c r="F405" s="46"/>
      <c r="G405" s="46"/>
      <c r="H405" s="46"/>
      <c r="I405" s="46"/>
      <c r="J405" s="46"/>
      <c r="K405" s="46"/>
      <c r="L405" s="46"/>
      <c r="M405" s="46"/>
      <c r="N405" s="46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</row>
    <row r="406" spans="1:28" ht="13.8">
      <c r="A406" s="46"/>
      <c r="B406" s="46"/>
      <c r="C406" s="47"/>
      <c r="D406" s="47"/>
      <c r="E406" s="47"/>
      <c r="F406" s="46"/>
      <c r="G406" s="46"/>
      <c r="H406" s="46"/>
      <c r="I406" s="46"/>
      <c r="J406" s="46"/>
      <c r="K406" s="46"/>
      <c r="L406" s="46"/>
      <c r="M406" s="46"/>
      <c r="N406" s="46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</row>
    <row r="407" spans="1:28" ht="13.8">
      <c r="A407" s="46"/>
      <c r="B407" s="46"/>
      <c r="C407" s="47"/>
      <c r="D407" s="47"/>
      <c r="E407" s="47"/>
      <c r="F407" s="46"/>
      <c r="G407" s="46"/>
      <c r="H407" s="46"/>
      <c r="I407" s="46"/>
      <c r="J407" s="46"/>
      <c r="K407" s="46"/>
      <c r="L407" s="46"/>
      <c r="M407" s="46"/>
      <c r="N407" s="46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</row>
    <row r="408" spans="1:28" ht="13.8">
      <c r="A408" s="46"/>
      <c r="B408" s="46"/>
      <c r="C408" s="47"/>
      <c r="D408" s="47"/>
      <c r="E408" s="47"/>
      <c r="F408" s="46"/>
      <c r="G408" s="46"/>
      <c r="H408" s="46"/>
      <c r="I408" s="46"/>
      <c r="J408" s="46"/>
      <c r="K408" s="46"/>
      <c r="L408" s="46"/>
      <c r="M408" s="46"/>
      <c r="N408" s="46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</row>
    <row r="409" spans="1:28" ht="13.8">
      <c r="A409" s="46"/>
      <c r="B409" s="46"/>
      <c r="C409" s="47"/>
      <c r="D409" s="47"/>
      <c r="E409" s="47"/>
      <c r="F409" s="46"/>
      <c r="G409" s="46"/>
      <c r="H409" s="46"/>
      <c r="I409" s="46"/>
      <c r="J409" s="46"/>
      <c r="K409" s="46"/>
      <c r="L409" s="46"/>
      <c r="M409" s="46"/>
      <c r="N409" s="46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</row>
    <row r="410" spans="1:28" ht="13.8">
      <c r="A410" s="46"/>
      <c r="B410" s="46"/>
      <c r="C410" s="47"/>
      <c r="D410" s="47"/>
      <c r="E410" s="47"/>
      <c r="F410" s="46"/>
      <c r="G410" s="46"/>
      <c r="H410" s="46"/>
      <c r="I410" s="46"/>
      <c r="J410" s="46"/>
      <c r="K410" s="46"/>
      <c r="L410" s="46"/>
      <c r="M410" s="46"/>
      <c r="N410" s="46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</row>
    <row r="411" spans="1:28" ht="13.8">
      <c r="A411" s="46"/>
      <c r="B411" s="46"/>
      <c r="C411" s="47"/>
      <c r="D411" s="47"/>
      <c r="E411" s="47"/>
      <c r="F411" s="46"/>
      <c r="G411" s="46"/>
      <c r="H411" s="46"/>
      <c r="I411" s="46"/>
      <c r="J411" s="46"/>
      <c r="K411" s="46"/>
      <c r="L411" s="46"/>
      <c r="M411" s="46"/>
      <c r="N411" s="46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</row>
    <row r="412" spans="1:28" ht="13.8">
      <c r="A412" s="46"/>
      <c r="B412" s="46"/>
      <c r="C412" s="47"/>
      <c r="D412" s="47"/>
      <c r="E412" s="47"/>
      <c r="F412" s="46"/>
      <c r="G412" s="46"/>
      <c r="H412" s="46"/>
      <c r="I412" s="46"/>
      <c r="J412" s="46"/>
      <c r="K412" s="46"/>
      <c r="L412" s="46"/>
      <c r="M412" s="46"/>
      <c r="N412" s="46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</row>
    <row r="413" spans="1:28" ht="13.8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</row>
    <row r="414" spans="1:28" ht="13.8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</row>
    <row r="415" spans="1:28" ht="13.8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</row>
    <row r="416" spans="1:28" ht="13.8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</row>
    <row r="417" spans="1:28" ht="13.8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</row>
    <row r="418" spans="1:28" ht="13.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</row>
    <row r="419" spans="1:28" ht="13.8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</row>
    <row r="420" spans="1:28" ht="13.8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</row>
    <row r="421" spans="1:28" ht="13.8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</row>
    <row r="422" spans="1:28" ht="13.8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</row>
    <row r="423" spans="1:28" ht="13.8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</row>
    <row r="424" spans="1:28" ht="13.8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</row>
    <row r="425" spans="1:28" ht="13.8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</row>
    <row r="426" spans="1:28" ht="13.8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</row>
    <row r="427" spans="1:28" ht="13.8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</row>
    <row r="428" spans="1:28" ht="13.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</row>
    <row r="429" spans="1:28" ht="13.8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</row>
    <row r="430" spans="1:28" ht="13.8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</row>
    <row r="431" spans="1:28" ht="13.8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</row>
    <row r="432" spans="1:28" ht="13.8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</row>
    <row r="433" spans="1:28" ht="13.8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</row>
    <row r="434" spans="1:28" ht="13.8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</row>
    <row r="435" spans="1:28" ht="13.8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</row>
    <row r="436" spans="1:28" ht="13.8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</row>
    <row r="437" spans="1:28" ht="13.8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</row>
    <row r="438" spans="1:28" ht="13.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</row>
    <row r="439" spans="1:28" ht="13.8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</row>
    <row r="440" spans="1:28" ht="13.8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</row>
    <row r="441" spans="1:28" ht="13.8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</row>
    <row r="442" spans="1:28" ht="13.8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</row>
    <row r="443" spans="1:28" ht="13.8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</row>
    <row r="444" spans="1:28" ht="13.8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</row>
    <row r="445" spans="1:28" ht="13.8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</row>
    <row r="446" spans="1:28" ht="13.8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</row>
    <row r="447" spans="1:28" ht="13.8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</row>
    <row r="448" spans="1:28" ht="13.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</row>
    <row r="449" spans="1:28" ht="13.8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</row>
    <row r="450" spans="1:28" ht="13.8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</row>
    <row r="451" spans="1:28" ht="13.8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</row>
    <row r="452" spans="1:28" ht="13.8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</row>
    <row r="453" spans="1:28" ht="13.8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</row>
    <row r="454" spans="1:28" ht="13.8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</row>
    <row r="455" spans="1:28" ht="13.8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</row>
    <row r="456" spans="1:28" ht="13.8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</row>
    <row r="457" spans="1:28" ht="13.8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</row>
    <row r="458" spans="1:28" ht="13.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</row>
    <row r="459" spans="1:28" ht="13.8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</row>
    <row r="460" spans="1:28" ht="13.8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</row>
    <row r="461" spans="1:28" ht="13.8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</row>
    <row r="462" spans="1:28" ht="13.8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</row>
    <row r="463" spans="1:28" ht="13.8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</row>
    <row r="464" spans="1:28" ht="13.8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</row>
    <row r="465" spans="1:28" ht="13.8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</row>
    <row r="466" spans="1:28" ht="13.8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</row>
    <row r="467" spans="1:28" ht="13.8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</row>
    <row r="468" spans="1:28" ht="13.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</row>
    <row r="469" spans="1:28" ht="13.8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</row>
    <row r="470" spans="1:28" ht="13.8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</row>
    <row r="471" spans="1:28" ht="13.8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</row>
    <row r="472" spans="1:28" ht="13.8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</row>
    <row r="473" spans="1:28" ht="13.8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</row>
    <row r="474" spans="1:28" ht="13.8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</row>
    <row r="475" spans="1:28" ht="13.8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</row>
    <row r="476" spans="1:28" ht="13.8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</row>
    <row r="477" spans="1:28" ht="13.8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</row>
    <row r="478" spans="1:28" ht="13.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</row>
    <row r="479" spans="1:28" ht="13.8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</row>
    <row r="480" spans="1:28" ht="13.8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</row>
    <row r="481" spans="1:28" ht="13.8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</row>
    <row r="482" spans="1:28" ht="13.8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</row>
    <row r="483" spans="1:28" ht="13.8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</row>
    <row r="484" spans="1:28" ht="13.8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</row>
    <row r="485" spans="1:28" ht="13.8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</row>
    <row r="486" spans="1:28" ht="13.8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</row>
    <row r="487" spans="1:28" ht="13.8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</row>
    <row r="488" spans="1:28" ht="13.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</row>
    <row r="489" spans="1:28" ht="13.8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</row>
    <row r="490" spans="1:28" ht="13.8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</row>
    <row r="491" spans="1:28" ht="13.8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</row>
    <row r="492" spans="1:28" ht="13.8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</row>
    <row r="493" spans="1:28" ht="13.8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</row>
    <row r="494" spans="1:28" ht="13.8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</row>
    <row r="495" spans="1:28" ht="13.8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</row>
    <row r="496" spans="1:28" ht="13.8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</row>
    <row r="497" spans="1:28" ht="13.8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</row>
    <row r="498" spans="1:28" ht="13.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</row>
    <row r="499" spans="1:28" ht="13.8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</row>
    <row r="500" spans="1:28" ht="13.8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</row>
    <row r="501" spans="1:28" ht="13.8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</row>
    <row r="502" spans="1:28" ht="13.8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</row>
    <row r="503" spans="1:28" ht="13.8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</row>
    <row r="504" spans="1:28" ht="13.8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</row>
    <row r="505" spans="1:28" ht="13.8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</row>
    <row r="506" spans="1:28" ht="13.8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</row>
    <row r="507" spans="1:28" ht="13.8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</row>
    <row r="508" spans="1:28" ht="13.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</row>
    <row r="509" spans="1:28" ht="13.8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</row>
    <row r="510" spans="1:28" ht="13.8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</row>
    <row r="511" spans="1:28" ht="13.8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</row>
    <row r="512" spans="1:28" ht="13.8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</row>
    <row r="513" spans="1:28" ht="13.8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</row>
    <row r="514" spans="1:28" ht="13.8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</row>
    <row r="515" spans="1:28" ht="13.8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</row>
    <row r="516" spans="1:28" ht="13.8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</row>
    <row r="517" spans="1:28" ht="13.8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</row>
    <row r="518" spans="1:28" ht="13.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</row>
    <row r="519" spans="1:28" ht="13.8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</row>
    <row r="520" spans="1:28" ht="13.8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</row>
    <row r="521" spans="1:28" ht="13.8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</row>
    <row r="522" spans="1:28" ht="13.8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</row>
    <row r="523" spans="1:28" ht="13.8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</row>
    <row r="524" spans="1:28" ht="13.8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</row>
    <row r="525" spans="1:28" ht="13.8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</row>
    <row r="526" spans="1:28" ht="13.8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</row>
    <row r="527" spans="1:28" ht="13.8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</row>
    <row r="528" spans="1:28" ht="13.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</row>
    <row r="529" spans="1:28" ht="13.8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</row>
    <row r="530" spans="1:28" ht="13.8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</row>
    <row r="531" spans="1:28" ht="13.8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</row>
    <row r="532" spans="1:28" ht="13.8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</row>
    <row r="533" spans="1:28" ht="13.8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</row>
    <row r="534" spans="1:28" ht="13.8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</row>
    <row r="535" spans="1:28" ht="13.8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</row>
    <row r="536" spans="1:28" ht="13.8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</row>
    <row r="537" spans="1:28" ht="13.8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</row>
    <row r="538" spans="1:28" ht="13.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</row>
    <row r="539" spans="1:28" ht="13.8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</row>
    <row r="540" spans="1:28" ht="13.8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</row>
    <row r="541" spans="1:28" ht="13.8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</row>
    <row r="542" spans="1:28" ht="13.8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</row>
    <row r="543" spans="1:28" ht="13.8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</row>
    <row r="544" spans="1:28" ht="13.8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</row>
    <row r="545" spans="1:28" ht="13.8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</row>
    <row r="546" spans="1:28" ht="13.8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</row>
    <row r="547" spans="1:28" ht="13.8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</row>
    <row r="548" spans="1:28" ht="13.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</row>
    <row r="549" spans="1:28" ht="13.8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</row>
    <row r="550" spans="1:28" ht="13.8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</row>
    <row r="551" spans="1:28" ht="13.8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</row>
    <row r="552" spans="1:28" ht="13.8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</row>
    <row r="553" spans="1:28" ht="13.8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</row>
    <row r="554" spans="1:28" ht="13.8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</row>
    <row r="555" spans="1:28" ht="13.8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</row>
    <row r="556" spans="1:28" ht="13.8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</row>
    <row r="557" spans="1:28" ht="13.8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</row>
    <row r="558" spans="1:28" ht="13.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</row>
    <row r="559" spans="1:28" ht="13.8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</row>
    <row r="560" spans="1:28" ht="13.8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</row>
    <row r="561" spans="1:28" ht="13.8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</row>
    <row r="562" spans="1:28" ht="13.8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</row>
    <row r="563" spans="1:28" ht="13.8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</row>
    <row r="564" spans="1:28" ht="13.8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</row>
    <row r="565" spans="1:28" ht="13.8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</row>
    <row r="566" spans="1:28" ht="13.8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</row>
    <row r="567" spans="1:28" ht="13.8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</row>
    <row r="568" spans="1:28" ht="13.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</row>
    <row r="569" spans="1:28" ht="13.8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</row>
    <row r="570" spans="1:28" ht="13.8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</row>
    <row r="571" spans="1:28" ht="13.8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</row>
    <row r="572" spans="1:28" ht="13.8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</row>
    <row r="573" spans="1:28" ht="13.8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</row>
    <row r="574" spans="1:28" ht="13.8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</row>
    <row r="575" spans="1:28" ht="13.8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</row>
    <row r="576" spans="1:28" ht="13.8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</row>
    <row r="577" spans="1:28" ht="13.8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</row>
    <row r="578" spans="1:28" ht="13.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</row>
    <row r="579" spans="1:28" ht="13.8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</row>
    <row r="580" spans="1:28" ht="13.8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</row>
    <row r="581" spans="1:28" ht="13.8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</row>
    <row r="582" spans="1:28" ht="13.8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</row>
    <row r="583" spans="1:28" ht="13.8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</row>
    <row r="584" spans="1:28" ht="13.8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</row>
    <row r="585" spans="1:28" ht="13.8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</row>
    <row r="586" spans="1:28" ht="13.8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</row>
    <row r="587" spans="1:28" ht="13.8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</row>
    <row r="588" spans="1:28" ht="13.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</row>
    <row r="589" spans="1:28" ht="13.8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</row>
    <row r="590" spans="1:28" ht="13.8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</row>
    <row r="591" spans="1:28" ht="13.8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</row>
    <row r="592" spans="1:28" ht="13.8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</row>
    <row r="593" spans="1:28" ht="13.8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</row>
    <row r="594" spans="1:28" ht="13.8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</row>
    <row r="595" spans="1:28" ht="13.8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</row>
    <row r="596" spans="1:28" ht="13.8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</row>
    <row r="597" spans="1:28" ht="13.8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</row>
    <row r="598" spans="1:28" ht="13.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</row>
    <row r="599" spans="1:28" ht="13.8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</row>
    <row r="600" spans="1:28" ht="13.8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</row>
    <row r="601" spans="1:28" ht="13.8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</row>
    <row r="602" spans="1:28" ht="13.8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</row>
    <row r="603" spans="1:28" ht="13.8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</row>
    <row r="604" spans="1:28" ht="13.8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</row>
    <row r="605" spans="1:28" ht="13.8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</row>
    <row r="606" spans="1:28" ht="13.8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</row>
    <row r="607" spans="1:28" ht="13.8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</row>
    <row r="608" spans="1:28" ht="13.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</row>
    <row r="609" spans="1:28" ht="13.8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</row>
    <row r="610" spans="1:28" ht="13.8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</row>
    <row r="611" spans="1:28" ht="13.8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</row>
    <row r="612" spans="1:28" ht="13.8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</row>
    <row r="613" spans="1:28" ht="13.8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</row>
    <row r="614" spans="1:28" ht="13.8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</row>
    <row r="615" spans="1:28" ht="13.8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</row>
    <row r="616" spans="1:28" ht="13.8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</row>
    <row r="617" spans="1:28" ht="13.8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</row>
    <row r="618" spans="1:28" ht="13.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</row>
    <row r="619" spans="1:28" ht="13.8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</row>
    <row r="620" spans="1:28" ht="13.8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</row>
    <row r="621" spans="1:28" ht="13.8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</row>
    <row r="622" spans="1:28" ht="13.8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</row>
    <row r="623" spans="1:28" ht="13.8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</row>
    <row r="624" spans="1:28" ht="13.8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</row>
    <row r="625" spans="1:28" ht="13.8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</row>
    <row r="626" spans="1:28" ht="13.8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</row>
    <row r="627" spans="1:28" ht="13.8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</row>
    <row r="628" spans="1:28" ht="13.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</row>
    <row r="629" spans="1:28" ht="13.8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</row>
    <row r="630" spans="1:28" ht="13.8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</row>
    <row r="631" spans="1:28" ht="13.8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</row>
    <row r="632" spans="1:28" ht="13.8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</row>
    <row r="633" spans="1:28" ht="13.8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</row>
    <row r="634" spans="1:28" ht="13.8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</row>
    <row r="635" spans="1:28" ht="13.8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</row>
    <row r="636" spans="1:28" ht="13.8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</row>
    <row r="637" spans="1:28" ht="13.8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</row>
    <row r="638" spans="1:28" ht="13.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</row>
    <row r="639" spans="1:28" ht="13.8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</row>
    <row r="640" spans="1:28" ht="13.8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</row>
    <row r="641" spans="1:28" ht="13.8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</row>
    <row r="642" spans="1:28" ht="13.8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</row>
    <row r="643" spans="1:28" ht="13.8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</row>
    <row r="644" spans="1:28" ht="13.8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</row>
    <row r="645" spans="1:28" ht="13.8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</row>
    <row r="646" spans="1:28" ht="13.8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</row>
    <row r="647" spans="1:28" ht="13.8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</row>
    <row r="648" spans="1:28" ht="13.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</row>
    <row r="649" spans="1:28" ht="13.8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</row>
    <row r="650" spans="1:28" ht="13.8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</row>
    <row r="651" spans="1:28" ht="13.8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</row>
    <row r="652" spans="1:28" ht="13.8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</row>
    <row r="653" spans="1:28" ht="13.8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</row>
    <row r="654" spans="1:28" ht="13.8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</row>
    <row r="655" spans="1:28" ht="13.8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</row>
    <row r="656" spans="1:28" ht="13.8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</row>
    <row r="657" spans="1:28" ht="13.8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</row>
    <row r="658" spans="1:28" ht="13.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</row>
    <row r="659" spans="1:28" ht="13.8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</row>
    <row r="660" spans="1:28" ht="13.8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</row>
    <row r="661" spans="1:28" ht="13.8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</row>
    <row r="662" spans="1:28" ht="13.8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</row>
    <row r="663" spans="1:28" ht="13.8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</row>
    <row r="664" spans="1:28" ht="13.8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</row>
    <row r="665" spans="1:28" ht="13.8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</row>
    <row r="666" spans="1:28" ht="13.8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</row>
    <row r="667" spans="1:28" ht="13.8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</row>
    <row r="668" spans="1:28" ht="13.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</row>
    <row r="669" spans="1:28" ht="13.8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</row>
    <row r="670" spans="1:28" ht="13.8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</row>
    <row r="671" spans="1:28" ht="13.8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</row>
    <row r="672" spans="1:28" ht="13.8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</row>
    <row r="673" spans="1:28" ht="13.8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</row>
    <row r="674" spans="1:28" ht="13.8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</row>
    <row r="675" spans="1:28" ht="13.8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</row>
    <row r="676" spans="1:28" ht="13.8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</row>
    <row r="677" spans="1:28" ht="13.8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</row>
    <row r="678" spans="1:28" ht="13.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</row>
    <row r="679" spans="1:28" ht="13.8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</row>
    <row r="680" spans="1:28" ht="13.8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</row>
    <row r="681" spans="1:28" ht="13.8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</row>
    <row r="682" spans="1:28" ht="13.8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</row>
    <row r="683" spans="1:28" ht="13.8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</row>
    <row r="684" spans="1:28" ht="13.8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</row>
    <row r="685" spans="1:28" ht="13.8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</row>
    <row r="686" spans="1:28" ht="13.8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</row>
    <row r="687" spans="1:28" ht="13.8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</row>
    <row r="688" spans="1:28" ht="13.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</row>
    <row r="689" spans="1:28" ht="13.8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</row>
    <row r="690" spans="1:28" ht="13.8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</row>
    <row r="691" spans="1:28" ht="13.8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</row>
    <row r="692" spans="1:28" ht="13.8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</row>
    <row r="693" spans="1:28" ht="13.8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</row>
    <row r="694" spans="1:28" ht="13.8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</row>
    <row r="695" spans="1:28" ht="13.8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</row>
    <row r="696" spans="1:28" ht="13.8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</row>
    <row r="697" spans="1:28" ht="13.8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</row>
    <row r="698" spans="1:28" ht="13.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</row>
    <row r="699" spans="1:28" ht="13.8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</row>
    <row r="700" spans="1:28" ht="13.8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</row>
    <row r="701" spans="1:28" ht="13.8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</row>
    <row r="702" spans="1:28" ht="13.8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</row>
    <row r="703" spans="1:28" ht="13.8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</row>
    <row r="704" spans="1:28" ht="13.8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</row>
    <row r="705" spans="1:28" ht="13.8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</row>
    <row r="706" spans="1:28" ht="13.8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</row>
    <row r="707" spans="1:28" ht="13.8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</row>
    <row r="708" spans="1:28" ht="13.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</row>
    <row r="709" spans="1:28" ht="13.8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</row>
    <row r="710" spans="1:28" ht="13.8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</row>
    <row r="711" spans="1:28" ht="13.8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</row>
    <row r="712" spans="1:28" ht="13.8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</row>
    <row r="713" spans="1:28" ht="13.8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</row>
    <row r="714" spans="1:28" ht="13.8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</row>
    <row r="715" spans="1:28" ht="13.8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</row>
    <row r="716" spans="1:28" ht="13.8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</row>
    <row r="717" spans="1:28" ht="13.8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</row>
    <row r="718" spans="1:28" ht="13.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</row>
    <row r="719" spans="1:28" ht="13.8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</row>
    <row r="720" spans="1:28" ht="13.8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</row>
    <row r="721" spans="1:28" ht="13.8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</row>
    <row r="722" spans="1:28" ht="13.8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</row>
    <row r="723" spans="1:28" ht="13.8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</row>
    <row r="724" spans="1:28" ht="13.8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</row>
    <row r="725" spans="1:28" ht="13.8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</row>
    <row r="726" spans="1:28" ht="13.8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</row>
    <row r="727" spans="1:28" ht="13.8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</row>
    <row r="728" spans="1:28" ht="13.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</row>
    <row r="729" spans="1:28" ht="13.8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</row>
    <row r="730" spans="1:28" ht="13.8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</row>
    <row r="731" spans="1:28" ht="13.8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</row>
    <row r="732" spans="1:28" ht="13.8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</row>
    <row r="733" spans="1:28" ht="13.8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</row>
    <row r="734" spans="1:28" ht="13.8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</row>
    <row r="735" spans="1:28" ht="13.8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</row>
    <row r="736" spans="1:28" ht="13.8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</row>
    <row r="737" spans="1:28" ht="13.8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</row>
    <row r="738" spans="1:28" ht="13.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</row>
    <row r="739" spans="1:28" ht="13.8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</row>
    <row r="740" spans="1:28" ht="13.8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</row>
    <row r="741" spans="1:28" ht="13.8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</row>
    <row r="742" spans="1:28" ht="13.8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</row>
    <row r="743" spans="1:28" ht="13.8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</row>
    <row r="744" spans="1:28" ht="13.8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</row>
    <row r="745" spans="1:28" ht="13.8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</row>
    <row r="746" spans="1:28" ht="13.8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</row>
    <row r="747" spans="1:28" ht="13.8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</row>
    <row r="748" spans="1:28" ht="13.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</row>
    <row r="749" spans="1:28" ht="13.8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</row>
    <row r="750" spans="1:28" ht="13.8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</row>
    <row r="751" spans="1:28" ht="13.8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</row>
    <row r="752" spans="1:28" ht="13.8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</row>
    <row r="753" spans="1:28" ht="13.8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</row>
    <row r="754" spans="1:28" ht="13.8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</row>
    <row r="755" spans="1:28" ht="13.8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</row>
    <row r="756" spans="1:28" ht="13.8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</row>
    <row r="757" spans="1:28" ht="13.8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</row>
    <row r="758" spans="1:28" ht="13.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</row>
    <row r="759" spans="1:28" ht="13.8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</row>
    <row r="760" spans="1:28" ht="13.8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</row>
    <row r="761" spans="1:28" ht="13.8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</row>
    <row r="762" spans="1:28" ht="13.8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</row>
    <row r="763" spans="1:28" ht="13.8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</row>
    <row r="764" spans="1:28" ht="13.8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</row>
    <row r="765" spans="1:28" ht="13.8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</row>
    <row r="766" spans="1:28" ht="13.8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</row>
    <row r="767" spans="1:28" ht="13.8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</row>
    <row r="768" spans="1:28" ht="13.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</row>
    <row r="769" spans="1:28" ht="13.8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</row>
    <row r="770" spans="1:28" ht="13.8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</row>
    <row r="771" spans="1:28" ht="13.8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</row>
    <row r="772" spans="1:28" ht="13.8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</row>
    <row r="773" spans="1:28" ht="13.8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</row>
    <row r="774" spans="1:28" ht="13.8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</row>
    <row r="775" spans="1:28" ht="13.8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</row>
    <row r="776" spans="1:28" ht="13.8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</row>
    <row r="777" spans="1:28" ht="13.8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</row>
    <row r="778" spans="1:28" ht="13.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</row>
    <row r="779" spans="1:28" ht="13.8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</row>
    <row r="780" spans="1:28" ht="13.8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</row>
    <row r="781" spans="1:28" ht="13.8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</row>
    <row r="782" spans="1:28" ht="13.8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</row>
    <row r="783" spans="1:28" ht="13.8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</row>
    <row r="784" spans="1:28" ht="13.8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</row>
    <row r="785" spans="1:28" ht="13.8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</row>
    <row r="786" spans="1:28" ht="13.8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</row>
    <row r="787" spans="1:28" ht="13.8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</row>
    <row r="788" spans="1:28" ht="13.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</row>
    <row r="789" spans="1:28" ht="13.8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</row>
    <row r="790" spans="1:28" ht="13.8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</row>
    <row r="791" spans="1:28" ht="13.8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</row>
    <row r="792" spans="1:28" ht="13.8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</row>
    <row r="793" spans="1:28" ht="13.8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</row>
    <row r="794" spans="1:28" ht="13.8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</row>
    <row r="795" spans="1:28" ht="13.8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</row>
    <row r="796" spans="1:28" ht="13.8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</row>
    <row r="797" spans="1:28" ht="13.8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</row>
    <row r="798" spans="1:28" ht="13.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</row>
    <row r="799" spans="1:28" ht="13.8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</row>
    <row r="800" spans="1:28" ht="13.8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</row>
    <row r="801" spans="1:28" ht="13.8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</row>
    <row r="802" spans="1:28" ht="13.8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</row>
    <row r="803" spans="1:28" ht="13.8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</row>
    <row r="804" spans="1:28" ht="13.8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</row>
    <row r="805" spans="1:28" ht="13.8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</row>
    <row r="806" spans="1:28" ht="13.8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</row>
    <row r="807" spans="1:28" ht="13.8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</row>
    <row r="808" spans="1:28" ht="13.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</row>
    <row r="809" spans="1:28" ht="13.8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</row>
    <row r="810" spans="1:28" ht="13.8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</row>
    <row r="811" spans="1:28" ht="13.8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</row>
    <row r="812" spans="1:28" ht="13.8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</row>
    <row r="813" spans="1:28" ht="13.8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</row>
    <row r="814" spans="1:28" ht="13.8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</row>
    <row r="815" spans="1:28" ht="13.8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</row>
    <row r="816" spans="1:28" ht="13.8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</row>
    <row r="817" spans="1:28" ht="13.8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</row>
    <row r="818" spans="1:28" ht="13.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</row>
    <row r="819" spans="1:28" ht="13.8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</row>
    <row r="820" spans="1:28" ht="13.8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</row>
    <row r="821" spans="1:28" ht="13.8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</row>
    <row r="822" spans="1:28" ht="13.8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</row>
    <row r="823" spans="1:28" ht="13.8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</row>
    <row r="824" spans="1:28" ht="13.8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</row>
    <row r="825" spans="1:28" ht="13.8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</row>
    <row r="826" spans="1:28" ht="13.8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</row>
    <row r="827" spans="1:28" ht="13.8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</row>
    <row r="828" spans="1:28" ht="13.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</row>
    <row r="829" spans="1:28" ht="13.8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</row>
    <row r="830" spans="1:28" ht="13.8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</row>
    <row r="831" spans="1:28" ht="13.8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</row>
    <row r="832" spans="1:28" ht="13.8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</row>
    <row r="833" spans="1:28" ht="13.8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</row>
    <row r="834" spans="1:28" ht="13.8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</row>
    <row r="835" spans="1:28" ht="13.8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</row>
    <row r="836" spans="1:28" ht="13.8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</row>
    <row r="837" spans="1:28" ht="13.8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</row>
    <row r="838" spans="1:28" ht="13.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</row>
    <row r="839" spans="1:28" ht="13.8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</row>
    <row r="840" spans="1:28" ht="13.8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</row>
    <row r="841" spans="1:28" ht="13.8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</row>
    <row r="842" spans="1:28" ht="13.8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</row>
    <row r="843" spans="1:28" ht="13.8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</row>
    <row r="844" spans="1:28" ht="13.8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</row>
    <row r="845" spans="1:28" ht="13.8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</row>
    <row r="846" spans="1:28" ht="13.8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</row>
    <row r="847" spans="1:28" ht="13.8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</row>
    <row r="848" spans="1:28" ht="13.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</row>
    <row r="849" spans="1:28" ht="13.8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</row>
    <row r="850" spans="1:28" ht="13.8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</row>
    <row r="851" spans="1:28" ht="13.8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</row>
    <row r="852" spans="1:28" ht="13.8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</row>
    <row r="853" spans="1:28" ht="13.8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</row>
    <row r="854" spans="1:28" ht="13.8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</row>
    <row r="855" spans="1:28" ht="13.8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</row>
    <row r="856" spans="1:28" ht="13.8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</row>
    <row r="857" spans="1:28" ht="13.8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</row>
    <row r="858" spans="1:28" ht="13.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</row>
    <row r="859" spans="1:28" ht="13.8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</row>
    <row r="860" spans="1:28" ht="13.8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</row>
    <row r="861" spans="1:28" ht="13.8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</row>
    <row r="862" spans="1:28" ht="13.8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</row>
    <row r="863" spans="1:28" ht="13.8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</row>
    <row r="864" spans="1:28" ht="13.8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</row>
    <row r="865" spans="1:28" ht="13.8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</row>
    <row r="866" spans="1:28" ht="13.8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</row>
    <row r="867" spans="1:28" ht="13.8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</row>
    <row r="868" spans="1:28" ht="13.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</row>
    <row r="869" spans="1:28" ht="13.8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</row>
    <row r="870" spans="1:28" ht="13.8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</row>
    <row r="871" spans="1:28" ht="13.8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</row>
    <row r="872" spans="1:28" ht="13.8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</row>
    <row r="873" spans="1:28" ht="13.8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</row>
    <row r="874" spans="1:28" ht="13.8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</row>
    <row r="875" spans="1:28" ht="13.8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</row>
    <row r="876" spans="1:28" ht="13.8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</row>
    <row r="877" spans="1:28" ht="13.8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</row>
    <row r="878" spans="1:28" ht="13.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</row>
    <row r="879" spans="1:28" ht="13.8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</row>
    <row r="880" spans="1:28" ht="13.8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</row>
    <row r="881" spans="1:28" ht="13.8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</row>
    <row r="882" spans="1:28" ht="13.8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</row>
    <row r="883" spans="1:28" ht="13.8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</row>
    <row r="884" spans="1:28" ht="13.8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</row>
    <row r="885" spans="1:28" ht="13.8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</row>
    <row r="886" spans="1:28" ht="13.8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</row>
    <row r="887" spans="1:28" ht="13.8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</row>
    <row r="888" spans="1:28" ht="13.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</row>
    <row r="889" spans="1:28" ht="13.8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</row>
    <row r="890" spans="1:28" ht="13.8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</row>
    <row r="891" spans="1:28" ht="13.8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</row>
    <row r="892" spans="1:28" ht="13.8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</row>
    <row r="893" spans="1:28" ht="13.8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</row>
    <row r="894" spans="1:28" ht="13.8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</row>
    <row r="895" spans="1:28" ht="13.8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</row>
    <row r="896" spans="1:28" ht="13.8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</row>
    <row r="897" spans="1:28" ht="13.8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</row>
    <row r="898" spans="1:28" ht="13.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</row>
    <row r="899" spans="1:28" ht="13.8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</row>
    <row r="900" spans="1:28" ht="13.8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</row>
    <row r="901" spans="1:28" ht="13.8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</row>
    <row r="902" spans="1:28" ht="13.8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</row>
    <row r="903" spans="1:28" ht="13.8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</row>
    <row r="904" spans="1:28" ht="13.8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</row>
    <row r="905" spans="1:28" ht="13.8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</row>
    <row r="906" spans="1:28" ht="13.8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</row>
    <row r="907" spans="1:28" ht="13.8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</row>
    <row r="908" spans="1:28" ht="13.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</row>
    <row r="909" spans="1:28" ht="13.8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</row>
    <row r="910" spans="1:28" ht="13.8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</row>
    <row r="911" spans="1:28" ht="13.8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</row>
    <row r="912" spans="1:28" ht="13.8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</row>
    <row r="913" spans="1:28" ht="13.8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</row>
    <row r="914" spans="1:28" ht="13.8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</row>
    <row r="915" spans="1:28" ht="13.8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</row>
    <row r="916" spans="1:28" ht="13.8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</row>
    <row r="917" spans="1:28" ht="13.8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</row>
    <row r="918" spans="1:28" ht="13.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</row>
    <row r="919" spans="1:28" ht="13.8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</row>
    <row r="920" spans="1:28" ht="13.8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</row>
    <row r="921" spans="1:28" ht="13.8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</row>
    <row r="922" spans="1:28" ht="13.8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</row>
    <row r="923" spans="1:28" ht="13.8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</row>
    <row r="924" spans="1:28" ht="13.8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</row>
    <row r="925" spans="1:28" ht="13.8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</row>
    <row r="926" spans="1:28" ht="13.8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</row>
    <row r="927" spans="1:28" ht="13.8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</row>
    <row r="928" spans="1:28" ht="13.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</row>
    <row r="929" spans="1:28" ht="13.8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</row>
    <row r="930" spans="1:28" ht="13.8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</row>
    <row r="931" spans="1:28" ht="13.8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</row>
    <row r="932" spans="1:28" ht="13.8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</row>
    <row r="933" spans="1:28" ht="13.8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</row>
    <row r="934" spans="1:28" ht="13.8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</row>
    <row r="935" spans="1:28" ht="13.8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</row>
    <row r="936" spans="1:28" ht="13.8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</row>
    <row r="937" spans="1:28" ht="13.8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</row>
    <row r="938" spans="1:28" ht="13.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</row>
    <row r="939" spans="1:28" ht="13.8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</row>
    <row r="940" spans="1:28" ht="13.8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</row>
    <row r="941" spans="1:28" ht="13.8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</row>
    <row r="942" spans="1:28" ht="13.8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</row>
    <row r="943" spans="1:28" ht="13.8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</row>
    <row r="944" spans="1:28" ht="13.8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</row>
    <row r="945" spans="1:28" ht="13.8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</row>
    <row r="946" spans="1:28" ht="13.8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</row>
    <row r="947" spans="1:28" ht="13.8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</row>
    <row r="948" spans="1:28" ht="13.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</row>
    <row r="949" spans="1:28" ht="13.8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</row>
    <row r="950" spans="1:28" ht="13.8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</row>
    <row r="951" spans="1:28" ht="13.8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</row>
    <row r="952" spans="1:28" ht="13.8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</row>
    <row r="953" spans="1:28" ht="13.8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</row>
    <row r="954" spans="1:28" ht="13.8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</row>
    <row r="955" spans="1:28" ht="13.8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</row>
    <row r="956" spans="1:28" ht="13.8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</row>
    <row r="957" spans="1:28" ht="13.8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</row>
    <row r="958" spans="1:28" ht="13.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</row>
    <row r="959" spans="1:28" ht="13.8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</row>
    <row r="960" spans="1:28" ht="13.8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</row>
    <row r="961" spans="1:28" ht="13.8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</row>
    <row r="962" spans="1:28" ht="13.8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</row>
    <row r="963" spans="1:28" ht="13.8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</row>
    <row r="964" spans="1:28" ht="13.8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</row>
    <row r="965" spans="1:28" ht="13.8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</row>
    <row r="966" spans="1:28" ht="13.8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</row>
    <row r="967" spans="1:28" ht="13.8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</row>
    <row r="968" spans="1:28" ht="13.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</row>
    <row r="969" spans="1:28" ht="13.8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</row>
    <row r="970" spans="1:28" ht="13.8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</row>
    <row r="971" spans="1:28" ht="13.8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</row>
    <row r="972" spans="1:28" ht="13.8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</row>
    <row r="973" spans="1:28" ht="13.8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</row>
    <row r="974" spans="1:28" ht="13.8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</row>
    <row r="975" spans="1:28" ht="13.8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</row>
    <row r="976" spans="1:28" ht="13.8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</row>
    <row r="977" spans="1:28" ht="13.8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</row>
    <row r="978" spans="1:28" ht="13.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</row>
    <row r="979" spans="1:28" ht="13.8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</row>
    <row r="980" spans="1:28" ht="13.8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</row>
    <row r="981" spans="1:28" ht="13.8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</row>
    <row r="982" spans="1:28" ht="13.8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</row>
    <row r="983" spans="1:28" ht="13.8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</row>
    <row r="984" spans="1:28" ht="13.8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</row>
    <row r="985" spans="1:28" ht="13.8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</row>
    <row r="986" spans="1:28" ht="13.8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</row>
    <row r="987" spans="1:28" ht="13.8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</row>
    <row r="988" spans="1:28" ht="13.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</row>
    <row r="989" spans="1:28" ht="13.8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</row>
    <row r="990" spans="1:28" ht="13.8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</row>
    <row r="991" spans="1:28" ht="13.8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</row>
    <row r="992" spans="1:28" ht="13.8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</row>
    <row r="993" spans="1:28" ht="13.8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</row>
    <row r="994" spans="1:28" ht="13.8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</row>
    <row r="995" spans="1:28" ht="13.8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</row>
  </sheetData>
  <autoFilter ref="A2:AB250" xr:uid="{00000000-0009-0000-0000-000003000000}"/>
  <mergeCells count="5">
    <mergeCell ref="A1:E1"/>
    <mergeCell ref="A248:C248"/>
    <mergeCell ref="A249:G249"/>
    <mergeCell ref="A250:C250"/>
    <mergeCell ref="A252:H25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201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/>
  <cols>
    <col min="1" max="1" width="9" customWidth="1"/>
    <col min="2" max="2" width="15.21875" customWidth="1"/>
    <col min="3" max="3" width="39.88671875" customWidth="1"/>
    <col min="6" max="6" width="22.21875" customWidth="1"/>
  </cols>
  <sheetData>
    <row r="1" spans="1:26" ht="14.4">
      <c r="A1" s="99" t="s">
        <v>0</v>
      </c>
      <c r="B1" s="99"/>
      <c r="C1" s="99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</row>
    <row r="2" spans="1:26" ht="14.4">
      <c r="A2" s="8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102" t="s">
        <v>8</v>
      </c>
      <c r="G2" s="8" t="s">
        <v>24</v>
      </c>
      <c r="H2" s="103" t="s">
        <v>875</v>
      </c>
      <c r="I2" s="8" t="s">
        <v>11</v>
      </c>
      <c r="J2" s="8" t="s">
        <v>12</v>
      </c>
      <c r="K2" s="8" t="s">
        <v>14</v>
      </c>
      <c r="L2" s="8" t="s">
        <v>15</v>
      </c>
      <c r="M2" s="8" t="s">
        <v>16</v>
      </c>
      <c r="N2" s="8" t="s">
        <v>17</v>
      </c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</row>
    <row r="3" spans="1:26" ht="14.4">
      <c r="A3" s="28" t="s">
        <v>882</v>
      </c>
      <c r="B3" s="28" t="s">
        <v>883</v>
      </c>
      <c r="C3" s="28" t="s">
        <v>275</v>
      </c>
      <c r="D3" s="28" t="s">
        <v>543</v>
      </c>
      <c r="E3" s="28" t="s">
        <v>54</v>
      </c>
      <c r="F3" s="97" t="s">
        <v>889</v>
      </c>
      <c r="G3" s="28" t="s">
        <v>891</v>
      </c>
      <c r="H3" s="104" t="s">
        <v>897</v>
      </c>
      <c r="I3" s="28" t="s">
        <v>898</v>
      </c>
      <c r="J3" s="28" t="s">
        <v>899</v>
      </c>
      <c r="K3" s="28" t="s">
        <v>897</v>
      </c>
      <c r="L3" s="28" t="s">
        <v>900</v>
      </c>
      <c r="M3" s="105" t="s">
        <v>41</v>
      </c>
      <c r="N3" s="28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</row>
    <row r="4" spans="1:26" ht="14.4">
      <c r="A4" s="28" t="s">
        <v>882</v>
      </c>
      <c r="B4" s="28" t="s">
        <v>912</v>
      </c>
      <c r="C4" s="28" t="s">
        <v>275</v>
      </c>
      <c r="D4" s="28" t="s">
        <v>543</v>
      </c>
      <c r="E4" s="28" t="s">
        <v>54</v>
      </c>
      <c r="F4" s="97" t="s">
        <v>913</v>
      </c>
      <c r="G4" s="28" t="s">
        <v>914</v>
      </c>
      <c r="H4" s="104" t="s">
        <v>915</v>
      </c>
      <c r="I4" s="28" t="s">
        <v>916</v>
      </c>
      <c r="J4" s="28" t="s">
        <v>918</v>
      </c>
      <c r="K4" s="28" t="s">
        <v>915</v>
      </c>
      <c r="L4" s="28" t="s">
        <v>921</v>
      </c>
      <c r="M4" s="105" t="s">
        <v>41</v>
      </c>
      <c r="N4" s="28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</row>
    <row r="5" spans="1:26" ht="14.4">
      <c r="A5" s="28" t="s">
        <v>882</v>
      </c>
      <c r="B5" s="28" t="s">
        <v>924</v>
      </c>
      <c r="C5" s="28" t="s">
        <v>275</v>
      </c>
      <c r="D5" s="28" t="s">
        <v>543</v>
      </c>
      <c r="E5" s="28" t="s">
        <v>54</v>
      </c>
      <c r="F5" s="97" t="s">
        <v>928</v>
      </c>
      <c r="G5" s="28" t="s">
        <v>930</v>
      </c>
      <c r="H5" s="104" t="s">
        <v>932</v>
      </c>
      <c r="I5" s="28" t="s">
        <v>933</v>
      </c>
      <c r="J5" s="28" t="s">
        <v>934</v>
      </c>
      <c r="K5" s="28" t="s">
        <v>932</v>
      </c>
      <c r="L5" s="29" t="s">
        <v>935</v>
      </c>
      <c r="M5" s="105" t="s">
        <v>41</v>
      </c>
      <c r="N5" s="28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</row>
    <row r="6" spans="1:26" ht="14.4">
      <c r="A6" s="28" t="s">
        <v>882</v>
      </c>
      <c r="B6" s="28" t="s">
        <v>941</v>
      </c>
      <c r="C6" s="28" t="s">
        <v>275</v>
      </c>
      <c r="D6" s="28" t="s">
        <v>543</v>
      </c>
      <c r="E6" s="28" t="s">
        <v>54</v>
      </c>
      <c r="F6" s="97" t="s">
        <v>942</v>
      </c>
      <c r="G6" s="28" t="s">
        <v>943</v>
      </c>
      <c r="H6" s="104" t="s">
        <v>944</v>
      </c>
      <c r="I6" s="28" t="s">
        <v>933</v>
      </c>
      <c r="J6" s="28" t="s">
        <v>947</v>
      </c>
      <c r="K6" s="28" t="s">
        <v>944</v>
      </c>
      <c r="L6" s="28" t="s">
        <v>949</v>
      </c>
      <c r="M6" s="105" t="s">
        <v>41</v>
      </c>
      <c r="N6" s="28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</row>
    <row r="7" spans="1:26" ht="15.75" customHeight="1">
      <c r="A7" s="28" t="s">
        <v>882</v>
      </c>
      <c r="B7" s="28" t="s">
        <v>49</v>
      </c>
      <c r="C7" s="107" t="s">
        <v>296</v>
      </c>
      <c r="D7" s="43" t="s">
        <v>954</v>
      </c>
      <c r="E7" s="28" t="s">
        <v>54</v>
      </c>
      <c r="F7" s="97" t="s">
        <v>958</v>
      </c>
      <c r="G7" s="28"/>
      <c r="H7" s="104" t="s">
        <v>961</v>
      </c>
      <c r="I7" s="108" t="s">
        <v>966</v>
      </c>
      <c r="J7" s="109">
        <v>45449</v>
      </c>
      <c r="K7" s="28"/>
      <c r="L7" s="28" t="s">
        <v>973</v>
      </c>
      <c r="M7" s="105" t="s">
        <v>41</v>
      </c>
      <c r="N7" s="28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</row>
    <row r="8" spans="1:26" ht="14.4">
      <c r="A8" s="28" t="s">
        <v>882</v>
      </c>
      <c r="B8" s="28" t="s">
        <v>883</v>
      </c>
      <c r="C8" s="107" t="s">
        <v>296</v>
      </c>
      <c r="D8" s="43" t="s">
        <v>954</v>
      </c>
      <c r="E8" s="28" t="s">
        <v>54</v>
      </c>
      <c r="F8" s="97" t="s">
        <v>979</v>
      </c>
      <c r="G8" s="28"/>
      <c r="H8" s="104" t="s">
        <v>986</v>
      </c>
      <c r="I8" s="108" t="s">
        <v>335</v>
      </c>
      <c r="J8" s="108" t="s">
        <v>987</v>
      </c>
      <c r="K8" s="28" t="s">
        <v>988</v>
      </c>
      <c r="L8" s="28" t="s">
        <v>989</v>
      </c>
      <c r="M8" s="105" t="s">
        <v>41</v>
      </c>
      <c r="N8" s="28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14.4">
      <c r="A9" s="28" t="s">
        <v>882</v>
      </c>
      <c r="B9" s="28" t="s">
        <v>924</v>
      </c>
      <c r="C9" s="107" t="s">
        <v>296</v>
      </c>
      <c r="D9" s="43" t="s">
        <v>954</v>
      </c>
      <c r="E9" s="28" t="s">
        <v>54</v>
      </c>
      <c r="F9" s="97" t="s">
        <v>996</v>
      </c>
      <c r="G9" s="28"/>
      <c r="H9" s="104" t="s">
        <v>932</v>
      </c>
      <c r="I9" s="108" t="s">
        <v>1001</v>
      </c>
      <c r="J9" s="108" t="s">
        <v>987</v>
      </c>
      <c r="K9" s="104" t="s">
        <v>932</v>
      </c>
      <c r="L9" s="28" t="s">
        <v>1003</v>
      </c>
      <c r="M9" s="105" t="s">
        <v>41</v>
      </c>
      <c r="N9" s="28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</row>
    <row r="10" spans="1:26" ht="14.4">
      <c r="A10" s="28" t="s">
        <v>882</v>
      </c>
      <c r="B10" s="28" t="s">
        <v>1006</v>
      </c>
      <c r="C10" s="107" t="s">
        <v>296</v>
      </c>
      <c r="D10" s="43" t="s">
        <v>954</v>
      </c>
      <c r="E10" s="28" t="s">
        <v>54</v>
      </c>
      <c r="F10" s="97" t="s">
        <v>1012</v>
      </c>
      <c r="G10" s="28"/>
      <c r="H10" s="104" t="s">
        <v>944</v>
      </c>
      <c r="I10" s="108" t="s">
        <v>846</v>
      </c>
      <c r="J10" s="108" t="s">
        <v>987</v>
      </c>
      <c r="K10" s="108" t="s">
        <v>944</v>
      </c>
      <c r="L10" s="28" t="s">
        <v>1014</v>
      </c>
      <c r="M10" s="105" t="s">
        <v>41</v>
      </c>
      <c r="N10" s="28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</row>
    <row r="11" spans="1:26" ht="14.4">
      <c r="A11" s="28" t="s">
        <v>882</v>
      </c>
      <c r="B11" s="28" t="s">
        <v>1006</v>
      </c>
      <c r="C11" s="28" t="s">
        <v>233</v>
      </c>
      <c r="D11" s="29" t="s">
        <v>298</v>
      </c>
      <c r="E11" s="28" t="s">
        <v>54</v>
      </c>
      <c r="F11" s="110" t="s">
        <v>1024</v>
      </c>
      <c r="G11" s="28"/>
      <c r="H11" s="104" t="s">
        <v>1028</v>
      </c>
      <c r="I11" s="28" t="s">
        <v>933</v>
      </c>
      <c r="J11" s="28" t="s">
        <v>1030</v>
      </c>
      <c r="K11" s="28" t="s">
        <v>1031</v>
      </c>
      <c r="L11" s="28" t="s">
        <v>900</v>
      </c>
      <c r="M11" s="105" t="s">
        <v>41</v>
      </c>
      <c r="N11" s="28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</row>
    <row r="12" spans="1:26" ht="14.4">
      <c r="A12" s="28" t="s">
        <v>882</v>
      </c>
      <c r="B12" s="28" t="s">
        <v>1006</v>
      </c>
      <c r="C12" s="28" t="s">
        <v>233</v>
      </c>
      <c r="D12" s="29" t="s">
        <v>298</v>
      </c>
      <c r="E12" s="28" t="s">
        <v>54</v>
      </c>
      <c r="F12" s="110" t="s">
        <v>1034</v>
      </c>
      <c r="G12" s="28"/>
      <c r="H12" s="104" t="s">
        <v>1028</v>
      </c>
      <c r="I12" s="28" t="s">
        <v>933</v>
      </c>
      <c r="J12" s="28" t="s">
        <v>1030</v>
      </c>
      <c r="K12" s="28" t="s">
        <v>1037</v>
      </c>
      <c r="L12" s="28" t="s">
        <v>900</v>
      </c>
      <c r="M12" s="105" t="s">
        <v>41</v>
      </c>
      <c r="N12" s="28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</row>
    <row r="13" spans="1:26" ht="14.4">
      <c r="A13" s="28" t="s">
        <v>882</v>
      </c>
      <c r="B13" s="28" t="s">
        <v>1006</v>
      </c>
      <c r="C13" s="28" t="s">
        <v>233</v>
      </c>
      <c r="D13" s="29" t="s">
        <v>298</v>
      </c>
      <c r="E13" s="28" t="s">
        <v>54</v>
      </c>
      <c r="F13" s="110" t="s">
        <v>1041</v>
      </c>
      <c r="G13" s="28"/>
      <c r="H13" s="104" t="s">
        <v>1028</v>
      </c>
      <c r="I13" s="28" t="s">
        <v>933</v>
      </c>
      <c r="J13" s="28" t="s">
        <v>1030</v>
      </c>
      <c r="K13" s="28" t="s">
        <v>1044</v>
      </c>
      <c r="L13" s="28" t="s">
        <v>900</v>
      </c>
      <c r="M13" s="105" t="s">
        <v>41</v>
      </c>
      <c r="N13" s="28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</row>
    <row r="14" spans="1:26" ht="14.4">
      <c r="A14" s="28" t="s">
        <v>882</v>
      </c>
      <c r="B14" s="28" t="s">
        <v>883</v>
      </c>
      <c r="C14" s="28" t="s">
        <v>233</v>
      </c>
      <c r="D14" s="29" t="s">
        <v>298</v>
      </c>
      <c r="E14" s="28" t="s">
        <v>54</v>
      </c>
      <c r="F14" s="110" t="s">
        <v>1049</v>
      </c>
      <c r="G14" s="28"/>
      <c r="H14" s="104" t="s">
        <v>1028</v>
      </c>
      <c r="I14" s="28" t="s">
        <v>933</v>
      </c>
      <c r="J14" s="28" t="s">
        <v>1051</v>
      </c>
      <c r="K14" s="28" t="s">
        <v>1052</v>
      </c>
      <c r="L14" s="28" t="s">
        <v>949</v>
      </c>
      <c r="M14" s="105" t="s">
        <v>41</v>
      </c>
      <c r="N14" s="28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</row>
    <row r="15" spans="1:26" ht="14.4">
      <c r="A15" s="28" t="s">
        <v>882</v>
      </c>
      <c r="B15" s="28" t="s">
        <v>883</v>
      </c>
      <c r="C15" s="28" t="s">
        <v>233</v>
      </c>
      <c r="D15" s="29" t="s">
        <v>298</v>
      </c>
      <c r="E15" s="28" t="s">
        <v>54</v>
      </c>
      <c r="F15" s="110" t="s">
        <v>1055</v>
      </c>
      <c r="G15" s="28"/>
      <c r="H15" s="104" t="s">
        <v>1028</v>
      </c>
      <c r="I15" s="28" t="s">
        <v>933</v>
      </c>
      <c r="J15" s="28" t="s">
        <v>1051</v>
      </c>
      <c r="K15" s="28" t="s">
        <v>1059</v>
      </c>
      <c r="L15" s="28" t="s">
        <v>949</v>
      </c>
      <c r="M15" s="105" t="s">
        <v>41</v>
      </c>
      <c r="N15" s="28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</row>
    <row r="16" spans="1:26" ht="14.4">
      <c r="A16" s="28" t="s">
        <v>882</v>
      </c>
      <c r="B16" s="28" t="s">
        <v>924</v>
      </c>
      <c r="C16" s="28" t="s">
        <v>233</v>
      </c>
      <c r="D16" s="29" t="s">
        <v>298</v>
      </c>
      <c r="E16" s="28" t="s">
        <v>54</v>
      </c>
      <c r="F16" s="110" t="s">
        <v>1063</v>
      </c>
      <c r="G16" s="28"/>
      <c r="H16" s="104" t="s">
        <v>1064</v>
      </c>
      <c r="I16" s="28" t="s">
        <v>933</v>
      </c>
      <c r="J16" s="28" t="s">
        <v>1066</v>
      </c>
      <c r="K16" s="28" t="s">
        <v>1069</v>
      </c>
      <c r="L16" s="28" t="s">
        <v>935</v>
      </c>
      <c r="M16" s="105" t="s">
        <v>41</v>
      </c>
      <c r="N16" s="28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</row>
    <row r="17" spans="1:26" ht="14.4">
      <c r="A17" s="28" t="s">
        <v>882</v>
      </c>
      <c r="B17" s="28" t="s">
        <v>924</v>
      </c>
      <c r="C17" s="28" t="s">
        <v>233</v>
      </c>
      <c r="D17" s="29" t="s">
        <v>298</v>
      </c>
      <c r="E17" s="28" t="s">
        <v>54</v>
      </c>
      <c r="F17" s="110" t="s">
        <v>1075</v>
      </c>
      <c r="G17" s="28"/>
      <c r="H17" s="104" t="s">
        <v>1064</v>
      </c>
      <c r="I17" s="28" t="s">
        <v>933</v>
      </c>
      <c r="J17" s="28" t="s">
        <v>1066</v>
      </c>
      <c r="K17" s="28" t="s">
        <v>1076</v>
      </c>
      <c r="L17" s="28" t="s">
        <v>935</v>
      </c>
      <c r="M17" s="105" t="s">
        <v>41</v>
      </c>
      <c r="N17" s="28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 spans="1:26" ht="14.4">
      <c r="A18" s="28" t="s">
        <v>882</v>
      </c>
      <c r="B18" s="28" t="s">
        <v>912</v>
      </c>
      <c r="C18" s="28" t="s">
        <v>233</v>
      </c>
      <c r="D18" s="29" t="s">
        <v>298</v>
      </c>
      <c r="E18" s="28" t="s">
        <v>54</v>
      </c>
      <c r="F18" s="110" t="s">
        <v>1085</v>
      </c>
      <c r="G18" s="28"/>
      <c r="H18" s="104" t="s">
        <v>1086</v>
      </c>
      <c r="I18" s="28" t="s">
        <v>916</v>
      </c>
      <c r="J18" s="28" t="s">
        <v>1087</v>
      </c>
      <c r="K18" s="28" t="s">
        <v>1088</v>
      </c>
      <c r="L18" s="28" t="s">
        <v>921</v>
      </c>
      <c r="M18" s="105" t="s">
        <v>41</v>
      </c>
      <c r="N18" s="28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</row>
    <row r="19" spans="1:26" ht="14.4">
      <c r="A19" s="28" t="s">
        <v>882</v>
      </c>
      <c r="B19" s="28" t="s">
        <v>912</v>
      </c>
      <c r="C19" s="28" t="s">
        <v>233</v>
      </c>
      <c r="D19" s="29" t="s">
        <v>298</v>
      </c>
      <c r="E19" s="28" t="s">
        <v>54</v>
      </c>
      <c r="F19" s="110" t="s">
        <v>1092</v>
      </c>
      <c r="G19" s="28"/>
      <c r="H19" s="104" t="s">
        <v>1086</v>
      </c>
      <c r="I19" s="28" t="s">
        <v>916</v>
      </c>
      <c r="J19" s="28" t="s">
        <v>1087</v>
      </c>
      <c r="K19" s="28" t="s">
        <v>1095</v>
      </c>
      <c r="L19" s="28" t="s">
        <v>921</v>
      </c>
      <c r="M19" s="105" t="s">
        <v>41</v>
      </c>
      <c r="N19" s="28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</row>
    <row r="20" spans="1:26" ht="14.4">
      <c r="A20" s="28" t="s">
        <v>882</v>
      </c>
      <c r="B20" s="28" t="s">
        <v>912</v>
      </c>
      <c r="C20" s="28" t="s">
        <v>233</v>
      </c>
      <c r="D20" s="29" t="s">
        <v>298</v>
      </c>
      <c r="E20" s="28" t="s">
        <v>54</v>
      </c>
      <c r="F20" s="110" t="s">
        <v>1098</v>
      </c>
      <c r="G20" s="28"/>
      <c r="H20" s="104" t="s">
        <v>1086</v>
      </c>
      <c r="I20" s="28" t="s">
        <v>916</v>
      </c>
      <c r="J20" s="28" t="s">
        <v>1087</v>
      </c>
      <c r="K20" s="28" t="s">
        <v>1102</v>
      </c>
      <c r="L20" s="28" t="s">
        <v>921</v>
      </c>
      <c r="M20" s="105" t="s">
        <v>41</v>
      </c>
      <c r="N20" s="28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</row>
    <row r="21" spans="1:26" ht="14.4">
      <c r="A21" s="28" t="s">
        <v>882</v>
      </c>
      <c r="B21" s="28" t="s">
        <v>49</v>
      </c>
      <c r="C21" s="28" t="s">
        <v>233</v>
      </c>
      <c r="D21" s="29" t="s">
        <v>298</v>
      </c>
      <c r="E21" s="28" t="s">
        <v>54</v>
      </c>
      <c r="F21" s="110" t="s">
        <v>1106</v>
      </c>
      <c r="G21" s="28"/>
      <c r="H21" s="104" t="s">
        <v>1086</v>
      </c>
      <c r="I21" s="28" t="s">
        <v>916</v>
      </c>
      <c r="J21" s="28" t="s">
        <v>1109</v>
      </c>
      <c r="K21" s="28" t="s">
        <v>1110</v>
      </c>
      <c r="L21" s="28" t="s">
        <v>1111</v>
      </c>
      <c r="M21" s="105" t="s">
        <v>41</v>
      </c>
      <c r="N21" s="28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</row>
    <row r="22" spans="1:26" ht="14.4">
      <c r="A22" s="28" t="s">
        <v>882</v>
      </c>
      <c r="B22" s="28" t="s">
        <v>49</v>
      </c>
      <c r="C22" s="28" t="s">
        <v>233</v>
      </c>
      <c r="D22" s="29" t="s">
        <v>298</v>
      </c>
      <c r="E22" s="28" t="s">
        <v>54</v>
      </c>
      <c r="F22" s="110" t="s">
        <v>1114</v>
      </c>
      <c r="G22" s="28"/>
      <c r="H22" s="104" t="s">
        <v>1086</v>
      </c>
      <c r="I22" s="28" t="s">
        <v>916</v>
      </c>
      <c r="J22" s="28" t="s">
        <v>1117</v>
      </c>
      <c r="K22" s="28" t="s">
        <v>1118</v>
      </c>
      <c r="L22" s="28" t="s">
        <v>1111</v>
      </c>
      <c r="M22" s="105" t="s">
        <v>41</v>
      </c>
      <c r="N22" s="28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</row>
    <row r="23" spans="1:26" ht="14.4">
      <c r="A23" s="28" t="s">
        <v>882</v>
      </c>
      <c r="B23" s="28" t="s">
        <v>49</v>
      </c>
      <c r="C23" s="28" t="s">
        <v>233</v>
      </c>
      <c r="D23" s="29" t="s">
        <v>298</v>
      </c>
      <c r="E23" s="28" t="s">
        <v>54</v>
      </c>
      <c r="F23" s="110" t="s">
        <v>1121</v>
      </c>
      <c r="G23" s="28"/>
      <c r="H23" s="104" t="s">
        <v>1086</v>
      </c>
      <c r="I23" s="28" t="s">
        <v>916</v>
      </c>
      <c r="J23" s="28" t="s">
        <v>1123</v>
      </c>
      <c r="K23" s="28" t="s">
        <v>1125</v>
      </c>
      <c r="L23" s="28" t="s">
        <v>1111</v>
      </c>
      <c r="M23" s="105" t="s">
        <v>41</v>
      </c>
      <c r="N23" s="28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</row>
    <row r="24" spans="1:26" ht="14.4">
      <c r="A24" s="28" t="s">
        <v>882</v>
      </c>
      <c r="B24" s="28" t="s">
        <v>49</v>
      </c>
      <c r="C24" s="28" t="s">
        <v>233</v>
      </c>
      <c r="D24" s="29" t="s">
        <v>298</v>
      </c>
      <c r="E24" s="28" t="s">
        <v>54</v>
      </c>
      <c r="F24" s="110" t="s">
        <v>1129</v>
      </c>
      <c r="G24" s="28"/>
      <c r="H24" s="104" t="s">
        <v>1130</v>
      </c>
      <c r="I24" s="28" t="s">
        <v>1131</v>
      </c>
      <c r="J24" s="28" t="s">
        <v>1132</v>
      </c>
      <c r="K24" s="28" t="s">
        <v>1130</v>
      </c>
      <c r="L24" s="28" t="s">
        <v>1111</v>
      </c>
      <c r="M24" s="105" t="s">
        <v>41</v>
      </c>
      <c r="N24" s="28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</row>
    <row r="25" spans="1:26" ht="14.4">
      <c r="A25" s="28" t="s">
        <v>882</v>
      </c>
      <c r="B25" s="28" t="s">
        <v>924</v>
      </c>
      <c r="C25" s="28" t="s">
        <v>233</v>
      </c>
      <c r="D25" s="29" t="s">
        <v>298</v>
      </c>
      <c r="E25" s="28" t="s">
        <v>54</v>
      </c>
      <c r="F25" s="110" t="s">
        <v>1135</v>
      </c>
      <c r="G25" s="28"/>
      <c r="H25" s="104" t="s">
        <v>1130</v>
      </c>
      <c r="I25" s="28" t="s">
        <v>1131</v>
      </c>
      <c r="J25" s="28" t="s">
        <v>1136</v>
      </c>
      <c r="K25" s="28" t="s">
        <v>1137</v>
      </c>
      <c r="L25" s="28" t="s">
        <v>1111</v>
      </c>
      <c r="M25" s="105" t="s">
        <v>41</v>
      </c>
      <c r="N25" s="28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</row>
    <row r="26" spans="1:26" ht="14.4">
      <c r="A26" s="28" t="s">
        <v>882</v>
      </c>
      <c r="B26" s="28" t="s">
        <v>912</v>
      </c>
      <c r="C26" s="28" t="s">
        <v>233</v>
      </c>
      <c r="D26" s="29" t="s">
        <v>298</v>
      </c>
      <c r="E26" s="28" t="s">
        <v>54</v>
      </c>
      <c r="F26" s="110" t="s">
        <v>1141</v>
      </c>
      <c r="G26" s="28"/>
      <c r="H26" s="104" t="s">
        <v>1130</v>
      </c>
      <c r="I26" s="28" t="s">
        <v>1131</v>
      </c>
      <c r="J26" s="28" t="s">
        <v>1143</v>
      </c>
      <c r="K26" s="28" t="s">
        <v>1144</v>
      </c>
      <c r="L26" s="28" t="s">
        <v>1111</v>
      </c>
      <c r="M26" s="105" t="s">
        <v>41</v>
      </c>
      <c r="N26" s="28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</row>
    <row r="27" spans="1:26" ht="14.4">
      <c r="A27" s="28" t="s">
        <v>882</v>
      </c>
      <c r="B27" s="28" t="s">
        <v>912</v>
      </c>
      <c r="C27" s="28" t="s">
        <v>233</v>
      </c>
      <c r="D27" s="29" t="s">
        <v>298</v>
      </c>
      <c r="E27" s="28" t="s">
        <v>54</v>
      </c>
      <c r="F27" s="110" t="s">
        <v>1149</v>
      </c>
      <c r="G27" s="28"/>
      <c r="H27" s="104" t="s">
        <v>1130</v>
      </c>
      <c r="I27" s="28" t="s">
        <v>1131</v>
      </c>
      <c r="J27" s="28" t="s">
        <v>1151</v>
      </c>
      <c r="K27" s="28" t="s">
        <v>1088</v>
      </c>
      <c r="L27" s="28" t="s">
        <v>1111</v>
      </c>
      <c r="M27" s="105" t="s">
        <v>41</v>
      </c>
      <c r="N27" s="28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</row>
    <row r="28" spans="1:26" ht="14.4">
      <c r="A28" s="28" t="s">
        <v>882</v>
      </c>
      <c r="B28" s="28" t="s">
        <v>883</v>
      </c>
      <c r="C28" s="28" t="s">
        <v>233</v>
      </c>
      <c r="D28" s="29" t="s">
        <v>298</v>
      </c>
      <c r="E28" s="28" t="s">
        <v>54</v>
      </c>
      <c r="F28" s="110" t="s">
        <v>1165</v>
      </c>
      <c r="G28" s="28"/>
      <c r="H28" s="104" t="s">
        <v>1130</v>
      </c>
      <c r="I28" s="28" t="s">
        <v>1131</v>
      </c>
      <c r="J28" s="28" t="s">
        <v>1168</v>
      </c>
      <c r="K28" s="28" t="s">
        <v>1169</v>
      </c>
      <c r="L28" s="28" t="s">
        <v>1111</v>
      </c>
      <c r="M28" s="105" t="s">
        <v>41</v>
      </c>
      <c r="N28" s="28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</row>
    <row r="29" spans="1:26" ht="14.4">
      <c r="A29" s="28" t="s">
        <v>882</v>
      </c>
      <c r="B29" s="28" t="s">
        <v>1006</v>
      </c>
      <c r="C29" s="28" t="s">
        <v>233</v>
      </c>
      <c r="D29" s="29" t="s">
        <v>298</v>
      </c>
      <c r="E29" s="28" t="s">
        <v>54</v>
      </c>
      <c r="F29" s="110" t="s">
        <v>1173</v>
      </c>
      <c r="G29" s="28"/>
      <c r="H29" s="104" t="s">
        <v>1130</v>
      </c>
      <c r="I29" s="28" t="s">
        <v>1131</v>
      </c>
      <c r="J29" s="28" t="s">
        <v>1174</v>
      </c>
      <c r="K29" s="28" t="s">
        <v>1175</v>
      </c>
      <c r="L29" s="28" t="s">
        <v>1111</v>
      </c>
      <c r="M29" s="105" t="s">
        <v>41</v>
      </c>
      <c r="N29" s="28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</row>
    <row r="30" spans="1:26" ht="14.4">
      <c r="A30" s="28" t="s">
        <v>882</v>
      </c>
      <c r="B30" s="28" t="s">
        <v>1006</v>
      </c>
      <c r="C30" s="28" t="s">
        <v>220</v>
      </c>
      <c r="D30" s="112" t="s">
        <v>234</v>
      </c>
      <c r="E30" s="28" t="s">
        <v>54</v>
      </c>
      <c r="F30" s="110" t="s">
        <v>1180</v>
      </c>
      <c r="G30" s="28" t="s">
        <v>1181</v>
      </c>
      <c r="H30" s="104" t="s">
        <v>1028</v>
      </c>
      <c r="I30" s="28" t="s">
        <v>933</v>
      </c>
      <c r="J30" s="28" t="s">
        <v>1182</v>
      </c>
      <c r="K30" s="28" t="s">
        <v>1184</v>
      </c>
      <c r="L30" s="28" t="s">
        <v>900</v>
      </c>
      <c r="M30" s="105" t="s">
        <v>41</v>
      </c>
      <c r="N30" s="28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</row>
    <row r="31" spans="1:26" ht="14.4">
      <c r="A31" s="28" t="s">
        <v>882</v>
      </c>
      <c r="B31" s="28" t="s">
        <v>1006</v>
      </c>
      <c r="C31" s="28" t="s">
        <v>220</v>
      </c>
      <c r="D31" s="112" t="s">
        <v>234</v>
      </c>
      <c r="E31" s="28" t="s">
        <v>54</v>
      </c>
      <c r="F31" s="110" t="s">
        <v>1195</v>
      </c>
      <c r="G31" s="28" t="s">
        <v>1196</v>
      </c>
      <c r="H31" s="104" t="s">
        <v>1028</v>
      </c>
      <c r="I31" s="28" t="s">
        <v>933</v>
      </c>
      <c r="J31" s="28" t="s">
        <v>1182</v>
      </c>
      <c r="K31" s="28" t="s">
        <v>1184</v>
      </c>
      <c r="L31" s="28" t="s">
        <v>900</v>
      </c>
      <c r="M31" s="105" t="s">
        <v>41</v>
      </c>
      <c r="N31" s="28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</row>
    <row r="32" spans="1:26" ht="14.4">
      <c r="A32" s="28" t="s">
        <v>882</v>
      </c>
      <c r="B32" s="28" t="s">
        <v>1006</v>
      </c>
      <c r="C32" s="28" t="s">
        <v>220</v>
      </c>
      <c r="D32" s="112" t="s">
        <v>234</v>
      </c>
      <c r="E32" s="28" t="s">
        <v>54</v>
      </c>
      <c r="F32" s="110" t="s">
        <v>1200</v>
      </c>
      <c r="G32" s="28" t="s">
        <v>1201</v>
      </c>
      <c r="H32" s="104" t="s">
        <v>1028</v>
      </c>
      <c r="I32" s="28" t="s">
        <v>933</v>
      </c>
      <c r="J32" s="28" t="s">
        <v>1182</v>
      </c>
      <c r="K32" s="28" t="s">
        <v>1184</v>
      </c>
      <c r="L32" s="28" t="s">
        <v>900</v>
      </c>
      <c r="M32" s="105" t="s">
        <v>41</v>
      </c>
      <c r="N32" s="28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</row>
    <row r="33" spans="1:26" ht="14.4">
      <c r="A33" s="28" t="s">
        <v>882</v>
      </c>
      <c r="B33" s="28" t="s">
        <v>1006</v>
      </c>
      <c r="C33" s="28" t="s">
        <v>220</v>
      </c>
      <c r="D33" s="112" t="s">
        <v>234</v>
      </c>
      <c r="E33" s="28" t="s">
        <v>54</v>
      </c>
      <c r="F33" s="110" t="s">
        <v>1204</v>
      </c>
      <c r="G33" s="28" t="s">
        <v>1205</v>
      </c>
      <c r="H33" s="104" t="s">
        <v>1028</v>
      </c>
      <c r="I33" s="28" t="s">
        <v>933</v>
      </c>
      <c r="J33" s="28" t="s">
        <v>1182</v>
      </c>
      <c r="K33" s="28" t="s">
        <v>1184</v>
      </c>
      <c r="L33" s="28" t="s">
        <v>900</v>
      </c>
      <c r="M33" s="105" t="s">
        <v>41</v>
      </c>
      <c r="N33" s="28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</row>
    <row r="34" spans="1:26" ht="14.4">
      <c r="A34" s="28" t="s">
        <v>882</v>
      </c>
      <c r="B34" s="28" t="s">
        <v>1006</v>
      </c>
      <c r="C34" s="28" t="s">
        <v>220</v>
      </c>
      <c r="D34" s="112" t="s">
        <v>234</v>
      </c>
      <c r="E34" s="28" t="s">
        <v>54</v>
      </c>
      <c r="F34" s="110" t="s">
        <v>1214</v>
      </c>
      <c r="G34" s="28" t="s">
        <v>1215</v>
      </c>
      <c r="H34" s="104" t="s">
        <v>1028</v>
      </c>
      <c r="I34" s="28" t="s">
        <v>933</v>
      </c>
      <c r="J34" s="28" t="s">
        <v>1182</v>
      </c>
      <c r="K34" s="28" t="s">
        <v>1184</v>
      </c>
      <c r="L34" s="28" t="s">
        <v>900</v>
      </c>
      <c r="M34" s="105" t="s">
        <v>41</v>
      </c>
      <c r="N34" s="28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</row>
    <row r="35" spans="1:26" ht="14.4">
      <c r="A35" s="28" t="s">
        <v>882</v>
      </c>
      <c r="B35" s="28" t="s">
        <v>883</v>
      </c>
      <c r="C35" s="28" t="s">
        <v>220</v>
      </c>
      <c r="D35" s="112" t="s">
        <v>234</v>
      </c>
      <c r="E35" s="28" t="s">
        <v>54</v>
      </c>
      <c r="F35" s="110" t="s">
        <v>1220</v>
      </c>
      <c r="G35" s="28" t="s">
        <v>1222</v>
      </c>
      <c r="H35" s="104" t="s">
        <v>1028</v>
      </c>
      <c r="I35" s="28" t="s">
        <v>933</v>
      </c>
      <c r="J35" s="28" t="s">
        <v>1224</v>
      </c>
      <c r="K35" s="28" t="s">
        <v>1226</v>
      </c>
      <c r="L35" s="28" t="s">
        <v>949</v>
      </c>
      <c r="M35" s="105" t="s">
        <v>41</v>
      </c>
      <c r="N35" s="28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 spans="1:26" ht="14.4">
      <c r="A36" s="28" t="s">
        <v>882</v>
      </c>
      <c r="B36" s="28" t="s">
        <v>883</v>
      </c>
      <c r="C36" s="28" t="s">
        <v>220</v>
      </c>
      <c r="D36" s="112" t="s">
        <v>234</v>
      </c>
      <c r="E36" s="28" t="s">
        <v>54</v>
      </c>
      <c r="F36" s="110" t="s">
        <v>1230</v>
      </c>
      <c r="G36" s="28" t="s">
        <v>1231</v>
      </c>
      <c r="H36" s="104" t="s">
        <v>1028</v>
      </c>
      <c r="I36" s="28" t="s">
        <v>933</v>
      </c>
      <c r="J36" s="28" t="s">
        <v>1224</v>
      </c>
      <c r="K36" s="28" t="s">
        <v>1052</v>
      </c>
      <c r="L36" s="28" t="s">
        <v>949</v>
      </c>
      <c r="M36" s="105" t="s">
        <v>41</v>
      </c>
      <c r="N36" s="28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 spans="1:26" ht="14.4">
      <c r="A37" s="28" t="s">
        <v>882</v>
      </c>
      <c r="B37" s="28" t="s">
        <v>883</v>
      </c>
      <c r="C37" s="28" t="s">
        <v>220</v>
      </c>
      <c r="D37" s="112" t="s">
        <v>234</v>
      </c>
      <c r="E37" s="28" t="s">
        <v>54</v>
      </c>
      <c r="F37" s="110" t="s">
        <v>1237</v>
      </c>
      <c r="G37" s="28" t="s">
        <v>1238</v>
      </c>
      <c r="H37" s="104" t="s">
        <v>1028</v>
      </c>
      <c r="I37" s="28" t="s">
        <v>933</v>
      </c>
      <c r="J37" s="28" t="s">
        <v>1224</v>
      </c>
      <c r="K37" s="28" t="s">
        <v>1239</v>
      </c>
      <c r="L37" s="28" t="s">
        <v>949</v>
      </c>
      <c r="M37" s="105" t="s">
        <v>41</v>
      </c>
      <c r="N37" s="28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spans="1:26" ht="14.4">
      <c r="A38" s="28" t="s">
        <v>882</v>
      </c>
      <c r="B38" s="28" t="s">
        <v>883</v>
      </c>
      <c r="C38" s="28" t="s">
        <v>220</v>
      </c>
      <c r="D38" s="112" t="s">
        <v>234</v>
      </c>
      <c r="E38" s="28" t="s">
        <v>54</v>
      </c>
      <c r="F38" s="110" t="s">
        <v>1244</v>
      </c>
      <c r="G38" s="28" t="s">
        <v>1245</v>
      </c>
      <c r="H38" s="104" t="s">
        <v>1028</v>
      </c>
      <c r="I38" s="28" t="s">
        <v>933</v>
      </c>
      <c r="J38" s="28" t="s">
        <v>1224</v>
      </c>
      <c r="K38" s="28" t="s">
        <v>1248</v>
      </c>
      <c r="L38" s="28" t="s">
        <v>949</v>
      </c>
      <c r="M38" s="105" t="s">
        <v>41</v>
      </c>
      <c r="N38" s="28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spans="1:26" ht="14.4">
      <c r="A39" s="28" t="s">
        <v>882</v>
      </c>
      <c r="B39" s="28" t="s">
        <v>924</v>
      </c>
      <c r="C39" s="28" t="s">
        <v>220</v>
      </c>
      <c r="D39" s="112" t="s">
        <v>234</v>
      </c>
      <c r="E39" s="28" t="s">
        <v>54</v>
      </c>
      <c r="F39" s="110" t="s">
        <v>1254</v>
      </c>
      <c r="G39" s="28" t="s">
        <v>1255</v>
      </c>
      <c r="H39" s="104" t="s">
        <v>1064</v>
      </c>
      <c r="I39" s="28" t="s">
        <v>933</v>
      </c>
      <c r="J39" s="28" t="s">
        <v>1259</v>
      </c>
      <c r="K39" s="28" t="s">
        <v>1260</v>
      </c>
      <c r="L39" s="28" t="s">
        <v>935</v>
      </c>
      <c r="M39" s="105" t="s">
        <v>41</v>
      </c>
      <c r="N39" s="28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ht="14.4">
      <c r="A40" s="28" t="s">
        <v>882</v>
      </c>
      <c r="B40" s="28" t="s">
        <v>924</v>
      </c>
      <c r="C40" s="28" t="s">
        <v>220</v>
      </c>
      <c r="D40" s="112" t="s">
        <v>234</v>
      </c>
      <c r="E40" s="28" t="s">
        <v>54</v>
      </c>
      <c r="F40" s="110" t="s">
        <v>1263</v>
      </c>
      <c r="G40" s="28" t="s">
        <v>1266</v>
      </c>
      <c r="H40" s="104" t="s">
        <v>1064</v>
      </c>
      <c r="I40" s="28" t="s">
        <v>933</v>
      </c>
      <c r="J40" s="28" t="s">
        <v>1259</v>
      </c>
      <c r="K40" s="28" t="s">
        <v>1268</v>
      </c>
      <c r="L40" s="28" t="s">
        <v>935</v>
      </c>
      <c r="M40" s="105" t="s">
        <v>41</v>
      </c>
      <c r="N40" s="28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4.4">
      <c r="A41" s="28" t="s">
        <v>882</v>
      </c>
      <c r="B41" s="28" t="s">
        <v>924</v>
      </c>
      <c r="C41" s="28" t="s">
        <v>220</v>
      </c>
      <c r="D41" s="112" t="s">
        <v>234</v>
      </c>
      <c r="E41" s="28" t="s">
        <v>54</v>
      </c>
      <c r="F41" s="110" t="s">
        <v>1270</v>
      </c>
      <c r="G41" s="28" t="s">
        <v>1271</v>
      </c>
      <c r="H41" s="104" t="s">
        <v>1064</v>
      </c>
      <c r="I41" s="28" t="s">
        <v>933</v>
      </c>
      <c r="J41" s="28" t="s">
        <v>1259</v>
      </c>
      <c r="K41" s="28" t="s">
        <v>1275</v>
      </c>
      <c r="L41" s="28" t="s">
        <v>935</v>
      </c>
      <c r="M41" s="105" t="s">
        <v>41</v>
      </c>
      <c r="N41" s="28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4.4">
      <c r="A42" s="28" t="s">
        <v>882</v>
      </c>
      <c r="B42" s="28" t="s">
        <v>912</v>
      </c>
      <c r="C42" s="28" t="s">
        <v>220</v>
      </c>
      <c r="D42" s="112" t="s">
        <v>234</v>
      </c>
      <c r="E42" s="28" t="s">
        <v>54</v>
      </c>
      <c r="F42" s="110" t="s">
        <v>1280</v>
      </c>
      <c r="G42" s="28" t="s">
        <v>1281</v>
      </c>
      <c r="H42" s="104" t="s">
        <v>1086</v>
      </c>
      <c r="I42" s="28" t="s">
        <v>916</v>
      </c>
      <c r="J42" s="28" t="s">
        <v>1282</v>
      </c>
      <c r="K42" s="28" t="s">
        <v>1283</v>
      </c>
      <c r="L42" s="28" t="s">
        <v>921</v>
      </c>
      <c r="M42" s="105" t="s">
        <v>41</v>
      </c>
      <c r="N42" s="28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4.4">
      <c r="A43" s="28" t="s">
        <v>882</v>
      </c>
      <c r="B43" s="28" t="s">
        <v>912</v>
      </c>
      <c r="C43" s="28" t="s">
        <v>220</v>
      </c>
      <c r="D43" s="112" t="s">
        <v>234</v>
      </c>
      <c r="E43" s="28" t="s">
        <v>54</v>
      </c>
      <c r="F43" s="110" t="s">
        <v>1284</v>
      </c>
      <c r="G43" s="28" t="s">
        <v>1285</v>
      </c>
      <c r="H43" s="104" t="s">
        <v>1086</v>
      </c>
      <c r="I43" s="28" t="s">
        <v>916</v>
      </c>
      <c r="J43" s="28" t="s">
        <v>1282</v>
      </c>
      <c r="K43" s="28" t="s">
        <v>1286</v>
      </c>
      <c r="L43" s="28" t="s">
        <v>921</v>
      </c>
      <c r="M43" s="105" t="s">
        <v>41</v>
      </c>
      <c r="N43" s="28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4.4">
      <c r="A44" s="28" t="s">
        <v>882</v>
      </c>
      <c r="B44" s="28" t="s">
        <v>912</v>
      </c>
      <c r="C44" s="28" t="s">
        <v>220</v>
      </c>
      <c r="D44" s="112" t="s">
        <v>234</v>
      </c>
      <c r="E44" s="28" t="s">
        <v>54</v>
      </c>
      <c r="F44" s="110" t="s">
        <v>1290</v>
      </c>
      <c r="G44" s="28" t="s">
        <v>1291</v>
      </c>
      <c r="H44" s="104" t="s">
        <v>1086</v>
      </c>
      <c r="I44" s="28" t="s">
        <v>916</v>
      </c>
      <c r="J44" s="28" t="s">
        <v>1282</v>
      </c>
      <c r="K44" s="28" t="s">
        <v>1292</v>
      </c>
      <c r="L44" s="28" t="s">
        <v>921</v>
      </c>
      <c r="M44" s="105" t="s">
        <v>41</v>
      </c>
      <c r="N44" s="28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4.4">
      <c r="A45" s="28" t="s">
        <v>882</v>
      </c>
      <c r="B45" s="28" t="s">
        <v>912</v>
      </c>
      <c r="C45" s="28" t="s">
        <v>220</v>
      </c>
      <c r="D45" s="112" t="s">
        <v>234</v>
      </c>
      <c r="E45" s="28" t="s">
        <v>54</v>
      </c>
      <c r="F45" s="110" t="s">
        <v>1294</v>
      </c>
      <c r="G45" s="28" t="s">
        <v>1295</v>
      </c>
      <c r="H45" s="104" t="s">
        <v>1086</v>
      </c>
      <c r="I45" s="28" t="s">
        <v>916</v>
      </c>
      <c r="J45" s="28" t="s">
        <v>1282</v>
      </c>
      <c r="K45" s="28" t="s">
        <v>1299</v>
      </c>
      <c r="L45" s="28" t="s">
        <v>921</v>
      </c>
      <c r="M45" s="105" t="s">
        <v>41</v>
      </c>
      <c r="N45" s="28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4.4">
      <c r="A46" s="28" t="s">
        <v>882</v>
      </c>
      <c r="B46" s="28" t="s">
        <v>912</v>
      </c>
      <c r="C46" s="28" t="s">
        <v>220</v>
      </c>
      <c r="D46" s="112" t="s">
        <v>234</v>
      </c>
      <c r="E46" s="28" t="s">
        <v>54</v>
      </c>
      <c r="F46" s="110" t="s">
        <v>1302</v>
      </c>
      <c r="G46" s="28" t="s">
        <v>1303</v>
      </c>
      <c r="H46" s="104" t="s">
        <v>1086</v>
      </c>
      <c r="I46" s="28" t="s">
        <v>916</v>
      </c>
      <c r="J46" s="28" t="s">
        <v>1282</v>
      </c>
      <c r="K46" s="28" t="s">
        <v>1304</v>
      </c>
      <c r="L46" s="28" t="s">
        <v>921</v>
      </c>
      <c r="M46" s="105" t="s">
        <v>41</v>
      </c>
      <c r="N46" s="28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4.4">
      <c r="A47" s="28" t="s">
        <v>882</v>
      </c>
      <c r="B47" s="28" t="s">
        <v>49</v>
      </c>
      <c r="C47" s="28" t="s">
        <v>220</v>
      </c>
      <c r="D47" s="112" t="s">
        <v>234</v>
      </c>
      <c r="E47" s="28" t="s">
        <v>54</v>
      </c>
      <c r="F47" s="110" t="s">
        <v>1311</v>
      </c>
      <c r="G47" s="28" t="s">
        <v>1313</v>
      </c>
      <c r="H47" s="104" t="s">
        <v>1086</v>
      </c>
      <c r="I47" s="28" t="s">
        <v>916</v>
      </c>
      <c r="J47" s="28" t="s">
        <v>1316</v>
      </c>
      <c r="K47" s="28" t="s">
        <v>1317</v>
      </c>
      <c r="L47" s="28" t="s">
        <v>49</v>
      </c>
      <c r="M47" s="105" t="s">
        <v>41</v>
      </c>
      <c r="N47" s="28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4.4">
      <c r="A48" s="28" t="s">
        <v>882</v>
      </c>
      <c r="B48" s="28" t="s">
        <v>49</v>
      </c>
      <c r="C48" s="28" t="s">
        <v>220</v>
      </c>
      <c r="D48" s="112" t="s">
        <v>234</v>
      </c>
      <c r="E48" s="28" t="s">
        <v>54</v>
      </c>
      <c r="F48" s="110" t="s">
        <v>1319</v>
      </c>
      <c r="G48" s="28" t="s">
        <v>1320</v>
      </c>
      <c r="H48" s="104" t="s">
        <v>1086</v>
      </c>
      <c r="I48" s="28" t="s">
        <v>916</v>
      </c>
      <c r="J48" s="28" t="s">
        <v>1322</v>
      </c>
      <c r="K48" s="28" t="s">
        <v>1323</v>
      </c>
      <c r="L48" s="28" t="s">
        <v>49</v>
      </c>
      <c r="M48" s="105" t="s">
        <v>41</v>
      </c>
      <c r="N48" s="28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4.4">
      <c r="A49" s="28" t="s">
        <v>882</v>
      </c>
      <c r="B49" s="28" t="s">
        <v>49</v>
      </c>
      <c r="C49" s="28" t="s">
        <v>220</v>
      </c>
      <c r="D49" s="112" t="s">
        <v>234</v>
      </c>
      <c r="E49" s="28" t="s">
        <v>54</v>
      </c>
      <c r="F49" s="110" t="s">
        <v>1326</v>
      </c>
      <c r="G49" s="28" t="s">
        <v>1328</v>
      </c>
      <c r="H49" s="104" t="s">
        <v>1086</v>
      </c>
      <c r="I49" s="28" t="s">
        <v>916</v>
      </c>
      <c r="J49" s="28" t="s">
        <v>1331</v>
      </c>
      <c r="K49" s="28" t="s">
        <v>1332</v>
      </c>
      <c r="L49" s="28" t="s">
        <v>49</v>
      </c>
      <c r="M49" s="105" t="s">
        <v>41</v>
      </c>
      <c r="N49" s="28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4.4">
      <c r="A50" s="28" t="s">
        <v>882</v>
      </c>
      <c r="B50" s="28" t="s">
        <v>49</v>
      </c>
      <c r="C50" s="28" t="s">
        <v>220</v>
      </c>
      <c r="D50" s="112" t="s">
        <v>234</v>
      </c>
      <c r="E50" s="28" t="s">
        <v>54</v>
      </c>
      <c r="F50" s="110" t="s">
        <v>1335</v>
      </c>
      <c r="G50" s="28" t="s">
        <v>1336</v>
      </c>
      <c r="H50" s="104" t="s">
        <v>1086</v>
      </c>
      <c r="I50" s="28" t="s">
        <v>916</v>
      </c>
      <c r="J50" s="28" t="s">
        <v>1338</v>
      </c>
      <c r="K50" s="28" t="s">
        <v>1341</v>
      </c>
      <c r="L50" s="28" t="s">
        <v>49</v>
      </c>
      <c r="M50" s="105" t="s">
        <v>41</v>
      </c>
      <c r="N50" s="28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4.4">
      <c r="A51" s="28" t="s">
        <v>882</v>
      </c>
      <c r="B51" s="28" t="s">
        <v>49</v>
      </c>
      <c r="C51" s="28" t="s">
        <v>220</v>
      </c>
      <c r="D51" s="112" t="s">
        <v>234</v>
      </c>
      <c r="E51" s="28" t="s">
        <v>54</v>
      </c>
      <c r="F51" s="110" t="s">
        <v>1346</v>
      </c>
      <c r="G51" s="28" t="s">
        <v>1347</v>
      </c>
      <c r="H51" s="104" t="s">
        <v>1086</v>
      </c>
      <c r="I51" s="28" t="s">
        <v>916</v>
      </c>
      <c r="J51" s="28" t="s">
        <v>1348</v>
      </c>
      <c r="K51" s="28" t="s">
        <v>1351</v>
      </c>
      <c r="L51" s="28" t="s">
        <v>49</v>
      </c>
      <c r="M51" s="105" t="s">
        <v>41</v>
      </c>
      <c r="N51" s="28" t="s">
        <v>1353</v>
      </c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4.4">
      <c r="A52" s="28" t="s">
        <v>882</v>
      </c>
      <c r="B52" s="28" t="s">
        <v>49</v>
      </c>
      <c r="C52" s="28" t="s">
        <v>220</v>
      </c>
      <c r="D52" s="112" t="s">
        <v>234</v>
      </c>
      <c r="E52" s="28" t="s">
        <v>54</v>
      </c>
      <c r="F52" s="110" t="s">
        <v>1356</v>
      </c>
      <c r="G52" s="28" t="s">
        <v>1357</v>
      </c>
      <c r="H52" s="104" t="s">
        <v>1086</v>
      </c>
      <c r="I52" s="28" t="s">
        <v>916</v>
      </c>
      <c r="J52" s="28" t="s">
        <v>1358</v>
      </c>
      <c r="K52" s="28" t="s">
        <v>1359</v>
      </c>
      <c r="L52" s="28" t="s">
        <v>49</v>
      </c>
      <c r="M52" s="105" t="s">
        <v>41</v>
      </c>
      <c r="N52" s="28" t="s">
        <v>1360</v>
      </c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4.4">
      <c r="A53" s="28" t="s">
        <v>882</v>
      </c>
      <c r="B53" s="28" t="s">
        <v>49</v>
      </c>
      <c r="C53" s="28" t="s">
        <v>220</v>
      </c>
      <c r="D53" s="112" t="s">
        <v>234</v>
      </c>
      <c r="E53" s="28" t="s">
        <v>54</v>
      </c>
      <c r="F53" s="110" t="s">
        <v>1365</v>
      </c>
      <c r="G53" s="28" t="s">
        <v>1366</v>
      </c>
      <c r="H53" s="104" t="s">
        <v>1086</v>
      </c>
      <c r="I53" s="28" t="s">
        <v>916</v>
      </c>
      <c r="J53" s="28" t="s">
        <v>1358</v>
      </c>
      <c r="K53" s="28" t="s">
        <v>1359</v>
      </c>
      <c r="L53" s="28" t="s">
        <v>49</v>
      </c>
      <c r="M53" s="105" t="s">
        <v>41</v>
      </c>
      <c r="N53" s="28" t="s">
        <v>1360</v>
      </c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4.4">
      <c r="A54" s="114" t="s">
        <v>882</v>
      </c>
      <c r="B54" s="28" t="s">
        <v>883</v>
      </c>
      <c r="C54" s="28" t="s">
        <v>296</v>
      </c>
      <c r="D54" s="43" t="s">
        <v>954</v>
      </c>
      <c r="E54" s="28" t="s">
        <v>54</v>
      </c>
      <c r="F54" s="97" t="s">
        <v>1376</v>
      </c>
      <c r="G54" s="28"/>
      <c r="H54" s="115" t="s">
        <v>1378</v>
      </c>
      <c r="I54" s="108" t="s">
        <v>933</v>
      </c>
      <c r="J54" s="108" t="s">
        <v>987</v>
      </c>
      <c r="K54" s="28" t="s">
        <v>1378</v>
      </c>
      <c r="L54" s="28" t="s">
        <v>1379</v>
      </c>
      <c r="M54" s="105" t="s">
        <v>41</v>
      </c>
      <c r="N54" s="11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4.4">
      <c r="A55" s="28" t="s">
        <v>882</v>
      </c>
      <c r="B55" s="28" t="s">
        <v>1006</v>
      </c>
      <c r="C55" s="28" t="s">
        <v>85</v>
      </c>
      <c r="D55" s="28" t="s">
        <v>86</v>
      </c>
      <c r="E55" s="28" t="s">
        <v>54</v>
      </c>
      <c r="F55" s="110" t="s">
        <v>1386</v>
      </c>
      <c r="G55" s="28" t="s">
        <v>1388</v>
      </c>
      <c r="H55" s="104" t="s">
        <v>1028</v>
      </c>
      <c r="I55" s="28" t="s">
        <v>933</v>
      </c>
      <c r="J55" s="28" t="s">
        <v>1390</v>
      </c>
      <c r="K55" s="28" t="s">
        <v>1031</v>
      </c>
      <c r="L55" s="28" t="s">
        <v>900</v>
      </c>
      <c r="M55" s="105" t="s">
        <v>41</v>
      </c>
      <c r="N55" s="28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4.4">
      <c r="A56" s="28" t="s">
        <v>882</v>
      </c>
      <c r="B56" s="28" t="s">
        <v>1006</v>
      </c>
      <c r="C56" s="28" t="s">
        <v>85</v>
      </c>
      <c r="D56" s="28" t="s">
        <v>86</v>
      </c>
      <c r="E56" s="28" t="s">
        <v>54</v>
      </c>
      <c r="F56" s="110" t="s">
        <v>1397</v>
      </c>
      <c r="G56" s="28" t="s">
        <v>1398</v>
      </c>
      <c r="H56" s="104" t="s">
        <v>1028</v>
      </c>
      <c r="I56" s="28" t="s">
        <v>933</v>
      </c>
      <c r="J56" s="28" t="s">
        <v>1390</v>
      </c>
      <c r="K56" s="28" t="s">
        <v>1037</v>
      </c>
      <c r="L56" s="28" t="s">
        <v>900</v>
      </c>
      <c r="M56" s="105" t="s">
        <v>41</v>
      </c>
      <c r="N56" s="28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4.4">
      <c r="A57" s="28" t="s">
        <v>882</v>
      </c>
      <c r="B57" s="28" t="s">
        <v>1006</v>
      </c>
      <c r="C57" s="28" t="s">
        <v>85</v>
      </c>
      <c r="D57" s="28" t="s">
        <v>86</v>
      </c>
      <c r="E57" s="28" t="s">
        <v>54</v>
      </c>
      <c r="F57" s="110" t="s">
        <v>1404</v>
      </c>
      <c r="G57" s="28" t="s">
        <v>1405</v>
      </c>
      <c r="H57" s="104" t="s">
        <v>1028</v>
      </c>
      <c r="I57" s="28" t="s">
        <v>933</v>
      </c>
      <c r="J57" s="28" t="s">
        <v>1390</v>
      </c>
      <c r="K57" s="28" t="s">
        <v>1408</v>
      </c>
      <c r="L57" s="28" t="s">
        <v>900</v>
      </c>
      <c r="M57" s="105" t="s">
        <v>41</v>
      </c>
      <c r="N57" s="28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4.4">
      <c r="A58" s="28" t="s">
        <v>882</v>
      </c>
      <c r="B58" s="28" t="s">
        <v>1006</v>
      </c>
      <c r="C58" s="28" t="s">
        <v>85</v>
      </c>
      <c r="D58" s="28" t="s">
        <v>86</v>
      </c>
      <c r="E58" s="28" t="s">
        <v>54</v>
      </c>
      <c r="F58" s="110" t="s">
        <v>1412</v>
      </c>
      <c r="G58" s="28" t="s">
        <v>1413</v>
      </c>
      <c r="H58" s="104" t="s">
        <v>1028</v>
      </c>
      <c r="I58" s="28" t="s">
        <v>933</v>
      </c>
      <c r="J58" s="28" t="s">
        <v>1390</v>
      </c>
      <c r="K58" s="28" t="s">
        <v>1414</v>
      </c>
      <c r="L58" s="28" t="s">
        <v>900</v>
      </c>
      <c r="M58" s="105" t="s">
        <v>41</v>
      </c>
      <c r="N58" s="28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4.4">
      <c r="A59" s="28" t="s">
        <v>882</v>
      </c>
      <c r="B59" s="28" t="s">
        <v>1006</v>
      </c>
      <c r="C59" s="28" t="s">
        <v>85</v>
      </c>
      <c r="D59" s="28" t="s">
        <v>86</v>
      </c>
      <c r="E59" s="28" t="s">
        <v>54</v>
      </c>
      <c r="F59" s="110" t="s">
        <v>1422</v>
      </c>
      <c r="G59" s="28" t="s">
        <v>1423</v>
      </c>
      <c r="H59" s="104" t="s">
        <v>1028</v>
      </c>
      <c r="I59" s="28" t="s">
        <v>933</v>
      </c>
      <c r="J59" s="28" t="s">
        <v>1390</v>
      </c>
      <c r="K59" s="28" t="s">
        <v>1424</v>
      </c>
      <c r="L59" s="28" t="s">
        <v>900</v>
      </c>
      <c r="M59" s="105" t="s">
        <v>41</v>
      </c>
      <c r="N59" s="28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4.4">
      <c r="A60" s="28" t="s">
        <v>882</v>
      </c>
      <c r="B60" s="28" t="s">
        <v>1006</v>
      </c>
      <c r="C60" s="28" t="s">
        <v>85</v>
      </c>
      <c r="D60" s="28" t="s">
        <v>86</v>
      </c>
      <c r="E60" s="28" t="s">
        <v>54</v>
      </c>
      <c r="F60" s="110" t="s">
        <v>1431</v>
      </c>
      <c r="G60" s="28" t="s">
        <v>1432</v>
      </c>
      <c r="H60" s="104" t="s">
        <v>1028</v>
      </c>
      <c r="I60" s="28" t="s">
        <v>933</v>
      </c>
      <c r="J60" s="28" t="s">
        <v>1390</v>
      </c>
      <c r="K60" s="28" t="s">
        <v>1433</v>
      </c>
      <c r="L60" s="28" t="s">
        <v>900</v>
      </c>
      <c r="M60" s="105" t="s">
        <v>41</v>
      </c>
      <c r="N60" s="28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4.4">
      <c r="A61" s="28" t="s">
        <v>882</v>
      </c>
      <c r="B61" s="28" t="s">
        <v>1006</v>
      </c>
      <c r="C61" s="28" t="s">
        <v>85</v>
      </c>
      <c r="D61" s="28" t="s">
        <v>86</v>
      </c>
      <c r="E61" s="28" t="s">
        <v>54</v>
      </c>
      <c r="F61" s="110" t="s">
        <v>1439</v>
      </c>
      <c r="G61" s="28" t="s">
        <v>1441</v>
      </c>
      <c r="H61" s="104" t="s">
        <v>1028</v>
      </c>
      <c r="I61" s="28" t="s">
        <v>933</v>
      </c>
      <c r="J61" s="28" t="s">
        <v>1390</v>
      </c>
      <c r="K61" s="28" t="s">
        <v>1443</v>
      </c>
      <c r="L61" s="28" t="s">
        <v>900</v>
      </c>
      <c r="M61" s="105" t="s">
        <v>41</v>
      </c>
      <c r="N61" s="28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4.4">
      <c r="A62" s="28" t="s">
        <v>882</v>
      </c>
      <c r="B62" s="28" t="s">
        <v>1006</v>
      </c>
      <c r="C62" s="28" t="s">
        <v>85</v>
      </c>
      <c r="D62" s="28" t="s">
        <v>86</v>
      </c>
      <c r="E62" s="28" t="s">
        <v>54</v>
      </c>
      <c r="F62" s="110" t="s">
        <v>1449</v>
      </c>
      <c r="G62" s="28" t="s">
        <v>1450</v>
      </c>
      <c r="H62" s="104" t="s">
        <v>1028</v>
      </c>
      <c r="I62" s="28" t="s">
        <v>933</v>
      </c>
      <c r="J62" s="28" t="s">
        <v>1390</v>
      </c>
      <c r="K62" s="28" t="s">
        <v>1451</v>
      </c>
      <c r="L62" s="28" t="s">
        <v>900</v>
      </c>
      <c r="M62" s="105" t="s">
        <v>41</v>
      </c>
      <c r="N62" s="28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4.4">
      <c r="A63" s="28" t="s">
        <v>882</v>
      </c>
      <c r="B63" s="28" t="s">
        <v>1006</v>
      </c>
      <c r="C63" s="28" t="s">
        <v>85</v>
      </c>
      <c r="D63" s="28" t="s">
        <v>86</v>
      </c>
      <c r="E63" s="28" t="s">
        <v>54</v>
      </c>
      <c r="F63" s="110" t="s">
        <v>1454</v>
      </c>
      <c r="G63" s="28" t="s">
        <v>1455</v>
      </c>
      <c r="H63" s="104" t="s">
        <v>1028</v>
      </c>
      <c r="I63" s="28" t="s">
        <v>933</v>
      </c>
      <c r="J63" s="28" t="s">
        <v>1390</v>
      </c>
      <c r="K63" s="28" t="s">
        <v>1456</v>
      </c>
      <c r="L63" s="28" t="s">
        <v>900</v>
      </c>
      <c r="M63" s="105" t="s">
        <v>41</v>
      </c>
      <c r="N63" s="28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4.4">
      <c r="A64" s="28" t="s">
        <v>882</v>
      </c>
      <c r="B64" s="28" t="s">
        <v>1006</v>
      </c>
      <c r="C64" s="28" t="s">
        <v>85</v>
      </c>
      <c r="D64" s="28" t="s">
        <v>86</v>
      </c>
      <c r="E64" s="28" t="s">
        <v>54</v>
      </c>
      <c r="F64" s="110" t="s">
        <v>1460</v>
      </c>
      <c r="G64" s="28" t="s">
        <v>1461</v>
      </c>
      <c r="H64" s="104" t="s">
        <v>1028</v>
      </c>
      <c r="I64" s="28" t="s">
        <v>933</v>
      </c>
      <c r="J64" s="28" t="s">
        <v>1390</v>
      </c>
      <c r="K64" s="28" t="s">
        <v>1184</v>
      </c>
      <c r="L64" s="28" t="s">
        <v>900</v>
      </c>
      <c r="M64" s="105" t="s">
        <v>41</v>
      </c>
      <c r="N64" s="28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4.4">
      <c r="A65" s="28" t="s">
        <v>882</v>
      </c>
      <c r="B65" s="28" t="s">
        <v>1006</v>
      </c>
      <c r="C65" s="28" t="s">
        <v>85</v>
      </c>
      <c r="D65" s="28" t="s">
        <v>86</v>
      </c>
      <c r="E65" s="28" t="s">
        <v>54</v>
      </c>
      <c r="F65" s="110" t="s">
        <v>1469</v>
      </c>
      <c r="G65" s="28" t="s">
        <v>1470</v>
      </c>
      <c r="H65" s="104" t="s">
        <v>1028</v>
      </c>
      <c r="I65" s="28" t="s">
        <v>933</v>
      </c>
      <c r="J65" s="28" t="s">
        <v>1390</v>
      </c>
      <c r="K65" s="28" t="s">
        <v>1471</v>
      </c>
      <c r="L65" s="28" t="s">
        <v>900</v>
      </c>
      <c r="M65" s="105" t="s">
        <v>41</v>
      </c>
      <c r="N65" s="28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4.4">
      <c r="A66" s="28" t="s">
        <v>882</v>
      </c>
      <c r="B66" s="28" t="s">
        <v>1006</v>
      </c>
      <c r="C66" s="28" t="s">
        <v>85</v>
      </c>
      <c r="D66" s="28" t="s">
        <v>86</v>
      </c>
      <c r="E66" s="28" t="s">
        <v>54</v>
      </c>
      <c r="F66" s="110" t="s">
        <v>1475</v>
      </c>
      <c r="G66" s="28" t="s">
        <v>1476</v>
      </c>
      <c r="H66" s="104" t="s">
        <v>1028</v>
      </c>
      <c r="I66" s="28" t="s">
        <v>933</v>
      </c>
      <c r="J66" s="28" t="s">
        <v>1390</v>
      </c>
      <c r="K66" s="28" t="s">
        <v>1184</v>
      </c>
      <c r="L66" s="28" t="s">
        <v>900</v>
      </c>
      <c r="M66" s="105" t="s">
        <v>41</v>
      </c>
      <c r="N66" s="28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4.4">
      <c r="A67" s="28" t="s">
        <v>882</v>
      </c>
      <c r="B67" s="28" t="s">
        <v>1006</v>
      </c>
      <c r="C67" s="28" t="s">
        <v>85</v>
      </c>
      <c r="D67" s="28" t="s">
        <v>86</v>
      </c>
      <c r="E67" s="28" t="s">
        <v>54</v>
      </c>
      <c r="F67" s="110" t="s">
        <v>1480</v>
      </c>
      <c r="G67" s="28" t="s">
        <v>1481</v>
      </c>
      <c r="H67" s="104" t="s">
        <v>1028</v>
      </c>
      <c r="I67" s="28" t="s">
        <v>933</v>
      </c>
      <c r="J67" s="28" t="s">
        <v>1390</v>
      </c>
      <c r="K67" s="28" t="s">
        <v>1184</v>
      </c>
      <c r="L67" s="28" t="s">
        <v>900</v>
      </c>
      <c r="M67" s="105" t="s">
        <v>41</v>
      </c>
      <c r="N67" s="28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4.4">
      <c r="A68" s="28" t="s">
        <v>882</v>
      </c>
      <c r="B68" s="28" t="s">
        <v>1006</v>
      </c>
      <c r="C68" s="28" t="s">
        <v>85</v>
      </c>
      <c r="D68" s="28" t="s">
        <v>86</v>
      </c>
      <c r="E68" s="28" t="s">
        <v>54</v>
      </c>
      <c r="F68" s="110" t="s">
        <v>1487</v>
      </c>
      <c r="G68" s="28" t="s">
        <v>1488</v>
      </c>
      <c r="H68" s="104" t="s">
        <v>1028</v>
      </c>
      <c r="I68" s="28" t="s">
        <v>933</v>
      </c>
      <c r="J68" s="28" t="s">
        <v>1390</v>
      </c>
      <c r="K68" s="28" t="s">
        <v>1489</v>
      </c>
      <c r="L68" s="28" t="s">
        <v>900</v>
      </c>
      <c r="M68" s="105" t="s">
        <v>41</v>
      </c>
      <c r="N68" s="28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4.4">
      <c r="A69" s="28" t="s">
        <v>882</v>
      </c>
      <c r="B69" s="28" t="s">
        <v>883</v>
      </c>
      <c r="C69" s="28" t="s">
        <v>85</v>
      </c>
      <c r="D69" s="28" t="s">
        <v>86</v>
      </c>
      <c r="E69" s="28" t="s">
        <v>54</v>
      </c>
      <c r="F69" s="110" t="s">
        <v>1492</v>
      </c>
      <c r="G69" s="28" t="s">
        <v>1493</v>
      </c>
      <c r="H69" s="104" t="s">
        <v>1028</v>
      </c>
      <c r="I69" s="28" t="s">
        <v>933</v>
      </c>
      <c r="J69" s="28" t="s">
        <v>1494</v>
      </c>
      <c r="K69" s="28" t="s">
        <v>1496</v>
      </c>
      <c r="L69" s="28" t="s">
        <v>949</v>
      </c>
      <c r="M69" s="105" t="s">
        <v>41</v>
      </c>
      <c r="N69" s="28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4.4">
      <c r="A70" s="28" t="s">
        <v>882</v>
      </c>
      <c r="B70" s="28" t="s">
        <v>883</v>
      </c>
      <c r="C70" s="28" t="s">
        <v>85</v>
      </c>
      <c r="D70" s="28" t="s">
        <v>86</v>
      </c>
      <c r="E70" s="28" t="s">
        <v>54</v>
      </c>
      <c r="F70" s="110" t="s">
        <v>1498</v>
      </c>
      <c r="G70" s="28" t="s">
        <v>1499</v>
      </c>
      <c r="H70" s="104" t="s">
        <v>1028</v>
      </c>
      <c r="I70" s="28" t="s">
        <v>933</v>
      </c>
      <c r="J70" s="28" t="s">
        <v>1494</v>
      </c>
      <c r="K70" s="28" t="s">
        <v>1496</v>
      </c>
      <c r="L70" s="28" t="s">
        <v>949</v>
      </c>
      <c r="M70" s="105" t="s">
        <v>41</v>
      </c>
      <c r="N70" s="28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4.4">
      <c r="A71" s="28" t="s">
        <v>882</v>
      </c>
      <c r="B71" s="28" t="s">
        <v>883</v>
      </c>
      <c r="C71" s="28" t="s">
        <v>85</v>
      </c>
      <c r="D71" s="28" t="s">
        <v>86</v>
      </c>
      <c r="E71" s="28" t="s">
        <v>54</v>
      </c>
      <c r="F71" s="110" t="s">
        <v>1502</v>
      </c>
      <c r="G71" s="28" t="s">
        <v>1503</v>
      </c>
      <c r="H71" s="104" t="s">
        <v>1028</v>
      </c>
      <c r="I71" s="28" t="s">
        <v>933</v>
      </c>
      <c r="J71" s="28" t="s">
        <v>1494</v>
      </c>
      <c r="K71" s="28" t="s">
        <v>1505</v>
      </c>
      <c r="L71" s="28" t="s">
        <v>949</v>
      </c>
      <c r="M71" s="105" t="s">
        <v>41</v>
      </c>
      <c r="N71" s="28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4.4">
      <c r="A72" s="28" t="s">
        <v>882</v>
      </c>
      <c r="B72" s="28" t="s">
        <v>883</v>
      </c>
      <c r="C72" s="28" t="s">
        <v>85</v>
      </c>
      <c r="D72" s="28" t="s">
        <v>86</v>
      </c>
      <c r="E72" s="28" t="s">
        <v>54</v>
      </c>
      <c r="F72" s="110" t="s">
        <v>1509</v>
      </c>
      <c r="G72" s="28" t="s">
        <v>1511</v>
      </c>
      <c r="H72" s="104" t="s">
        <v>1028</v>
      </c>
      <c r="I72" s="28" t="s">
        <v>933</v>
      </c>
      <c r="J72" s="28" t="s">
        <v>1494</v>
      </c>
      <c r="K72" s="28" t="s">
        <v>1226</v>
      </c>
      <c r="L72" s="28" t="s">
        <v>949</v>
      </c>
      <c r="M72" s="105" t="s">
        <v>41</v>
      </c>
      <c r="N72" s="28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4.4">
      <c r="A73" s="28" t="s">
        <v>882</v>
      </c>
      <c r="B73" s="28" t="s">
        <v>883</v>
      </c>
      <c r="C73" s="28" t="s">
        <v>85</v>
      </c>
      <c r="D73" s="28" t="s">
        <v>86</v>
      </c>
      <c r="E73" s="28" t="s">
        <v>54</v>
      </c>
      <c r="F73" s="110" t="s">
        <v>1516</v>
      </c>
      <c r="G73" s="28" t="s">
        <v>1517</v>
      </c>
      <c r="H73" s="104" t="s">
        <v>1028</v>
      </c>
      <c r="I73" s="28" t="s">
        <v>933</v>
      </c>
      <c r="J73" s="28" t="s">
        <v>1494</v>
      </c>
      <c r="K73" s="28" t="s">
        <v>1518</v>
      </c>
      <c r="L73" s="28" t="s">
        <v>949</v>
      </c>
      <c r="M73" s="105" t="s">
        <v>41</v>
      </c>
      <c r="N73" s="28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4.4">
      <c r="A74" s="28" t="s">
        <v>882</v>
      </c>
      <c r="B74" s="28" t="s">
        <v>883</v>
      </c>
      <c r="C74" s="28" t="s">
        <v>85</v>
      </c>
      <c r="D74" s="28" t="s">
        <v>86</v>
      </c>
      <c r="E74" s="28" t="s">
        <v>54</v>
      </c>
      <c r="F74" s="110" t="s">
        <v>1522</v>
      </c>
      <c r="G74" s="28" t="s">
        <v>1523</v>
      </c>
      <c r="H74" s="104" t="s">
        <v>1028</v>
      </c>
      <c r="I74" s="28" t="s">
        <v>933</v>
      </c>
      <c r="J74" s="28" t="s">
        <v>1494</v>
      </c>
      <c r="K74" s="28" t="s">
        <v>1525</v>
      </c>
      <c r="L74" s="28" t="s">
        <v>949</v>
      </c>
      <c r="M74" s="105" t="s">
        <v>41</v>
      </c>
      <c r="N74" s="28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4.4">
      <c r="A75" s="28" t="s">
        <v>882</v>
      </c>
      <c r="B75" s="28" t="s">
        <v>883</v>
      </c>
      <c r="C75" s="28" t="s">
        <v>85</v>
      </c>
      <c r="D75" s="28" t="s">
        <v>86</v>
      </c>
      <c r="E75" s="28" t="s">
        <v>54</v>
      </c>
      <c r="F75" s="110" t="s">
        <v>1533</v>
      </c>
      <c r="G75" s="28" t="s">
        <v>1535</v>
      </c>
      <c r="H75" s="104" t="s">
        <v>1028</v>
      </c>
      <c r="I75" s="28" t="s">
        <v>933</v>
      </c>
      <c r="J75" s="28" t="s">
        <v>1494</v>
      </c>
      <c r="K75" s="28" t="s">
        <v>1538</v>
      </c>
      <c r="L75" s="28" t="s">
        <v>949</v>
      </c>
      <c r="M75" s="105" t="s">
        <v>41</v>
      </c>
      <c r="N75" s="28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4.4">
      <c r="A76" s="28" t="s">
        <v>882</v>
      </c>
      <c r="B76" s="28" t="s">
        <v>883</v>
      </c>
      <c r="C76" s="28" t="s">
        <v>85</v>
      </c>
      <c r="D76" s="28" t="s">
        <v>86</v>
      </c>
      <c r="E76" s="28" t="s">
        <v>54</v>
      </c>
      <c r="F76" s="110" t="s">
        <v>1540</v>
      </c>
      <c r="G76" s="28" t="s">
        <v>1541</v>
      </c>
      <c r="H76" s="104" t="s">
        <v>1028</v>
      </c>
      <c r="I76" s="28" t="s">
        <v>933</v>
      </c>
      <c r="J76" s="28" t="s">
        <v>1494</v>
      </c>
      <c r="K76" s="28" t="s">
        <v>1542</v>
      </c>
      <c r="L76" s="28" t="s">
        <v>949</v>
      </c>
      <c r="M76" s="105" t="s">
        <v>41</v>
      </c>
      <c r="N76" s="28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4.4">
      <c r="A77" s="28" t="s">
        <v>882</v>
      </c>
      <c r="B77" s="28" t="s">
        <v>883</v>
      </c>
      <c r="C77" s="28" t="s">
        <v>85</v>
      </c>
      <c r="D77" s="28" t="s">
        <v>86</v>
      </c>
      <c r="E77" s="28" t="s">
        <v>54</v>
      </c>
      <c r="F77" s="110" t="s">
        <v>1548</v>
      </c>
      <c r="G77" s="28" t="s">
        <v>1549</v>
      </c>
      <c r="H77" s="104" t="s">
        <v>1028</v>
      </c>
      <c r="I77" s="28" t="s">
        <v>933</v>
      </c>
      <c r="J77" s="28" t="s">
        <v>1494</v>
      </c>
      <c r="K77" s="28" t="s">
        <v>1550</v>
      </c>
      <c r="L77" s="28" t="s">
        <v>949</v>
      </c>
      <c r="M77" s="105" t="s">
        <v>41</v>
      </c>
      <c r="N77" s="28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4.4">
      <c r="A78" s="28" t="s">
        <v>882</v>
      </c>
      <c r="B78" s="28" t="s">
        <v>883</v>
      </c>
      <c r="C78" s="28" t="s">
        <v>85</v>
      </c>
      <c r="D78" s="28" t="s">
        <v>86</v>
      </c>
      <c r="E78" s="28" t="s">
        <v>54</v>
      </c>
      <c r="F78" s="110" t="s">
        <v>1554</v>
      </c>
      <c r="G78" s="28" t="s">
        <v>1556</v>
      </c>
      <c r="H78" s="104" t="s">
        <v>1028</v>
      </c>
      <c r="I78" s="28" t="s">
        <v>933</v>
      </c>
      <c r="J78" s="28" t="s">
        <v>1494</v>
      </c>
      <c r="K78" s="28" t="s">
        <v>1557</v>
      </c>
      <c r="L78" s="28" t="s">
        <v>949</v>
      </c>
      <c r="M78" s="105" t="s">
        <v>41</v>
      </c>
      <c r="N78" s="28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4.4">
      <c r="A79" s="28" t="s">
        <v>882</v>
      </c>
      <c r="B79" s="28" t="s">
        <v>883</v>
      </c>
      <c r="C79" s="28" t="s">
        <v>85</v>
      </c>
      <c r="D79" s="28" t="s">
        <v>86</v>
      </c>
      <c r="E79" s="28" t="s">
        <v>54</v>
      </c>
      <c r="F79" s="110" t="s">
        <v>1562</v>
      </c>
      <c r="G79" s="28" t="s">
        <v>1564</v>
      </c>
      <c r="H79" s="104" t="s">
        <v>1028</v>
      </c>
      <c r="I79" s="28" t="s">
        <v>933</v>
      </c>
      <c r="J79" s="28" t="s">
        <v>1494</v>
      </c>
      <c r="K79" s="28" t="s">
        <v>1566</v>
      </c>
      <c r="L79" s="28" t="s">
        <v>949</v>
      </c>
      <c r="M79" s="105" t="s">
        <v>41</v>
      </c>
      <c r="N79" s="28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4.4">
      <c r="A80" s="28" t="s">
        <v>882</v>
      </c>
      <c r="B80" s="28" t="s">
        <v>883</v>
      </c>
      <c r="C80" s="28" t="s">
        <v>85</v>
      </c>
      <c r="D80" s="28" t="s">
        <v>86</v>
      </c>
      <c r="E80" s="28" t="s">
        <v>54</v>
      </c>
      <c r="F80" s="110" t="s">
        <v>1567</v>
      </c>
      <c r="G80" s="28" t="s">
        <v>1568</v>
      </c>
      <c r="H80" s="104" t="s">
        <v>1028</v>
      </c>
      <c r="I80" s="28" t="s">
        <v>933</v>
      </c>
      <c r="J80" s="28" t="s">
        <v>1494</v>
      </c>
      <c r="K80" s="28" t="s">
        <v>1569</v>
      </c>
      <c r="L80" s="28" t="s">
        <v>949</v>
      </c>
      <c r="M80" s="105" t="s">
        <v>41</v>
      </c>
      <c r="N80" s="28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4.4">
      <c r="A81" s="28" t="s">
        <v>882</v>
      </c>
      <c r="B81" s="28" t="s">
        <v>883</v>
      </c>
      <c r="C81" s="28" t="s">
        <v>85</v>
      </c>
      <c r="D81" s="28" t="s">
        <v>86</v>
      </c>
      <c r="E81" s="28" t="s">
        <v>54</v>
      </c>
      <c r="F81" s="110" t="s">
        <v>1572</v>
      </c>
      <c r="G81" s="28" t="s">
        <v>1573</v>
      </c>
      <c r="H81" s="104" t="s">
        <v>1028</v>
      </c>
      <c r="I81" s="28" t="s">
        <v>933</v>
      </c>
      <c r="J81" s="28" t="s">
        <v>1494</v>
      </c>
      <c r="K81" s="28" t="s">
        <v>1052</v>
      </c>
      <c r="L81" s="28" t="s">
        <v>949</v>
      </c>
      <c r="M81" s="105" t="s">
        <v>41</v>
      </c>
      <c r="N81" s="28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4.4">
      <c r="A82" s="28" t="s">
        <v>882</v>
      </c>
      <c r="B82" s="28" t="s">
        <v>883</v>
      </c>
      <c r="C82" s="28" t="s">
        <v>85</v>
      </c>
      <c r="D82" s="28" t="s">
        <v>86</v>
      </c>
      <c r="E82" s="28" t="s">
        <v>54</v>
      </c>
      <c r="F82" s="110" t="s">
        <v>1577</v>
      </c>
      <c r="G82" s="28" t="s">
        <v>1578</v>
      </c>
      <c r="H82" s="104" t="s">
        <v>1028</v>
      </c>
      <c r="I82" s="28" t="s">
        <v>933</v>
      </c>
      <c r="J82" s="28" t="s">
        <v>1494</v>
      </c>
      <c r="K82" s="28" t="s">
        <v>1580</v>
      </c>
      <c r="L82" s="28" t="s">
        <v>949</v>
      </c>
      <c r="M82" s="105" t="s">
        <v>41</v>
      </c>
      <c r="N82" s="28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4.4">
      <c r="A83" s="28" t="s">
        <v>882</v>
      </c>
      <c r="B83" s="28" t="s">
        <v>912</v>
      </c>
      <c r="C83" s="28" t="s">
        <v>85</v>
      </c>
      <c r="D83" s="28" t="s">
        <v>86</v>
      </c>
      <c r="E83" s="28" t="s">
        <v>54</v>
      </c>
      <c r="F83" s="110" t="s">
        <v>1582</v>
      </c>
      <c r="G83" s="28" t="s">
        <v>1583</v>
      </c>
      <c r="H83" s="104" t="s">
        <v>1086</v>
      </c>
      <c r="I83" s="28" t="s">
        <v>916</v>
      </c>
      <c r="J83" s="28" t="s">
        <v>1584</v>
      </c>
      <c r="K83" s="28" t="s">
        <v>986</v>
      </c>
      <c r="L83" s="28" t="s">
        <v>921</v>
      </c>
      <c r="M83" s="105" t="s">
        <v>41</v>
      </c>
      <c r="N83" s="28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4.4">
      <c r="A84" s="28" t="s">
        <v>882</v>
      </c>
      <c r="B84" s="28" t="s">
        <v>912</v>
      </c>
      <c r="C84" s="28" t="s">
        <v>85</v>
      </c>
      <c r="D84" s="28" t="s">
        <v>86</v>
      </c>
      <c r="E84" s="28" t="s">
        <v>54</v>
      </c>
      <c r="F84" s="110" t="s">
        <v>1586</v>
      </c>
      <c r="G84" s="28" t="s">
        <v>1587</v>
      </c>
      <c r="H84" s="104" t="s">
        <v>1086</v>
      </c>
      <c r="I84" s="28" t="s">
        <v>916</v>
      </c>
      <c r="J84" s="28" t="s">
        <v>1584</v>
      </c>
      <c r="K84" s="28" t="s">
        <v>1590</v>
      </c>
      <c r="L84" s="28" t="s">
        <v>921</v>
      </c>
      <c r="M84" s="105" t="s">
        <v>41</v>
      </c>
      <c r="N84" s="28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4.4">
      <c r="A85" s="28" t="s">
        <v>882</v>
      </c>
      <c r="B85" s="28" t="s">
        <v>912</v>
      </c>
      <c r="C85" s="28" t="s">
        <v>85</v>
      </c>
      <c r="D85" s="28" t="s">
        <v>86</v>
      </c>
      <c r="E85" s="28" t="s">
        <v>54</v>
      </c>
      <c r="F85" s="110" t="s">
        <v>1593</v>
      </c>
      <c r="G85" s="28" t="s">
        <v>1594</v>
      </c>
      <c r="H85" s="104" t="s">
        <v>1086</v>
      </c>
      <c r="I85" s="28" t="s">
        <v>916</v>
      </c>
      <c r="J85" s="28" t="s">
        <v>1584</v>
      </c>
      <c r="K85" s="28" t="s">
        <v>1596</v>
      </c>
      <c r="L85" s="28" t="s">
        <v>921</v>
      </c>
      <c r="M85" s="105" t="s">
        <v>41</v>
      </c>
      <c r="N85" s="28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4.4">
      <c r="A86" s="28" t="s">
        <v>882</v>
      </c>
      <c r="B86" s="28" t="s">
        <v>912</v>
      </c>
      <c r="C86" s="28" t="s">
        <v>85</v>
      </c>
      <c r="D86" s="28" t="s">
        <v>86</v>
      </c>
      <c r="E86" s="28" t="s">
        <v>54</v>
      </c>
      <c r="F86" s="110" t="s">
        <v>1600</v>
      </c>
      <c r="G86" s="28" t="s">
        <v>1602</v>
      </c>
      <c r="H86" s="104" t="s">
        <v>1086</v>
      </c>
      <c r="I86" s="28" t="s">
        <v>916</v>
      </c>
      <c r="J86" s="28" t="s">
        <v>1584</v>
      </c>
      <c r="K86" s="28" t="s">
        <v>1604</v>
      </c>
      <c r="L86" s="28" t="s">
        <v>921</v>
      </c>
      <c r="M86" s="105" t="s">
        <v>41</v>
      </c>
      <c r="N86" s="28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4.4">
      <c r="A87" s="28" t="s">
        <v>882</v>
      </c>
      <c r="B87" s="28" t="s">
        <v>912</v>
      </c>
      <c r="C87" s="28" t="s">
        <v>85</v>
      </c>
      <c r="D87" s="28" t="s">
        <v>86</v>
      </c>
      <c r="E87" s="28" t="s">
        <v>54</v>
      </c>
      <c r="F87" s="110" t="s">
        <v>1609</v>
      </c>
      <c r="G87" s="28" t="s">
        <v>1611</v>
      </c>
      <c r="H87" s="104" t="s">
        <v>1086</v>
      </c>
      <c r="I87" s="28" t="s">
        <v>916</v>
      </c>
      <c r="J87" s="28" t="s">
        <v>1584</v>
      </c>
      <c r="K87" s="28" t="s">
        <v>1612</v>
      </c>
      <c r="L87" s="28" t="s">
        <v>921</v>
      </c>
      <c r="M87" s="105" t="s">
        <v>41</v>
      </c>
      <c r="N87" s="28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4.4">
      <c r="A88" s="28" t="s">
        <v>882</v>
      </c>
      <c r="B88" s="28" t="s">
        <v>912</v>
      </c>
      <c r="C88" s="28" t="s">
        <v>85</v>
      </c>
      <c r="D88" s="28" t="s">
        <v>86</v>
      </c>
      <c r="E88" s="28" t="s">
        <v>54</v>
      </c>
      <c r="F88" s="110" t="s">
        <v>1617</v>
      </c>
      <c r="G88" s="28" t="s">
        <v>1619</v>
      </c>
      <c r="H88" s="104" t="s">
        <v>1086</v>
      </c>
      <c r="I88" s="28" t="s">
        <v>916</v>
      </c>
      <c r="J88" s="28" t="s">
        <v>1584</v>
      </c>
      <c r="K88" s="28" t="s">
        <v>1624</v>
      </c>
      <c r="L88" s="28" t="s">
        <v>921</v>
      </c>
      <c r="M88" s="105" t="s">
        <v>41</v>
      </c>
      <c r="N88" s="28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4.4">
      <c r="A89" s="28" t="s">
        <v>882</v>
      </c>
      <c r="B89" s="28" t="s">
        <v>912</v>
      </c>
      <c r="C89" s="28" t="s">
        <v>85</v>
      </c>
      <c r="D89" s="28" t="s">
        <v>86</v>
      </c>
      <c r="E89" s="28" t="s">
        <v>54</v>
      </c>
      <c r="F89" s="110" t="s">
        <v>1628</v>
      </c>
      <c r="G89" s="28" t="s">
        <v>1629</v>
      </c>
      <c r="H89" s="104" t="s">
        <v>1086</v>
      </c>
      <c r="I89" s="28" t="s">
        <v>916</v>
      </c>
      <c r="J89" s="28" t="s">
        <v>1584</v>
      </c>
      <c r="K89" s="28" t="s">
        <v>1634</v>
      </c>
      <c r="L89" s="28" t="s">
        <v>921</v>
      </c>
      <c r="M89" s="105" t="s">
        <v>41</v>
      </c>
      <c r="N89" s="28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4.4">
      <c r="A90" s="28" t="s">
        <v>882</v>
      </c>
      <c r="B90" s="28" t="s">
        <v>912</v>
      </c>
      <c r="C90" s="28" t="s">
        <v>85</v>
      </c>
      <c r="D90" s="28" t="s">
        <v>86</v>
      </c>
      <c r="E90" s="28" t="s">
        <v>54</v>
      </c>
      <c r="F90" s="110" t="s">
        <v>1638</v>
      </c>
      <c r="G90" s="28" t="s">
        <v>1639</v>
      </c>
      <c r="H90" s="104" t="s">
        <v>1086</v>
      </c>
      <c r="I90" s="28" t="s">
        <v>916</v>
      </c>
      <c r="J90" s="28" t="s">
        <v>1584</v>
      </c>
      <c r="K90" s="28" t="s">
        <v>1095</v>
      </c>
      <c r="L90" s="28" t="s">
        <v>921</v>
      </c>
      <c r="M90" s="105" t="s">
        <v>41</v>
      </c>
      <c r="N90" s="28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4.4">
      <c r="A91" s="28" t="s">
        <v>882</v>
      </c>
      <c r="B91" s="28" t="s">
        <v>912</v>
      </c>
      <c r="C91" s="28" t="s">
        <v>85</v>
      </c>
      <c r="D91" s="28" t="s">
        <v>86</v>
      </c>
      <c r="E91" s="28" t="s">
        <v>54</v>
      </c>
      <c r="F91" s="110" t="s">
        <v>1640</v>
      </c>
      <c r="G91" s="28" t="s">
        <v>1643</v>
      </c>
      <c r="H91" s="104" t="s">
        <v>1086</v>
      </c>
      <c r="I91" s="28" t="s">
        <v>916</v>
      </c>
      <c r="J91" s="28" t="s">
        <v>1584</v>
      </c>
      <c r="K91" s="28" t="s">
        <v>915</v>
      </c>
      <c r="L91" s="28" t="s">
        <v>921</v>
      </c>
      <c r="M91" s="105" t="s">
        <v>41</v>
      </c>
      <c r="N91" s="28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4.4">
      <c r="A92" s="28" t="s">
        <v>882</v>
      </c>
      <c r="B92" s="28" t="s">
        <v>912</v>
      </c>
      <c r="C92" s="28" t="s">
        <v>85</v>
      </c>
      <c r="D92" s="28" t="s">
        <v>86</v>
      </c>
      <c r="E92" s="28" t="s">
        <v>54</v>
      </c>
      <c r="F92" s="110" t="s">
        <v>1647</v>
      </c>
      <c r="G92" s="28" t="s">
        <v>1648</v>
      </c>
      <c r="H92" s="104" t="s">
        <v>1086</v>
      </c>
      <c r="I92" s="28" t="s">
        <v>916</v>
      </c>
      <c r="J92" s="28" t="s">
        <v>1584</v>
      </c>
      <c r="K92" s="28" t="s">
        <v>1649</v>
      </c>
      <c r="L92" s="28" t="s">
        <v>921</v>
      </c>
      <c r="M92" s="105" t="s">
        <v>41</v>
      </c>
      <c r="N92" s="28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4.4">
      <c r="A93" s="28" t="s">
        <v>882</v>
      </c>
      <c r="B93" s="28" t="s">
        <v>912</v>
      </c>
      <c r="C93" s="28" t="s">
        <v>85</v>
      </c>
      <c r="D93" s="28" t="s">
        <v>86</v>
      </c>
      <c r="E93" s="28" t="s">
        <v>54</v>
      </c>
      <c r="F93" s="110" t="s">
        <v>1650</v>
      </c>
      <c r="G93" s="28" t="s">
        <v>1651</v>
      </c>
      <c r="H93" s="104" t="s">
        <v>1086</v>
      </c>
      <c r="I93" s="28" t="s">
        <v>916</v>
      </c>
      <c r="J93" s="28" t="s">
        <v>1584</v>
      </c>
      <c r="K93" s="28" t="s">
        <v>1652</v>
      </c>
      <c r="L93" s="28" t="s">
        <v>921</v>
      </c>
      <c r="M93" s="105" t="s">
        <v>41</v>
      </c>
      <c r="N93" s="28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4.4">
      <c r="A94" s="28" t="s">
        <v>882</v>
      </c>
      <c r="B94" s="28" t="s">
        <v>912</v>
      </c>
      <c r="C94" s="28" t="s">
        <v>85</v>
      </c>
      <c r="D94" s="28" t="s">
        <v>86</v>
      </c>
      <c r="E94" s="28" t="s">
        <v>54</v>
      </c>
      <c r="F94" s="110" t="s">
        <v>1654</v>
      </c>
      <c r="G94" s="28" t="s">
        <v>1655</v>
      </c>
      <c r="H94" s="104" t="s">
        <v>1086</v>
      </c>
      <c r="I94" s="28" t="s">
        <v>916</v>
      </c>
      <c r="J94" s="28" t="s">
        <v>1584</v>
      </c>
      <c r="K94" s="28" t="s">
        <v>1656</v>
      </c>
      <c r="L94" s="28" t="s">
        <v>921</v>
      </c>
      <c r="M94" s="105" t="s">
        <v>41</v>
      </c>
      <c r="N94" s="28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4.4">
      <c r="A95" s="28" t="s">
        <v>882</v>
      </c>
      <c r="B95" s="28" t="s">
        <v>912</v>
      </c>
      <c r="C95" s="28" t="s">
        <v>85</v>
      </c>
      <c r="D95" s="28" t="s">
        <v>86</v>
      </c>
      <c r="E95" s="28" t="s">
        <v>54</v>
      </c>
      <c r="F95" s="110" t="s">
        <v>1657</v>
      </c>
      <c r="G95" s="28" t="s">
        <v>1658</v>
      </c>
      <c r="H95" s="104" t="s">
        <v>1086</v>
      </c>
      <c r="I95" s="28" t="s">
        <v>916</v>
      </c>
      <c r="J95" s="28" t="s">
        <v>1584</v>
      </c>
      <c r="K95" s="28" t="s">
        <v>1659</v>
      </c>
      <c r="L95" s="28" t="s">
        <v>921</v>
      </c>
      <c r="M95" s="105" t="s">
        <v>41</v>
      </c>
      <c r="N95" s="28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4.4">
      <c r="A96" s="28" t="s">
        <v>882</v>
      </c>
      <c r="B96" s="28" t="s">
        <v>912</v>
      </c>
      <c r="C96" s="28" t="s">
        <v>85</v>
      </c>
      <c r="D96" s="28" t="s">
        <v>86</v>
      </c>
      <c r="E96" s="28" t="s">
        <v>54</v>
      </c>
      <c r="F96" s="110" t="s">
        <v>1660</v>
      </c>
      <c r="G96" s="28" t="s">
        <v>1661</v>
      </c>
      <c r="H96" s="104" t="s">
        <v>1086</v>
      </c>
      <c r="I96" s="28" t="s">
        <v>916</v>
      </c>
      <c r="J96" s="28" t="s">
        <v>1584</v>
      </c>
      <c r="K96" s="28" t="s">
        <v>1286</v>
      </c>
      <c r="L96" s="28" t="s">
        <v>921</v>
      </c>
      <c r="M96" s="105" t="s">
        <v>41</v>
      </c>
      <c r="N96" s="28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4.4">
      <c r="A97" s="28" t="s">
        <v>882</v>
      </c>
      <c r="B97" s="28" t="s">
        <v>924</v>
      </c>
      <c r="C97" s="28" t="s">
        <v>85</v>
      </c>
      <c r="D97" s="28" t="s">
        <v>86</v>
      </c>
      <c r="E97" s="28" t="s">
        <v>54</v>
      </c>
      <c r="F97" s="110" t="s">
        <v>1662</v>
      </c>
      <c r="G97" s="28" t="s">
        <v>1663</v>
      </c>
      <c r="H97" s="104" t="s">
        <v>1064</v>
      </c>
      <c r="I97" s="28" t="s">
        <v>933</v>
      </c>
      <c r="J97" s="28" t="s">
        <v>1664</v>
      </c>
      <c r="K97" s="28" t="s">
        <v>1665</v>
      </c>
      <c r="L97" s="28" t="s">
        <v>935</v>
      </c>
      <c r="M97" s="105" t="s">
        <v>41</v>
      </c>
      <c r="N97" s="28" t="s">
        <v>1353</v>
      </c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4.4">
      <c r="A98" s="28" t="s">
        <v>882</v>
      </c>
      <c r="B98" s="28" t="s">
        <v>924</v>
      </c>
      <c r="C98" s="28" t="s">
        <v>85</v>
      </c>
      <c r="D98" s="28" t="s">
        <v>86</v>
      </c>
      <c r="E98" s="28" t="s">
        <v>54</v>
      </c>
      <c r="F98" s="110" t="s">
        <v>1666</v>
      </c>
      <c r="G98" s="28" t="s">
        <v>1667</v>
      </c>
      <c r="H98" s="104" t="s">
        <v>1064</v>
      </c>
      <c r="I98" s="28" t="s">
        <v>933</v>
      </c>
      <c r="J98" s="28" t="s">
        <v>1664</v>
      </c>
      <c r="K98" s="28" t="s">
        <v>1669</v>
      </c>
      <c r="L98" s="28" t="s">
        <v>935</v>
      </c>
      <c r="M98" s="105" t="s">
        <v>41</v>
      </c>
      <c r="N98" s="28" t="s">
        <v>1670</v>
      </c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4.4">
      <c r="A99" s="28" t="s">
        <v>882</v>
      </c>
      <c r="B99" s="28" t="s">
        <v>924</v>
      </c>
      <c r="C99" s="28" t="s">
        <v>85</v>
      </c>
      <c r="D99" s="28" t="s">
        <v>86</v>
      </c>
      <c r="E99" s="28" t="s">
        <v>54</v>
      </c>
      <c r="F99" s="110" t="s">
        <v>1673</v>
      </c>
      <c r="G99" s="28" t="s">
        <v>1674</v>
      </c>
      <c r="H99" s="104" t="s">
        <v>1064</v>
      </c>
      <c r="I99" s="28" t="s">
        <v>933</v>
      </c>
      <c r="J99" s="28" t="s">
        <v>1664</v>
      </c>
      <c r="K99" s="28" t="s">
        <v>1675</v>
      </c>
      <c r="L99" s="28" t="s">
        <v>935</v>
      </c>
      <c r="M99" s="105" t="s">
        <v>41</v>
      </c>
      <c r="N99" s="28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4.4">
      <c r="A100" s="28" t="s">
        <v>882</v>
      </c>
      <c r="B100" s="28" t="s">
        <v>924</v>
      </c>
      <c r="C100" s="28" t="s">
        <v>85</v>
      </c>
      <c r="D100" s="28" t="s">
        <v>86</v>
      </c>
      <c r="E100" s="28" t="s">
        <v>54</v>
      </c>
      <c r="F100" s="110" t="s">
        <v>1677</v>
      </c>
      <c r="G100" s="28" t="s">
        <v>1678</v>
      </c>
      <c r="H100" s="104" t="s">
        <v>1064</v>
      </c>
      <c r="I100" s="28" t="s">
        <v>933</v>
      </c>
      <c r="J100" s="28" t="s">
        <v>1664</v>
      </c>
      <c r="K100" s="28" t="s">
        <v>1679</v>
      </c>
      <c r="L100" s="28" t="s">
        <v>935</v>
      </c>
      <c r="M100" s="105" t="s">
        <v>41</v>
      </c>
      <c r="N100" s="28" t="s">
        <v>1680</v>
      </c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4.4">
      <c r="A101" s="28" t="s">
        <v>882</v>
      </c>
      <c r="B101" s="28" t="s">
        <v>924</v>
      </c>
      <c r="C101" s="28" t="s">
        <v>85</v>
      </c>
      <c r="D101" s="28" t="s">
        <v>86</v>
      </c>
      <c r="E101" s="28" t="s">
        <v>54</v>
      </c>
      <c r="F101" s="110" t="s">
        <v>1681</v>
      </c>
      <c r="G101" s="28" t="s">
        <v>1682</v>
      </c>
      <c r="H101" s="104" t="s">
        <v>1064</v>
      </c>
      <c r="I101" s="28" t="s">
        <v>933</v>
      </c>
      <c r="J101" s="28" t="s">
        <v>1664</v>
      </c>
      <c r="K101" s="28" t="s">
        <v>1683</v>
      </c>
      <c r="L101" s="28" t="s">
        <v>935</v>
      </c>
      <c r="M101" s="105" t="s">
        <v>41</v>
      </c>
      <c r="N101" s="28" t="s">
        <v>1670</v>
      </c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4.4">
      <c r="A102" s="28" t="s">
        <v>882</v>
      </c>
      <c r="B102" s="28" t="s">
        <v>924</v>
      </c>
      <c r="C102" s="28" t="s">
        <v>85</v>
      </c>
      <c r="D102" s="28" t="s">
        <v>86</v>
      </c>
      <c r="E102" s="28" t="s">
        <v>54</v>
      </c>
      <c r="F102" s="110" t="s">
        <v>1684</v>
      </c>
      <c r="G102" s="28" t="s">
        <v>1685</v>
      </c>
      <c r="H102" s="104" t="s">
        <v>1064</v>
      </c>
      <c r="I102" s="28" t="s">
        <v>933</v>
      </c>
      <c r="J102" s="28" t="s">
        <v>1664</v>
      </c>
      <c r="K102" s="28" t="s">
        <v>1687</v>
      </c>
      <c r="L102" s="28" t="s">
        <v>935</v>
      </c>
      <c r="M102" s="105" t="s">
        <v>41</v>
      </c>
      <c r="N102" s="28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4.4">
      <c r="A103" s="28" t="s">
        <v>882</v>
      </c>
      <c r="B103" s="28" t="s">
        <v>924</v>
      </c>
      <c r="C103" s="28" t="s">
        <v>85</v>
      </c>
      <c r="D103" s="28" t="s">
        <v>86</v>
      </c>
      <c r="E103" s="28" t="s">
        <v>54</v>
      </c>
      <c r="F103" s="110" t="s">
        <v>1690</v>
      </c>
      <c r="G103" s="28" t="s">
        <v>1691</v>
      </c>
      <c r="H103" s="104" t="s">
        <v>1064</v>
      </c>
      <c r="I103" s="28" t="s">
        <v>933</v>
      </c>
      <c r="J103" s="28" t="s">
        <v>1664</v>
      </c>
      <c r="K103" s="28" t="s">
        <v>1692</v>
      </c>
      <c r="L103" s="28" t="s">
        <v>935</v>
      </c>
      <c r="M103" s="105" t="s">
        <v>41</v>
      </c>
      <c r="N103" s="28" t="s">
        <v>1353</v>
      </c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4.4">
      <c r="A104" s="28" t="s">
        <v>882</v>
      </c>
      <c r="B104" s="28" t="s">
        <v>924</v>
      </c>
      <c r="C104" s="28" t="s">
        <v>85</v>
      </c>
      <c r="D104" s="28" t="s">
        <v>86</v>
      </c>
      <c r="E104" s="28" t="s">
        <v>54</v>
      </c>
      <c r="F104" s="110" t="s">
        <v>1694</v>
      </c>
      <c r="G104" s="28" t="s">
        <v>1695</v>
      </c>
      <c r="H104" s="104" t="s">
        <v>1064</v>
      </c>
      <c r="I104" s="28" t="s">
        <v>933</v>
      </c>
      <c r="J104" s="28" t="s">
        <v>1664</v>
      </c>
      <c r="K104" s="28" t="s">
        <v>1696</v>
      </c>
      <c r="L104" s="28" t="s">
        <v>935</v>
      </c>
      <c r="M104" s="105" t="s">
        <v>41</v>
      </c>
      <c r="N104" s="28" t="s">
        <v>1353</v>
      </c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4.4">
      <c r="A105" s="28" t="s">
        <v>882</v>
      </c>
      <c r="B105" s="28" t="s">
        <v>924</v>
      </c>
      <c r="C105" s="28" t="s">
        <v>85</v>
      </c>
      <c r="D105" s="28" t="s">
        <v>86</v>
      </c>
      <c r="E105" s="28" t="s">
        <v>54</v>
      </c>
      <c r="F105" s="110" t="s">
        <v>1697</v>
      </c>
      <c r="G105" s="28" t="s">
        <v>1698</v>
      </c>
      <c r="H105" s="104" t="s">
        <v>1064</v>
      </c>
      <c r="I105" s="28" t="s">
        <v>933</v>
      </c>
      <c r="J105" s="28" t="s">
        <v>1664</v>
      </c>
      <c r="K105" s="28" t="s">
        <v>1699</v>
      </c>
      <c r="L105" s="28" t="s">
        <v>935</v>
      </c>
      <c r="M105" s="105" t="s">
        <v>41</v>
      </c>
      <c r="N105" s="28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4.4">
      <c r="A106" s="28" t="s">
        <v>882</v>
      </c>
      <c r="B106" s="28" t="s">
        <v>924</v>
      </c>
      <c r="C106" s="28" t="s">
        <v>85</v>
      </c>
      <c r="D106" s="28" t="s">
        <v>86</v>
      </c>
      <c r="E106" s="28" t="s">
        <v>54</v>
      </c>
      <c r="F106" s="110" t="s">
        <v>1701</v>
      </c>
      <c r="G106" s="28" t="s">
        <v>1702</v>
      </c>
      <c r="H106" s="104" t="s">
        <v>1064</v>
      </c>
      <c r="I106" s="28" t="s">
        <v>933</v>
      </c>
      <c r="J106" s="28" t="s">
        <v>1664</v>
      </c>
      <c r="K106" s="28" t="s">
        <v>1704</v>
      </c>
      <c r="L106" s="28" t="s">
        <v>935</v>
      </c>
      <c r="M106" s="105" t="s">
        <v>41</v>
      </c>
      <c r="N106" s="28" t="s">
        <v>1353</v>
      </c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4.4">
      <c r="A107" s="28" t="s">
        <v>882</v>
      </c>
      <c r="B107" s="28" t="s">
        <v>924</v>
      </c>
      <c r="C107" s="28" t="s">
        <v>85</v>
      </c>
      <c r="D107" s="28" t="s">
        <v>86</v>
      </c>
      <c r="E107" s="28" t="s">
        <v>54</v>
      </c>
      <c r="F107" s="110" t="s">
        <v>1707</v>
      </c>
      <c r="G107" s="28" t="s">
        <v>1708</v>
      </c>
      <c r="H107" s="104" t="s">
        <v>1064</v>
      </c>
      <c r="I107" s="28" t="s">
        <v>933</v>
      </c>
      <c r="J107" s="28" t="s">
        <v>1664</v>
      </c>
      <c r="K107" s="28" t="s">
        <v>1709</v>
      </c>
      <c r="L107" s="28" t="s">
        <v>935</v>
      </c>
      <c r="M107" s="105" t="s">
        <v>41</v>
      </c>
      <c r="N107" s="28" t="s">
        <v>1353</v>
      </c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4.4">
      <c r="A108" s="28" t="s">
        <v>882</v>
      </c>
      <c r="B108" s="28" t="s">
        <v>924</v>
      </c>
      <c r="C108" s="28" t="s">
        <v>85</v>
      </c>
      <c r="D108" s="28" t="s">
        <v>86</v>
      </c>
      <c r="E108" s="28" t="s">
        <v>54</v>
      </c>
      <c r="F108" s="110" t="s">
        <v>1713</v>
      </c>
      <c r="G108" s="28" t="s">
        <v>1714</v>
      </c>
      <c r="H108" s="104" t="s">
        <v>1064</v>
      </c>
      <c r="I108" s="28" t="s">
        <v>933</v>
      </c>
      <c r="J108" s="28" t="s">
        <v>1664</v>
      </c>
      <c r="K108" s="28" t="s">
        <v>1076</v>
      </c>
      <c r="L108" s="28" t="s">
        <v>935</v>
      </c>
      <c r="M108" s="105" t="s">
        <v>41</v>
      </c>
      <c r="N108" s="28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4.4">
      <c r="A109" s="28" t="s">
        <v>882</v>
      </c>
      <c r="B109" s="28" t="s">
        <v>924</v>
      </c>
      <c r="C109" s="28" t="s">
        <v>85</v>
      </c>
      <c r="D109" s="28" t="s">
        <v>86</v>
      </c>
      <c r="E109" s="28" t="s">
        <v>54</v>
      </c>
      <c r="F109" s="110" t="s">
        <v>1715</v>
      </c>
      <c r="G109" s="28" t="s">
        <v>1716</v>
      </c>
      <c r="H109" s="104" t="s">
        <v>1064</v>
      </c>
      <c r="I109" s="28" t="s">
        <v>933</v>
      </c>
      <c r="J109" s="28" t="s">
        <v>1664</v>
      </c>
      <c r="K109" s="28" t="s">
        <v>1717</v>
      </c>
      <c r="L109" s="28" t="s">
        <v>935</v>
      </c>
      <c r="M109" s="105" t="s">
        <v>41</v>
      </c>
      <c r="N109" s="28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4.4">
      <c r="A110" s="28" t="s">
        <v>882</v>
      </c>
      <c r="B110" s="28" t="s">
        <v>924</v>
      </c>
      <c r="C110" s="28" t="s">
        <v>85</v>
      </c>
      <c r="D110" s="28" t="s">
        <v>86</v>
      </c>
      <c r="E110" s="28" t="s">
        <v>54</v>
      </c>
      <c r="F110" s="110" t="s">
        <v>1721</v>
      </c>
      <c r="G110" s="28" t="s">
        <v>1722</v>
      </c>
      <c r="H110" s="104" t="s">
        <v>1064</v>
      </c>
      <c r="I110" s="28" t="s">
        <v>933</v>
      </c>
      <c r="J110" s="28" t="s">
        <v>1664</v>
      </c>
      <c r="K110" s="28" t="s">
        <v>1723</v>
      </c>
      <c r="L110" s="28" t="s">
        <v>935</v>
      </c>
      <c r="M110" s="105" t="s">
        <v>41</v>
      </c>
      <c r="N110" s="28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4.4">
      <c r="A111" s="28" t="s">
        <v>882</v>
      </c>
      <c r="B111" s="28" t="s">
        <v>49</v>
      </c>
      <c r="C111" s="28" t="s">
        <v>85</v>
      </c>
      <c r="D111" s="28" t="s">
        <v>86</v>
      </c>
      <c r="E111" s="28" t="s">
        <v>54</v>
      </c>
      <c r="F111" s="110" t="s">
        <v>1724</v>
      </c>
      <c r="G111" s="28" t="s">
        <v>1725</v>
      </c>
      <c r="H111" s="104" t="s">
        <v>1086</v>
      </c>
      <c r="I111" s="28" t="s">
        <v>916</v>
      </c>
      <c r="J111" s="28" t="s">
        <v>1728</v>
      </c>
      <c r="K111" s="28" t="s">
        <v>1730</v>
      </c>
      <c r="L111" s="28" t="s">
        <v>49</v>
      </c>
      <c r="M111" s="105" t="s">
        <v>41</v>
      </c>
      <c r="N111" s="28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4.4">
      <c r="A112" s="28" t="s">
        <v>882</v>
      </c>
      <c r="B112" s="28" t="s">
        <v>49</v>
      </c>
      <c r="C112" s="28" t="s">
        <v>85</v>
      </c>
      <c r="D112" s="28" t="s">
        <v>86</v>
      </c>
      <c r="E112" s="28" t="s">
        <v>54</v>
      </c>
      <c r="F112" s="110" t="s">
        <v>1732</v>
      </c>
      <c r="G112" s="28" t="s">
        <v>1733</v>
      </c>
      <c r="H112" s="104" t="s">
        <v>1086</v>
      </c>
      <c r="I112" s="28" t="s">
        <v>916</v>
      </c>
      <c r="J112" s="28" t="s">
        <v>1316</v>
      </c>
      <c r="K112" s="28" t="s">
        <v>1734</v>
      </c>
      <c r="L112" s="28" t="s">
        <v>49</v>
      </c>
      <c r="M112" s="105" t="s">
        <v>41</v>
      </c>
      <c r="N112" s="28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4.4">
      <c r="A113" s="28" t="s">
        <v>882</v>
      </c>
      <c r="B113" s="28" t="s">
        <v>49</v>
      </c>
      <c r="C113" s="28" t="s">
        <v>85</v>
      </c>
      <c r="D113" s="28" t="s">
        <v>86</v>
      </c>
      <c r="E113" s="28" t="s">
        <v>54</v>
      </c>
      <c r="F113" s="110" t="s">
        <v>1736</v>
      </c>
      <c r="G113" s="28" t="s">
        <v>1737</v>
      </c>
      <c r="H113" s="104" t="s">
        <v>1086</v>
      </c>
      <c r="I113" s="28" t="s">
        <v>916</v>
      </c>
      <c r="J113" s="28" t="s">
        <v>1316</v>
      </c>
      <c r="K113" s="28" t="s">
        <v>1359</v>
      </c>
      <c r="L113" s="28" t="s">
        <v>49</v>
      </c>
      <c r="M113" s="105" t="s">
        <v>41</v>
      </c>
      <c r="N113" s="28" t="s">
        <v>1680</v>
      </c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4.4">
      <c r="A114" s="28" t="s">
        <v>882</v>
      </c>
      <c r="B114" s="28" t="s">
        <v>49</v>
      </c>
      <c r="C114" s="28" t="s">
        <v>85</v>
      </c>
      <c r="D114" s="28" t="s">
        <v>86</v>
      </c>
      <c r="E114" s="28" t="s">
        <v>54</v>
      </c>
      <c r="F114" s="110" t="s">
        <v>1741</v>
      </c>
      <c r="G114" s="28" t="s">
        <v>1742</v>
      </c>
      <c r="H114" s="104" t="s">
        <v>1086</v>
      </c>
      <c r="I114" s="28" t="s">
        <v>916</v>
      </c>
      <c r="J114" s="28" t="s">
        <v>1316</v>
      </c>
      <c r="K114" s="28" t="s">
        <v>1743</v>
      </c>
      <c r="L114" s="28" t="s">
        <v>49</v>
      </c>
      <c r="M114" s="105" t="s">
        <v>41</v>
      </c>
      <c r="N114" s="28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4.4">
      <c r="A115" s="28" t="s">
        <v>882</v>
      </c>
      <c r="B115" s="28" t="s">
        <v>49</v>
      </c>
      <c r="C115" s="28" t="s">
        <v>85</v>
      </c>
      <c r="D115" s="28" t="s">
        <v>86</v>
      </c>
      <c r="E115" s="28" t="s">
        <v>54</v>
      </c>
      <c r="F115" s="110" t="s">
        <v>1745</v>
      </c>
      <c r="G115" s="28" t="s">
        <v>1746</v>
      </c>
      <c r="H115" s="104" t="s">
        <v>1086</v>
      </c>
      <c r="I115" s="28" t="s">
        <v>916</v>
      </c>
      <c r="J115" s="28" t="s">
        <v>1316</v>
      </c>
      <c r="K115" s="28" t="s">
        <v>1748</v>
      </c>
      <c r="L115" s="28" t="s">
        <v>49</v>
      </c>
      <c r="M115" s="105" t="s">
        <v>41</v>
      </c>
      <c r="N115" s="28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4.4">
      <c r="A116" s="28" t="s">
        <v>882</v>
      </c>
      <c r="B116" s="28" t="s">
        <v>49</v>
      </c>
      <c r="C116" s="28" t="s">
        <v>85</v>
      </c>
      <c r="D116" s="28" t="s">
        <v>86</v>
      </c>
      <c r="E116" s="28" t="s">
        <v>54</v>
      </c>
      <c r="F116" s="110" t="s">
        <v>1749</v>
      </c>
      <c r="G116" s="28" t="s">
        <v>1750</v>
      </c>
      <c r="H116" s="104" t="s">
        <v>1086</v>
      </c>
      <c r="I116" s="28" t="s">
        <v>916</v>
      </c>
      <c r="J116" s="28" t="s">
        <v>1316</v>
      </c>
      <c r="K116" s="28" t="s">
        <v>1751</v>
      </c>
      <c r="L116" s="28" t="s">
        <v>49</v>
      </c>
      <c r="M116" s="105" t="s">
        <v>41</v>
      </c>
      <c r="N116" s="28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4.4">
      <c r="A117" s="28" t="s">
        <v>882</v>
      </c>
      <c r="B117" s="28" t="s">
        <v>49</v>
      </c>
      <c r="C117" s="28" t="s">
        <v>85</v>
      </c>
      <c r="D117" s="28" t="s">
        <v>86</v>
      </c>
      <c r="E117" s="28" t="s">
        <v>54</v>
      </c>
      <c r="F117" s="110" t="s">
        <v>1752</v>
      </c>
      <c r="G117" s="28" t="s">
        <v>1753</v>
      </c>
      <c r="H117" s="104" t="s">
        <v>1086</v>
      </c>
      <c r="I117" s="28" t="s">
        <v>916</v>
      </c>
      <c r="J117" s="28" t="s">
        <v>1316</v>
      </c>
      <c r="K117" s="28" t="s">
        <v>1755</v>
      </c>
      <c r="L117" s="28" t="s">
        <v>49</v>
      </c>
      <c r="M117" s="105" t="s">
        <v>41</v>
      </c>
      <c r="N117" s="28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4.4">
      <c r="A118" s="28" t="s">
        <v>882</v>
      </c>
      <c r="B118" s="28" t="s">
        <v>49</v>
      </c>
      <c r="C118" s="28" t="s">
        <v>85</v>
      </c>
      <c r="D118" s="28" t="s">
        <v>86</v>
      </c>
      <c r="E118" s="28" t="s">
        <v>54</v>
      </c>
      <c r="F118" s="110" t="s">
        <v>1756</v>
      </c>
      <c r="G118" s="28" t="s">
        <v>1757</v>
      </c>
      <c r="H118" s="104" t="s">
        <v>1086</v>
      </c>
      <c r="I118" s="28" t="s">
        <v>916</v>
      </c>
      <c r="J118" s="28" t="s">
        <v>1316</v>
      </c>
      <c r="K118" s="28" t="s">
        <v>961</v>
      </c>
      <c r="L118" s="28" t="s">
        <v>49</v>
      </c>
      <c r="M118" s="105" t="s">
        <v>41</v>
      </c>
      <c r="N118" s="28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4.4">
      <c r="A119" s="28" t="s">
        <v>882</v>
      </c>
      <c r="B119" s="28" t="s">
        <v>49</v>
      </c>
      <c r="C119" s="28" t="s">
        <v>85</v>
      </c>
      <c r="D119" s="28" t="s">
        <v>86</v>
      </c>
      <c r="E119" s="28" t="s">
        <v>54</v>
      </c>
      <c r="F119" s="110" t="s">
        <v>1758</v>
      </c>
      <c r="G119" s="28" t="s">
        <v>1759</v>
      </c>
      <c r="H119" s="104" t="s">
        <v>1086</v>
      </c>
      <c r="I119" s="28" t="s">
        <v>916</v>
      </c>
      <c r="J119" s="28" t="s">
        <v>1316</v>
      </c>
      <c r="K119" s="28" t="s">
        <v>1761</v>
      </c>
      <c r="L119" s="28" t="s">
        <v>49</v>
      </c>
      <c r="M119" s="105" t="s">
        <v>41</v>
      </c>
      <c r="N119" s="28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4.4">
      <c r="A120" s="28" t="s">
        <v>882</v>
      </c>
      <c r="B120" s="28" t="s">
        <v>49</v>
      </c>
      <c r="C120" s="28" t="s">
        <v>85</v>
      </c>
      <c r="D120" s="28" t="s">
        <v>86</v>
      </c>
      <c r="E120" s="28" t="s">
        <v>54</v>
      </c>
      <c r="F120" s="110" t="s">
        <v>1762</v>
      </c>
      <c r="G120" s="28" t="s">
        <v>1763</v>
      </c>
      <c r="H120" s="104" t="s">
        <v>1086</v>
      </c>
      <c r="I120" s="28" t="s">
        <v>916</v>
      </c>
      <c r="J120" s="28" t="s">
        <v>1316</v>
      </c>
      <c r="K120" s="28" t="s">
        <v>1764</v>
      </c>
      <c r="L120" s="28" t="s">
        <v>49</v>
      </c>
      <c r="M120" s="105" t="s">
        <v>41</v>
      </c>
      <c r="N120" s="28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4.4">
      <c r="A121" s="28" t="s">
        <v>882</v>
      </c>
      <c r="B121" s="28" t="s">
        <v>49</v>
      </c>
      <c r="C121" s="28" t="s">
        <v>85</v>
      </c>
      <c r="D121" s="28" t="s">
        <v>86</v>
      </c>
      <c r="E121" s="28" t="s">
        <v>54</v>
      </c>
      <c r="F121" s="110" t="s">
        <v>1766</v>
      </c>
      <c r="G121" s="28" t="s">
        <v>1767</v>
      </c>
      <c r="H121" s="104" t="s">
        <v>1086</v>
      </c>
      <c r="I121" s="28" t="s">
        <v>916</v>
      </c>
      <c r="J121" s="28" t="s">
        <v>1316</v>
      </c>
      <c r="K121" s="28" t="s">
        <v>1768</v>
      </c>
      <c r="L121" s="28" t="s">
        <v>49</v>
      </c>
      <c r="M121" s="105" t="s">
        <v>41</v>
      </c>
      <c r="N121" s="28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4.4">
      <c r="A122" s="28" t="s">
        <v>882</v>
      </c>
      <c r="B122" s="28" t="s">
        <v>49</v>
      </c>
      <c r="C122" s="28" t="s">
        <v>85</v>
      </c>
      <c r="D122" s="28" t="s">
        <v>86</v>
      </c>
      <c r="E122" s="28" t="s">
        <v>54</v>
      </c>
      <c r="F122" s="110" t="s">
        <v>1769</v>
      </c>
      <c r="G122" s="28" t="s">
        <v>1770</v>
      </c>
      <c r="H122" s="104" t="s">
        <v>1086</v>
      </c>
      <c r="I122" s="28" t="s">
        <v>916</v>
      </c>
      <c r="J122" s="28" t="s">
        <v>1316</v>
      </c>
      <c r="K122" s="28" t="s">
        <v>1771</v>
      </c>
      <c r="L122" s="28" t="s">
        <v>49</v>
      </c>
      <c r="M122" s="105" t="s">
        <v>41</v>
      </c>
      <c r="N122" s="28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4.4">
      <c r="A123" s="28" t="s">
        <v>882</v>
      </c>
      <c r="B123" s="28" t="s">
        <v>49</v>
      </c>
      <c r="C123" s="28" t="s">
        <v>85</v>
      </c>
      <c r="D123" s="28" t="s">
        <v>86</v>
      </c>
      <c r="E123" s="28" t="s">
        <v>54</v>
      </c>
      <c r="F123" s="110" t="s">
        <v>1772</v>
      </c>
      <c r="G123" s="28" t="s">
        <v>1773</v>
      </c>
      <c r="H123" s="104" t="s">
        <v>1086</v>
      </c>
      <c r="I123" s="28" t="s">
        <v>916</v>
      </c>
      <c r="J123" s="28" t="s">
        <v>1316</v>
      </c>
      <c r="K123" s="28" t="s">
        <v>1774</v>
      </c>
      <c r="L123" s="28" t="s">
        <v>49</v>
      </c>
      <c r="M123" s="105" t="s">
        <v>41</v>
      </c>
      <c r="N123" s="28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4.4">
      <c r="A124" s="28" t="s">
        <v>882</v>
      </c>
      <c r="B124" s="28" t="s">
        <v>49</v>
      </c>
      <c r="C124" s="28" t="s">
        <v>85</v>
      </c>
      <c r="D124" s="28" t="s">
        <v>86</v>
      </c>
      <c r="E124" s="28" t="s">
        <v>54</v>
      </c>
      <c r="F124" s="110" t="s">
        <v>1775</v>
      </c>
      <c r="G124" s="28" t="s">
        <v>1776</v>
      </c>
      <c r="H124" s="104" t="s">
        <v>1086</v>
      </c>
      <c r="I124" s="28" t="s">
        <v>916</v>
      </c>
      <c r="J124" s="28" t="s">
        <v>1316</v>
      </c>
      <c r="K124" s="28" t="s">
        <v>1777</v>
      </c>
      <c r="L124" s="28" t="s">
        <v>49</v>
      </c>
      <c r="M124" s="105" t="s">
        <v>41</v>
      </c>
      <c r="N124" s="28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4.4">
      <c r="A125" s="28" t="s">
        <v>882</v>
      </c>
      <c r="B125" s="28" t="s">
        <v>49</v>
      </c>
      <c r="C125" s="28" t="s">
        <v>79</v>
      </c>
      <c r="D125" s="43" t="s">
        <v>80</v>
      </c>
      <c r="E125" s="28" t="s">
        <v>54</v>
      </c>
      <c r="F125" s="110" t="s">
        <v>1779</v>
      </c>
      <c r="G125" s="28"/>
      <c r="H125" s="104" t="s">
        <v>1028</v>
      </c>
      <c r="I125" s="28" t="s">
        <v>933</v>
      </c>
      <c r="J125" s="28" t="s">
        <v>1780</v>
      </c>
      <c r="K125" s="28" t="s">
        <v>1028</v>
      </c>
      <c r="L125" s="28" t="s">
        <v>900</v>
      </c>
      <c r="M125" s="105" t="s">
        <v>41</v>
      </c>
      <c r="N125" s="28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4.4">
      <c r="A126" s="28" t="s">
        <v>882</v>
      </c>
      <c r="B126" s="28" t="s">
        <v>49</v>
      </c>
      <c r="C126" s="28" t="s">
        <v>79</v>
      </c>
      <c r="D126" s="43" t="s">
        <v>80</v>
      </c>
      <c r="E126" s="28" t="s">
        <v>54</v>
      </c>
      <c r="F126" s="110" t="s">
        <v>1781</v>
      </c>
      <c r="G126" s="28"/>
      <c r="H126" s="104" t="s">
        <v>1028</v>
      </c>
      <c r="I126" s="28" t="s">
        <v>933</v>
      </c>
      <c r="J126" s="28" t="s">
        <v>1782</v>
      </c>
      <c r="K126" s="28" t="s">
        <v>1028</v>
      </c>
      <c r="L126" s="28" t="s">
        <v>949</v>
      </c>
      <c r="M126" s="105" t="s">
        <v>41</v>
      </c>
      <c r="N126" s="28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4.4">
      <c r="A127" s="28" t="s">
        <v>882</v>
      </c>
      <c r="B127" s="28" t="s">
        <v>49</v>
      </c>
      <c r="C127" s="28" t="s">
        <v>79</v>
      </c>
      <c r="D127" s="43" t="s">
        <v>80</v>
      </c>
      <c r="E127" s="28" t="s">
        <v>54</v>
      </c>
      <c r="F127" s="110" t="s">
        <v>1784</v>
      </c>
      <c r="G127" s="28"/>
      <c r="H127" s="104" t="s">
        <v>1064</v>
      </c>
      <c r="I127" s="28" t="s">
        <v>933</v>
      </c>
      <c r="J127" s="28" t="s">
        <v>1785</v>
      </c>
      <c r="K127" s="28" t="s">
        <v>1064</v>
      </c>
      <c r="L127" s="28" t="s">
        <v>935</v>
      </c>
      <c r="M127" s="105" t="s">
        <v>41</v>
      </c>
      <c r="N127" s="28" t="s">
        <v>1786</v>
      </c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4.4">
      <c r="A128" s="28" t="s">
        <v>882</v>
      </c>
      <c r="B128" s="28" t="s">
        <v>49</v>
      </c>
      <c r="C128" s="28" t="s">
        <v>79</v>
      </c>
      <c r="D128" s="43" t="s">
        <v>80</v>
      </c>
      <c r="E128" s="28" t="s">
        <v>54</v>
      </c>
      <c r="F128" s="110" t="s">
        <v>1787</v>
      </c>
      <c r="G128" s="28"/>
      <c r="H128" s="104" t="s">
        <v>1788</v>
      </c>
      <c r="I128" s="28" t="s">
        <v>933</v>
      </c>
      <c r="J128" s="28" t="s">
        <v>1790</v>
      </c>
      <c r="K128" s="28" t="s">
        <v>1788</v>
      </c>
      <c r="L128" s="28" t="s">
        <v>921</v>
      </c>
      <c r="M128" s="105" t="s">
        <v>41</v>
      </c>
      <c r="N128" s="28" t="s">
        <v>1791</v>
      </c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4.4">
      <c r="A129" s="28" t="s">
        <v>882</v>
      </c>
      <c r="B129" s="28" t="s">
        <v>49</v>
      </c>
      <c r="C129" s="28" t="s">
        <v>79</v>
      </c>
      <c r="D129" s="43" t="s">
        <v>80</v>
      </c>
      <c r="E129" s="28" t="s">
        <v>54</v>
      </c>
      <c r="F129" s="110" t="s">
        <v>1792</v>
      </c>
      <c r="G129" s="28"/>
      <c r="H129" s="104" t="s">
        <v>1788</v>
      </c>
      <c r="I129" s="28" t="s">
        <v>933</v>
      </c>
      <c r="J129" s="28" t="s">
        <v>1790</v>
      </c>
      <c r="K129" s="28" t="s">
        <v>1788</v>
      </c>
      <c r="L129" s="28" t="s">
        <v>921</v>
      </c>
      <c r="M129" s="105" t="s">
        <v>41</v>
      </c>
      <c r="N129" s="28" t="s">
        <v>1791</v>
      </c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4.4">
      <c r="A130" s="128" t="s">
        <v>882</v>
      </c>
      <c r="B130" s="128" t="s">
        <v>924</v>
      </c>
      <c r="C130" s="28" t="s">
        <v>287</v>
      </c>
      <c r="D130" s="28" t="s">
        <v>71</v>
      </c>
      <c r="E130" s="28" t="s">
        <v>54</v>
      </c>
      <c r="F130" s="110" t="s">
        <v>1794</v>
      </c>
      <c r="G130" s="28"/>
      <c r="H130" s="104"/>
      <c r="I130" s="28"/>
      <c r="J130" s="28"/>
      <c r="K130" s="28"/>
      <c r="L130" s="28"/>
      <c r="M130" s="28" t="s">
        <v>41</v>
      </c>
      <c r="N130" s="28" t="s">
        <v>1796</v>
      </c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4.4">
      <c r="A131" s="28" t="s">
        <v>882</v>
      </c>
      <c r="B131" s="28" t="s">
        <v>49</v>
      </c>
      <c r="C131" s="28" t="s">
        <v>306</v>
      </c>
      <c r="D131" s="128" t="s">
        <v>341</v>
      </c>
      <c r="E131" s="28" t="s">
        <v>54</v>
      </c>
      <c r="F131" s="110" t="s">
        <v>1797</v>
      </c>
      <c r="G131" s="28"/>
      <c r="H131" s="104" t="s">
        <v>1798</v>
      </c>
      <c r="I131" s="28" t="s">
        <v>1800</v>
      </c>
      <c r="J131" s="28"/>
      <c r="K131" s="28" t="s">
        <v>1798</v>
      </c>
      <c r="L131" s="28" t="s">
        <v>49</v>
      </c>
      <c r="M131" s="105" t="s">
        <v>41</v>
      </c>
      <c r="N131" s="28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4.4">
      <c r="A132" s="128" t="s">
        <v>882</v>
      </c>
      <c r="B132" s="128" t="s">
        <v>49</v>
      </c>
      <c r="C132" s="128" t="s">
        <v>306</v>
      </c>
      <c r="D132" s="128" t="s">
        <v>341</v>
      </c>
      <c r="E132" s="28" t="s">
        <v>54</v>
      </c>
      <c r="F132" s="129" t="s">
        <v>1801</v>
      </c>
      <c r="G132" s="28"/>
      <c r="H132" s="130" t="s">
        <v>1803</v>
      </c>
      <c r="I132" s="128" t="s">
        <v>1804</v>
      </c>
      <c r="J132" s="128"/>
      <c r="K132" s="128" t="s">
        <v>1803</v>
      </c>
      <c r="L132" s="128" t="s">
        <v>49</v>
      </c>
      <c r="M132" s="131"/>
      <c r="N132" s="128" t="s">
        <v>1807</v>
      </c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4.4">
      <c r="A133" s="128" t="s">
        <v>882</v>
      </c>
      <c r="B133" s="128" t="s">
        <v>924</v>
      </c>
      <c r="C133" s="128" t="s">
        <v>319</v>
      </c>
      <c r="D133" s="28" t="s">
        <v>796</v>
      </c>
      <c r="E133" s="28"/>
      <c r="F133" s="132" t="s">
        <v>1809</v>
      </c>
      <c r="G133" s="28"/>
      <c r="H133" s="130" t="s">
        <v>1810</v>
      </c>
      <c r="I133" s="128" t="s">
        <v>1610</v>
      </c>
      <c r="J133" s="128"/>
      <c r="K133" s="130" t="s">
        <v>1810</v>
      </c>
      <c r="L133" s="128" t="s">
        <v>989</v>
      </c>
      <c r="M133" s="131" t="s">
        <v>41</v>
      </c>
      <c r="N133" s="128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4.4">
      <c r="A134" s="28" t="s">
        <v>882</v>
      </c>
      <c r="B134" s="28" t="s">
        <v>924</v>
      </c>
      <c r="C134" s="28" t="s">
        <v>319</v>
      </c>
      <c r="D134" s="28" t="s">
        <v>796</v>
      </c>
      <c r="E134" s="28"/>
      <c r="F134" s="97" t="s">
        <v>1813</v>
      </c>
      <c r="G134" s="28"/>
      <c r="H134" s="104" t="s">
        <v>1814</v>
      </c>
      <c r="I134" s="28" t="s">
        <v>887</v>
      </c>
      <c r="J134" s="28"/>
      <c r="K134" s="28" t="s">
        <v>1810</v>
      </c>
      <c r="L134" s="28" t="s">
        <v>989</v>
      </c>
      <c r="M134" s="105" t="s">
        <v>41</v>
      </c>
      <c r="N134" s="28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4.4">
      <c r="A135" s="28" t="s">
        <v>882</v>
      </c>
      <c r="B135" s="28" t="s">
        <v>49</v>
      </c>
      <c r="C135" s="128" t="s">
        <v>319</v>
      </c>
      <c r="D135" s="28" t="s">
        <v>796</v>
      </c>
      <c r="E135" s="28"/>
      <c r="F135" s="97" t="s">
        <v>1816</v>
      </c>
      <c r="G135" s="28"/>
      <c r="H135" s="104" t="s">
        <v>1817</v>
      </c>
      <c r="I135" s="28" t="s">
        <v>1818</v>
      </c>
      <c r="J135" s="28"/>
      <c r="K135" s="104" t="s">
        <v>1817</v>
      </c>
      <c r="L135" s="28" t="s">
        <v>989</v>
      </c>
      <c r="M135" s="105" t="s">
        <v>41</v>
      </c>
      <c r="N135" s="28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4.4">
      <c r="A136" s="28" t="s">
        <v>882</v>
      </c>
      <c r="B136" s="28" t="s">
        <v>49</v>
      </c>
      <c r="C136" s="28" t="s">
        <v>319</v>
      </c>
      <c r="D136" s="28" t="s">
        <v>796</v>
      </c>
      <c r="E136" s="128"/>
      <c r="F136" s="97" t="s">
        <v>1819</v>
      </c>
      <c r="G136" s="128"/>
      <c r="H136" s="104" t="s">
        <v>1130</v>
      </c>
      <c r="I136" s="28" t="s">
        <v>1820</v>
      </c>
      <c r="J136" s="128"/>
      <c r="K136" s="104" t="s">
        <v>1130</v>
      </c>
      <c r="L136" s="28" t="s">
        <v>989</v>
      </c>
      <c r="M136" s="105" t="s">
        <v>41</v>
      </c>
      <c r="N136" s="128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4.4">
      <c r="A137" s="28" t="s">
        <v>882</v>
      </c>
      <c r="B137" s="28" t="s">
        <v>49</v>
      </c>
      <c r="C137" s="128" t="s">
        <v>319</v>
      </c>
      <c r="D137" s="28" t="s">
        <v>796</v>
      </c>
      <c r="E137" s="128"/>
      <c r="F137" s="97" t="s">
        <v>1821</v>
      </c>
      <c r="G137" s="128"/>
      <c r="H137" s="104" t="s">
        <v>1130</v>
      </c>
      <c r="I137" s="28" t="s">
        <v>1820</v>
      </c>
      <c r="J137" s="128"/>
      <c r="K137" s="104" t="s">
        <v>1130</v>
      </c>
      <c r="L137" s="28" t="s">
        <v>989</v>
      </c>
      <c r="M137" s="105" t="s">
        <v>41</v>
      </c>
      <c r="N137" s="128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4.4">
      <c r="A138" s="28" t="s">
        <v>882</v>
      </c>
      <c r="B138" s="28" t="s">
        <v>49</v>
      </c>
      <c r="C138" s="28" t="s">
        <v>319</v>
      </c>
      <c r="D138" s="28" t="s">
        <v>796</v>
      </c>
      <c r="E138" s="128"/>
      <c r="F138" s="97" t="s">
        <v>1822</v>
      </c>
      <c r="G138" s="128"/>
      <c r="H138" s="104" t="s">
        <v>1130</v>
      </c>
      <c r="I138" s="28" t="s">
        <v>1820</v>
      </c>
      <c r="J138" s="128"/>
      <c r="K138" s="104" t="s">
        <v>1130</v>
      </c>
      <c r="L138" s="28" t="s">
        <v>989</v>
      </c>
      <c r="M138" s="105" t="s">
        <v>41</v>
      </c>
      <c r="N138" s="128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4.4">
      <c r="A139" s="28" t="s">
        <v>882</v>
      </c>
      <c r="B139" s="28" t="s">
        <v>49</v>
      </c>
      <c r="C139" s="128" t="s">
        <v>319</v>
      </c>
      <c r="D139" s="28" t="s">
        <v>796</v>
      </c>
      <c r="E139" s="128"/>
      <c r="F139" s="97" t="s">
        <v>1824</v>
      </c>
      <c r="G139" s="128"/>
      <c r="H139" s="104" t="s">
        <v>1130</v>
      </c>
      <c r="I139" s="28" t="s">
        <v>1820</v>
      </c>
      <c r="J139" s="128"/>
      <c r="K139" s="104" t="s">
        <v>1130</v>
      </c>
      <c r="L139" s="28" t="s">
        <v>989</v>
      </c>
      <c r="M139" s="105" t="s">
        <v>41</v>
      </c>
      <c r="N139" s="128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4.4">
      <c r="A140" s="28" t="s">
        <v>882</v>
      </c>
      <c r="B140" s="28" t="s">
        <v>49</v>
      </c>
      <c r="C140" s="28" t="s">
        <v>319</v>
      </c>
      <c r="D140" s="28" t="s">
        <v>796</v>
      </c>
      <c r="E140" s="128"/>
      <c r="F140" s="97" t="s">
        <v>1826</v>
      </c>
      <c r="G140" s="128"/>
      <c r="H140" s="104" t="s">
        <v>1130</v>
      </c>
      <c r="I140" s="28" t="s">
        <v>1820</v>
      </c>
      <c r="J140" s="128"/>
      <c r="K140" s="104" t="s">
        <v>1130</v>
      </c>
      <c r="L140" s="28" t="s">
        <v>989</v>
      </c>
      <c r="M140" s="105" t="s">
        <v>41</v>
      </c>
      <c r="N140" s="128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4.4">
      <c r="A141" s="28" t="s">
        <v>882</v>
      </c>
      <c r="B141" s="28" t="s">
        <v>49</v>
      </c>
      <c r="C141" s="128" t="s">
        <v>319</v>
      </c>
      <c r="D141" s="28" t="s">
        <v>796</v>
      </c>
      <c r="E141" s="128"/>
      <c r="F141" s="97" t="s">
        <v>1829</v>
      </c>
      <c r="G141" s="128"/>
      <c r="H141" s="104" t="s">
        <v>1130</v>
      </c>
      <c r="I141" s="28" t="s">
        <v>1820</v>
      </c>
      <c r="J141" s="128"/>
      <c r="K141" s="104" t="s">
        <v>1130</v>
      </c>
      <c r="L141" s="28" t="s">
        <v>989</v>
      </c>
      <c r="M141" s="105" t="s">
        <v>41</v>
      </c>
      <c r="N141" s="128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4.4">
      <c r="A142" s="28" t="s">
        <v>882</v>
      </c>
      <c r="B142" s="28" t="s">
        <v>49</v>
      </c>
      <c r="C142" s="28" t="s">
        <v>319</v>
      </c>
      <c r="D142" s="28" t="s">
        <v>796</v>
      </c>
      <c r="E142" s="128"/>
      <c r="F142" s="97" t="s">
        <v>1830</v>
      </c>
      <c r="G142" s="128"/>
      <c r="H142" s="104" t="s">
        <v>1130</v>
      </c>
      <c r="I142" s="28" t="s">
        <v>1820</v>
      </c>
      <c r="J142" s="128"/>
      <c r="K142" s="104" t="s">
        <v>1130</v>
      </c>
      <c r="L142" s="28" t="s">
        <v>989</v>
      </c>
      <c r="M142" s="105" t="s">
        <v>41</v>
      </c>
      <c r="N142" s="128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4.4">
      <c r="A143" s="28" t="s">
        <v>882</v>
      </c>
      <c r="B143" s="28" t="s">
        <v>49</v>
      </c>
      <c r="C143" s="128" t="s">
        <v>319</v>
      </c>
      <c r="D143" s="28" t="s">
        <v>796</v>
      </c>
      <c r="E143" s="128"/>
      <c r="F143" s="97" t="s">
        <v>1831</v>
      </c>
      <c r="G143" s="128"/>
      <c r="H143" s="104" t="s">
        <v>1130</v>
      </c>
      <c r="I143" s="28" t="s">
        <v>1820</v>
      </c>
      <c r="J143" s="128"/>
      <c r="K143" s="104" t="s">
        <v>1130</v>
      </c>
      <c r="L143" s="28" t="s">
        <v>989</v>
      </c>
      <c r="M143" s="105" t="s">
        <v>41</v>
      </c>
      <c r="N143" s="128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4.4">
      <c r="A144" s="28" t="s">
        <v>882</v>
      </c>
      <c r="B144" s="28" t="s">
        <v>49</v>
      </c>
      <c r="C144" s="28" t="s">
        <v>319</v>
      </c>
      <c r="D144" s="28" t="s">
        <v>796</v>
      </c>
      <c r="E144" s="28"/>
      <c r="F144" s="97" t="s">
        <v>1832</v>
      </c>
      <c r="G144" s="28"/>
      <c r="H144" s="104" t="s">
        <v>1130</v>
      </c>
      <c r="I144" s="28" t="s">
        <v>1820</v>
      </c>
      <c r="J144" s="28"/>
      <c r="K144" s="104" t="s">
        <v>1130</v>
      </c>
      <c r="L144" s="28" t="s">
        <v>989</v>
      </c>
      <c r="M144" s="105" t="s">
        <v>41</v>
      </c>
      <c r="N144" s="28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4.4">
      <c r="A145" s="28" t="s">
        <v>882</v>
      </c>
      <c r="B145" s="28" t="s">
        <v>49</v>
      </c>
      <c r="C145" s="128" t="s">
        <v>319</v>
      </c>
      <c r="D145" s="28" t="s">
        <v>796</v>
      </c>
      <c r="E145" s="29"/>
      <c r="F145" s="97" t="s">
        <v>1834</v>
      </c>
      <c r="G145" s="29"/>
      <c r="H145" s="138" t="s">
        <v>1835</v>
      </c>
      <c r="I145" s="29" t="s">
        <v>966</v>
      </c>
      <c r="J145" s="29"/>
      <c r="K145" s="138" t="s">
        <v>1835</v>
      </c>
      <c r="L145" s="28" t="s">
        <v>1836</v>
      </c>
      <c r="M145" s="105" t="s">
        <v>41</v>
      </c>
      <c r="N145" s="29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4.4">
      <c r="A146" s="28" t="s">
        <v>882</v>
      </c>
      <c r="B146" s="28" t="s">
        <v>49</v>
      </c>
      <c r="C146" s="28" t="s">
        <v>319</v>
      </c>
      <c r="D146" s="28" t="s">
        <v>796</v>
      </c>
      <c r="E146" s="29"/>
      <c r="F146" s="97" t="s">
        <v>1837</v>
      </c>
      <c r="G146" s="29"/>
      <c r="H146" s="138" t="s">
        <v>1838</v>
      </c>
      <c r="I146" s="29" t="s">
        <v>1839</v>
      </c>
      <c r="J146" s="29"/>
      <c r="K146" s="138" t="s">
        <v>1838</v>
      </c>
      <c r="L146" s="28" t="s">
        <v>1840</v>
      </c>
      <c r="M146" s="105" t="s">
        <v>41</v>
      </c>
      <c r="N146" s="29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4.4">
      <c r="A147" s="128" t="s">
        <v>882</v>
      </c>
      <c r="B147" s="128" t="s">
        <v>49</v>
      </c>
      <c r="C147" s="128" t="s">
        <v>306</v>
      </c>
      <c r="D147" s="128" t="s">
        <v>341</v>
      </c>
      <c r="E147" s="128" t="s">
        <v>54</v>
      </c>
      <c r="F147" s="129" t="s">
        <v>1841</v>
      </c>
      <c r="G147" s="128"/>
      <c r="H147" s="130" t="s">
        <v>1803</v>
      </c>
      <c r="I147" s="128" t="s">
        <v>1804</v>
      </c>
      <c r="J147" s="128"/>
      <c r="K147" s="128" t="s">
        <v>1803</v>
      </c>
      <c r="L147" s="128" t="s">
        <v>49</v>
      </c>
      <c r="M147" s="105" t="s">
        <v>41</v>
      </c>
      <c r="N147" s="128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4.4">
      <c r="A148" s="28" t="s">
        <v>882</v>
      </c>
      <c r="B148" s="28" t="s">
        <v>1006</v>
      </c>
      <c r="C148" s="107" t="s">
        <v>260</v>
      </c>
      <c r="D148" s="107" t="s">
        <v>1337</v>
      </c>
      <c r="E148" s="107"/>
      <c r="F148" s="107" t="s">
        <v>1842</v>
      </c>
      <c r="G148" s="140" t="s">
        <v>1342</v>
      </c>
      <c r="H148" s="28" t="s">
        <v>1028</v>
      </c>
      <c r="I148" s="28" t="s">
        <v>933</v>
      </c>
      <c r="J148" s="28" t="s">
        <v>1843</v>
      </c>
      <c r="K148" s="28" t="s">
        <v>1451</v>
      </c>
      <c r="L148" s="28" t="s">
        <v>900</v>
      </c>
      <c r="M148" s="143" t="s">
        <v>41</v>
      </c>
      <c r="N148" s="28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4.4">
      <c r="A149" s="28" t="s">
        <v>882</v>
      </c>
      <c r="B149" s="28" t="s">
        <v>1006</v>
      </c>
      <c r="C149" s="107" t="s">
        <v>260</v>
      </c>
      <c r="D149" s="107" t="s">
        <v>1337</v>
      </c>
      <c r="E149" s="107"/>
      <c r="F149" s="28" t="s">
        <v>1844</v>
      </c>
      <c r="G149" s="140" t="s">
        <v>1342</v>
      </c>
      <c r="H149" s="28" t="s">
        <v>1028</v>
      </c>
      <c r="I149" s="28" t="s">
        <v>933</v>
      </c>
      <c r="J149" s="28" t="s">
        <v>1843</v>
      </c>
      <c r="K149" s="28" t="s">
        <v>1845</v>
      </c>
      <c r="L149" s="28" t="s">
        <v>900</v>
      </c>
      <c r="M149" s="143" t="s">
        <v>41</v>
      </c>
      <c r="N149" s="28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4.4">
      <c r="A150" s="28" t="s">
        <v>882</v>
      </c>
      <c r="B150" s="28" t="s">
        <v>1006</v>
      </c>
      <c r="C150" s="107" t="s">
        <v>260</v>
      </c>
      <c r="D150" s="107" t="s">
        <v>1337</v>
      </c>
      <c r="E150" s="107"/>
      <c r="F150" s="28" t="s">
        <v>1846</v>
      </c>
      <c r="G150" s="140" t="s">
        <v>1342</v>
      </c>
      <c r="H150" s="28" t="s">
        <v>1028</v>
      </c>
      <c r="I150" s="28" t="s">
        <v>933</v>
      </c>
      <c r="J150" s="28" t="s">
        <v>1843</v>
      </c>
      <c r="K150" s="28" t="s">
        <v>1184</v>
      </c>
      <c r="L150" s="28" t="s">
        <v>900</v>
      </c>
      <c r="M150" s="143" t="s">
        <v>41</v>
      </c>
      <c r="N150" s="28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4.4">
      <c r="A151" s="28" t="s">
        <v>882</v>
      </c>
      <c r="B151" s="28" t="s">
        <v>1006</v>
      </c>
      <c r="C151" s="107" t="s">
        <v>260</v>
      </c>
      <c r="D151" s="107" t="s">
        <v>1337</v>
      </c>
      <c r="E151" s="107"/>
      <c r="F151" s="28" t="s">
        <v>1848</v>
      </c>
      <c r="G151" s="140" t="s">
        <v>1342</v>
      </c>
      <c r="H151" s="28" t="s">
        <v>1028</v>
      </c>
      <c r="I151" s="28" t="s">
        <v>933</v>
      </c>
      <c r="J151" s="28" t="s">
        <v>1843</v>
      </c>
      <c r="K151" s="28" t="s">
        <v>1184</v>
      </c>
      <c r="L151" s="28" t="s">
        <v>900</v>
      </c>
      <c r="M151" s="143" t="s">
        <v>41</v>
      </c>
      <c r="N151" s="28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4.4">
      <c r="A152" s="28" t="s">
        <v>882</v>
      </c>
      <c r="B152" s="28" t="s">
        <v>1006</v>
      </c>
      <c r="C152" s="107" t="s">
        <v>260</v>
      </c>
      <c r="D152" s="107" t="s">
        <v>1337</v>
      </c>
      <c r="E152" s="107"/>
      <c r="F152" s="28" t="s">
        <v>1852</v>
      </c>
      <c r="G152" s="140" t="s">
        <v>1342</v>
      </c>
      <c r="H152" s="28" t="s">
        <v>1028</v>
      </c>
      <c r="I152" s="28" t="s">
        <v>933</v>
      </c>
      <c r="J152" s="28" t="s">
        <v>1843</v>
      </c>
      <c r="K152" s="28" t="s">
        <v>1408</v>
      </c>
      <c r="L152" s="28" t="s">
        <v>900</v>
      </c>
      <c r="M152" s="143" t="s">
        <v>41</v>
      </c>
      <c r="N152" s="28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4.4">
      <c r="A153" s="28" t="s">
        <v>882</v>
      </c>
      <c r="B153" s="28" t="s">
        <v>1006</v>
      </c>
      <c r="C153" s="107" t="s">
        <v>260</v>
      </c>
      <c r="D153" s="107" t="s">
        <v>1337</v>
      </c>
      <c r="E153" s="107"/>
      <c r="F153" s="28" t="s">
        <v>1853</v>
      </c>
      <c r="G153" s="140" t="s">
        <v>1342</v>
      </c>
      <c r="H153" s="28" t="s">
        <v>1028</v>
      </c>
      <c r="I153" s="28" t="s">
        <v>933</v>
      </c>
      <c r="J153" s="28" t="s">
        <v>1843</v>
      </c>
      <c r="K153" s="28" t="s">
        <v>1184</v>
      </c>
      <c r="L153" s="28" t="s">
        <v>900</v>
      </c>
      <c r="M153" s="143" t="s">
        <v>41</v>
      </c>
      <c r="N153" s="28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4.4">
      <c r="A154" s="28" t="s">
        <v>882</v>
      </c>
      <c r="B154" s="28" t="s">
        <v>1006</v>
      </c>
      <c r="C154" s="107" t="s">
        <v>260</v>
      </c>
      <c r="D154" s="107" t="s">
        <v>1337</v>
      </c>
      <c r="E154" s="107"/>
      <c r="F154" s="28" t="s">
        <v>1854</v>
      </c>
      <c r="G154" s="140" t="s">
        <v>1342</v>
      </c>
      <c r="H154" s="28" t="s">
        <v>1028</v>
      </c>
      <c r="I154" s="28" t="s">
        <v>933</v>
      </c>
      <c r="J154" s="28" t="s">
        <v>1843</v>
      </c>
      <c r="K154" s="28" t="s">
        <v>1031</v>
      </c>
      <c r="L154" s="28" t="s">
        <v>900</v>
      </c>
      <c r="M154" s="143" t="s">
        <v>41</v>
      </c>
      <c r="N154" s="28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4.4">
      <c r="A155" s="28" t="s">
        <v>882</v>
      </c>
      <c r="B155" s="28" t="s">
        <v>1006</v>
      </c>
      <c r="C155" s="107" t="s">
        <v>260</v>
      </c>
      <c r="D155" s="107" t="s">
        <v>1337</v>
      </c>
      <c r="E155" s="107"/>
      <c r="F155" s="28" t="s">
        <v>1856</v>
      </c>
      <c r="G155" s="140" t="s">
        <v>1342</v>
      </c>
      <c r="H155" s="28" t="s">
        <v>1028</v>
      </c>
      <c r="I155" s="28" t="s">
        <v>933</v>
      </c>
      <c r="J155" s="28" t="s">
        <v>1843</v>
      </c>
      <c r="K155" s="28" t="s">
        <v>1184</v>
      </c>
      <c r="L155" s="28" t="s">
        <v>900</v>
      </c>
      <c r="M155" s="143" t="s">
        <v>41</v>
      </c>
      <c r="N155" s="28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4.4">
      <c r="A156" s="28" t="s">
        <v>882</v>
      </c>
      <c r="B156" s="28" t="s">
        <v>883</v>
      </c>
      <c r="C156" s="107" t="s">
        <v>260</v>
      </c>
      <c r="D156" s="107" t="s">
        <v>1337</v>
      </c>
      <c r="E156" s="107"/>
      <c r="F156" s="28" t="s">
        <v>1858</v>
      </c>
      <c r="G156" s="140" t="s">
        <v>1342</v>
      </c>
      <c r="H156" s="28" t="s">
        <v>1028</v>
      </c>
      <c r="I156" s="28" t="s">
        <v>933</v>
      </c>
      <c r="J156" s="28" t="s">
        <v>1859</v>
      </c>
      <c r="K156" s="28" t="s">
        <v>1184</v>
      </c>
      <c r="L156" s="28" t="s">
        <v>949</v>
      </c>
      <c r="M156" s="143" t="s">
        <v>41</v>
      </c>
      <c r="N156" s="28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4.4">
      <c r="A157" s="28" t="s">
        <v>882</v>
      </c>
      <c r="B157" s="28" t="s">
        <v>883</v>
      </c>
      <c r="C157" s="107" t="s">
        <v>260</v>
      </c>
      <c r="D157" s="107" t="s">
        <v>1337</v>
      </c>
      <c r="E157" s="107"/>
      <c r="F157" s="28" t="s">
        <v>1860</v>
      </c>
      <c r="G157" s="140" t="s">
        <v>1342</v>
      </c>
      <c r="H157" s="28" t="s">
        <v>1028</v>
      </c>
      <c r="I157" s="28" t="s">
        <v>933</v>
      </c>
      <c r="J157" s="28" t="s">
        <v>1859</v>
      </c>
      <c r="K157" s="28" t="s">
        <v>1505</v>
      </c>
      <c r="L157" s="28" t="s">
        <v>949</v>
      </c>
      <c r="M157" s="143" t="s">
        <v>41</v>
      </c>
      <c r="N157" s="28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4.4">
      <c r="A158" s="28" t="s">
        <v>882</v>
      </c>
      <c r="B158" s="28" t="s">
        <v>883</v>
      </c>
      <c r="C158" s="107" t="s">
        <v>260</v>
      </c>
      <c r="D158" s="107" t="s">
        <v>1337</v>
      </c>
      <c r="E158" s="107"/>
      <c r="F158" s="28" t="s">
        <v>1861</v>
      </c>
      <c r="G158" s="140" t="s">
        <v>1342</v>
      </c>
      <c r="H158" s="28" t="s">
        <v>1028</v>
      </c>
      <c r="I158" s="28" t="s">
        <v>933</v>
      </c>
      <c r="J158" s="28" t="s">
        <v>1859</v>
      </c>
      <c r="K158" s="28" t="s">
        <v>1184</v>
      </c>
      <c r="L158" s="28" t="s">
        <v>949</v>
      </c>
      <c r="M158" s="143" t="s">
        <v>41</v>
      </c>
      <c r="N158" s="28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4.4">
      <c r="A159" s="28" t="s">
        <v>882</v>
      </c>
      <c r="B159" s="28" t="s">
        <v>883</v>
      </c>
      <c r="C159" s="107" t="s">
        <v>260</v>
      </c>
      <c r="D159" s="107" t="s">
        <v>1337</v>
      </c>
      <c r="E159" s="107"/>
      <c r="F159" s="28" t="s">
        <v>1863</v>
      </c>
      <c r="G159" s="140" t="s">
        <v>1342</v>
      </c>
      <c r="H159" s="28" t="s">
        <v>1028</v>
      </c>
      <c r="I159" s="28" t="s">
        <v>933</v>
      </c>
      <c r="J159" s="28" t="s">
        <v>1859</v>
      </c>
      <c r="K159" s="28" t="s">
        <v>897</v>
      </c>
      <c r="L159" s="28" t="s">
        <v>949</v>
      </c>
      <c r="M159" s="143" t="s">
        <v>41</v>
      </c>
      <c r="N159" s="28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4.4">
      <c r="A160" s="28" t="s">
        <v>882</v>
      </c>
      <c r="B160" s="28" t="s">
        <v>883</v>
      </c>
      <c r="C160" s="107" t="s">
        <v>260</v>
      </c>
      <c r="D160" s="107" t="s">
        <v>1337</v>
      </c>
      <c r="E160" s="107"/>
      <c r="F160" s="28" t="s">
        <v>1864</v>
      </c>
      <c r="G160" s="140" t="s">
        <v>1342</v>
      </c>
      <c r="H160" s="28" t="s">
        <v>1028</v>
      </c>
      <c r="I160" s="28" t="s">
        <v>933</v>
      </c>
      <c r="J160" s="28" t="s">
        <v>1859</v>
      </c>
      <c r="K160" s="28" t="s">
        <v>1866</v>
      </c>
      <c r="L160" s="28" t="s">
        <v>949</v>
      </c>
      <c r="M160" s="143" t="s">
        <v>41</v>
      </c>
      <c r="N160" s="28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4.4">
      <c r="A161" s="28" t="s">
        <v>882</v>
      </c>
      <c r="B161" s="28" t="s">
        <v>883</v>
      </c>
      <c r="C161" s="107" t="s">
        <v>260</v>
      </c>
      <c r="D161" s="107" t="s">
        <v>1337</v>
      </c>
      <c r="E161" s="107"/>
      <c r="F161" s="28" t="s">
        <v>1867</v>
      </c>
      <c r="G161" s="140" t="s">
        <v>1342</v>
      </c>
      <c r="H161" s="28" t="s">
        <v>1028</v>
      </c>
      <c r="I161" s="28" t="s">
        <v>933</v>
      </c>
      <c r="J161" s="28" t="s">
        <v>1859</v>
      </c>
      <c r="K161" s="28" t="s">
        <v>1869</v>
      </c>
      <c r="L161" s="28" t="s">
        <v>949</v>
      </c>
      <c r="M161" s="143" t="s">
        <v>41</v>
      </c>
      <c r="N161" s="28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4.4">
      <c r="A162" s="28" t="s">
        <v>882</v>
      </c>
      <c r="B162" s="28" t="s">
        <v>924</v>
      </c>
      <c r="C162" s="107" t="s">
        <v>260</v>
      </c>
      <c r="D162" s="107" t="s">
        <v>1337</v>
      </c>
      <c r="E162" s="107"/>
      <c r="F162" s="28" t="s">
        <v>1870</v>
      </c>
      <c r="G162" s="140" t="s">
        <v>1342</v>
      </c>
      <c r="H162" s="28" t="s">
        <v>1064</v>
      </c>
      <c r="I162" s="28" t="s">
        <v>933</v>
      </c>
      <c r="J162" s="28" t="s">
        <v>1871</v>
      </c>
      <c r="K162" s="28" t="s">
        <v>1717</v>
      </c>
      <c r="L162" s="28" t="s">
        <v>935</v>
      </c>
      <c r="M162" s="143" t="s">
        <v>41</v>
      </c>
      <c r="N162" s="28" t="s">
        <v>1872</v>
      </c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4.4">
      <c r="A163" s="28" t="s">
        <v>882</v>
      </c>
      <c r="B163" s="28" t="s">
        <v>924</v>
      </c>
      <c r="C163" s="107" t="s">
        <v>260</v>
      </c>
      <c r="D163" s="107" t="s">
        <v>1337</v>
      </c>
      <c r="E163" s="107"/>
      <c r="F163" s="28" t="s">
        <v>1874</v>
      </c>
      <c r="G163" s="140" t="s">
        <v>1342</v>
      </c>
      <c r="H163" s="28" t="s">
        <v>1064</v>
      </c>
      <c r="I163" s="28" t="s">
        <v>933</v>
      </c>
      <c r="J163" s="28" t="s">
        <v>1871</v>
      </c>
      <c r="K163" s="28" t="s">
        <v>1717</v>
      </c>
      <c r="L163" s="28" t="s">
        <v>935</v>
      </c>
      <c r="M163" s="143" t="s">
        <v>41</v>
      </c>
      <c r="N163" s="28" t="s">
        <v>1872</v>
      </c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4.4">
      <c r="A164" s="28" t="s">
        <v>882</v>
      </c>
      <c r="B164" s="28" t="s">
        <v>924</v>
      </c>
      <c r="C164" s="107" t="s">
        <v>260</v>
      </c>
      <c r="D164" s="107" t="s">
        <v>1337</v>
      </c>
      <c r="E164" s="107"/>
      <c r="F164" s="28" t="s">
        <v>1875</v>
      </c>
      <c r="G164" s="140" t="s">
        <v>1342</v>
      </c>
      <c r="H164" s="28" t="s">
        <v>1064</v>
      </c>
      <c r="I164" s="28" t="s">
        <v>933</v>
      </c>
      <c r="J164" s="28" t="s">
        <v>1871</v>
      </c>
      <c r="K164" s="28" t="s">
        <v>1717</v>
      </c>
      <c r="L164" s="28" t="s">
        <v>935</v>
      </c>
      <c r="M164" s="143" t="s">
        <v>41</v>
      </c>
      <c r="N164" s="28" t="s">
        <v>1872</v>
      </c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4.4">
      <c r="A165" s="28" t="s">
        <v>882</v>
      </c>
      <c r="B165" s="28" t="s">
        <v>912</v>
      </c>
      <c r="C165" s="107" t="s">
        <v>260</v>
      </c>
      <c r="D165" s="107" t="s">
        <v>1337</v>
      </c>
      <c r="E165" s="107"/>
      <c r="F165" s="28" t="s">
        <v>1877</v>
      </c>
      <c r="G165" s="140" t="s">
        <v>1342</v>
      </c>
      <c r="H165" s="28" t="s">
        <v>1086</v>
      </c>
      <c r="I165" s="28" t="s">
        <v>916</v>
      </c>
      <c r="J165" s="28" t="s">
        <v>1879</v>
      </c>
      <c r="K165" s="28" t="s">
        <v>1880</v>
      </c>
      <c r="L165" s="28" t="s">
        <v>921</v>
      </c>
      <c r="M165" s="143" t="s">
        <v>41</v>
      </c>
      <c r="N165" s="28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4.4">
      <c r="A166" s="28" t="s">
        <v>882</v>
      </c>
      <c r="B166" s="28" t="s">
        <v>912</v>
      </c>
      <c r="C166" s="107" t="s">
        <v>260</v>
      </c>
      <c r="D166" s="107" t="s">
        <v>1337</v>
      </c>
      <c r="E166" s="107"/>
      <c r="F166" s="28" t="s">
        <v>1881</v>
      </c>
      <c r="G166" s="140" t="s">
        <v>1342</v>
      </c>
      <c r="H166" s="28" t="s">
        <v>1086</v>
      </c>
      <c r="I166" s="28" t="s">
        <v>916</v>
      </c>
      <c r="J166" s="28" t="s">
        <v>1879</v>
      </c>
      <c r="K166" s="28" t="s">
        <v>1884</v>
      </c>
      <c r="L166" s="28" t="s">
        <v>921</v>
      </c>
      <c r="M166" s="143" t="s">
        <v>41</v>
      </c>
      <c r="N166" s="28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4.4">
      <c r="A167" s="28" t="s">
        <v>882</v>
      </c>
      <c r="B167" s="28" t="s">
        <v>912</v>
      </c>
      <c r="C167" s="107" t="s">
        <v>260</v>
      </c>
      <c r="D167" s="107" t="s">
        <v>1337</v>
      </c>
      <c r="E167" s="107"/>
      <c r="F167" s="28" t="s">
        <v>1885</v>
      </c>
      <c r="G167" s="140" t="s">
        <v>1342</v>
      </c>
      <c r="H167" s="28" t="s">
        <v>1086</v>
      </c>
      <c r="I167" s="28" t="s">
        <v>916</v>
      </c>
      <c r="J167" s="28" t="s">
        <v>1879</v>
      </c>
      <c r="K167" s="28" t="s">
        <v>1886</v>
      </c>
      <c r="L167" s="28" t="s">
        <v>921</v>
      </c>
      <c r="M167" s="143" t="s">
        <v>41</v>
      </c>
      <c r="N167" s="28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4.4">
      <c r="A168" s="28" t="s">
        <v>882</v>
      </c>
      <c r="B168" s="28" t="s">
        <v>912</v>
      </c>
      <c r="C168" s="107" t="s">
        <v>260</v>
      </c>
      <c r="D168" s="107" t="s">
        <v>1337</v>
      </c>
      <c r="E168" s="107"/>
      <c r="F168" s="28" t="s">
        <v>1888</v>
      </c>
      <c r="G168" s="140" t="s">
        <v>1342</v>
      </c>
      <c r="H168" s="28" t="s">
        <v>1086</v>
      </c>
      <c r="I168" s="28" t="s">
        <v>916</v>
      </c>
      <c r="J168" s="28" t="s">
        <v>1879</v>
      </c>
      <c r="K168" s="28" t="s">
        <v>1889</v>
      </c>
      <c r="L168" s="28" t="s">
        <v>921</v>
      </c>
      <c r="M168" s="143" t="s">
        <v>41</v>
      </c>
      <c r="N168" s="28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4.4">
      <c r="A169" s="28" t="s">
        <v>882</v>
      </c>
      <c r="B169" s="28" t="s">
        <v>912</v>
      </c>
      <c r="C169" s="107" t="s">
        <v>260</v>
      </c>
      <c r="D169" s="107" t="s">
        <v>1337</v>
      </c>
      <c r="E169" s="107"/>
      <c r="F169" s="28" t="s">
        <v>1890</v>
      </c>
      <c r="G169" s="140" t="s">
        <v>1342</v>
      </c>
      <c r="H169" s="28" t="s">
        <v>1086</v>
      </c>
      <c r="I169" s="28" t="s">
        <v>916</v>
      </c>
      <c r="J169" s="28" t="s">
        <v>1879</v>
      </c>
      <c r="K169" s="28" t="s">
        <v>1892</v>
      </c>
      <c r="L169" s="28" t="s">
        <v>921</v>
      </c>
      <c r="M169" s="143" t="s">
        <v>41</v>
      </c>
      <c r="N169" s="28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4.4">
      <c r="A170" s="28" t="s">
        <v>882</v>
      </c>
      <c r="B170" s="28" t="s">
        <v>912</v>
      </c>
      <c r="C170" s="107" t="s">
        <v>260</v>
      </c>
      <c r="D170" s="107" t="s">
        <v>1337</v>
      </c>
      <c r="E170" s="107"/>
      <c r="F170" s="28" t="s">
        <v>1894</v>
      </c>
      <c r="G170" s="140" t="s">
        <v>1342</v>
      </c>
      <c r="H170" s="28" t="s">
        <v>1086</v>
      </c>
      <c r="I170" s="28" t="s">
        <v>916</v>
      </c>
      <c r="J170" s="28" t="s">
        <v>1879</v>
      </c>
      <c r="K170" s="28" t="s">
        <v>1292</v>
      </c>
      <c r="L170" s="28" t="s">
        <v>921</v>
      </c>
      <c r="M170" s="143" t="s">
        <v>41</v>
      </c>
      <c r="N170" s="28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4.4">
      <c r="A171" s="28" t="s">
        <v>882</v>
      </c>
      <c r="B171" s="28" t="s">
        <v>912</v>
      </c>
      <c r="C171" s="107" t="s">
        <v>260</v>
      </c>
      <c r="D171" s="107" t="s">
        <v>1337</v>
      </c>
      <c r="E171" s="107"/>
      <c r="F171" s="28" t="s">
        <v>1896</v>
      </c>
      <c r="G171" s="140" t="s">
        <v>1342</v>
      </c>
      <c r="H171" s="28" t="s">
        <v>1086</v>
      </c>
      <c r="I171" s="28" t="s">
        <v>916</v>
      </c>
      <c r="J171" s="28" t="s">
        <v>1879</v>
      </c>
      <c r="K171" s="28" t="s">
        <v>1897</v>
      </c>
      <c r="L171" s="28" t="s">
        <v>921</v>
      </c>
      <c r="M171" s="143" t="s">
        <v>41</v>
      </c>
      <c r="N171" s="28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4.4">
      <c r="A172" s="28" t="s">
        <v>882</v>
      </c>
      <c r="B172" s="28" t="s">
        <v>912</v>
      </c>
      <c r="C172" s="107" t="s">
        <v>260</v>
      </c>
      <c r="D172" s="107" t="s">
        <v>1337</v>
      </c>
      <c r="E172" s="107"/>
      <c r="F172" s="28" t="s">
        <v>1899</v>
      </c>
      <c r="G172" s="140" t="s">
        <v>1342</v>
      </c>
      <c r="H172" s="28" t="s">
        <v>1086</v>
      </c>
      <c r="I172" s="28" t="s">
        <v>916</v>
      </c>
      <c r="J172" s="28" t="s">
        <v>1879</v>
      </c>
      <c r="K172" s="28" t="s">
        <v>986</v>
      </c>
      <c r="L172" s="28" t="s">
        <v>921</v>
      </c>
      <c r="M172" s="143" t="s">
        <v>41</v>
      </c>
      <c r="N172" s="28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4.4">
      <c r="A173" s="28" t="s">
        <v>882</v>
      </c>
      <c r="B173" s="28" t="s">
        <v>912</v>
      </c>
      <c r="C173" s="107" t="s">
        <v>260</v>
      </c>
      <c r="D173" s="107" t="s">
        <v>1337</v>
      </c>
      <c r="E173" s="107"/>
      <c r="F173" s="28" t="s">
        <v>1900</v>
      </c>
      <c r="G173" s="140" t="s">
        <v>1342</v>
      </c>
      <c r="H173" s="28" t="s">
        <v>1086</v>
      </c>
      <c r="I173" s="28" t="s">
        <v>916</v>
      </c>
      <c r="J173" s="28" t="s">
        <v>1879</v>
      </c>
      <c r="K173" s="28" t="s">
        <v>1901</v>
      </c>
      <c r="L173" s="28" t="s">
        <v>921</v>
      </c>
      <c r="M173" s="143" t="s">
        <v>41</v>
      </c>
      <c r="N173" s="28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4.4">
      <c r="A174" s="28" t="s">
        <v>882</v>
      </c>
      <c r="B174" s="28" t="s">
        <v>912</v>
      </c>
      <c r="C174" s="107" t="s">
        <v>260</v>
      </c>
      <c r="D174" s="107" t="s">
        <v>1337</v>
      </c>
      <c r="E174" s="107"/>
      <c r="F174" s="28" t="s">
        <v>1902</v>
      </c>
      <c r="G174" s="140" t="s">
        <v>1342</v>
      </c>
      <c r="H174" s="28" t="s">
        <v>1086</v>
      </c>
      <c r="I174" s="28" t="s">
        <v>916</v>
      </c>
      <c r="J174" s="28" t="s">
        <v>1879</v>
      </c>
      <c r="K174" s="28" t="s">
        <v>1649</v>
      </c>
      <c r="L174" s="28" t="s">
        <v>921</v>
      </c>
      <c r="M174" s="143" t="s">
        <v>41</v>
      </c>
      <c r="N174" s="28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4.4">
      <c r="A175" s="28" t="s">
        <v>882</v>
      </c>
      <c r="B175" s="28" t="s">
        <v>1904</v>
      </c>
      <c r="C175" s="28" t="s">
        <v>20</v>
      </c>
      <c r="D175" s="28" t="s">
        <v>1305</v>
      </c>
      <c r="E175" s="28"/>
      <c r="F175" s="79" t="s">
        <v>1906</v>
      </c>
      <c r="G175" s="28" t="s">
        <v>1907</v>
      </c>
      <c r="H175" s="28" t="s">
        <v>1908</v>
      </c>
      <c r="I175" s="28" t="s">
        <v>335</v>
      </c>
      <c r="J175" s="28" t="s">
        <v>1909</v>
      </c>
      <c r="K175" s="28" t="s">
        <v>1908</v>
      </c>
      <c r="L175" s="28" t="s">
        <v>1904</v>
      </c>
      <c r="M175" s="143" t="s">
        <v>41</v>
      </c>
      <c r="N175" s="28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4.4">
      <c r="A176" s="28" t="s">
        <v>882</v>
      </c>
      <c r="B176" s="28" t="s">
        <v>1904</v>
      </c>
      <c r="C176" s="28" t="s">
        <v>20</v>
      </c>
      <c r="D176" s="28" t="s">
        <v>1305</v>
      </c>
      <c r="E176" s="28"/>
      <c r="F176" s="79" t="s">
        <v>1911</v>
      </c>
      <c r="G176" s="28" t="s">
        <v>1912</v>
      </c>
      <c r="H176" s="28" t="s">
        <v>1913</v>
      </c>
      <c r="I176" s="28" t="s">
        <v>1914</v>
      </c>
      <c r="J176" s="28" t="s">
        <v>1915</v>
      </c>
      <c r="K176" s="28" t="s">
        <v>1913</v>
      </c>
      <c r="L176" s="28" t="s">
        <v>1904</v>
      </c>
      <c r="M176" s="143" t="s">
        <v>41</v>
      </c>
      <c r="N176" s="28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4.4">
      <c r="A177" s="28" t="s">
        <v>882</v>
      </c>
      <c r="B177" s="28" t="s">
        <v>1904</v>
      </c>
      <c r="C177" s="28" t="s">
        <v>20</v>
      </c>
      <c r="D177" s="28" t="s">
        <v>1305</v>
      </c>
      <c r="E177" s="153"/>
      <c r="F177" s="154" t="s">
        <v>1916</v>
      </c>
      <c r="G177" s="28" t="s">
        <v>1917</v>
      </c>
      <c r="H177" s="28" t="s">
        <v>1908</v>
      </c>
      <c r="I177" s="28" t="s">
        <v>335</v>
      </c>
      <c r="J177" s="28" t="s">
        <v>1918</v>
      </c>
      <c r="K177" s="28" t="s">
        <v>1908</v>
      </c>
      <c r="L177" s="28" t="s">
        <v>1904</v>
      </c>
      <c r="M177" s="143" t="s">
        <v>41</v>
      </c>
      <c r="N177" s="28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4.4">
      <c r="A178" s="28" t="s">
        <v>882</v>
      </c>
      <c r="B178" s="28" t="s">
        <v>941</v>
      </c>
      <c r="C178" s="28" t="s">
        <v>20</v>
      </c>
      <c r="D178" s="28" t="s">
        <v>1305</v>
      </c>
      <c r="E178" s="28"/>
      <c r="F178" s="79" t="s">
        <v>1920</v>
      </c>
      <c r="G178" s="28" t="s">
        <v>1921</v>
      </c>
      <c r="H178" s="28" t="s">
        <v>1922</v>
      </c>
      <c r="I178" s="28" t="s">
        <v>1923</v>
      </c>
      <c r="J178" s="28" t="s">
        <v>1924</v>
      </c>
      <c r="K178" s="28" t="s">
        <v>1922</v>
      </c>
      <c r="L178" s="28" t="s">
        <v>973</v>
      </c>
      <c r="M178" s="143" t="s">
        <v>41</v>
      </c>
      <c r="N178" s="28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4.4">
      <c r="A179" s="28" t="s">
        <v>882</v>
      </c>
      <c r="B179" s="28" t="s">
        <v>1925</v>
      </c>
      <c r="C179" s="28" t="s">
        <v>20</v>
      </c>
      <c r="D179" s="28" t="s">
        <v>1305</v>
      </c>
      <c r="E179" s="28"/>
      <c r="F179" s="79" t="s">
        <v>1927</v>
      </c>
      <c r="G179" s="28" t="s">
        <v>1928</v>
      </c>
      <c r="H179" s="28" t="s">
        <v>1922</v>
      </c>
      <c r="I179" s="28" t="s">
        <v>1923</v>
      </c>
      <c r="J179" s="28" t="s">
        <v>1929</v>
      </c>
      <c r="K179" s="28" t="s">
        <v>1922</v>
      </c>
      <c r="L179" s="28" t="s">
        <v>1930</v>
      </c>
      <c r="M179" s="143" t="s">
        <v>41</v>
      </c>
      <c r="N179" s="28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4.4">
      <c r="A180" s="28" t="s">
        <v>882</v>
      </c>
      <c r="B180" s="28" t="s">
        <v>1931</v>
      </c>
      <c r="C180" s="155" t="s">
        <v>20</v>
      </c>
      <c r="D180" s="28" t="s">
        <v>1305</v>
      </c>
      <c r="E180" s="28"/>
      <c r="F180" s="79" t="s">
        <v>1933</v>
      </c>
      <c r="G180" s="28" t="s">
        <v>1934</v>
      </c>
      <c r="H180" s="28" t="s">
        <v>1935</v>
      </c>
      <c r="I180" s="28" t="s">
        <v>1610</v>
      </c>
      <c r="J180" s="155" t="s">
        <v>1936</v>
      </c>
      <c r="K180" s="28" t="s">
        <v>1935</v>
      </c>
      <c r="L180" s="28" t="s">
        <v>1937</v>
      </c>
      <c r="M180" s="143" t="s">
        <v>41</v>
      </c>
      <c r="N180" s="155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4.4">
      <c r="A181" s="28" t="s">
        <v>882</v>
      </c>
      <c r="B181" s="28" t="s">
        <v>1942</v>
      </c>
      <c r="C181" s="28" t="s">
        <v>20</v>
      </c>
      <c r="D181" s="28" t="s">
        <v>1305</v>
      </c>
      <c r="E181" s="28"/>
      <c r="F181" s="79" t="s">
        <v>1943</v>
      </c>
      <c r="G181" s="28" t="s">
        <v>1944</v>
      </c>
      <c r="H181" s="28" t="s">
        <v>1945</v>
      </c>
      <c r="I181" s="28" t="s">
        <v>933</v>
      </c>
      <c r="J181" s="28" t="s">
        <v>1929</v>
      </c>
      <c r="K181" s="28" t="s">
        <v>1945</v>
      </c>
      <c r="L181" s="28" t="s">
        <v>1014</v>
      </c>
      <c r="M181" s="143" t="s">
        <v>41</v>
      </c>
      <c r="N181" s="28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4.4">
      <c r="A182" s="28" t="s">
        <v>882</v>
      </c>
      <c r="B182" s="28" t="s">
        <v>1942</v>
      </c>
      <c r="C182" s="28" t="s">
        <v>20</v>
      </c>
      <c r="D182" s="28" t="s">
        <v>1305</v>
      </c>
      <c r="E182" s="28"/>
      <c r="F182" s="79" t="s">
        <v>1947</v>
      </c>
      <c r="G182" s="28" t="s">
        <v>1948</v>
      </c>
      <c r="H182" s="28" t="s">
        <v>1949</v>
      </c>
      <c r="I182" s="28" t="s">
        <v>1610</v>
      </c>
      <c r="J182" s="28" t="s">
        <v>1950</v>
      </c>
      <c r="K182" s="28" t="s">
        <v>1949</v>
      </c>
      <c r="L182" s="28" t="s">
        <v>1014</v>
      </c>
      <c r="M182" s="143" t="s">
        <v>41</v>
      </c>
      <c r="N182" s="28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28.8">
      <c r="A183" s="28" t="s">
        <v>882</v>
      </c>
      <c r="B183" s="156"/>
      <c r="C183" s="125" t="s">
        <v>1588</v>
      </c>
      <c r="D183" s="157">
        <v>1498000</v>
      </c>
      <c r="E183" s="126"/>
      <c r="F183" s="127" t="s">
        <v>1954</v>
      </c>
      <c r="G183" s="119" t="s">
        <v>1955</v>
      </c>
      <c r="H183" s="119" t="s">
        <v>1913</v>
      </c>
      <c r="I183" s="119" t="s">
        <v>898</v>
      </c>
      <c r="J183" s="156"/>
      <c r="K183" s="156"/>
      <c r="L183" s="156"/>
      <c r="M183" s="156"/>
      <c r="N183" s="156"/>
      <c r="O183" s="156"/>
      <c r="P183" s="156"/>
    </row>
    <row r="184" spans="1:26" ht="28.8">
      <c r="A184" s="28" t="s">
        <v>882</v>
      </c>
      <c r="B184" s="156"/>
      <c r="C184" s="125" t="s">
        <v>1588</v>
      </c>
      <c r="D184" s="157">
        <v>1498000</v>
      </c>
      <c r="E184" s="126"/>
      <c r="F184" s="127" t="s">
        <v>1958</v>
      </c>
      <c r="G184" s="119" t="s">
        <v>1959</v>
      </c>
      <c r="H184" s="119" t="s">
        <v>1913</v>
      </c>
      <c r="I184" s="119" t="s">
        <v>898</v>
      </c>
      <c r="J184" s="156"/>
      <c r="K184" s="156"/>
      <c r="L184" s="156"/>
      <c r="M184" s="156"/>
      <c r="N184" s="156"/>
      <c r="O184" s="156"/>
      <c r="P184" s="156"/>
    </row>
    <row r="185" spans="1:26" ht="28.8">
      <c r="A185" s="28" t="s">
        <v>882</v>
      </c>
      <c r="B185" s="156"/>
      <c r="C185" s="127" t="s">
        <v>1588</v>
      </c>
      <c r="D185" s="157">
        <v>1498000</v>
      </c>
      <c r="E185" s="126"/>
      <c r="F185" s="127" t="s">
        <v>1961</v>
      </c>
      <c r="G185" s="119" t="s">
        <v>1962</v>
      </c>
      <c r="H185" s="119" t="s">
        <v>1913</v>
      </c>
      <c r="I185" s="119" t="s">
        <v>898</v>
      </c>
      <c r="J185" s="156"/>
      <c r="K185" s="156"/>
      <c r="L185" s="156"/>
      <c r="M185" s="156"/>
      <c r="N185" s="156"/>
      <c r="O185" s="156"/>
      <c r="P185" s="156"/>
    </row>
    <row r="186" spans="1:26" ht="28.8">
      <c r="A186" s="28" t="s">
        <v>882</v>
      </c>
      <c r="B186" s="156"/>
      <c r="C186" s="127" t="s">
        <v>1588</v>
      </c>
      <c r="D186" s="157">
        <v>1498000</v>
      </c>
      <c r="E186" s="126"/>
      <c r="F186" s="127" t="s">
        <v>1963</v>
      </c>
      <c r="G186" s="119" t="s">
        <v>1964</v>
      </c>
      <c r="H186" s="119" t="s">
        <v>1913</v>
      </c>
      <c r="I186" s="119" t="s">
        <v>898</v>
      </c>
      <c r="J186" s="156"/>
      <c r="K186" s="156"/>
      <c r="L186" s="156"/>
      <c r="M186" s="156"/>
      <c r="N186" s="156"/>
      <c r="O186" s="156"/>
      <c r="P186" s="156"/>
    </row>
    <row r="187" spans="1:26" ht="28.8">
      <c r="A187" s="28" t="s">
        <v>882</v>
      </c>
      <c r="B187" s="156"/>
      <c r="C187" s="127" t="s">
        <v>1588</v>
      </c>
      <c r="D187" s="157">
        <v>1498000</v>
      </c>
      <c r="E187" s="126"/>
      <c r="F187" s="127" t="s">
        <v>1965</v>
      </c>
      <c r="G187" s="119" t="s">
        <v>1967</v>
      </c>
      <c r="H187" s="119" t="s">
        <v>1913</v>
      </c>
      <c r="I187" s="119" t="s">
        <v>898</v>
      </c>
      <c r="J187" s="156"/>
      <c r="K187" s="156"/>
      <c r="L187" s="156"/>
      <c r="M187" s="156"/>
      <c r="N187" s="156"/>
      <c r="O187" s="156"/>
      <c r="P187" s="156"/>
    </row>
    <row r="188" spans="1:26" ht="28.8">
      <c r="A188" s="28" t="s">
        <v>882</v>
      </c>
      <c r="B188" s="156"/>
      <c r="C188" s="127" t="s">
        <v>1588</v>
      </c>
      <c r="D188" s="157">
        <v>1498000</v>
      </c>
      <c r="E188" s="126"/>
      <c r="F188" s="127" t="s">
        <v>1968</v>
      </c>
      <c r="G188" s="119" t="s">
        <v>1969</v>
      </c>
      <c r="H188" s="119" t="s">
        <v>1913</v>
      </c>
      <c r="I188" s="119" t="s">
        <v>898</v>
      </c>
      <c r="J188" s="156"/>
      <c r="K188" s="156"/>
      <c r="L188" s="156"/>
      <c r="M188" s="156"/>
      <c r="N188" s="156"/>
      <c r="O188" s="156"/>
      <c r="P188" s="156"/>
    </row>
    <row r="189" spans="1:26" ht="28.8">
      <c r="A189" s="28" t="s">
        <v>882</v>
      </c>
      <c r="B189" s="156"/>
      <c r="C189" s="127" t="s">
        <v>1588</v>
      </c>
      <c r="D189" s="157">
        <v>1498000</v>
      </c>
      <c r="E189" s="126"/>
      <c r="F189" s="127" t="s">
        <v>1970</v>
      </c>
      <c r="G189" s="119" t="s">
        <v>1971</v>
      </c>
      <c r="H189" s="119" t="s">
        <v>1913</v>
      </c>
      <c r="I189" s="119" t="s">
        <v>898</v>
      </c>
      <c r="J189" s="156"/>
      <c r="K189" s="156"/>
      <c r="L189" s="156"/>
      <c r="M189" s="156"/>
      <c r="N189" s="156"/>
      <c r="O189" s="156"/>
      <c r="P189" s="156"/>
    </row>
    <row r="190" spans="1:26" ht="13.2">
      <c r="A190" s="156"/>
      <c r="B190" s="156"/>
      <c r="C190" s="156"/>
      <c r="D190" s="156"/>
      <c r="E190" s="156"/>
      <c r="F190" s="156"/>
      <c r="G190" s="156"/>
      <c r="H190" s="156"/>
      <c r="I190" s="156"/>
      <c r="J190" s="156"/>
      <c r="K190" s="156"/>
      <c r="L190" s="156"/>
      <c r="M190" s="156"/>
      <c r="N190" s="156"/>
      <c r="O190" s="156"/>
      <c r="P190" s="156"/>
    </row>
    <row r="191" spans="1:26" ht="13.2">
      <c r="A191" s="156"/>
      <c r="B191" s="156"/>
      <c r="C191" s="156"/>
      <c r="D191" s="156"/>
      <c r="E191" s="156"/>
      <c r="F191" s="156"/>
      <c r="G191" s="156"/>
      <c r="H191" s="156"/>
      <c r="I191" s="156"/>
      <c r="J191" s="156"/>
      <c r="K191" s="156"/>
      <c r="L191" s="156"/>
      <c r="M191" s="156"/>
      <c r="N191" s="156"/>
      <c r="O191" s="156"/>
      <c r="P191" s="156"/>
    </row>
    <row r="192" spans="1:26" ht="13.2">
      <c r="A192" s="156"/>
      <c r="B192" s="156"/>
      <c r="C192" s="156"/>
      <c r="D192" s="156"/>
      <c r="E192" s="156"/>
      <c r="F192" s="156"/>
      <c r="G192" s="156"/>
      <c r="H192" s="156"/>
      <c r="I192" s="156"/>
      <c r="J192" s="156"/>
      <c r="K192" s="156"/>
      <c r="L192" s="156"/>
      <c r="M192" s="156"/>
      <c r="N192" s="156"/>
      <c r="O192" s="156"/>
      <c r="P192" s="156"/>
    </row>
    <row r="193" spans="1:16" ht="13.2">
      <c r="A193" s="156"/>
      <c r="B193" s="156"/>
      <c r="C193" s="156"/>
      <c r="D193" s="156"/>
      <c r="E193" s="156"/>
      <c r="F193" s="156"/>
      <c r="G193" s="156"/>
      <c r="H193" s="156"/>
      <c r="I193" s="156"/>
      <c r="J193" s="156"/>
      <c r="K193" s="156"/>
      <c r="L193" s="156"/>
      <c r="M193" s="156"/>
      <c r="N193" s="156"/>
      <c r="O193" s="156"/>
      <c r="P193" s="156"/>
    </row>
    <row r="194" spans="1:16" ht="13.2">
      <c r="A194" s="156"/>
      <c r="B194" s="156"/>
      <c r="C194" s="156"/>
      <c r="D194" s="156"/>
      <c r="E194" s="156"/>
      <c r="F194" s="156"/>
      <c r="G194" s="156"/>
      <c r="H194" s="156"/>
      <c r="I194" s="156"/>
      <c r="J194" s="156"/>
      <c r="K194" s="156"/>
      <c r="L194" s="156"/>
      <c r="M194" s="156"/>
      <c r="N194" s="156"/>
      <c r="O194" s="156"/>
      <c r="P194" s="156"/>
    </row>
    <row r="195" spans="1:16" ht="13.2">
      <c r="A195" s="156"/>
      <c r="B195" s="156"/>
      <c r="C195" s="156"/>
      <c r="D195" s="156"/>
      <c r="E195" s="156"/>
      <c r="F195" s="156"/>
      <c r="G195" s="156"/>
      <c r="H195" s="156"/>
      <c r="I195" s="156"/>
      <c r="J195" s="156"/>
      <c r="K195" s="156"/>
      <c r="L195" s="156"/>
      <c r="M195" s="156"/>
      <c r="N195" s="156"/>
      <c r="O195" s="156"/>
      <c r="P195" s="156"/>
    </row>
    <row r="196" spans="1:16" ht="13.2">
      <c r="A196" s="156"/>
      <c r="B196" s="156"/>
      <c r="C196" s="156"/>
      <c r="D196" s="156"/>
      <c r="E196" s="156"/>
      <c r="F196" s="156"/>
      <c r="G196" s="156"/>
      <c r="H196" s="156"/>
      <c r="I196" s="156"/>
      <c r="J196" s="156"/>
      <c r="K196" s="156"/>
      <c r="L196" s="156"/>
      <c r="M196" s="156"/>
      <c r="N196" s="156"/>
      <c r="O196" s="156"/>
      <c r="P196" s="156"/>
    </row>
    <row r="197" spans="1:16" ht="13.2">
      <c r="A197" s="156"/>
      <c r="B197" s="156"/>
      <c r="C197" s="156"/>
      <c r="D197" s="156"/>
      <c r="E197" s="156"/>
      <c r="F197" s="156"/>
      <c r="G197" s="156"/>
      <c r="H197" s="156"/>
      <c r="I197" s="156"/>
      <c r="J197" s="156"/>
      <c r="K197" s="156"/>
      <c r="L197" s="156"/>
      <c r="M197" s="156"/>
      <c r="N197" s="156"/>
      <c r="O197" s="156"/>
      <c r="P197" s="156"/>
    </row>
    <row r="198" spans="1:16" ht="13.2">
      <c r="A198" s="156"/>
      <c r="B198" s="156"/>
      <c r="C198" s="156"/>
      <c r="D198" s="156"/>
      <c r="E198" s="156"/>
      <c r="F198" s="156"/>
      <c r="G198" s="156"/>
      <c r="H198" s="156"/>
      <c r="I198" s="156"/>
      <c r="J198" s="156"/>
      <c r="K198" s="156"/>
      <c r="L198" s="156"/>
      <c r="M198" s="156"/>
      <c r="N198" s="156"/>
      <c r="O198" s="156"/>
      <c r="P198" s="156"/>
    </row>
    <row r="199" spans="1:16" ht="13.2">
      <c r="A199" s="355" t="s">
        <v>1642</v>
      </c>
      <c r="B199" s="354"/>
      <c r="C199" s="354"/>
      <c r="D199" s="158"/>
      <c r="E199" s="158"/>
      <c r="F199" s="158"/>
      <c r="G199" s="158"/>
      <c r="H199" s="156"/>
      <c r="I199" s="156"/>
      <c r="J199" s="156"/>
      <c r="K199" s="156"/>
      <c r="L199" s="156"/>
      <c r="M199" s="156"/>
      <c r="N199" s="156"/>
      <c r="O199" s="156"/>
      <c r="P199" s="156"/>
    </row>
    <row r="200" spans="1:16" ht="13.2">
      <c r="A200" s="355" t="s">
        <v>1645</v>
      </c>
      <c r="B200" s="354"/>
      <c r="C200" s="354"/>
      <c r="D200" s="354"/>
      <c r="E200" s="354"/>
      <c r="F200" s="354"/>
      <c r="G200" s="354"/>
    </row>
    <row r="201" spans="1:16" ht="13.2">
      <c r="A201" s="355" t="s">
        <v>1646</v>
      </c>
      <c r="B201" s="354"/>
      <c r="C201" s="354"/>
      <c r="D201" s="354"/>
      <c r="E201" s="158"/>
      <c r="F201" s="158"/>
      <c r="G201" s="158"/>
    </row>
  </sheetData>
  <autoFilter ref="A2:Z189" xr:uid="{00000000-0009-0000-0000-000004000000}"/>
  <mergeCells count="3">
    <mergeCell ref="A199:C199"/>
    <mergeCell ref="A200:G200"/>
    <mergeCell ref="A201:D20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F1017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/>
  <cols>
    <col min="1" max="1" width="9.21875" customWidth="1"/>
    <col min="2" max="2" width="12.77734375" customWidth="1"/>
    <col min="3" max="3" width="38.6640625" customWidth="1"/>
    <col min="6" max="6" width="23.21875" customWidth="1"/>
  </cols>
  <sheetData>
    <row r="1" spans="1:32" ht="15.75" customHeight="1">
      <c r="A1" s="99" t="s">
        <v>0</v>
      </c>
      <c r="B1" s="99"/>
      <c r="C1" s="99"/>
      <c r="D1" s="100"/>
      <c r="E1" s="100"/>
      <c r="F1" s="100"/>
      <c r="G1" s="100"/>
      <c r="H1" s="100"/>
      <c r="I1" s="100"/>
      <c r="J1" s="100"/>
      <c r="K1" s="100"/>
      <c r="L1" s="100"/>
      <c r="M1" s="119"/>
      <c r="N1" s="119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</row>
    <row r="2" spans="1:32" ht="15.75" customHeight="1">
      <c r="A2" s="159" t="s">
        <v>2</v>
      </c>
      <c r="B2" s="159" t="s">
        <v>3</v>
      </c>
      <c r="C2" s="159" t="s">
        <v>4</v>
      </c>
      <c r="D2" s="159" t="s">
        <v>5</v>
      </c>
      <c r="E2" s="159" t="s">
        <v>6</v>
      </c>
      <c r="F2" s="159" t="s">
        <v>8</v>
      </c>
      <c r="G2" s="159" t="s">
        <v>24</v>
      </c>
      <c r="H2" s="159" t="s">
        <v>10</v>
      </c>
      <c r="I2" s="159" t="s">
        <v>11</v>
      </c>
      <c r="J2" s="159" t="s">
        <v>12</v>
      </c>
      <c r="K2" s="159" t="s">
        <v>14</v>
      </c>
      <c r="L2" s="159" t="s">
        <v>15</v>
      </c>
      <c r="M2" s="159" t="s">
        <v>16</v>
      </c>
      <c r="N2" s="160" t="s">
        <v>17</v>
      </c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</row>
    <row r="3" spans="1:32" ht="15.75" customHeight="1">
      <c r="A3" s="140" t="s">
        <v>2100</v>
      </c>
      <c r="B3" s="140" t="s">
        <v>49</v>
      </c>
      <c r="C3" s="140" t="s">
        <v>85</v>
      </c>
      <c r="D3" s="140" t="s">
        <v>86</v>
      </c>
      <c r="E3" s="140" t="s">
        <v>54</v>
      </c>
      <c r="F3" s="140" t="s">
        <v>2102</v>
      </c>
      <c r="G3" s="140" t="s">
        <v>2104</v>
      </c>
      <c r="H3" s="140" t="s">
        <v>2105</v>
      </c>
      <c r="I3" s="140" t="s">
        <v>2106</v>
      </c>
      <c r="J3" s="140" t="s">
        <v>2107</v>
      </c>
      <c r="K3" s="140" t="s">
        <v>2105</v>
      </c>
      <c r="L3" s="140" t="s">
        <v>989</v>
      </c>
      <c r="M3" s="140" t="s">
        <v>41</v>
      </c>
      <c r="N3" s="155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</row>
    <row r="4" spans="1:32" ht="15.75" customHeight="1">
      <c r="A4" s="140" t="s">
        <v>2100</v>
      </c>
      <c r="B4" s="140" t="s">
        <v>49</v>
      </c>
      <c r="C4" s="140" t="s">
        <v>85</v>
      </c>
      <c r="D4" s="140" t="s">
        <v>86</v>
      </c>
      <c r="E4" s="140" t="s">
        <v>54</v>
      </c>
      <c r="F4" s="140" t="s">
        <v>2110</v>
      </c>
      <c r="G4" s="140" t="s">
        <v>2111</v>
      </c>
      <c r="H4" s="140" t="s">
        <v>2112</v>
      </c>
      <c r="I4" s="140" t="s">
        <v>2114</v>
      </c>
      <c r="J4" s="140" t="s">
        <v>2115</v>
      </c>
      <c r="K4" s="140" t="s">
        <v>2112</v>
      </c>
      <c r="L4" s="140" t="s">
        <v>989</v>
      </c>
      <c r="M4" s="140" t="s">
        <v>41</v>
      </c>
      <c r="N4" s="155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</row>
    <row r="5" spans="1:32" ht="15.75" customHeight="1">
      <c r="A5" s="140" t="s">
        <v>2100</v>
      </c>
      <c r="B5" s="140" t="s">
        <v>49</v>
      </c>
      <c r="C5" s="140" t="s">
        <v>85</v>
      </c>
      <c r="D5" s="140" t="s">
        <v>86</v>
      </c>
      <c r="E5" s="140" t="s">
        <v>54</v>
      </c>
      <c r="F5" s="140" t="s">
        <v>2117</v>
      </c>
      <c r="G5" s="140" t="s">
        <v>2118</v>
      </c>
      <c r="H5" s="140" t="s">
        <v>2119</v>
      </c>
      <c r="I5" s="140" t="s">
        <v>2120</v>
      </c>
      <c r="J5" s="140" t="s">
        <v>2121</v>
      </c>
      <c r="K5" s="140" t="s">
        <v>2122</v>
      </c>
      <c r="L5" s="140" t="s">
        <v>989</v>
      </c>
      <c r="M5" s="140" t="s">
        <v>41</v>
      </c>
      <c r="N5" s="155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</row>
    <row r="6" spans="1:32" ht="15.75" customHeight="1">
      <c r="A6" s="140" t="s">
        <v>2100</v>
      </c>
      <c r="B6" s="140" t="s">
        <v>49</v>
      </c>
      <c r="C6" s="140" t="s">
        <v>85</v>
      </c>
      <c r="D6" s="140" t="s">
        <v>86</v>
      </c>
      <c r="E6" s="140" t="s">
        <v>54</v>
      </c>
      <c r="F6" s="140" t="s">
        <v>2125</v>
      </c>
      <c r="G6" s="140" t="s">
        <v>2126</v>
      </c>
      <c r="H6" s="140" t="s">
        <v>2127</v>
      </c>
      <c r="I6" s="140" t="s">
        <v>2128</v>
      </c>
      <c r="J6" s="140" t="s">
        <v>2129</v>
      </c>
      <c r="K6" s="140" t="s">
        <v>2130</v>
      </c>
      <c r="L6" s="140" t="s">
        <v>989</v>
      </c>
      <c r="M6" s="140" t="s">
        <v>41</v>
      </c>
      <c r="N6" s="155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</row>
    <row r="7" spans="1:32" ht="15.75" customHeight="1">
      <c r="A7" s="140" t="s">
        <v>2100</v>
      </c>
      <c r="B7" s="140" t="s">
        <v>49</v>
      </c>
      <c r="C7" s="140" t="s">
        <v>85</v>
      </c>
      <c r="D7" s="140" t="s">
        <v>86</v>
      </c>
      <c r="E7" s="140" t="s">
        <v>54</v>
      </c>
      <c r="F7" s="140" t="s">
        <v>2135</v>
      </c>
      <c r="G7" s="140" t="s">
        <v>2136</v>
      </c>
      <c r="H7" s="140" t="s">
        <v>2137</v>
      </c>
      <c r="I7" s="140" t="s">
        <v>2138</v>
      </c>
      <c r="J7" s="140" t="s">
        <v>2139</v>
      </c>
      <c r="K7" s="140" t="s">
        <v>2140</v>
      </c>
      <c r="L7" s="140" t="s">
        <v>989</v>
      </c>
      <c r="M7" s="140" t="s">
        <v>41</v>
      </c>
      <c r="N7" s="155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</row>
    <row r="8" spans="1:32" ht="15.75" customHeight="1">
      <c r="A8" s="140" t="s">
        <v>2100</v>
      </c>
      <c r="B8" s="140" t="s">
        <v>49</v>
      </c>
      <c r="C8" s="140" t="s">
        <v>85</v>
      </c>
      <c r="D8" s="140" t="s">
        <v>86</v>
      </c>
      <c r="E8" s="140" t="s">
        <v>54</v>
      </c>
      <c r="F8" s="140" t="s">
        <v>2142</v>
      </c>
      <c r="G8" s="140" t="s">
        <v>2144</v>
      </c>
      <c r="H8" s="140" t="s">
        <v>2145</v>
      </c>
      <c r="I8" s="140" t="s">
        <v>2146</v>
      </c>
      <c r="J8" s="140" t="s">
        <v>2147</v>
      </c>
      <c r="K8" s="140" t="s">
        <v>2148</v>
      </c>
      <c r="L8" s="140" t="s">
        <v>2149</v>
      </c>
      <c r="M8" s="140" t="s">
        <v>41</v>
      </c>
      <c r="N8" s="155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</row>
    <row r="9" spans="1:32" ht="15.75" customHeight="1">
      <c r="A9" s="140" t="s">
        <v>2100</v>
      </c>
      <c r="B9" s="140" t="s">
        <v>49</v>
      </c>
      <c r="C9" s="140" t="s">
        <v>85</v>
      </c>
      <c r="D9" s="140" t="s">
        <v>86</v>
      </c>
      <c r="E9" s="140" t="s">
        <v>54</v>
      </c>
      <c r="F9" s="140" t="s">
        <v>2151</v>
      </c>
      <c r="G9" s="140" t="s">
        <v>2152</v>
      </c>
      <c r="H9" s="140" t="s">
        <v>2154</v>
      </c>
      <c r="I9" s="140" t="s">
        <v>2155</v>
      </c>
      <c r="J9" s="140" t="s">
        <v>2156</v>
      </c>
      <c r="K9" s="140" t="s">
        <v>2157</v>
      </c>
      <c r="L9" s="140" t="s">
        <v>2158</v>
      </c>
      <c r="M9" s="140" t="s">
        <v>41</v>
      </c>
      <c r="N9" s="155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</row>
    <row r="10" spans="1:32" ht="15.75" customHeight="1">
      <c r="A10" s="140" t="s">
        <v>2100</v>
      </c>
      <c r="B10" s="140" t="s">
        <v>49</v>
      </c>
      <c r="C10" s="140" t="s">
        <v>85</v>
      </c>
      <c r="D10" s="140" t="s">
        <v>86</v>
      </c>
      <c r="E10" s="140" t="s">
        <v>54</v>
      </c>
      <c r="F10" s="140" t="s">
        <v>2160</v>
      </c>
      <c r="G10" s="140" t="s">
        <v>2161</v>
      </c>
      <c r="H10" s="140" t="s">
        <v>2162</v>
      </c>
      <c r="I10" s="140" t="s">
        <v>1804</v>
      </c>
      <c r="J10" s="140" t="s">
        <v>2164</v>
      </c>
      <c r="K10" s="140" t="s">
        <v>2165</v>
      </c>
      <c r="L10" s="140" t="s">
        <v>2166</v>
      </c>
      <c r="M10" s="140" t="s">
        <v>41</v>
      </c>
      <c r="N10" s="155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</row>
    <row r="11" spans="1:32" ht="15.75" customHeight="1">
      <c r="A11" s="140" t="s">
        <v>2100</v>
      </c>
      <c r="B11" s="140" t="s">
        <v>49</v>
      </c>
      <c r="C11" s="140" t="s">
        <v>85</v>
      </c>
      <c r="D11" s="140" t="s">
        <v>86</v>
      </c>
      <c r="E11" s="140" t="s">
        <v>54</v>
      </c>
      <c r="F11" s="140" t="s">
        <v>2168</v>
      </c>
      <c r="G11" s="140" t="s">
        <v>2169</v>
      </c>
      <c r="H11" s="140" t="s">
        <v>2170</v>
      </c>
      <c r="I11" s="140" t="s">
        <v>2171</v>
      </c>
      <c r="J11" s="140" t="s">
        <v>2173</v>
      </c>
      <c r="K11" s="140" t="s">
        <v>2174</v>
      </c>
      <c r="L11" s="140" t="s">
        <v>149</v>
      </c>
      <c r="M11" s="140" t="s">
        <v>41</v>
      </c>
      <c r="N11" s="155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</row>
    <row r="12" spans="1:32" ht="15.75" customHeight="1">
      <c r="A12" s="140" t="s">
        <v>2100</v>
      </c>
      <c r="B12" s="140" t="s">
        <v>49</v>
      </c>
      <c r="C12" s="140" t="s">
        <v>85</v>
      </c>
      <c r="D12" s="140" t="s">
        <v>86</v>
      </c>
      <c r="E12" s="140" t="s">
        <v>54</v>
      </c>
      <c r="F12" s="140" t="s">
        <v>2177</v>
      </c>
      <c r="G12" s="140" t="s">
        <v>2178</v>
      </c>
      <c r="H12" s="140" t="s">
        <v>2179</v>
      </c>
      <c r="I12" s="140" t="s">
        <v>2180</v>
      </c>
      <c r="J12" s="140" t="s">
        <v>2181</v>
      </c>
      <c r="K12" s="140" t="s">
        <v>2183</v>
      </c>
      <c r="L12" s="140" t="s">
        <v>438</v>
      </c>
      <c r="M12" s="140" t="s">
        <v>41</v>
      </c>
      <c r="N12" s="155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</row>
    <row r="13" spans="1:32" ht="15.75" customHeight="1">
      <c r="A13" s="140" t="s">
        <v>2100</v>
      </c>
      <c r="B13" s="140" t="s">
        <v>49</v>
      </c>
      <c r="C13" s="140" t="s">
        <v>85</v>
      </c>
      <c r="D13" s="140" t="s">
        <v>86</v>
      </c>
      <c r="E13" s="140" t="s">
        <v>54</v>
      </c>
      <c r="F13" s="140" t="s">
        <v>2185</v>
      </c>
      <c r="G13" s="140" t="s">
        <v>2186</v>
      </c>
      <c r="H13" s="140" t="s">
        <v>2119</v>
      </c>
      <c r="I13" s="140" t="s">
        <v>2120</v>
      </c>
      <c r="J13" s="140" t="s">
        <v>2188</v>
      </c>
      <c r="K13" s="140" t="s">
        <v>2189</v>
      </c>
      <c r="L13" s="140" t="s">
        <v>438</v>
      </c>
      <c r="M13" s="140" t="s">
        <v>41</v>
      </c>
      <c r="N13" s="155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</row>
    <row r="14" spans="1:32" ht="15.75" customHeight="1">
      <c r="A14" s="140" t="s">
        <v>2100</v>
      </c>
      <c r="B14" s="140" t="s">
        <v>49</v>
      </c>
      <c r="C14" s="140" t="s">
        <v>85</v>
      </c>
      <c r="D14" s="140" t="s">
        <v>86</v>
      </c>
      <c r="E14" s="140" t="s">
        <v>54</v>
      </c>
      <c r="F14" s="140" t="s">
        <v>2191</v>
      </c>
      <c r="G14" s="140" t="s">
        <v>2192</v>
      </c>
      <c r="H14" s="140" t="s">
        <v>2193</v>
      </c>
      <c r="I14" s="140" t="s">
        <v>2194</v>
      </c>
      <c r="J14" s="140" t="s">
        <v>2195</v>
      </c>
      <c r="K14" s="140" t="s">
        <v>2196</v>
      </c>
      <c r="L14" s="140" t="s">
        <v>438</v>
      </c>
      <c r="M14" s="140" t="s">
        <v>41</v>
      </c>
      <c r="N14" s="155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</row>
    <row r="15" spans="1:32" ht="15.75" customHeight="1">
      <c r="A15" s="140" t="s">
        <v>2100</v>
      </c>
      <c r="B15" s="140" t="s">
        <v>49</v>
      </c>
      <c r="C15" s="140" t="s">
        <v>85</v>
      </c>
      <c r="D15" s="140" t="s">
        <v>86</v>
      </c>
      <c r="E15" s="140" t="s">
        <v>54</v>
      </c>
      <c r="F15" s="140" t="s">
        <v>2199</v>
      </c>
      <c r="G15" s="140" t="s">
        <v>2200</v>
      </c>
      <c r="H15" s="140" t="s">
        <v>2112</v>
      </c>
      <c r="I15" s="140" t="s">
        <v>2114</v>
      </c>
      <c r="J15" s="140" t="s">
        <v>2201</v>
      </c>
      <c r="K15" s="140" t="s">
        <v>2202</v>
      </c>
      <c r="L15" s="140" t="s">
        <v>438</v>
      </c>
      <c r="M15" s="140" t="s">
        <v>41</v>
      </c>
      <c r="N15" s="155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</row>
    <row r="16" spans="1:32" ht="15.75" customHeight="1">
      <c r="A16" s="140" t="s">
        <v>2100</v>
      </c>
      <c r="B16" s="140" t="s">
        <v>49</v>
      </c>
      <c r="C16" s="140" t="s">
        <v>85</v>
      </c>
      <c r="D16" s="140" t="s">
        <v>86</v>
      </c>
      <c r="E16" s="140" t="s">
        <v>54</v>
      </c>
      <c r="F16" s="140" t="s">
        <v>2204</v>
      </c>
      <c r="G16" s="140" t="s">
        <v>2205</v>
      </c>
      <c r="H16" s="140" t="s">
        <v>2145</v>
      </c>
      <c r="I16" s="140" t="s">
        <v>2206</v>
      </c>
      <c r="J16" s="140" t="s">
        <v>2208</v>
      </c>
      <c r="K16" s="140" t="s">
        <v>2209</v>
      </c>
      <c r="L16" s="140" t="s">
        <v>2149</v>
      </c>
      <c r="M16" s="140" t="s">
        <v>41</v>
      </c>
      <c r="N16" s="155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</row>
    <row r="17" spans="1:32" ht="15.75" customHeight="1">
      <c r="A17" s="140" t="s">
        <v>2100</v>
      </c>
      <c r="B17" s="140" t="s">
        <v>49</v>
      </c>
      <c r="C17" s="140" t="s">
        <v>85</v>
      </c>
      <c r="D17" s="140" t="s">
        <v>86</v>
      </c>
      <c r="E17" s="140" t="s">
        <v>54</v>
      </c>
      <c r="F17" s="140" t="s">
        <v>2211</v>
      </c>
      <c r="G17" s="140" t="s">
        <v>2212</v>
      </c>
      <c r="H17" s="140" t="s">
        <v>2193</v>
      </c>
      <c r="I17" s="140" t="s">
        <v>2194</v>
      </c>
      <c r="J17" s="140" t="s">
        <v>2213</v>
      </c>
      <c r="K17" s="140" t="s">
        <v>2214</v>
      </c>
      <c r="L17" s="140" t="s">
        <v>438</v>
      </c>
      <c r="M17" s="140" t="s">
        <v>41</v>
      </c>
      <c r="N17" s="155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</row>
    <row r="18" spans="1:32" ht="14.4">
      <c r="A18" s="140" t="s">
        <v>2100</v>
      </c>
      <c r="B18" s="140" t="s">
        <v>49</v>
      </c>
      <c r="C18" s="140" t="s">
        <v>220</v>
      </c>
      <c r="D18" s="161" t="s">
        <v>234</v>
      </c>
      <c r="E18" s="140" t="s">
        <v>54</v>
      </c>
      <c r="F18" s="140" t="s">
        <v>2218</v>
      </c>
      <c r="G18" s="140">
        <v>0</v>
      </c>
      <c r="H18" s="140" t="s">
        <v>2193</v>
      </c>
      <c r="I18" s="140" t="s">
        <v>2194</v>
      </c>
      <c r="J18" s="140" t="s">
        <v>2219</v>
      </c>
      <c r="K18" s="140" t="s">
        <v>2220</v>
      </c>
      <c r="L18" s="140" t="s">
        <v>438</v>
      </c>
      <c r="M18" s="140" t="s">
        <v>41</v>
      </c>
      <c r="N18" s="155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</row>
    <row r="19" spans="1:32" ht="14.4">
      <c r="A19" s="140" t="s">
        <v>2100</v>
      </c>
      <c r="B19" s="140" t="s">
        <v>49</v>
      </c>
      <c r="C19" s="140" t="s">
        <v>220</v>
      </c>
      <c r="D19" s="161" t="s">
        <v>234</v>
      </c>
      <c r="E19" s="140" t="s">
        <v>54</v>
      </c>
      <c r="F19" s="140" t="s">
        <v>2222</v>
      </c>
      <c r="G19" s="140">
        <v>0</v>
      </c>
      <c r="H19" s="140" t="s">
        <v>2179</v>
      </c>
      <c r="I19" s="140" t="s">
        <v>2180</v>
      </c>
      <c r="J19" s="140" t="s">
        <v>2224</v>
      </c>
      <c r="K19" s="140" t="s">
        <v>2225</v>
      </c>
      <c r="L19" s="140" t="s">
        <v>438</v>
      </c>
      <c r="M19" s="140" t="s">
        <v>41</v>
      </c>
      <c r="N19" s="155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</row>
    <row r="20" spans="1:32" ht="14.4">
      <c r="A20" s="140" t="s">
        <v>2100</v>
      </c>
      <c r="B20" s="140" t="s">
        <v>49</v>
      </c>
      <c r="C20" s="140" t="s">
        <v>220</v>
      </c>
      <c r="D20" s="161" t="s">
        <v>234</v>
      </c>
      <c r="E20" s="140" t="s">
        <v>54</v>
      </c>
      <c r="F20" s="140" t="s">
        <v>2227</v>
      </c>
      <c r="G20" s="140">
        <v>0</v>
      </c>
      <c r="H20" s="140" t="s">
        <v>2193</v>
      </c>
      <c r="I20" s="140" t="s">
        <v>2194</v>
      </c>
      <c r="J20" s="140" t="s">
        <v>2228</v>
      </c>
      <c r="K20" s="140" t="s">
        <v>2229</v>
      </c>
      <c r="L20" s="140" t="s">
        <v>2230</v>
      </c>
      <c r="M20" s="140" t="s">
        <v>41</v>
      </c>
      <c r="N20" s="155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</row>
    <row r="21" spans="1:32" ht="14.4">
      <c r="A21" s="140" t="s">
        <v>2100</v>
      </c>
      <c r="B21" s="140" t="s">
        <v>49</v>
      </c>
      <c r="C21" s="140" t="s">
        <v>220</v>
      </c>
      <c r="D21" s="161" t="s">
        <v>234</v>
      </c>
      <c r="E21" s="140" t="s">
        <v>54</v>
      </c>
      <c r="F21" s="140" t="s">
        <v>2233</v>
      </c>
      <c r="G21" s="140">
        <v>0</v>
      </c>
      <c r="H21" s="140" t="s">
        <v>2234</v>
      </c>
      <c r="I21" s="140" t="s">
        <v>2235</v>
      </c>
      <c r="J21" s="140" t="s">
        <v>2236</v>
      </c>
      <c r="K21" s="140" t="s">
        <v>2238</v>
      </c>
      <c r="L21" s="140" t="s">
        <v>2149</v>
      </c>
      <c r="M21" s="140" t="s">
        <v>41</v>
      </c>
      <c r="N21" s="155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</row>
    <row r="22" spans="1:32" ht="14.4">
      <c r="A22" s="140" t="s">
        <v>2100</v>
      </c>
      <c r="B22" s="140" t="s">
        <v>49</v>
      </c>
      <c r="C22" s="140" t="s">
        <v>220</v>
      </c>
      <c r="D22" s="161" t="s">
        <v>234</v>
      </c>
      <c r="E22" s="140" t="s">
        <v>54</v>
      </c>
      <c r="F22" s="140" t="s">
        <v>2240</v>
      </c>
      <c r="G22" s="140">
        <v>0</v>
      </c>
      <c r="H22" s="140" t="s">
        <v>2179</v>
      </c>
      <c r="I22" s="140" t="s">
        <v>2180</v>
      </c>
      <c r="J22" s="140" t="s">
        <v>2241</v>
      </c>
      <c r="K22" s="140" t="s">
        <v>2179</v>
      </c>
      <c r="L22" s="140" t="s">
        <v>989</v>
      </c>
      <c r="M22" s="140" t="s">
        <v>41</v>
      </c>
      <c r="N22" s="155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</row>
    <row r="23" spans="1:32" ht="14.4">
      <c r="A23" s="140" t="s">
        <v>2100</v>
      </c>
      <c r="B23" s="140" t="s">
        <v>49</v>
      </c>
      <c r="C23" s="140" t="s">
        <v>220</v>
      </c>
      <c r="D23" s="161" t="s">
        <v>234</v>
      </c>
      <c r="E23" s="140" t="s">
        <v>54</v>
      </c>
      <c r="F23" s="140" t="s">
        <v>2243</v>
      </c>
      <c r="G23" s="140">
        <v>0</v>
      </c>
      <c r="H23" s="140" t="s">
        <v>2244</v>
      </c>
      <c r="I23" s="140" t="s">
        <v>2245</v>
      </c>
      <c r="J23" s="140" t="s">
        <v>2247</v>
      </c>
      <c r="K23" s="140" t="s">
        <v>2244</v>
      </c>
      <c r="L23" s="140" t="s">
        <v>2248</v>
      </c>
      <c r="M23" s="140" t="s">
        <v>41</v>
      </c>
      <c r="N23" s="155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</row>
    <row r="24" spans="1:32" ht="14.4">
      <c r="A24" s="140" t="s">
        <v>2100</v>
      </c>
      <c r="B24" s="140" t="s">
        <v>49</v>
      </c>
      <c r="C24" s="140" t="s">
        <v>220</v>
      </c>
      <c r="D24" s="161" t="s">
        <v>234</v>
      </c>
      <c r="E24" s="140" t="s">
        <v>54</v>
      </c>
      <c r="F24" s="140" t="s">
        <v>2250</v>
      </c>
      <c r="G24" s="140">
        <v>0</v>
      </c>
      <c r="H24" s="140" t="s">
        <v>2244</v>
      </c>
      <c r="I24" s="140" t="s">
        <v>2245</v>
      </c>
      <c r="J24" s="140" t="s">
        <v>2247</v>
      </c>
      <c r="K24" s="140" t="s">
        <v>2244</v>
      </c>
      <c r="L24" s="140" t="s">
        <v>2251</v>
      </c>
      <c r="M24" s="140" t="s">
        <v>41</v>
      </c>
      <c r="N24" s="155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</row>
    <row r="25" spans="1:32" ht="14.4">
      <c r="A25" s="140" t="s">
        <v>2100</v>
      </c>
      <c r="B25" s="140" t="s">
        <v>49</v>
      </c>
      <c r="C25" s="140" t="s">
        <v>233</v>
      </c>
      <c r="D25" s="161" t="s">
        <v>298</v>
      </c>
      <c r="E25" s="140" t="s">
        <v>54</v>
      </c>
      <c r="F25" s="140" t="s">
        <v>2253</v>
      </c>
      <c r="G25" s="140">
        <v>0</v>
      </c>
      <c r="H25" s="140" t="s">
        <v>2254</v>
      </c>
      <c r="I25" s="140" t="s">
        <v>2254</v>
      </c>
      <c r="J25" s="140" t="s">
        <v>2255</v>
      </c>
      <c r="K25" s="140" t="s">
        <v>2256</v>
      </c>
      <c r="L25" s="140" t="s">
        <v>2254</v>
      </c>
      <c r="M25" s="140" t="s">
        <v>2257</v>
      </c>
      <c r="N25" s="155" t="s">
        <v>41</v>
      </c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</row>
    <row r="26" spans="1:32" ht="14.4">
      <c r="A26" s="140" t="s">
        <v>2100</v>
      </c>
      <c r="B26" s="140" t="s">
        <v>49</v>
      </c>
      <c r="C26" s="140" t="s">
        <v>233</v>
      </c>
      <c r="D26" s="161" t="s">
        <v>298</v>
      </c>
      <c r="E26" s="140" t="s">
        <v>54</v>
      </c>
      <c r="F26" s="140" t="s">
        <v>2259</v>
      </c>
      <c r="G26" s="140">
        <v>0</v>
      </c>
      <c r="H26" s="140" t="s">
        <v>2260</v>
      </c>
      <c r="I26" s="140" t="s">
        <v>2262</v>
      </c>
      <c r="J26" s="140" t="s">
        <v>1314</v>
      </c>
      <c r="K26" s="140" t="s">
        <v>2263</v>
      </c>
      <c r="L26" s="140" t="s">
        <v>2262</v>
      </c>
      <c r="M26" s="140" t="s">
        <v>2264</v>
      </c>
      <c r="N26" s="155" t="s">
        <v>41</v>
      </c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</row>
    <row r="27" spans="1:32" ht="14.4">
      <c r="A27" s="140" t="s">
        <v>2100</v>
      </c>
      <c r="B27" s="140" t="s">
        <v>49</v>
      </c>
      <c r="C27" s="140" t="s">
        <v>233</v>
      </c>
      <c r="D27" s="161" t="s">
        <v>298</v>
      </c>
      <c r="E27" s="140" t="s">
        <v>54</v>
      </c>
      <c r="F27" s="140" t="s">
        <v>2266</v>
      </c>
      <c r="G27" s="140">
        <v>0</v>
      </c>
      <c r="H27" s="140" t="s">
        <v>2262</v>
      </c>
      <c r="I27" s="140" t="s">
        <v>2268</v>
      </c>
      <c r="J27" s="140" t="s">
        <v>933</v>
      </c>
      <c r="K27" s="140" t="s">
        <v>2269</v>
      </c>
      <c r="L27" s="140" t="s">
        <v>2268</v>
      </c>
      <c r="M27" s="140" t="s">
        <v>2270</v>
      </c>
      <c r="N27" s="155" t="s">
        <v>41</v>
      </c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</row>
    <row r="28" spans="1:32" ht="14.4">
      <c r="A28" s="140" t="s">
        <v>2100</v>
      </c>
      <c r="B28" s="140" t="s">
        <v>49</v>
      </c>
      <c r="C28" s="140" t="s">
        <v>233</v>
      </c>
      <c r="D28" s="161" t="s">
        <v>298</v>
      </c>
      <c r="E28" s="140" t="s">
        <v>54</v>
      </c>
      <c r="F28" s="140" t="s">
        <v>940</v>
      </c>
      <c r="G28" s="140">
        <v>0</v>
      </c>
      <c r="H28" s="140" t="s">
        <v>2272</v>
      </c>
      <c r="I28" s="140" t="s">
        <v>2274</v>
      </c>
      <c r="J28" s="140" t="s">
        <v>2275</v>
      </c>
      <c r="K28" s="140" t="s">
        <v>2276</v>
      </c>
      <c r="L28" s="140" t="s">
        <v>2277</v>
      </c>
      <c r="M28" s="140" t="s">
        <v>989</v>
      </c>
      <c r="N28" s="155" t="s">
        <v>41</v>
      </c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</row>
    <row r="29" spans="1:32" ht="14.4">
      <c r="A29" s="140" t="s">
        <v>2100</v>
      </c>
      <c r="B29" s="140" t="s">
        <v>49</v>
      </c>
      <c r="C29" s="140" t="s">
        <v>79</v>
      </c>
      <c r="D29" s="161" t="s">
        <v>80</v>
      </c>
      <c r="E29" s="140" t="s">
        <v>54</v>
      </c>
      <c r="F29" s="140" t="s">
        <v>1122</v>
      </c>
      <c r="G29" s="140">
        <v>0</v>
      </c>
      <c r="H29" s="140" t="s">
        <v>2279</v>
      </c>
      <c r="I29" s="140" t="s">
        <v>2235</v>
      </c>
      <c r="J29" s="140" t="s">
        <v>2280</v>
      </c>
      <c r="K29" s="140" t="s">
        <v>2281</v>
      </c>
      <c r="L29" s="140" t="s">
        <v>2149</v>
      </c>
      <c r="M29" s="140" t="s">
        <v>41</v>
      </c>
      <c r="N29" s="155" t="s">
        <v>2282</v>
      </c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</row>
    <row r="30" spans="1:32" ht="14.4">
      <c r="A30" s="140" t="s">
        <v>2100</v>
      </c>
      <c r="B30" s="140" t="s">
        <v>49</v>
      </c>
      <c r="C30" s="140" t="s">
        <v>79</v>
      </c>
      <c r="D30" s="161" t="s">
        <v>80</v>
      </c>
      <c r="E30" s="140" t="s">
        <v>54</v>
      </c>
      <c r="F30" s="140" t="s">
        <v>1232</v>
      </c>
      <c r="G30" s="140">
        <v>0</v>
      </c>
      <c r="H30" s="140" t="s">
        <v>2279</v>
      </c>
      <c r="I30" s="140" t="s">
        <v>2288</v>
      </c>
      <c r="J30" s="140" t="s">
        <v>2289</v>
      </c>
      <c r="K30" s="140" t="s">
        <v>2279</v>
      </c>
      <c r="L30" s="140" t="s">
        <v>2149</v>
      </c>
      <c r="M30" s="140" t="s">
        <v>41</v>
      </c>
      <c r="N30" s="155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</row>
    <row r="31" spans="1:32" ht="14.4">
      <c r="A31" s="140" t="s">
        <v>2100</v>
      </c>
      <c r="B31" s="140" t="s">
        <v>49</v>
      </c>
      <c r="C31" s="140" t="s">
        <v>70</v>
      </c>
      <c r="D31" s="161" t="s">
        <v>71</v>
      </c>
      <c r="E31" s="140" t="s">
        <v>54</v>
      </c>
      <c r="F31" s="162" t="s">
        <v>1081</v>
      </c>
      <c r="G31" s="140">
        <v>0</v>
      </c>
      <c r="H31" s="140" t="s">
        <v>2292</v>
      </c>
      <c r="I31" s="140" t="s">
        <v>2235</v>
      </c>
      <c r="J31" s="163">
        <v>44986</v>
      </c>
      <c r="K31" s="140" t="s">
        <v>2292</v>
      </c>
      <c r="L31" s="140" t="s">
        <v>2149</v>
      </c>
      <c r="M31" s="140" t="s">
        <v>41</v>
      </c>
      <c r="N31" s="155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</row>
    <row r="32" spans="1:32" ht="14.4">
      <c r="A32" s="140" t="s">
        <v>2100</v>
      </c>
      <c r="B32" s="140" t="s">
        <v>49</v>
      </c>
      <c r="C32" s="140" t="s">
        <v>51</v>
      </c>
      <c r="D32" s="161" t="s">
        <v>52</v>
      </c>
      <c r="E32" s="140" t="s">
        <v>54</v>
      </c>
      <c r="F32" s="140" t="s">
        <v>1081</v>
      </c>
      <c r="G32" s="140">
        <v>0</v>
      </c>
      <c r="H32" s="140" t="s">
        <v>2279</v>
      </c>
      <c r="I32" s="140" t="s">
        <v>2235</v>
      </c>
      <c r="J32" s="140" t="s">
        <v>2296</v>
      </c>
      <c r="K32" s="140" t="s">
        <v>2279</v>
      </c>
      <c r="L32" s="140" t="s">
        <v>2149</v>
      </c>
      <c r="M32" s="140" t="s">
        <v>41</v>
      </c>
      <c r="N32" s="155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</row>
    <row r="33" spans="1:32" ht="14.4">
      <c r="A33" s="140" t="s">
        <v>2100</v>
      </c>
      <c r="B33" s="140" t="s">
        <v>49</v>
      </c>
      <c r="C33" s="140" t="s">
        <v>296</v>
      </c>
      <c r="D33" s="140" t="s">
        <v>954</v>
      </c>
      <c r="E33" s="140" t="s">
        <v>54</v>
      </c>
      <c r="F33" s="162" t="s">
        <v>2298</v>
      </c>
      <c r="G33" s="140">
        <v>0</v>
      </c>
      <c r="H33" s="140" t="s">
        <v>2145</v>
      </c>
      <c r="I33" s="140" t="s">
        <v>2146</v>
      </c>
      <c r="J33" s="140" t="s">
        <v>2299</v>
      </c>
      <c r="K33" s="140" t="s">
        <v>2145</v>
      </c>
      <c r="L33" s="140" t="s">
        <v>2149</v>
      </c>
      <c r="M33" s="140" t="s">
        <v>41</v>
      </c>
      <c r="N33" s="155" t="s">
        <v>2300</v>
      </c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</row>
    <row r="34" spans="1:32" ht="14.4">
      <c r="A34" s="140" t="s">
        <v>2100</v>
      </c>
      <c r="B34" s="140" t="s">
        <v>49</v>
      </c>
      <c r="C34" s="140" t="s">
        <v>306</v>
      </c>
      <c r="D34" s="140" t="s">
        <v>341</v>
      </c>
      <c r="E34" s="140" t="s">
        <v>54</v>
      </c>
      <c r="F34" s="140" t="s">
        <v>2302</v>
      </c>
      <c r="G34" s="140" t="s">
        <v>2303</v>
      </c>
      <c r="H34" s="140" t="s">
        <v>2304</v>
      </c>
      <c r="I34" s="140" t="s">
        <v>2305</v>
      </c>
      <c r="J34" s="140" t="s">
        <v>2306</v>
      </c>
      <c r="K34" s="140" t="s">
        <v>2304</v>
      </c>
      <c r="L34" s="140" t="s">
        <v>2307</v>
      </c>
      <c r="M34" s="140" t="s">
        <v>41</v>
      </c>
      <c r="N34" s="155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</row>
    <row r="35" spans="1:32" ht="14.4">
      <c r="A35" s="140" t="s">
        <v>2100</v>
      </c>
      <c r="B35" s="140" t="s">
        <v>2309</v>
      </c>
      <c r="C35" s="140" t="s">
        <v>275</v>
      </c>
      <c r="D35" s="140" t="s">
        <v>543</v>
      </c>
      <c r="E35" s="140" t="s">
        <v>54</v>
      </c>
      <c r="F35" s="162" t="s">
        <v>2310</v>
      </c>
      <c r="G35" s="140" t="s">
        <v>2311</v>
      </c>
      <c r="H35" s="140" t="s">
        <v>2313</v>
      </c>
      <c r="I35" s="140" t="s">
        <v>2314</v>
      </c>
      <c r="J35" s="140" t="s">
        <v>2315</v>
      </c>
      <c r="K35" s="140" t="s">
        <v>2317</v>
      </c>
      <c r="L35" s="140" t="s">
        <v>989</v>
      </c>
      <c r="M35" s="140" t="s">
        <v>41</v>
      </c>
      <c r="N35" s="155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</row>
    <row r="36" spans="1:32" ht="14.4">
      <c r="A36" s="140" t="s">
        <v>2100</v>
      </c>
      <c r="B36" s="140" t="s">
        <v>2309</v>
      </c>
      <c r="C36" s="140" t="s">
        <v>85</v>
      </c>
      <c r="D36" s="140" t="s">
        <v>86</v>
      </c>
      <c r="E36" s="140" t="s">
        <v>54</v>
      </c>
      <c r="F36" s="140" t="s">
        <v>2320</v>
      </c>
      <c r="G36" s="140" t="s">
        <v>2321</v>
      </c>
      <c r="H36" s="140" t="s">
        <v>2313</v>
      </c>
      <c r="I36" s="140" t="s">
        <v>2314</v>
      </c>
      <c r="J36" s="140" t="s">
        <v>2322</v>
      </c>
      <c r="K36" s="140" t="s">
        <v>2323</v>
      </c>
      <c r="L36" s="140" t="s">
        <v>989</v>
      </c>
      <c r="M36" s="140" t="s">
        <v>41</v>
      </c>
      <c r="N36" s="155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</row>
    <row r="37" spans="1:32" ht="14.4">
      <c r="A37" s="140" t="s">
        <v>2100</v>
      </c>
      <c r="B37" s="140" t="s">
        <v>2309</v>
      </c>
      <c r="C37" s="140" t="s">
        <v>85</v>
      </c>
      <c r="D37" s="140" t="s">
        <v>86</v>
      </c>
      <c r="E37" s="140" t="s">
        <v>54</v>
      </c>
      <c r="F37" s="140" t="s">
        <v>2325</v>
      </c>
      <c r="G37" s="140" t="s">
        <v>2327</v>
      </c>
      <c r="H37" s="140" t="s">
        <v>2313</v>
      </c>
      <c r="I37" s="140" t="s">
        <v>2314</v>
      </c>
      <c r="J37" s="140" t="s">
        <v>2328</v>
      </c>
      <c r="K37" s="140" t="s">
        <v>2329</v>
      </c>
      <c r="L37" s="140" t="s">
        <v>989</v>
      </c>
      <c r="M37" s="140" t="s">
        <v>41</v>
      </c>
      <c r="N37" s="155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</row>
    <row r="38" spans="1:32" ht="14.4">
      <c r="A38" s="140" t="s">
        <v>2100</v>
      </c>
      <c r="B38" s="140" t="s">
        <v>2309</v>
      </c>
      <c r="C38" s="140" t="s">
        <v>85</v>
      </c>
      <c r="D38" s="140" t="s">
        <v>86</v>
      </c>
      <c r="E38" s="140" t="s">
        <v>54</v>
      </c>
      <c r="F38" s="140" t="s">
        <v>2331</v>
      </c>
      <c r="G38" s="140" t="s">
        <v>2332</v>
      </c>
      <c r="H38" s="140" t="s">
        <v>2313</v>
      </c>
      <c r="I38" s="140" t="s">
        <v>2314</v>
      </c>
      <c r="J38" s="140" t="s">
        <v>2333</v>
      </c>
      <c r="K38" s="140" t="s">
        <v>2335</v>
      </c>
      <c r="L38" s="140" t="s">
        <v>2336</v>
      </c>
      <c r="M38" s="140" t="s">
        <v>41</v>
      </c>
      <c r="N38" s="155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</row>
    <row r="39" spans="1:32" ht="14.4">
      <c r="A39" s="140" t="s">
        <v>2100</v>
      </c>
      <c r="B39" s="140" t="s">
        <v>2309</v>
      </c>
      <c r="C39" s="140" t="s">
        <v>85</v>
      </c>
      <c r="D39" s="140" t="s">
        <v>86</v>
      </c>
      <c r="E39" s="140" t="s">
        <v>54</v>
      </c>
      <c r="F39" s="140" t="s">
        <v>2338</v>
      </c>
      <c r="G39" s="140" t="s">
        <v>2339</v>
      </c>
      <c r="H39" s="140" t="s">
        <v>2313</v>
      </c>
      <c r="I39" s="140" t="s">
        <v>2314</v>
      </c>
      <c r="J39" s="140" t="s">
        <v>2340</v>
      </c>
      <c r="K39" s="140" t="s">
        <v>2341</v>
      </c>
      <c r="L39" s="140" t="s">
        <v>2149</v>
      </c>
      <c r="M39" s="140" t="s">
        <v>41</v>
      </c>
      <c r="N39" s="155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</row>
    <row r="40" spans="1:32" ht="14.4">
      <c r="A40" s="140" t="s">
        <v>2100</v>
      </c>
      <c r="B40" s="140" t="s">
        <v>2343</v>
      </c>
      <c r="C40" s="140" t="s">
        <v>85</v>
      </c>
      <c r="D40" s="140" t="s">
        <v>86</v>
      </c>
      <c r="E40" s="140" t="s">
        <v>54</v>
      </c>
      <c r="F40" s="140" t="s">
        <v>2345</v>
      </c>
      <c r="G40" s="140" t="s">
        <v>2346</v>
      </c>
      <c r="H40" s="140" t="s">
        <v>2347</v>
      </c>
      <c r="I40" s="140" t="s">
        <v>2348</v>
      </c>
      <c r="J40" s="140">
        <v>2023.062107</v>
      </c>
      <c r="K40" s="140" t="s">
        <v>2349</v>
      </c>
      <c r="L40" s="140" t="s">
        <v>438</v>
      </c>
      <c r="M40" s="140" t="s">
        <v>41</v>
      </c>
      <c r="N40" s="155" t="s">
        <v>2350</v>
      </c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</row>
    <row r="41" spans="1:32" ht="14.4">
      <c r="A41" s="140" t="s">
        <v>2100</v>
      </c>
      <c r="B41" s="140" t="s">
        <v>2343</v>
      </c>
      <c r="C41" s="140" t="s">
        <v>85</v>
      </c>
      <c r="D41" s="140" t="s">
        <v>86</v>
      </c>
      <c r="E41" s="140" t="s">
        <v>54</v>
      </c>
      <c r="F41" s="140" t="s">
        <v>2352</v>
      </c>
      <c r="G41" s="140" t="s">
        <v>2354</v>
      </c>
      <c r="H41" s="140" t="s">
        <v>2347</v>
      </c>
      <c r="I41" s="140" t="s">
        <v>2348</v>
      </c>
      <c r="J41" s="140">
        <v>2023062108</v>
      </c>
      <c r="K41" s="140" t="s">
        <v>2355</v>
      </c>
      <c r="L41" s="140" t="s">
        <v>438</v>
      </c>
      <c r="M41" s="140" t="s">
        <v>41</v>
      </c>
      <c r="N41" s="155" t="s">
        <v>2356</v>
      </c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  <c r="AC41" s="106"/>
      <c r="AD41" s="106"/>
      <c r="AE41" s="106"/>
      <c r="AF41" s="106"/>
    </row>
    <row r="42" spans="1:32" ht="14.4">
      <c r="A42" s="140" t="s">
        <v>2100</v>
      </c>
      <c r="B42" s="140" t="s">
        <v>2343</v>
      </c>
      <c r="C42" s="140" t="s">
        <v>85</v>
      </c>
      <c r="D42" s="140" t="s">
        <v>86</v>
      </c>
      <c r="E42" s="140" t="s">
        <v>54</v>
      </c>
      <c r="F42" s="140" t="s">
        <v>2359</v>
      </c>
      <c r="G42" s="140" t="s">
        <v>2360</v>
      </c>
      <c r="H42" s="140" t="s">
        <v>2347</v>
      </c>
      <c r="I42" s="140" t="s">
        <v>2348</v>
      </c>
      <c r="J42" s="140" t="s">
        <v>2361</v>
      </c>
      <c r="K42" s="140" t="s">
        <v>2362</v>
      </c>
      <c r="L42" s="140" t="s">
        <v>438</v>
      </c>
      <c r="M42" s="140" t="s">
        <v>41</v>
      </c>
      <c r="N42" s="155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  <c r="AC42" s="106"/>
      <c r="AD42" s="106"/>
      <c r="AE42" s="106"/>
      <c r="AF42" s="106"/>
    </row>
    <row r="43" spans="1:32" ht="14.4">
      <c r="A43" s="140" t="s">
        <v>2100</v>
      </c>
      <c r="B43" s="140" t="s">
        <v>2343</v>
      </c>
      <c r="C43" s="140" t="s">
        <v>85</v>
      </c>
      <c r="D43" s="140" t="s">
        <v>86</v>
      </c>
      <c r="E43" s="140" t="s">
        <v>54</v>
      </c>
      <c r="F43" s="140" t="s">
        <v>2364</v>
      </c>
      <c r="G43" s="140">
        <v>0</v>
      </c>
      <c r="H43" s="140" t="s">
        <v>2347</v>
      </c>
      <c r="I43" s="140" t="s">
        <v>2348</v>
      </c>
      <c r="J43" s="140" t="s">
        <v>2366</v>
      </c>
      <c r="K43" s="140" t="s">
        <v>2367</v>
      </c>
      <c r="L43" s="140" t="s">
        <v>438</v>
      </c>
      <c r="M43" s="140" t="s">
        <v>41</v>
      </c>
      <c r="N43" s="155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</row>
    <row r="44" spans="1:32" ht="14.4">
      <c r="A44" s="140" t="s">
        <v>2100</v>
      </c>
      <c r="B44" s="140" t="s">
        <v>2343</v>
      </c>
      <c r="C44" s="140" t="s">
        <v>85</v>
      </c>
      <c r="D44" s="140" t="s">
        <v>86</v>
      </c>
      <c r="E44" s="140" t="s">
        <v>54</v>
      </c>
      <c r="F44" s="140" t="s">
        <v>2371</v>
      </c>
      <c r="G44" s="140" t="s">
        <v>2372</v>
      </c>
      <c r="H44" s="140" t="s">
        <v>2347</v>
      </c>
      <c r="I44" s="140" t="s">
        <v>2348</v>
      </c>
      <c r="J44" s="140" t="s">
        <v>2373</v>
      </c>
      <c r="K44" s="140" t="s">
        <v>2374</v>
      </c>
      <c r="L44" s="140" t="s">
        <v>438</v>
      </c>
      <c r="M44" s="140" t="s">
        <v>41</v>
      </c>
      <c r="N44" s="155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06"/>
      <c r="AB44" s="106"/>
      <c r="AC44" s="106"/>
      <c r="AD44" s="106"/>
      <c r="AE44" s="106"/>
      <c r="AF44" s="106"/>
    </row>
    <row r="45" spans="1:32" ht="14.4">
      <c r="A45" s="140" t="s">
        <v>2100</v>
      </c>
      <c r="B45" s="140" t="s">
        <v>2343</v>
      </c>
      <c r="C45" s="140" t="s">
        <v>85</v>
      </c>
      <c r="D45" s="140" t="s">
        <v>86</v>
      </c>
      <c r="E45" s="140" t="s">
        <v>54</v>
      </c>
      <c r="F45" s="140" t="s">
        <v>2377</v>
      </c>
      <c r="G45" s="140" t="s">
        <v>2378</v>
      </c>
      <c r="H45" s="140" t="s">
        <v>2347</v>
      </c>
      <c r="I45" s="140" t="s">
        <v>2348</v>
      </c>
      <c r="J45" s="140" t="s">
        <v>2379</v>
      </c>
      <c r="K45" s="140" t="s">
        <v>2380</v>
      </c>
      <c r="L45" s="140" t="s">
        <v>438</v>
      </c>
      <c r="M45" s="140" t="s">
        <v>41</v>
      </c>
      <c r="N45" s="155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  <c r="AC45" s="106"/>
      <c r="AD45" s="106"/>
      <c r="AE45" s="106"/>
      <c r="AF45" s="106"/>
    </row>
    <row r="46" spans="1:32" ht="14.4">
      <c r="A46" s="140" t="s">
        <v>2100</v>
      </c>
      <c r="B46" s="140" t="s">
        <v>2343</v>
      </c>
      <c r="C46" s="140" t="s">
        <v>85</v>
      </c>
      <c r="D46" s="140" t="s">
        <v>86</v>
      </c>
      <c r="E46" s="140" t="s">
        <v>54</v>
      </c>
      <c r="F46" s="140" t="s">
        <v>2382</v>
      </c>
      <c r="G46" s="140" t="s">
        <v>2383</v>
      </c>
      <c r="H46" s="140" t="s">
        <v>2384</v>
      </c>
      <c r="I46" s="140" t="s">
        <v>2348</v>
      </c>
      <c r="J46" s="140" t="s">
        <v>2387</v>
      </c>
      <c r="K46" s="140" t="s">
        <v>2384</v>
      </c>
      <c r="L46" s="140" t="s">
        <v>2166</v>
      </c>
      <c r="M46" s="140" t="s">
        <v>41</v>
      </c>
      <c r="N46" s="155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</row>
    <row r="47" spans="1:32" ht="14.4">
      <c r="A47" s="140" t="s">
        <v>2100</v>
      </c>
      <c r="B47" s="140" t="s">
        <v>2343</v>
      </c>
      <c r="C47" s="140" t="s">
        <v>85</v>
      </c>
      <c r="D47" s="140" t="s">
        <v>86</v>
      </c>
      <c r="E47" s="140" t="s">
        <v>54</v>
      </c>
      <c r="F47" s="140" t="s">
        <v>2389</v>
      </c>
      <c r="G47" s="140" t="s">
        <v>2390</v>
      </c>
      <c r="H47" s="140" t="s">
        <v>2347</v>
      </c>
      <c r="I47" s="140" t="s">
        <v>2348</v>
      </c>
      <c r="J47" s="140" t="s">
        <v>2392</v>
      </c>
      <c r="K47" s="140" t="s">
        <v>2394</v>
      </c>
      <c r="L47" s="140" t="s">
        <v>438</v>
      </c>
      <c r="M47" s="140" t="s">
        <v>41</v>
      </c>
      <c r="N47" s="155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/>
      <c r="AD47" s="106"/>
      <c r="AE47" s="106"/>
      <c r="AF47" s="106"/>
    </row>
    <row r="48" spans="1:32" ht="14.4">
      <c r="A48" s="140" t="s">
        <v>2100</v>
      </c>
      <c r="B48" s="140" t="s">
        <v>2343</v>
      </c>
      <c r="C48" s="140" t="s">
        <v>85</v>
      </c>
      <c r="D48" s="140" t="s">
        <v>86</v>
      </c>
      <c r="E48" s="140" t="s">
        <v>54</v>
      </c>
      <c r="F48" s="140" t="s">
        <v>2397</v>
      </c>
      <c r="G48" s="140" t="s">
        <v>2398</v>
      </c>
      <c r="H48" s="140" t="s">
        <v>2399</v>
      </c>
      <c r="I48" s="140" t="s">
        <v>2400</v>
      </c>
      <c r="J48" s="140" t="s">
        <v>2401</v>
      </c>
      <c r="K48" s="140" t="s">
        <v>2399</v>
      </c>
      <c r="L48" s="140" t="s">
        <v>2403</v>
      </c>
      <c r="M48" s="140" t="s">
        <v>41</v>
      </c>
      <c r="N48" s="155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6"/>
      <c r="AF48" s="106"/>
    </row>
    <row r="49" spans="1:32" ht="14.4">
      <c r="A49" s="140" t="s">
        <v>2100</v>
      </c>
      <c r="B49" s="140" t="s">
        <v>2343</v>
      </c>
      <c r="C49" s="140" t="s">
        <v>85</v>
      </c>
      <c r="D49" s="140" t="s">
        <v>86</v>
      </c>
      <c r="E49" s="140" t="s">
        <v>54</v>
      </c>
      <c r="F49" s="140" t="s">
        <v>2405</v>
      </c>
      <c r="G49" s="140" t="s">
        <v>2407</v>
      </c>
      <c r="H49" s="140" t="s">
        <v>2409</v>
      </c>
      <c r="I49" s="140" t="s">
        <v>2400</v>
      </c>
      <c r="J49" s="140" t="s">
        <v>2412</v>
      </c>
      <c r="K49" s="140" t="s">
        <v>2409</v>
      </c>
      <c r="L49" s="140" t="s">
        <v>2403</v>
      </c>
      <c r="M49" s="140" t="s">
        <v>41</v>
      </c>
      <c r="N49" s="155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</row>
    <row r="50" spans="1:32" ht="14.4">
      <c r="A50" s="140" t="s">
        <v>2100</v>
      </c>
      <c r="B50" s="140" t="s">
        <v>2343</v>
      </c>
      <c r="C50" s="140" t="s">
        <v>85</v>
      </c>
      <c r="D50" s="140" t="s">
        <v>86</v>
      </c>
      <c r="E50" s="140" t="s">
        <v>54</v>
      </c>
      <c r="F50" s="140" t="s">
        <v>2414</v>
      </c>
      <c r="G50" s="140">
        <v>0</v>
      </c>
      <c r="H50" s="140" t="s">
        <v>2415</v>
      </c>
      <c r="I50" s="140" t="s">
        <v>2400</v>
      </c>
      <c r="J50" s="140" t="s">
        <v>2416</v>
      </c>
      <c r="K50" s="140" t="s">
        <v>2415</v>
      </c>
      <c r="L50" s="140" t="s">
        <v>2403</v>
      </c>
      <c r="M50" s="140" t="s">
        <v>41</v>
      </c>
      <c r="N50" s="155" t="s">
        <v>2417</v>
      </c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</row>
    <row r="51" spans="1:32" ht="14.4">
      <c r="A51" s="140" t="s">
        <v>2100</v>
      </c>
      <c r="B51" s="140" t="s">
        <v>2343</v>
      </c>
      <c r="C51" s="140" t="s">
        <v>85</v>
      </c>
      <c r="D51" s="140" t="s">
        <v>86</v>
      </c>
      <c r="E51" s="140" t="s">
        <v>54</v>
      </c>
      <c r="F51" s="140" t="s">
        <v>2419</v>
      </c>
      <c r="G51" s="140" t="s">
        <v>2421</v>
      </c>
      <c r="H51" s="140" t="s">
        <v>2423</v>
      </c>
      <c r="I51" s="140" t="s">
        <v>2400</v>
      </c>
      <c r="J51" s="140" t="s">
        <v>2426</v>
      </c>
      <c r="K51" s="140" t="s">
        <v>2423</v>
      </c>
      <c r="L51" s="140" t="s">
        <v>2403</v>
      </c>
      <c r="M51" s="140" t="s">
        <v>41</v>
      </c>
      <c r="N51" s="155" t="s">
        <v>2427</v>
      </c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</row>
    <row r="52" spans="1:32" ht="14.4">
      <c r="A52" s="140" t="s">
        <v>2100</v>
      </c>
      <c r="B52" s="140" t="s">
        <v>2343</v>
      </c>
      <c r="C52" s="140" t="s">
        <v>85</v>
      </c>
      <c r="D52" s="140" t="s">
        <v>86</v>
      </c>
      <c r="E52" s="140" t="s">
        <v>54</v>
      </c>
      <c r="F52" s="140" t="s">
        <v>2429</v>
      </c>
      <c r="G52" s="140">
        <v>0</v>
      </c>
      <c r="H52" s="140" t="s">
        <v>2430</v>
      </c>
      <c r="I52" s="140" t="s">
        <v>2400</v>
      </c>
      <c r="J52" s="140" t="s">
        <v>2431</v>
      </c>
      <c r="K52" s="140" t="s">
        <v>2430</v>
      </c>
      <c r="L52" s="140" t="s">
        <v>2403</v>
      </c>
      <c r="M52" s="140" t="s">
        <v>41</v>
      </c>
      <c r="N52" s="155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06"/>
      <c r="AB52" s="106"/>
      <c r="AC52" s="106"/>
      <c r="AD52" s="106"/>
      <c r="AE52" s="106"/>
      <c r="AF52" s="106"/>
    </row>
    <row r="53" spans="1:32" ht="14.4">
      <c r="A53" s="140" t="s">
        <v>2100</v>
      </c>
      <c r="B53" s="140" t="s">
        <v>2343</v>
      </c>
      <c r="C53" s="140" t="s">
        <v>85</v>
      </c>
      <c r="D53" s="140" t="s">
        <v>86</v>
      </c>
      <c r="E53" s="140" t="s">
        <v>54</v>
      </c>
      <c r="F53" s="140" t="s">
        <v>2435</v>
      </c>
      <c r="G53" s="140">
        <v>0</v>
      </c>
      <c r="H53" s="140" t="s">
        <v>2436</v>
      </c>
      <c r="I53" s="140" t="s">
        <v>2400</v>
      </c>
      <c r="J53" s="140" t="s">
        <v>2437</v>
      </c>
      <c r="K53" s="140" t="s">
        <v>2436</v>
      </c>
      <c r="L53" s="140" t="s">
        <v>2403</v>
      </c>
      <c r="M53" s="140" t="s">
        <v>41</v>
      </c>
      <c r="N53" s="155" t="s">
        <v>2439</v>
      </c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</row>
    <row r="54" spans="1:32" ht="14.4">
      <c r="A54" s="140" t="s">
        <v>2100</v>
      </c>
      <c r="B54" s="140" t="s">
        <v>2343</v>
      </c>
      <c r="C54" s="140" t="s">
        <v>233</v>
      </c>
      <c r="D54" s="161" t="s">
        <v>298</v>
      </c>
      <c r="E54" s="140" t="s">
        <v>54</v>
      </c>
      <c r="F54" s="140" t="s">
        <v>2442</v>
      </c>
      <c r="G54" s="140">
        <v>0</v>
      </c>
      <c r="H54" s="140" t="s">
        <v>2347</v>
      </c>
      <c r="I54" s="140" t="s">
        <v>2348</v>
      </c>
      <c r="J54" s="140" t="s">
        <v>2443</v>
      </c>
      <c r="K54" s="140" t="s">
        <v>2347</v>
      </c>
      <c r="L54" s="140" t="s">
        <v>2444</v>
      </c>
      <c r="M54" s="140" t="s">
        <v>41</v>
      </c>
      <c r="N54" s="155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</row>
    <row r="55" spans="1:32" ht="14.4">
      <c r="A55" s="140" t="s">
        <v>2100</v>
      </c>
      <c r="B55" s="140" t="s">
        <v>2343</v>
      </c>
      <c r="C55" s="140" t="s">
        <v>233</v>
      </c>
      <c r="D55" s="161" t="s">
        <v>298</v>
      </c>
      <c r="E55" s="140" t="s">
        <v>54</v>
      </c>
      <c r="F55" s="140" t="s">
        <v>2447</v>
      </c>
      <c r="G55" s="140">
        <v>0</v>
      </c>
      <c r="H55" s="140" t="s">
        <v>2347</v>
      </c>
      <c r="I55" s="140" t="s">
        <v>2348</v>
      </c>
      <c r="J55" s="140" t="s">
        <v>2449</v>
      </c>
      <c r="K55" s="140" t="s">
        <v>2347</v>
      </c>
      <c r="L55" s="140" t="s">
        <v>2444</v>
      </c>
      <c r="M55" s="140" t="s">
        <v>41</v>
      </c>
      <c r="N55" s="155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</row>
    <row r="56" spans="1:32" ht="14.4">
      <c r="A56" s="140" t="s">
        <v>2100</v>
      </c>
      <c r="B56" s="140" t="s">
        <v>2343</v>
      </c>
      <c r="C56" s="140" t="s">
        <v>233</v>
      </c>
      <c r="D56" s="161" t="s">
        <v>298</v>
      </c>
      <c r="E56" s="140" t="s">
        <v>54</v>
      </c>
      <c r="F56" s="140" t="s">
        <v>2447</v>
      </c>
      <c r="G56" s="140">
        <v>0</v>
      </c>
      <c r="H56" s="140" t="s">
        <v>2451</v>
      </c>
      <c r="I56" s="140" t="s">
        <v>521</v>
      </c>
      <c r="J56" s="140"/>
      <c r="K56" s="140" t="s">
        <v>2451</v>
      </c>
      <c r="L56" s="140" t="s">
        <v>2166</v>
      </c>
      <c r="M56" s="140" t="s">
        <v>41</v>
      </c>
      <c r="N56" s="155" t="s">
        <v>2454</v>
      </c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</row>
    <row r="57" spans="1:32" ht="14.4">
      <c r="A57" s="140" t="s">
        <v>2100</v>
      </c>
      <c r="B57" s="140" t="s">
        <v>2343</v>
      </c>
      <c r="C57" s="140" t="s">
        <v>275</v>
      </c>
      <c r="D57" s="140" t="s">
        <v>543</v>
      </c>
      <c r="E57" s="140" t="s">
        <v>54</v>
      </c>
      <c r="F57" s="162" t="s">
        <v>2456</v>
      </c>
      <c r="G57" s="140" t="s">
        <v>2457</v>
      </c>
      <c r="H57" s="140" t="s">
        <v>2460</v>
      </c>
      <c r="I57" s="140" t="s">
        <v>2400</v>
      </c>
      <c r="J57" s="140" t="s">
        <v>2462</v>
      </c>
      <c r="K57" s="140" t="s">
        <v>2463</v>
      </c>
      <c r="L57" s="140" t="s">
        <v>438</v>
      </c>
      <c r="M57" s="140" t="s">
        <v>41</v>
      </c>
      <c r="N57" s="155" t="s">
        <v>2464</v>
      </c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</row>
    <row r="58" spans="1:32" ht="14.4">
      <c r="A58" s="140" t="s">
        <v>2100</v>
      </c>
      <c r="B58" s="140" t="s">
        <v>2343</v>
      </c>
      <c r="C58" s="140" t="s">
        <v>79</v>
      </c>
      <c r="D58" s="161" t="s">
        <v>80</v>
      </c>
      <c r="E58" s="140" t="s">
        <v>54</v>
      </c>
      <c r="F58" s="140" t="s">
        <v>2466</v>
      </c>
      <c r="G58" s="140">
        <v>0</v>
      </c>
      <c r="H58" s="140" t="s">
        <v>2467</v>
      </c>
      <c r="I58" s="140" t="s">
        <v>2235</v>
      </c>
      <c r="J58" s="140" t="s">
        <v>2468</v>
      </c>
      <c r="K58" s="140" t="s">
        <v>2467</v>
      </c>
      <c r="L58" s="140" t="s">
        <v>2149</v>
      </c>
      <c r="M58" s="140" t="s">
        <v>41</v>
      </c>
      <c r="N58" s="155" t="s">
        <v>2470</v>
      </c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</row>
    <row r="59" spans="1:32" ht="14.4">
      <c r="A59" s="140" t="s">
        <v>2100</v>
      </c>
      <c r="B59" s="140" t="s">
        <v>2343</v>
      </c>
      <c r="C59" s="140" t="s">
        <v>70</v>
      </c>
      <c r="D59" s="161" t="s">
        <v>71</v>
      </c>
      <c r="E59" s="140" t="s">
        <v>54</v>
      </c>
      <c r="F59" s="162" t="s">
        <v>2473</v>
      </c>
      <c r="G59" s="140">
        <v>0</v>
      </c>
      <c r="H59" s="140" t="s">
        <v>2467</v>
      </c>
      <c r="I59" s="140" t="s">
        <v>2474</v>
      </c>
      <c r="J59" s="140" t="s">
        <v>2475</v>
      </c>
      <c r="K59" s="140" t="s">
        <v>2467</v>
      </c>
      <c r="L59" s="140" t="s">
        <v>2149</v>
      </c>
      <c r="M59" s="140" t="s">
        <v>41</v>
      </c>
      <c r="N59" s="155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</row>
    <row r="60" spans="1:32" ht="14.4">
      <c r="A60" s="140" t="s">
        <v>2100</v>
      </c>
      <c r="B60" s="140" t="s">
        <v>2343</v>
      </c>
      <c r="C60" s="140" t="s">
        <v>51</v>
      </c>
      <c r="D60" s="161" t="s">
        <v>52</v>
      </c>
      <c r="E60" s="140" t="s">
        <v>54</v>
      </c>
      <c r="F60" s="140" t="s">
        <v>2473</v>
      </c>
      <c r="G60" s="140">
        <v>0</v>
      </c>
      <c r="H60" s="140" t="s">
        <v>2467</v>
      </c>
      <c r="I60" s="140" t="s">
        <v>2474</v>
      </c>
      <c r="J60" s="140" t="s">
        <v>2475</v>
      </c>
      <c r="K60" s="140" t="s">
        <v>2467</v>
      </c>
      <c r="L60" s="140" t="s">
        <v>2149</v>
      </c>
      <c r="M60" s="140" t="s">
        <v>41</v>
      </c>
      <c r="N60" s="155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</row>
    <row r="61" spans="1:32" ht="14.4">
      <c r="A61" s="140" t="s">
        <v>2100</v>
      </c>
      <c r="B61" s="140" t="s">
        <v>2343</v>
      </c>
      <c r="C61" s="140" t="s">
        <v>296</v>
      </c>
      <c r="D61" s="140" t="s">
        <v>954</v>
      </c>
      <c r="E61" s="140" t="s">
        <v>54</v>
      </c>
      <c r="F61" s="162" t="s">
        <v>2480</v>
      </c>
      <c r="G61" s="140">
        <v>0</v>
      </c>
      <c r="H61" s="140" t="s">
        <v>2347</v>
      </c>
      <c r="I61" s="140" t="s">
        <v>2348</v>
      </c>
      <c r="J61" s="140" t="s">
        <v>2481</v>
      </c>
      <c r="K61" s="140" t="s">
        <v>2482</v>
      </c>
      <c r="L61" s="140" t="s">
        <v>2149</v>
      </c>
      <c r="M61" s="140" t="s">
        <v>41</v>
      </c>
      <c r="N61" s="155" t="s">
        <v>2484</v>
      </c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</row>
    <row r="62" spans="1:32" ht="14.4">
      <c r="A62" s="140" t="s">
        <v>2100</v>
      </c>
      <c r="B62" s="140" t="s">
        <v>2486</v>
      </c>
      <c r="C62" s="140" t="s">
        <v>275</v>
      </c>
      <c r="D62" s="140" t="s">
        <v>543</v>
      </c>
      <c r="E62" s="140" t="s">
        <v>54</v>
      </c>
      <c r="F62" s="162" t="s">
        <v>2487</v>
      </c>
      <c r="G62" s="140" t="s">
        <v>2488</v>
      </c>
      <c r="H62" s="140" t="s">
        <v>2489</v>
      </c>
      <c r="I62" s="140" t="s">
        <v>2490</v>
      </c>
      <c r="J62" s="140" t="s">
        <v>2491</v>
      </c>
      <c r="K62" s="140" t="s">
        <v>2489</v>
      </c>
      <c r="L62" s="140" t="s">
        <v>2149</v>
      </c>
      <c r="M62" s="140" t="s">
        <v>41</v>
      </c>
      <c r="N62" s="155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</row>
    <row r="63" spans="1:32" ht="14.4">
      <c r="A63" s="140" t="s">
        <v>2100</v>
      </c>
      <c r="B63" s="140" t="s">
        <v>2486</v>
      </c>
      <c r="C63" s="140" t="s">
        <v>70</v>
      </c>
      <c r="D63" s="161" t="s">
        <v>71</v>
      </c>
      <c r="E63" s="140" t="s">
        <v>54</v>
      </c>
      <c r="F63" s="162" t="s">
        <v>2494</v>
      </c>
      <c r="G63" s="140">
        <v>0</v>
      </c>
      <c r="H63" s="140" t="s">
        <v>2489</v>
      </c>
      <c r="I63" s="140" t="s">
        <v>2490</v>
      </c>
      <c r="J63" s="140" t="s">
        <v>2495</v>
      </c>
      <c r="K63" s="140" t="s">
        <v>2496</v>
      </c>
      <c r="L63" s="140" t="s">
        <v>2149</v>
      </c>
      <c r="M63" s="140" t="s">
        <v>41</v>
      </c>
      <c r="N63" s="155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  <c r="AE63" s="106"/>
      <c r="AF63" s="106"/>
    </row>
    <row r="64" spans="1:32" ht="14.4">
      <c r="A64" s="140" t="s">
        <v>2100</v>
      </c>
      <c r="B64" s="140" t="s">
        <v>2486</v>
      </c>
      <c r="C64" s="140" t="s">
        <v>51</v>
      </c>
      <c r="D64" s="161" t="s">
        <v>52</v>
      </c>
      <c r="E64" s="140" t="s">
        <v>54</v>
      </c>
      <c r="F64" s="140" t="s">
        <v>2499</v>
      </c>
      <c r="G64" s="140">
        <v>0</v>
      </c>
      <c r="H64" s="140" t="s">
        <v>2489</v>
      </c>
      <c r="I64" s="140" t="s">
        <v>2490</v>
      </c>
      <c r="J64" s="140" t="s">
        <v>2501</v>
      </c>
      <c r="K64" s="140" t="s">
        <v>2496</v>
      </c>
      <c r="L64" s="140" t="s">
        <v>2149</v>
      </c>
      <c r="M64" s="140" t="s">
        <v>41</v>
      </c>
      <c r="N64" s="155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</row>
    <row r="65" spans="1:32" ht="14.4">
      <c r="A65" s="140" t="s">
        <v>2100</v>
      </c>
      <c r="B65" s="140" t="s">
        <v>2486</v>
      </c>
      <c r="C65" s="140" t="s">
        <v>79</v>
      </c>
      <c r="D65" s="161" t="s">
        <v>80</v>
      </c>
      <c r="E65" s="140" t="s">
        <v>54</v>
      </c>
      <c r="F65" s="140" t="s">
        <v>2505</v>
      </c>
      <c r="G65" s="140">
        <v>0</v>
      </c>
      <c r="H65" s="140" t="s">
        <v>2489</v>
      </c>
      <c r="I65" s="140" t="s">
        <v>2490</v>
      </c>
      <c r="J65" s="140" t="s">
        <v>2507</v>
      </c>
      <c r="K65" s="140" t="s">
        <v>2496</v>
      </c>
      <c r="L65" s="140" t="s">
        <v>2149</v>
      </c>
      <c r="M65" s="140" t="s">
        <v>41</v>
      </c>
      <c r="N65" s="155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  <c r="AB65" s="106"/>
      <c r="AC65" s="106"/>
      <c r="AD65" s="106"/>
      <c r="AE65" s="106"/>
      <c r="AF65" s="106"/>
    </row>
    <row r="66" spans="1:32" ht="14.4">
      <c r="A66" s="140" t="s">
        <v>2100</v>
      </c>
      <c r="B66" s="140" t="s">
        <v>2486</v>
      </c>
      <c r="C66" s="140" t="s">
        <v>85</v>
      </c>
      <c r="D66" s="140" t="s">
        <v>86</v>
      </c>
      <c r="E66" s="140" t="s">
        <v>54</v>
      </c>
      <c r="F66" s="140" t="s">
        <v>2511</v>
      </c>
      <c r="G66" s="140" t="s">
        <v>2512</v>
      </c>
      <c r="H66" s="140" t="s">
        <v>2513</v>
      </c>
      <c r="I66" s="140" t="s">
        <v>2514</v>
      </c>
      <c r="J66" s="140" t="s">
        <v>2515</v>
      </c>
      <c r="K66" s="140" t="s">
        <v>2513</v>
      </c>
      <c r="L66" s="140" t="s">
        <v>2516</v>
      </c>
      <c r="M66" s="140" t="s">
        <v>41</v>
      </c>
      <c r="N66" s="155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6"/>
      <c r="AF66" s="106"/>
    </row>
    <row r="67" spans="1:32" ht="14.4">
      <c r="A67" s="140" t="s">
        <v>2100</v>
      </c>
      <c r="B67" s="140" t="s">
        <v>2486</v>
      </c>
      <c r="C67" s="140" t="s">
        <v>85</v>
      </c>
      <c r="D67" s="140" t="s">
        <v>86</v>
      </c>
      <c r="E67" s="140" t="s">
        <v>54</v>
      </c>
      <c r="F67" s="140" t="s">
        <v>2520</v>
      </c>
      <c r="G67" s="140" t="s">
        <v>2522</v>
      </c>
      <c r="H67" s="140" t="s">
        <v>2523</v>
      </c>
      <c r="I67" s="140" t="s">
        <v>2514</v>
      </c>
      <c r="J67" s="140" t="s">
        <v>2524</v>
      </c>
      <c r="K67" s="140" t="s">
        <v>2523</v>
      </c>
      <c r="L67" s="140" t="s">
        <v>2516</v>
      </c>
      <c r="M67" s="140" t="s">
        <v>41</v>
      </c>
      <c r="N67" s="155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  <c r="AE67" s="106"/>
      <c r="AF67" s="106"/>
    </row>
    <row r="68" spans="1:32" ht="14.4">
      <c r="A68" s="140" t="s">
        <v>2100</v>
      </c>
      <c r="B68" s="140" t="s">
        <v>2486</v>
      </c>
      <c r="C68" s="140" t="s">
        <v>85</v>
      </c>
      <c r="D68" s="140" t="s">
        <v>86</v>
      </c>
      <c r="E68" s="140" t="s">
        <v>54</v>
      </c>
      <c r="F68" s="140" t="s">
        <v>2528</v>
      </c>
      <c r="G68" s="140" t="s">
        <v>2529</v>
      </c>
      <c r="H68" s="140" t="s">
        <v>2530</v>
      </c>
      <c r="I68" s="140" t="s">
        <v>521</v>
      </c>
      <c r="J68" s="140" t="s">
        <v>2531</v>
      </c>
      <c r="K68" s="140" t="s">
        <v>2530</v>
      </c>
      <c r="L68" s="140" t="s">
        <v>2532</v>
      </c>
      <c r="M68" s="140" t="s">
        <v>41</v>
      </c>
      <c r="N68" s="155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  <c r="AE68" s="106"/>
      <c r="AF68" s="106"/>
    </row>
    <row r="69" spans="1:32" ht="14.4">
      <c r="A69" s="140" t="s">
        <v>2100</v>
      </c>
      <c r="B69" s="140" t="s">
        <v>2486</v>
      </c>
      <c r="C69" s="140" t="s">
        <v>85</v>
      </c>
      <c r="D69" s="140" t="s">
        <v>86</v>
      </c>
      <c r="E69" s="140" t="s">
        <v>54</v>
      </c>
      <c r="F69" s="140" t="s">
        <v>2535</v>
      </c>
      <c r="G69" s="140" t="s">
        <v>2536</v>
      </c>
      <c r="H69" s="140" t="s">
        <v>2537</v>
      </c>
      <c r="I69" s="140" t="s">
        <v>887</v>
      </c>
      <c r="J69" s="140" t="s">
        <v>2539</v>
      </c>
      <c r="K69" s="140" t="s">
        <v>2537</v>
      </c>
      <c r="L69" s="140" t="s">
        <v>2149</v>
      </c>
      <c r="M69" s="140" t="s">
        <v>41</v>
      </c>
      <c r="N69" s="155" t="s">
        <v>2540</v>
      </c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106"/>
      <c r="AE69" s="106"/>
      <c r="AF69" s="106"/>
    </row>
    <row r="70" spans="1:32" ht="14.4">
      <c r="A70" s="140" t="s">
        <v>2100</v>
      </c>
      <c r="B70" s="140" t="s">
        <v>2486</v>
      </c>
      <c r="C70" s="140" t="s">
        <v>85</v>
      </c>
      <c r="D70" s="140" t="s">
        <v>86</v>
      </c>
      <c r="E70" s="140" t="s">
        <v>54</v>
      </c>
      <c r="F70" s="140" t="s">
        <v>2542</v>
      </c>
      <c r="G70" s="140" t="s">
        <v>2543</v>
      </c>
      <c r="H70" s="140" t="s">
        <v>2544</v>
      </c>
      <c r="I70" s="140" t="s">
        <v>2546</v>
      </c>
      <c r="J70" s="140" t="s">
        <v>2547</v>
      </c>
      <c r="K70" s="140" t="s">
        <v>2548</v>
      </c>
      <c r="L70" s="140" t="s">
        <v>438</v>
      </c>
      <c r="M70" s="140" t="s">
        <v>41</v>
      </c>
      <c r="N70" s="155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  <c r="AB70" s="106"/>
      <c r="AC70" s="106"/>
      <c r="AD70" s="106"/>
      <c r="AE70" s="106"/>
      <c r="AF70" s="106"/>
    </row>
    <row r="71" spans="1:32" ht="14.4">
      <c r="A71" s="140" t="s">
        <v>2100</v>
      </c>
      <c r="B71" s="140" t="s">
        <v>2486</v>
      </c>
      <c r="C71" s="140" t="s">
        <v>85</v>
      </c>
      <c r="D71" s="140" t="s">
        <v>86</v>
      </c>
      <c r="E71" s="140" t="s">
        <v>54</v>
      </c>
      <c r="F71" s="140" t="s">
        <v>2551</v>
      </c>
      <c r="G71" s="140" t="s">
        <v>2552</v>
      </c>
      <c r="H71" s="140" t="s">
        <v>2489</v>
      </c>
      <c r="I71" s="140" t="s">
        <v>2553</v>
      </c>
      <c r="J71" s="140" t="s">
        <v>2554</v>
      </c>
      <c r="K71" s="140" t="s">
        <v>2555</v>
      </c>
      <c r="L71" s="140" t="s">
        <v>438</v>
      </c>
      <c r="M71" s="140" t="s">
        <v>41</v>
      </c>
      <c r="N71" s="155" t="s">
        <v>2556</v>
      </c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  <c r="AE71" s="106"/>
      <c r="AF71" s="106"/>
    </row>
    <row r="72" spans="1:32" ht="14.4">
      <c r="A72" s="140" t="s">
        <v>2100</v>
      </c>
      <c r="B72" s="140" t="s">
        <v>2486</v>
      </c>
      <c r="C72" s="140" t="s">
        <v>85</v>
      </c>
      <c r="D72" s="140" t="s">
        <v>86</v>
      </c>
      <c r="E72" s="140" t="s">
        <v>54</v>
      </c>
      <c r="F72" s="140" t="s">
        <v>2558</v>
      </c>
      <c r="G72" s="140" t="s">
        <v>2559</v>
      </c>
      <c r="H72" s="140" t="s">
        <v>2561</v>
      </c>
      <c r="I72" s="140" t="s">
        <v>2562</v>
      </c>
      <c r="J72" s="140" t="s">
        <v>2563</v>
      </c>
      <c r="K72" s="140" t="s">
        <v>2561</v>
      </c>
      <c r="L72" s="140" t="s">
        <v>2564</v>
      </c>
      <c r="M72" s="140" t="s">
        <v>41</v>
      </c>
      <c r="N72" s="155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  <c r="AE72" s="106"/>
      <c r="AF72" s="106"/>
    </row>
    <row r="73" spans="1:32" ht="14.4">
      <c r="A73" s="140" t="s">
        <v>2100</v>
      </c>
      <c r="B73" s="140" t="s">
        <v>2486</v>
      </c>
      <c r="C73" s="140" t="s">
        <v>85</v>
      </c>
      <c r="D73" s="140" t="s">
        <v>86</v>
      </c>
      <c r="E73" s="140" t="s">
        <v>54</v>
      </c>
      <c r="F73" s="140" t="s">
        <v>2566</v>
      </c>
      <c r="G73" s="140" t="s">
        <v>2567</v>
      </c>
      <c r="H73" s="140" t="s">
        <v>2489</v>
      </c>
      <c r="I73" s="140" t="s">
        <v>2553</v>
      </c>
      <c r="J73" s="140" t="s">
        <v>2568</v>
      </c>
      <c r="K73" s="140" t="s">
        <v>2569</v>
      </c>
      <c r="L73" s="140" t="s">
        <v>438</v>
      </c>
      <c r="M73" s="140" t="s">
        <v>41</v>
      </c>
      <c r="N73" s="155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  <c r="AD73" s="106"/>
      <c r="AE73" s="106"/>
      <c r="AF73" s="106"/>
    </row>
    <row r="74" spans="1:32" ht="14.4">
      <c r="A74" s="140" t="s">
        <v>2100</v>
      </c>
      <c r="B74" s="140" t="s">
        <v>2486</v>
      </c>
      <c r="C74" s="140" t="s">
        <v>85</v>
      </c>
      <c r="D74" s="140" t="s">
        <v>86</v>
      </c>
      <c r="E74" s="140" t="s">
        <v>54</v>
      </c>
      <c r="F74" s="140" t="s">
        <v>2571</v>
      </c>
      <c r="G74" s="140" t="s">
        <v>2573</v>
      </c>
      <c r="H74" s="140" t="s">
        <v>2574</v>
      </c>
      <c r="I74" s="140" t="s">
        <v>2348</v>
      </c>
      <c r="J74" s="140" t="s">
        <v>2575</v>
      </c>
      <c r="K74" s="140" t="s">
        <v>2576</v>
      </c>
      <c r="L74" s="140" t="s">
        <v>2532</v>
      </c>
      <c r="M74" s="140" t="s">
        <v>41</v>
      </c>
      <c r="N74" s="155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06"/>
      <c r="AD74" s="106"/>
      <c r="AE74" s="106"/>
      <c r="AF74" s="106"/>
    </row>
    <row r="75" spans="1:32" ht="14.4">
      <c r="A75" s="140" t="s">
        <v>2100</v>
      </c>
      <c r="B75" s="140" t="s">
        <v>2486</v>
      </c>
      <c r="C75" s="140" t="s">
        <v>85</v>
      </c>
      <c r="D75" s="140" t="s">
        <v>86</v>
      </c>
      <c r="E75" s="140" t="s">
        <v>54</v>
      </c>
      <c r="F75" s="140" t="s">
        <v>2578</v>
      </c>
      <c r="G75" s="140" t="s">
        <v>2579</v>
      </c>
      <c r="H75" s="140" t="s">
        <v>2580</v>
      </c>
      <c r="I75" s="140" t="s">
        <v>2581</v>
      </c>
      <c r="J75" s="140" t="s">
        <v>2582</v>
      </c>
      <c r="K75" s="140" t="s">
        <v>2580</v>
      </c>
      <c r="L75" s="140" t="s">
        <v>2166</v>
      </c>
      <c r="M75" s="140" t="s">
        <v>41</v>
      </c>
      <c r="N75" s="155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  <c r="AE75" s="106"/>
      <c r="AF75" s="106"/>
    </row>
    <row r="76" spans="1:32" ht="14.4">
      <c r="A76" s="140" t="s">
        <v>2100</v>
      </c>
      <c r="B76" s="140" t="s">
        <v>2486</v>
      </c>
      <c r="C76" s="140" t="s">
        <v>85</v>
      </c>
      <c r="D76" s="140" t="s">
        <v>86</v>
      </c>
      <c r="E76" s="140" t="s">
        <v>54</v>
      </c>
      <c r="F76" s="140" t="s">
        <v>2585</v>
      </c>
      <c r="G76" s="140" t="s">
        <v>2586</v>
      </c>
      <c r="H76" s="140" t="s">
        <v>2587</v>
      </c>
      <c r="I76" s="140" t="s">
        <v>2588</v>
      </c>
      <c r="J76" s="140" t="s">
        <v>2589</v>
      </c>
      <c r="K76" s="140" t="s">
        <v>2587</v>
      </c>
      <c r="L76" s="140" t="s">
        <v>2149</v>
      </c>
      <c r="M76" s="140" t="s">
        <v>41</v>
      </c>
      <c r="N76" s="155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  <c r="AF76" s="106"/>
    </row>
    <row r="77" spans="1:32" ht="14.4">
      <c r="A77" s="140" t="s">
        <v>2100</v>
      </c>
      <c r="B77" s="140" t="s">
        <v>2486</v>
      </c>
      <c r="C77" s="140" t="s">
        <v>85</v>
      </c>
      <c r="D77" s="140" t="s">
        <v>86</v>
      </c>
      <c r="E77" s="140" t="s">
        <v>54</v>
      </c>
      <c r="F77" s="140" t="s">
        <v>2592</v>
      </c>
      <c r="G77" s="140">
        <v>0</v>
      </c>
      <c r="H77" s="140" t="s">
        <v>2489</v>
      </c>
      <c r="I77" s="140" t="s">
        <v>2553</v>
      </c>
      <c r="J77" s="140" t="s">
        <v>2594</v>
      </c>
      <c r="K77" s="140" t="s">
        <v>2595</v>
      </c>
      <c r="L77" s="140" t="s">
        <v>438</v>
      </c>
      <c r="M77" s="140" t="s">
        <v>41</v>
      </c>
      <c r="N77" s="155" t="s">
        <v>2556</v>
      </c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  <c r="AE77" s="106"/>
      <c r="AF77" s="106"/>
    </row>
    <row r="78" spans="1:32" ht="14.4">
      <c r="A78" s="140" t="s">
        <v>2100</v>
      </c>
      <c r="B78" s="140" t="s">
        <v>2486</v>
      </c>
      <c r="C78" s="140" t="s">
        <v>85</v>
      </c>
      <c r="D78" s="140" t="s">
        <v>86</v>
      </c>
      <c r="E78" s="140" t="s">
        <v>54</v>
      </c>
      <c r="F78" s="140" t="s">
        <v>2597</v>
      </c>
      <c r="G78" s="140" t="s">
        <v>2598</v>
      </c>
      <c r="H78" s="140" t="s">
        <v>2489</v>
      </c>
      <c r="I78" s="140" t="s">
        <v>2553</v>
      </c>
      <c r="J78" s="140" t="s">
        <v>2599</v>
      </c>
      <c r="K78" s="140" t="s">
        <v>2600</v>
      </c>
      <c r="L78" s="140" t="s">
        <v>438</v>
      </c>
      <c r="M78" s="140" t="s">
        <v>41</v>
      </c>
      <c r="N78" s="155" t="s">
        <v>2556</v>
      </c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</row>
    <row r="79" spans="1:32" ht="14.4">
      <c r="A79" s="140" t="s">
        <v>2100</v>
      </c>
      <c r="B79" s="140" t="s">
        <v>2486</v>
      </c>
      <c r="C79" s="140" t="s">
        <v>85</v>
      </c>
      <c r="D79" s="140" t="s">
        <v>86</v>
      </c>
      <c r="E79" s="140" t="s">
        <v>54</v>
      </c>
      <c r="F79" s="140" t="s">
        <v>2602</v>
      </c>
      <c r="G79" s="140" t="s">
        <v>2603</v>
      </c>
      <c r="H79" s="140" t="s">
        <v>2604</v>
      </c>
      <c r="I79" s="140" t="s">
        <v>2606</v>
      </c>
      <c r="J79" s="140" t="s">
        <v>2607</v>
      </c>
      <c r="K79" s="140" t="s">
        <v>2608</v>
      </c>
      <c r="L79" s="140" t="s">
        <v>438</v>
      </c>
      <c r="M79" s="140" t="s">
        <v>41</v>
      </c>
      <c r="N79" s="155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</row>
    <row r="80" spans="1:32" ht="14.4">
      <c r="A80" s="140" t="s">
        <v>2100</v>
      </c>
      <c r="B80" s="140" t="s">
        <v>2486</v>
      </c>
      <c r="C80" s="140" t="s">
        <v>233</v>
      </c>
      <c r="D80" s="161" t="s">
        <v>298</v>
      </c>
      <c r="E80" s="140" t="s">
        <v>54</v>
      </c>
      <c r="F80" s="140" t="s">
        <v>2612</v>
      </c>
      <c r="G80" s="140">
        <v>0</v>
      </c>
      <c r="H80" s="140" t="s">
        <v>2613</v>
      </c>
      <c r="I80" s="140" t="s">
        <v>521</v>
      </c>
      <c r="J80" s="140" t="s">
        <v>2614</v>
      </c>
      <c r="K80" s="140" t="s">
        <v>2615</v>
      </c>
      <c r="L80" s="140" t="s">
        <v>438</v>
      </c>
      <c r="M80" s="140" t="s">
        <v>41</v>
      </c>
      <c r="N80" s="155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  <c r="AD80" s="106"/>
      <c r="AE80" s="106"/>
      <c r="AF80" s="106"/>
    </row>
    <row r="81" spans="1:32" ht="14.4">
      <c r="A81" s="140" t="s">
        <v>2100</v>
      </c>
      <c r="B81" s="140" t="s">
        <v>2486</v>
      </c>
      <c r="C81" s="140" t="s">
        <v>233</v>
      </c>
      <c r="D81" s="161" t="s">
        <v>298</v>
      </c>
      <c r="E81" s="140" t="s">
        <v>54</v>
      </c>
      <c r="F81" s="140" t="s">
        <v>2617</v>
      </c>
      <c r="G81" s="140">
        <v>0</v>
      </c>
      <c r="H81" s="140" t="s">
        <v>2574</v>
      </c>
      <c r="I81" s="140" t="s">
        <v>2348</v>
      </c>
      <c r="J81" s="140" t="s">
        <v>2618</v>
      </c>
      <c r="K81" s="140" t="s">
        <v>2619</v>
      </c>
      <c r="L81" s="140" t="s">
        <v>438</v>
      </c>
      <c r="M81" s="140" t="s">
        <v>41</v>
      </c>
      <c r="N81" s="155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  <c r="AB81" s="106"/>
      <c r="AC81" s="106"/>
      <c r="AD81" s="106"/>
      <c r="AE81" s="106"/>
      <c r="AF81" s="106"/>
    </row>
    <row r="82" spans="1:32" ht="14.4">
      <c r="A82" s="140" t="s">
        <v>2100</v>
      </c>
      <c r="B82" s="140" t="s">
        <v>2486</v>
      </c>
      <c r="C82" s="140" t="s">
        <v>233</v>
      </c>
      <c r="D82" s="161" t="s">
        <v>298</v>
      </c>
      <c r="E82" s="140" t="s">
        <v>54</v>
      </c>
      <c r="F82" s="140" t="s">
        <v>972</v>
      </c>
      <c r="G82" s="140">
        <v>0</v>
      </c>
      <c r="H82" s="140" t="s">
        <v>2624</v>
      </c>
      <c r="I82" s="140" t="s">
        <v>521</v>
      </c>
      <c r="J82" s="140" t="s">
        <v>2625</v>
      </c>
      <c r="K82" s="140" t="s">
        <v>2624</v>
      </c>
      <c r="L82" s="140" t="s">
        <v>2166</v>
      </c>
      <c r="M82" s="140" t="s">
        <v>41</v>
      </c>
      <c r="N82" s="155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</row>
    <row r="83" spans="1:32" ht="14.4">
      <c r="A83" s="140" t="s">
        <v>2100</v>
      </c>
      <c r="B83" s="140" t="s">
        <v>2486</v>
      </c>
      <c r="C83" s="140" t="s">
        <v>220</v>
      </c>
      <c r="D83" s="161" t="s">
        <v>234</v>
      </c>
      <c r="E83" s="140" t="s">
        <v>54</v>
      </c>
      <c r="F83" s="140" t="s">
        <v>2631</v>
      </c>
      <c r="G83" s="140">
        <v>0</v>
      </c>
      <c r="H83" s="140" t="s">
        <v>2489</v>
      </c>
      <c r="I83" s="140" t="s">
        <v>2553</v>
      </c>
      <c r="J83" s="140" t="s">
        <v>2633</v>
      </c>
      <c r="K83" s="140" t="s">
        <v>2489</v>
      </c>
      <c r="L83" s="140" t="s">
        <v>438</v>
      </c>
      <c r="M83" s="140" t="s">
        <v>41</v>
      </c>
      <c r="N83" s="155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</row>
    <row r="84" spans="1:32" ht="14.4">
      <c r="A84" s="140" t="s">
        <v>2100</v>
      </c>
      <c r="B84" s="140" t="s">
        <v>2486</v>
      </c>
      <c r="C84" s="140" t="s">
        <v>220</v>
      </c>
      <c r="D84" s="161" t="s">
        <v>234</v>
      </c>
      <c r="E84" s="140" t="s">
        <v>54</v>
      </c>
      <c r="F84" s="140" t="s">
        <v>2635</v>
      </c>
      <c r="G84" s="140">
        <v>0</v>
      </c>
      <c r="H84" s="140" t="s">
        <v>2636</v>
      </c>
      <c r="I84" s="140" t="s">
        <v>2637</v>
      </c>
      <c r="J84" s="140" t="s">
        <v>2638</v>
      </c>
      <c r="K84" s="140" t="s">
        <v>2636</v>
      </c>
      <c r="L84" s="140" t="s">
        <v>989</v>
      </c>
      <c r="M84" s="140" t="s">
        <v>41</v>
      </c>
      <c r="N84" s="155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  <c r="AE84" s="106"/>
      <c r="AF84" s="106"/>
    </row>
    <row r="85" spans="1:32" ht="14.4">
      <c r="A85" s="140" t="s">
        <v>2100</v>
      </c>
      <c r="B85" s="140" t="s">
        <v>2486</v>
      </c>
      <c r="C85" s="140" t="s">
        <v>220</v>
      </c>
      <c r="D85" s="161" t="s">
        <v>234</v>
      </c>
      <c r="E85" s="140" t="s">
        <v>54</v>
      </c>
      <c r="F85" s="140" t="s">
        <v>2642</v>
      </c>
      <c r="G85" s="140">
        <v>0</v>
      </c>
      <c r="H85" s="140" t="s">
        <v>2643</v>
      </c>
      <c r="I85" s="140" t="s">
        <v>2644</v>
      </c>
      <c r="J85" s="140" t="s">
        <v>2646</v>
      </c>
      <c r="K85" s="140" t="s">
        <v>2643</v>
      </c>
      <c r="L85" s="140" t="s">
        <v>592</v>
      </c>
      <c r="M85" s="140" t="s">
        <v>41</v>
      </c>
      <c r="N85" s="155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  <c r="AE85" s="106"/>
      <c r="AF85" s="106"/>
    </row>
    <row r="86" spans="1:32" ht="14.4">
      <c r="A86" s="140" t="s">
        <v>2100</v>
      </c>
      <c r="B86" s="140" t="s">
        <v>2486</v>
      </c>
      <c r="C86" s="140" t="s">
        <v>296</v>
      </c>
      <c r="D86" s="140" t="s">
        <v>954</v>
      </c>
      <c r="E86" s="140" t="s">
        <v>54</v>
      </c>
      <c r="F86" s="162" t="s">
        <v>2649</v>
      </c>
      <c r="G86" s="140">
        <v>0</v>
      </c>
      <c r="H86" s="140" t="s">
        <v>2489</v>
      </c>
      <c r="I86" s="140" t="s">
        <v>2553</v>
      </c>
      <c r="J86" s="140" t="s">
        <v>2633</v>
      </c>
      <c r="K86" s="140" t="s">
        <v>2489</v>
      </c>
      <c r="L86" s="140" t="s">
        <v>438</v>
      </c>
      <c r="M86" s="140" t="s">
        <v>41</v>
      </c>
      <c r="N86" s="155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  <c r="AB86" s="106"/>
      <c r="AC86" s="106"/>
      <c r="AD86" s="106"/>
      <c r="AE86" s="106"/>
      <c r="AF86" s="106"/>
    </row>
    <row r="87" spans="1:32" ht="14.4">
      <c r="A87" s="140" t="s">
        <v>2100</v>
      </c>
      <c r="B87" s="140" t="s">
        <v>2486</v>
      </c>
      <c r="C87" s="140" t="s">
        <v>319</v>
      </c>
      <c r="D87" s="140" t="s">
        <v>796</v>
      </c>
      <c r="E87" s="140" t="s">
        <v>54</v>
      </c>
      <c r="F87" s="162" t="s">
        <v>2655</v>
      </c>
      <c r="G87" s="140" t="s">
        <v>2657</v>
      </c>
      <c r="H87" s="140" t="s">
        <v>2658</v>
      </c>
      <c r="I87" s="140" t="s">
        <v>521</v>
      </c>
      <c r="J87" s="140" t="s">
        <v>2607</v>
      </c>
      <c r="K87" s="140" t="s">
        <v>2659</v>
      </c>
      <c r="L87" s="140" t="s">
        <v>2166</v>
      </c>
      <c r="M87" s="140" t="s">
        <v>2660</v>
      </c>
      <c r="N87" s="155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  <c r="AB87" s="106"/>
      <c r="AC87" s="106"/>
      <c r="AD87" s="106"/>
      <c r="AE87" s="106"/>
      <c r="AF87" s="106"/>
    </row>
    <row r="88" spans="1:32" ht="14.4">
      <c r="A88" s="140" t="s">
        <v>2100</v>
      </c>
      <c r="B88" s="140" t="s">
        <v>2486</v>
      </c>
      <c r="C88" s="140" t="s">
        <v>319</v>
      </c>
      <c r="D88" s="140" t="s">
        <v>796</v>
      </c>
      <c r="E88" s="140" t="s">
        <v>54</v>
      </c>
      <c r="F88" s="162" t="s">
        <v>2663</v>
      </c>
      <c r="G88" s="140" t="s">
        <v>2664</v>
      </c>
      <c r="H88" s="140" t="s">
        <v>2513</v>
      </c>
      <c r="I88" s="140" t="s">
        <v>2514</v>
      </c>
      <c r="J88" s="140" t="s">
        <v>2665</v>
      </c>
      <c r="K88" s="140" t="s">
        <v>2513</v>
      </c>
      <c r="L88" s="140" t="s">
        <v>2516</v>
      </c>
      <c r="M88" s="140" t="s">
        <v>2660</v>
      </c>
      <c r="N88" s="155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  <c r="AD88" s="106"/>
      <c r="AE88" s="106"/>
      <c r="AF88" s="106"/>
    </row>
    <row r="89" spans="1:32" ht="14.4">
      <c r="A89" s="140" t="s">
        <v>2100</v>
      </c>
      <c r="B89" s="140" t="s">
        <v>2486</v>
      </c>
      <c r="C89" s="140" t="s">
        <v>319</v>
      </c>
      <c r="D89" s="140" t="s">
        <v>796</v>
      </c>
      <c r="E89" s="140" t="s">
        <v>54</v>
      </c>
      <c r="F89" s="162" t="s">
        <v>2667</v>
      </c>
      <c r="G89" s="140" t="s">
        <v>2668</v>
      </c>
      <c r="H89" s="140" t="s">
        <v>2523</v>
      </c>
      <c r="I89" s="140" t="s">
        <v>2514</v>
      </c>
      <c r="J89" s="140" t="s">
        <v>2669</v>
      </c>
      <c r="K89" s="140" t="s">
        <v>2523</v>
      </c>
      <c r="L89" s="140" t="s">
        <v>2516</v>
      </c>
      <c r="M89" s="140" t="s">
        <v>2660</v>
      </c>
      <c r="N89" s="155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  <c r="AD89" s="106"/>
      <c r="AE89" s="106"/>
      <c r="AF89" s="106"/>
    </row>
    <row r="90" spans="1:32" ht="14.4">
      <c r="A90" s="140" t="s">
        <v>2100</v>
      </c>
      <c r="B90" s="140" t="s">
        <v>2486</v>
      </c>
      <c r="C90" s="140" t="s">
        <v>319</v>
      </c>
      <c r="D90" s="140" t="s">
        <v>796</v>
      </c>
      <c r="E90" s="140" t="s">
        <v>54</v>
      </c>
      <c r="F90" s="162" t="s">
        <v>2670</v>
      </c>
      <c r="G90" s="140" t="s">
        <v>2671</v>
      </c>
      <c r="H90" s="140" t="s">
        <v>2672</v>
      </c>
      <c r="I90" s="140" t="s">
        <v>2514</v>
      </c>
      <c r="J90" s="140" t="s">
        <v>2669</v>
      </c>
      <c r="K90" s="140" t="s">
        <v>2672</v>
      </c>
      <c r="L90" s="140" t="s">
        <v>2516</v>
      </c>
      <c r="M90" s="140" t="s">
        <v>2660</v>
      </c>
      <c r="N90" s="155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  <c r="AE90" s="106"/>
      <c r="AF90" s="106"/>
    </row>
    <row r="91" spans="1:32" ht="14.4">
      <c r="A91" s="140" t="s">
        <v>2100</v>
      </c>
      <c r="B91" s="140" t="s">
        <v>2674</v>
      </c>
      <c r="C91" s="140" t="s">
        <v>85</v>
      </c>
      <c r="D91" s="140" t="s">
        <v>86</v>
      </c>
      <c r="E91" s="140" t="s">
        <v>54</v>
      </c>
      <c r="F91" s="140" t="s">
        <v>2675</v>
      </c>
      <c r="G91" s="140" t="s">
        <v>2676</v>
      </c>
      <c r="H91" s="140" t="s">
        <v>2677</v>
      </c>
      <c r="I91" s="140" t="s">
        <v>898</v>
      </c>
      <c r="J91" s="140" t="s">
        <v>2678</v>
      </c>
      <c r="K91" s="140" t="s">
        <v>2679</v>
      </c>
      <c r="L91" s="140" t="s">
        <v>729</v>
      </c>
      <c r="M91" s="140" t="s">
        <v>41</v>
      </c>
      <c r="N91" s="155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</row>
    <row r="92" spans="1:32" ht="14.4">
      <c r="A92" s="140" t="s">
        <v>2100</v>
      </c>
      <c r="B92" s="140" t="s">
        <v>2674</v>
      </c>
      <c r="C92" s="140" t="s">
        <v>85</v>
      </c>
      <c r="D92" s="140" t="s">
        <v>86</v>
      </c>
      <c r="E92" s="140" t="s">
        <v>54</v>
      </c>
      <c r="F92" s="140" t="s">
        <v>2681</v>
      </c>
      <c r="G92" s="140" t="s">
        <v>2682</v>
      </c>
      <c r="H92" s="140" t="s">
        <v>2677</v>
      </c>
      <c r="I92" s="140" t="s">
        <v>898</v>
      </c>
      <c r="J92" s="140" t="s">
        <v>2683</v>
      </c>
      <c r="K92" s="140" t="s">
        <v>2677</v>
      </c>
      <c r="L92" s="140" t="s">
        <v>729</v>
      </c>
      <c r="M92" s="140" t="s">
        <v>41</v>
      </c>
      <c r="N92" s="155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</row>
    <row r="93" spans="1:32" ht="14.4">
      <c r="A93" s="140" t="s">
        <v>2100</v>
      </c>
      <c r="B93" s="140" t="s">
        <v>2674</v>
      </c>
      <c r="C93" s="140" t="s">
        <v>85</v>
      </c>
      <c r="D93" s="140" t="s">
        <v>86</v>
      </c>
      <c r="E93" s="140" t="s">
        <v>54</v>
      </c>
      <c r="F93" s="140" t="s">
        <v>2685</v>
      </c>
      <c r="G93" s="140" t="s">
        <v>2687</v>
      </c>
      <c r="H93" s="140" t="s">
        <v>2688</v>
      </c>
      <c r="I93" s="140" t="s">
        <v>2689</v>
      </c>
      <c r="J93" s="140" t="s">
        <v>2690</v>
      </c>
      <c r="K93" s="140" t="s">
        <v>2691</v>
      </c>
      <c r="L93" s="140" t="s">
        <v>2692</v>
      </c>
      <c r="M93" s="140" t="s">
        <v>41</v>
      </c>
      <c r="N93" s="155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06"/>
      <c r="AB93" s="106"/>
      <c r="AC93" s="106"/>
      <c r="AD93" s="106"/>
      <c r="AE93" s="106"/>
      <c r="AF93" s="106"/>
    </row>
    <row r="94" spans="1:32" ht="14.4">
      <c r="A94" s="140" t="s">
        <v>2100</v>
      </c>
      <c r="B94" s="140" t="s">
        <v>2674</v>
      </c>
      <c r="C94" s="140" t="s">
        <v>85</v>
      </c>
      <c r="D94" s="140" t="s">
        <v>86</v>
      </c>
      <c r="E94" s="140" t="s">
        <v>54</v>
      </c>
      <c r="F94" s="140" t="s">
        <v>2694</v>
      </c>
      <c r="G94" s="140">
        <v>0</v>
      </c>
      <c r="H94" s="140" t="s">
        <v>2695</v>
      </c>
      <c r="I94" s="140" t="s">
        <v>887</v>
      </c>
      <c r="J94" s="140" t="s">
        <v>2696</v>
      </c>
      <c r="K94" s="140" t="s">
        <v>2695</v>
      </c>
      <c r="L94" s="140" t="s">
        <v>2697</v>
      </c>
      <c r="M94" s="140" t="s">
        <v>41</v>
      </c>
      <c r="N94" s="155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  <c r="AD94" s="106"/>
      <c r="AE94" s="106"/>
      <c r="AF94" s="106"/>
    </row>
    <row r="95" spans="1:32" ht="14.4">
      <c r="A95" s="140" t="s">
        <v>2100</v>
      </c>
      <c r="B95" s="140" t="s">
        <v>2674</v>
      </c>
      <c r="C95" s="140" t="s">
        <v>85</v>
      </c>
      <c r="D95" s="140" t="s">
        <v>86</v>
      </c>
      <c r="E95" s="140" t="s">
        <v>54</v>
      </c>
      <c r="F95" s="140" t="s">
        <v>2699</v>
      </c>
      <c r="G95" s="140" t="s">
        <v>2700</v>
      </c>
      <c r="H95" s="140" t="s">
        <v>2702</v>
      </c>
      <c r="I95" s="140" t="s">
        <v>887</v>
      </c>
      <c r="J95" s="140" t="s">
        <v>2703</v>
      </c>
      <c r="K95" s="140" t="s">
        <v>2702</v>
      </c>
      <c r="L95" s="140" t="s">
        <v>2704</v>
      </c>
      <c r="M95" s="140" t="s">
        <v>41</v>
      </c>
      <c r="N95" s="155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06"/>
      <c r="AB95" s="106"/>
      <c r="AC95" s="106"/>
      <c r="AD95" s="106"/>
      <c r="AE95" s="106"/>
      <c r="AF95" s="106"/>
    </row>
    <row r="96" spans="1:32" ht="14.4">
      <c r="A96" s="140" t="s">
        <v>2100</v>
      </c>
      <c r="B96" s="140" t="s">
        <v>2674</v>
      </c>
      <c r="C96" s="140" t="s">
        <v>85</v>
      </c>
      <c r="D96" s="140" t="s">
        <v>86</v>
      </c>
      <c r="E96" s="140" t="s">
        <v>54</v>
      </c>
      <c r="F96" s="140" t="s">
        <v>2706</v>
      </c>
      <c r="G96" s="140">
        <v>0</v>
      </c>
      <c r="H96" s="140" t="s">
        <v>2707</v>
      </c>
      <c r="I96" s="140" t="s">
        <v>887</v>
      </c>
      <c r="J96" s="140" t="s">
        <v>2708</v>
      </c>
      <c r="K96" s="140" t="s">
        <v>2707</v>
      </c>
      <c r="L96" s="140" t="s">
        <v>2709</v>
      </c>
      <c r="M96" s="140" t="s">
        <v>41</v>
      </c>
      <c r="N96" s="155" t="s">
        <v>2710</v>
      </c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  <c r="AD96" s="106"/>
      <c r="AE96" s="106"/>
      <c r="AF96" s="106"/>
    </row>
    <row r="97" spans="1:32" ht="14.4">
      <c r="A97" s="140" t="s">
        <v>2100</v>
      </c>
      <c r="B97" s="140" t="s">
        <v>2674</v>
      </c>
      <c r="C97" s="140" t="s">
        <v>85</v>
      </c>
      <c r="D97" s="140" t="s">
        <v>86</v>
      </c>
      <c r="E97" s="140" t="s">
        <v>54</v>
      </c>
      <c r="F97" s="140" t="s">
        <v>2711</v>
      </c>
      <c r="G97" s="140" t="s">
        <v>2712</v>
      </c>
      <c r="H97" s="140" t="s">
        <v>2713</v>
      </c>
      <c r="I97" s="140" t="s">
        <v>2714</v>
      </c>
      <c r="J97" s="140" t="s">
        <v>2715</v>
      </c>
      <c r="K97" s="140" t="s">
        <v>2713</v>
      </c>
      <c r="L97" s="140" t="s">
        <v>2716</v>
      </c>
      <c r="M97" s="140" t="s">
        <v>41</v>
      </c>
      <c r="N97" s="155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06"/>
      <c r="AB97" s="106"/>
      <c r="AC97" s="106"/>
      <c r="AD97" s="106"/>
      <c r="AE97" s="106"/>
      <c r="AF97" s="106"/>
    </row>
    <row r="98" spans="1:32" ht="14.4">
      <c r="A98" s="140" t="s">
        <v>2100</v>
      </c>
      <c r="B98" s="140" t="s">
        <v>2674</v>
      </c>
      <c r="C98" s="140" t="s">
        <v>85</v>
      </c>
      <c r="D98" s="140" t="s">
        <v>86</v>
      </c>
      <c r="E98" s="140" t="s">
        <v>54</v>
      </c>
      <c r="F98" s="140" t="s">
        <v>2717</v>
      </c>
      <c r="G98" s="140" t="s">
        <v>2718</v>
      </c>
      <c r="H98" s="140" t="s">
        <v>2720</v>
      </c>
      <c r="I98" s="140" t="s">
        <v>2400</v>
      </c>
      <c r="J98" s="140" t="s">
        <v>2721</v>
      </c>
      <c r="K98" s="140" t="s">
        <v>2720</v>
      </c>
      <c r="L98" s="140" t="s">
        <v>2722</v>
      </c>
      <c r="M98" s="140" t="s">
        <v>41</v>
      </c>
      <c r="N98" s="155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  <c r="AB98" s="106"/>
      <c r="AC98" s="106"/>
      <c r="AD98" s="106"/>
      <c r="AE98" s="106"/>
      <c r="AF98" s="106"/>
    </row>
    <row r="99" spans="1:32" ht="14.4">
      <c r="A99" s="140" t="s">
        <v>2100</v>
      </c>
      <c r="B99" s="140" t="s">
        <v>2674</v>
      </c>
      <c r="C99" s="140" t="s">
        <v>85</v>
      </c>
      <c r="D99" s="140" t="s">
        <v>86</v>
      </c>
      <c r="E99" s="140" t="s">
        <v>54</v>
      </c>
      <c r="F99" s="140" t="s">
        <v>2724</v>
      </c>
      <c r="G99" s="140" t="s">
        <v>2725</v>
      </c>
      <c r="H99" s="140" t="s">
        <v>2726</v>
      </c>
      <c r="I99" s="140" t="s">
        <v>2400</v>
      </c>
      <c r="J99" s="140" t="s">
        <v>2727</v>
      </c>
      <c r="K99" s="140" t="s">
        <v>2726</v>
      </c>
      <c r="L99" s="140" t="s">
        <v>2729</v>
      </c>
      <c r="M99" s="140" t="s">
        <v>41</v>
      </c>
      <c r="N99" s="155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  <c r="AB99" s="106"/>
      <c r="AC99" s="106"/>
      <c r="AD99" s="106"/>
      <c r="AE99" s="106"/>
      <c r="AF99" s="106"/>
    </row>
    <row r="100" spans="1:32" ht="14.4">
      <c r="A100" s="140" t="s">
        <v>2100</v>
      </c>
      <c r="B100" s="140" t="s">
        <v>2674</v>
      </c>
      <c r="C100" s="140" t="s">
        <v>85</v>
      </c>
      <c r="D100" s="140" t="s">
        <v>86</v>
      </c>
      <c r="E100" s="140" t="s">
        <v>54</v>
      </c>
      <c r="F100" s="140" t="s">
        <v>2731</v>
      </c>
      <c r="G100" s="140">
        <v>0</v>
      </c>
      <c r="H100" s="140" t="s">
        <v>2732</v>
      </c>
      <c r="I100" s="140" t="s">
        <v>2400</v>
      </c>
      <c r="J100" s="140" t="s">
        <v>2733</v>
      </c>
      <c r="K100" s="140" t="s">
        <v>2720</v>
      </c>
      <c r="L100" s="140" t="s">
        <v>2734</v>
      </c>
      <c r="M100" s="140" t="s">
        <v>41</v>
      </c>
      <c r="N100" s="155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  <c r="AE100" s="106"/>
      <c r="AF100" s="106"/>
    </row>
    <row r="101" spans="1:32" ht="14.4">
      <c r="A101" s="140" t="s">
        <v>2100</v>
      </c>
      <c r="B101" s="140" t="s">
        <v>2674</v>
      </c>
      <c r="C101" s="140" t="s">
        <v>85</v>
      </c>
      <c r="D101" s="140" t="s">
        <v>86</v>
      </c>
      <c r="E101" s="140" t="s">
        <v>54</v>
      </c>
      <c r="F101" s="140" t="s">
        <v>2736</v>
      </c>
      <c r="G101" s="140" t="s">
        <v>2737</v>
      </c>
      <c r="H101" s="140" t="s">
        <v>2739</v>
      </c>
      <c r="I101" s="140" t="s">
        <v>898</v>
      </c>
      <c r="J101" s="140" t="s">
        <v>2740</v>
      </c>
      <c r="K101" s="140" t="s">
        <v>2739</v>
      </c>
      <c r="L101" s="140" t="s">
        <v>2741</v>
      </c>
      <c r="M101" s="140" t="s">
        <v>41</v>
      </c>
      <c r="N101" s="155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  <c r="AC101" s="106"/>
      <c r="AD101" s="106"/>
      <c r="AE101" s="106"/>
      <c r="AF101" s="106"/>
    </row>
    <row r="102" spans="1:32" ht="14.4">
      <c r="A102" s="140" t="s">
        <v>2100</v>
      </c>
      <c r="B102" s="140" t="s">
        <v>2674</v>
      </c>
      <c r="C102" s="140" t="s">
        <v>85</v>
      </c>
      <c r="D102" s="140" t="s">
        <v>86</v>
      </c>
      <c r="E102" s="140" t="s">
        <v>54</v>
      </c>
      <c r="F102" s="140" t="s">
        <v>2743</v>
      </c>
      <c r="G102" s="140" t="s">
        <v>2744</v>
      </c>
      <c r="H102" s="140" t="s">
        <v>2745</v>
      </c>
      <c r="I102" s="140" t="s">
        <v>2714</v>
      </c>
      <c r="J102" s="140" t="s">
        <v>2747</v>
      </c>
      <c r="K102" s="140" t="s">
        <v>2745</v>
      </c>
      <c r="L102" s="140" t="s">
        <v>2749</v>
      </c>
      <c r="M102" s="140" t="s">
        <v>41</v>
      </c>
      <c r="N102" s="155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  <c r="AC102" s="106"/>
      <c r="AD102" s="106"/>
      <c r="AE102" s="106"/>
      <c r="AF102" s="106"/>
    </row>
    <row r="103" spans="1:32" ht="14.4">
      <c r="A103" s="140" t="s">
        <v>2100</v>
      </c>
      <c r="B103" s="140" t="s">
        <v>2674</v>
      </c>
      <c r="C103" s="140" t="s">
        <v>85</v>
      </c>
      <c r="D103" s="140" t="s">
        <v>86</v>
      </c>
      <c r="E103" s="140" t="s">
        <v>54</v>
      </c>
      <c r="F103" s="140" t="s">
        <v>2752</v>
      </c>
      <c r="G103" s="140">
        <v>0</v>
      </c>
      <c r="H103" s="140" t="s">
        <v>2753</v>
      </c>
      <c r="I103" s="140" t="s">
        <v>2754</v>
      </c>
      <c r="J103" s="140" t="s">
        <v>2755</v>
      </c>
      <c r="K103" s="140" t="s">
        <v>2753</v>
      </c>
      <c r="L103" s="140" t="s">
        <v>2230</v>
      </c>
      <c r="M103" s="140" t="s">
        <v>41</v>
      </c>
      <c r="N103" s="155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  <c r="AC103" s="106"/>
      <c r="AD103" s="106"/>
      <c r="AE103" s="106"/>
      <c r="AF103" s="106"/>
    </row>
    <row r="104" spans="1:32" ht="14.4">
      <c r="A104" s="140" t="s">
        <v>2100</v>
      </c>
      <c r="B104" s="140" t="s">
        <v>2674</v>
      </c>
      <c r="C104" s="140" t="s">
        <v>85</v>
      </c>
      <c r="D104" s="140" t="s">
        <v>86</v>
      </c>
      <c r="E104" s="140" t="s">
        <v>54</v>
      </c>
      <c r="F104" s="140" t="s">
        <v>2759</v>
      </c>
      <c r="G104" s="140" t="s">
        <v>2760</v>
      </c>
      <c r="H104" s="140" t="s">
        <v>2761</v>
      </c>
      <c r="I104" s="140" t="s">
        <v>130</v>
      </c>
      <c r="J104" s="140" t="s">
        <v>2762</v>
      </c>
      <c r="K104" s="140" t="s">
        <v>2761</v>
      </c>
      <c r="L104" s="140" t="s">
        <v>2764</v>
      </c>
      <c r="M104" s="140" t="s">
        <v>41</v>
      </c>
      <c r="N104" s="155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/>
      <c r="AD104" s="106"/>
      <c r="AE104" s="106"/>
      <c r="AF104" s="106"/>
    </row>
    <row r="105" spans="1:32" ht="14.4">
      <c r="A105" s="140" t="s">
        <v>2100</v>
      </c>
      <c r="B105" s="140" t="s">
        <v>2674</v>
      </c>
      <c r="C105" s="140" t="s">
        <v>85</v>
      </c>
      <c r="D105" s="140" t="s">
        <v>86</v>
      </c>
      <c r="E105" s="140" t="s">
        <v>54</v>
      </c>
      <c r="F105" s="140" t="s">
        <v>2766</v>
      </c>
      <c r="G105" s="140">
        <v>0</v>
      </c>
      <c r="H105" s="140" t="s">
        <v>2767</v>
      </c>
      <c r="I105" s="140" t="s">
        <v>2768</v>
      </c>
      <c r="J105" s="140" t="s">
        <v>2770</v>
      </c>
      <c r="K105" s="140" t="s">
        <v>2767</v>
      </c>
      <c r="L105" s="140" t="s">
        <v>2771</v>
      </c>
      <c r="M105" s="140" t="s">
        <v>41</v>
      </c>
      <c r="N105" s="155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  <c r="AC105" s="106"/>
      <c r="AD105" s="106"/>
      <c r="AE105" s="106"/>
      <c r="AF105" s="106"/>
    </row>
    <row r="106" spans="1:32" ht="14.4">
      <c r="A106" s="140" t="s">
        <v>2100</v>
      </c>
      <c r="B106" s="140" t="s">
        <v>2674</v>
      </c>
      <c r="C106" s="140" t="s">
        <v>85</v>
      </c>
      <c r="D106" s="140" t="s">
        <v>86</v>
      </c>
      <c r="E106" s="140" t="s">
        <v>54</v>
      </c>
      <c r="F106" s="140" t="s">
        <v>2773</v>
      </c>
      <c r="G106" s="140" t="s">
        <v>2774</v>
      </c>
      <c r="H106" s="140" t="s">
        <v>2775</v>
      </c>
      <c r="I106" s="140" t="s">
        <v>521</v>
      </c>
      <c r="J106" s="140" t="s">
        <v>2776</v>
      </c>
      <c r="K106" s="140" t="s">
        <v>2775</v>
      </c>
      <c r="L106" s="140" t="s">
        <v>2777</v>
      </c>
      <c r="M106" s="140" t="s">
        <v>41</v>
      </c>
      <c r="N106" s="155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  <c r="AD106" s="106"/>
      <c r="AE106" s="106"/>
      <c r="AF106" s="106"/>
    </row>
    <row r="107" spans="1:32" ht="14.4">
      <c r="A107" s="140" t="s">
        <v>2100</v>
      </c>
      <c r="B107" s="140" t="s">
        <v>2674</v>
      </c>
      <c r="C107" s="140" t="s">
        <v>85</v>
      </c>
      <c r="D107" s="140" t="s">
        <v>86</v>
      </c>
      <c r="E107" s="140" t="s">
        <v>54</v>
      </c>
      <c r="F107" s="140" t="s">
        <v>2779</v>
      </c>
      <c r="G107" s="140" t="s">
        <v>2781</v>
      </c>
      <c r="H107" s="140" t="s">
        <v>2782</v>
      </c>
      <c r="I107" s="140" t="s">
        <v>2783</v>
      </c>
      <c r="J107" s="140" t="s">
        <v>2784</v>
      </c>
      <c r="K107" s="140" t="s">
        <v>2785</v>
      </c>
      <c r="L107" s="140" t="s">
        <v>2786</v>
      </c>
      <c r="M107" s="140" t="s">
        <v>41</v>
      </c>
      <c r="N107" s="155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  <c r="AC107" s="106"/>
      <c r="AD107" s="106"/>
      <c r="AE107" s="106"/>
      <c r="AF107" s="106"/>
    </row>
    <row r="108" spans="1:32" ht="14.4">
      <c r="A108" s="140" t="s">
        <v>2100</v>
      </c>
      <c r="B108" s="140" t="s">
        <v>2674</v>
      </c>
      <c r="C108" s="140" t="s">
        <v>85</v>
      </c>
      <c r="D108" s="140" t="s">
        <v>86</v>
      </c>
      <c r="E108" s="140" t="s">
        <v>54</v>
      </c>
      <c r="F108" s="140" t="s">
        <v>2766</v>
      </c>
      <c r="G108" s="140">
        <v>0</v>
      </c>
      <c r="H108" s="140" t="s">
        <v>2789</v>
      </c>
      <c r="I108" s="140" t="s">
        <v>2790</v>
      </c>
      <c r="J108" s="140" t="s">
        <v>2791</v>
      </c>
      <c r="K108" s="140" t="s">
        <v>2793</v>
      </c>
      <c r="L108" s="140" t="s">
        <v>2794</v>
      </c>
      <c r="M108" s="140" t="s">
        <v>41</v>
      </c>
      <c r="N108" s="155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  <c r="AD108" s="106"/>
      <c r="AE108" s="106"/>
      <c r="AF108" s="106"/>
    </row>
    <row r="109" spans="1:32" ht="14.4">
      <c r="A109" s="140" t="s">
        <v>2100</v>
      </c>
      <c r="B109" s="140" t="s">
        <v>2674</v>
      </c>
      <c r="C109" s="140" t="s">
        <v>85</v>
      </c>
      <c r="D109" s="140" t="s">
        <v>86</v>
      </c>
      <c r="E109" s="140" t="s">
        <v>54</v>
      </c>
      <c r="F109" s="140" t="s">
        <v>2796</v>
      </c>
      <c r="G109" s="140" t="s">
        <v>2797</v>
      </c>
      <c r="H109" s="140" t="s">
        <v>2789</v>
      </c>
      <c r="I109" s="140" t="s">
        <v>130</v>
      </c>
      <c r="J109" s="140" t="s">
        <v>2798</v>
      </c>
      <c r="K109" s="140" t="s">
        <v>2799</v>
      </c>
      <c r="L109" s="140" t="s">
        <v>2794</v>
      </c>
      <c r="M109" s="140" t="s">
        <v>41</v>
      </c>
      <c r="N109" s="155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  <c r="AC109" s="106"/>
      <c r="AD109" s="106"/>
      <c r="AE109" s="106"/>
      <c r="AF109" s="106"/>
    </row>
    <row r="110" spans="1:32" ht="14.4">
      <c r="A110" s="140" t="s">
        <v>2100</v>
      </c>
      <c r="B110" s="140" t="s">
        <v>2674</v>
      </c>
      <c r="C110" s="140" t="s">
        <v>85</v>
      </c>
      <c r="D110" s="140" t="s">
        <v>86</v>
      </c>
      <c r="E110" s="140" t="s">
        <v>54</v>
      </c>
      <c r="F110" s="140" t="s">
        <v>2801</v>
      </c>
      <c r="G110" s="140" t="s">
        <v>2802</v>
      </c>
      <c r="H110" s="140" t="s">
        <v>2789</v>
      </c>
      <c r="I110" s="140" t="s">
        <v>130</v>
      </c>
      <c r="J110" s="140" t="s">
        <v>2804</v>
      </c>
      <c r="K110" s="140" t="s">
        <v>2805</v>
      </c>
      <c r="L110" s="140" t="s">
        <v>2794</v>
      </c>
      <c r="M110" s="140" t="s">
        <v>41</v>
      </c>
      <c r="N110" s="155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  <c r="AD110" s="106"/>
      <c r="AE110" s="106"/>
      <c r="AF110" s="106"/>
    </row>
    <row r="111" spans="1:32" ht="14.4">
      <c r="A111" s="140" t="s">
        <v>2100</v>
      </c>
      <c r="B111" s="140" t="s">
        <v>2674</v>
      </c>
      <c r="C111" s="140" t="s">
        <v>85</v>
      </c>
      <c r="D111" s="140" t="s">
        <v>86</v>
      </c>
      <c r="E111" s="140" t="s">
        <v>54</v>
      </c>
      <c r="F111" s="140" t="s">
        <v>2807</v>
      </c>
      <c r="G111" s="140" t="s">
        <v>2808</v>
      </c>
      <c r="H111" s="140" t="s">
        <v>2775</v>
      </c>
      <c r="I111" s="140" t="s">
        <v>521</v>
      </c>
      <c r="J111" s="140" t="s">
        <v>2809</v>
      </c>
      <c r="K111" s="140" t="s">
        <v>2810</v>
      </c>
      <c r="L111" s="140" t="s">
        <v>2777</v>
      </c>
      <c r="M111" s="140" t="s">
        <v>41</v>
      </c>
      <c r="N111" s="155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06"/>
      <c r="AB111" s="106"/>
      <c r="AC111" s="106"/>
      <c r="AD111" s="106"/>
      <c r="AE111" s="106"/>
      <c r="AF111" s="106"/>
    </row>
    <row r="112" spans="1:32" ht="14.4">
      <c r="A112" s="140" t="s">
        <v>2100</v>
      </c>
      <c r="B112" s="140" t="s">
        <v>2674</v>
      </c>
      <c r="C112" s="140" t="s">
        <v>85</v>
      </c>
      <c r="D112" s="140" t="s">
        <v>86</v>
      </c>
      <c r="E112" s="140" t="s">
        <v>54</v>
      </c>
      <c r="F112" s="140" t="s">
        <v>2812</v>
      </c>
      <c r="G112" s="140">
        <v>0</v>
      </c>
      <c r="H112" s="140" t="s">
        <v>2782</v>
      </c>
      <c r="I112" s="140" t="s">
        <v>2783</v>
      </c>
      <c r="J112" s="140" t="s">
        <v>2814</v>
      </c>
      <c r="K112" s="140" t="s">
        <v>2815</v>
      </c>
      <c r="L112" s="140" t="s">
        <v>2786</v>
      </c>
      <c r="M112" s="140" t="s">
        <v>41</v>
      </c>
      <c r="N112" s="155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</row>
    <row r="113" spans="1:32" ht="14.4">
      <c r="A113" s="140" t="s">
        <v>2100</v>
      </c>
      <c r="B113" s="140" t="s">
        <v>2674</v>
      </c>
      <c r="C113" s="140" t="s">
        <v>85</v>
      </c>
      <c r="D113" s="140" t="s">
        <v>86</v>
      </c>
      <c r="E113" s="140" t="s">
        <v>54</v>
      </c>
      <c r="F113" s="140" t="s">
        <v>2817</v>
      </c>
      <c r="G113" s="140" t="s">
        <v>2818</v>
      </c>
      <c r="H113" s="140" t="s">
        <v>2819</v>
      </c>
      <c r="I113" s="140" t="s">
        <v>2128</v>
      </c>
      <c r="J113" s="140" t="s">
        <v>2820</v>
      </c>
      <c r="K113" s="140" t="s">
        <v>2821</v>
      </c>
      <c r="L113" s="140" t="s">
        <v>729</v>
      </c>
      <c r="M113" s="140" t="s">
        <v>41</v>
      </c>
      <c r="N113" s="155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</row>
    <row r="114" spans="1:32" ht="14.4">
      <c r="A114" s="140" t="s">
        <v>2100</v>
      </c>
      <c r="B114" s="140" t="s">
        <v>2674</v>
      </c>
      <c r="C114" s="140" t="s">
        <v>85</v>
      </c>
      <c r="D114" s="140" t="s">
        <v>86</v>
      </c>
      <c r="E114" s="140" t="s">
        <v>54</v>
      </c>
      <c r="F114" s="140" t="s">
        <v>2823</v>
      </c>
      <c r="G114" s="140" t="s">
        <v>2824</v>
      </c>
      <c r="H114" s="140" t="s">
        <v>2789</v>
      </c>
      <c r="I114" s="140" t="s">
        <v>130</v>
      </c>
      <c r="J114" s="140" t="s">
        <v>2825</v>
      </c>
      <c r="K114" s="140" t="s">
        <v>2826</v>
      </c>
      <c r="L114" s="140" t="s">
        <v>2794</v>
      </c>
      <c r="M114" s="140" t="s">
        <v>41</v>
      </c>
      <c r="N114" s="155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  <c r="AC114" s="106"/>
      <c r="AD114" s="106"/>
      <c r="AE114" s="106"/>
      <c r="AF114" s="106"/>
    </row>
    <row r="115" spans="1:32" ht="14.4">
      <c r="A115" s="140" t="s">
        <v>2100</v>
      </c>
      <c r="B115" s="140" t="s">
        <v>2674</v>
      </c>
      <c r="C115" s="140" t="s">
        <v>85</v>
      </c>
      <c r="D115" s="140" t="s">
        <v>86</v>
      </c>
      <c r="E115" s="140" t="s">
        <v>54</v>
      </c>
      <c r="F115" s="140" t="s">
        <v>2828</v>
      </c>
      <c r="G115" s="140" t="s">
        <v>2829</v>
      </c>
      <c r="H115" s="140" t="s">
        <v>2789</v>
      </c>
      <c r="I115" s="140" t="s">
        <v>130</v>
      </c>
      <c r="J115" s="140" t="s">
        <v>2830</v>
      </c>
      <c r="K115" s="140" t="s">
        <v>2831</v>
      </c>
      <c r="L115" s="140" t="s">
        <v>2794</v>
      </c>
      <c r="M115" s="140" t="s">
        <v>41</v>
      </c>
      <c r="N115" s="155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  <c r="AC115" s="106"/>
      <c r="AD115" s="106"/>
      <c r="AE115" s="106"/>
      <c r="AF115" s="106"/>
    </row>
    <row r="116" spans="1:32" ht="14.4">
      <c r="A116" s="140" t="s">
        <v>2100</v>
      </c>
      <c r="B116" s="140" t="s">
        <v>2674</v>
      </c>
      <c r="C116" s="140" t="s">
        <v>85</v>
      </c>
      <c r="D116" s="140" t="s">
        <v>86</v>
      </c>
      <c r="E116" s="140" t="s">
        <v>54</v>
      </c>
      <c r="F116" s="166" t="s">
        <v>2832</v>
      </c>
      <c r="G116" s="140">
        <v>0</v>
      </c>
      <c r="H116" s="140" t="s">
        <v>2789</v>
      </c>
      <c r="I116" s="140" t="s">
        <v>130</v>
      </c>
      <c r="J116" s="140" t="s">
        <v>2834</v>
      </c>
      <c r="K116" s="140" t="s">
        <v>2835</v>
      </c>
      <c r="L116" s="140" t="s">
        <v>2794</v>
      </c>
      <c r="M116" s="140" t="s">
        <v>41</v>
      </c>
      <c r="N116" s="155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  <c r="AD116" s="106"/>
      <c r="AE116" s="106"/>
      <c r="AF116" s="106"/>
    </row>
    <row r="117" spans="1:32" ht="14.4">
      <c r="A117" s="140" t="s">
        <v>2100</v>
      </c>
      <c r="B117" s="140" t="s">
        <v>2674</v>
      </c>
      <c r="C117" s="140" t="s">
        <v>85</v>
      </c>
      <c r="D117" s="140" t="s">
        <v>86</v>
      </c>
      <c r="E117" s="140" t="s">
        <v>54</v>
      </c>
      <c r="F117" s="166" t="s">
        <v>2837</v>
      </c>
      <c r="G117" s="140" t="s">
        <v>2838</v>
      </c>
      <c r="H117" s="140" t="s">
        <v>2789</v>
      </c>
      <c r="I117" s="140" t="s">
        <v>130</v>
      </c>
      <c r="J117" s="140" t="s">
        <v>2839</v>
      </c>
      <c r="K117" s="140" t="s">
        <v>2840</v>
      </c>
      <c r="L117" s="140" t="s">
        <v>2794</v>
      </c>
      <c r="M117" s="140" t="s">
        <v>41</v>
      </c>
      <c r="N117" s="155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  <c r="AC117" s="106"/>
      <c r="AD117" s="106"/>
      <c r="AE117" s="106"/>
      <c r="AF117" s="106"/>
    </row>
    <row r="118" spans="1:32" ht="14.4">
      <c r="A118" s="140" t="s">
        <v>2100</v>
      </c>
      <c r="B118" s="140" t="s">
        <v>2674</v>
      </c>
      <c r="C118" s="140" t="s">
        <v>85</v>
      </c>
      <c r="D118" s="140" t="s">
        <v>86</v>
      </c>
      <c r="E118" s="140" t="s">
        <v>54</v>
      </c>
      <c r="F118" s="140" t="s">
        <v>2841</v>
      </c>
      <c r="G118" s="140" t="s">
        <v>2843</v>
      </c>
      <c r="H118" s="140" t="s">
        <v>2789</v>
      </c>
      <c r="I118" s="140" t="s">
        <v>130</v>
      </c>
      <c r="J118" s="140" t="s">
        <v>2844</v>
      </c>
      <c r="K118" s="140" t="s">
        <v>2845</v>
      </c>
      <c r="L118" s="140" t="s">
        <v>2794</v>
      </c>
      <c r="M118" s="140" t="s">
        <v>41</v>
      </c>
      <c r="N118" s="155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  <c r="AC118" s="106"/>
      <c r="AD118" s="106"/>
      <c r="AE118" s="106"/>
      <c r="AF118" s="106"/>
    </row>
    <row r="119" spans="1:32" ht="14.4">
      <c r="A119" s="140" t="s">
        <v>2100</v>
      </c>
      <c r="B119" s="140" t="s">
        <v>2674</v>
      </c>
      <c r="C119" s="140" t="s">
        <v>233</v>
      </c>
      <c r="D119" s="161" t="s">
        <v>298</v>
      </c>
      <c r="E119" s="140" t="s">
        <v>54</v>
      </c>
      <c r="F119" s="140" t="s">
        <v>2846</v>
      </c>
      <c r="G119" s="140">
        <v>0</v>
      </c>
      <c r="H119" s="140" t="s">
        <v>2819</v>
      </c>
      <c r="I119" s="140" t="s">
        <v>2128</v>
      </c>
      <c r="J119" s="140" t="s">
        <v>2848</v>
      </c>
      <c r="K119" s="140" t="s">
        <v>2819</v>
      </c>
      <c r="L119" s="140" t="s">
        <v>729</v>
      </c>
      <c r="M119" s="140" t="s">
        <v>41</v>
      </c>
      <c r="N119" s="155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06"/>
      <c r="AB119" s="106"/>
      <c r="AC119" s="106"/>
      <c r="AD119" s="106"/>
      <c r="AE119" s="106"/>
      <c r="AF119" s="106"/>
    </row>
    <row r="120" spans="1:32" ht="14.4">
      <c r="A120" s="140" t="s">
        <v>2100</v>
      </c>
      <c r="B120" s="140" t="s">
        <v>2674</v>
      </c>
      <c r="C120" s="140" t="s">
        <v>233</v>
      </c>
      <c r="D120" s="161" t="s">
        <v>298</v>
      </c>
      <c r="E120" s="140" t="s">
        <v>54</v>
      </c>
      <c r="F120" s="140" t="s">
        <v>2850</v>
      </c>
      <c r="G120" s="140">
        <v>0</v>
      </c>
      <c r="H120" s="140" t="s">
        <v>2775</v>
      </c>
      <c r="I120" s="140" t="s">
        <v>2180</v>
      </c>
      <c r="J120" s="140" t="s">
        <v>2851</v>
      </c>
      <c r="K120" s="140" t="s">
        <v>2852</v>
      </c>
      <c r="L120" s="140" t="s">
        <v>729</v>
      </c>
      <c r="M120" s="140" t="s">
        <v>41</v>
      </c>
      <c r="N120" s="155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106"/>
      <c r="AD120" s="106"/>
      <c r="AE120" s="106"/>
      <c r="AF120" s="106"/>
    </row>
    <row r="121" spans="1:32" ht="14.4">
      <c r="A121" s="140" t="s">
        <v>2100</v>
      </c>
      <c r="B121" s="140" t="s">
        <v>2674</v>
      </c>
      <c r="C121" s="140" t="s">
        <v>233</v>
      </c>
      <c r="D121" s="161" t="s">
        <v>298</v>
      </c>
      <c r="E121" s="140" t="s">
        <v>54</v>
      </c>
      <c r="F121" s="140" t="s">
        <v>2854</v>
      </c>
      <c r="G121" s="140">
        <v>0</v>
      </c>
      <c r="H121" s="140" t="s">
        <v>2855</v>
      </c>
      <c r="I121" s="140" t="s">
        <v>2856</v>
      </c>
      <c r="J121" s="140" t="s">
        <v>2857</v>
      </c>
      <c r="K121" s="140" t="s">
        <v>2855</v>
      </c>
      <c r="L121" s="140" t="s">
        <v>729</v>
      </c>
      <c r="M121" s="140" t="s">
        <v>41</v>
      </c>
      <c r="N121" s="155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06"/>
      <c r="AB121" s="106"/>
      <c r="AC121" s="106"/>
      <c r="AD121" s="106"/>
      <c r="AE121" s="106"/>
      <c r="AF121" s="106"/>
    </row>
    <row r="122" spans="1:32" ht="14.4">
      <c r="A122" s="140" t="s">
        <v>2100</v>
      </c>
      <c r="B122" s="140" t="s">
        <v>2674</v>
      </c>
      <c r="C122" s="140" t="s">
        <v>275</v>
      </c>
      <c r="D122" s="140" t="s">
        <v>543</v>
      </c>
      <c r="E122" s="140" t="s">
        <v>54</v>
      </c>
      <c r="F122" s="162" t="s">
        <v>2859</v>
      </c>
      <c r="G122" s="140" t="s">
        <v>2860</v>
      </c>
      <c r="H122" s="140" t="s">
        <v>2861</v>
      </c>
      <c r="I122" s="140" t="s">
        <v>2138</v>
      </c>
      <c r="J122" s="140" t="s">
        <v>2863</v>
      </c>
      <c r="K122" s="140" t="s">
        <v>2864</v>
      </c>
      <c r="L122" s="140" t="s">
        <v>729</v>
      </c>
      <c r="M122" s="140" t="s">
        <v>1807</v>
      </c>
      <c r="N122" s="155" t="s">
        <v>2865</v>
      </c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06"/>
      <c r="AB122" s="106"/>
      <c r="AC122" s="106"/>
      <c r="AD122" s="106"/>
      <c r="AE122" s="106"/>
      <c r="AF122" s="106"/>
    </row>
    <row r="123" spans="1:32" ht="14.4">
      <c r="A123" s="140" t="s">
        <v>2100</v>
      </c>
      <c r="B123" s="140" t="s">
        <v>2674</v>
      </c>
      <c r="C123" s="140" t="s">
        <v>51</v>
      </c>
      <c r="D123" s="161" t="s">
        <v>52</v>
      </c>
      <c r="E123" s="140" t="s">
        <v>54</v>
      </c>
      <c r="F123" s="140" t="s">
        <v>2867</v>
      </c>
      <c r="G123" s="140">
        <v>0</v>
      </c>
      <c r="H123" s="140" t="s">
        <v>2767</v>
      </c>
      <c r="I123" s="140" t="s">
        <v>2768</v>
      </c>
      <c r="J123" s="140" t="s">
        <v>987</v>
      </c>
      <c r="K123" s="140" t="s">
        <v>2767</v>
      </c>
      <c r="L123" s="140" t="s">
        <v>729</v>
      </c>
      <c r="M123" s="140" t="s">
        <v>41</v>
      </c>
      <c r="N123" s="155" t="s">
        <v>2869</v>
      </c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  <c r="AA123" s="106"/>
      <c r="AB123" s="106"/>
      <c r="AC123" s="106"/>
      <c r="AD123" s="106"/>
      <c r="AE123" s="106"/>
      <c r="AF123" s="106"/>
    </row>
    <row r="124" spans="1:32" ht="14.4">
      <c r="A124" s="140" t="s">
        <v>2100</v>
      </c>
      <c r="B124" s="140" t="s">
        <v>2674</v>
      </c>
      <c r="C124" s="140" t="s">
        <v>51</v>
      </c>
      <c r="D124" s="161" t="s">
        <v>52</v>
      </c>
      <c r="E124" s="140" t="s">
        <v>54</v>
      </c>
      <c r="F124" s="140" t="s">
        <v>2871</v>
      </c>
      <c r="G124" s="140">
        <v>0</v>
      </c>
      <c r="H124" s="140" t="s">
        <v>2767</v>
      </c>
      <c r="I124" s="140" t="s">
        <v>2768</v>
      </c>
      <c r="J124" s="140" t="s">
        <v>2872</v>
      </c>
      <c r="K124" s="140" t="s">
        <v>2767</v>
      </c>
      <c r="L124" s="140" t="s">
        <v>729</v>
      </c>
      <c r="M124" s="140" t="s">
        <v>41</v>
      </c>
      <c r="N124" s="155" t="s">
        <v>2873</v>
      </c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06"/>
      <c r="AB124" s="106"/>
      <c r="AC124" s="106"/>
      <c r="AD124" s="106"/>
      <c r="AE124" s="106"/>
      <c r="AF124" s="106"/>
    </row>
    <row r="125" spans="1:32" ht="14.4">
      <c r="A125" s="140" t="s">
        <v>2100</v>
      </c>
      <c r="B125" s="140" t="s">
        <v>2674</v>
      </c>
      <c r="C125" s="140" t="s">
        <v>79</v>
      </c>
      <c r="D125" s="161" t="s">
        <v>80</v>
      </c>
      <c r="E125" s="140" t="s">
        <v>54</v>
      </c>
      <c r="F125" s="140" t="s">
        <v>2875</v>
      </c>
      <c r="G125" s="140">
        <v>0</v>
      </c>
      <c r="H125" s="140" t="s">
        <v>2767</v>
      </c>
      <c r="I125" s="140" t="s">
        <v>2768</v>
      </c>
      <c r="J125" s="140" t="s">
        <v>2877</v>
      </c>
      <c r="K125" s="140" t="s">
        <v>2767</v>
      </c>
      <c r="L125" s="140" t="s">
        <v>729</v>
      </c>
      <c r="M125" s="140" t="s">
        <v>41</v>
      </c>
      <c r="N125" s="155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06"/>
      <c r="AB125" s="106"/>
      <c r="AC125" s="106"/>
      <c r="AD125" s="106"/>
      <c r="AE125" s="106"/>
      <c r="AF125" s="106"/>
    </row>
    <row r="126" spans="1:32" ht="14.4">
      <c r="A126" s="140" t="s">
        <v>2100</v>
      </c>
      <c r="B126" s="140" t="s">
        <v>2674</v>
      </c>
      <c r="C126" s="140" t="s">
        <v>70</v>
      </c>
      <c r="D126" s="161" t="s">
        <v>71</v>
      </c>
      <c r="E126" s="140" t="s">
        <v>54</v>
      </c>
      <c r="F126" s="162" t="s">
        <v>2867</v>
      </c>
      <c r="G126" s="140">
        <v>0</v>
      </c>
      <c r="H126" s="140" t="s">
        <v>2767</v>
      </c>
      <c r="I126" s="140" t="s">
        <v>2768</v>
      </c>
      <c r="J126" s="140" t="s">
        <v>987</v>
      </c>
      <c r="K126" s="140" t="s">
        <v>2767</v>
      </c>
      <c r="L126" s="140" t="s">
        <v>729</v>
      </c>
      <c r="M126" s="140" t="s">
        <v>41</v>
      </c>
      <c r="N126" s="155" t="s">
        <v>2869</v>
      </c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06"/>
      <c r="AB126" s="106"/>
      <c r="AC126" s="106"/>
      <c r="AD126" s="106"/>
      <c r="AE126" s="106"/>
      <c r="AF126" s="106"/>
    </row>
    <row r="127" spans="1:32" ht="14.4">
      <c r="A127" s="140" t="s">
        <v>2100</v>
      </c>
      <c r="B127" s="140" t="s">
        <v>2674</v>
      </c>
      <c r="C127" s="140" t="s">
        <v>70</v>
      </c>
      <c r="D127" s="161" t="s">
        <v>71</v>
      </c>
      <c r="E127" s="140" t="s">
        <v>54</v>
      </c>
      <c r="F127" s="162" t="s">
        <v>2871</v>
      </c>
      <c r="G127" s="140">
        <v>0</v>
      </c>
      <c r="H127" s="140" t="s">
        <v>2767</v>
      </c>
      <c r="I127" s="140" t="s">
        <v>2768</v>
      </c>
      <c r="J127" s="140" t="s">
        <v>2881</v>
      </c>
      <c r="K127" s="140" t="s">
        <v>2767</v>
      </c>
      <c r="L127" s="140" t="s">
        <v>729</v>
      </c>
      <c r="M127" s="140" t="s">
        <v>41</v>
      </c>
      <c r="N127" s="155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06"/>
      <c r="AB127" s="106"/>
      <c r="AC127" s="106"/>
      <c r="AD127" s="106"/>
      <c r="AE127" s="106"/>
      <c r="AF127" s="106"/>
    </row>
    <row r="128" spans="1:32" ht="14.4">
      <c r="A128" s="140" t="s">
        <v>2100</v>
      </c>
      <c r="B128" s="140" t="s">
        <v>2674</v>
      </c>
      <c r="C128" s="140" t="s">
        <v>296</v>
      </c>
      <c r="D128" s="140" t="s">
        <v>954</v>
      </c>
      <c r="E128" s="140" t="s">
        <v>54</v>
      </c>
      <c r="F128" s="162" t="s">
        <v>2884</v>
      </c>
      <c r="G128" s="140">
        <v>0</v>
      </c>
      <c r="H128" s="140" t="s">
        <v>2775</v>
      </c>
      <c r="I128" s="140" t="s">
        <v>2138</v>
      </c>
      <c r="J128" s="140" t="s">
        <v>2481</v>
      </c>
      <c r="K128" s="140" t="s">
        <v>2852</v>
      </c>
      <c r="L128" s="140" t="s">
        <v>2270</v>
      </c>
      <c r="M128" s="140" t="s">
        <v>41</v>
      </c>
      <c r="N128" s="155" t="s">
        <v>2886</v>
      </c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  <c r="AE128" s="106"/>
      <c r="AF128" s="106"/>
    </row>
    <row r="129" spans="1:32" ht="14.4">
      <c r="A129" s="140" t="s">
        <v>2100</v>
      </c>
      <c r="B129" s="140" t="s">
        <v>2887</v>
      </c>
      <c r="C129" s="140" t="s">
        <v>85</v>
      </c>
      <c r="D129" s="140" t="s">
        <v>86</v>
      </c>
      <c r="E129" s="140" t="s">
        <v>54</v>
      </c>
      <c r="F129" s="140" t="s">
        <v>2889</v>
      </c>
      <c r="G129" s="140" t="s">
        <v>2890</v>
      </c>
      <c r="H129" s="140" t="s">
        <v>2891</v>
      </c>
      <c r="I129" s="140" t="s">
        <v>2892</v>
      </c>
      <c r="J129" s="140" t="s">
        <v>2893</v>
      </c>
      <c r="K129" s="140" t="s">
        <v>2894</v>
      </c>
      <c r="L129" s="140" t="s">
        <v>2895</v>
      </c>
      <c r="M129" s="140" t="s">
        <v>41</v>
      </c>
      <c r="N129" s="155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  <c r="AC129" s="106"/>
      <c r="AD129" s="106"/>
      <c r="AE129" s="106"/>
      <c r="AF129" s="106"/>
    </row>
    <row r="130" spans="1:32" ht="14.4">
      <c r="A130" s="140" t="s">
        <v>2100</v>
      </c>
      <c r="B130" s="140" t="s">
        <v>2887</v>
      </c>
      <c r="C130" s="140" t="s">
        <v>85</v>
      </c>
      <c r="D130" s="140" t="s">
        <v>86</v>
      </c>
      <c r="E130" s="140" t="s">
        <v>54</v>
      </c>
      <c r="F130" s="140" t="s">
        <v>2898</v>
      </c>
      <c r="G130" s="140" t="s">
        <v>2899</v>
      </c>
      <c r="H130" s="140" t="s">
        <v>2901</v>
      </c>
      <c r="I130" s="140" t="s">
        <v>2180</v>
      </c>
      <c r="J130" s="140" t="s">
        <v>2903</v>
      </c>
      <c r="K130" s="140" t="s">
        <v>2901</v>
      </c>
      <c r="L130" s="140" t="s">
        <v>2895</v>
      </c>
      <c r="M130" s="140" t="s">
        <v>41</v>
      </c>
      <c r="N130" s="155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06"/>
      <c r="AB130" s="106"/>
      <c r="AC130" s="106"/>
      <c r="AD130" s="106"/>
      <c r="AE130" s="106"/>
      <c r="AF130" s="106"/>
    </row>
    <row r="131" spans="1:32" ht="14.4">
      <c r="A131" s="140" t="s">
        <v>2100</v>
      </c>
      <c r="B131" s="140" t="s">
        <v>2887</v>
      </c>
      <c r="C131" s="140" t="s">
        <v>85</v>
      </c>
      <c r="D131" s="140" t="s">
        <v>86</v>
      </c>
      <c r="E131" s="140" t="s">
        <v>54</v>
      </c>
      <c r="F131" s="140" t="s">
        <v>2906</v>
      </c>
      <c r="G131" s="140" t="s">
        <v>2907</v>
      </c>
      <c r="H131" s="140" t="s">
        <v>2908</v>
      </c>
      <c r="I131" s="140" t="s">
        <v>2194</v>
      </c>
      <c r="J131" s="140" t="s">
        <v>2909</v>
      </c>
      <c r="K131" s="140" t="s">
        <v>2908</v>
      </c>
      <c r="L131" s="140" t="s">
        <v>2336</v>
      </c>
      <c r="M131" s="140" t="s">
        <v>41</v>
      </c>
      <c r="N131" s="155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06"/>
      <c r="AB131" s="106"/>
      <c r="AC131" s="106"/>
      <c r="AD131" s="106"/>
      <c r="AE131" s="106"/>
      <c r="AF131" s="106"/>
    </row>
    <row r="132" spans="1:32" ht="14.4">
      <c r="A132" s="140" t="s">
        <v>2100</v>
      </c>
      <c r="B132" s="140" t="s">
        <v>2887</v>
      </c>
      <c r="C132" s="140" t="s">
        <v>85</v>
      </c>
      <c r="D132" s="140" t="s">
        <v>86</v>
      </c>
      <c r="E132" s="140" t="s">
        <v>54</v>
      </c>
      <c r="F132" s="140" t="s">
        <v>2911</v>
      </c>
      <c r="G132" s="140">
        <v>0</v>
      </c>
      <c r="H132" s="140" t="s">
        <v>2913</v>
      </c>
      <c r="I132" s="140" t="s">
        <v>2106</v>
      </c>
      <c r="J132" s="140" t="s">
        <v>2915</v>
      </c>
      <c r="K132" s="140" t="s">
        <v>2913</v>
      </c>
      <c r="L132" s="140" t="s">
        <v>989</v>
      </c>
      <c r="M132" s="140" t="s">
        <v>41</v>
      </c>
      <c r="N132" s="155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06"/>
      <c r="AB132" s="106"/>
      <c r="AC132" s="106"/>
      <c r="AD132" s="106"/>
      <c r="AE132" s="106"/>
      <c r="AF132" s="106"/>
    </row>
    <row r="133" spans="1:32" ht="14.4">
      <c r="A133" s="140" t="s">
        <v>2100</v>
      </c>
      <c r="B133" s="140" t="s">
        <v>2887</v>
      </c>
      <c r="C133" s="140" t="s">
        <v>85</v>
      </c>
      <c r="D133" s="140" t="s">
        <v>86</v>
      </c>
      <c r="E133" s="140" t="s">
        <v>54</v>
      </c>
      <c r="F133" s="140" t="s">
        <v>2917</v>
      </c>
      <c r="G133" s="140">
        <v>0</v>
      </c>
      <c r="H133" s="140" t="s">
        <v>2918</v>
      </c>
      <c r="I133" s="140" t="s">
        <v>2919</v>
      </c>
      <c r="J133" s="140" t="s">
        <v>2920</v>
      </c>
      <c r="K133" s="140" t="s">
        <v>2918</v>
      </c>
      <c r="L133" s="140" t="s">
        <v>989</v>
      </c>
      <c r="M133" s="140" t="s">
        <v>41</v>
      </c>
      <c r="N133" s="155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06"/>
      <c r="AB133" s="106"/>
      <c r="AC133" s="106"/>
      <c r="AD133" s="106"/>
      <c r="AE133" s="106"/>
      <c r="AF133" s="106"/>
    </row>
    <row r="134" spans="1:32" ht="14.4">
      <c r="A134" s="140" t="s">
        <v>2100</v>
      </c>
      <c r="B134" s="140" t="s">
        <v>2887</v>
      </c>
      <c r="C134" s="140" t="s">
        <v>85</v>
      </c>
      <c r="D134" s="140" t="s">
        <v>86</v>
      </c>
      <c r="E134" s="140" t="s">
        <v>54</v>
      </c>
      <c r="F134" s="140" t="s">
        <v>2922</v>
      </c>
      <c r="G134" s="167" t="s">
        <v>2924</v>
      </c>
      <c r="H134" s="140" t="s">
        <v>2926</v>
      </c>
      <c r="I134" s="140" t="s">
        <v>2927</v>
      </c>
      <c r="J134" s="140" t="s">
        <v>2928</v>
      </c>
      <c r="K134" s="140" t="s">
        <v>2926</v>
      </c>
      <c r="L134" s="140" t="s">
        <v>989</v>
      </c>
      <c r="M134" s="140" t="s">
        <v>41</v>
      </c>
      <c r="N134" s="155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  <c r="AA134" s="106"/>
      <c r="AB134" s="106"/>
      <c r="AC134" s="106"/>
      <c r="AD134" s="106"/>
      <c r="AE134" s="106"/>
      <c r="AF134" s="106"/>
    </row>
    <row r="135" spans="1:32" ht="14.4">
      <c r="A135" s="140" t="s">
        <v>2100</v>
      </c>
      <c r="B135" s="140" t="s">
        <v>2887</v>
      </c>
      <c r="C135" s="140" t="s">
        <v>85</v>
      </c>
      <c r="D135" s="140" t="s">
        <v>86</v>
      </c>
      <c r="E135" s="140" t="s">
        <v>54</v>
      </c>
      <c r="F135" s="140" t="s">
        <v>2931</v>
      </c>
      <c r="G135" s="140" t="s">
        <v>2932</v>
      </c>
      <c r="H135" s="140" t="s">
        <v>2933</v>
      </c>
      <c r="I135" s="140" t="s">
        <v>1914</v>
      </c>
      <c r="J135" s="140" t="s">
        <v>2934</v>
      </c>
      <c r="K135" s="140" t="s">
        <v>2933</v>
      </c>
      <c r="L135" s="140" t="s">
        <v>989</v>
      </c>
      <c r="M135" s="140" t="s">
        <v>41</v>
      </c>
      <c r="N135" s="155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06"/>
      <c r="AB135" s="106"/>
      <c r="AC135" s="106"/>
      <c r="AD135" s="106"/>
      <c r="AE135" s="106"/>
      <c r="AF135" s="106"/>
    </row>
    <row r="136" spans="1:32" ht="14.4">
      <c r="A136" s="140" t="s">
        <v>2100</v>
      </c>
      <c r="B136" s="140" t="s">
        <v>2887</v>
      </c>
      <c r="C136" s="140" t="s">
        <v>85</v>
      </c>
      <c r="D136" s="140" t="s">
        <v>86</v>
      </c>
      <c r="E136" s="140" t="s">
        <v>54</v>
      </c>
      <c r="F136" s="140" t="s">
        <v>2936</v>
      </c>
      <c r="G136" s="140">
        <v>0</v>
      </c>
      <c r="H136" s="140" t="s">
        <v>2938</v>
      </c>
      <c r="I136" s="140" t="s">
        <v>2128</v>
      </c>
      <c r="J136" s="140" t="s">
        <v>2939</v>
      </c>
      <c r="K136" s="140" t="s">
        <v>2938</v>
      </c>
      <c r="L136" s="140" t="s">
        <v>989</v>
      </c>
      <c r="M136" s="140" t="s">
        <v>41</v>
      </c>
      <c r="N136" s="155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06"/>
      <c r="AB136" s="106"/>
      <c r="AC136" s="106"/>
      <c r="AD136" s="106"/>
      <c r="AE136" s="106"/>
      <c r="AF136" s="106"/>
    </row>
    <row r="137" spans="1:32" ht="14.4">
      <c r="A137" s="140" t="s">
        <v>2100</v>
      </c>
      <c r="B137" s="140" t="s">
        <v>2887</v>
      </c>
      <c r="C137" s="140" t="s">
        <v>85</v>
      </c>
      <c r="D137" s="140" t="s">
        <v>86</v>
      </c>
      <c r="E137" s="140" t="s">
        <v>54</v>
      </c>
      <c r="F137" s="140" t="s">
        <v>2941</v>
      </c>
      <c r="G137" s="140" t="s">
        <v>2942</v>
      </c>
      <c r="H137" s="140" t="s">
        <v>2943</v>
      </c>
      <c r="I137" s="140" t="s">
        <v>2944</v>
      </c>
      <c r="J137" s="140" t="s">
        <v>2945</v>
      </c>
      <c r="K137" s="140" t="s">
        <v>2943</v>
      </c>
      <c r="L137" s="140" t="s">
        <v>2895</v>
      </c>
      <c r="M137" s="140" t="s">
        <v>41</v>
      </c>
      <c r="N137" s="155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06"/>
      <c r="AB137" s="106"/>
      <c r="AC137" s="106"/>
      <c r="AD137" s="106"/>
      <c r="AE137" s="106"/>
      <c r="AF137" s="106"/>
    </row>
    <row r="138" spans="1:32" ht="14.4">
      <c r="A138" s="140" t="s">
        <v>2100</v>
      </c>
      <c r="B138" s="140" t="s">
        <v>2887</v>
      </c>
      <c r="C138" s="140" t="s">
        <v>85</v>
      </c>
      <c r="D138" s="140" t="s">
        <v>86</v>
      </c>
      <c r="E138" s="140" t="s">
        <v>54</v>
      </c>
      <c r="F138" s="140" t="s">
        <v>2331</v>
      </c>
      <c r="G138" s="140">
        <v>0</v>
      </c>
      <c r="H138" s="140" t="s">
        <v>2950</v>
      </c>
      <c r="I138" s="140" t="s">
        <v>2919</v>
      </c>
      <c r="J138" s="140" t="s">
        <v>2951</v>
      </c>
      <c r="K138" s="140" t="s">
        <v>2950</v>
      </c>
      <c r="L138" s="140" t="s">
        <v>989</v>
      </c>
      <c r="M138" s="140" t="s">
        <v>41</v>
      </c>
      <c r="N138" s="155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06"/>
      <c r="AB138" s="106"/>
      <c r="AC138" s="106"/>
      <c r="AD138" s="106"/>
      <c r="AE138" s="106"/>
      <c r="AF138" s="106"/>
    </row>
    <row r="139" spans="1:32" ht="14.4">
      <c r="A139" s="140" t="s">
        <v>2100</v>
      </c>
      <c r="B139" s="140" t="s">
        <v>2887</v>
      </c>
      <c r="C139" s="140" t="s">
        <v>85</v>
      </c>
      <c r="D139" s="140" t="s">
        <v>86</v>
      </c>
      <c r="E139" s="140" t="s">
        <v>54</v>
      </c>
      <c r="F139" s="140" t="s">
        <v>2953</v>
      </c>
      <c r="G139" s="140" t="s">
        <v>2954</v>
      </c>
      <c r="H139" s="140" t="s">
        <v>2901</v>
      </c>
      <c r="I139" s="140" t="s">
        <v>2180</v>
      </c>
      <c r="J139" s="140" t="s">
        <v>2955</v>
      </c>
      <c r="K139" s="140" t="s">
        <v>2901</v>
      </c>
      <c r="L139" s="140" t="s">
        <v>2895</v>
      </c>
      <c r="M139" s="140" t="s">
        <v>41</v>
      </c>
      <c r="N139" s="155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06"/>
      <c r="AB139" s="106"/>
      <c r="AC139" s="106"/>
      <c r="AD139" s="106"/>
      <c r="AE139" s="106"/>
      <c r="AF139" s="106"/>
    </row>
    <row r="140" spans="1:32" ht="14.4">
      <c r="A140" s="140" t="s">
        <v>2100</v>
      </c>
      <c r="B140" s="140" t="s">
        <v>2887</v>
      </c>
      <c r="C140" s="140" t="s">
        <v>85</v>
      </c>
      <c r="D140" s="140" t="s">
        <v>86</v>
      </c>
      <c r="E140" s="140" t="s">
        <v>54</v>
      </c>
      <c r="F140" s="140" t="s">
        <v>2961</v>
      </c>
      <c r="G140" s="140" t="s">
        <v>2963</v>
      </c>
      <c r="H140" s="140" t="s">
        <v>2943</v>
      </c>
      <c r="I140" s="140" t="s">
        <v>2944</v>
      </c>
      <c r="J140" s="140" t="s">
        <v>2784</v>
      </c>
      <c r="K140" s="140" t="s">
        <v>2943</v>
      </c>
      <c r="L140" s="140" t="s">
        <v>2895</v>
      </c>
      <c r="M140" s="140" t="s">
        <v>41</v>
      </c>
      <c r="N140" s="155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06"/>
      <c r="AB140" s="106"/>
      <c r="AC140" s="106"/>
      <c r="AD140" s="106"/>
      <c r="AE140" s="106"/>
      <c r="AF140" s="106"/>
    </row>
    <row r="141" spans="1:32" ht="14.4">
      <c r="A141" s="140" t="s">
        <v>2100</v>
      </c>
      <c r="B141" s="140" t="s">
        <v>2887</v>
      </c>
      <c r="C141" s="140" t="s">
        <v>85</v>
      </c>
      <c r="D141" s="140" t="s">
        <v>86</v>
      </c>
      <c r="E141" s="140" t="s">
        <v>54</v>
      </c>
      <c r="F141" s="140" t="s">
        <v>2966</v>
      </c>
      <c r="G141" s="140" t="s">
        <v>2967</v>
      </c>
      <c r="H141" s="140" t="s">
        <v>2943</v>
      </c>
      <c r="I141" s="140" t="s">
        <v>2944</v>
      </c>
      <c r="J141" s="140" t="s">
        <v>2791</v>
      </c>
      <c r="K141" s="140" t="s">
        <v>2943</v>
      </c>
      <c r="L141" s="140" t="s">
        <v>2895</v>
      </c>
      <c r="M141" s="140" t="s">
        <v>41</v>
      </c>
      <c r="N141" s="155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06"/>
      <c r="AB141" s="106"/>
      <c r="AC141" s="106"/>
      <c r="AD141" s="106"/>
      <c r="AE141" s="106"/>
      <c r="AF141" s="106"/>
    </row>
    <row r="142" spans="1:32" ht="14.4">
      <c r="A142" s="140" t="s">
        <v>2100</v>
      </c>
      <c r="B142" s="140" t="s">
        <v>2887</v>
      </c>
      <c r="C142" s="140" t="s">
        <v>85</v>
      </c>
      <c r="D142" s="140" t="s">
        <v>86</v>
      </c>
      <c r="E142" s="140" t="s">
        <v>54</v>
      </c>
      <c r="F142" s="140" t="s">
        <v>2972</v>
      </c>
      <c r="G142" s="140">
        <v>0</v>
      </c>
      <c r="H142" s="140" t="s">
        <v>2974</v>
      </c>
      <c r="I142" s="140" t="s">
        <v>2120</v>
      </c>
      <c r="J142" s="140" t="s">
        <v>2798</v>
      </c>
      <c r="K142" s="140" t="s">
        <v>2974</v>
      </c>
      <c r="L142" s="140" t="s">
        <v>989</v>
      </c>
      <c r="M142" s="140" t="s">
        <v>41</v>
      </c>
      <c r="N142" s="155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06"/>
      <c r="AB142" s="106"/>
      <c r="AC142" s="106"/>
      <c r="AD142" s="106"/>
      <c r="AE142" s="106"/>
      <c r="AF142" s="106"/>
    </row>
    <row r="143" spans="1:32" ht="14.4">
      <c r="A143" s="140" t="s">
        <v>2100</v>
      </c>
      <c r="B143" s="140" t="s">
        <v>2887</v>
      </c>
      <c r="C143" s="173" t="s">
        <v>220</v>
      </c>
      <c r="D143" s="161" t="s">
        <v>234</v>
      </c>
      <c r="E143" s="140" t="s">
        <v>54</v>
      </c>
      <c r="F143" s="140" t="s">
        <v>2985</v>
      </c>
      <c r="G143" s="140">
        <v>0</v>
      </c>
      <c r="H143" s="140" t="s">
        <v>2974</v>
      </c>
      <c r="I143" s="140" t="s">
        <v>2986</v>
      </c>
      <c r="J143" s="140" t="s">
        <v>2987</v>
      </c>
      <c r="K143" s="140" t="s">
        <v>2974</v>
      </c>
      <c r="L143" s="140" t="s">
        <v>989</v>
      </c>
      <c r="M143" s="140" t="s">
        <v>41</v>
      </c>
      <c r="N143" s="155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06"/>
      <c r="AB143" s="106"/>
      <c r="AC143" s="106"/>
      <c r="AD143" s="106"/>
      <c r="AE143" s="106"/>
      <c r="AF143" s="106"/>
    </row>
    <row r="144" spans="1:32" ht="14.4">
      <c r="A144" s="140" t="s">
        <v>2100</v>
      </c>
      <c r="B144" s="140" t="s">
        <v>2887</v>
      </c>
      <c r="C144" s="173" t="s">
        <v>220</v>
      </c>
      <c r="D144" s="161" t="s">
        <v>234</v>
      </c>
      <c r="E144" s="140" t="s">
        <v>54</v>
      </c>
      <c r="F144" s="140" t="s">
        <v>2991</v>
      </c>
      <c r="G144" s="140">
        <v>0</v>
      </c>
      <c r="H144" s="140" t="s">
        <v>2943</v>
      </c>
      <c r="I144" s="140" t="s">
        <v>2944</v>
      </c>
      <c r="J144" s="140" t="s">
        <v>2993</v>
      </c>
      <c r="K144" s="140" t="s">
        <v>2943</v>
      </c>
      <c r="L144" s="140" t="s">
        <v>2895</v>
      </c>
      <c r="M144" s="140" t="s">
        <v>41</v>
      </c>
      <c r="N144" s="155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06"/>
      <c r="AB144" s="106"/>
      <c r="AC144" s="106"/>
      <c r="AD144" s="106"/>
      <c r="AE144" s="106"/>
      <c r="AF144" s="106"/>
    </row>
    <row r="145" spans="1:32" ht="14.4">
      <c r="A145" s="140" t="s">
        <v>2100</v>
      </c>
      <c r="B145" s="140" t="s">
        <v>2887</v>
      </c>
      <c r="C145" s="173" t="s">
        <v>220</v>
      </c>
      <c r="D145" s="161" t="s">
        <v>234</v>
      </c>
      <c r="E145" s="140" t="s">
        <v>54</v>
      </c>
      <c r="F145" s="140" t="s">
        <v>2999</v>
      </c>
      <c r="G145" s="140">
        <v>0</v>
      </c>
      <c r="H145" s="140" t="s">
        <v>3001</v>
      </c>
      <c r="I145" s="140" t="s">
        <v>3003</v>
      </c>
      <c r="J145" s="140" t="s">
        <v>3005</v>
      </c>
      <c r="K145" s="140" t="s">
        <v>3001</v>
      </c>
      <c r="L145" s="140" t="s">
        <v>438</v>
      </c>
      <c r="M145" s="140" t="s">
        <v>41</v>
      </c>
      <c r="N145" s="155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  <c r="AA145" s="106"/>
      <c r="AB145" s="106"/>
      <c r="AC145" s="106"/>
      <c r="AD145" s="106"/>
      <c r="AE145" s="106"/>
      <c r="AF145" s="106"/>
    </row>
    <row r="146" spans="1:32" ht="14.4">
      <c r="A146" s="140" t="s">
        <v>2100</v>
      </c>
      <c r="B146" s="140" t="s">
        <v>2887</v>
      </c>
      <c r="C146" s="173" t="s">
        <v>220</v>
      </c>
      <c r="D146" s="161" t="s">
        <v>234</v>
      </c>
      <c r="E146" s="140" t="s">
        <v>54</v>
      </c>
      <c r="F146" s="140" t="s">
        <v>3012</v>
      </c>
      <c r="G146" s="140">
        <v>0</v>
      </c>
      <c r="H146" s="140" t="s">
        <v>3014</v>
      </c>
      <c r="I146" s="140" t="s">
        <v>3015</v>
      </c>
      <c r="J146" s="140" t="s">
        <v>3016</v>
      </c>
      <c r="K146" s="140" t="s">
        <v>3014</v>
      </c>
      <c r="L146" s="140" t="s">
        <v>438</v>
      </c>
      <c r="M146" s="140" t="s">
        <v>41</v>
      </c>
      <c r="N146" s="155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06"/>
      <c r="AB146" s="106"/>
      <c r="AC146" s="106"/>
      <c r="AD146" s="106"/>
      <c r="AE146" s="106"/>
      <c r="AF146" s="106"/>
    </row>
    <row r="147" spans="1:32" ht="14.4">
      <c r="A147" s="110" t="s">
        <v>2100</v>
      </c>
      <c r="B147" s="110" t="s">
        <v>2887</v>
      </c>
      <c r="C147" s="174" t="s">
        <v>220</v>
      </c>
      <c r="D147" s="175" t="s">
        <v>234</v>
      </c>
      <c r="E147" s="110" t="s">
        <v>54</v>
      </c>
      <c r="F147" s="110" t="s">
        <v>3030</v>
      </c>
      <c r="G147" s="110">
        <v>0</v>
      </c>
      <c r="H147" s="110" t="s">
        <v>3033</v>
      </c>
      <c r="I147" s="110" t="s">
        <v>468</v>
      </c>
      <c r="J147" s="110" t="s">
        <v>3035</v>
      </c>
      <c r="K147" s="110" t="s">
        <v>3033</v>
      </c>
      <c r="L147" s="110" t="s">
        <v>438</v>
      </c>
      <c r="M147" s="110" t="s">
        <v>41</v>
      </c>
      <c r="N147" s="28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  <c r="AA147" s="106"/>
      <c r="AB147" s="106"/>
      <c r="AC147" s="106"/>
      <c r="AD147" s="106"/>
      <c r="AE147" s="106"/>
      <c r="AF147" s="106"/>
    </row>
    <row r="148" spans="1:32" ht="14.4">
      <c r="A148" s="140" t="s">
        <v>2100</v>
      </c>
      <c r="B148" s="140" t="s">
        <v>2887</v>
      </c>
      <c r="C148" s="140" t="s">
        <v>233</v>
      </c>
      <c r="D148" s="161" t="s">
        <v>298</v>
      </c>
      <c r="E148" s="140" t="s">
        <v>54</v>
      </c>
      <c r="F148" s="140" t="s">
        <v>3048</v>
      </c>
      <c r="G148" s="140">
        <v>0</v>
      </c>
      <c r="H148" s="140" t="s">
        <v>3050</v>
      </c>
      <c r="I148" s="140" t="s">
        <v>922</v>
      </c>
      <c r="J148" s="140" t="s">
        <v>3053</v>
      </c>
      <c r="K148" s="140" t="s">
        <v>3050</v>
      </c>
      <c r="L148" s="140" t="s">
        <v>989</v>
      </c>
      <c r="M148" s="140" t="s">
        <v>41</v>
      </c>
      <c r="N148" s="17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06"/>
      <c r="AB148" s="106"/>
      <c r="AC148" s="106"/>
      <c r="AD148" s="106"/>
      <c r="AE148" s="106"/>
      <c r="AF148" s="106"/>
    </row>
    <row r="149" spans="1:32" ht="14.4">
      <c r="A149" s="140" t="s">
        <v>2100</v>
      </c>
      <c r="B149" s="140" t="s">
        <v>2887</v>
      </c>
      <c r="C149" s="140" t="s">
        <v>233</v>
      </c>
      <c r="D149" s="161" t="s">
        <v>298</v>
      </c>
      <c r="E149" s="140" t="s">
        <v>54</v>
      </c>
      <c r="F149" s="140" t="s">
        <v>3063</v>
      </c>
      <c r="G149" s="140">
        <v>0</v>
      </c>
      <c r="H149" s="140" t="s">
        <v>3064</v>
      </c>
      <c r="I149" s="140" t="s">
        <v>3065</v>
      </c>
      <c r="J149" s="140" t="s">
        <v>3066</v>
      </c>
      <c r="K149" s="140" t="s">
        <v>3064</v>
      </c>
      <c r="L149" s="140" t="s">
        <v>2444</v>
      </c>
      <c r="M149" s="140" t="s">
        <v>41</v>
      </c>
      <c r="N149" s="155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06"/>
      <c r="AB149" s="106"/>
      <c r="AC149" s="106"/>
      <c r="AD149" s="106"/>
      <c r="AE149" s="106"/>
      <c r="AF149" s="106"/>
    </row>
    <row r="150" spans="1:32" ht="14.4">
      <c r="A150" s="140" t="s">
        <v>2100</v>
      </c>
      <c r="B150" s="140" t="s">
        <v>2887</v>
      </c>
      <c r="C150" s="140" t="s">
        <v>233</v>
      </c>
      <c r="D150" s="161" t="s">
        <v>298</v>
      </c>
      <c r="E150" s="140" t="s">
        <v>54</v>
      </c>
      <c r="F150" s="140" t="s">
        <v>3088</v>
      </c>
      <c r="G150" s="140">
        <v>0</v>
      </c>
      <c r="H150" s="140" t="s">
        <v>3094</v>
      </c>
      <c r="I150" s="140" t="s">
        <v>3095</v>
      </c>
      <c r="J150" s="140" t="s">
        <v>3097</v>
      </c>
      <c r="K150" s="140" t="s">
        <v>3098</v>
      </c>
      <c r="L150" s="140" t="s">
        <v>438</v>
      </c>
      <c r="M150" s="140" t="s">
        <v>41</v>
      </c>
      <c r="N150" s="155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  <c r="AA150" s="106"/>
      <c r="AB150" s="106"/>
      <c r="AC150" s="106"/>
      <c r="AD150" s="106"/>
      <c r="AE150" s="106"/>
      <c r="AF150" s="106"/>
    </row>
    <row r="151" spans="1:32" ht="14.4">
      <c r="A151" s="140" t="s">
        <v>2100</v>
      </c>
      <c r="B151" s="140" t="s">
        <v>2887</v>
      </c>
      <c r="C151" s="140" t="s">
        <v>233</v>
      </c>
      <c r="D151" s="161" t="s">
        <v>298</v>
      </c>
      <c r="E151" s="140" t="s">
        <v>54</v>
      </c>
      <c r="F151" s="140" t="s">
        <v>962</v>
      </c>
      <c r="G151" s="140">
        <v>0</v>
      </c>
      <c r="H151" s="140" t="s">
        <v>3111</v>
      </c>
      <c r="I151" s="140" t="s">
        <v>3112</v>
      </c>
      <c r="J151" s="140" t="s">
        <v>3113</v>
      </c>
      <c r="K151" s="140" t="s">
        <v>3111</v>
      </c>
      <c r="L151" s="140" t="s">
        <v>2336</v>
      </c>
      <c r="M151" s="140" t="s">
        <v>41</v>
      </c>
      <c r="N151" s="155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06"/>
      <c r="AB151" s="106"/>
      <c r="AC151" s="106"/>
      <c r="AD151" s="106"/>
      <c r="AE151" s="106"/>
      <c r="AF151" s="106"/>
    </row>
    <row r="152" spans="1:32" ht="14.4">
      <c r="A152" s="140" t="s">
        <v>2100</v>
      </c>
      <c r="B152" s="140" t="s">
        <v>2887</v>
      </c>
      <c r="C152" s="140" t="s">
        <v>79</v>
      </c>
      <c r="D152" s="161" t="s">
        <v>80</v>
      </c>
      <c r="E152" s="140" t="s">
        <v>54</v>
      </c>
      <c r="F152" s="140" t="s">
        <v>3121</v>
      </c>
      <c r="G152" s="140">
        <v>0</v>
      </c>
      <c r="H152" s="140" t="s">
        <v>2943</v>
      </c>
      <c r="I152" s="140" t="s">
        <v>2944</v>
      </c>
      <c r="J152" s="140" t="s">
        <v>3124</v>
      </c>
      <c r="K152" s="140" t="s">
        <v>3125</v>
      </c>
      <c r="L152" s="140" t="s">
        <v>3126</v>
      </c>
      <c r="M152" s="140" t="s">
        <v>41</v>
      </c>
      <c r="N152" s="155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06"/>
      <c r="AB152" s="106"/>
      <c r="AC152" s="106"/>
      <c r="AD152" s="106"/>
      <c r="AE152" s="106"/>
      <c r="AF152" s="106"/>
    </row>
    <row r="153" spans="1:32" ht="14.4">
      <c r="A153" s="140" t="s">
        <v>2100</v>
      </c>
      <c r="B153" s="140" t="s">
        <v>2887</v>
      </c>
      <c r="C153" s="140" t="s">
        <v>70</v>
      </c>
      <c r="D153" s="161" t="s">
        <v>71</v>
      </c>
      <c r="E153" s="140" t="s">
        <v>54</v>
      </c>
      <c r="F153" s="162" t="s">
        <v>3132</v>
      </c>
      <c r="G153" s="140">
        <v>0</v>
      </c>
      <c r="H153" s="140" t="s">
        <v>3125</v>
      </c>
      <c r="I153" s="140" t="s">
        <v>3126</v>
      </c>
      <c r="J153" s="140" t="s">
        <v>3124</v>
      </c>
      <c r="K153" s="140" t="s">
        <v>3125</v>
      </c>
      <c r="L153" s="140" t="s">
        <v>2149</v>
      </c>
      <c r="M153" s="140" t="s">
        <v>41</v>
      </c>
      <c r="N153" s="155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06"/>
      <c r="AB153" s="106"/>
      <c r="AC153" s="106"/>
      <c r="AD153" s="106"/>
      <c r="AE153" s="106"/>
      <c r="AF153" s="106"/>
    </row>
    <row r="154" spans="1:32" ht="14.4">
      <c r="A154" s="140" t="s">
        <v>2100</v>
      </c>
      <c r="B154" s="140" t="s">
        <v>2887</v>
      </c>
      <c r="C154" s="140" t="s">
        <v>51</v>
      </c>
      <c r="D154" s="161" t="s">
        <v>52</v>
      </c>
      <c r="E154" s="140" t="s">
        <v>54</v>
      </c>
      <c r="F154" s="140" t="s">
        <v>3132</v>
      </c>
      <c r="G154" s="140">
        <v>0</v>
      </c>
      <c r="H154" s="140" t="s">
        <v>3125</v>
      </c>
      <c r="I154" s="140" t="s">
        <v>3126</v>
      </c>
      <c r="J154" s="140" t="s">
        <v>3124</v>
      </c>
      <c r="K154" s="140" t="s">
        <v>3125</v>
      </c>
      <c r="L154" s="140" t="s">
        <v>2149</v>
      </c>
      <c r="M154" s="140" t="s">
        <v>41</v>
      </c>
      <c r="N154" s="155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06"/>
      <c r="AB154" s="106"/>
      <c r="AC154" s="106"/>
      <c r="AD154" s="106"/>
      <c r="AE154" s="106"/>
      <c r="AF154" s="106"/>
    </row>
    <row r="155" spans="1:32" ht="14.4">
      <c r="A155" s="140" t="s">
        <v>2100</v>
      </c>
      <c r="B155" s="140" t="s">
        <v>2887</v>
      </c>
      <c r="C155" s="140" t="s">
        <v>275</v>
      </c>
      <c r="D155" s="140" t="s">
        <v>543</v>
      </c>
      <c r="E155" s="140" t="s">
        <v>54</v>
      </c>
      <c r="F155" s="162" t="s">
        <v>3147</v>
      </c>
      <c r="G155" s="140" t="s">
        <v>3148</v>
      </c>
      <c r="H155" s="140" t="s">
        <v>3149</v>
      </c>
      <c r="I155" s="140" t="s">
        <v>3151</v>
      </c>
      <c r="J155" s="140" t="s">
        <v>2872</v>
      </c>
      <c r="K155" s="140" t="s">
        <v>3149</v>
      </c>
      <c r="L155" s="140" t="s">
        <v>2444</v>
      </c>
      <c r="M155" s="140" t="s">
        <v>3152</v>
      </c>
      <c r="N155" s="155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06"/>
      <c r="AB155" s="106"/>
      <c r="AC155" s="106"/>
      <c r="AD155" s="106"/>
      <c r="AE155" s="106"/>
      <c r="AF155" s="106"/>
    </row>
    <row r="156" spans="1:32" ht="14.4">
      <c r="A156" s="140" t="s">
        <v>2100</v>
      </c>
      <c r="B156" s="140" t="s">
        <v>2887</v>
      </c>
      <c r="C156" s="140" t="s">
        <v>296</v>
      </c>
      <c r="D156" s="140" t="s">
        <v>954</v>
      </c>
      <c r="E156" s="140" t="s">
        <v>54</v>
      </c>
      <c r="F156" s="162" t="s">
        <v>3158</v>
      </c>
      <c r="G156" s="140">
        <v>0</v>
      </c>
      <c r="H156" s="140" t="s">
        <v>3050</v>
      </c>
      <c r="I156" s="140" t="s">
        <v>922</v>
      </c>
      <c r="J156" s="140">
        <v>45444</v>
      </c>
      <c r="K156" s="140" t="s">
        <v>3050</v>
      </c>
      <c r="L156" s="140" t="s">
        <v>989</v>
      </c>
      <c r="M156" s="140" t="s">
        <v>41</v>
      </c>
      <c r="N156" s="155" t="s">
        <v>3160</v>
      </c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06"/>
      <c r="AB156" s="106"/>
      <c r="AC156" s="106"/>
      <c r="AD156" s="106"/>
      <c r="AE156" s="106"/>
      <c r="AF156" s="106"/>
    </row>
    <row r="157" spans="1:32" ht="14.4">
      <c r="A157" s="140" t="s">
        <v>2100</v>
      </c>
      <c r="B157" s="140" t="s">
        <v>49</v>
      </c>
      <c r="C157" s="140" t="s">
        <v>287</v>
      </c>
      <c r="D157" s="140" t="s">
        <v>796</v>
      </c>
      <c r="E157" s="140" t="s">
        <v>54</v>
      </c>
      <c r="F157" s="140" t="s">
        <v>3165</v>
      </c>
      <c r="G157" s="140">
        <v>0</v>
      </c>
      <c r="H157" s="140" t="s">
        <v>2279</v>
      </c>
      <c r="I157" s="140" t="s">
        <v>2235</v>
      </c>
      <c r="J157" s="140" t="s">
        <v>3169</v>
      </c>
      <c r="K157" s="140" t="s">
        <v>2279</v>
      </c>
      <c r="L157" s="140" t="s">
        <v>2149</v>
      </c>
      <c r="M157" s="140" t="s">
        <v>41</v>
      </c>
      <c r="N157" s="155" t="s">
        <v>3170</v>
      </c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06"/>
      <c r="AB157" s="106"/>
      <c r="AC157" s="106"/>
      <c r="AD157" s="106"/>
      <c r="AE157" s="106"/>
      <c r="AF157" s="106"/>
    </row>
    <row r="158" spans="1:32" ht="14.4">
      <c r="A158" s="140" t="s">
        <v>2100</v>
      </c>
      <c r="B158" s="140" t="s">
        <v>2343</v>
      </c>
      <c r="C158" s="140" t="s">
        <v>319</v>
      </c>
      <c r="D158" s="140" t="s">
        <v>796</v>
      </c>
      <c r="E158" s="140" t="s">
        <v>54</v>
      </c>
      <c r="F158" s="162" t="s">
        <v>3177</v>
      </c>
      <c r="G158" s="140" t="s">
        <v>3179</v>
      </c>
      <c r="H158" s="140" t="s">
        <v>3180</v>
      </c>
      <c r="I158" s="140" t="s">
        <v>3181</v>
      </c>
      <c r="J158" s="140" t="s">
        <v>3182</v>
      </c>
      <c r="K158" s="140" t="s">
        <v>3180</v>
      </c>
      <c r="L158" s="140" t="s">
        <v>2149</v>
      </c>
      <c r="M158" s="140" t="s">
        <v>2660</v>
      </c>
      <c r="N158" s="155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06"/>
      <c r="AB158" s="106"/>
      <c r="AC158" s="106"/>
      <c r="AD158" s="106"/>
      <c r="AE158" s="106"/>
      <c r="AF158" s="106"/>
    </row>
    <row r="159" spans="1:32" ht="14.4">
      <c r="A159" s="140" t="s">
        <v>2100</v>
      </c>
      <c r="B159" s="140" t="s">
        <v>2343</v>
      </c>
      <c r="C159" s="140" t="s">
        <v>319</v>
      </c>
      <c r="D159" s="140" t="s">
        <v>796</v>
      </c>
      <c r="E159" s="140" t="s">
        <v>54</v>
      </c>
      <c r="F159" s="162" t="s">
        <v>3187</v>
      </c>
      <c r="G159" s="140" t="s">
        <v>3189</v>
      </c>
      <c r="H159" s="140" t="s">
        <v>3191</v>
      </c>
      <c r="I159" s="140" t="s">
        <v>3192</v>
      </c>
      <c r="J159" s="140" t="s">
        <v>3193</v>
      </c>
      <c r="K159" s="140" t="s">
        <v>3191</v>
      </c>
      <c r="L159" s="140" t="s">
        <v>2166</v>
      </c>
      <c r="M159" s="140" t="s">
        <v>2660</v>
      </c>
      <c r="N159" s="155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06"/>
      <c r="AB159" s="106"/>
      <c r="AC159" s="106"/>
      <c r="AD159" s="106"/>
      <c r="AE159" s="106"/>
      <c r="AF159" s="106"/>
    </row>
    <row r="160" spans="1:32" ht="14.4">
      <c r="A160" s="140" t="s">
        <v>2100</v>
      </c>
      <c r="B160" s="140" t="s">
        <v>2343</v>
      </c>
      <c r="C160" s="140" t="s">
        <v>319</v>
      </c>
      <c r="D160" s="140" t="s">
        <v>796</v>
      </c>
      <c r="E160" s="140" t="s">
        <v>54</v>
      </c>
      <c r="F160" s="162" t="s">
        <v>3199</v>
      </c>
      <c r="G160" s="140" t="s">
        <v>3201</v>
      </c>
      <c r="H160" s="140" t="s">
        <v>3203</v>
      </c>
      <c r="I160" s="140" t="s">
        <v>3204</v>
      </c>
      <c r="J160" s="140" t="s">
        <v>3205</v>
      </c>
      <c r="K160" s="140" t="s">
        <v>3203</v>
      </c>
      <c r="L160" s="140" t="s">
        <v>3207</v>
      </c>
      <c r="M160" s="140" t="s">
        <v>2660</v>
      </c>
      <c r="N160" s="155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06"/>
      <c r="AB160" s="106"/>
      <c r="AC160" s="106"/>
      <c r="AD160" s="106"/>
      <c r="AE160" s="106"/>
      <c r="AF160" s="106"/>
    </row>
    <row r="161" spans="1:32" ht="14.4">
      <c r="A161" s="140" t="s">
        <v>2948</v>
      </c>
      <c r="B161" s="140" t="s">
        <v>2674</v>
      </c>
      <c r="C161" s="140" t="s">
        <v>319</v>
      </c>
      <c r="D161" s="140" t="s">
        <v>796</v>
      </c>
      <c r="E161" s="140"/>
      <c r="F161" s="162" t="s">
        <v>3213</v>
      </c>
      <c r="G161" s="140" t="s">
        <v>3214</v>
      </c>
      <c r="H161" s="140" t="s">
        <v>3215</v>
      </c>
      <c r="I161" s="140" t="s">
        <v>2400</v>
      </c>
      <c r="J161" s="140" t="s">
        <v>3216</v>
      </c>
      <c r="K161" s="140" t="s">
        <v>2894</v>
      </c>
      <c r="L161" s="140" t="s">
        <v>3222</v>
      </c>
      <c r="M161" s="140" t="s">
        <v>2660</v>
      </c>
      <c r="N161" s="155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06"/>
      <c r="AB161" s="106"/>
      <c r="AC161" s="106"/>
      <c r="AD161" s="106"/>
      <c r="AE161" s="106"/>
      <c r="AF161" s="106"/>
    </row>
    <row r="162" spans="1:32" ht="14.4">
      <c r="A162" s="140" t="s">
        <v>2948</v>
      </c>
      <c r="B162" s="140" t="s">
        <v>2674</v>
      </c>
      <c r="C162" s="140" t="s">
        <v>319</v>
      </c>
      <c r="D162" s="140" t="s">
        <v>796</v>
      </c>
      <c r="E162" s="140"/>
      <c r="F162" s="162" t="s">
        <v>3227</v>
      </c>
      <c r="G162" s="140" t="s">
        <v>3229</v>
      </c>
      <c r="H162" s="140" t="s">
        <v>3230</v>
      </c>
      <c r="I162" s="140" t="s">
        <v>2400</v>
      </c>
      <c r="J162" s="140" t="s">
        <v>3216</v>
      </c>
      <c r="K162" s="140" t="s">
        <v>2894</v>
      </c>
      <c r="L162" s="140" t="s">
        <v>3233</v>
      </c>
      <c r="M162" s="140" t="s">
        <v>2660</v>
      </c>
      <c r="N162" s="155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06"/>
      <c r="AB162" s="106"/>
      <c r="AC162" s="106"/>
      <c r="AD162" s="106"/>
      <c r="AE162" s="106"/>
      <c r="AF162" s="106"/>
    </row>
    <row r="163" spans="1:32" ht="14.4">
      <c r="A163" s="140" t="s">
        <v>2948</v>
      </c>
      <c r="B163" s="140" t="s">
        <v>2674</v>
      </c>
      <c r="C163" s="140" t="s">
        <v>319</v>
      </c>
      <c r="D163" s="140" t="s">
        <v>796</v>
      </c>
      <c r="E163" s="140"/>
      <c r="F163" s="162" t="s">
        <v>3240</v>
      </c>
      <c r="G163" s="140" t="s">
        <v>3229</v>
      </c>
      <c r="H163" s="140" t="s">
        <v>3242</v>
      </c>
      <c r="I163" s="140" t="s">
        <v>3243</v>
      </c>
      <c r="J163" s="140" t="s">
        <v>3216</v>
      </c>
      <c r="K163" s="140" t="s">
        <v>2894</v>
      </c>
      <c r="L163" s="140" t="s">
        <v>3244</v>
      </c>
      <c r="M163" s="140" t="s">
        <v>2660</v>
      </c>
      <c r="N163" s="155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  <c r="AB163" s="106"/>
      <c r="AC163" s="106"/>
      <c r="AD163" s="106"/>
      <c r="AE163" s="106"/>
      <c r="AF163" s="106"/>
    </row>
    <row r="164" spans="1:32" ht="14.4">
      <c r="A164" s="140" t="s">
        <v>2948</v>
      </c>
      <c r="B164" s="140" t="s">
        <v>2674</v>
      </c>
      <c r="C164" s="140" t="s">
        <v>319</v>
      </c>
      <c r="D164" s="140" t="s">
        <v>796</v>
      </c>
      <c r="E164" s="140"/>
      <c r="F164" s="162" t="s">
        <v>3252</v>
      </c>
      <c r="G164" s="140" t="s">
        <v>3253</v>
      </c>
      <c r="H164" s="140" t="s">
        <v>3255</v>
      </c>
      <c r="I164" s="140" t="s">
        <v>2400</v>
      </c>
      <c r="J164" s="140" t="s">
        <v>3216</v>
      </c>
      <c r="K164" s="140" t="s">
        <v>2894</v>
      </c>
      <c r="L164" s="140" t="s">
        <v>3256</v>
      </c>
      <c r="M164" s="140" t="s">
        <v>2660</v>
      </c>
      <c r="N164" s="155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06"/>
      <c r="AB164" s="106"/>
      <c r="AC164" s="106"/>
      <c r="AD164" s="106"/>
      <c r="AE164" s="106"/>
      <c r="AF164" s="106"/>
    </row>
    <row r="165" spans="1:32" ht="14.4">
      <c r="A165" s="140" t="s">
        <v>2948</v>
      </c>
      <c r="B165" s="140" t="s">
        <v>2674</v>
      </c>
      <c r="C165" s="140" t="s">
        <v>319</v>
      </c>
      <c r="D165" s="140" t="s">
        <v>796</v>
      </c>
      <c r="E165" s="140"/>
      <c r="F165" s="162" t="s">
        <v>3265</v>
      </c>
      <c r="G165" s="140" t="s">
        <v>3268</v>
      </c>
      <c r="H165" s="140" t="s">
        <v>2782</v>
      </c>
      <c r="I165" s="140" t="s">
        <v>2783</v>
      </c>
      <c r="J165" s="140" t="s">
        <v>3216</v>
      </c>
      <c r="K165" s="140" t="s">
        <v>3271</v>
      </c>
      <c r="L165" s="140" t="s">
        <v>729</v>
      </c>
      <c r="M165" s="140" t="s">
        <v>2660</v>
      </c>
      <c r="N165" s="155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106"/>
      <c r="AE165" s="106"/>
      <c r="AF165" s="106"/>
    </row>
    <row r="166" spans="1:32" ht="14.4">
      <c r="A166" s="140" t="s">
        <v>2948</v>
      </c>
      <c r="B166" s="140" t="s">
        <v>2674</v>
      </c>
      <c r="C166" s="140" t="s">
        <v>319</v>
      </c>
      <c r="D166" s="140" t="s">
        <v>796</v>
      </c>
      <c r="E166" s="140"/>
      <c r="F166" s="162" t="s">
        <v>3277</v>
      </c>
      <c r="G166" s="140" t="s">
        <v>3278</v>
      </c>
      <c r="H166" s="140" t="s">
        <v>3280</v>
      </c>
      <c r="I166" s="140" t="s">
        <v>3281</v>
      </c>
      <c r="J166" s="140" t="s">
        <v>3216</v>
      </c>
      <c r="K166" s="140" t="s">
        <v>2894</v>
      </c>
      <c r="L166" s="140" t="s">
        <v>729</v>
      </c>
      <c r="M166" s="140" t="s">
        <v>2660</v>
      </c>
      <c r="N166" s="155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06"/>
      <c r="AB166" s="106"/>
      <c r="AC166" s="106"/>
      <c r="AD166" s="106"/>
      <c r="AE166" s="106"/>
      <c r="AF166" s="106"/>
    </row>
    <row r="167" spans="1:32" ht="14.4">
      <c r="A167" s="140" t="s">
        <v>2100</v>
      </c>
      <c r="B167" s="140" t="s">
        <v>49</v>
      </c>
      <c r="C167" s="140" t="s">
        <v>306</v>
      </c>
      <c r="D167" s="140" t="s">
        <v>341</v>
      </c>
      <c r="E167" s="140"/>
      <c r="F167" s="140" t="s">
        <v>3286</v>
      </c>
      <c r="G167" s="140"/>
      <c r="H167" s="140" t="s">
        <v>2162</v>
      </c>
      <c r="I167" s="140" t="s">
        <v>1804</v>
      </c>
      <c r="J167" s="140" t="s">
        <v>3290</v>
      </c>
      <c r="K167" s="140" t="s">
        <v>3292</v>
      </c>
      <c r="L167" s="140" t="s">
        <v>438</v>
      </c>
      <c r="M167" s="140" t="s">
        <v>41</v>
      </c>
      <c r="N167" s="155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06"/>
      <c r="AB167" s="106"/>
      <c r="AC167" s="106"/>
      <c r="AD167" s="106"/>
      <c r="AE167" s="106"/>
      <c r="AF167" s="106"/>
    </row>
    <row r="168" spans="1:32" ht="14.4">
      <c r="A168" s="140" t="s">
        <v>2100</v>
      </c>
      <c r="B168" s="140" t="s">
        <v>49</v>
      </c>
      <c r="C168" s="140" t="s">
        <v>306</v>
      </c>
      <c r="D168" s="140" t="s">
        <v>341</v>
      </c>
      <c r="E168" s="140"/>
      <c r="F168" s="140" t="s">
        <v>3298</v>
      </c>
      <c r="G168" s="140"/>
      <c r="H168" s="140" t="s">
        <v>2170</v>
      </c>
      <c r="I168" s="140" t="s">
        <v>2171</v>
      </c>
      <c r="J168" s="140" t="s">
        <v>3300</v>
      </c>
      <c r="K168" s="140" t="s">
        <v>3301</v>
      </c>
      <c r="L168" s="140" t="s">
        <v>149</v>
      </c>
      <c r="M168" s="140" t="s">
        <v>41</v>
      </c>
      <c r="N168" s="155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  <c r="AA168" s="106"/>
      <c r="AB168" s="106"/>
      <c r="AC168" s="106"/>
      <c r="AD168" s="106"/>
      <c r="AE168" s="106"/>
      <c r="AF168" s="106"/>
    </row>
    <row r="169" spans="1:32" ht="14.4">
      <c r="A169" s="140" t="s">
        <v>2100</v>
      </c>
      <c r="B169" s="140" t="s">
        <v>49</v>
      </c>
      <c r="C169" s="140" t="s">
        <v>319</v>
      </c>
      <c r="D169" s="140" t="s">
        <v>796</v>
      </c>
      <c r="E169" s="140"/>
      <c r="F169" s="162" t="s">
        <v>3314</v>
      </c>
      <c r="G169" s="140" t="s">
        <v>3315</v>
      </c>
      <c r="H169" s="140" t="s">
        <v>2162</v>
      </c>
      <c r="I169" s="140" t="s">
        <v>1804</v>
      </c>
      <c r="J169" s="140" t="s">
        <v>3317</v>
      </c>
      <c r="K169" s="140" t="s">
        <v>3318</v>
      </c>
      <c r="L169" s="140" t="s">
        <v>2166</v>
      </c>
      <c r="M169" s="140" t="s">
        <v>2660</v>
      </c>
      <c r="N169" s="155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06"/>
      <c r="AB169" s="106"/>
      <c r="AC169" s="106"/>
      <c r="AD169" s="106"/>
      <c r="AE169" s="106"/>
      <c r="AF169" s="106"/>
    </row>
    <row r="170" spans="1:32" ht="14.4">
      <c r="A170" s="140" t="s">
        <v>2100</v>
      </c>
      <c r="B170" s="140" t="s">
        <v>49</v>
      </c>
      <c r="C170" s="140" t="s">
        <v>319</v>
      </c>
      <c r="D170" s="140" t="s">
        <v>796</v>
      </c>
      <c r="E170" s="140"/>
      <c r="F170" s="162" t="s">
        <v>3331</v>
      </c>
      <c r="G170" s="140" t="s">
        <v>3334</v>
      </c>
      <c r="H170" s="140" t="s">
        <v>2274</v>
      </c>
      <c r="I170" s="140" t="s">
        <v>2275</v>
      </c>
      <c r="J170" s="140" t="s">
        <v>3336</v>
      </c>
      <c r="K170" s="140" t="s">
        <v>2277</v>
      </c>
      <c r="L170" s="140" t="s">
        <v>989</v>
      </c>
      <c r="M170" s="140" t="s">
        <v>2660</v>
      </c>
      <c r="N170" s="155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106"/>
      <c r="AE170" s="106"/>
      <c r="AF170" s="106"/>
    </row>
    <row r="171" spans="1:32" ht="14.4">
      <c r="A171" s="140" t="s">
        <v>2100</v>
      </c>
      <c r="B171" s="140" t="s">
        <v>49</v>
      </c>
      <c r="C171" s="140" t="s">
        <v>319</v>
      </c>
      <c r="D171" s="140" t="s">
        <v>796</v>
      </c>
      <c r="E171" s="140"/>
      <c r="F171" s="162" t="s">
        <v>3342</v>
      </c>
      <c r="G171" s="140" t="s">
        <v>3343</v>
      </c>
      <c r="H171" s="140" t="s">
        <v>2137</v>
      </c>
      <c r="I171" s="140" t="s">
        <v>2138</v>
      </c>
      <c r="J171" s="140" t="s">
        <v>3345</v>
      </c>
      <c r="K171" s="140" t="s">
        <v>3346</v>
      </c>
      <c r="L171" s="140" t="s">
        <v>438</v>
      </c>
      <c r="M171" s="140" t="s">
        <v>2660</v>
      </c>
      <c r="N171" s="155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  <c r="AA171" s="106"/>
      <c r="AB171" s="106"/>
      <c r="AC171" s="106"/>
      <c r="AD171" s="106"/>
      <c r="AE171" s="106"/>
      <c r="AF171" s="106"/>
    </row>
    <row r="172" spans="1:32" ht="14.4">
      <c r="A172" s="140" t="s">
        <v>2100</v>
      </c>
      <c r="B172" s="140" t="s">
        <v>49</v>
      </c>
      <c r="C172" s="140" t="s">
        <v>319</v>
      </c>
      <c r="D172" s="140" t="s">
        <v>796</v>
      </c>
      <c r="E172" s="140"/>
      <c r="F172" s="162" t="s">
        <v>3357</v>
      </c>
      <c r="G172" s="140" t="s">
        <v>3359</v>
      </c>
      <c r="H172" s="140" t="s">
        <v>2137</v>
      </c>
      <c r="I172" s="140" t="s">
        <v>2138</v>
      </c>
      <c r="J172" s="140" t="s">
        <v>3364</v>
      </c>
      <c r="K172" s="140" t="s">
        <v>3365</v>
      </c>
      <c r="L172" s="140" t="s">
        <v>989</v>
      </c>
      <c r="M172" s="140" t="s">
        <v>2660</v>
      </c>
      <c r="N172" s="155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06"/>
      <c r="AB172" s="106"/>
      <c r="AC172" s="106"/>
      <c r="AD172" s="106"/>
      <c r="AE172" s="106"/>
      <c r="AF172" s="106"/>
    </row>
    <row r="173" spans="1:32" ht="14.4">
      <c r="A173" s="140" t="s">
        <v>2100</v>
      </c>
      <c r="B173" s="140" t="s">
        <v>49</v>
      </c>
      <c r="C173" s="140" t="s">
        <v>319</v>
      </c>
      <c r="D173" s="140" t="s">
        <v>796</v>
      </c>
      <c r="E173" s="140"/>
      <c r="F173" s="162" t="s">
        <v>3373</v>
      </c>
      <c r="G173" s="140" t="s">
        <v>3375</v>
      </c>
      <c r="H173" s="140" t="s">
        <v>2154</v>
      </c>
      <c r="I173" s="140" t="s">
        <v>2155</v>
      </c>
      <c r="J173" s="140" t="s">
        <v>3376</v>
      </c>
      <c r="K173" s="140" t="s">
        <v>2154</v>
      </c>
      <c r="L173" s="140" t="s">
        <v>2336</v>
      </c>
      <c r="M173" s="140" t="s">
        <v>2660</v>
      </c>
      <c r="N173" s="155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  <c r="AA173" s="106"/>
      <c r="AB173" s="106"/>
      <c r="AC173" s="106"/>
      <c r="AD173" s="106"/>
      <c r="AE173" s="106"/>
      <c r="AF173" s="106"/>
    </row>
    <row r="174" spans="1:32" ht="14.4">
      <c r="A174" s="140" t="s">
        <v>2100</v>
      </c>
      <c r="B174" s="140" t="s">
        <v>49</v>
      </c>
      <c r="C174" s="140" t="s">
        <v>319</v>
      </c>
      <c r="D174" s="140" t="s">
        <v>796</v>
      </c>
      <c r="E174" s="140"/>
      <c r="F174" s="162" t="s">
        <v>3381</v>
      </c>
      <c r="G174" s="140" t="s">
        <v>3382</v>
      </c>
      <c r="H174" s="140" t="s">
        <v>3383</v>
      </c>
      <c r="I174" s="140" t="s">
        <v>2919</v>
      </c>
      <c r="J174" s="140" t="s">
        <v>3385</v>
      </c>
      <c r="K174" s="140" t="s">
        <v>3386</v>
      </c>
      <c r="L174" s="140" t="s">
        <v>989</v>
      </c>
      <c r="M174" s="140" t="s">
        <v>2660</v>
      </c>
      <c r="N174" s="155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06"/>
      <c r="AB174" s="106"/>
      <c r="AC174" s="106"/>
      <c r="AD174" s="106"/>
      <c r="AE174" s="106"/>
      <c r="AF174" s="106"/>
    </row>
    <row r="175" spans="1:32" ht="14.4">
      <c r="A175" s="140" t="s">
        <v>2100</v>
      </c>
      <c r="B175" s="140" t="s">
        <v>49</v>
      </c>
      <c r="C175" s="140" t="s">
        <v>319</v>
      </c>
      <c r="D175" s="140" t="s">
        <v>796</v>
      </c>
      <c r="E175" s="140"/>
      <c r="F175" s="162" t="s">
        <v>3390</v>
      </c>
      <c r="G175" s="140" t="s">
        <v>3392</v>
      </c>
      <c r="H175" s="140" t="s">
        <v>3393</v>
      </c>
      <c r="I175" s="140" t="s">
        <v>2120</v>
      </c>
      <c r="J175" s="140" t="s">
        <v>3393</v>
      </c>
      <c r="K175" s="140" t="s">
        <v>3393</v>
      </c>
      <c r="L175" s="140" t="s">
        <v>989</v>
      </c>
      <c r="M175" s="140" t="s">
        <v>2660</v>
      </c>
      <c r="N175" s="155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06"/>
      <c r="AB175" s="106"/>
      <c r="AC175" s="106"/>
      <c r="AD175" s="106"/>
      <c r="AE175" s="106"/>
      <c r="AF175" s="106"/>
    </row>
    <row r="176" spans="1:32" ht="14.4">
      <c r="A176" s="140" t="s">
        <v>2948</v>
      </c>
      <c r="B176" s="140" t="s">
        <v>2887</v>
      </c>
      <c r="C176" s="140" t="s">
        <v>319</v>
      </c>
      <c r="D176" s="140" t="s">
        <v>796</v>
      </c>
      <c r="E176" s="140"/>
      <c r="F176" s="162" t="s">
        <v>3400</v>
      </c>
      <c r="G176" s="140"/>
      <c r="H176" s="140" t="s">
        <v>3064</v>
      </c>
      <c r="I176" s="140" t="s">
        <v>3065</v>
      </c>
      <c r="J176" s="140" t="s">
        <v>3403</v>
      </c>
      <c r="K176" s="140" t="s">
        <v>3064</v>
      </c>
      <c r="L176" s="140" t="s">
        <v>2444</v>
      </c>
      <c r="M176" s="140" t="s">
        <v>2660</v>
      </c>
      <c r="N176" s="155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06"/>
      <c r="AB176" s="106"/>
      <c r="AC176" s="106"/>
      <c r="AD176" s="106"/>
      <c r="AE176" s="106"/>
      <c r="AF176" s="106"/>
    </row>
    <row r="177" spans="1:32" ht="14.4">
      <c r="A177" s="140" t="s">
        <v>2948</v>
      </c>
      <c r="B177" s="140" t="s">
        <v>2887</v>
      </c>
      <c r="C177" s="140" t="s">
        <v>319</v>
      </c>
      <c r="D177" s="140" t="s">
        <v>796</v>
      </c>
      <c r="E177" s="140"/>
      <c r="F177" s="162" t="s">
        <v>3409</v>
      </c>
      <c r="G177" s="140" t="s">
        <v>3411</v>
      </c>
      <c r="H177" s="140" t="s">
        <v>3413</v>
      </c>
      <c r="I177" s="140" t="s">
        <v>468</v>
      </c>
      <c r="J177" s="140" t="s">
        <v>3415</v>
      </c>
      <c r="K177" s="140" t="s">
        <v>3413</v>
      </c>
      <c r="L177" s="140" t="s">
        <v>2166</v>
      </c>
      <c r="M177" s="140" t="s">
        <v>2660</v>
      </c>
      <c r="N177" s="155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  <c r="AA177" s="106"/>
      <c r="AB177" s="106"/>
      <c r="AC177" s="106"/>
      <c r="AD177" s="106"/>
      <c r="AE177" s="106"/>
      <c r="AF177" s="106"/>
    </row>
    <row r="178" spans="1:32" ht="14.4">
      <c r="A178" s="140" t="s">
        <v>2948</v>
      </c>
      <c r="B178" s="140" t="s">
        <v>2887</v>
      </c>
      <c r="C178" s="140" t="s">
        <v>319</v>
      </c>
      <c r="D178" s="140" t="s">
        <v>796</v>
      </c>
      <c r="E178" s="140"/>
      <c r="F178" s="162" t="s">
        <v>3421</v>
      </c>
      <c r="G178" s="140" t="s">
        <v>3423</v>
      </c>
      <c r="H178" s="140" t="s">
        <v>3425</v>
      </c>
      <c r="I178" s="140" t="s">
        <v>907</v>
      </c>
      <c r="J178" s="140" t="s">
        <v>3426</v>
      </c>
      <c r="K178" s="140" t="s">
        <v>3425</v>
      </c>
      <c r="L178" s="140" t="s">
        <v>989</v>
      </c>
      <c r="M178" s="140" t="s">
        <v>2660</v>
      </c>
      <c r="N178" s="155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06"/>
      <c r="AB178" s="106"/>
      <c r="AC178" s="106"/>
      <c r="AD178" s="106"/>
      <c r="AE178" s="106"/>
      <c r="AF178" s="106"/>
    </row>
    <row r="179" spans="1:32" ht="14.4">
      <c r="A179" s="140" t="s">
        <v>2948</v>
      </c>
      <c r="B179" s="140" t="s">
        <v>2887</v>
      </c>
      <c r="C179" s="140" t="s">
        <v>319</v>
      </c>
      <c r="D179" s="140" t="s">
        <v>796</v>
      </c>
      <c r="E179" s="140"/>
      <c r="F179" s="162" t="s">
        <v>3432</v>
      </c>
      <c r="G179" s="140" t="s">
        <v>3434</v>
      </c>
      <c r="H179" s="140" t="s">
        <v>3436</v>
      </c>
      <c r="I179" s="140" t="s">
        <v>887</v>
      </c>
      <c r="J179" s="140" t="s">
        <v>3439</v>
      </c>
      <c r="K179" s="140" t="s">
        <v>3436</v>
      </c>
      <c r="L179" s="140" t="s">
        <v>2166</v>
      </c>
      <c r="M179" s="140" t="s">
        <v>2660</v>
      </c>
      <c r="N179" s="155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  <c r="AA179" s="106"/>
      <c r="AB179" s="106"/>
      <c r="AC179" s="106"/>
      <c r="AD179" s="106"/>
      <c r="AE179" s="106"/>
      <c r="AF179" s="106"/>
    </row>
    <row r="180" spans="1:32" ht="14.4">
      <c r="A180" s="140" t="s">
        <v>2948</v>
      </c>
      <c r="B180" s="140" t="s">
        <v>2887</v>
      </c>
      <c r="C180" s="140" t="s">
        <v>319</v>
      </c>
      <c r="D180" s="140" t="s">
        <v>796</v>
      </c>
      <c r="E180" s="140"/>
      <c r="F180" s="162" t="s">
        <v>3447</v>
      </c>
      <c r="G180" s="140" t="s">
        <v>3448</v>
      </c>
      <c r="H180" s="140" t="s">
        <v>3449</v>
      </c>
      <c r="I180" s="140" t="s">
        <v>521</v>
      </c>
      <c r="J180" s="140" t="s">
        <v>3452</v>
      </c>
      <c r="K180" s="140" t="s">
        <v>3449</v>
      </c>
      <c r="L180" s="140" t="s">
        <v>2166</v>
      </c>
      <c r="M180" s="140" t="s">
        <v>2660</v>
      </c>
      <c r="N180" s="155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  <c r="AA180" s="106"/>
      <c r="AB180" s="106"/>
      <c r="AC180" s="106"/>
      <c r="AD180" s="106"/>
      <c r="AE180" s="106"/>
      <c r="AF180" s="106"/>
    </row>
    <row r="181" spans="1:32" ht="14.4">
      <c r="A181" s="178" t="s">
        <v>2100</v>
      </c>
      <c r="B181" s="178" t="s">
        <v>49</v>
      </c>
      <c r="C181" s="178" t="s">
        <v>20</v>
      </c>
      <c r="D181" s="178" t="s">
        <v>1305</v>
      </c>
      <c r="E181" s="178" t="s">
        <v>54</v>
      </c>
      <c r="F181" s="178" t="s">
        <v>3469</v>
      </c>
      <c r="G181" s="178" t="s">
        <v>3471</v>
      </c>
      <c r="H181" s="178" t="s">
        <v>2137</v>
      </c>
      <c r="I181" s="178" t="s">
        <v>2138</v>
      </c>
      <c r="J181" s="178" t="s">
        <v>3472</v>
      </c>
      <c r="K181" s="178" t="s">
        <v>2137</v>
      </c>
      <c r="L181" s="178" t="s">
        <v>2158</v>
      </c>
      <c r="M181" s="179" t="s">
        <v>41</v>
      </c>
      <c r="N181" s="178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45"/>
      <c r="Z181" s="45"/>
      <c r="AA181" s="45"/>
      <c r="AB181" s="45"/>
      <c r="AC181" s="45"/>
      <c r="AD181" s="45"/>
      <c r="AE181" s="45"/>
      <c r="AF181" s="45"/>
    </row>
    <row r="182" spans="1:32" ht="14.4">
      <c r="A182" s="178" t="s">
        <v>2100</v>
      </c>
      <c r="B182" s="178" t="s">
        <v>49</v>
      </c>
      <c r="C182" s="178" t="s">
        <v>20</v>
      </c>
      <c r="D182" s="178" t="s">
        <v>1305</v>
      </c>
      <c r="E182" s="180" t="s">
        <v>2969</v>
      </c>
      <c r="F182" s="178" t="s">
        <v>3489</v>
      </c>
      <c r="G182" s="178" t="s">
        <v>3490</v>
      </c>
      <c r="H182" s="178" t="s">
        <v>2154</v>
      </c>
      <c r="I182" s="178" t="s">
        <v>2155</v>
      </c>
      <c r="J182" s="178" t="s">
        <v>3493</v>
      </c>
      <c r="K182" s="178" t="s">
        <v>2154</v>
      </c>
      <c r="L182" s="178" t="s">
        <v>2264</v>
      </c>
      <c r="M182" s="179" t="s">
        <v>41</v>
      </c>
      <c r="N182" s="178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45"/>
      <c r="Z182" s="45"/>
      <c r="AA182" s="45"/>
      <c r="AB182" s="45"/>
      <c r="AC182" s="45"/>
      <c r="AD182" s="45"/>
      <c r="AE182" s="45"/>
      <c r="AF182" s="45"/>
    </row>
    <row r="183" spans="1:32" ht="14.4">
      <c r="A183" s="178" t="s">
        <v>2100</v>
      </c>
      <c r="B183" s="178" t="s">
        <v>49</v>
      </c>
      <c r="C183" s="178" t="s">
        <v>20</v>
      </c>
      <c r="D183" s="178" t="s">
        <v>1305</v>
      </c>
      <c r="E183" s="180" t="s">
        <v>2969</v>
      </c>
      <c r="F183" s="178" t="s">
        <v>3500</v>
      </c>
      <c r="G183" s="178" t="s">
        <v>3501</v>
      </c>
      <c r="H183" s="178" t="s">
        <v>2262</v>
      </c>
      <c r="I183" s="178" t="s">
        <v>1314</v>
      </c>
      <c r="J183" s="178" t="s">
        <v>3503</v>
      </c>
      <c r="K183" s="178" t="s">
        <v>2262</v>
      </c>
      <c r="L183" s="178" t="s">
        <v>2307</v>
      </c>
      <c r="M183" s="179" t="s">
        <v>41</v>
      </c>
      <c r="N183" s="178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45"/>
      <c r="Z183" s="45"/>
      <c r="AA183" s="45"/>
      <c r="AB183" s="45"/>
      <c r="AC183" s="45"/>
      <c r="AD183" s="45"/>
      <c r="AE183" s="45"/>
      <c r="AF183" s="45"/>
    </row>
    <row r="184" spans="1:32" ht="14.4">
      <c r="A184" s="178" t="s">
        <v>2100</v>
      </c>
      <c r="B184" s="140" t="s">
        <v>2309</v>
      </c>
      <c r="C184" s="181" t="s">
        <v>260</v>
      </c>
      <c r="D184" s="181" t="s">
        <v>1337</v>
      </c>
      <c r="E184" s="180" t="s">
        <v>2969</v>
      </c>
      <c r="F184" s="178" t="s">
        <v>3514</v>
      </c>
      <c r="G184" s="178" t="s">
        <v>1342</v>
      </c>
      <c r="H184" s="178" t="s">
        <v>2313</v>
      </c>
      <c r="I184" s="178" t="s">
        <v>2314</v>
      </c>
      <c r="J184" s="178" t="s">
        <v>3519</v>
      </c>
      <c r="K184" s="178" t="s">
        <v>3521</v>
      </c>
      <c r="L184" s="178" t="s">
        <v>2149</v>
      </c>
      <c r="M184" s="179" t="s">
        <v>41</v>
      </c>
      <c r="N184" s="178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45"/>
      <c r="Z184" s="45"/>
      <c r="AA184" s="45"/>
      <c r="AB184" s="45"/>
      <c r="AC184" s="45"/>
      <c r="AD184" s="45"/>
      <c r="AE184" s="45"/>
      <c r="AF184" s="45"/>
    </row>
    <row r="185" spans="1:32" ht="14.4">
      <c r="A185" s="178" t="s">
        <v>2100</v>
      </c>
      <c r="B185" s="140" t="s">
        <v>2343</v>
      </c>
      <c r="C185" s="181" t="s">
        <v>260</v>
      </c>
      <c r="D185" s="181" t="s">
        <v>1337</v>
      </c>
      <c r="E185" s="180" t="s">
        <v>2969</v>
      </c>
      <c r="F185" s="178" t="s">
        <v>3528</v>
      </c>
      <c r="G185" s="178" t="s">
        <v>1342</v>
      </c>
      <c r="H185" s="178" t="s">
        <v>2347</v>
      </c>
      <c r="I185" s="178" t="s">
        <v>2348</v>
      </c>
      <c r="J185" s="178" t="s">
        <v>2475</v>
      </c>
      <c r="K185" s="178" t="s">
        <v>3533</v>
      </c>
      <c r="L185" s="178" t="s">
        <v>438</v>
      </c>
      <c r="M185" s="179" t="s">
        <v>41</v>
      </c>
      <c r="N185" s="178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45"/>
      <c r="Z185" s="45"/>
      <c r="AA185" s="45"/>
      <c r="AB185" s="45"/>
      <c r="AC185" s="45"/>
      <c r="AD185" s="45"/>
      <c r="AE185" s="45"/>
      <c r="AF185" s="45"/>
    </row>
    <row r="186" spans="1:32" ht="14.4">
      <c r="A186" s="178" t="s">
        <v>2100</v>
      </c>
      <c r="B186" s="140" t="s">
        <v>2343</v>
      </c>
      <c r="C186" s="181" t="s">
        <v>260</v>
      </c>
      <c r="D186" s="181" t="s">
        <v>1337</v>
      </c>
      <c r="E186" s="180" t="s">
        <v>2969</v>
      </c>
      <c r="F186" s="178" t="s">
        <v>3538</v>
      </c>
      <c r="G186" s="178" t="s">
        <v>1342</v>
      </c>
      <c r="H186" s="178" t="s">
        <v>2347</v>
      </c>
      <c r="I186" s="178" t="s">
        <v>2348</v>
      </c>
      <c r="J186" s="178" t="s">
        <v>2475</v>
      </c>
      <c r="K186" s="178" t="s">
        <v>3533</v>
      </c>
      <c r="L186" s="178" t="s">
        <v>438</v>
      </c>
      <c r="M186" s="179" t="s">
        <v>41</v>
      </c>
      <c r="N186" s="178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45"/>
      <c r="Z186" s="45"/>
      <c r="AA186" s="45"/>
      <c r="AB186" s="45"/>
      <c r="AC186" s="45"/>
      <c r="AD186" s="45"/>
      <c r="AE186" s="45"/>
      <c r="AF186" s="45"/>
    </row>
    <row r="187" spans="1:32" ht="14.4">
      <c r="A187" s="178" t="s">
        <v>2100</v>
      </c>
      <c r="B187" s="140" t="s">
        <v>2343</v>
      </c>
      <c r="C187" s="181" t="s">
        <v>260</v>
      </c>
      <c r="D187" s="181" t="s">
        <v>1337</v>
      </c>
      <c r="E187" s="180" t="s">
        <v>2969</v>
      </c>
      <c r="F187" s="178" t="s">
        <v>3544</v>
      </c>
      <c r="G187" s="178" t="s">
        <v>1342</v>
      </c>
      <c r="H187" s="178" t="s">
        <v>3545</v>
      </c>
      <c r="I187" s="178" t="s">
        <v>521</v>
      </c>
      <c r="J187" s="178" t="s">
        <v>2475</v>
      </c>
      <c r="K187" s="178" t="s">
        <v>3545</v>
      </c>
      <c r="L187" s="178" t="s">
        <v>2166</v>
      </c>
      <c r="M187" s="179" t="s">
        <v>41</v>
      </c>
      <c r="N187" s="178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45"/>
      <c r="Z187" s="45"/>
      <c r="AA187" s="45"/>
      <c r="AB187" s="45"/>
      <c r="AC187" s="45"/>
      <c r="AD187" s="45"/>
      <c r="AE187" s="45"/>
      <c r="AF187" s="45"/>
    </row>
    <row r="188" spans="1:32" ht="14.4">
      <c r="A188" s="178" t="s">
        <v>2100</v>
      </c>
      <c r="B188" s="140" t="s">
        <v>2343</v>
      </c>
      <c r="C188" s="181" t="s">
        <v>260</v>
      </c>
      <c r="D188" s="181" t="s">
        <v>1337</v>
      </c>
      <c r="E188" s="180" t="s">
        <v>2969</v>
      </c>
      <c r="F188" s="178" t="s">
        <v>3554</v>
      </c>
      <c r="G188" s="178" t="s">
        <v>1342</v>
      </c>
      <c r="H188" s="178" t="s">
        <v>2347</v>
      </c>
      <c r="I188" s="178" t="s">
        <v>2348</v>
      </c>
      <c r="J188" s="178" t="s">
        <v>2475</v>
      </c>
      <c r="K188" s="178" t="s">
        <v>3533</v>
      </c>
      <c r="L188" s="178" t="s">
        <v>438</v>
      </c>
      <c r="M188" s="179" t="s">
        <v>41</v>
      </c>
      <c r="N188" s="178"/>
      <c r="O188" s="182"/>
      <c r="P188" s="106"/>
      <c r="Q188" s="106"/>
      <c r="R188" s="106"/>
      <c r="S188" s="106"/>
      <c r="T188" s="106"/>
      <c r="U188" s="106"/>
      <c r="V188" s="106"/>
      <c r="W188" s="106"/>
      <c r="X188" s="106"/>
      <c r="Y188" s="45"/>
      <c r="Z188" s="45"/>
      <c r="AA188" s="45"/>
      <c r="AB188" s="45"/>
      <c r="AC188" s="45"/>
      <c r="AD188" s="45"/>
      <c r="AE188" s="45"/>
      <c r="AF188" s="45"/>
    </row>
    <row r="189" spans="1:32" ht="14.4">
      <c r="A189" s="178" t="s">
        <v>2100</v>
      </c>
      <c r="B189" s="140" t="s">
        <v>2343</v>
      </c>
      <c r="C189" s="181" t="s">
        <v>260</v>
      </c>
      <c r="D189" s="181" t="s">
        <v>1337</v>
      </c>
      <c r="E189" s="180" t="s">
        <v>2969</v>
      </c>
      <c r="F189" s="178" t="s">
        <v>3568</v>
      </c>
      <c r="G189" s="178" t="s">
        <v>1342</v>
      </c>
      <c r="H189" s="178" t="s">
        <v>2347</v>
      </c>
      <c r="I189" s="178" t="s">
        <v>2348</v>
      </c>
      <c r="J189" s="178" t="s">
        <v>2475</v>
      </c>
      <c r="K189" s="178" t="s">
        <v>3533</v>
      </c>
      <c r="L189" s="178" t="s">
        <v>438</v>
      </c>
      <c r="M189" s="179" t="s">
        <v>41</v>
      </c>
      <c r="N189" s="178"/>
      <c r="O189" s="182"/>
      <c r="P189" s="106"/>
      <c r="Q189" s="106"/>
      <c r="R189" s="106"/>
      <c r="S189" s="106"/>
      <c r="T189" s="106"/>
      <c r="U189" s="106"/>
      <c r="V189" s="106"/>
      <c r="W189" s="106"/>
      <c r="X189" s="106"/>
      <c r="Y189" s="45"/>
      <c r="Z189" s="45"/>
      <c r="AA189" s="45"/>
      <c r="AB189" s="45"/>
      <c r="AC189" s="45"/>
      <c r="AD189" s="45"/>
      <c r="AE189" s="45"/>
      <c r="AF189" s="45"/>
    </row>
    <row r="190" spans="1:32" ht="14.4">
      <c r="A190" s="178" t="s">
        <v>2100</v>
      </c>
      <c r="B190" s="140" t="s">
        <v>2343</v>
      </c>
      <c r="C190" s="181" t="s">
        <v>260</v>
      </c>
      <c r="D190" s="181" t="s">
        <v>1337</v>
      </c>
      <c r="E190" s="180" t="s">
        <v>2969</v>
      </c>
      <c r="F190" s="178" t="s">
        <v>3575</v>
      </c>
      <c r="G190" s="178" t="s">
        <v>1342</v>
      </c>
      <c r="H190" s="178" t="s">
        <v>3576</v>
      </c>
      <c r="I190" s="178" t="s">
        <v>521</v>
      </c>
      <c r="J190" s="178" t="s">
        <v>2475</v>
      </c>
      <c r="K190" s="178" t="s">
        <v>3576</v>
      </c>
      <c r="L190" s="178" t="s">
        <v>2149</v>
      </c>
      <c r="M190" s="179" t="s">
        <v>41</v>
      </c>
      <c r="N190" s="178"/>
      <c r="O190" s="183"/>
      <c r="P190" s="106"/>
      <c r="Q190" s="106"/>
      <c r="R190" s="106"/>
      <c r="S190" s="106"/>
      <c r="T190" s="106"/>
      <c r="U190" s="106"/>
      <c r="V190" s="106"/>
      <c r="W190" s="106"/>
      <c r="X190" s="106"/>
      <c r="Y190" s="45"/>
      <c r="Z190" s="45"/>
      <c r="AA190" s="45"/>
      <c r="AB190" s="45"/>
      <c r="AC190" s="45"/>
      <c r="AD190" s="45"/>
      <c r="AE190" s="45"/>
      <c r="AF190" s="45"/>
    </row>
    <row r="191" spans="1:32" ht="14.4">
      <c r="A191" s="178" t="s">
        <v>2100</v>
      </c>
      <c r="B191" s="140" t="s">
        <v>2343</v>
      </c>
      <c r="C191" s="181" t="s">
        <v>260</v>
      </c>
      <c r="D191" s="181" t="s">
        <v>1337</v>
      </c>
      <c r="E191" s="180" t="s">
        <v>2969</v>
      </c>
      <c r="F191" s="178" t="s">
        <v>3583</v>
      </c>
      <c r="G191" s="178" t="s">
        <v>1342</v>
      </c>
      <c r="H191" s="178" t="s">
        <v>3584</v>
      </c>
      <c r="I191" s="178" t="s">
        <v>521</v>
      </c>
      <c r="J191" s="178" t="s">
        <v>2475</v>
      </c>
      <c r="K191" s="178" t="s">
        <v>3584</v>
      </c>
      <c r="L191" s="178" t="s">
        <v>2166</v>
      </c>
      <c r="M191" s="179" t="s">
        <v>41</v>
      </c>
      <c r="N191" s="178"/>
      <c r="O191" s="182"/>
      <c r="P191" s="106"/>
      <c r="Q191" s="106"/>
      <c r="R191" s="106"/>
      <c r="S191" s="106"/>
      <c r="T191" s="106"/>
      <c r="U191" s="106"/>
      <c r="V191" s="106"/>
      <c r="W191" s="106"/>
      <c r="X191" s="106"/>
      <c r="Y191" s="45"/>
      <c r="Z191" s="45"/>
      <c r="AA191" s="45"/>
      <c r="AB191" s="45"/>
      <c r="AC191" s="45"/>
      <c r="AD191" s="45"/>
      <c r="AE191" s="45"/>
      <c r="AF191" s="45"/>
    </row>
    <row r="192" spans="1:32" ht="14.4">
      <c r="A192" s="178" t="s">
        <v>2100</v>
      </c>
      <c r="B192" s="140" t="s">
        <v>2343</v>
      </c>
      <c r="C192" s="181" t="s">
        <v>260</v>
      </c>
      <c r="D192" s="181" t="s">
        <v>1337</v>
      </c>
      <c r="E192" s="180" t="s">
        <v>2969</v>
      </c>
      <c r="F192" s="178" t="s">
        <v>3591</v>
      </c>
      <c r="G192" s="178" t="s">
        <v>1342</v>
      </c>
      <c r="H192" s="178" t="s">
        <v>3592</v>
      </c>
      <c r="I192" s="178" t="s">
        <v>700</v>
      </c>
      <c r="J192" s="178" t="s">
        <v>3593</v>
      </c>
      <c r="K192" s="178" t="s">
        <v>3594</v>
      </c>
      <c r="L192" s="178" t="s">
        <v>3595</v>
      </c>
      <c r="M192" s="179" t="s">
        <v>41</v>
      </c>
      <c r="N192" s="178"/>
      <c r="O192" s="183"/>
      <c r="P192" s="106"/>
      <c r="Q192" s="106"/>
      <c r="R192" s="106"/>
      <c r="S192" s="106"/>
      <c r="T192" s="106"/>
      <c r="U192" s="106"/>
      <c r="V192" s="106"/>
      <c r="W192" s="106"/>
      <c r="X192" s="106"/>
      <c r="Y192" s="45"/>
      <c r="Z192" s="45"/>
      <c r="AA192" s="45"/>
      <c r="AB192" s="45"/>
      <c r="AC192" s="45"/>
      <c r="AD192" s="45"/>
      <c r="AE192" s="45"/>
      <c r="AF192" s="45"/>
    </row>
    <row r="193" spans="1:32" ht="14.4">
      <c r="A193" s="178" t="s">
        <v>2100</v>
      </c>
      <c r="B193" s="140" t="s">
        <v>2343</v>
      </c>
      <c r="C193" s="181" t="s">
        <v>260</v>
      </c>
      <c r="D193" s="181" t="s">
        <v>1337</v>
      </c>
      <c r="E193" s="180" t="s">
        <v>2969</v>
      </c>
      <c r="F193" s="178" t="s">
        <v>3601</v>
      </c>
      <c r="G193" s="178" t="s">
        <v>1342</v>
      </c>
      <c r="H193" s="178" t="s">
        <v>3602</v>
      </c>
      <c r="I193" s="178" t="s">
        <v>700</v>
      </c>
      <c r="J193" s="178" t="s">
        <v>3604</v>
      </c>
      <c r="K193" s="178" t="s">
        <v>3602</v>
      </c>
      <c r="L193" s="178" t="s">
        <v>3605</v>
      </c>
      <c r="M193" s="179" t="s">
        <v>41</v>
      </c>
      <c r="N193" s="178"/>
      <c r="O193" s="182"/>
      <c r="P193" s="106"/>
      <c r="Q193" s="106"/>
      <c r="R193" s="106"/>
      <c r="S193" s="106"/>
      <c r="T193" s="106"/>
      <c r="U193" s="106"/>
      <c r="V193" s="106"/>
      <c r="W193" s="106"/>
      <c r="X193" s="106"/>
      <c r="Y193" s="45"/>
      <c r="Z193" s="45"/>
      <c r="AA193" s="45"/>
      <c r="AB193" s="45"/>
      <c r="AC193" s="45"/>
      <c r="AD193" s="45"/>
      <c r="AE193" s="45"/>
      <c r="AF193" s="45"/>
    </row>
    <row r="194" spans="1:32" ht="14.4">
      <c r="A194" s="178" t="s">
        <v>2100</v>
      </c>
      <c r="B194" s="140" t="s">
        <v>2343</v>
      </c>
      <c r="C194" s="181" t="s">
        <v>260</v>
      </c>
      <c r="D194" s="181" t="s">
        <v>1337</v>
      </c>
      <c r="E194" s="180" t="s">
        <v>2969</v>
      </c>
      <c r="F194" s="178" t="s">
        <v>3608</v>
      </c>
      <c r="G194" s="178" t="s">
        <v>1342</v>
      </c>
      <c r="H194" s="178" t="s">
        <v>3609</v>
      </c>
      <c r="I194" s="178" t="s">
        <v>521</v>
      </c>
      <c r="J194" s="178" t="s">
        <v>2475</v>
      </c>
      <c r="K194" s="178" t="s">
        <v>3609</v>
      </c>
      <c r="L194" s="178" t="s">
        <v>2166</v>
      </c>
      <c r="M194" s="179" t="s">
        <v>41</v>
      </c>
      <c r="N194" s="178"/>
      <c r="O194" s="182"/>
      <c r="P194" s="106"/>
      <c r="Q194" s="106"/>
      <c r="R194" s="106"/>
      <c r="S194" s="106"/>
      <c r="T194" s="106"/>
      <c r="U194" s="106"/>
      <c r="V194" s="106"/>
      <c r="W194" s="106"/>
      <c r="X194" s="106"/>
      <c r="Y194" s="45"/>
      <c r="Z194" s="45"/>
      <c r="AA194" s="45"/>
      <c r="AB194" s="45"/>
      <c r="AC194" s="45"/>
      <c r="AD194" s="45"/>
      <c r="AE194" s="45"/>
      <c r="AF194" s="45"/>
    </row>
    <row r="195" spans="1:32" ht="14.4">
      <c r="A195" s="178" t="s">
        <v>2100</v>
      </c>
      <c r="B195" s="140" t="s">
        <v>2343</v>
      </c>
      <c r="C195" s="178" t="s">
        <v>20</v>
      </c>
      <c r="D195" s="178" t="s">
        <v>1305</v>
      </c>
      <c r="E195" s="180" t="s">
        <v>2969</v>
      </c>
      <c r="F195" s="178" t="s">
        <v>3616</v>
      </c>
      <c r="G195" s="178" t="s">
        <v>3618</v>
      </c>
      <c r="H195" s="178" t="s">
        <v>3620</v>
      </c>
      <c r="I195" s="178" t="s">
        <v>2348</v>
      </c>
      <c r="J195" s="178" t="s">
        <v>3622</v>
      </c>
      <c r="K195" s="178" t="s">
        <v>3533</v>
      </c>
      <c r="L195" s="178" t="s">
        <v>3623</v>
      </c>
      <c r="M195" s="179" t="s">
        <v>41</v>
      </c>
      <c r="N195" s="178"/>
      <c r="O195" s="182"/>
      <c r="P195" s="106"/>
      <c r="Q195" s="106"/>
      <c r="R195" s="106"/>
      <c r="S195" s="106"/>
      <c r="T195" s="106"/>
      <c r="U195" s="106"/>
      <c r="V195" s="106"/>
      <c r="W195" s="106"/>
      <c r="X195" s="106"/>
      <c r="Y195" s="45"/>
      <c r="Z195" s="45"/>
      <c r="AA195" s="45"/>
      <c r="AB195" s="45"/>
      <c r="AC195" s="45"/>
      <c r="AD195" s="45"/>
      <c r="AE195" s="45"/>
      <c r="AF195" s="45"/>
    </row>
    <row r="196" spans="1:32" ht="14.4">
      <c r="A196" s="178" t="s">
        <v>2100</v>
      </c>
      <c r="B196" s="140" t="s">
        <v>2343</v>
      </c>
      <c r="C196" s="178" t="s">
        <v>20</v>
      </c>
      <c r="D196" s="178" t="s">
        <v>1305</v>
      </c>
      <c r="E196" s="180" t="s">
        <v>2969</v>
      </c>
      <c r="F196" s="178" t="s">
        <v>3628</v>
      </c>
      <c r="G196" s="178" t="s">
        <v>3629</v>
      </c>
      <c r="H196" s="178" t="s">
        <v>3620</v>
      </c>
      <c r="I196" s="178" t="s">
        <v>2348</v>
      </c>
      <c r="J196" s="178" t="s">
        <v>3622</v>
      </c>
      <c r="K196" s="178" t="s">
        <v>3533</v>
      </c>
      <c r="L196" s="178" t="s">
        <v>3623</v>
      </c>
      <c r="M196" s="179" t="s">
        <v>41</v>
      </c>
      <c r="N196" s="178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45"/>
      <c r="Z196" s="45"/>
      <c r="AA196" s="45"/>
      <c r="AB196" s="45"/>
      <c r="AC196" s="45"/>
      <c r="AD196" s="45"/>
      <c r="AE196" s="45"/>
      <c r="AF196" s="45"/>
    </row>
    <row r="197" spans="1:32" ht="14.4">
      <c r="A197" s="178" t="s">
        <v>2100</v>
      </c>
      <c r="B197" s="178" t="s">
        <v>2486</v>
      </c>
      <c r="C197" s="181" t="s">
        <v>260</v>
      </c>
      <c r="D197" s="181" t="s">
        <v>1337</v>
      </c>
      <c r="E197" s="180" t="s">
        <v>2969</v>
      </c>
      <c r="F197" s="178" t="s">
        <v>3634</v>
      </c>
      <c r="G197" s="178" t="s">
        <v>1342</v>
      </c>
      <c r="H197" s="178" t="s">
        <v>2580</v>
      </c>
      <c r="I197" s="178" t="s">
        <v>898</v>
      </c>
      <c r="J197" s="178" t="s">
        <v>3639</v>
      </c>
      <c r="K197" s="178" t="s">
        <v>2580</v>
      </c>
      <c r="L197" s="178" t="s">
        <v>2166</v>
      </c>
      <c r="M197" s="179" t="s">
        <v>41</v>
      </c>
      <c r="N197" s="178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45"/>
      <c r="Z197" s="45"/>
      <c r="AA197" s="45"/>
      <c r="AB197" s="45"/>
      <c r="AC197" s="45"/>
      <c r="AD197" s="45"/>
      <c r="AE197" s="45"/>
      <c r="AF197" s="45"/>
    </row>
    <row r="198" spans="1:32" ht="14.4">
      <c r="A198" s="178" t="s">
        <v>2100</v>
      </c>
      <c r="B198" s="178" t="s">
        <v>2486</v>
      </c>
      <c r="C198" s="181" t="s">
        <v>260</v>
      </c>
      <c r="D198" s="181" t="s">
        <v>1337</v>
      </c>
      <c r="E198" s="180" t="s">
        <v>2969</v>
      </c>
      <c r="F198" s="178" t="s">
        <v>3645</v>
      </c>
      <c r="G198" s="178" t="s">
        <v>1342</v>
      </c>
      <c r="H198" s="178" t="s">
        <v>3646</v>
      </c>
      <c r="I198" s="178" t="s">
        <v>521</v>
      </c>
      <c r="J198" s="178" t="s">
        <v>3648</v>
      </c>
      <c r="K198" s="178" t="s">
        <v>3646</v>
      </c>
      <c r="L198" s="178" t="s">
        <v>2516</v>
      </c>
      <c r="M198" s="179" t="s">
        <v>41</v>
      </c>
      <c r="N198" s="178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45"/>
      <c r="Z198" s="45"/>
      <c r="AA198" s="45"/>
      <c r="AB198" s="45"/>
      <c r="AC198" s="45"/>
      <c r="AD198" s="45"/>
      <c r="AE198" s="45"/>
      <c r="AF198" s="45"/>
    </row>
    <row r="199" spans="1:32" ht="14.4">
      <c r="A199" s="178" t="s">
        <v>2100</v>
      </c>
      <c r="B199" s="178" t="s">
        <v>2486</v>
      </c>
      <c r="C199" s="181" t="s">
        <v>260</v>
      </c>
      <c r="D199" s="181" t="s">
        <v>1337</v>
      </c>
      <c r="E199" s="180" t="s">
        <v>2969</v>
      </c>
      <c r="F199" s="178" t="s">
        <v>3650</v>
      </c>
      <c r="G199" s="178" t="s">
        <v>1342</v>
      </c>
      <c r="H199" s="178" t="s">
        <v>2530</v>
      </c>
      <c r="I199" s="178" t="s">
        <v>521</v>
      </c>
      <c r="J199" s="178" t="s">
        <v>3651</v>
      </c>
      <c r="K199" s="178" t="s">
        <v>2530</v>
      </c>
      <c r="L199" s="178" t="s">
        <v>2532</v>
      </c>
      <c r="M199" s="179" t="s">
        <v>41</v>
      </c>
      <c r="N199" s="178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45"/>
      <c r="Z199" s="45"/>
      <c r="AA199" s="45"/>
      <c r="AB199" s="45"/>
      <c r="AC199" s="45"/>
      <c r="AD199" s="45"/>
      <c r="AE199" s="45"/>
      <c r="AF199" s="45"/>
    </row>
    <row r="200" spans="1:32" ht="14.4">
      <c r="A200" s="178" t="s">
        <v>2100</v>
      </c>
      <c r="B200" s="178" t="s">
        <v>2486</v>
      </c>
      <c r="C200" s="181" t="s">
        <v>260</v>
      </c>
      <c r="D200" s="181" t="s">
        <v>1337</v>
      </c>
      <c r="E200" s="180" t="s">
        <v>2969</v>
      </c>
      <c r="F200" s="178" t="s">
        <v>3655</v>
      </c>
      <c r="G200" s="178" t="s">
        <v>1342</v>
      </c>
      <c r="H200" s="178" t="s">
        <v>3658</v>
      </c>
      <c r="I200" s="178" t="s">
        <v>3659</v>
      </c>
      <c r="J200" s="178" t="s">
        <v>3660</v>
      </c>
      <c r="K200" s="178" t="s">
        <v>3658</v>
      </c>
      <c r="L200" s="178" t="s">
        <v>149</v>
      </c>
      <c r="M200" s="179" t="s">
        <v>41</v>
      </c>
      <c r="N200" s="178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45"/>
      <c r="Z200" s="45"/>
      <c r="AA200" s="45"/>
      <c r="AB200" s="45"/>
      <c r="AC200" s="45"/>
      <c r="AD200" s="45"/>
      <c r="AE200" s="45"/>
      <c r="AF200" s="45"/>
    </row>
    <row r="201" spans="1:32" ht="14.4">
      <c r="A201" s="178" t="s">
        <v>2100</v>
      </c>
      <c r="B201" s="178" t="s">
        <v>2486</v>
      </c>
      <c r="C201" s="181" t="s">
        <v>260</v>
      </c>
      <c r="D201" s="181" t="s">
        <v>1337</v>
      </c>
      <c r="E201" s="180" t="s">
        <v>2969</v>
      </c>
      <c r="F201" s="178" t="s">
        <v>3664</v>
      </c>
      <c r="G201" s="178" t="s">
        <v>1342</v>
      </c>
      <c r="H201" s="178" t="s">
        <v>3665</v>
      </c>
      <c r="I201" s="178" t="s">
        <v>887</v>
      </c>
      <c r="J201" s="178" t="s">
        <v>3667</v>
      </c>
      <c r="K201" s="178" t="s">
        <v>3665</v>
      </c>
      <c r="L201" s="178" t="s">
        <v>2516</v>
      </c>
      <c r="M201" s="179" t="s">
        <v>41</v>
      </c>
      <c r="N201" s="178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45"/>
      <c r="Z201" s="45"/>
      <c r="AA201" s="45"/>
      <c r="AB201" s="45"/>
      <c r="AC201" s="45"/>
      <c r="AD201" s="45"/>
      <c r="AE201" s="45"/>
      <c r="AF201" s="45"/>
    </row>
    <row r="202" spans="1:32" ht="14.4">
      <c r="A202" s="178" t="s">
        <v>2100</v>
      </c>
      <c r="B202" s="178" t="s">
        <v>2486</v>
      </c>
      <c r="C202" s="178" t="s">
        <v>20</v>
      </c>
      <c r="D202" s="178" t="s">
        <v>1305</v>
      </c>
      <c r="E202" s="180" t="s">
        <v>2969</v>
      </c>
      <c r="F202" s="178" t="s">
        <v>3673</v>
      </c>
      <c r="G202" s="178" t="s">
        <v>3674</v>
      </c>
      <c r="H202" s="178" t="s">
        <v>2574</v>
      </c>
      <c r="I202" s="178" t="s">
        <v>3676</v>
      </c>
      <c r="J202" s="178" t="s">
        <v>3678</v>
      </c>
      <c r="K202" s="178" t="s">
        <v>2574</v>
      </c>
      <c r="L202" s="192" t="s">
        <v>2532</v>
      </c>
      <c r="M202" s="179" t="s">
        <v>41</v>
      </c>
      <c r="N202" s="178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45"/>
      <c r="Z202" s="45"/>
      <c r="AA202" s="45"/>
      <c r="AB202" s="45"/>
      <c r="AC202" s="45"/>
      <c r="AD202" s="45"/>
      <c r="AE202" s="45"/>
      <c r="AF202" s="45"/>
    </row>
    <row r="203" spans="1:32" ht="14.4">
      <c r="A203" s="178" t="s">
        <v>2100</v>
      </c>
      <c r="B203" s="178" t="s">
        <v>2674</v>
      </c>
      <c r="C203" s="178" t="s">
        <v>20</v>
      </c>
      <c r="D203" s="178" t="s">
        <v>1305</v>
      </c>
      <c r="E203" s="180" t="s">
        <v>2969</v>
      </c>
      <c r="F203" s="178" t="s">
        <v>3690</v>
      </c>
      <c r="G203" s="178" t="s">
        <v>3693</v>
      </c>
      <c r="H203" s="178" t="s">
        <v>2861</v>
      </c>
      <c r="I203" s="178" t="s">
        <v>2138</v>
      </c>
      <c r="J203" s="178" t="s">
        <v>3053</v>
      </c>
      <c r="K203" s="178" t="s">
        <v>2894</v>
      </c>
      <c r="L203" s="178" t="s">
        <v>729</v>
      </c>
      <c r="M203" s="179" t="s">
        <v>1807</v>
      </c>
      <c r="N203" s="179" t="s">
        <v>3697</v>
      </c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45"/>
      <c r="Z203" s="45"/>
      <c r="AA203" s="45"/>
      <c r="AB203" s="45"/>
      <c r="AC203" s="45"/>
      <c r="AD203" s="45"/>
      <c r="AE203" s="45"/>
      <c r="AF203" s="45"/>
    </row>
    <row r="204" spans="1:32" ht="14.4">
      <c r="A204" s="178" t="s">
        <v>2100</v>
      </c>
      <c r="B204" s="178" t="s">
        <v>2674</v>
      </c>
      <c r="C204" s="178" t="s">
        <v>20</v>
      </c>
      <c r="D204" s="178" t="s">
        <v>1305</v>
      </c>
      <c r="E204" s="180" t="s">
        <v>2969</v>
      </c>
      <c r="F204" s="178" t="s">
        <v>3700</v>
      </c>
      <c r="G204" s="178" t="s">
        <v>3702</v>
      </c>
      <c r="H204" s="178" t="s">
        <v>3704</v>
      </c>
      <c r="I204" s="178" t="s">
        <v>933</v>
      </c>
      <c r="J204" s="178" t="s">
        <v>3066</v>
      </c>
      <c r="K204" s="178" t="s">
        <v>3704</v>
      </c>
      <c r="L204" s="178" t="s">
        <v>729</v>
      </c>
      <c r="M204" s="179" t="s">
        <v>41</v>
      </c>
      <c r="N204" s="178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45"/>
      <c r="Z204" s="45"/>
      <c r="AA204" s="45"/>
      <c r="AB204" s="45"/>
      <c r="AC204" s="45"/>
      <c r="AD204" s="45"/>
      <c r="AE204" s="45"/>
      <c r="AF204" s="45"/>
    </row>
    <row r="205" spans="1:32" ht="14.4">
      <c r="A205" s="178" t="s">
        <v>2100</v>
      </c>
      <c r="B205" s="178" t="s">
        <v>2674</v>
      </c>
      <c r="C205" s="178" t="s">
        <v>260</v>
      </c>
      <c r="D205" s="181" t="s">
        <v>1337</v>
      </c>
      <c r="E205" s="180" t="s">
        <v>2969</v>
      </c>
      <c r="F205" s="178" t="s">
        <v>3714</v>
      </c>
      <c r="G205" s="178" t="s">
        <v>1342</v>
      </c>
      <c r="H205" s="178" t="s">
        <v>3716</v>
      </c>
      <c r="I205" s="178" t="s">
        <v>887</v>
      </c>
      <c r="J205" s="178" t="s">
        <v>2909</v>
      </c>
      <c r="K205" s="178" t="s">
        <v>3716</v>
      </c>
      <c r="L205" s="178" t="s">
        <v>3718</v>
      </c>
      <c r="M205" s="179" t="s">
        <v>41</v>
      </c>
      <c r="N205" s="178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45"/>
      <c r="Z205" s="45"/>
      <c r="AA205" s="45"/>
      <c r="AB205" s="45"/>
      <c r="AC205" s="45"/>
      <c r="AD205" s="45"/>
      <c r="AE205" s="45"/>
      <c r="AF205" s="45"/>
    </row>
    <row r="206" spans="1:32" ht="14.4">
      <c r="A206" s="178" t="s">
        <v>2100</v>
      </c>
      <c r="B206" s="178" t="s">
        <v>2674</v>
      </c>
      <c r="C206" s="178" t="s">
        <v>260</v>
      </c>
      <c r="D206" s="181" t="s">
        <v>1337</v>
      </c>
      <c r="E206" s="180" t="s">
        <v>2969</v>
      </c>
      <c r="F206" s="178" t="s">
        <v>3727</v>
      </c>
      <c r="G206" s="178" t="s">
        <v>1342</v>
      </c>
      <c r="H206" s="178" t="s">
        <v>3730</v>
      </c>
      <c r="I206" s="178" t="s">
        <v>887</v>
      </c>
      <c r="J206" s="178" t="s">
        <v>3633</v>
      </c>
      <c r="K206" s="178" t="s">
        <v>3730</v>
      </c>
      <c r="L206" s="178" t="s">
        <v>3733</v>
      </c>
      <c r="M206" s="179" t="s">
        <v>41</v>
      </c>
      <c r="N206" s="178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45"/>
      <c r="Z206" s="45"/>
      <c r="AA206" s="45"/>
      <c r="AB206" s="45"/>
      <c r="AC206" s="45"/>
      <c r="AD206" s="45"/>
      <c r="AE206" s="45"/>
      <c r="AF206" s="45"/>
    </row>
    <row r="207" spans="1:32" ht="14.4">
      <c r="A207" s="178" t="s">
        <v>2100</v>
      </c>
      <c r="B207" s="178" t="s">
        <v>2674</v>
      </c>
      <c r="C207" s="178" t="s">
        <v>260</v>
      </c>
      <c r="D207" s="181" t="s">
        <v>1337</v>
      </c>
      <c r="E207" s="180" t="s">
        <v>2969</v>
      </c>
      <c r="F207" s="178" t="s">
        <v>3741</v>
      </c>
      <c r="G207" s="178" t="s">
        <v>1342</v>
      </c>
      <c r="H207" s="178" t="s">
        <v>3742</v>
      </c>
      <c r="I207" s="178" t="s">
        <v>887</v>
      </c>
      <c r="J207" s="178" t="s">
        <v>3092</v>
      </c>
      <c r="K207" s="178" t="s">
        <v>3742</v>
      </c>
      <c r="L207" s="178" t="s">
        <v>2722</v>
      </c>
      <c r="M207" s="179" t="s">
        <v>41</v>
      </c>
      <c r="N207" s="178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45"/>
      <c r="Z207" s="45"/>
      <c r="AA207" s="45"/>
      <c r="AB207" s="45"/>
      <c r="AC207" s="45"/>
      <c r="AD207" s="45"/>
      <c r="AE207" s="45"/>
      <c r="AF207" s="45"/>
    </row>
    <row r="208" spans="1:32" ht="14.4">
      <c r="A208" s="178" t="s">
        <v>2100</v>
      </c>
      <c r="B208" s="178" t="s">
        <v>2674</v>
      </c>
      <c r="C208" s="178" t="s">
        <v>260</v>
      </c>
      <c r="D208" s="181" t="s">
        <v>1337</v>
      </c>
      <c r="E208" s="180" t="s">
        <v>2969</v>
      </c>
      <c r="F208" s="178" t="s">
        <v>3750</v>
      </c>
      <c r="G208" s="178" t="s">
        <v>1342</v>
      </c>
      <c r="H208" s="178" t="s">
        <v>3751</v>
      </c>
      <c r="I208" s="178" t="s">
        <v>2714</v>
      </c>
      <c r="J208" s="178" t="s">
        <v>3753</v>
      </c>
      <c r="K208" s="178" t="s">
        <v>3751</v>
      </c>
      <c r="L208" s="178" t="s">
        <v>3754</v>
      </c>
      <c r="M208" s="179" t="s">
        <v>41</v>
      </c>
      <c r="N208" s="178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45"/>
      <c r="Z208" s="45"/>
      <c r="AA208" s="45"/>
      <c r="AB208" s="45"/>
      <c r="AC208" s="45"/>
      <c r="AD208" s="45"/>
      <c r="AE208" s="45"/>
      <c r="AF208" s="45"/>
    </row>
    <row r="209" spans="1:32" ht="14.4">
      <c r="A209" s="178" t="s">
        <v>2100</v>
      </c>
      <c r="B209" s="178" t="s">
        <v>2674</v>
      </c>
      <c r="C209" s="178" t="s">
        <v>260</v>
      </c>
      <c r="D209" s="181" t="s">
        <v>1337</v>
      </c>
      <c r="E209" s="180" t="s">
        <v>2969</v>
      </c>
      <c r="F209" s="178" t="s">
        <v>3762</v>
      </c>
      <c r="G209" s="178" t="s">
        <v>1342</v>
      </c>
      <c r="H209" s="178" t="s">
        <v>3765</v>
      </c>
      <c r="I209" s="178" t="s">
        <v>887</v>
      </c>
      <c r="J209" s="178" t="s">
        <v>2928</v>
      </c>
      <c r="K209" s="178" t="s">
        <v>3765</v>
      </c>
      <c r="L209" s="178" t="s">
        <v>3769</v>
      </c>
      <c r="M209" s="179" t="s">
        <v>41</v>
      </c>
      <c r="N209" s="178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45"/>
      <c r="Z209" s="45"/>
      <c r="AA209" s="45"/>
      <c r="AB209" s="45"/>
      <c r="AC209" s="45"/>
      <c r="AD209" s="45"/>
      <c r="AE209" s="45"/>
      <c r="AF209" s="45"/>
    </row>
    <row r="210" spans="1:32" ht="14.4">
      <c r="A210" s="178" t="s">
        <v>2100</v>
      </c>
      <c r="B210" s="178" t="s">
        <v>2674</v>
      </c>
      <c r="C210" s="178" t="s">
        <v>260</v>
      </c>
      <c r="D210" s="181" t="s">
        <v>1337</v>
      </c>
      <c r="E210" s="180" t="s">
        <v>2969</v>
      </c>
      <c r="F210" s="178" t="s">
        <v>3776</v>
      </c>
      <c r="G210" s="178" t="s">
        <v>1342</v>
      </c>
      <c r="H210" s="178" t="s">
        <v>3778</v>
      </c>
      <c r="I210" s="178" t="s">
        <v>887</v>
      </c>
      <c r="J210" s="178" t="s">
        <v>3040</v>
      </c>
      <c r="K210" s="178" t="s">
        <v>3778</v>
      </c>
      <c r="L210" s="178" t="s">
        <v>3244</v>
      </c>
      <c r="M210" s="179" t="s">
        <v>41</v>
      </c>
      <c r="N210" s="178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45"/>
      <c r="Z210" s="45"/>
      <c r="AA210" s="45"/>
      <c r="AB210" s="45"/>
      <c r="AC210" s="45"/>
      <c r="AD210" s="45"/>
      <c r="AE210" s="45"/>
      <c r="AF210" s="45"/>
    </row>
    <row r="211" spans="1:32" ht="14.4">
      <c r="A211" s="178" t="s">
        <v>2100</v>
      </c>
      <c r="B211" s="178" t="s">
        <v>2674</v>
      </c>
      <c r="C211" s="178" t="s">
        <v>260</v>
      </c>
      <c r="D211" s="181" t="s">
        <v>1337</v>
      </c>
      <c r="E211" s="180" t="s">
        <v>2969</v>
      </c>
      <c r="F211" s="178" t="s">
        <v>3786</v>
      </c>
      <c r="G211" s="178" t="s">
        <v>1342</v>
      </c>
      <c r="H211" s="178" t="s">
        <v>3788</v>
      </c>
      <c r="I211" s="178" t="s">
        <v>887</v>
      </c>
      <c r="J211" s="178" t="s">
        <v>2934</v>
      </c>
      <c r="K211" s="178" t="s">
        <v>3788</v>
      </c>
      <c r="L211" s="178" t="s">
        <v>3789</v>
      </c>
      <c r="M211" s="179" t="s">
        <v>41</v>
      </c>
      <c r="N211" s="178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45"/>
      <c r="Z211" s="45"/>
      <c r="AA211" s="45"/>
      <c r="AB211" s="45"/>
      <c r="AC211" s="45"/>
      <c r="AD211" s="45"/>
      <c r="AE211" s="45"/>
      <c r="AF211" s="45"/>
    </row>
    <row r="212" spans="1:32" ht="14.4">
      <c r="A212" s="178" t="s">
        <v>2100</v>
      </c>
      <c r="B212" s="178" t="s">
        <v>2674</v>
      </c>
      <c r="C212" s="178" t="s">
        <v>260</v>
      </c>
      <c r="D212" s="181" t="s">
        <v>1337</v>
      </c>
      <c r="E212" s="180" t="s">
        <v>2969</v>
      </c>
      <c r="F212" s="178" t="s">
        <v>3795</v>
      </c>
      <c r="G212" s="178" t="s">
        <v>1342</v>
      </c>
      <c r="H212" s="178" t="s">
        <v>2789</v>
      </c>
      <c r="I212" s="178" t="s">
        <v>130</v>
      </c>
      <c r="J212" s="178" t="s">
        <v>3799</v>
      </c>
      <c r="K212" s="178" t="s">
        <v>2789</v>
      </c>
      <c r="L212" s="178" t="s">
        <v>729</v>
      </c>
      <c r="M212" s="179" t="s">
        <v>41</v>
      </c>
      <c r="N212" s="178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45"/>
      <c r="Z212" s="45"/>
      <c r="AA212" s="45"/>
      <c r="AB212" s="45"/>
      <c r="AC212" s="45"/>
      <c r="AD212" s="45"/>
      <c r="AE212" s="45"/>
      <c r="AF212" s="45"/>
    </row>
    <row r="213" spans="1:32" ht="14.4">
      <c r="A213" s="178" t="s">
        <v>2100</v>
      </c>
      <c r="B213" s="178" t="s">
        <v>2674</v>
      </c>
      <c r="C213" s="178" t="s">
        <v>260</v>
      </c>
      <c r="D213" s="181" t="s">
        <v>1337</v>
      </c>
      <c r="E213" s="180" t="s">
        <v>2969</v>
      </c>
      <c r="F213" s="178" t="s">
        <v>3807</v>
      </c>
      <c r="G213" s="178" t="s">
        <v>1342</v>
      </c>
      <c r="H213" s="178" t="s">
        <v>3809</v>
      </c>
      <c r="I213" s="178" t="s">
        <v>2714</v>
      </c>
      <c r="J213" s="178" t="s">
        <v>2939</v>
      </c>
      <c r="K213" s="178" t="s">
        <v>3809</v>
      </c>
      <c r="L213" s="178" t="s">
        <v>3813</v>
      </c>
      <c r="M213" s="179" t="s">
        <v>41</v>
      </c>
      <c r="N213" s="178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45"/>
      <c r="Z213" s="45"/>
      <c r="AA213" s="45"/>
      <c r="AB213" s="45"/>
      <c r="AC213" s="45"/>
      <c r="AD213" s="45"/>
      <c r="AE213" s="45"/>
      <c r="AF213" s="45"/>
    </row>
    <row r="214" spans="1:32" ht="14.4">
      <c r="A214" s="178" t="s">
        <v>2100</v>
      </c>
      <c r="B214" s="178" t="s">
        <v>2674</v>
      </c>
      <c r="C214" s="178" t="s">
        <v>260</v>
      </c>
      <c r="D214" s="181" t="s">
        <v>1337</v>
      </c>
      <c r="E214" s="180" t="s">
        <v>2969</v>
      </c>
      <c r="F214" s="178" t="s">
        <v>3821</v>
      </c>
      <c r="G214" s="178" t="s">
        <v>1342</v>
      </c>
      <c r="H214" s="178" t="s">
        <v>3823</v>
      </c>
      <c r="I214" s="178" t="s">
        <v>887</v>
      </c>
      <c r="J214" s="178" t="s">
        <v>2920</v>
      </c>
      <c r="K214" s="178" t="s">
        <v>3823</v>
      </c>
      <c r="L214" s="178" t="s">
        <v>3824</v>
      </c>
      <c r="M214" s="179" t="s">
        <v>41</v>
      </c>
      <c r="N214" s="178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45"/>
      <c r="Z214" s="45"/>
      <c r="AA214" s="45"/>
      <c r="AB214" s="45"/>
      <c r="AC214" s="45"/>
      <c r="AD214" s="45"/>
      <c r="AE214" s="45"/>
      <c r="AF214" s="45"/>
    </row>
    <row r="215" spans="1:32" ht="14.4">
      <c r="A215" s="178" t="s">
        <v>2100</v>
      </c>
      <c r="B215" s="178" t="s">
        <v>2674</v>
      </c>
      <c r="C215" s="178" t="s">
        <v>260</v>
      </c>
      <c r="D215" s="181" t="s">
        <v>1337</v>
      </c>
      <c r="E215" s="180" t="s">
        <v>2969</v>
      </c>
      <c r="F215" s="178" t="s">
        <v>3831</v>
      </c>
      <c r="G215" s="178" t="s">
        <v>1342</v>
      </c>
      <c r="H215" s="178" t="s">
        <v>3832</v>
      </c>
      <c r="I215" s="178" t="s">
        <v>2768</v>
      </c>
      <c r="J215" s="178" t="s">
        <v>3641</v>
      </c>
      <c r="K215" s="178" t="s">
        <v>3832</v>
      </c>
      <c r="L215" s="178" t="s">
        <v>3836</v>
      </c>
      <c r="M215" s="179" t="s">
        <v>41</v>
      </c>
      <c r="N215" s="178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45"/>
      <c r="Z215" s="45"/>
      <c r="AA215" s="45"/>
      <c r="AB215" s="45"/>
      <c r="AC215" s="45"/>
      <c r="AD215" s="45"/>
      <c r="AE215" s="45"/>
      <c r="AF215" s="45"/>
    </row>
    <row r="216" spans="1:32" ht="14.4">
      <c r="A216" s="178" t="s">
        <v>2100</v>
      </c>
      <c r="B216" s="178" t="s">
        <v>2674</v>
      </c>
      <c r="C216" s="178" t="s">
        <v>260</v>
      </c>
      <c r="D216" s="181" t="s">
        <v>1337</v>
      </c>
      <c r="E216" s="180" t="s">
        <v>2969</v>
      </c>
      <c r="F216" s="178" t="s">
        <v>3844</v>
      </c>
      <c r="G216" s="178" t="s">
        <v>1342</v>
      </c>
      <c r="H216" s="178" t="s">
        <v>3845</v>
      </c>
      <c r="I216" s="178" t="s">
        <v>887</v>
      </c>
      <c r="J216" s="178" t="s">
        <v>2893</v>
      </c>
      <c r="K216" s="178" t="s">
        <v>3845</v>
      </c>
      <c r="L216" s="178" t="s">
        <v>2734</v>
      </c>
      <c r="M216" s="179" t="s">
        <v>41</v>
      </c>
      <c r="N216" s="178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45"/>
      <c r="Z216" s="45"/>
      <c r="AA216" s="45"/>
      <c r="AB216" s="45"/>
      <c r="AC216" s="45"/>
      <c r="AD216" s="45"/>
      <c r="AE216" s="45"/>
      <c r="AF216" s="45"/>
    </row>
    <row r="217" spans="1:32" ht="14.4">
      <c r="A217" s="178" t="s">
        <v>2100</v>
      </c>
      <c r="B217" s="178" t="s">
        <v>2674</v>
      </c>
      <c r="C217" s="178" t="s">
        <v>260</v>
      </c>
      <c r="D217" s="181" t="s">
        <v>1337</v>
      </c>
      <c r="E217" s="180" t="s">
        <v>2969</v>
      </c>
      <c r="F217" s="178" t="s">
        <v>3858</v>
      </c>
      <c r="G217" s="178" t="s">
        <v>1342</v>
      </c>
      <c r="H217" s="178" t="s">
        <v>3860</v>
      </c>
      <c r="I217" s="178" t="s">
        <v>887</v>
      </c>
      <c r="J217" s="178" t="s">
        <v>2939</v>
      </c>
      <c r="K217" s="178" t="s">
        <v>3860</v>
      </c>
      <c r="L217" s="178" t="s">
        <v>3861</v>
      </c>
      <c r="M217" s="179" t="s">
        <v>41</v>
      </c>
      <c r="N217" s="178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45"/>
      <c r="Z217" s="45"/>
      <c r="AA217" s="45"/>
      <c r="AB217" s="45"/>
      <c r="AC217" s="45"/>
      <c r="AD217" s="45"/>
      <c r="AE217" s="45"/>
      <c r="AF217" s="45"/>
    </row>
    <row r="218" spans="1:32" ht="14.4">
      <c r="A218" s="178" t="s">
        <v>2100</v>
      </c>
      <c r="B218" s="178" t="s">
        <v>2674</v>
      </c>
      <c r="C218" s="178" t="s">
        <v>260</v>
      </c>
      <c r="D218" s="181" t="s">
        <v>1337</v>
      </c>
      <c r="E218" s="180" t="s">
        <v>2969</v>
      </c>
      <c r="F218" s="178" t="s">
        <v>3870</v>
      </c>
      <c r="G218" s="178" t="s">
        <v>1342</v>
      </c>
      <c r="H218" s="178" t="s">
        <v>3872</v>
      </c>
      <c r="I218" s="178" t="s">
        <v>887</v>
      </c>
      <c r="J218" s="178" t="s">
        <v>2903</v>
      </c>
      <c r="K218" s="178" t="s">
        <v>3872</v>
      </c>
      <c r="L218" s="178" t="s">
        <v>3874</v>
      </c>
      <c r="M218" s="179" t="s">
        <v>41</v>
      </c>
      <c r="N218" s="178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45"/>
      <c r="Z218" s="45"/>
      <c r="AA218" s="45"/>
      <c r="AB218" s="45"/>
      <c r="AC218" s="45"/>
      <c r="AD218" s="45"/>
      <c r="AE218" s="45"/>
      <c r="AF218" s="45"/>
    </row>
    <row r="219" spans="1:32" ht="14.4">
      <c r="A219" s="178" t="s">
        <v>2100</v>
      </c>
      <c r="B219" s="178" t="s">
        <v>2674</v>
      </c>
      <c r="C219" s="178" t="s">
        <v>260</v>
      </c>
      <c r="D219" s="181" t="s">
        <v>1337</v>
      </c>
      <c r="E219" s="180" t="s">
        <v>2969</v>
      </c>
      <c r="F219" s="178" t="s">
        <v>3879</v>
      </c>
      <c r="G219" s="178" t="s">
        <v>1342</v>
      </c>
      <c r="H219" s="178" t="s">
        <v>2739</v>
      </c>
      <c r="I219" s="178" t="s">
        <v>2714</v>
      </c>
      <c r="J219" s="178" t="s">
        <v>3882</v>
      </c>
      <c r="K219" s="178" t="s">
        <v>2739</v>
      </c>
      <c r="L219" s="178" t="s">
        <v>3885</v>
      </c>
      <c r="M219" s="179" t="s">
        <v>41</v>
      </c>
      <c r="N219" s="178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45"/>
      <c r="Z219" s="45"/>
      <c r="AA219" s="45"/>
      <c r="AB219" s="45"/>
      <c r="AC219" s="45"/>
      <c r="AD219" s="45"/>
      <c r="AE219" s="45"/>
      <c r="AF219" s="45"/>
    </row>
    <row r="220" spans="1:32" ht="14.4">
      <c r="A220" s="178" t="s">
        <v>2100</v>
      </c>
      <c r="B220" s="178" t="s">
        <v>2674</v>
      </c>
      <c r="C220" s="178" t="s">
        <v>260</v>
      </c>
      <c r="D220" s="181" t="s">
        <v>1337</v>
      </c>
      <c r="E220" s="180" t="s">
        <v>2969</v>
      </c>
      <c r="F220" s="178" t="s">
        <v>3893</v>
      </c>
      <c r="G220" s="178" t="s">
        <v>1342</v>
      </c>
      <c r="H220" s="178" t="s">
        <v>3895</v>
      </c>
      <c r="I220" s="178" t="s">
        <v>2714</v>
      </c>
      <c r="J220" s="178" t="s">
        <v>3013</v>
      </c>
      <c r="K220" s="178" t="s">
        <v>3895</v>
      </c>
      <c r="L220" s="178" t="s">
        <v>3813</v>
      </c>
      <c r="M220" s="179" t="s">
        <v>41</v>
      </c>
      <c r="N220" s="178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45"/>
      <c r="Z220" s="45"/>
      <c r="AA220" s="45"/>
      <c r="AB220" s="45"/>
      <c r="AC220" s="45"/>
      <c r="AD220" s="45"/>
      <c r="AE220" s="45"/>
      <c r="AF220" s="45"/>
    </row>
    <row r="221" spans="1:32" ht="14.4">
      <c r="A221" s="178" t="s">
        <v>2100</v>
      </c>
      <c r="B221" s="178" t="s">
        <v>2674</v>
      </c>
      <c r="C221" s="178" t="s">
        <v>260</v>
      </c>
      <c r="D221" s="181" t="s">
        <v>1337</v>
      </c>
      <c r="E221" s="180" t="s">
        <v>2969</v>
      </c>
      <c r="F221" s="178" t="s">
        <v>3903</v>
      </c>
      <c r="G221" s="178" t="s">
        <v>1342</v>
      </c>
      <c r="H221" s="178" t="s">
        <v>3905</v>
      </c>
      <c r="I221" s="178" t="s">
        <v>3906</v>
      </c>
      <c r="J221" s="178" t="s">
        <v>2915</v>
      </c>
      <c r="K221" s="178" t="s">
        <v>3905</v>
      </c>
      <c r="L221" s="178" t="s">
        <v>2764</v>
      </c>
      <c r="M221" s="179" t="s">
        <v>41</v>
      </c>
      <c r="N221" s="178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45"/>
      <c r="Z221" s="45"/>
      <c r="AA221" s="45"/>
      <c r="AB221" s="45"/>
      <c r="AC221" s="45"/>
      <c r="AD221" s="45"/>
      <c r="AE221" s="45"/>
      <c r="AF221" s="45"/>
    </row>
    <row r="222" spans="1:32" ht="14.4">
      <c r="A222" s="178" t="s">
        <v>2100</v>
      </c>
      <c r="B222" s="178" t="s">
        <v>2674</v>
      </c>
      <c r="C222" s="178" t="s">
        <v>260</v>
      </c>
      <c r="D222" s="181" t="s">
        <v>1337</v>
      </c>
      <c r="E222" s="180" t="s">
        <v>2969</v>
      </c>
      <c r="F222" s="178" t="s">
        <v>3910</v>
      </c>
      <c r="G222" s="178" t="s">
        <v>1342</v>
      </c>
      <c r="H222" s="178" t="s">
        <v>3911</v>
      </c>
      <c r="I222" s="178" t="s">
        <v>887</v>
      </c>
      <c r="J222" s="178" t="s">
        <v>3912</v>
      </c>
      <c r="K222" s="178" t="s">
        <v>3911</v>
      </c>
      <c r="L222" s="178" t="s">
        <v>3861</v>
      </c>
      <c r="M222" s="179" t="s">
        <v>41</v>
      </c>
      <c r="N222" s="178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45"/>
      <c r="Z222" s="45"/>
      <c r="AA222" s="45"/>
      <c r="AB222" s="45"/>
      <c r="AC222" s="45"/>
      <c r="AD222" s="45"/>
      <c r="AE222" s="45"/>
      <c r="AF222" s="45"/>
    </row>
    <row r="223" spans="1:32" ht="14.4">
      <c r="A223" s="178" t="s">
        <v>2100</v>
      </c>
      <c r="B223" s="178" t="s">
        <v>2674</v>
      </c>
      <c r="C223" s="178" t="s">
        <v>260</v>
      </c>
      <c r="D223" s="181" t="s">
        <v>1337</v>
      </c>
      <c r="E223" s="180" t="s">
        <v>2969</v>
      </c>
      <c r="F223" s="178" t="s">
        <v>3915</v>
      </c>
      <c r="G223" s="178" t="s">
        <v>1342</v>
      </c>
      <c r="H223" s="178" t="s">
        <v>3916</v>
      </c>
      <c r="I223" s="178" t="s">
        <v>2714</v>
      </c>
      <c r="J223" s="178" t="s">
        <v>3917</v>
      </c>
      <c r="K223" s="178" t="s">
        <v>3916</v>
      </c>
      <c r="L223" s="178" t="s">
        <v>3918</v>
      </c>
      <c r="M223" s="179" t="s">
        <v>41</v>
      </c>
      <c r="N223" s="178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45"/>
      <c r="Z223" s="45"/>
      <c r="AA223" s="45"/>
      <c r="AB223" s="45"/>
      <c r="AC223" s="45"/>
      <c r="AD223" s="45"/>
      <c r="AE223" s="45"/>
      <c r="AF223" s="45"/>
    </row>
    <row r="224" spans="1:32" ht="14.4">
      <c r="A224" s="178" t="s">
        <v>2100</v>
      </c>
      <c r="B224" s="178" t="s">
        <v>2674</v>
      </c>
      <c r="C224" s="178" t="s">
        <v>260</v>
      </c>
      <c r="D224" s="181" t="s">
        <v>1337</v>
      </c>
      <c r="E224" s="180" t="s">
        <v>2969</v>
      </c>
      <c r="F224" s="178" t="s">
        <v>3925</v>
      </c>
      <c r="G224" s="178" t="s">
        <v>1342</v>
      </c>
      <c r="H224" s="178" t="s">
        <v>3927</v>
      </c>
      <c r="I224" s="178" t="s">
        <v>2714</v>
      </c>
      <c r="J224" s="178" t="s">
        <v>2945</v>
      </c>
      <c r="K224" s="178" t="s">
        <v>3927</v>
      </c>
      <c r="L224" s="178" t="s">
        <v>729</v>
      </c>
      <c r="M224" s="179" t="s">
        <v>41</v>
      </c>
      <c r="N224" s="178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45"/>
      <c r="Z224" s="45"/>
      <c r="AA224" s="45"/>
      <c r="AB224" s="45"/>
      <c r="AC224" s="45"/>
      <c r="AD224" s="45"/>
      <c r="AE224" s="45"/>
      <c r="AF224" s="45"/>
    </row>
    <row r="225" spans="1:32" ht="14.4">
      <c r="A225" s="178" t="s">
        <v>2100</v>
      </c>
      <c r="B225" s="178" t="s">
        <v>2674</v>
      </c>
      <c r="C225" s="178" t="s">
        <v>260</v>
      </c>
      <c r="D225" s="181" t="s">
        <v>1337</v>
      </c>
      <c r="E225" s="180" t="s">
        <v>2969</v>
      </c>
      <c r="F225" s="178" t="s">
        <v>3930</v>
      </c>
      <c r="G225" s="178" t="s">
        <v>1342</v>
      </c>
      <c r="H225" s="178" t="s">
        <v>2789</v>
      </c>
      <c r="I225" s="178" t="s">
        <v>130</v>
      </c>
      <c r="J225" s="178" t="s">
        <v>3933</v>
      </c>
      <c r="K225" s="178" t="s">
        <v>2789</v>
      </c>
      <c r="L225" s="178" t="s">
        <v>729</v>
      </c>
      <c r="M225" s="179" t="s">
        <v>41</v>
      </c>
      <c r="N225" s="178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45"/>
      <c r="Z225" s="45"/>
      <c r="AA225" s="45"/>
      <c r="AB225" s="45"/>
      <c r="AC225" s="45"/>
      <c r="AD225" s="45"/>
      <c r="AE225" s="45"/>
      <c r="AF225" s="45"/>
    </row>
    <row r="226" spans="1:32" ht="14.4">
      <c r="A226" s="178" t="s">
        <v>2100</v>
      </c>
      <c r="B226" s="178" t="s">
        <v>2674</v>
      </c>
      <c r="C226" s="178" t="s">
        <v>260</v>
      </c>
      <c r="D226" s="181" t="s">
        <v>1337</v>
      </c>
      <c r="E226" s="180" t="s">
        <v>2969</v>
      </c>
      <c r="F226" s="178" t="s">
        <v>3937</v>
      </c>
      <c r="G226" s="178" t="s">
        <v>1342</v>
      </c>
      <c r="H226" s="178" t="s">
        <v>3938</v>
      </c>
      <c r="I226" s="178" t="s">
        <v>2714</v>
      </c>
      <c r="J226" s="178" t="s">
        <v>3939</v>
      </c>
      <c r="K226" s="178" t="s">
        <v>3938</v>
      </c>
      <c r="L226" s="178" t="s">
        <v>3941</v>
      </c>
      <c r="M226" s="179" t="s">
        <v>41</v>
      </c>
      <c r="N226" s="178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45"/>
      <c r="Z226" s="45"/>
      <c r="AA226" s="45"/>
      <c r="AB226" s="45"/>
      <c r="AC226" s="45"/>
      <c r="AD226" s="45"/>
      <c r="AE226" s="45"/>
      <c r="AF226" s="45"/>
    </row>
    <row r="227" spans="1:32" ht="14.4">
      <c r="A227" s="178" t="s">
        <v>2100</v>
      </c>
      <c r="B227" s="178" t="s">
        <v>2674</v>
      </c>
      <c r="C227" s="178" t="s">
        <v>260</v>
      </c>
      <c r="D227" s="181" t="s">
        <v>1337</v>
      </c>
      <c r="E227" s="180" t="s">
        <v>2969</v>
      </c>
      <c r="F227" s="178" t="s">
        <v>3944</v>
      </c>
      <c r="G227" s="178" t="s">
        <v>1342</v>
      </c>
      <c r="H227" s="178" t="s">
        <v>2702</v>
      </c>
      <c r="I227" s="178" t="s">
        <v>887</v>
      </c>
      <c r="J227" s="178" t="s">
        <v>2955</v>
      </c>
      <c r="K227" s="178" t="s">
        <v>2702</v>
      </c>
      <c r="L227" s="178" t="s">
        <v>3948</v>
      </c>
      <c r="M227" s="179" t="s">
        <v>41</v>
      </c>
      <c r="N227" s="178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45"/>
      <c r="Z227" s="45"/>
      <c r="AA227" s="45"/>
      <c r="AB227" s="45"/>
      <c r="AC227" s="45"/>
      <c r="AD227" s="45"/>
      <c r="AE227" s="45"/>
      <c r="AF227" s="45"/>
    </row>
    <row r="228" spans="1:32" ht="14.4">
      <c r="A228" s="178" t="s">
        <v>2100</v>
      </c>
      <c r="B228" s="178" t="s">
        <v>2674</v>
      </c>
      <c r="C228" s="178" t="s">
        <v>260</v>
      </c>
      <c r="D228" s="181" t="s">
        <v>1337</v>
      </c>
      <c r="E228" s="180" t="s">
        <v>2969</v>
      </c>
      <c r="F228" s="178" t="s">
        <v>3952</v>
      </c>
      <c r="G228" s="178" t="s">
        <v>1342</v>
      </c>
      <c r="H228" s="178" t="s">
        <v>2745</v>
      </c>
      <c r="I228" s="178" t="s">
        <v>887</v>
      </c>
      <c r="J228" s="178" t="s">
        <v>2951</v>
      </c>
      <c r="K228" s="178" t="s">
        <v>2745</v>
      </c>
      <c r="L228" s="178" t="s">
        <v>3256</v>
      </c>
      <c r="M228" s="179" t="s">
        <v>41</v>
      </c>
      <c r="N228" s="178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45"/>
      <c r="Z228" s="45"/>
      <c r="AA228" s="45"/>
      <c r="AB228" s="45"/>
      <c r="AC228" s="45"/>
      <c r="AD228" s="45"/>
      <c r="AE228" s="45"/>
      <c r="AF228" s="45"/>
    </row>
    <row r="229" spans="1:32" ht="14.4">
      <c r="A229" s="178" t="s">
        <v>2100</v>
      </c>
      <c r="B229" s="178" t="s">
        <v>2674</v>
      </c>
      <c r="C229" s="178" t="s">
        <v>260</v>
      </c>
      <c r="D229" s="181" t="s">
        <v>1337</v>
      </c>
      <c r="E229" s="180" t="s">
        <v>2969</v>
      </c>
      <c r="F229" s="178" t="s">
        <v>3959</v>
      </c>
      <c r="G229" s="178" t="s">
        <v>1342</v>
      </c>
      <c r="H229" s="178" t="s">
        <v>2789</v>
      </c>
      <c r="I229" s="178" t="s">
        <v>130</v>
      </c>
      <c r="J229" s="178" t="s">
        <v>3961</v>
      </c>
      <c r="K229" s="178" t="s">
        <v>2789</v>
      </c>
      <c r="L229" s="178" t="s">
        <v>729</v>
      </c>
      <c r="M229" s="179" t="s">
        <v>41</v>
      </c>
      <c r="N229" s="178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45"/>
      <c r="Z229" s="45"/>
      <c r="AA229" s="45"/>
      <c r="AB229" s="45"/>
      <c r="AC229" s="45"/>
      <c r="AD229" s="45"/>
      <c r="AE229" s="45"/>
      <c r="AF229" s="45"/>
    </row>
    <row r="230" spans="1:32" ht="14.4">
      <c r="A230" s="178" t="s">
        <v>2100</v>
      </c>
      <c r="B230" s="178" t="s">
        <v>2674</v>
      </c>
      <c r="C230" s="178" t="s">
        <v>260</v>
      </c>
      <c r="D230" s="181" t="s">
        <v>1337</v>
      </c>
      <c r="E230" s="180" t="s">
        <v>2969</v>
      </c>
      <c r="F230" s="178" t="s">
        <v>3968</v>
      </c>
      <c r="G230" s="178" t="s">
        <v>1342</v>
      </c>
      <c r="H230" s="178" t="s">
        <v>2789</v>
      </c>
      <c r="I230" s="178" t="s">
        <v>130</v>
      </c>
      <c r="J230" s="178" t="s">
        <v>3970</v>
      </c>
      <c r="K230" s="178" t="s">
        <v>2789</v>
      </c>
      <c r="L230" s="178" t="s">
        <v>729</v>
      </c>
      <c r="M230" s="179" t="s">
        <v>41</v>
      </c>
      <c r="N230" s="178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45"/>
      <c r="Z230" s="45"/>
      <c r="AA230" s="45"/>
      <c r="AB230" s="45"/>
      <c r="AC230" s="45"/>
      <c r="AD230" s="45"/>
      <c r="AE230" s="45"/>
      <c r="AF230" s="45"/>
    </row>
    <row r="231" spans="1:32" ht="14.4">
      <c r="A231" s="178" t="s">
        <v>2100</v>
      </c>
      <c r="B231" s="178" t="s">
        <v>2674</v>
      </c>
      <c r="C231" s="178" t="s">
        <v>260</v>
      </c>
      <c r="D231" s="181" t="s">
        <v>1337</v>
      </c>
      <c r="E231" s="180" t="s">
        <v>2969</v>
      </c>
      <c r="F231" s="178" t="s">
        <v>3975</v>
      </c>
      <c r="G231" s="178" t="s">
        <v>1342</v>
      </c>
      <c r="H231" s="178" t="s">
        <v>2789</v>
      </c>
      <c r="I231" s="178" t="s">
        <v>130</v>
      </c>
      <c r="J231" s="178" t="s">
        <v>2893</v>
      </c>
      <c r="K231" s="178" t="s">
        <v>2789</v>
      </c>
      <c r="L231" s="178" t="s">
        <v>729</v>
      </c>
      <c r="M231" s="179" t="s">
        <v>41</v>
      </c>
      <c r="N231" s="178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45"/>
      <c r="Z231" s="45"/>
      <c r="AA231" s="45"/>
      <c r="AB231" s="45"/>
      <c r="AC231" s="45"/>
      <c r="AD231" s="45"/>
      <c r="AE231" s="45"/>
      <c r="AF231" s="45"/>
    </row>
    <row r="232" spans="1:32" ht="14.4">
      <c r="A232" s="178" t="s">
        <v>2100</v>
      </c>
      <c r="B232" s="178" t="s">
        <v>2887</v>
      </c>
      <c r="C232" s="181" t="s">
        <v>260</v>
      </c>
      <c r="D232" s="181" t="s">
        <v>1337</v>
      </c>
      <c r="E232" s="180" t="s">
        <v>2969</v>
      </c>
      <c r="F232" s="178" t="s">
        <v>3980</v>
      </c>
      <c r="G232" s="178" t="s">
        <v>1342</v>
      </c>
      <c r="H232" s="178" t="s">
        <v>3981</v>
      </c>
      <c r="I232" s="178" t="s">
        <v>887</v>
      </c>
      <c r="J232" s="178" t="s">
        <v>3985</v>
      </c>
      <c r="K232" s="178" t="s">
        <v>3981</v>
      </c>
      <c r="L232" s="178" t="s">
        <v>2403</v>
      </c>
      <c r="M232" s="179" t="s">
        <v>41</v>
      </c>
      <c r="N232" s="178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45"/>
      <c r="Z232" s="45"/>
      <c r="AA232" s="45"/>
      <c r="AB232" s="45"/>
      <c r="AC232" s="45"/>
      <c r="AD232" s="45"/>
      <c r="AE232" s="45"/>
      <c r="AF232" s="45"/>
    </row>
    <row r="233" spans="1:32" ht="14.4">
      <c r="A233" s="178" t="s">
        <v>2100</v>
      </c>
      <c r="B233" s="178" t="s">
        <v>2887</v>
      </c>
      <c r="C233" s="181" t="s">
        <v>260</v>
      </c>
      <c r="D233" s="181" t="s">
        <v>1337</v>
      </c>
      <c r="E233" s="180" t="s">
        <v>2969</v>
      </c>
      <c r="F233" s="178" t="s">
        <v>3988</v>
      </c>
      <c r="G233" s="178" t="s">
        <v>1342</v>
      </c>
      <c r="H233" s="178" t="s">
        <v>3989</v>
      </c>
      <c r="I233" s="178" t="s">
        <v>2714</v>
      </c>
      <c r="J233" s="178" t="s">
        <v>3992</v>
      </c>
      <c r="K233" s="178" t="s">
        <v>3989</v>
      </c>
      <c r="L233" s="178" t="s">
        <v>2403</v>
      </c>
      <c r="M233" s="179" t="s">
        <v>41</v>
      </c>
      <c r="N233" s="178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45"/>
      <c r="Z233" s="45"/>
      <c r="AA233" s="45"/>
      <c r="AB233" s="45"/>
      <c r="AC233" s="45"/>
      <c r="AD233" s="45"/>
      <c r="AE233" s="45"/>
      <c r="AF233" s="45"/>
    </row>
    <row r="234" spans="1:32" ht="14.4">
      <c r="A234" s="178" t="s">
        <v>2100</v>
      </c>
      <c r="B234" s="178" t="s">
        <v>2887</v>
      </c>
      <c r="C234" s="181" t="s">
        <v>260</v>
      </c>
      <c r="D234" s="181" t="s">
        <v>1337</v>
      </c>
      <c r="E234" s="180" t="s">
        <v>2969</v>
      </c>
      <c r="F234" s="178" t="s">
        <v>3997</v>
      </c>
      <c r="G234" s="178" t="s">
        <v>1342</v>
      </c>
      <c r="H234" s="178" t="s">
        <v>3999</v>
      </c>
      <c r="I234" s="178" t="s">
        <v>2714</v>
      </c>
      <c r="J234" s="178" t="s">
        <v>4001</v>
      </c>
      <c r="K234" s="178" t="s">
        <v>3999</v>
      </c>
      <c r="L234" s="178" t="s">
        <v>2403</v>
      </c>
      <c r="M234" s="179" t="s">
        <v>41</v>
      </c>
      <c r="N234" s="178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45"/>
      <c r="Z234" s="45"/>
      <c r="AA234" s="45"/>
      <c r="AB234" s="45"/>
      <c r="AC234" s="45"/>
      <c r="AD234" s="45"/>
      <c r="AE234" s="45"/>
      <c r="AF234" s="45"/>
    </row>
    <row r="235" spans="1:32" ht="14.4">
      <c r="A235" s="178" t="s">
        <v>2100</v>
      </c>
      <c r="B235" s="178" t="s">
        <v>2887</v>
      </c>
      <c r="C235" s="181" t="s">
        <v>260</v>
      </c>
      <c r="D235" s="181" t="s">
        <v>1337</v>
      </c>
      <c r="E235" s="180" t="s">
        <v>2969</v>
      </c>
      <c r="F235" s="178" t="s">
        <v>4002</v>
      </c>
      <c r="G235" s="178" t="s">
        <v>1342</v>
      </c>
      <c r="H235" s="178" t="s">
        <v>3149</v>
      </c>
      <c r="I235" s="178" t="s">
        <v>3151</v>
      </c>
      <c r="J235" s="178" t="s">
        <v>4006</v>
      </c>
      <c r="K235" s="178" t="s">
        <v>3149</v>
      </c>
      <c r="L235" s="178" t="s">
        <v>2444</v>
      </c>
      <c r="M235" s="179" t="s">
        <v>41</v>
      </c>
      <c r="N235" s="178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45"/>
      <c r="Z235" s="45"/>
      <c r="AA235" s="45"/>
      <c r="AB235" s="45"/>
      <c r="AC235" s="45"/>
      <c r="AD235" s="45"/>
      <c r="AE235" s="45"/>
      <c r="AF235" s="45"/>
    </row>
    <row r="236" spans="1:32" ht="14.4">
      <c r="A236" s="178" t="s">
        <v>2100</v>
      </c>
      <c r="B236" s="178" t="s">
        <v>2887</v>
      </c>
      <c r="C236" s="181" t="s">
        <v>260</v>
      </c>
      <c r="D236" s="181" t="s">
        <v>1337</v>
      </c>
      <c r="E236" s="180" t="s">
        <v>2969</v>
      </c>
      <c r="F236" s="178" t="s">
        <v>4011</v>
      </c>
      <c r="G236" s="178" t="s">
        <v>1342</v>
      </c>
      <c r="H236" s="178" t="s">
        <v>4013</v>
      </c>
      <c r="I236" s="178" t="s">
        <v>4015</v>
      </c>
      <c r="J236" s="178" t="s">
        <v>4016</v>
      </c>
      <c r="K236" s="178" t="s">
        <v>4013</v>
      </c>
      <c r="L236" s="178" t="s">
        <v>2444</v>
      </c>
      <c r="M236" s="179" t="s">
        <v>41</v>
      </c>
      <c r="N236" s="178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45"/>
      <c r="Z236" s="45"/>
      <c r="AA236" s="45"/>
      <c r="AB236" s="45"/>
      <c r="AC236" s="45"/>
      <c r="AD236" s="45"/>
      <c r="AE236" s="45"/>
      <c r="AF236" s="45"/>
    </row>
    <row r="237" spans="1:32" ht="14.4">
      <c r="A237" s="178" t="s">
        <v>2100</v>
      </c>
      <c r="B237" s="178" t="s">
        <v>2887</v>
      </c>
      <c r="C237" s="181" t="s">
        <v>260</v>
      </c>
      <c r="D237" s="181" t="s">
        <v>1337</v>
      </c>
      <c r="E237" s="180" t="s">
        <v>2969</v>
      </c>
      <c r="F237" s="178" t="s">
        <v>4021</v>
      </c>
      <c r="G237" s="178" t="s">
        <v>1342</v>
      </c>
      <c r="H237" s="178" t="s">
        <v>3064</v>
      </c>
      <c r="I237" s="178" t="s">
        <v>3065</v>
      </c>
      <c r="J237" s="178" t="s">
        <v>4023</v>
      </c>
      <c r="K237" s="178" t="s">
        <v>3064</v>
      </c>
      <c r="L237" s="178" t="s">
        <v>2444</v>
      </c>
      <c r="M237" s="179" t="s">
        <v>41</v>
      </c>
      <c r="N237" s="178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45"/>
      <c r="Z237" s="45"/>
      <c r="AA237" s="45"/>
      <c r="AB237" s="45"/>
      <c r="AC237" s="45"/>
      <c r="AD237" s="45"/>
      <c r="AE237" s="45"/>
      <c r="AF237" s="45"/>
    </row>
    <row r="238" spans="1:32" ht="14.4">
      <c r="A238" s="178" t="s">
        <v>2100</v>
      </c>
      <c r="B238" s="178" t="s">
        <v>2887</v>
      </c>
      <c r="C238" s="181" t="s">
        <v>260</v>
      </c>
      <c r="D238" s="181" t="s">
        <v>1337</v>
      </c>
      <c r="E238" s="180" t="s">
        <v>2969</v>
      </c>
      <c r="F238" s="178" t="s">
        <v>4027</v>
      </c>
      <c r="G238" s="178" t="s">
        <v>1342</v>
      </c>
      <c r="H238" s="178" t="s">
        <v>4028</v>
      </c>
      <c r="I238" s="178" t="s">
        <v>887</v>
      </c>
      <c r="J238" s="178" t="s">
        <v>4029</v>
      </c>
      <c r="K238" s="178" t="s">
        <v>4028</v>
      </c>
      <c r="L238" s="178" t="s">
        <v>2403</v>
      </c>
      <c r="M238" s="179" t="s">
        <v>41</v>
      </c>
      <c r="N238" s="178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45"/>
      <c r="Z238" s="45"/>
      <c r="AA238" s="45"/>
      <c r="AB238" s="45"/>
      <c r="AC238" s="45"/>
      <c r="AD238" s="45"/>
      <c r="AE238" s="45"/>
      <c r="AF238" s="45"/>
    </row>
    <row r="239" spans="1:32" ht="14.4">
      <c r="A239" s="178" t="s">
        <v>2100</v>
      </c>
      <c r="B239" s="178" t="s">
        <v>2887</v>
      </c>
      <c r="C239" s="181" t="s">
        <v>260</v>
      </c>
      <c r="D239" s="181" t="s">
        <v>1337</v>
      </c>
      <c r="E239" s="180" t="s">
        <v>2969</v>
      </c>
      <c r="F239" s="178" t="s">
        <v>4039</v>
      </c>
      <c r="G239" s="178" t="s">
        <v>1342</v>
      </c>
      <c r="H239" s="178" t="s">
        <v>4040</v>
      </c>
      <c r="I239" s="178" t="s">
        <v>2714</v>
      </c>
      <c r="J239" s="178" t="s">
        <v>4041</v>
      </c>
      <c r="K239" s="178" t="s">
        <v>4040</v>
      </c>
      <c r="L239" s="178" t="s">
        <v>2403</v>
      </c>
      <c r="M239" s="179" t="s">
        <v>41</v>
      </c>
      <c r="N239" s="178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45"/>
      <c r="Z239" s="45"/>
      <c r="AA239" s="45"/>
      <c r="AB239" s="45"/>
      <c r="AC239" s="45"/>
      <c r="AD239" s="45"/>
      <c r="AE239" s="45"/>
      <c r="AF239" s="45"/>
    </row>
    <row r="240" spans="1:32" ht="14.4">
      <c r="A240" s="204" t="s">
        <v>2100</v>
      </c>
      <c r="B240" s="204" t="s">
        <v>2887</v>
      </c>
      <c r="C240" s="205" t="s">
        <v>260</v>
      </c>
      <c r="D240" s="181" t="s">
        <v>1337</v>
      </c>
      <c r="E240" s="206" t="s">
        <v>2969</v>
      </c>
      <c r="F240" s="204" t="s">
        <v>4052</v>
      </c>
      <c r="G240" s="178" t="s">
        <v>1342</v>
      </c>
      <c r="H240" s="204" t="s">
        <v>4055</v>
      </c>
      <c r="I240" s="204" t="s">
        <v>887</v>
      </c>
      <c r="J240" s="204" t="s">
        <v>4059</v>
      </c>
      <c r="K240" s="204" t="s">
        <v>4055</v>
      </c>
      <c r="L240" s="204" t="s">
        <v>2403</v>
      </c>
      <c r="M240" s="207" t="s">
        <v>41</v>
      </c>
      <c r="N240" s="204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45"/>
      <c r="Z240" s="45"/>
      <c r="AA240" s="45"/>
      <c r="AB240" s="45"/>
      <c r="AC240" s="45"/>
      <c r="AD240" s="45"/>
      <c r="AE240" s="45"/>
      <c r="AF240" s="45"/>
    </row>
    <row r="241" spans="1:32" ht="14.4">
      <c r="A241" s="178" t="s">
        <v>2100</v>
      </c>
      <c r="B241" s="178" t="s">
        <v>2887</v>
      </c>
      <c r="C241" s="178" t="s">
        <v>20</v>
      </c>
      <c r="D241" s="178" t="s">
        <v>1305</v>
      </c>
      <c r="E241" s="180" t="s">
        <v>2969</v>
      </c>
      <c r="F241" s="178" t="s">
        <v>4068</v>
      </c>
      <c r="G241" s="178" t="s">
        <v>4069</v>
      </c>
      <c r="H241" s="178" t="s">
        <v>3064</v>
      </c>
      <c r="I241" s="178" t="s">
        <v>3676</v>
      </c>
      <c r="J241" s="178" t="s">
        <v>4070</v>
      </c>
      <c r="K241" s="178" t="s">
        <v>2933</v>
      </c>
      <c r="L241" s="178" t="s">
        <v>2532</v>
      </c>
      <c r="M241" s="178" t="s">
        <v>41</v>
      </c>
      <c r="N241" s="178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45"/>
      <c r="Z241" s="45"/>
      <c r="AA241" s="45"/>
      <c r="AB241" s="45"/>
      <c r="AC241" s="45"/>
      <c r="AD241" s="45"/>
      <c r="AE241" s="45"/>
      <c r="AF241" s="45"/>
    </row>
    <row r="242" spans="1:32" ht="28.8">
      <c r="A242" s="28" t="s">
        <v>2100</v>
      </c>
      <c r="B242" s="28" t="s">
        <v>49</v>
      </c>
      <c r="C242" s="28" t="s">
        <v>20</v>
      </c>
      <c r="D242" s="178" t="s">
        <v>1305</v>
      </c>
      <c r="E242" s="28"/>
      <c r="F242" s="28" t="s">
        <v>4077</v>
      </c>
      <c r="G242" s="208" t="s">
        <v>4079</v>
      </c>
      <c r="H242" s="28"/>
      <c r="I242" s="28" t="s">
        <v>4082</v>
      </c>
      <c r="J242" s="28" t="s">
        <v>139</v>
      </c>
      <c r="K242" s="45"/>
      <c r="L242" s="28" t="s">
        <v>2307</v>
      </c>
      <c r="M242" s="24" t="s">
        <v>41</v>
      </c>
      <c r="N242" s="28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45"/>
      <c r="AF242" s="45"/>
    </row>
    <row r="243" spans="1:32" ht="43.2">
      <c r="A243" s="28" t="s">
        <v>2100</v>
      </c>
      <c r="B243" s="28" t="s">
        <v>49</v>
      </c>
      <c r="C243" s="28" t="s">
        <v>20</v>
      </c>
      <c r="D243" s="28" t="s">
        <v>1305</v>
      </c>
      <c r="E243" s="28"/>
      <c r="F243" s="28" t="s">
        <v>4088</v>
      </c>
      <c r="G243" s="208" t="s">
        <v>4090</v>
      </c>
      <c r="H243" s="28"/>
      <c r="I243" s="28" t="s">
        <v>4082</v>
      </c>
      <c r="J243" s="28" t="s">
        <v>4091</v>
      </c>
      <c r="K243" s="45"/>
      <c r="L243" s="28" t="s">
        <v>2307</v>
      </c>
      <c r="M243" s="24" t="s">
        <v>41</v>
      </c>
      <c r="N243" s="28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106"/>
      <c r="AF243" s="45"/>
    </row>
    <row r="244" spans="1:32" ht="28.8">
      <c r="A244" s="28" t="s">
        <v>2100</v>
      </c>
      <c r="B244" s="101"/>
      <c r="C244" s="127" t="s">
        <v>1588</v>
      </c>
      <c r="D244" s="209">
        <v>1498000</v>
      </c>
      <c r="E244" s="126"/>
      <c r="F244" s="127" t="s">
        <v>4098</v>
      </c>
      <c r="G244" s="119" t="s">
        <v>4102</v>
      </c>
      <c r="H244" s="210" t="s">
        <v>4106</v>
      </c>
      <c r="I244" s="122" t="s">
        <v>4108</v>
      </c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  <c r="AA244" s="101"/>
      <c r="AB244" s="101"/>
      <c r="AC244" s="101"/>
      <c r="AD244" s="101"/>
      <c r="AE244" s="101"/>
      <c r="AF244" s="101"/>
    </row>
    <row r="245" spans="1:32" ht="28.8">
      <c r="A245" s="28" t="s">
        <v>2100</v>
      </c>
      <c r="B245" s="101"/>
      <c r="C245" s="127" t="s">
        <v>1588</v>
      </c>
      <c r="D245" s="209">
        <v>1498000</v>
      </c>
      <c r="E245" s="126"/>
      <c r="F245" s="127" t="s">
        <v>4117</v>
      </c>
      <c r="G245" s="119" t="s">
        <v>4118</v>
      </c>
      <c r="H245" s="210" t="s">
        <v>4106</v>
      </c>
      <c r="I245" s="122" t="s">
        <v>4108</v>
      </c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  <c r="AA245" s="101"/>
      <c r="AB245" s="101"/>
      <c r="AC245" s="101"/>
      <c r="AD245" s="101"/>
      <c r="AE245" s="101"/>
      <c r="AF245" s="101"/>
    </row>
    <row r="246" spans="1:32" ht="28.8">
      <c r="A246" s="28" t="s">
        <v>2100</v>
      </c>
      <c r="B246" s="101"/>
      <c r="C246" s="127" t="s">
        <v>1588</v>
      </c>
      <c r="D246" s="209">
        <v>1498000</v>
      </c>
      <c r="E246" s="126"/>
      <c r="F246" s="127" t="s">
        <v>4124</v>
      </c>
      <c r="G246" s="119" t="s">
        <v>4125</v>
      </c>
      <c r="H246" s="210" t="s">
        <v>4106</v>
      </c>
      <c r="I246" s="122" t="s">
        <v>4108</v>
      </c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  <c r="AA246" s="101"/>
      <c r="AB246" s="101"/>
      <c r="AC246" s="101"/>
      <c r="AD246" s="101"/>
      <c r="AE246" s="101"/>
      <c r="AF246" s="101"/>
    </row>
    <row r="247" spans="1:32" ht="28.8">
      <c r="A247" s="28" t="s">
        <v>2100</v>
      </c>
      <c r="B247" s="101"/>
      <c r="C247" s="127" t="s">
        <v>1588</v>
      </c>
      <c r="D247" s="209">
        <v>1498000</v>
      </c>
      <c r="E247" s="126"/>
      <c r="F247" s="127" t="s">
        <v>4130</v>
      </c>
      <c r="G247" s="119" t="s">
        <v>4132</v>
      </c>
      <c r="H247" s="210" t="s">
        <v>4106</v>
      </c>
      <c r="I247" s="122" t="s">
        <v>4108</v>
      </c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  <c r="AA247" s="101"/>
      <c r="AB247" s="101"/>
      <c r="AC247" s="101"/>
      <c r="AD247" s="101"/>
      <c r="AE247" s="101"/>
      <c r="AF247" s="101"/>
    </row>
    <row r="248" spans="1:32" ht="28.8">
      <c r="A248" s="28" t="s">
        <v>2100</v>
      </c>
      <c r="B248" s="101"/>
      <c r="C248" s="127" t="s">
        <v>1588</v>
      </c>
      <c r="D248" s="209">
        <v>1498000</v>
      </c>
      <c r="E248" s="126"/>
      <c r="F248" s="127" t="s">
        <v>4139</v>
      </c>
      <c r="G248" s="119" t="s">
        <v>4140</v>
      </c>
      <c r="H248" s="210" t="s">
        <v>4106</v>
      </c>
      <c r="I248" s="122" t="s">
        <v>4108</v>
      </c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  <c r="AA248" s="101"/>
      <c r="AB248" s="101"/>
      <c r="AC248" s="101"/>
      <c r="AD248" s="101"/>
      <c r="AE248" s="101"/>
      <c r="AF248" s="101"/>
    </row>
    <row r="249" spans="1:32" ht="28.8">
      <c r="A249" s="28" t="s">
        <v>2100</v>
      </c>
      <c r="B249" s="101"/>
      <c r="C249" s="127" t="s">
        <v>1588</v>
      </c>
      <c r="D249" s="209">
        <v>1498000</v>
      </c>
      <c r="E249" s="126"/>
      <c r="F249" s="127" t="s">
        <v>4145</v>
      </c>
      <c r="G249" s="119" t="s">
        <v>4146</v>
      </c>
      <c r="H249" s="210" t="s">
        <v>4106</v>
      </c>
      <c r="I249" s="122" t="s">
        <v>4108</v>
      </c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  <c r="AA249" s="101"/>
      <c r="AB249" s="101"/>
      <c r="AC249" s="101"/>
      <c r="AD249" s="101"/>
      <c r="AE249" s="101"/>
      <c r="AF249" s="101"/>
    </row>
    <row r="250" spans="1:32" ht="28.8">
      <c r="A250" s="28" t="s">
        <v>2100</v>
      </c>
      <c r="B250" s="101"/>
      <c r="C250" s="127" t="s">
        <v>1588</v>
      </c>
      <c r="D250" s="209">
        <v>1498000</v>
      </c>
      <c r="E250" s="126"/>
      <c r="F250" s="127" t="s">
        <v>4151</v>
      </c>
      <c r="G250" s="119" t="s">
        <v>4152</v>
      </c>
      <c r="H250" s="210" t="s">
        <v>4106</v>
      </c>
      <c r="I250" s="122" t="s">
        <v>4108</v>
      </c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  <c r="AA250" s="101"/>
      <c r="AB250" s="101"/>
      <c r="AC250" s="101"/>
      <c r="AD250" s="101"/>
      <c r="AE250" s="101"/>
      <c r="AF250" s="101"/>
    </row>
    <row r="251" spans="1:32" ht="28.8">
      <c r="A251" s="28" t="s">
        <v>2100</v>
      </c>
      <c r="B251" s="101"/>
      <c r="C251" s="127" t="s">
        <v>1588</v>
      </c>
      <c r="D251" s="209">
        <v>1498000</v>
      </c>
      <c r="E251" s="126"/>
      <c r="F251" s="127" t="s">
        <v>4159</v>
      </c>
      <c r="G251" s="119" t="s">
        <v>4160</v>
      </c>
      <c r="H251" s="210" t="s">
        <v>4106</v>
      </c>
      <c r="I251" s="122" t="s">
        <v>4108</v>
      </c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  <c r="AA251" s="101"/>
      <c r="AB251" s="101"/>
      <c r="AC251" s="101"/>
      <c r="AD251" s="101"/>
      <c r="AE251" s="101"/>
      <c r="AF251" s="101"/>
    </row>
    <row r="252" spans="1:32" ht="28.8">
      <c r="A252" s="28" t="s">
        <v>2100</v>
      </c>
      <c r="B252" s="101"/>
      <c r="C252" s="127" t="s">
        <v>1588</v>
      </c>
      <c r="D252" s="209">
        <v>1498000</v>
      </c>
      <c r="E252" s="126"/>
      <c r="F252" s="127" t="s">
        <v>4166</v>
      </c>
      <c r="G252" s="119" t="s">
        <v>4167</v>
      </c>
      <c r="H252" s="210" t="s">
        <v>4106</v>
      </c>
      <c r="I252" s="122" t="s">
        <v>4108</v>
      </c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  <c r="AA252" s="101"/>
      <c r="AB252" s="101"/>
      <c r="AC252" s="101"/>
      <c r="AD252" s="101"/>
      <c r="AE252" s="101"/>
      <c r="AF252" s="101"/>
    </row>
    <row r="253" spans="1:32" ht="13.8">
      <c r="A253" s="101"/>
      <c r="B253" s="101"/>
      <c r="C253" s="101"/>
      <c r="D253" s="101"/>
      <c r="E253" s="101"/>
      <c r="F253" s="101"/>
      <c r="G253" s="101"/>
      <c r="H253" s="101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  <c r="AA253" s="101"/>
      <c r="AB253" s="101"/>
      <c r="AC253" s="101"/>
      <c r="AD253" s="101"/>
      <c r="AE253" s="101"/>
      <c r="AF253" s="101"/>
    </row>
    <row r="254" spans="1:32" ht="13.8">
      <c r="A254" s="101"/>
      <c r="B254" s="101"/>
      <c r="C254" s="101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  <c r="AA254" s="101"/>
      <c r="AB254" s="101"/>
      <c r="AC254" s="101"/>
      <c r="AD254" s="101"/>
      <c r="AE254" s="101"/>
      <c r="AF254" s="101"/>
    </row>
    <row r="255" spans="1:32" ht="13.8">
      <c r="A255" s="101"/>
      <c r="B255" s="101"/>
      <c r="C255" s="101"/>
      <c r="D255" s="101"/>
      <c r="E255" s="101"/>
      <c r="F255" s="101"/>
      <c r="G255" s="101"/>
      <c r="H255" s="101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  <c r="AA255" s="101"/>
      <c r="AB255" s="101"/>
      <c r="AC255" s="101"/>
      <c r="AD255" s="101"/>
      <c r="AE255" s="101"/>
      <c r="AF255" s="101"/>
    </row>
    <row r="256" spans="1:32" ht="13.8">
      <c r="A256" s="101"/>
      <c r="B256" s="101"/>
      <c r="C256" s="101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</row>
    <row r="257" spans="1:32" ht="13.8">
      <c r="A257" s="101"/>
      <c r="B257" s="101"/>
      <c r="C257" s="101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</row>
    <row r="258" spans="1:32" ht="13.8">
      <c r="A258" s="101"/>
      <c r="B258" s="101"/>
      <c r="C258" s="101"/>
      <c r="D258" s="101"/>
      <c r="E258" s="101"/>
      <c r="F258" s="101"/>
      <c r="G258" s="101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  <c r="AA258" s="101"/>
      <c r="AB258" s="101"/>
      <c r="AC258" s="101"/>
      <c r="AD258" s="101"/>
      <c r="AE258" s="101"/>
      <c r="AF258" s="101"/>
    </row>
    <row r="259" spans="1:32" ht="13.8">
      <c r="A259" s="101"/>
      <c r="B259" s="101"/>
      <c r="C259" s="101"/>
      <c r="D259" s="101"/>
      <c r="E259" s="101"/>
      <c r="F259" s="101"/>
      <c r="G259" s="101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  <c r="AA259" s="101"/>
      <c r="AB259" s="101"/>
      <c r="AC259" s="101"/>
      <c r="AD259" s="101"/>
      <c r="AE259" s="101"/>
      <c r="AF259" s="101"/>
    </row>
    <row r="260" spans="1:32" ht="14.4">
      <c r="A260" s="356" t="s">
        <v>4185</v>
      </c>
      <c r="B260" s="354"/>
      <c r="C260" s="354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  <c r="AD260" s="101"/>
      <c r="AE260" s="101"/>
      <c r="AF260" s="101"/>
    </row>
    <row r="261" spans="1:32" ht="14.4">
      <c r="A261" s="356" t="s">
        <v>4187</v>
      </c>
      <c r="B261" s="354"/>
      <c r="C261" s="354"/>
      <c r="D261" s="101" t="s">
        <v>4188</v>
      </c>
      <c r="E261" s="101"/>
      <c r="F261" s="101"/>
      <c r="G261" s="101"/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  <c r="AA261" s="101"/>
      <c r="AB261" s="101"/>
      <c r="AC261" s="101"/>
      <c r="AD261" s="101"/>
      <c r="AE261" s="101"/>
      <c r="AF261" s="101"/>
    </row>
    <row r="262" spans="1:32" ht="14.4">
      <c r="A262" s="356" t="s">
        <v>4193</v>
      </c>
      <c r="B262" s="354"/>
      <c r="C262" s="119"/>
      <c r="D262" s="101"/>
      <c r="E262" s="101"/>
      <c r="F262" s="101"/>
      <c r="G262" s="101"/>
      <c r="H262" s="101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  <c r="AA262" s="101"/>
      <c r="AB262" s="101"/>
      <c r="AC262" s="101"/>
      <c r="AD262" s="101"/>
      <c r="AE262" s="101"/>
      <c r="AF262" s="101"/>
    </row>
    <row r="263" spans="1:32" ht="14.4">
      <c r="A263" s="356" t="s">
        <v>4197</v>
      </c>
      <c r="B263" s="354"/>
      <c r="C263" s="354"/>
      <c r="D263" s="101"/>
      <c r="E263" s="101"/>
      <c r="F263" s="101"/>
      <c r="G263" s="101"/>
      <c r="H263" s="101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  <c r="AA263" s="101"/>
      <c r="AB263" s="101"/>
      <c r="AC263" s="101"/>
      <c r="AD263" s="101"/>
      <c r="AE263" s="101"/>
      <c r="AF263" s="101"/>
    </row>
    <row r="264" spans="1:32" ht="14.4">
      <c r="A264" s="356" t="s">
        <v>1642</v>
      </c>
      <c r="B264" s="354"/>
      <c r="C264" s="119"/>
      <c r="D264" s="101"/>
      <c r="E264" s="101"/>
      <c r="F264" s="101"/>
      <c r="G264" s="101"/>
      <c r="H264" s="101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  <c r="AA264" s="101"/>
      <c r="AB264" s="101"/>
      <c r="AC264" s="101"/>
      <c r="AD264" s="101"/>
      <c r="AE264" s="101"/>
      <c r="AF264" s="101"/>
    </row>
    <row r="265" spans="1:32" ht="14.4">
      <c r="A265" s="212" t="s">
        <v>1645</v>
      </c>
      <c r="B265" s="212"/>
      <c r="C265" s="212"/>
      <c r="D265" s="101"/>
      <c r="E265" s="101"/>
      <c r="F265" s="101"/>
      <c r="G265" s="101"/>
      <c r="H265" s="101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  <c r="Z265" s="101"/>
      <c r="AA265" s="101"/>
      <c r="AB265" s="101"/>
      <c r="AC265" s="101"/>
      <c r="AD265" s="101"/>
      <c r="AE265" s="101"/>
      <c r="AF265" s="101"/>
    </row>
    <row r="266" spans="1:32" ht="14.4">
      <c r="A266" s="212"/>
      <c r="B266" s="356" t="s">
        <v>4219</v>
      </c>
      <c r="C266" s="354"/>
      <c r="D266" s="101"/>
      <c r="E266" s="101"/>
      <c r="F266" s="101"/>
      <c r="G266" s="101"/>
      <c r="H266" s="101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  <c r="AA266" s="101"/>
      <c r="AB266" s="101"/>
      <c r="AC266" s="101"/>
      <c r="AD266" s="101"/>
      <c r="AE266" s="101"/>
      <c r="AF266" s="101"/>
    </row>
    <row r="267" spans="1:32" ht="14.4">
      <c r="A267" s="212" t="s">
        <v>1646</v>
      </c>
      <c r="B267" s="212"/>
      <c r="C267" s="212"/>
      <c r="D267" s="101"/>
      <c r="E267" s="101"/>
      <c r="F267" s="101"/>
      <c r="G267" s="101"/>
      <c r="H267" s="101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  <c r="Z267" s="101"/>
      <c r="AA267" s="101"/>
      <c r="AB267" s="101"/>
      <c r="AC267" s="101"/>
      <c r="AD267" s="101"/>
      <c r="AE267" s="101"/>
      <c r="AF267" s="101"/>
    </row>
    <row r="268" spans="1:32" ht="13.8">
      <c r="A268" s="101"/>
      <c r="B268" s="101"/>
      <c r="C268" s="101"/>
      <c r="D268" s="101"/>
      <c r="E268" s="101"/>
      <c r="F268" s="101"/>
      <c r="G268" s="101"/>
      <c r="H268" s="101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  <c r="Z268" s="101"/>
      <c r="AA268" s="101"/>
      <c r="AB268" s="101"/>
      <c r="AC268" s="101"/>
      <c r="AD268" s="101"/>
      <c r="AE268" s="101"/>
      <c r="AF268" s="101"/>
    </row>
    <row r="269" spans="1:32" ht="13.8">
      <c r="A269" s="101"/>
      <c r="B269" s="101"/>
      <c r="C269" s="101"/>
      <c r="D269" s="101"/>
      <c r="E269" s="101"/>
      <c r="F269" s="101"/>
      <c r="G269" s="101"/>
      <c r="H269" s="101"/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  <c r="Z269" s="101"/>
      <c r="AA269" s="101"/>
      <c r="AB269" s="101"/>
      <c r="AC269" s="101"/>
      <c r="AD269" s="101"/>
      <c r="AE269" s="101"/>
      <c r="AF269" s="101"/>
    </row>
    <row r="270" spans="1:32" ht="13.8">
      <c r="A270" s="101"/>
      <c r="B270" s="101"/>
      <c r="C270" s="101"/>
      <c r="D270" s="101"/>
      <c r="E270" s="101"/>
      <c r="F270" s="101"/>
      <c r="G270" s="101"/>
      <c r="H270" s="101"/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  <c r="AA270" s="101"/>
      <c r="AB270" s="101"/>
      <c r="AC270" s="101"/>
      <c r="AD270" s="101"/>
      <c r="AE270" s="101"/>
      <c r="AF270" s="101"/>
    </row>
    <row r="271" spans="1:32" ht="13.8">
      <c r="A271" s="101"/>
      <c r="B271" s="101"/>
      <c r="C271" s="101"/>
      <c r="D271" s="101"/>
      <c r="E271" s="101"/>
      <c r="F271" s="101"/>
      <c r="G271" s="101"/>
      <c r="H271" s="101"/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  <c r="AA271" s="101"/>
      <c r="AB271" s="101"/>
      <c r="AC271" s="101"/>
      <c r="AD271" s="101"/>
      <c r="AE271" s="101"/>
      <c r="AF271" s="101"/>
    </row>
    <row r="272" spans="1:32" ht="13.8">
      <c r="A272" s="101"/>
      <c r="B272" s="101"/>
      <c r="C272" s="101"/>
      <c r="D272" s="101"/>
      <c r="E272" s="101"/>
      <c r="F272" s="101"/>
      <c r="G272" s="101"/>
      <c r="H272" s="101"/>
      <c r="I272" s="101"/>
      <c r="J272" s="101"/>
      <c r="K272" s="101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  <c r="Z272" s="101"/>
      <c r="AA272" s="101"/>
      <c r="AB272" s="101"/>
      <c r="AC272" s="101"/>
      <c r="AD272" s="101"/>
      <c r="AE272" s="101"/>
      <c r="AF272" s="101"/>
    </row>
    <row r="273" spans="1:32" ht="13.8">
      <c r="A273" s="101"/>
      <c r="B273" s="101"/>
      <c r="C273" s="101"/>
      <c r="D273" s="101"/>
      <c r="E273" s="101"/>
      <c r="F273" s="101"/>
      <c r="G273" s="101"/>
      <c r="H273" s="101"/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  <c r="AA273" s="101"/>
      <c r="AB273" s="101"/>
      <c r="AC273" s="101"/>
      <c r="AD273" s="101"/>
      <c r="AE273" s="101"/>
      <c r="AF273" s="101"/>
    </row>
    <row r="274" spans="1:32" ht="13.8">
      <c r="A274" s="101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  <c r="AD274" s="101"/>
      <c r="AE274" s="101"/>
      <c r="AF274" s="101"/>
    </row>
    <row r="275" spans="1:32" ht="13.8">
      <c r="A275" s="101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  <c r="AD275" s="101"/>
      <c r="AE275" s="101"/>
      <c r="AF275" s="101"/>
    </row>
    <row r="276" spans="1:32" ht="13.8">
      <c r="A276" s="101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  <c r="AD276" s="101"/>
      <c r="AE276" s="101"/>
      <c r="AF276" s="101"/>
    </row>
    <row r="277" spans="1:32" ht="13.8">
      <c r="A277" s="101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  <c r="AD277" s="101"/>
      <c r="AE277" s="101"/>
      <c r="AF277" s="101"/>
    </row>
    <row r="278" spans="1:32" ht="13.8">
      <c r="A278" s="101"/>
      <c r="B278" s="101"/>
      <c r="C278" s="101"/>
      <c r="D278" s="101"/>
      <c r="E278" s="101"/>
      <c r="F278" s="101"/>
      <c r="G278" s="101"/>
      <c r="H278" s="101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  <c r="AA278" s="101"/>
      <c r="AB278" s="101"/>
      <c r="AC278" s="101"/>
      <c r="AD278" s="101"/>
      <c r="AE278" s="101"/>
      <c r="AF278" s="101"/>
    </row>
    <row r="279" spans="1:32" ht="13.8">
      <c r="A279" s="101"/>
      <c r="B279" s="101"/>
      <c r="C279" s="101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</row>
    <row r="280" spans="1:32" ht="13.8">
      <c r="A280" s="101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</row>
    <row r="281" spans="1:32" ht="13.8">
      <c r="A281" s="101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  <c r="AA281" s="101"/>
      <c r="AB281" s="101"/>
      <c r="AC281" s="101"/>
      <c r="AD281" s="101"/>
      <c r="AE281" s="101"/>
      <c r="AF281" s="101"/>
    </row>
    <row r="282" spans="1:32" ht="13.8">
      <c r="A282" s="101"/>
      <c r="B282" s="101"/>
      <c r="C282" s="101"/>
      <c r="D282" s="101"/>
      <c r="E282" s="101"/>
      <c r="F282" s="101"/>
      <c r="G282" s="101"/>
      <c r="H282" s="101"/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  <c r="Z282" s="101"/>
      <c r="AA282" s="101"/>
      <c r="AB282" s="101"/>
      <c r="AC282" s="101"/>
      <c r="AD282" s="101"/>
      <c r="AE282" s="101"/>
      <c r="AF282" s="101"/>
    </row>
    <row r="283" spans="1:32" ht="13.8">
      <c r="A283" s="101"/>
      <c r="B283" s="101"/>
      <c r="C283" s="101"/>
      <c r="D283" s="101"/>
      <c r="E283" s="101"/>
      <c r="F283" s="101"/>
      <c r="G283" s="101"/>
      <c r="H283" s="101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  <c r="AA283" s="101"/>
      <c r="AB283" s="101"/>
      <c r="AC283" s="101"/>
      <c r="AD283" s="101"/>
      <c r="AE283" s="101"/>
      <c r="AF283" s="101"/>
    </row>
    <row r="284" spans="1:32" ht="13.8">
      <c r="A284" s="101"/>
      <c r="B284" s="101"/>
      <c r="C284" s="101"/>
      <c r="D284" s="101"/>
      <c r="E284" s="101"/>
      <c r="F284" s="101"/>
      <c r="G284" s="101"/>
      <c r="H284" s="101"/>
      <c r="I284" s="101"/>
      <c r="J284" s="101"/>
      <c r="K284" s="101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  <c r="Z284" s="101"/>
      <c r="AA284" s="101"/>
      <c r="AB284" s="101"/>
      <c r="AC284" s="101"/>
      <c r="AD284" s="101"/>
      <c r="AE284" s="101"/>
      <c r="AF284" s="101"/>
    </row>
    <row r="285" spans="1:32" ht="13.8">
      <c r="A285" s="101"/>
      <c r="B285" s="101"/>
      <c r="C285" s="101"/>
      <c r="D285" s="101"/>
      <c r="E285" s="101"/>
      <c r="F285" s="101"/>
      <c r="G285" s="101"/>
      <c r="H285" s="101"/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  <c r="AA285" s="101"/>
      <c r="AB285" s="101"/>
      <c r="AC285" s="101"/>
      <c r="AD285" s="101"/>
      <c r="AE285" s="101"/>
      <c r="AF285" s="101"/>
    </row>
    <row r="286" spans="1:32" ht="13.8">
      <c r="A286" s="101"/>
      <c r="B286" s="101"/>
      <c r="C286" s="101"/>
      <c r="D286" s="101"/>
      <c r="E286" s="101"/>
      <c r="F286" s="101"/>
      <c r="G286" s="101"/>
      <c r="H286" s="101"/>
      <c r="I286" s="101"/>
      <c r="J286" s="101"/>
      <c r="K286" s="101"/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  <c r="Z286" s="101"/>
      <c r="AA286" s="101"/>
      <c r="AB286" s="101"/>
      <c r="AC286" s="101"/>
      <c r="AD286" s="101"/>
      <c r="AE286" s="101"/>
      <c r="AF286" s="101"/>
    </row>
    <row r="287" spans="1:32" ht="13.8">
      <c r="A287" s="101"/>
      <c r="B287" s="101"/>
      <c r="C287" s="101"/>
      <c r="D287" s="101"/>
      <c r="E287" s="101"/>
      <c r="F287" s="101"/>
      <c r="G287" s="101"/>
      <c r="H287" s="101"/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  <c r="AA287" s="101"/>
      <c r="AB287" s="101"/>
      <c r="AC287" s="101"/>
      <c r="AD287" s="101"/>
      <c r="AE287" s="101"/>
      <c r="AF287" s="101"/>
    </row>
    <row r="288" spans="1:32" ht="13.8">
      <c r="A288" s="101"/>
      <c r="B288" s="101"/>
      <c r="C288" s="101"/>
      <c r="D288" s="101"/>
      <c r="E288" s="101"/>
      <c r="F288" s="101"/>
      <c r="G288" s="101"/>
      <c r="H288" s="101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  <c r="AA288" s="101"/>
      <c r="AB288" s="101"/>
      <c r="AC288" s="101"/>
      <c r="AD288" s="101"/>
      <c r="AE288" s="101"/>
      <c r="AF288" s="101"/>
    </row>
    <row r="289" spans="1:32" ht="13.8">
      <c r="A289" s="101"/>
      <c r="B289" s="101"/>
      <c r="C289" s="101"/>
      <c r="D289" s="101"/>
      <c r="E289" s="101"/>
      <c r="F289" s="101"/>
      <c r="G289" s="101"/>
      <c r="H289" s="101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  <c r="AA289" s="101"/>
      <c r="AB289" s="101"/>
      <c r="AC289" s="101"/>
      <c r="AD289" s="101"/>
      <c r="AE289" s="101"/>
      <c r="AF289" s="101"/>
    </row>
    <row r="290" spans="1:32" ht="13.8">
      <c r="A290" s="101"/>
      <c r="B290" s="101"/>
      <c r="C290" s="101"/>
      <c r="D290" s="101"/>
      <c r="E290" s="101"/>
      <c r="F290" s="101"/>
      <c r="G290" s="101"/>
      <c r="H290" s="101"/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  <c r="Z290" s="101"/>
      <c r="AA290" s="101"/>
      <c r="AB290" s="101"/>
      <c r="AC290" s="101"/>
      <c r="AD290" s="101"/>
      <c r="AE290" s="101"/>
      <c r="AF290" s="101"/>
    </row>
    <row r="291" spans="1:32" ht="13.8">
      <c r="A291" s="101"/>
      <c r="B291" s="101"/>
      <c r="C291" s="101"/>
      <c r="D291" s="101"/>
      <c r="E291" s="101"/>
      <c r="F291" s="101"/>
      <c r="G291" s="101"/>
      <c r="H291" s="101"/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  <c r="AA291" s="101"/>
      <c r="AB291" s="101"/>
      <c r="AC291" s="101"/>
      <c r="AD291" s="101"/>
      <c r="AE291" s="101"/>
      <c r="AF291" s="101"/>
    </row>
    <row r="292" spans="1:32" ht="13.8">
      <c r="A292" s="101"/>
      <c r="B292" s="101"/>
      <c r="C292" s="101"/>
      <c r="D292" s="101"/>
      <c r="E292" s="101"/>
      <c r="F292" s="101"/>
      <c r="G292" s="101"/>
      <c r="H292" s="101"/>
      <c r="I292" s="101"/>
      <c r="J292" s="101"/>
      <c r="K292" s="101"/>
      <c r="L292" s="101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  <c r="Z292" s="101"/>
      <c r="AA292" s="101"/>
      <c r="AB292" s="101"/>
      <c r="AC292" s="101"/>
      <c r="AD292" s="101"/>
      <c r="AE292" s="101"/>
      <c r="AF292" s="101"/>
    </row>
    <row r="293" spans="1:32" ht="13.8">
      <c r="A293" s="101"/>
      <c r="B293" s="101"/>
      <c r="C293" s="101"/>
      <c r="D293" s="101"/>
      <c r="E293" s="101"/>
      <c r="F293" s="101"/>
      <c r="G293" s="101"/>
      <c r="H293" s="101"/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  <c r="Z293" s="101"/>
      <c r="AA293" s="101"/>
      <c r="AB293" s="101"/>
      <c r="AC293" s="101"/>
      <c r="AD293" s="101"/>
      <c r="AE293" s="101"/>
      <c r="AF293" s="101"/>
    </row>
    <row r="294" spans="1:32" ht="13.8">
      <c r="A294" s="101"/>
      <c r="B294" s="101"/>
      <c r="C294" s="101"/>
      <c r="D294" s="101"/>
      <c r="E294" s="101"/>
      <c r="F294" s="101"/>
      <c r="G294" s="101"/>
      <c r="H294" s="101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  <c r="Z294" s="101"/>
      <c r="AA294" s="101"/>
      <c r="AB294" s="101"/>
      <c r="AC294" s="101"/>
      <c r="AD294" s="101"/>
      <c r="AE294" s="101"/>
      <c r="AF294" s="101"/>
    </row>
    <row r="295" spans="1:32" ht="13.8">
      <c r="A295" s="101"/>
      <c r="B295" s="101"/>
      <c r="C295" s="101"/>
      <c r="D295" s="101"/>
      <c r="E295" s="101"/>
      <c r="F295" s="101"/>
      <c r="G295" s="101"/>
      <c r="H295" s="101"/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  <c r="AA295" s="101"/>
      <c r="AB295" s="101"/>
      <c r="AC295" s="101"/>
      <c r="AD295" s="101"/>
      <c r="AE295" s="101"/>
      <c r="AF295" s="101"/>
    </row>
    <row r="296" spans="1:32" ht="13.8">
      <c r="A296" s="101"/>
      <c r="B296" s="101"/>
      <c r="C296" s="101"/>
      <c r="D296" s="101"/>
      <c r="E296" s="101"/>
      <c r="F296" s="101"/>
      <c r="G296" s="101"/>
      <c r="H296" s="101"/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  <c r="AA296" s="101"/>
      <c r="AB296" s="101"/>
      <c r="AC296" s="101"/>
      <c r="AD296" s="101"/>
      <c r="AE296" s="101"/>
      <c r="AF296" s="101"/>
    </row>
    <row r="297" spans="1:32" ht="13.8">
      <c r="A297" s="101"/>
      <c r="B297" s="101"/>
      <c r="C297" s="101"/>
      <c r="D297" s="101"/>
      <c r="E297" s="101"/>
      <c r="F297" s="101"/>
      <c r="G297" s="101"/>
      <c r="H297" s="101"/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  <c r="Z297" s="101"/>
      <c r="AA297" s="101"/>
      <c r="AB297" s="101"/>
      <c r="AC297" s="101"/>
      <c r="AD297" s="101"/>
      <c r="AE297" s="101"/>
      <c r="AF297" s="101"/>
    </row>
    <row r="298" spans="1:32" ht="13.8">
      <c r="A298" s="101"/>
      <c r="B298" s="101"/>
      <c r="C298" s="101"/>
      <c r="D298" s="101"/>
      <c r="E298" s="101"/>
      <c r="F298" s="101"/>
      <c r="G298" s="101"/>
      <c r="H298" s="101"/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  <c r="AA298" s="101"/>
      <c r="AB298" s="101"/>
      <c r="AC298" s="101"/>
      <c r="AD298" s="101"/>
      <c r="AE298" s="101"/>
      <c r="AF298" s="101"/>
    </row>
    <row r="299" spans="1:32" ht="13.8">
      <c r="A299" s="101"/>
      <c r="B299" s="101"/>
      <c r="C299" s="101"/>
      <c r="D299" s="101"/>
      <c r="E299" s="101"/>
      <c r="F299" s="101"/>
      <c r="G299" s="101"/>
      <c r="H299" s="101"/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  <c r="AA299" s="101"/>
      <c r="AB299" s="101"/>
      <c r="AC299" s="101"/>
      <c r="AD299" s="101"/>
      <c r="AE299" s="101"/>
      <c r="AF299" s="101"/>
    </row>
    <row r="300" spans="1:32" ht="13.8">
      <c r="A300" s="101"/>
      <c r="B300" s="101"/>
      <c r="C300" s="101"/>
      <c r="D300" s="101"/>
      <c r="E300" s="101"/>
      <c r="F300" s="101"/>
      <c r="G300" s="101"/>
      <c r="H300" s="101"/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  <c r="Z300" s="101"/>
      <c r="AA300" s="101"/>
      <c r="AB300" s="101"/>
      <c r="AC300" s="101"/>
      <c r="AD300" s="101"/>
      <c r="AE300" s="101"/>
      <c r="AF300" s="101"/>
    </row>
    <row r="301" spans="1:32" ht="13.8">
      <c r="A301" s="101"/>
      <c r="B301" s="101"/>
      <c r="C301" s="101"/>
      <c r="D301" s="101"/>
      <c r="E301" s="101"/>
      <c r="F301" s="101"/>
      <c r="G301" s="101"/>
      <c r="H301" s="101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  <c r="AA301" s="101"/>
      <c r="AB301" s="101"/>
      <c r="AC301" s="101"/>
      <c r="AD301" s="101"/>
      <c r="AE301" s="101"/>
      <c r="AF301" s="101"/>
    </row>
    <row r="302" spans="1:32" ht="13.8">
      <c r="A302" s="101"/>
      <c r="B302" s="101"/>
      <c r="C302" s="101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</row>
    <row r="303" spans="1:32" ht="13.8">
      <c r="A303" s="101"/>
      <c r="B303" s="101"/>
      <c r="C303" s="101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</row>
    <row r="304" spans="1:32" ht="13.8">
      <c r="A304" s="101"/>
      <c r="B304" s="101"/>
      <c r="C304" s="101"/>
      <c r="D304" s="101"/>
      <c r="E304" s="101"/>
      <c r="F304" s="101"/>
      <c r="G304" s="101"/>
      <c r="H304" s="101"/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  <c r="Z304" s="101"/>
      <c r="AA304" s="101"/>
      <c r="AB304" s="101"/>
      <c r="AC304" s="101"/>
      <c r="AD304" s="101"/>
      <c r="AE304" s="101"/>
      <c r="AF304" s="101"/>
    </row>
    <row r="305" spans="1:32" ht="13.8">
      <c r="A305" s="101"/>
      <c r="B305" s="101"/>
      <c r="C305" s="101"/>
      <c r="D305" s="101"/>
      <c r="E305" s="101"/>
      <c r="F305" s="101"/>
      <c r="G305" s="101"/>
      <c r="H305" s="101"/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  <c r="AA305" s="101"/>
      <c r="AB305" s="101"/>
      <c r="AC305" s="101"/>
      <c r="AD305" s="101"/>
      <c r="AE305" s="101"/>
      <c r="AF305" s="101"/>
    </row>
    <row r="306" spans="1:32" ht="13.8">
      <c r="A306" s="101"/>
      <c r="B306" s="101"/>
      <c r="C306" s="101"/>
      <c r="D306" s="101"/>
      <c r="E306" s="101"/>
      <c r="F306" s="101"/>
      <c r="G306" s="101"/>
      <c r="H306" s="101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  <c r="AA306" s="101"/>
      <c r="AB306" s="101"/>
      <c r="AC306" s="101"/>
      <c r="AD306" s="101"/>
      <c r="AE306" s="101"/>
      <c r="AF306" s="101"/>
    </row>
    <row r="307" spans="1:32" ht="13.8">
      <c r="A307" s="101"/>
      <c r="B307" s="101"/>
      <c r="C307" s="101"/>
      <c r="D307" s="101"/>
      <c r="E307" s="101"/>
      <c r="F307" s="101"/>
      <c r="G307" s="101"/>
      <c r="H307" s="101"/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  <c r="AA307" s="101"/>
      <c r="AB307" s="101"/>
      <c r="AC307" s="101"/>
      <c r="AD307" s="101"/>
      <c r="AE307" s="101"/>
      <c r="AF307" s="101"/>
    </row>
    <row r="308" spans="1:32" ht="13.8">
      <c r="A308" s="101"/>
      <c r="B308" s="101"/>
      <c r="C308" s="101"/>
      <c r="D308" s="101"/>
      <c r="E308" s="101"/>
      <c r="F308" s="101"/>
      <c r="G308" s="101"/>
      <c r="H308" s="101"/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  <c r="AA308" s="101"/>
      <c r="AB308" s="101"/>
      <c r="AC308" s="101"/>
      <c r="AD308" s="101"/>
      <c r="AE308" s="101"/>
      <c r="AF308" s="101"/>
    </row>
    <row r="309" spans="1:32" ht="13.8">
      <c r="A309" s="101"/>
      <c r="B309" s="101"/>
      <c r="C309" s="101"/>
      <c r="D309" s="101"/>
      <c r="E309" s="101"/>
      <c r="F309" s="101"/>
      <c r="G309" s="101"/>
      <c r="H309" s="101"/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  <c r="Z309" s="101"/>
      <c r="AA309" s="101"/>
      <c r="AB309" s="101"/>
      <c r="AC309" s="101"/>
      <c r="AD309" s="101"/>
      <c r="AE309" s="101"/>
      <c r="AF309" s="101"/>
    </row>
    <row r="310" spans="1:32" ht="13.8">
      <c r="A310" s="101"/>
      <c r="B310" s="101"/>
      <c r="C310" s="101"/>
      <c r="D310" s="101"/>
      <c r="E310" s="101"/>
      <c r="F310" s="101"/>
      <c r="G310" s="101"/>
      <c r="H310" s="101"/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  <c r="AA310" s="101"/>
      <c r="AB310" s="101"/>
      <c r="AC310" s="101"/>
      <c r="AD310" s="101"/>
      <c r="AE310" s="101"/>
      <c r="AF310" s="101"/>
    </row>
    <row r="311" spans="1:32" ht="13.8">
      <c r="A311" s="101"/>
      <c r="B311" s="101"/>
      <c r="C311" s="101"/>
      <c r="D311" s="101"/>
      <c r="E311" s="101"/>
      <c r="F311" s="101"/>
      <c r="G311" s="101"/>
      <c r="H311" s="101"/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  <c r="AA311" s="101"/>
      <c r="AB311" s="101"/>
      <c r="AC311" s="101"/>
      <c r="AD311" s="101"/>
      <c r="AE311" s="101"/>
      <c r="AF311" s="101"/>
    </row>
    <row r="312" spans="1:32" ht="13.8">
      <c r="A312" s="101"/>
      <c r="B312" s="101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  <c r="AA312" s="101"/>
      <c r="AB312" s="101"/>
      <c r="AC312" s="101"/>
      <c r="AD312" s="101"/>
      <c r="AE312" s="101"/>
      <c r="AF312" s="101"/>
    </row>
    <row r="313" spans="1:32" ht="13.8">
      <c r="A313" s="101"/>
      <c r="B313" s="101"/>
      <c r="C313" s="101"/>
      <c r="D313" s="101"/>
      <c r="E313" s="101"/>
      <c r="F313" s="101"/>
      <c r="G313" s="101"/>
      <c r="H313" s="101"/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  <c r="Z313" s="101"/>
      <c r="AA313" s="101"/>
      <c r="AB313" s="101"/>
      <c r="AC313" s="101"/>
      <c r="AD313" s="101"/>
      <c r="AE313" s="101"/>
      <c r="AF313" s="101"/>
    </row>
    <row r="314" spans="1:32" ht="13.8">
      <c r="A314" s="101"/>
      <c r="B314" s="101"/>
      <c r="C314" s="101"/>
      <c r="D314" s="101"/>
      <c r="E314" s="101"/>
      <c r="F314" s="101"/>
      <c r="G314" s="101"/>
      <c r="H314" s="101"/>
      <c r="I314" s="101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  <c r="AA314" s="101"/>
      <c r="AB314" s="101"/>
      <c r="AC314" s="101"/>
      <c r="AD314" s="101"/>
      <c r="AE314" s="101"/>
      <c r="AF314" s="101"/>
    </row>
    <row r="315" spans="1:32" ht="13.8">
      <c r="A315" s="101"/>
      <c r="B315" s="101"/>
      <c r="C315" s="101"/>
      <c r="D315" s="101"/>
      <c r="E315" s="101"/>
      <c r="F315" s="101"/>
      <c r="G315" s="101"/>
      <c r="H315" s="101"/>
      <c r="I315" s="101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  <c r="Z315" s="101"/>
      <c r="AA315" s="101"/>
      <c r="AB315" s="101"/>
      <c r="AC315" s="101"/>
      <c r="AD315" s="101"/>
      <c r="AE315" s="101"/>
      <c r="AF315" s="101"/>
    </row>
    <row r="316" spans="1:32" ht="13.8">
      <c r="A316" s="101"/>
      <c r="B316" s="101"/>
      <c r="C316" s="101"/>
      <c r="D316" s="101"/>
      <c r="E316" s="101"/>
      <c r="F316" s="101"/>
      <c r="G316" s="101"/>
      <c r="H316" s="101"/>
      <c r="I316" s="101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  <c r="Z316" s="101"/>
      <c r="AA316" s="101"/>
      <c r="AB316" s="101"/>
      <c r="AC316" s="101"/>
      <c r="AD316" s="101"/>
      <c r="AE316" s="101"/>
      <c r="AF316" s="101"/>
    </row>
    <row r="317" spans="1:32" ht="13.8">
      <c r="A317" s="101"/>
      <c r="B317" s="101"/>
      <c r="C317" s="101"/>
      <c r="D317" s="101"/>
      <c r="E317" s="101"/>
      <c r="F317" s="101"/>
      <c r="G317" s="101"/>
      <c r="H317" s="101"/>
      <c r="I317" s="101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  <c r="Z317" s="101"/>
      <c r="AA317" s="101"/>
      <c r="AB317" s="101"/>
      <c r="AC317" s="101"/>
      <c r="AD317" s="101"/>
      <c r="AE317" s="101"/>
      <c r="AF317" s="101"/>
    </row>
    <row r="318" spans="1:32" ht="13.8">
      <c r="A318" s="101"/>
      <c r="B318" s="101"/>
      <c r="C318" s="101"/>
      <c r="D318" s="101"/>
      <c r="E318" s="101"/>
      <c r="F318" s="101"/>
      <c r="G318" s="101"/>
      <c r="H318" s="101"/>
      <c r="I318" s="101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  <c r="AA318" s="101"/>
      <c r="AB318" s="101"/>
      <c r="AC318" s="101"/>
      <c r="AD318" s="101"/>
      <c r="AE318" s="101"/>
      <c r="AF318" s="101"/>
    </row>
    <row r="319" spans="1:32" ht="13.8">
      <c r="A319" s="101"/>
      <c r="B319" s="101"/>
      <c r="C319" s="101"/>
      <c r="D319" s="101"/>
      <c r="E319" s="101"/>
      <c r="F319" s="101"/>
      <c r="G319" s="101"/>
      <c r="H319" s="101"/>
      <c r="I319" s="101"/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  <c r="AA319" s="101"/>
      <c r="AB319" s="101"/>
      <c r="AC319" s="101"/>
      <c r="AD319" s="101"/>
      <c r="AE319" s="101"/>
      <c r="AF319" s="101"/>
    </row>
    <row r="320" spans="1:32" ht="13.8">
      <c r="A320" s="101"/>
      <c r="B320" s="101"/>
      <c r="C320" s="101"/>
      <c r="D320" s="101"/>
      <c r="E320" s="101"/>
      <c r="F320" s="101"/>
      <c r="G320" s="101"/>
      <c r="H320" s="101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  <c r="AA320" s="101"/>
      <c r="AB320" s="101"/>
      <c r="AC320" s="101"/>
      <c r="AD320" s="101"/>
      <c r="AE320" s="101"/>
      <c r="AF320" s="101"/>
    </row>
    <row r="321" spans="1:32" ht="13.8">
      <c r="A321" s="101"/>
      <c r="B321" s="101"/>
      <c r="C321" s="101"/>
      <c r="D321" s="101"/>
      <c r="E321" s="101"/>
      <c r="F321" s="101"/>
      <c r="G321" s="101"/>
      <c r="H321" s="101"/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  <c r="AA321" s="101"/>
      <c r="AB321" s="101"/>
      <c r="AC321" s="101"/>
      <c r="AD321" s="101"/>
      <c r="AE321" s="101"/>
      <c r="AF321" s="101"/>
    </row>
    <row r="322" spans="1:32" ht="13.8">
      <c r="A322" s="101"/>
      <c r="B322" s="101"/>
      <c r="C322" s="101"/>
      <c r="D322" s="101"/>
      <c r="E322" s="101"/>
      <c r="F322" s="101"/>
      <c r="G322" s="101"/>
      <c r="H322" s="101"/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  <c r="Z322" s="101"/>
      <c r="AA322" s="101"/>
      <c r="AB322" s="101"/>
      <c r="AC322" s="101"/>
      <c r="AD322" s="101"/>
      <c r="AE322" s="101"/>
      <c r="AF322" s="101"/>
    </row>
    <row r="323" spans="1:32" ht="13.8">
      <c r="A323" s="101"/>
      <c r="B323" s="101"/>
      <c r="C323" s="101"/>
      <c r="D323" s="101"/>
      <c r="E323" s="101"/>
      <c r="F323" s="101"/>
      <c r="G323" s="101"/>
      <c r="H323" s="101"/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  <c r="AA323" s="101"/>
      <c r="AB323" s="101"/>
      <c r="AC323" s="101"/>
      <c r="AD323" s="101"/>
      <c r="AE323" s="101"/>
      <c r="AF323" s="101"/>
    </row>
    <row r="324" spans="1:32" ht="13.8">
      <c r="A324" s="101"/>
      <c r="B324" s="101"/>
      <c r="C324" s="101"/>
      <c r="D324" s="101"/>
      <c r="E324" s="101"/>
      <c r="F324" s="101"/>
      <c r="G324" s="101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  <c r="Z324" s="101"/>
      <c r="AA324" s="101"/>
      <c r="AB324" s="101"/>
      <c r="AC324" s="101"/>
      <c r="AD324" s="101"/>
      <c r="AE324" s="101"/>
      <c r="AF324" s="101"/>
    </row>
    <row r="325" spans="1:32" ht="13.8">
      <c r="A325" s="101"/>
      <c r="B325" s="101"/>
      <c r="C325" s="101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</row>
    <row r="326" spans="1:32" ht="13.8">
      <c r="A326" s="101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</row>
    <row r="327" spans="1:32" ht="13.8">
      <c r="A327" s="101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  <c r="AD327" s="101"/>
      <c r="AE327" s="101"/>
      <c r="AF327" s="101"/>
    </row>
    <row r="328" spans="1:32" ht="13.8">
      <c r="A328" s="101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  <c r="AD328" s="101"/>
      <c r="AE328" s="101"/>
      <c r="AF328" s="101"/>
    </row>
    <row r="329" spans="1:32" ht="13.8">
      <c r="A329" s="101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  <c r="AD329" s="101"/>
      <c r="AE329" s="101"/>
      <c r="AF329" s="101"/>
    </row>
    <row r="330" spans="1:32" ht="13.8">
      <c r="A330" s="101"/>
      <c r="B330" s="101"/>
      <c r="C330" s="101"/>
      <c r="D330" s="101"/>
      <c r="E330" s="101"/>
      <c r="F330" s="101"/>
      <c r="G330" s="101"/>
      <c r="H330" s="101"/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  <c r="Z330" s="101"/>
      <c r="AA330" s="101"/>
      <c r="AB330" s="101"/>
      <c r="AC330" s="101"/>
      <c r="AD330" s="101"/>
      <c r="AE330" s="101"/>
      <c r="AF330" s="101"/>
    </row>
    <row r="331" spans="1:32" ht="13.8">
      <c r="A331" s="101"/>
      <c r="B331" s="101"/>
      <c r="C331" s="101"/>
      <c r="D331" s="101"/>
      <c r="E331" s="101"/>
      <c r="F331" s="101"/>
      <c r="G331" s="101"/>
      <c r="H331" s="101"/>
      <c r="I331" s="101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  <c r="Z331" s="101"/>
      <c r="AA331" s="101"/>
      <c r="AB331" s="101"/>
      <c r="AC331" s="101"/>
      <c r="AD331" s="101"/>
      <c r="AE331" s="101"/>
      <c r="AF331" s="101"/>
    </row>
    <row r="332" spans="1:32" ht="13.8">
      <c r="A332" s="101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  <c r="Z332" s="101"/>
      <c r="AA332" s="101"/>
      <c r="AB332" s="101"/>
      <c r="AC332" s="101"/>
      <c r="AD332" s="101"/>
      <c r="AE332" s="101"/>
      <c r="AF332" s="101"/>
    </row>
    <row r="333" spans="1:32" ht="13.8">
      <c r="A333" s="101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  <c r="AA333" s="101"/>
      <c r="AB333" s="101"/>
      <c r="AC333" s="101"/>
      <c r="AD333" s="101"/>
      <c r="AE333" s="101"/>
      <c r="AF333" s="101"/>
    </row>
    <row r="334" spans="1:32" ht="13.8">
      <c r="A334" s="101"/>
      <c r="B334" s="101"/>
      <c r="C334" s="101"/>
      <c r="D334" s="101"/>
      <c r="E334" s="101"/>
      <c r="F334" s="101"/>
      <c r="G334" s="101"/>
      <c r="H334" s="101"/>
      <c r="I334" s="101"/>
      <c r="J334" s="101"/>
      <c r="K334" s="101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  <c r="AA334" s="101"/>
      <c r="AB334" s="101"/>
      <c r="AC334" s="101"/>
      <c r="AD334" s="101"/>
      <c r="AE334" s="101"/>
      <c r="AF334" s="101"/>
    </row>
    <row r="335" spans="1:32" ht="13.8">
      <c r="A335" s="101"/>
      <c r="B335" s="101"/>
      <c r="C335" s="101"/>
      <c r="D335" s="101"/>
      <c r="E335" s="101"/>
      <c r="F335" s="101"/>
      <c r="G335" s="101"/>
      <c r="H335" s="101"/>
      <c r="I335" s="101"/>
      <c r="J335" s="101"/>
      <c r="K335" s="101"/>
      <c r="L335" s="101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  <c r="Z335" s="101"/>
      <c r="AA335" s="101"/>
      <c r="AB335" s="101"/>
      <c r="AC335" s="101"/>
      <c r="AD335" s="101"/>
      <c r="AE335" s="101"/>
      <c r="AF335" s="101"/>
    </row>
    <row r="336" spans="1:32" ht="13.8">
      <c r="A336" s="101"/>
      <c r="B336" s="101"/>
      <c r="C336" s="101"/>
      <c r="D336" s="101"/>
      <c r="E336" s="101"/>
      <c r="F336" s="101"/>
      <c r="G336" s="101"/>
      <c r="H336" s="101"/>
      <c r="I336" s="101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  <c r="AA336" s="101"/>
      <c r="AB336" s="101"/>
      <c r="AC336" s="101"/>
      <c r="AD336" s="101"/>
      <c r="AE336" s="101"/>
      <c r="AF336" s="101"/>
    </row>
    <row r="337" spans="1:32" ht="13.8">
      <c r="A337" s="101"/>
      <c r="B337" s="101"/>
      <c r="C337" s="101"/>
      <c r="D337" s="101"/>
      <c r="E337" s="101"/>
      <c r="F337" s="101"/>
      <c r="G337" s="101"/>
      <c r="H337" s="101"/>
      <c r="I337" s="101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  <c r="AA337" s="101"/>
      <c r="AB337" s="101"/>
      <c r="AC337" s="101"/>
      <c r="AD337" s="101"/>
      <c r="AE337" s="101"/>
      <c r="AF337" s="101"/>
    </row>
    <row r="338" spans="1:32" ht="13.8">
      <c r="A338" s="101"/>
      <c r="B338" s="101"/>
      <c r="C338" s="101"/>
      <c r="D338" s="101"/>
      <c r="E338" s="101"/>
      <c r="F338" s="101"/>
      <c r="G338" s="101"/>
      <c r="H338" s="101"/>
      <c r="I338" s="101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  <c r="Z338" s="101"/>
      <c r="AA338" s="101"/>
      <c r="AB338" s="101"/>
      <c r="AC338" s="101"/>
      <c r="AD338" s="101"/>
      <c r="AE338" s="101"/>
      <c r="AF338" s="101"/>
    </row>
    <row r="339" spans="1:32" ht="13.8">
      <c r="A339" s="101"/>
      <c r="B339" s="101"/>
      <c r="C339" s="101"/>
      <c r="D339" s="101"/>
      <c r="E339" s="101"/>
      <c r="F339" s="101"/>
      <c r="G339" s="101"/>
      <c r="H339" s="101"/>
      <c r="I339" s="101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  <c r="AA339" s="101"/>
      <c r="AB339" s="101"/>
      <c r="AC339" s="101"/>
      <c r="AD339" s="101"/>
      <c r="AE339" s="101"/>
      <c r="AF339" s="101"/>
    </row>
    <row r="340" spans="1:32" ht="13.8">
      <c r="A340" s="101"/>
      <c r="B340" s="101"/>
      <c r="C340" s="101"/>
      <c r="D340" s="101"/>
      <c r="E340" s="101"/>
      <c r="F340" s="101"/>
      <c r="G340" s="101"/>
      <c r="H340" s="101"/>
      <c r="I340" s="101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  <c r="AA340" s="101"/>
      <c r="AB340" s="101"/>
      <c r="AC340" s="101"/>
      <c r="AD340" s="101"/>
      <c r="AE340" s="101"/>
      <c r="AF340" s="101"/>
    </row>
    <row r="341" spans="1:32" ht="13.8">
      <c r="A341" s="101"/>
      <c r="B341" s="101"/>
      <c r="C341" s="101"/>
      <c r="D341" s="101"/>
      <c r="E341" s="101"/>
      <c r="F341" s="101"/>
      <c r="G341" s="101"/>
      <c r="H341" s="101"/>
      <c r="I341" s="101"/>
      <c r="J341" s="101"/>
      <c r="K341" s="101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  <c r="AA341" s="101"/>
      <c r="AB341" s="101"/>
      <c r="AC341" s="101"/>
      <c r="AD341" s="101"/>
      <c r="AE341" s="101"/>
      <c r="AF341" s="101"/>
    </row>
    <row r="342" spans="1:32" ht="13.8">
      <c r="A342" s="101"/>
      <c r="B342" s="101"/>
      <c r="C342" s="101"/>
      <c r="D342" s="101"/>
      <c r="E342" s="101"/>
      <c r="F342" s="101"/>
      <c r="G342" s="101"/>
      <c r="H342" s="101"/>
      <c r="I342" s="101"/>
      <c r="J342" s="101"/>
      <c r="K342" s="101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  <c r="AA342" s="101"/>
      <c r="AB342" s="101"/>
      <c r="AC342" s="101"/>
      <c r="AD342" s="101"/>
      <c r="AE342" s="101"/>
      <c r="AF342" s="101"/>
    </row>
    <row r="343" spans="1:32" ht="13.8">
      <c r="A343" s="101"/>
      <c r="B343" s="101"/>
      <c r="C343" s="101"/>
      <c r="D343" s="101"/>
      <c r="E343" s="101"/>
      <c r="F343" s="101"/>
      <c r="G343" s="101"/>
      <c r="H343" s="101"/>
      <c r="I343" s="101"/>
      <c r="J343" s="101"/>
      <c r="K343" s="101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  <c r="AA343" s="101"/>
      <c r="AB343" s="101"/>
      <c r="AC343" s="101"/>
      <c r="AD343" s="101"/>
      <c r="AE343" s="101"/>
      <c r="AF343" s="101"/>
    </row>
    <row r="344" spans="1:32" ht="13.8">
      <c r="A344" s="101"/>
      <c r="B344" s="101"/>
      <c r="C344" s="101"/>
      <c r="D344" s="101"/>
      <c r="E344" s="101"/>
      <c r="F344" s="101"/>
      <c r="G344" s="101"/>
      <c r="H344" s="101"/>
      <c r="I344" s="101"/>
      <c r="J344" s="101"/>
      <c r="K344" s="101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  <c r="AA344" s="101"/>
      <c r="AB344" s="101"/>
      <c r="AC344" s="101"/>
      <c r="AD344" s="101"/>
      <c r="AE344" s="101"/>
      <c r="AF344" s="101"/>
    </row>
    <row r="345" spans="1:32" ht="13.8">
      <c r="A345" s="101"/>
      <c r="B345" s="101"/>
      <c r="C345" s="101"/>
      <c r="D345" s="101"/>
      <c r="E345" s="101"/>
      <c r="F345" s="101"/>
      <c r="G345" s="101"/>
      <c r="H345" s="101"/>
      <c r="I345" s="101"/>
      <c r="J345" s="101"/>
      <c r="K345" s="101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  <c r="AA345" s="101"/>
      <c r="AB345" s="101"/>
      <c r="AC345" s="101"/>
      <c r="AD345" s="101"/>
      <c r="AE345" s="101"/>
      <c r="AF345" s="101"/>
    </row>
    <row r="346" spans="1:32" ht="13.8">
      <c r="A346" s="101"/>
      <c r="B346" s="101"/>
      <c r="C346" s="101"/>
      <c r="D346" s="101"/>
      <c r="E346" s="101"/>
      <c r="F346" s="101"/>
      <c r="G346" s="101"/>
      <c r="H346" s="101"/>
      <c r="I346" s="101"/>
      <c r="J346" s="101"/>
      <c r="K346" s="101"/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  <c r="Z346" s="101"/>
      <c r="AA346" s="101"/>
      <c r="AB346" s="101"/>
      <c r="AC346" s="101"/>
      <c r="AD346" s="101"/>
      <c r="AE346" s="101"/>
      <c r="AF346" s="101"/>
    </row>
    <row r="347" spans="1:32" ht="13.8">
      <c r="A347" s="101"/>
      <c r="B347" s="101"/>
      <c r="C347" s="101"/>
      <c r="D347" s="101"/>
      <c r="E347" s="101"/>
      <c r="F347" s="101"/>
      <c r="G347" s="101"/>
      <c r="H347" s="101"/>
      <c r="I347" s="101"/>
      <c r="J347" s="101"/>
      <c r="K347" s="101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  <c r="AA347" s="101"/>
      <c r="AB347" s="101"/>
      <c r="AC347" s="101"/>
      <c r="AD347" s="101"/>
      <c r="AE347" s="101"/>
      <c r="AF347" s="101"/>
    </row>
    <row r="348" spans="1:32" ht="13.8">
      <c r="A348" s="101"/>
      <c r="B348" s="101"/>
      <c r="C348" s="101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</row>
    <row r="349" spans="1:32" ht="13.8">
      <c r="A349" s="101"/>
      <c r="B349" s="101"/>
      <c r="C349" s="101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</row>
    <row r="350" spans="1:32" ht="13.8">
      <c r="A350" s="101"/>
      <c r="B350" s="101"/>
      <c r="C350" s="101"/>
      <c r="D350" s="101"/>
      <c r="E350" s="101"/>
      <c r="F350" s="101"/>
      <c r="G350" s="101"/>
      <c r="H350" s="101"/>
      <c r="I350" s="101"/>
      <c r="J350" s="101"/>
      <c r="K350" s="101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  <c r="AA350" s="101"/>
      <c r="AB350" s="101"/>
      <c r="AC350" s="101"/>
      <c r="AD350" s="101"/>
      <c r="AE350" s="101"/>
      <c r="AF350" s="101"/>
    </row>
    <row r="351" spans="1:32" ht="13.8">
      <c r="A351" s="101"/>
      <c r="B351" s="101"/>
      <c r="C351" s="101"/>
      <c r="D351" s="101"/>
      <c r="E351" s="101"/>
      <c r="F351" s="101"/>
      <c r="G351" s="101"/>
      <c r="H351" s="101"/>
      <c r="I351" s="101"/>
      <c r="J351" s="101"/>
      <c r="K351" s="101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  <c r="Z351" s="101"/>
      <c r="AA351" s="101"/>
      <c r="AB351" s="101"/>
      <c r="AC351" s="101"/>
      <c r="AD351" s="101"/>
      <c r="AE351" s="101"/>
      <c r="AF351" s="101"/>
    </row>
    <row r="352" spans="1:32" ht="13.8">
      <c r="A352" s="101"/>
      <c r="B352" s="101"/>
      <c r="C352" s="101"/>
      <c r="D352" s="101"/>
      <c r="E352" s="101"/>
      <c r="F352" s="101"/>
      <c r="G352" s="101"/>
      <c r="H352" s="101"/>
      <c r="I352" s="101"/>
      <c r="J352" s="101"/>
      <c r="K352" s="101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  <c r="AA352" s="101"/>
      <c r="AB352" s="101"/>
      <c r="AC352" s="101"/>
      <c r="AD352" s="101"/>
      <c r="AE352" s="101"/>
      <c r="AF352" s="101"/>
    </row>
    <row r="353" spans="1:32" ht="13.8">
      <c r="A353" s="101"/>
      <c r="B353" s="101"/>
      <c r="C353" s="101"/>
      <c r="D353" s="101"/>
      <c r="E353" s="101"/>
      <c r="F353" s="101"/>
      <c r="G353" s="101"/>
      <c r="H353" s="101"/>
      <c r="I353" s="101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  <c r="AA353" s="101"/>
      <c r="AB353" s="101"/>
      <c r="AC353" s="101"/>
      <c r="AD353" s="101"/>
      <c r="AE353" s="101"/>
      <c r="AF353" s="101"/>
    </row>
    <row r="354" spans="1:32" ht="13.8">
      <c r="A354" s="101"/>
      <c r="B354" s="101"/>
      <c r="C354" s="101"/>
      <c r="D354" s="101"/>
      <c r="E354" s="101"/>
      <c r="F354" s="101"/>
      <c r="G354" s="101"/>
      <c r="H354" s="101"/>
      <c r="I354" s="101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  <c r="AA354" s="101"/>
      <c r="AB354" s="101"/>
      <c r="AC354" s="101"/>
      <c r="AD354" s="101"/>
      <c r="AE354" s="101"/>
      <c r="AF354" s="101"/>
    </row>
    <row r="355" spans="1:32" ht="13.8">
      <c r="A355" s="101"/>
      <c r="B355" s="101"/>
      <c r="C355" s="101"/>
      <c r="D355" s="101"/>
      <c r="E355" s="101"/>
      <c r="F355" s="101"/>
      <c r="G355" s="101"/>
      <c r="H355" s="101"/>
      <c r="I355" s="101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  <c r="AA355" s="101"/>
      <c r="AB355" s="101"/>
      <c r="AC355" s="101"/>
      <c r="AD355" s="101"/>
      <c r="AE355" s="101"/>
      <c r="AF355" s="101"/>
    </row>
    <row r="356" spans="1:32" ht="13.8">
      <c r="A356" s="101"/>
      <c r="B356" s="101"/>
      <c r="C356" s="101"/>
      <c r="D356" s="101"/>
      <c r="E356" s="101"/>
      <c r="F356" s="101"/>
      <c r="G356" s="101"/>
      <c r="H356" s="101"/>
      <c r="I356" s="101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  <c r="AA356" s="101"/>
      <c r="AB356" s="101"/>
      <c r="AC356" s="101"/>
      <c r="AD356" s="101"/>
      <c r="AE356" s="101"/>
      <c r="AF356" s="101"/>
    </row>
    <row r="357" spans="1:32" ht="13.8">
      <c r="A357" s="101"/>
      <c r="B357" s="101"/>
      <c r="C357" s="101"/>
      <c r="D357" s="101"/>
      <c r="E357" s="101"/>
      <c r="F357" s="101"/>
      <c r="G357" s="101"/>
      <c r="H357" s="101"/>
      <c r="I357" s="101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  <c r="AA357" s="101"/>
      <c r="AB357" s="101"/>
      <c r="AC357" s="101"/>
      <c r="AD357" s="101"/>
      <c r="AE357" s="101"/>
      <c r="AF357" s="101"/>
    </row>
    <row r="358" spans="1:32" ht="13.8">
      <c r="A358" s="101"/>
      <c r="B358" s="101"/>
      <c r="C358" s="101"/>
      <c r="D358" s="101"/>
      <c r="E358" s="101"/>
      <c r="F358" s="101"/>
      <c r="G358" s="101"/>
      <c r="H358" s="101"/>
      <c r="I358" s="101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  <c r="AA358" s="101"/>
      <c r="AB358" s="101"/>
      <c r="AC358" s="101"/>
      <c r="AD358" s="101"/>
      <c r="AE358" s="101"/>
      <c r="AF358" s="101"/>
    </row>
    <row r="359" spans="1:32" ht="13.8">
      <c r="A359" s="101"/>
      <c r="B359" s="101"/>
      <c r="C359" s="101"/>
      <c r="D359" s="101"/>
      <c r="E359" s="101"/>
      <c r="F359" s="101"/>
      <c r="G359" s="101"/>
      <c r="H359" s="101"/>
      <c r="I359" s="101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  <c r="AA359" s="101"/>
      <c r="AB359" s="101"/>
      <c r="AC359" s="101"/>
      <c r="AD359" s="101"/>
      <c r="AE359" s="101"/>
      <c r="AF359" s="101"/>
    </row>
    <row r="360" spans="1:32" ht="13.8">
      <c r="A360" s="101"/>
      <c r="B360" s="101"/>
      <c r="C360" s="101"/>
      <c r="D360" s="101"/>
      <c r="E360" s="101"/>
      <c r="F360" s="101"/>
      <c r="G360" s="101"/>
      <c r="H360" s="101"/>
      <c r="I360" s="101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  <c r="AA360" s="101"/>
      <c r="AB360" s="101"/>
      <c r="AC360" s="101"/>
      <c r="AD360" s="101"/>
      <c r="AE360" s="101"/>
      <c r="AF360" s="101"/>
    </row>
    <row r="361" spans="1:32" ht="13.8">
      <c r="A361" s="101"/>
      <c r="B361" s="101"/>
      <c r="C361" s="101"/>
      <c r="D361" s="101"/>
      <c r="E361" s="101"/>
      <c r="F361" s="101"/>
      <c r="G361" s="101"/>
      <c r="H361" s="101"/>
      <c r="I361" s="101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  <c r="AA361" s="101"/>
      <c r="AB361" s="101"/>
      <c r="AC361" s="101"/>
      <c r="AD361" s="101"/>
      <c r="AE361" s="101"/>
      <c r="AF361" s="101"/>
    </row>
    <row r="362" spans="1:32" ht="13.8">
      <c r="A362" s="101"/>
      <c r="B362" s="101"/>
      <c r="C362" s="101"/>
      <c r="D362" s="101"/>
      <c r="E362" s="101"/>
      <c r="F362" s="101"/>
      <c r="G362" s="101"/>
      <c r="H362" s="101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  <c r="AA362" s="101"/>
      <c r="AB362" s="101"/>
      <c r="AC362" s="101"/>
      <c r="AD362" s="101"/>
      <c r="AE362" s="101"/>
      <c r="AF362" s="101"/>
    </row>
    <row r="363" spans="1:32" ht="13.8">
      <c r="A363" s="101"/>
      <c r="B363" s="101"/>
      <c r="C363" s="101"/>
      <c r="D363" s="101"/>
      <c r="E363" s="101"/>
      <c r="F363" s="101"/>
      <c r="G363" s="101"/>
      <c r="H363" s="101"/>
      <c r="I363" s="101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  <c r="AA363" s="101"/>
      <c r="AB363" s="101"/>
      <c r="AC363" s="101"/>
      <c r="AD363" s="101"/>
      <c r="AE363" s="101"/>
      <c r="AF363" s="101"/>
    </row>
    <row r="364" spans="1:32" ht="13.8">
      <c r="A364" s="101"/>
      <c r="B364" s="101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  <c r="AC364" s="101"/>
      <c r="AD364" s="101"/>
      <c r="AE364" s="101"/>
      <c r="AF364" s="101"/>
    </row>
    <row r="365" spans="1:32" ht="13.8">
      <c r="A365" s="101"/>
      <c r="B365" s="101"/>
      <c r="C365" s="101"/>
      <c r="D365" s="101"/>
      <c r="E365" s="101"/>
      <c r="F365" s="101"/>
      <c r="G365" s="101"/>
      <c r="H365" s="101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  <c r="AA365" s="101"/>
      <c r="AB365" s="101"/>
      <c r="AC365" s="101"/>
      <c r="AD365" s="101"/>
      <c r="AE365" s="101"/>
      <c r="AF365" s="101"/>
    </row>
    <row r="366" spans="1:32" ht="13.8">
      <c r="A366" s="101"/>
      <c r="B366" s="101"/>
      <c r="C366" s="101"/>
      <c r="D366" s="101"/>
      <c r="E366" s="101"/>
      <c r="F366" s="101"/>
      <c r="G366" s="101"/>
      <c r="H366" s="101"/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  <c r="AA366" s="101"/>
      <c r="AB366" s="101"/>
      <c r="AC366" s="101"/>
      <c r="AD366" s="101"/>
      <c r="AE366" s="101"/>
      <c r="AF366" s="101"/>
    </row>
    <row r="367" spans="1:32" ht="13.8">
      <c r="A367" s="101"/>
      <c r="B367" s="101"/>
      <c r="C367" s="101"/>
      <c r="D367" s="101"/>
      <c r="E367" s="101"/>
      <c r="F367" s="101"/>
      <c r="G367" s="101"/>
      <c r="H367" s="101"/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  <c r="AA367" s="101"/>
      <c r="AB367" s="101"/>
      <c r="AC367" s="101"/>
      <c r="AD367" s="101"/>
      <c r="AE367" s="101"/>
      <c r="AF367" s="101"/>
    </row>
    <row r="368" spans="1:32" ht="13.8">
      <c r="A368" s="101"/>
      <c r="B368" s="101"/>
      <c r="C368" s="101"/>
      <c r="D368" s="101"/>
      <c r="E368" s="101"/>
      <c r="F368" s="101"/>
      <c r="G368" s="101"/>
      <c r="H368" s="101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  <c r="AA368" s="101"/>
      <c r="AB368" s="101"/>
      <c r="AC368" s="101"/>
      <c r="AD368" s="101"/>
      <c r="AE368" s="101"/>
      <c r="AF368" s="101"/>
    </row>
    <row r="369" spans="1:32" ht="13.8">
      <c r="A369" s="101"/>
      <c r="B369" s="101"/>
      <c r="C369" s="101"/>
      <c r="D369" s="101"/>
      <c r="E369" s="101"/>
      <c r="F369" s="101"/>
      <c r="G369" s="101"/>
      <c r="H369" s="101"/>
      <c r="I369" s="101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  <c r="AA369" s="101"/>
      <c r="AB369" s="101"/>
      <c r="AC369" s="101"/>
      <c r="AD369" s="101"/>
      <c r="AE369" s="101"/>
      <c r="AF369" s="101"/>
    </row>
    <row r="370" spans="1:32" ht="13.8">
      <c r="A370" s="101"/>
      <c r="B370" s="101"/>
      <c r="C370" s="101"/>
      <c r="D370" s="101"/>
      <c r="E370" s="101"/>
      <c r="F370" s="101"/>
      <c r="G370" s="101"/>
      <c r="H370" s="101"/>
      <c r="I370" s="101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  <c r="Z370" s="101"/>
      <c r="AA370" s="101"/>
      <c r="AB370" s="101"/>
      <c r="AC370" s="101"/>
      <c r="AD370" s="101"/>
      <c r="AE370" s="101"/>
      <c r="AF370" s="101"/>
    </row>
    <row r="371" spans="1:32" ht="13.8">
      <c r="A371" s="101"/>
      <c r="B371" s="101"/>
      <c r="C371" s="101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</row>
    <row r="372" spans="1:32" ht="13.8">
      <c r="A372" s="101"/>
      <c r="B372" s="101"/>
      <c r="C372" s="101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</row>
    <row r="373" spans="1:32" ht="13.8">
      <c r="A373" s="101"/>
      <c r="B373" s="101"/>
      <c r="C373" s="101"/>
      <c r="D373" s="101"/>
      <c r="E373" s="101"/>
      <c r="F373" s="101"/>
      <c r="G373" s="101"/>
      <c r="H373" s="101"/>
      <c r="I373" s="101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  <c r="Z373" s="101"/>
      <c r="AA373" s="101"/>
      <c r="AB373" s="101"/>
      <c r="AC373" s="101"/>
      <c r="AD373" s="101"/>
      <c r="AE373" s="101"/>
      <c r="AF373" s="101"/>
    </row>
    <row r="374" spans="1:32" ht="13.8">
      <c r="A374" s="101"/>
      <c r="B374" s="101"/>
      <c r="C374" s="101"/>
      <c r="D374" s="101"/>
      <c r="E374" s="101"/>
      <c r="F374" s="101"/>
      <c r="G374" s="101"/>
      <c r="H374" s="101"/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  <c r="AA374" s="101"/>
      <c r="AB374" s="101"/>
      <c r="AC374" s="101"/>
      <c r="AD374" s="101"/>
      <c r="AE374" s="101"/>
      <c r="AF374" s="101"/>
    </row>
    <row r="375" spans="1:32" ht="13.8">
      <c r="A375" s="101"/>
      <c r="B375" s="101"/>
      <c r="C375" s="101"/>
      <c r="D375" s="101"/>
      <c r="E375" s="101"/>
      <c r="F375" s="101"/>
      <c r="G375" s="101"/>
      <c r="H375" s="101"/>
      <c r="I375" s="101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  <c r="Z375" s="101"/>
      <c r="AA375" s="101"/>
      <c r="AB375" s="101"/>
      <c r="AC375" s="101"/>
      <c r="AD375" s="101"/>
      <c r="AE375" s="101"/>
      <c r="AF375" s="101"/>
    </row>
    <row r="376" spans="1:32" ht="13.8">
      <c r="A376" s="101"/>
      <c r="B376" s="101"/>
      <c r="C376" s="101"/>
      <c r="D376" s="101"/>
      <c r="E376" s="101"/>
      <c r="F376" s="101"/>
      <c r="G376" s="101"/>
      <c r="H376" s="101"/>
      <c r="I376" s="101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  <c r="AA376" s="101"/>
      <c r="AB376" s="101"/>
      <c r="AC376" s="101"/>
      <c r="AD376" s="101"/>
      <c r="AE376" s="101"/>
      <c r="AF376" s="101"/>
    </row>
    <row r="377" spans="1:32" ht="13.8">
      <c r="A377" s="101"/>
      <c r="B377" s="101"/>
      <c r="C377" s="101"/>
      <c r="D377" s="101"/>
      <c r="E377" s="101"/>
      <c r="F377" s="101"/>
      <c r="G377" s="101"/>
      <c r="H377" s="101"/>
      <c r="I377" s="101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  <c r="AA377" s="101"/>
      <c r="AB377" s="101"/>
      <c r="AC377" s="101"/>
      <c r="AD377" s="101"/>
      <c r="AE377" s="101"/>
      <c r="AF377" s="101"/>
    </row>
    <row r="378" spans="1:32" ht="13.8">
      <c r="A378" s="101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  <c r="AB378" s="101"/>
      <c r="AC378" s="101"/>
      <c r="AD378" s="101"/>
      <c r="AE378" s="101"/>
      <c r="AF378" s="101"/>
    </row>
    <row r="379" spans="1:32" ht="13.8">
      <c r="A379" s="101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  <c r="AD379" s="101"/>
      <c r="AE379" s="101"/>
      <c r="AF379" s="101"/>
    </row>
    <row r="380" spans="1:32" ht="13.8">
      <c r="A380" s="101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  <c r="AD380" s="101"/>
      <c r="AE380" s="101"/>
      <c r="AF380" s="101"/>
    </row>
    <row r="381" spans="1:32" ht="13.8">
      <c r="A381" s="101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  <c r="AD381" s="101"/>
      <c r="AE381" s="101"/>
      <c r="AF381" s="101"/>
    </row>
    <row r="382" spans="1:32" ht="13.8">
      <c r="A382" s="101"/>
      <c r="B382" s="101"/>
      <c r="C382" s="101"/>
      <c r="D382" s="101"/>
      <c r="E382" s="101"/>
      <c r="F382" s="101"/>
      <c r="G382" s="101"/>
      <c r="H382" s="101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  <c r="AA382" s="101"/>
      <c r="AB382" s="101"/>
      <c r="AC382" s="101"/>
      <c r="AD382" s="101"/>
      <c r="AE382" s="101"/>
      <c r="AF382" s="101"/>
    </row>
    <row r="383" spans="1:32" ht="13.8">
      <c r="A383" s="101"/>
      <c r="B383" s="101"/>
      <c r="C383" s="101"/>
      <c r="D383" s="101"/>
      <c r="E383" s="101"/>
      <c r="F383" s="101"/>
      <c r="G383" s="101"/>
      <c r="H383" s="101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  <c r="AA383" s="101"/>
      <c r="AB383" s="101"/>
      <c r="AC383" s="101"/>
      <c r="AD383" s="101"/>
      <c r="AE383" s="101"/>
      <c r="AF383" s="101"/>
    </row>
    <row r="384" spans="1:32" ht="13.8">
      <c r="A384" s="101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  <c r="AA384" s="101"/>
      <c r="AB384" s="101"/>
      <c r="AC384" s="101"/>
      <c r="AD384" s="101"/>
      <c r="AE384" s="101"/>
      <c r="AF384" s="101"/>
    </row>
    <row r="385" spans="1:32" ht="13.8">
      <c r="A385" s="101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  <c r="AA385" s="101"/>
      <c r="AB385" s="101"/>
      <c r="AC385" s="101"/>
      <c r="AD385" s="101"/>
      <c r="AE385" s="101"/>
      <c r="AF385" s="101"/>
    </row>
    <row r="386" spans="1:32" ht="13.8">
      <c r="A386" s="101"/>
      <c r="B386" s="101"/>
      <c r="C386" s="101"/>
      <c r="D386" s="101"/>
      <c r="E386" s="101"/>
      <c r="F386" s="101"/>
      <c r="G386" s="101"/>
      <c r="H386" s="101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  <c r="AA386" s="101"/>
      <c r="AB386" s="101"/>
      <c r="AC386" s="101"/>
      <c r="AD386" s="101"/>
      <c r="AE386" s="101"/>
      <c r="AF386" s="101"/>
    </row>
    <row r="387" spans="1:32" ht="13.8">
      <c r="A387" s="101"/>
      <c r="B387" s="101"/>
      <c r="C387" s="101"/>
      <c r="D387" s="101"/>
      <c r="E387" s="101"/>
      <c r="F387" s="101"/>
      <c r="G387" s="101"/>
      <c r="H387" s="101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  <c r="AA387" s="101"/>
      <c r="AB387" s="101"/>
      <c r="AC387" s="101"/>
      <c r="AD387" s="101"/>
      <c r="AE387" s="101"/>
      <c r="AF387" s="101"/>
    </row>
    <row r="388" spans="1:32" ht="13.8">
      <c r="A388" s="101"/>
      <c r="B388" s="101"/>
      <c r="C388" s="101"/>
      <c r="D388" s="101"/>
      <c r="E388" s="101"/>
      <c r="F388" s="101"/>
      <c r="G388" s="101"/>
      <c r="H388" s="101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  <c r="AA388" s="101"/>
      <c r="AB388" s="101"/>
      <c r="AC388" s="101"/>
      <c r="AD388" s="101"/>
      <c r="AE388" s="101"/>
      <c r="AF388" s="101"/>
    </row>
    <row r="389" spans="1:32" ht="13.8">
      <c r="A389" s="101"/>
      <c r="B389" s="101"/>
      <c r="C389" s="101"/>
      <c r="D389" s="101"/>
      <c r="E389" s="101"/>
      <c r="F389" s="101"/>
      <c r="G389" s="101"/>
      <c r="H389" s="101"/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  <c r="AA389" s="101"/>
      <c r="AB389" s="101"/>
      <c r="AC389" s="101"/>
      <c r="AD389" s="101"/>
      <c r="AE389" s="101"/>
      <c r="AF389" s="101"/>
    </row>
    <row r="390" spans="1:32" ht="13.8">
      <c r="A390" s="101"/>
      <c r="B390" s="101"/>
      <c r="C390" s="101"/>
      <c r="D390" s="101"/>
      <c r="E390" s="101"/>
      <c r="F390" s="101"/>
      <c r="G390" s="101"/>
      <c r="H390" s="101"/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  <c r="AA390" s="101"/>
      <c r="AB390" s="101"/>
      <c r="AC390" s="101"/>
      <c r="AD390" s="101"/>
      <c r="AE390" s="101"/>
      <c r="AF390" s="101"/>
    </row>
    <row r="391" spans="1:32" ht="13.8">
      <c r="A391" s="101"/>
      <c r="B391" s="101"/>
      <c r="C391" s="101"/>
      <c r="D391" s="101"/>
      <c r="E391" s="101"/>
      <c r="F391" s="101"/>
      <c r="G391" s="101"/>
      <c r="H391" s="101"/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  <c r="AA391" s="101"/>
      <c r="AB391" s="101"/>
      <c r="AC391" s="101"/>
      <c r="AD391" s="101"/>
      <c r="AE391" s="101"/>
      <c r="AF391" s="101"/>
    </row>
    <row r="392" spans="1:32" ht="13.8">
      <c r="A392" s="101"/>
      <c r="B392" s="101"/>
      <c r="C392" s="101"/>
      <c r="D392" s="101"/>
      <c r="E392" s="101"/>
      <c r="F392" s="101"/>
      <c r="G392" s="101"/>
      <c r="H392" s="101"/>
      <c r="I392" s="101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  <c r="AA392" s="101"/>
      <c r="AB392" s="101"/>
      <c r="AC392" s="101"/>
      <c r="AD392" s="101"/>
      <c r="AE392" s="101"/>
      <c r="AF392" s="101"/>
    </row>
    <row r="393" spans="1:32" ht="13.8">
      <c r="A393" s="101"/>
      <c r="B393" s="101"/>
      <c r="C393" s="101"/>
      <c r="D393" s="101"/>
      <c r="E393" s="101"/>
      <c r="F393" s="101"/>
      <c r="G393" s="101"/>
      <c r="H393" s="101"/>
      <c r="I393" s="101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  <c r="AA393" s="101"/>
      <c r="AB393" s="101"/>
      <c r="AC393" s="101"/>
      <c r="AD393" s="101"/>
      <c r="AE393" s="101"/>
      <c r="AF393" s="101"/>
    </row>
    <row r="394" spans="1:32" ht="13.8">
      <c r="A394" s="101"/>
      <c r="B394" s="101"/>
      <c r="C394" s="101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</row>
    <row r="395" spans="1:32" ht="13.8">
      <c r="A395" s="101"/>
      <c r="B395" s="101"/>
      <c r="C395" s="101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</row>
    <row r="396" spans="1:32" ht="13.8">
      <c r="A396" s="101"/>
      <c r="B396" s="101"/>
      <c r="C396" s="101"/>
      <c r="D396" s="101"/>
      <c r="E396" s="101"/>
      <c r="F396" s="101"/>
      <c r="G396" s="101"/>
      <c r="H396" s="101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  <c r="AA396" s="101"/>
      <c r="AB396" s="101"/>
      <c r="AC396" s="101"/>
      <c r="AD396" s="101"/>
      <c r="AE396" s="101"/>
      <c r="AF396" s="101"/>
    </row>
    <row r="397" spans="1:32" ht="13.8">
      <c r="A397" s="101"/>
      <c r="B397" s="101"/>
      <c r="C397" s="101"/>
      <c r="D397" s="101"/>
      <c r="E397" s="101"/>
      <c r="F397" s="101"/>
      <c r="G397" s="101"/>
      <c r="H397" s="101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  <c r="AA397" s="101"/>
      <c r="AB397" s="101"/>
      <c r="AC397" s="101"/>
      <c r="AD397" s="101"/>
      <c r="AE397" s="101"/>
      <c r="AF397" s="101"/>
    </row>
    <row r="398" spans="1:32" ht="13.8">
      <c r="A398" s="101"/>
      <c r="B398" s="101"/>
      <c r="C398" s="101"/>
      <c r="D398" s="101"/>
      <c r="E398" s="101"/>
      <c r="F398" s="101"/>
      <c r="G398" s="101"/>
      <c r="H398" s="101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  <c r="AA398" s="101"/>
      <c r="AB398" s="101"/>
      <c r="AC398" s="101"/>
      <c r="AD398" s="101"/>
      <c r="AE398" s="101"/>
      <c r="AF398" s="101"/>
    </row>
    <row r="399" spans="1:32" ht="13.8">
      <c r="A399" s="101"/>
      <c r="B399" s="101"/>
      <c r="C399" s="101"/>
      <c r="D399" s="101"/>
      <c r="E399" s="101"/>
      <c r="F399" s="101"/>
      <c r="G399" s="101"/>
      <c r="H399" s="101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  <c r="AA399" s="101"/>
      <c r="AB399" s="101"/>
      <c r="AC399" s="101"/>
      <c r="AD399" s="101"/>
      <c r="AE399" s="101"/>
      <c r="AF399" s="101"/>
    </row>
    <row r="400" spans="1:32" ht="13.8">
      <c r="A400" s="101"/>
      <c r="B400" s="101"/>
      <c r="C400" s="101"/>
      <c r="D400" s="101"/>
      <c r="E400" s="101"/>
      <c r="F400" s="101"/>
      <c r="G400" s="101"/>
      <c r="H400" s="101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  <c r="AA400" s="101"/>
      <c r="AB400" s="101"/>
      <c r="AC400" s="101"/>
      <c r="AD400" s="101"/>
      <c r="AE400" s="101"/>
      <c r="AF400" s="101"/>
    </row>
    <row r="401" spans="1:32" ht="13.8">
      <c r="A401" s="101"/>
      <c r="B401" s="101"/>
      <c r="C401" s="101"/>
      <c r="D401" s="101"/>
      <c r="E401" s="101"/>
      <c r="F401" s="101"/>
      <c r="G401" s="101"/>
      <c r="H401" s="101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  <c r="AA401" s="101"/>
      <c r="AB401" s="101"/>
      <c r="AC401" s="101"/>
      <c r="AD401" s="101"/>
      <c r="AE401" s="101"/>
      <c r="AF401" s="101"/>
    </row>
    <row r="402" spans="1:32" ht="13.8">
      <c r="A402" s="101"/>
      <c r="B402" s="101"/>
      <c r="C402" s="101"/>
      <c r="D402" s="101"/>
      <c r="E402" s="101"/>
      <c r="F402" s="101"/>
      <c r="G402" s="101"/>
      <c r="H402" s="101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  <c r="AA402" s="101"/>
      <c r="AB402" s="101"/>
      <c r="AC402" s="101"/>
      <c r="AD402" s="101"/>
      <c r="AE402" s="101"/>
      <c r="AF402" s="101"/>
    </row>
    <row r="403" spans="1:32" ht="13.8">
      <c r="A403" s="101"/>
      <c r="B403" s="101"/>
      <c r="C403" s="101"/>
      <c r="D403" s="101"/>
      <c r="E403" s="101"/>
      <c r="F403" s="101"/>
      <c r="G403" s="101"/>
      <c r="H403" s="101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  <c r="AA403" s="101"/>
      <c r="AB403" s="101"/>
      <c r="AC403" s="101"/>
      <c r="AD403" s="101"/>
      <c r="AE403" s="101"/>
      <c r="AF403" s="101"/>
    </row>
    <row r="404" spans="1:32" ht="13.8">
      <c r="A404" s="101"/>
      <c r="B404" s="101"/>
      <c r="C404" s="101"/>
      <c r="D404" s="101"/>
      <c r="E404" s="101"/>
      <c r="F404" s="101"/>
      <c r="G404" s="101"/>
      <c r="H404" s="101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  <c r="AA404" s="101"/>
      <c r="AB404" s="101"/>
      <c r="AC404" s="101"/>
      <c r="AD404" s="101"/>
      <c r="AE404" s="101"/>
      <c r="AF404" s="101"/>
    </row>
    <row r="405" spans="1:32" ht="13.8">
      <c r="A405" s="101"/>
      <c r="B405" s="101"/>
      <c r="C405" s="101"/>
      <c r="D405" s="101"/>
      <c r="E405" s="101"/>
      <c r="F405" s="101"/>
      <c r="G405" s="101"/>
      <c r="H405" s="101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  <c r="AA405" s="101"/>
      <c r="AB405" s="101"/>
      <c r="AC405" s="101"/>
      <c r="AD405" s="101"/>
      <c r="AE405" s="101"/>
      <c r="AF405" s="101"/>
    </row>
    <row r="406" spans="1:32" ht="13.8">
      <c r="A406" s="101"/>
      <c r="B406" s="101"/>
      <c r="C406" s="101"/>
      <c r="D406" s="101"/>
      <c r="E406" s="101"/>
      <c r="F406" s="101"/>
      <c r="G406" s="101"/>
      <c r="H406" s="101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  <c r="AA406" s="101"/>
      <c r="AB406" s="101"/>
      <c r="AC406" s="101"/>
      <c r="AD406" s="101"/>
      <c r="AE406" s="101"/>
      <c r="AF406" s="101"/>
    </row>
    <row r="407" spans="1:32" ht="13.8">
      <c r="A407" s="101"/>
      <c r="B407" s="101"/>
      <c r="C407" s="101"/>
      <c r="D407" s="101"/>
      <c r="E407" s="101"/>
      <c r="F407" s="101"/>
      <c r="G407" s="101"/>
      <c r="H407" s="101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  <c r="Z407" s="101"/>
      <c r="AA407" s="101"/>
      <c r="AB407" s="101"/>
      <c r="AC407" s="101"/>
      <c r="AD407" s="101"/>
      <c r="AE407" s="101"/>
      <c r="AF407" s="101"/>
    </row>
    <row r="408" spans="1:32" ht="13.8">
      <c r="A408" s="101"/>
      <c r="B408" s="101"/>
      <c r="C408" s="101"/>
      <c r="D408" s="101"/>
      <c r="E408" s="101"/>
      <c r="F408" s="101"/>
      <c r="G408" s="101"/>
      <c r="H408" s="101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  <c r="AA408" s="101"/>
      <c r="AB408" s="101"/>
      <c r="AC408" s="101"/>
      <c r="AD408" s="101"/>
      <c r="AE408" s="101"/>
      <c r="AF408" s="101"/>
    </row>
    <row r="409" spans="1:32" ht="13.8">
      <c r="A409" s="101"/>
      <c r="B409" s="101"/>
      <c r="C409" s="101"/>
      <c r="D409" s="101"/>
      <c r="E409" s="101"/>
      <c r="F409" s="101"/>
      <c r="G409" s="101"/>
      <c r="H409" s="101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  <c r="AA409" s="101"/>
      <c r="AB409" s="101"/>
      <c r="AC409" s="101"/>
      <c r="AD409" s="101"/>
      <c r="AE409" s="101"/>
      <c r="AF409" s="101"/>
    </row>
    <row r="410" spans="1:32" ht="13.8">
      <c r="A410" s="101"/>
      <c r="B410" s="101"/>
      <c r="C410" s="101"/>
      <c r="D410" s="101"/>
      <c r="E410" s="101"/>
      <c r="F410" s="101"/>
      <c r="G410" s="101"/>
      <c r="H410" s="101"/>
      <c r="I410" s="101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  <c r="Z410" s="101"/>
      <c r="AA410" s="101"/>
      <c r="AB410" s="101"/>
      <c r="AC410" s="101"/>
      <c r="AD410" s="101"/>
      <c r="AE410" s="101"/>
      <c r="AF410" s="101"/>
    </row>
    <row r="411" spans="1:32" ht="13.8">
      <c r="A411" s="101"/>
      <c r="B411" s="101"/>
      <c r="C411" s="101"/>
      <c r="D411" s="101"/>
      <c r="E411" s="101"/>
      <c r="F411" s="101"/>
      <c r="G411" s="101"/>
      <c r="H411" s="101"/>
      <c r="I411" s="101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  <c r="AA411" s="101"/>
      <c r="AB411" s="101"/>
      <c r="AC411" s="101"/>
      <c r="AD411" s="101"/>
      <c r="AE411" s="101"/>
      <c r="AF411" s="101"/>
    </row>
    <row r="412" spans="1:32" ht="13.8">
      <c r="A412" s="101"/>
      <c r="B412" s="101"/>
      <c r="C412" s="101"/>
      <c r="D412" s="101"/>
      <c r="E412" s="101"/>
      <c r="F412" s="101"/>
      <c r="G412" s="101"/>
      <c r="H412" s="101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  <c r="Z412" s="101"/>
      <c r="AA412" s="101"/>
      <c r="AB412" s="101"/>
      <c r="AC412" s="101"/>
      <c r="AD412" s="101"/>
      <c r="AE412" s="101"/>
      <c r="AF412" s="101"/>
    </row>
    <row r="413" spans="1:32" ht="13.8">
      <c r="A413" s="101"/>
      <c r="B413" s="101"/>
      <c r="C413" s="101"/>
      <c r="D413" s="101"/>
      <c r="E413" s="101"/>
      <c r="F413" s="101"/>
      <c r="G413" s="101"/>
      <c r="H413" s="101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  <c r="AA413" s="101"/>
      <c r="AB413" s="101"/>
      <c r="AC413" s="101"/>
      <c r="AD413" s="101"/>
      <c r="AE413" s="101"/>
      <c r="AF413" s="101"/>
    </row>
    <row r="414" spans="1:32" ht="13.8">
      <c r="A414" s="101"/>
      <c r="B414" s="101"/>
      <c r="C414" s="101"/>
      <c r="D414" s="101"/>
      <c r="E414" s="101"/>
      <c r="F414" s="101"/>
      <c r="G414" s="101"/>
      <c r="H414" s="101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  <c r="AA414" s="101"/>
      <c r="AB414" s="101"/>
      <c r="AC414" s="101"/>
      <c r="AD414" s="101"/>
      <c r="AE414" s="101"/>
      <c r="AF414" s="101"/>
    </row>
    <row r="415" spans="1:32" ht="13.8">
      <c r="A415" s="101"/>
      <c r="B415" s="101"/>
      <c r="C415" s="101"/>
      <c r="D415" s="101"/>
      <c r="E415" s="101"/>
      <c r="F415" s="101"/>
      <c r="G415" s="101"/>
      <c r="H415" s="101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  <c r="Z415" s="101"/>
      <c r="AA415" s="101"/>
      <c r="AB415" s="101"/>
      <c r="AC415" s="101"/>
      <c r="AD415" s="101"/>
      <c r="AE415" s="101"/>
      <c r="AF415" s="101"/>
    </row>
    <row r="416" spans="1:32" ht="13.8">
      <c r="A416" s="101"/>
      <c r="B416" s="101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  <c r="AA416" s="101"/>
      <c r="AB416" s="101"/>
      <c r="AC416" s="101"/>
      <c r="AD416" s="101"/>
      <c r="AE416" s="101"/>
      <c r="AF416" s="101"/>
    </row>
    <row r="417" spans="1:32" ht="13.8">
      <c r="A417" s="101"/>
      <c r="B417" s="101"/>
      <c r="C417" s="101"/>
      <c r="D417" s="101"/>
      <c r="E417" s="101"/>
      <c r="F417" s="101"/>
      <c r="G417" s="10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</row>
    <row r="418" spans="1:32" ht="13.8">
      <c r="A418" s="101"/>
      <c r="B418" s="101"/>
      <c r="C418" s="101"/>
      <c r="D418" s="101"/>
      <c r="E418" s="101"/>
      <c r="F418" s="101"/>
      <c r="G418" s="101"/>
      <c r="H418" s="101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</row>
    <row r="419" spans="1:32" ht="13.8">
      <c r="A419" s="101"/>
      <c r="B419" s="101"/>
      <c r="C419" s="101"/>
      <c r="D419" s="101"/>
      <c r="E419" s="101"/>
      <c r="F419" s="101"/>
      <c r="G419" s="101"/>
      <c r="H419" s="101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  <c r="Z419" s="101"/>
      <c r="AA419" s="101"/>
      <c r="AB419" s="101"/>
      <c r="AC419" s="101"/>
      <c r="AD419" s="101"/>
      <c r="AE419" s="101"/>
      <c r="AF419" s="101"/>
    </row>
    <row r="420" spans="1:32" ht="13.8">
      <c r="A420" s="101"/>
      <c r="B420" s="101"/>
      <c r="C420" s="101"/>
      <c r="D420" s="101"/>
      <c r="E420" s="101"/>
      <c r="F420" s="101"/>
      <c r="G420" s="10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  <c r="AA420" s="101"/>
      <c r="AB420" s="101"/>
      <c r="AC420" s="101"/>
      <c r="AD420" s="101"/>
      <c r="AE420" s="101"/>
      <c r="AF420" s="101"/>
    </row>
    <row r="421" spans="1:32" ht="13.8">
      <c r="A421" s="101"/>
      <c r="B421" s="101"/>
      <c r="C421" s="101"/>
      <c r="D421" s="101"/>
      <c r="E421" s="101"/>
      <c r="F421" s="101"/>
      <c r="G421" s="10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  <c r="AA421" s="101"/>
      <c r="AB421" s="101"/>
      <c r="AC421" s="101"/>
      <c r="AD421" s="101"/>
      <c r="AE421" s="101"/>
      <c r="AF421" s="101"/>
    </row>
    <row r="422" spans="1:32" ht="13.8">
      <c r="A422" s="101"/>
      <c r="B422" s="101"/>
      <c r="C422" s="101"/>
      <c r="D422" s="101"/>
      <c r="E422" s="101"/>
      <c r="F422" s="101"/>
      <c r="G422" s="101"/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  <c r="AA422" s="101"/>
      <c r="AB422" s="101"/>
      <c r="AC422" s="101"/>
      <c r="AD422" s="101"/>
      <c r="AE422" s="101"/>
      <c r="AF422" s="101"/>
    </row>
    <row r="423" spans="1:32" ht="13.8">
      <c r="A423" s="101"/>
      <c r="B423" s="101"/>
      <c r="C423" s="101"/>
      <c r="D423" s="101"/>
      <c r="E423" s="101"/>
      <c r="F423" s="101"/>
      <c r="G423" s="10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  <c r="AA423" s="101"/>
      <c r="AB423" s="101"/>
      <c r="AC423" s="101"/>
      <c r="AD423" s="101"/>
      <c r="AE423" s="101"/>
      <c r="AF423" s="101"/>
    </row>
    <row r="424" spans="1:32" ht="13.8">
      <c r="A424" s="101"/>
      <c r="B424" s="101"/>
      <c r="C424" s="101"/>
      <c r="D424" s="101"/>
      <c r="E424" s="101"/>
      <c r="F424" s="101"/>
      <c r="G424" s="10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  <c r="AA424" s="101"/>
      <c r="AB424" s="101"/>
      <c r="AC424" s="101"/>
      <c r="AD424" s="101"/>
      <c r="AE424" s="101"/>
      <c r="AF424" s="101"/>
    </row>
    <row r="425" spans="1:32" ht="13.8">
      <c r="A425" s="101"/>
      <c r="B425" s="101"/>
      <c r="C425" s="101"/>
      <c r="D425" s="101"/>
      <c r="E425" s="101"/>
      <c r="F425" s="101"/>
      <c r="G425" s="101"/>
      <c r="H425" s="101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  <c r="AA425" s="101"/>
      <c r="AB425" s="101"/>
      <c r="AC425" s="101"/>
      <c r="AD425" s="101"/>
      <c r="AE425" s="101"/>
      <c r="AF425" s="101"/>
    </row>
    <row r="426" spans="1:32" ht="13.8">
      <c r="A426" s="101"/>
      <c r="B426" s="101"/>
      <c r="C426" s="101"/>
      <c r="D426" s="101"/>
      <c r="E426" s="101"/>
      <c r="F426" s="101"/>
      <c r="G426" s="101"/>
      <c r="H426" s="101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  <c r="AA426" s="101"/>
      <c r="AB426" s="101"/>
      <c r="AC426" s="101"/>
      <c r="AD426" s="101"/>
      <c r="AE426" s="101"/>
      <c r="AF426" s="101"/>
    </row>
    <row r="427" spans="1:32" ht="13.8">
      <c r="A427" s="101"/>
      <c r="B427" s="101"/>
      <c r="C427" s="101"/>
      <c r="D427" s="101"/>
      <c r="E427" s="101"/>
      <c r="F427" s="101"/>
      <c r="G427" s="101"/>
      <c r="H427" s="101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  <c r="AA427" s="101"/>
      <c r="AB427" s="101"/>
      <c r="AC427" s="101"/>
      <c r="AD427" s="101"/>
      <c r="AE427" s="101"/>
      <c r="AF427" s="101"/>
    </row>
    <row r="428" spans="1:32" ht="13.8">
      <c r="A428" s="101"/>
      <c r="B428" s="101"/>
      <c r="C428" s="101"/>
      <c r="D428" s="101"/>
      <c r="E428" s="101"/>
      <c r="F428" s="101"/>
      <c r="G428" s="101"/>
      <c r="H428" s="101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  <c r="AA428" s="101"/>
      <c r="AB428" s="101"/>
      <c r="AC428" s="101"/>
      <c r="AD428" s="101"/>
      <c r="AE428" s="101"/>
      <c r="AF428" s="101"/>
    </row>
    <row r="429" spans="1:32" ht="13.8">
      <c r="A429" s="101"/>
      <c r="B429" s="101"/>
      <c r="C429" s="101"/>
      <c r="D429" s="101"/>
      <c r="E429" s="101"/>
      <c r="F429" s="101"/>
      <c r="G429" s="101"/>
      <c r="H429" s="101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  <c r="AA429" s="101"/>
      <c r="AB429" s="101"/>
      <c r="AC429" s="101"/>
      <c r="AD429" s="101"/>
      <c r="AE429" s="101"/>
      <c r="AF429" s="101"/>
    </row>
    <row r="430" spans="1:32" ht="13.8">
      <c r="A430" s="101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  <c r="AC430" s="101"/>
      <c r="AD430" s="101"/>
      <c r="AE430" s="101"/>
      <c r="AF430" s="101"/>
    </row>
    <row r="431" spans="1:32" ht="13.8">
      <c r="A431" s="101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  <c r="AD431" s="101"/>
      <c r="AE431" s="101"/>
      <c r="AF431" s="101"/>
    </row>
    <row r="432" spans="1:32" ht="13.8">
      <c r="A432" s="101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  <c r="AD432" s="101"/>
      <c r="AE432" s="101"/>
      <c r="AF432" s="101"/>
    </row>
    <row r="433" spans="1:32" ht="13.8">
      <c r="A433" s="101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  <c r="AB433" s="101"/>
      <c r="AC433" s="101"/>
      <c r="AD433" s="101"/>
      <c r="AE433" s="101"/>
      <c r="AF433" s="101"/>
    </row>
    <row r="434" spans="1:32" ht="13.8">
      <c r="A434" s="101"/>
      <c r="B434" s="101"/>
      <c r="C434" s="101"/>
      <c r="D434" s="101"/>
      <c r="E434" s="101"/>
      <c r="F434" s="101"/>
      <c r="G434" s="101"/>
      <c r="H434" s="101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  <c r="AA434" s="101"/>
      <c r="AB434" s="101"/>
      <c r="AC434" s="101"/>
      <c r="AD434" s="101"/>
      <c r="AE434" s="101"/>
      <c r="AF434" s="101"/>
    </row>
    <row r="435" spans="1:32" ht="13.8">
      <c r="A435" s="101"/>
      <c r="B435" s="101"/>
      <c r="C435" s="101"/>
      <c r="D435" s="101"/>
      <c r="E435" s="101"/>
      <c r="F435" s="101"/>
      <c r="G435" s="101"/>
      <c r="H435" s="101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  <c r="AA435" s="101"/>
      <c r="AB435" s="101"/>
      <c r="AC435" s="101"/>
      <c r="AD435" s="101"/>
      <c r="AE435" s="101"/>
      <c r="AF435" s="101"/>
    </row>
    <row r="436" spans="1:32" ht="13.8">
      <c r="A436" s="101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  <c r="AA436" s="101"/>
      <c r="AB436" s="101"/>
      <c r="AC436" s="101"/>
      <c r="AD436" s="101"/>
      <c r="AE436" s="101"/>
      <c r="AF436" s="101"/>
    </row>
    <row r="437" spans="1:32" ht="13.8">
      <c r="A437" s="101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  <c r="AA437" s="101"/>
      <c r="AB437" s="101"/>
      <c r="AC437" s="101"/>
      <c r="AD437" s="101"/>
      <c r="AE437" s="101"/>
      <c r="AF437" s="101"/>
    </row>
    <row r="438" spans="1:32" ht="13.8">
      <c r="A438" s="101"/>
      <c r="B438" s="101"/>
      <c r="C438" s="101"/>
      <c r="D438" s="101"/>
      <c r="E438" s="101"/>
      <c r="F438" s="101"/>
      <c r="G438" s="101"/>
      <c r="H438" s="101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  <c r="AA438" s="101"/>
      <c r="AB438" s="101"/>
      <c r="AC438" s="101"/>
      <c r="AD438" s="101"/>
      <c r="AE438" s="101"/>
      <c r="AF438" s="101"/>
    </row>
    <row r="439" spans="1:32" ht="13.8">
      <c r="A439" s="101"/>
      <c r="B439" s="101"/>
      <c r="C439" s="101"/>
      <c r="D439" s="101"/>
      <c r="E439" s="101"/>
      <c r="F439" s="101"/>
      <c r="G439" s="101"/>
      <c r="H439" s="101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  <c r="AA439" s="101"/>
      <c r="AB439" s="101"/>
      <c r="AC439" s="101"/>
      <c r="AD439" s="101"/>
      <c r="AE439" s="101"/>
      <c r="AF439" s="101"/>
    </row>
    <row r="440" spans="1:32" ht="13.8">
      <c r="A440" s="101"/>
      <c r="B440" s="101"/>
      <c r="C440" s="101"/>
      <c r="D440" s="101"/>
      <c r="E440" s="101"/>
      <c r="F440" s="101"/>
      <c r="G440" s="101"/>
      <c r="H440" s="101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  <c r="AA440" s="101"/>
      <c r="AB440" s="101"/>
      <c r="AC440" s="101"/>
      <c r="AD440" s="101"/>
      <c r="AE440" s="101"/>
      <c r="AF440" s="101"/>
    </row>
    <row r="441" spans="1:32" ht="13.8">
      <c r="A441" s="101"/>
      <c r="B441" s="101"/>
      <c r="C441" s="101"/>
      <c r="D441" s="101"/>
      <c r="E441" s="101"/>
      <c r="F441" s="101"/>
      <c r="G441" s="101"/>
      <c r="H441" s="101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  <c r="AA441" s="101"/>
      <c r="AB441" s="101"/>
      <c r="AC441" s="101"/>
      <c r="AD441" s="101"/>
      <c r="AE441" s="101"/>
      <c r="AF441" s="101"/>
    </row>
    <row r="442" spans="1:32" ht="13.8">
      <c r="A442" s="101"/>
      <c r="B442" s="101"/>
      <c r="C442" s="101"/>
      <c r="D442" s="101"/>
      <c r="E442" s="101"/>
      <c r="F442" s="101"/>
      <c r="G442" s="101"/>
      <c r="H442" s="101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  <c r="AA442" s="101"/>
      <c r="AB442" s="101"/>
      <c r="AC442" s="101"/>
      <c r="AD442" s="101"/>
      <c r="AE442" s="101"/>
      <c r="AF442" s="101"/>
    </row>
    <row r="443" spans="1:32" ht="13.8">
      <c r="A443" s="101"/>
      <c r="B443" s="101"/>
      <c r="C443" s="101"/>
      <c r="D443" s="101"/>
      <c r="E443" s="101"/>
      <c r="F443" s="101"/>
      <c r="G443" s="101"/>
      <c r="H443" s="101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  <c r="AA443" s="101"/>
      <c r="AB443" s="101"/>
      <c r="AC443" s="101"/>
      <c r="AD443" s="101"/>
      <c r="AE443" s="101"/>
      <c r="AF443" s="101"/>
    </row>
    <row r="444" spans="1:32" ht="13.8">
      <c r="A444" s="101"/>
      <c r="B444" s="101"/>
      <c r="C444" s="101"/>
      <c r="D444" s="101"/>
      <c r="E444" s="101"/>
      <c r="F444" s="101"/>
      <c r="G444" s="101"/>
      <c r="H444" s="101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  <c r="AA444" s="101"/>
      <c r="AB444" s="101"/>
      <c r="AC444" s="101"/>
      <c r="AD444" s="101"/>
      <c r="AE444" s="101"/>
      <c r="AF444" s="101"/>
    </row>
    <row r="445" spans="1:32" ht="13.8">
      <c r="A445" s="101"/>
      <c r="B445" s="101"/>
      <c r="C445" s="101"/>
      <c r="D445" s="101"/>
      <c r="E445" s="101"/>
      <c r="F445" s="101"/>
      <c r="G445" s="101"/>
      <c r="H445" s="101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  <c r="AA445" s="101"/>
      <c r="AB445" s="101"/>
      <c r="AC445" s="101"/>
      <c r="AD445" s="101"/>
      <c r="AE445" s="101"/>
      <c r="AF445" s="101"/>
    </row>
    <row r="446" spans="1:32" ht="13.8">
      <c r="A446" s="101"/>
      <c r="B446" s="101"/>
      <c r="C446" s="101"/>
      <c r="D446" s="101"/>
      <c r="E446" s="101"/>
      <c r="F446" s="101"/>
      <c r="G446" s="101"/>
      <c r="H446" s="101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  <c r="AA446" s="101"/>
      <c r="AB446" s="101"/>
      <c r="AC446" s="101"/>
      <c r="AD446" s="101"/>
      <c r="AE446" s="101"/>
      <c r="AF446" s="101"/>
    </row>
    <row r="447" spans="1:32" ht="13.8">
      <c r="A447" s="101"/>
      <c r="B447" s="101"/>
      <c r="C447" s="101"/>
      <c r="D447" s="101"/>
      <c r="E447" s="101"/>
      <c r="F447" s="101"/>
      <c r="G447" s="10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  <c r="AA447" s="101"/>
      <c r="AB447" s="101"/>
      <c r="AC447" s="101"/>
      <c r="AD447" s="101"/>
      <c r="AE447" s="101"/>
      <c r="AF447" s="101"/>
    </row>
    <row r="448" spans="1:32" ht="13.8">
      <c r="A448" s="101"/>
      <c r="B448" s="101"/>
      <c r="C448" s="101"/>
      <c r="D448" s="101"/>
      <c r="E448" s="101"/>
      <c r="F448" s="101"/>
      <c r="G448" s="10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  <c r="AA448" s="101"/>
      <c r="AB448" s="101"/>
      <c r="AC448" s="101"/>
      <c r="AD448" s="101"/>
      <c r="AE448" s="101"/>
      <c r="AF448" s="101"/>
    </row>
    <row r="449" spans="1:32" ht="13.8">
      <c r="A449" s="101"/>
      <c r="B449" s="101"/>
      <c r="C449" s="101"/>
      <c r="D449" s="101"/>
      <c r="E449" s="101"/>
      <c r="F449" s="101"/>
      <c r="G449" s="10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  <c r="AA449" s="101"/>
      <c r="AB449" s="101"/>
      <c r="AC449" s="101"/>
      <c r="AD449" s="101"/>
      <c r="AE449" s="101"/>
      <c r="AF449" s="101"/>
    </row>
    <row r="450" spans="1:32" ht="13.8">
      <c r="A450" s="101"/>
      <c r="B450" s="101"/>
      <c r="C450" s="101"/>
      <c r="D450" s="101"/>
      <c r="E450" s="101"/>
      <c r="F450" s="101"/>
      <c r="G450" s="10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  <c r="AA450" s="101"/>
      <c r="AB450" s="101"/>
      <c r="AC450" s="101"/>
      <c r="AD450" s="101"/>
      <c r="AE450" s="101"/>
      <c r="AF450" s="101"/>
    </row>
    <row r="451" spans="1:32" ht="13.8">
      <c r="A451" s="101"/>
      <c r="B451" s="101"/>
      <c r="C451" s="101"/>
      <c r="D451" s="101"/>
      <c r="E451" s="101"/>
      <c r="F451" s="101"/>
      <c r="G451" s="10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  <c r="AA451" s="101"/>
      <c r="AB451" s="101"/>
      <c r="AC451" s="101"/>
      <c r="AD451" s="101"/>
      <c r="AE451" s="101"/>
      <c r="AF451" s="101"/>
    </row>
    <row r="452" spans="1:32" ht="13.8">
      <c r="A452" s="101"/>
      <c r="B452" s="101"/>
      <c r="C452" s="101"/>
      <c r="D452" s="101"/>
      <c r="E452" s="101"/>
      <c r="F452" s="101"/>
      <c r="G452" s="101"/>
      <c r="H452" s="101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  <c r="AA452" s="101"/>
      <c r="AB452" s="101"/>
      <c r="AC452" s="101"/>
      <c r="AD452" s="101"/>
      <c r="AE452" s="101"/>
      <c r="AF452" s="101"/>
    </row>
    <row r="453" spans="1:32" ht="13.8">
      <c r="A453" s="101"/>
      <c r="B453" s="101"/>
      <c r="C453" s="101"/>
      <c r="D453" s="101"/>
      <c r="E453" s="101"/>
      <c r="F453" s="101"/>
      <c r="G453" s="101"/>
      <c r="H453" s="101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  <c r="AA453" s="101"/>
      <c r="AB453" s="101"/>
      <c r="AC453" s="101"/>
      <c r="AD453" s="101"/>
      <c r="AE453" s="101"/>
      <c r="AF453" s="101"/>
    </row>
    <row r="454" spans="1:32" ht="13.8">
      <c r="A454" s="101"/>
      <c r="B454" s="101"/>
      <c r="C454" s="101"/>
      <c r="D454" s="101"/>
      <c r="E454" s="101"/>
      <c r="F454" s="101"/>
      <c r="G454" s="101"/>
      <c r="H454" s="101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  <c r="AA454" s="101"/>
      <c r="AB454" s="101"/>
      <c r="AC454" s="101"/>
      <c r="AD454" s="101"/>
      <c r="AE454" s="101"/>
      <c r="AF454" s="101"/>
    </row>
    <row r="455" spans="1:32" ht="13.8">
      <c r="A455" s="101"/>
      <c r="B455" s="101"/>
      <c r="C455" s="101"/>
      <c r="D455" s="101"/>
      <c r="E455" s="101"/>
      <c r="F455" s="101"/>
      <c r="G455" s="10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  <c r="AA455" s="101"/>
      <c r="AB455" s="101"/>
      <c r="AC455" s="101"/>
      <c r="AD455" s="101"/>
      <c r="AE455" s="101"/>
      <c r="AF455" s="101"/>
    </row>
    <row r="456" spans="1:32" ht="13.8">
      <c r="A456" s="101"/>
      <c r="B456" s="101"/>
      <c r="C456" s="101"/>
      <c r="D456" s="101"/>
      <c r="E456" s="101"/>
      <c r="F456" s="101"/>
      <c r="G456" s="101"/>
      <c r="H456" s="101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  <c r="AA456" s="101"/>
      <c r="AB456" s="101"/>
      <c r="AC456" s="101"/>
      <c r="AD456" s="101"/>
      <c r="AE456" s="101"/>
      <c r="AF456" s="101"/>
    </row>
    <row r="457" spans="1:32" ht="13.8">
      <c r="A457" s="101"/>
      <c r="B457" s="101"/>
      <c r="C457" s="101"/>
      <c r="D457" s="101"/>
      <c r="E457" s="101"/>
      <c r="F457" s="101"/>
      <c r="G457" s="101"/>
      <c r="H457" s="101"/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  <c r="AA457" s="101"/>
      <c r="AB457" s="101"/>
      <c r="AC457" s="101"/>
      <c r="AD457" s="101"/>
      <c r="AE457" s="101"/>
      <c r="AF457" s="101"/>
    </row>
    <row r="458" spans="1:32" ht="13.8">
      <c r="A458" s="101"/>
      <c r="B458" s="101"/>
      <c r="C458" s="101"/>
      <c r="D458" s="101"/>
      <c r="E458" s="101"/>
      <c r="F458" s="101"/>
      <c r="G458" s="101"/>
      <c r="H458" s="101"/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  <c r="AA458" s="101"/>
      <c r="AB458" s="101"/>
      <c r="AC458" s="101"/>
      <c r="AD458" s="101"/>
      <c r="AE458" s="101"/>
      <c r="AF458" s="101"/>
    </row>
    <row r="459" spans="1:32" ht="13.8">
      <c r="A459" s="101"/>
      <c r="B459" s="101"/>
      <c r="C459" s="101"/>
      <c r="D459" s="101"/>
      <c r="E459" s="101"/>
      <c r="F459" s="101"/>
      <c r="G459" s="101"/>
      <c r="H459" s="101"/>
      <c r="I459" s="101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  <c r="AA459" s="101"/>
      <c r="AB459" s="101"/>
      <c r="AC459" s="101"/>
      <c r="AD459" s="101"/>
      <c r="AE459" s="101"/>
      <c r="AF459" s="101"/>
    </row>
    <row r="460" spans="1:32" ht="13.8">
      <c r="A460" s="101"/>
      <c r="B460" s="101"/>
      <c r="C460" s="101"/>
      <c r="D460" s="101"/>
      <c r="E460" s="101"/>
      <c r="F460" s="101"/>
      <c r="G460" s="101"/>
      <c r="H460" s="101"/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  <c r="AA460" s="101"/>
      <c r="AB460" s="101"/>
      <c r="AC460" s="101"/>
      <c r="AD460" s="101"/>
      <c r="AE460" s="101"/>
      <c r="AF460" s="101"/>
    </row>
    <row r="461" spans="1:32" ht="13.8">
      <c r="A461" s="101"/>
      <c r="B461" s="101"/>
      <c r="C461" s="101"/>
      <c r="D461" s="101"/>
      <c r="E461" s="101"/>
      <c r="F461" s="101"/>
      <c r="G461" s="101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  <c r="AA461" s="101"/>
      <c r="AB461" s="101"/>
      <c r="AC461" s="101"/>
      <c r="AD461" s="101"/>
      <c r="AE461" s="101"/>
      <c r="AF461" s="101"/>
    </row>
    <row r="462" spans="1:32" ht="13.8">
      <c r="A462" s="101"/>
      <c r="B462" s="101"/>
      <c r="C462" s="101"/>
      <c r="D462" s="101"/>
      <c r="E462" s="101"/>
      <c r="F462" s="101"/>
      <c r="G462" s="101"/>
      <c r="H462" s="101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  <c r="AA462" s="101"/>
      <c r="AB462" s="101"/>
      <c r="AC462" s="101"/>
      <c r="AD462" s="101"/>
      <c r="AE462" s="101"/>
      <c r="AF462" s="101"/>
    </row>
    <row r="463" spans="1:32" ht="13.8">
      <c r="A463" s="101"/>
      <c r="B463" s="101"/>
      <c r="C463" s="101"/>
      <c r="D463" s="101"/>
      <c r="E463" s="101"/>
      <c r="F463" s="101"/>
      <c r="G463" s="101"/>
      <c r="H463" s="101"/>
      <c r="I463" s="101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  <c r="AA463" s="101"/>
      <c r="AB463" s="101"/>
      <c r="AC463" s="101"/>
      <c r="AD463" s="101"/>
      <c r="AE463" s="101"/>
      <c r="AF463" s="101"/>
    </row>
    <row r="464" spans="1:32" ht="13.8">
      <c r="A464" s="101"/>
      <c r="B464" s="101"/>
      <c r="C464" s="101"/>
      <c r="D464" s="101"/>
      <c r="E464" s="101"/>
      <c r="F464" s="101"/>
      <c r="G464" s="101"/>
      <c r="H464" s="101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  <c r="AA464" s="101"/>
      <c r="AB464" s="101"/>
      <c r="AC464" s="101"/>
      <c r="AD464" s="101"/>
      <c r="AE464" s="101"/>
      <c r="AF464" s="101"/>
    </row>
    <row r="465" spans="1:32" ht="13.8">
      <c r="A465" s="101"/>
      <c r="B465" s="101"/>
      <c r="C465" s="101"/>
      <c r="D465" s="101"/>
      <c r="E465" s="101"/>
      <c r="F465" s="101"/>
      <c r="G465" s="101"/>
      <c r="H465" s="101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  <c r="AA465" s="101"/>
      <c r="AB465" s="101"/>
      <c r="AC465" s="101"/>
      <c r="AD465" s="101"/>
      <c r="AE465" s="101"/>
      <c r="AF465" s="101"/>
    </row>
    <row r="466" spans="1:32" ht="13.8">
      <c r="A466" s="101"/>
      <c r="B466" s="101"/>
      <c r="C466" s="101"/>
      <c r="D466" s="101"/>
      <c r="E466" s="101"/>
      <c r="F466" s="101"/>
      <c r="G466" s="101"/>
      <c r="H466" s="101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  <c r="AA466" s="101"/>
      <c r="AB466" s="101"/>
      <c r="AC466" s="101"/>
      <c r="AD466" s="101"/>
      <c r="AE466" s="101"/>
      <c r="AF466" s="101"/>
    </row>
    <row r="467" spans="1:32" ht="13.8">
      <c r="A467" s="101"/>
      <c r="B467" s="101"/>
      <c r="C467" s="101"/>
      <c r="D467" s="101"/>
      <c r="E467" s="101"/>
      <c r="F467" s="101"/>
      <c r="G467" s="101"/>
      <c r="H467" s="101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  <c r="AA467" s="101"/>
      <c r="AB467" s="101"/>
      <c r="AC467" s="101"/>
      <c r="AD467" s="101"/>
      <c r="AE467" s="101"/>
      <c r="AF467" s="101"/>
    </row>
    <row r="468" spans="1:32" ht="13.8">
      <c r="A468" s="101"/>
      <c r="B468" s="101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  <c r="AA468" s="101"/>
      <c r="AB468" s="101"/>
      <c r="AC468" s="101"/>
      <c r="AD468" s="101"/>
      <c r="AE468" s="101"/>
      <c r="AF468" s="101"/>
    </row>
    <row r="469" spans="1:32" ht="13.8">
      <c r="A469" s="101"/>
      <c r="B469" s="101"/>
      <c r="C469" s="101"/>
      <c r="D469" s="101"/>
      <c r="E469" s="101"/>
      <c r="F469" s="101"/>
      <c r="G469" s="101"/>
      <c r="H469" s="101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  <c r="AA469" s="101"/>
      <c r="AB469" s="101"/>
      <c r="AC469" s="101"/>
      <c r="AD469" s="101"/>
      <c r="AE469" s="101"/>
      <c r="AF469" s="101"/>
    </row>
    <row r="470" spans="1:32" ht="13.8">
      <c r="A470" s="101"/>
      <c r="B470" s="101"/>
      <c r="C470" s="101"/>
      <c r="D470" s="101"/>
      <c r="E470" s="101"/>
      <c r="F470" s="101"/>
      <c r="G470" s="101"/>
      <c r="H470" s="101"/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  <c r="AA470" s="101"/>
      <c r="AB470" s="101"/>
      <c r="AC470" s="101"/>
      <c r="AD470" s="101"/>
      <c r="AE470" s="101"/>
      <c r="AF470" s="101"/>
    </row>
    <row r="471" spans="1:32" ht="13.8">
      <c r="A471" s="101"/>
      <c r="B471" s="101"/>
      <c r="C471" s="101"/>
      <c r="D471" s="101"/>
      <c r="E471" s="101"/>
      <c r="F471" s="101"/>
      <c r="G471" s="101"/>
      <c r="H471" s="101"/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  <c r="AA471" s="101"/>
      <c r="AB471" s="101"/>
      <c r="AC471" s="101"/>
      <c r="AD471" s="101"/>
      <c r="AE471" s="101"/>
      <c r="AF471" s="101"/>
    </row>
    <row r="472" spans="1:32" ht="13.8">
      <c r="A472" s="101"/>
      <c r="B472" s="101"/>
      <c r="C472" s="101"/>
      <c r="D472" s="101"/>
      <c r="E472" s="101"/>
      <c r="F472" s="101"/>
      <c r="G472" s="101"/>
      <c r="H472" s="101"/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  <c r="AA472" s="101"/>
      <c r="AB472" s="101"/>
      <c r="AC472" s="101"/>
      <c r="AD472" s="101"/>
      <c r="AE472" s="101"/>
      <c r="AF472" s="101"/>
    </row>
    <row r="473" spans="1:32" ht="13.8">
      <c r="A473" s="101"/>
      <c r="B473" s="101"/>
      <c r="C473" s="101"/>
      <c r="D473" s="101"/>
      <c r="E473" s="101"/>
      <c r="F473" s="101"/>
      <c r="G473" s="10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  <c r="AA473" s="101"/>
      <c r="AB473" s="101"/>
      <c r="AC473" s="101"/>
      <c r="AD473" s="101"/>
      <c r="AE473" s="101"/>
      <c r="AF473" s="101"/>
    </row>
    <row r="474" spans="1:32" ht="13.8">
      <c r="A474" s="101"/>
      <c r="B474" s="101"/>
      <c r="C474" s="101"/>
      <c r="D474" s="101"/>
      <c r="E474" s="101"/>
      <c r="F474" s="101"/>
      <c r="G474" s="101"/>
      <c r="H474" s="101"/>
      <c r="I474" s="101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  <c r="AA474" s="101"/>
      <c r="AB474" s="101"/>
      <c r="AC474" s="101"/>
      <c r="AD474" s="101"/>
      <c r="AE474" s="101"/>
      <c r="AF474" s="101"/>
    </row>
    <row r="475" spans="1:32" ht="13.8">
      <c r="A475" s="101"/>
      <c r="B475" s="101"/>
      <c r="C475" s="101"/>
      <c r="D475" s="101"/>
      <c r="E475" s="101"/>
      <c r="F475" s="101"/>
      <c r="G475" s="101"/>
      <c r="H475" s="101"/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  <c r="AA475" s="101"/>
      <c r="AB475" s="101"/>
      <c r="AC475" s="101"/>
      <c r="AD475" s="101"/>
      <c r="AE475" s="101"/>
      <c r="AF475" s="101"/>
    </row>
    <row r="476" spans="1:32" ht="13.8">
      <c r="A476" s="101"/>
      <c r="B476" s="101"/>
      <c r="C476" s="101"/>
      <c r="D476" s="101"/>
      <c r="E476" s="101"/>
      <c r="F476" s="101"/>
      <c r="G476" s="101"/>
      <c r="H476" s="101"/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  <c r="AA476" s="101"/>
      <c r="AB476" s="101"/>
      <c r="AC476" s="101"/>
      <c r="AD476" s="101"/>
      <c r="AE476" s="101"/>
      <c r="AF476" s="101"/>
    </row>
    <row r="477" spans="1:32" ht="13.8">
      <c r="A477" s="101"/>
      <c r="B477" s="101"/>
      <c r="C477" s="101"/>
      <c r="D477" s="101"/>
      <c r="E477" s="101"/>
      <c r="F477" s="101"/>
      <c r="G477" s="101"/>
      <c r="H477" s="101"/>
      <c r="I477" s="101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  <c r="AA477" s="101"/>
      <c r="AB477" s="101"/>
      <c r="AC477" s="101"/>
      <c r="AD477" s="101"/>
      <c r="AE477" s="101"/>
      <c r="AF477" s="101"/>
    </row>
    <row r="478" spans="1:32" ht="13.8">
      <c r="A478" s="101"/>
      <c r="B478" s="101"/>
      <c r="C478" s="101"/>
      <c r="D478" s="101"/>
      <c r="E478" s="101"/>
      <c r="F478" s="101"/>
      <c r="G478" s="101"/>
      <c r="H478" s="101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  <c r="AA478" s="101"/>
      <c r="AB478" s="101"/>
      <c r="AC478" s="101"/>
      <c r="AD478" s="101"/>
      <c r="AE478" s="101"/>
      <c r="AF478" s="101"/>
    </row>
    <row r="479" spans="1:32" ht="13.8">
      <c r="A479" s="101"/>
      <c r="B479" s="101"/>
      <c r="C479" s="101"/>
      <c r="D479" s="101"/>
      <c r="E479" s="101"/>
      <c r="F479" s="101"/>
      <c r="G479" s="101"/>
      <c r="H479" s="101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  <c r="AA479" s="101"/>
      <c r="AB479" s="101"/>
      <c r="AC479" s="101"/>
      <c r="AD479" s="101"/>
      <c r="AE479" s="101"/>
      <c r="AF479" s="101"/>
    </row>
    <row r="480" spans="1:32" ht="13.8">
      <c r="A480" s="101"/>
      <c r="B480" s="101"/>
      <c r="C480" s="101"/>
      <c r="D480" s="101"/>
      <c r="E480" s="101"/>
      <c r="F480" s="101"/>
      <c r="G480" s="101"/>
      <c r="H480" s="101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  <c r="AA480" s="101"/>
      <c r="AB480" s="101"/>
      <c r="AC480" s="101"/>
      <c r="AD480" s="101"/>
      <c r="AE480" s="101"/>
      <c r="AF480" s="101"/>
    </row>
    <row r="481" spans="1:32" ht="13.8">
      <c r="A481" s="101"/>
      <c r="B481" s="101"/>
      <c r="C481" s="101"/>
      <c r="D481" s="101"/>
      <c r="E481" s="101"/>
      <c r="F481" s="101"/>
      <c r="G481" s="101"/>
      <c r="H481" s="101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  <c r="AA481" s="101"/>
      <c r="AB481" s="101"/>
      <c r="AC481" s="101"/>
      <c r="AD481" s="101"/>
      <c r="AE481" s="101"/>
      <c r="AF481" s="101"/>
    </row>
    <row r="482" spans="1:32" ht="13.8">
      <c r="A482" s="101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  <c r="AB482" s="101"/>
      <c r="AC482" s="101"/>
      <c r="AD482" s="101"/>
      <c r="AE482" s="101"/>
      <c r="AF482" s="101"/>
    </row>
    <row r="483" spans="1:32" ht="13.8">
      <c r="A483" s="101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  <c r="AC483" s="101"/>
      <c r="AD483" s="101"/>
      <c r="AE483" s="101"/>
      <c r="AF483" s="101"/>
    </row>
    <row r="484" spans="1:32" ht="13.8">
      <c r="A484" s="101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  <c r="AB484" s="101"/>
      <c r="AC484" s="101"/>
      <c r="AD484" s="101"/>
      <c r="AE484" s="101"/>
      <c r="AF484" s="101"/>
    </row>
    <row r="485" spans="1:32" ht="13.8">
      <c r="A485" s="101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  <c r="AB485" s="101"/>
      <c r="AC485" s="101"/>
      <c r="AD485" s="101"/>
      <c r="AE485" s="101"/>
      <c r="AF485" s="101"/>
    </row>
    <row r="486" spans="1:32" ht="13.8">
      <c r="A486" s="101"/>
      <c r="B486" s="101"/>
      <c r="C486" s="101"/>
      <c r="D486" s="101"/>
      <c r="E486" s="101"/>
      <c r="F486" s="101"/>
      <c r="G486" s="101"/>
      <c r="H486" s="101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  <c r="AA486" s="101"/>
      <c r="AB486" s="101"/>
      <c r="AC486" s="101"/>
      <c r="AD486" s="101"/>
      <c r="AE486" s="101"/>
      <c r="AF486" s="101"/>
    </row>
    <row r="487" spans="1:32" ht="13.8">
      <c r="A487" s="101"/>
      <c r="B487" s="101"/>
      <c r="C487" s="101"/>
      <c r="D487" s="101"/>
      <c r="E487" s="101"/>
      <c r="F487" s="101"/>
      <c r="G487" s="101"/>
      <c r="H487" s="101"/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  <c r="AA487" s="101"/>
      <c r="AB487" s="101"/>
      <c r="AC487" s="101"/>
      <c r="AD487" s="101"/>
      <c r="AE487" s="101"/>
      <c r="AF487" s="101"/>
    </row>
    <row r="488" spans="1:32" ht="13.8">
      <c r="A488" s="101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  <c r="AA488" s="101"/>
      <c r="AB488" s="101"/>
      <c r="AC488" s="101"/>
      <c r="AD488" s="101"/>
      <c r="AE488" s="101"/>
      <c r="AF488" s="101"/>
    </row>
    <row r="489" spans="1:32" ht="13.8">
      <c r="A489" s="101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  <c r="AA489" s="101"/>
      <c r="AB489" s="101"/>
      <c r="AC489" s="101"/>
      <c r="AD489" s="101"/>
      <c r="AE489" s="101"/>
      <c r="AF489" s="101"/>
    </row>
    <row r="490" spans="1:32" ht="13.8">
      <c r="A490" s="101"/>
      <c r="B490" s="101"/>
      <c r="C490" s="101"/>
      <c r="D490" s="101"/>
      <c r="E490" s="101"/>
      <c r="F490" s="101"/>
      <c r="G490" s="101"/>
      <c r="H490" s="101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  <c r="AA490" s="101"/>
      <c r="AB490" s="101"/>
      <c r="AC490" s="101"/>
      <c r="AD490" s="101"/>
      <c r="AE490" s="101"/>
      <c r="AF490" s="101"/>
    </row>
    <row r="491" spans="1:32" ht="13.8">
      <c r="A491" s="101"/>
      <c r="B491" s="101"/>
      <c r="C491" s="101"/>
      <c r="D491" s="101"/>
      <c r="E491" s="101"/>
      <c r="F491" s="101"/>
      <c r="G491" s="101"/>
      <c r="H491" s="101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  <c r="AA491" s="101"/>
      <c r="AB491" s="101"/>
      <c r="AC491" s="101"/>
      <c r="AD491" s="101"/>
      <c r="AE491" s="101"/>
      <c r="AF491" s="101"/>
    </row>
    <row r="492" spans="1:32" ht="13.8">
      <c r="A492" s="101"/>
      <c r="B492" s="101"/>
      <c r="C492" s="101"/>
      <c r="D492" s="101"/>
      <c r="E492" s="101"/>
      <c r="F492" s="101"/>
      <c r="G492" s="101"/>
      <c r="H492" s="101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  <c r="AA492" s="101"/>
      <c r="AB492" s="101"/>
      <c r="AC492" s="101"/>
      <c r="AD492" s="101"/>
      <c r="AE492" s="101"/>
      <c r="AF492" s="101"/>
    </row>
    <row r="493" spans="1:32" ht="13.8">
      <c r="A493" s="101"/>
      <c r="B493" s="101"/>
      <c r="C493" s="101"/>
      <c r="D493" s="101"/>
      <c r="E493" s="101"/>
      <c r="F493" s="101"/>
      <c r="G493" s="101"/>
      <c r="H493" s="101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  <c r="AA493" s="101"/>
      <c r="AB493" s="101"/>
      <c r="AC493" s="101"/>
      <c r="AD493" s="101"/>
      <c r="AE493" s="101"/>
      <c r="AF493" s="101"/>
    </row>
    <row r="494" spans="1:32" ht="13.8">
      <c r="A494" s="101"/>
      <c r="B494" s="101"/>
      <c r="C494" s="101"/>
      <c r="D494" s="101"/>
      <c r="E494" s="101"/>
      <c r="F494" s="101"/>
      <c r="G494" s="101"/>
      <c r="H494" s="101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  <c r="AA494" s="101"/>
      <c r="AB494" s="101"/>
      <c r="AC494" s="101"/>
      <c r="AD494" s="101"/>
      <c r="AE494" s="101"/>
      <c r="AF494" s="101"/>
    </row>
    <row r="495" spans="1:32" ht="13.8">
      <c r="A495" s="101"/>
      <c r="B495" s="101"/>
      <c r="C495" s="101"/>
      <c r="D495" s="101"/>
      <c r="E495" s="101"/>
      <c r="F495" s="101"/>
      <c r="G495" s="101"/>
      <c r="H495" s="101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  <c r="AA495" s="101"/>
      <c r="AB495" s="101"/>
      <c r="AC495" s="101"/>
      <c r="AD495" s="101"/>
      <c r="AE495" s="101"/>
      <c r="AF495" s="101"/>
    </row>
    <row r="496" spans="1:32" ht="13.8">
      <c r="A496" s="101"/>
      <c r="B496" s="101"/>
      <c r="C496" s="101"/>
      <c r="D496" s="101"/>
      <c r="E496" s="101"/>
      <c r="F496" s="101"/>
      <c r="G496" s="101"/>
      <c r="H496" s="101"/>
      <c r="I496" s="101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  <c r="AA496" s="101"/>
      <c r="AB496" s="101"/>
      <c r="AC496" s="101"/>
      <c r="AD496" s="101"/>
      <c r="AE496" s="101"/>
      <c r="AF496" s="101"/>
    </row>
    <row r="497" spans="1:32" ht="13.8">
      <c r="A497" s="101"/>
      <c r="B497" s="101"/>
      <c r="C497" s="101"/>
      <c r="D497" s="101"/>
      <c r="E497" s="101"/>
      <c r="F497" s="101"/>
      <c r="G497" s="101"/>
      <c r="H497" s="101"/>
      <c r="I497" s="101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  <c r="AA497" s="101"/>
      <c r="AB497" s="101"/>
      <c r="AC497" s="101"/>
      <c r="AD497" s="101"/>
      <c r="AE497" s="101"/>
      <c r="AF497" s="101"/>
    </row>
    <row r="498" spans="1:32" ht="13.8">
      <c r="A498" s="101"/>
      <c r="B498" s="101"/>
      <c r="C498" s="101"/>
      <c r="D498" s="101"/>
      <c r="E498" s="101"/>
      <c r="F498" s="101"/>
      <c r="G498" s="101"/>
      <c r="H498" s="101"/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  <c r="AA498" s="101"/>
      <c r="AB498" s="101"/>
      <c r="AC498" s="101"/>
      <c r="AD498" s="101"/>
      <c r="AE498" s="101"/>
      <c r="AF498" s="101"/>
    </row>
    <row r="499" spans="1:32" ht="13.8">
      <c r="A499" s="101"/>
      <c r="B499" s="101"/>
      <c r="C499" s="101"/>
      <c r="D499" s="101"/>
      <c r="E499" s="101"/>
      <c r="F499" s="101"/>
      <c r="G499" s="101"/>
      <c r="H499" s="101"/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  <c r="AA499" s="101"/>
      <c r="AB499" s="101"/>
      <c r="AC499" s="101"/>
      <c r="AD499" s="101"/>
      <c r="AE499" s="101"/>
      <c r="AF499" s="101"/>
    </row>
    <row r="500" spans="1:32" ht="13.8">
      <c r="A500" s="101"/>
      <c r="B500" s="101"/>
      <c r="C500" s="101"/>
      <c r="D500" s="101"/>
      <c r="E500" s="101"/>
      <c r="F500" s="101"/>
      <c r="G500" s="101"/>
      <c r="H500" s="101"/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  <c r="AA500" s="101"/>
      <c r="AB500" s="101"/>
      <c r="AC500" s="101"/>
      <c r="AD500" s="101"/>
      <c r="AE500" s="101"/>
      <c r="AF500" s="101"/>
    </row>
    <row r="501" spans="1:32" ht="13.8">
      <c r="A501" s="101"/>
      <c r="B501" s="101"/>
      <c r="C501" s="101"/>
      <c r="D501" s="101"/>
      <c r="E501" s="101"/>
      <c r="F501" s="101"/>
      <c r="G501" s="101"/>
      <c r="H501" s="101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  <c r="AA501" s="101"/>
      <c r="AB501" s="101"/>
      <c r="AC501" s="101"/>
      <c r="AD501" s="101"/>
      <c r="AE501" s="101"/>
      <c r="AF501" s="101"/>
    </row>
    <row r="502" spans="1:32" ht="13.8">
      <c r="A502" s="101"/>
      <c r="B502" s="101"/>
      <c r="C502" s="101"/>
      <c r="D502" s="101"/>
      <c r="E502" s="101"/>
      <c r="F502" s="101"/>
      <c r="G502" s="101"/>
      <c r="H502" s="101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  <c r="AA502" s="101"/>
      <c r="AB502" s="101"/>
      <c r="AC502" s="101"/>
      <c r="AD502" s="101"/>
      <c r="AE502" s="101"/>
      <c r="AF502" s="101"/>
    </row>
    <row r="503" spans="1:32" ht="13.8">
      <c r="A503" s="101"/>
      <c r="B503" s="101"/>
      <c r="C503" s="101"/>
      <c r="D503" s="101"/>
      <c r="E503" s="101"/>
      <c r="F503" s="101"/>
      <c r="G503" s="101"/>
      <c r="H503" s="101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  <c r="AA503" s="101"/>
      <c r="AB503" s="101"/>
      <c r="AC503" s="101"/>
      <c r="AD503" s="101"/>
      <c r="AE503" s="101"/>
      <c r="AF503" s="101"/>
    </row>
    <row r="504" spans="1:32" ht="13.8">
      <c r="A504" s="101"/>
      <c r="B504" s="101"/>
      <c r="C504" s="101"/>
      <c r="D504" s="101"/>
      <c r="E504" s="101"/>
      <c r="F504" s="101"/>
      <c r="G504" s="101"/>
      <c r="H504" s="101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  <c r="AA504" s="101"/>
      <c r="AB504" s="101"/>
      <c r="AC504" s="101"/>
      <c r="AD504" s="101"/>
      <c r="AE504" s="101"/>
      <c r="AF504" s="101"/>
    </row>
    <row r="505" spans="1:32" ht="13.8">
      <c r="A505" s="101"/>
      <c r="B505" s="101"/>
      <c r="C505" s="101"/>
      <c r="D505" s="101"/>
      <c r="E505" s="101"/>
      <c r="F505" s="101"/>
      <c r="G505" s="101"/>
      <c r="H505" s="101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  <c r="AA505" s="101"/>
      <c r="AB505" s="101"/>
      <c r="AC505" s="101"/>
      <c r="AD505" s="101"/>
      <c r="AE505" s="101"/>
      <c r="AF505" s="101"/>
    </row>
    <row r="506" spans="1:32" ht="13.8">
      <c r="A506" s="101"/>
      <c r="B506" s="101"/>
      <c r="C506" s="101"/>
      <c r="D506" s="101"/>
      <c r="E506" s="101"/>
      <c r="F506" s="101"/>
      <c r="G506" s="101"/>
      <c r="H506" s="101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  <c r="AA506" s="101"/>
      <c r="AB506" s="101"/>
      <c r="AC506" s="101"/>
      <c r="AD506" s="101"/>
      <c r="AE506" s="101"/>
      <c r="AF506" s="101"/>
    </row>
    <row r="507" spans="1:32" ht="13.8">
      <c r="A507" s="101"/>
      <c r="B507" s="101"/>
      <c r="C507" s="101"/>
      <c r="D507" s="101"/>
      <c r="E507" s="101"/>
      <c r="F507" s="101"/>
      <c r="G507" s="101"/>
      <c r="H507" s="101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  <c r="AA507" s="101"/>
      <c r="AB507" s="101"/>
      <c r="AC507" s="101"/>
      <c r="AD507" s="101"/>
      <c r="AE507" s="101"/>
      <c r="AF507" s="101"/>
    </row>
    <row r="508" spans="1:32" ht="13.8">
      <c r="A508" s="101"/>
      <c r="B508" s="101"/>
      <c r="C508" s="101"/>
      <c r="D508" s="101"/>
      <c r="E508" s="101"/>
      <c r="F508" s="101"/>
      <c r="G508" s="101"/>
      <c r="H508" s="101"/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  <c r="AA508" s="101"/>
      <c r="AB508" s="101"/>
      <c r="AC508" s="101"/>
      <c r="AD508" s="101"/>
      <c r="AE508" s="101"/>
      <c r="AF508" s="101"/>
    </row>
    <row r="509" spans="1:32" ht="13.8">
      <c r="A509" s="101"/>
      <c r="B509" s="101"/>
      <c r="C509" s="101"/>
      <c r="D509" s="101"/>
      <c r="E509" s="101"/>
      <c r="F509" s="101"/>
      <c r="G509" s="101"/>
      <c r="H509" s="101"/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  <c r="AA509" s="101"/>
      <c r="AB509" s="101"/>
      <c r="AC509" s="101"/>
      <c r="AD509" s="101"/>
      <c r="AE509" s="101"/>
      <c r="AF509" s="101"/>
    </row>
    <row r="510" spans="1:32" ht="13.8">
      <c r="A510" s="101"/>
      <c r="B510" s="101"/>
      <c r="C510" s="101"/>
      <c r="D510" s="101"/>
      <c r="E510" s="101"/>
      <c r="F510" s="101"/>
      <c r="G510" s="101"/>
      <c r="H510" s="101"/>
      <c r="I510" s="101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  <c r="AA510" s="101"/>
      <c r="AB510" s="101"/>
      <c r="AC510" s="101"/>
      <c r="AD510" s="101"/>
      <c r="AE510" s="101"/>
      <c r="AF510" s="101"/>
    </row>
    <row r="511" spans="1:32" ht="13.8">
      <c r="A511" s="101"/>
      <c r="B511" s="101"/>
      <c r="C511" s="101"/>
      <c r="D511" s="101"/>
      <c r="E511" s="101"/>
      <c r="F511" s="101"/>
      <c r="G511" s="101"/>
      <c r="H511" s="101"/>
      <c r="I511" s="101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  <c r="AA511" s="101"/>
      <c r="AB511" s="101"/>
      <c r="AC511" s="101"/>
      <c r="AD511" s="101"/>
      <c r="AE511" s="101"/>
      <c r="AF511" s="101"/>
    </row>
    <row r="512" spans="1:32" ht="13.8">
      <c r="A512" s="101"/>
      <c r="B512" s="101"/>
      <c r="C512" s="101"/>
      <c r="D512" s="101"/>
      <c r="E512" s="101"/>
      <c r="F512" s="101"/>
      <c r="G512" s="101"/>
      <c r="H512" s="101"/>
      <c r="I512" s="101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  <c r="AA512" s="101"/>
      <c r="AB512" s="101"/>
      <c r="AC512" s="101"/>
      <c r="AD512" s="101"/>
      <c r="AE512" s="101"/>
      <c r="AF512" s="101"/>
    </row>
    <row r="513" spans="1:32" ht="13.8">
      <c r="A513" s="101"/>
      <c r="B513" s="101"/>
      <c r="C513" s="101"/>
      <c r="D513" s="101"/>
      <c r="E513" s="101"/>
      <c r="F513" s="101"/>
      <c r="G513" s="101"/>
      <c r="H513" s="101"/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  <c r="AA513" s="101"/>
      <c r="AB513" s="101"/>
      <c r="AC513" s="101"/>
      <c r="AD513" s="101"/>
      <c r="AE513" s="101"/>
      <c r="AF513" s="101"/>
    </row>
    <row r="514" spans="1:32" ht="13.8">
      <c r="A514" s="101"/>
      <c r="B514" s="101"/>
      <c r="C514" s="101"/>
      <c r="D514" s="101"/>
      <c r="E514" s="101"/>
      <c r="F514" s="101"/>
      <c r="G514" s="101"/>
      <c r="H514" s="101"/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  <c r="AA514" s="101"/>
      <c r="AB514" s="101"/>
      <c r="AC514" s="101"/>
      <c r="AD514" s="101"/>
      <c r="AE514" s="101"/>
      <c r="AF514" s="101"/>
    </row>
    <row r="515" spans="1:32" ht="13.8">
      <c r="A515" s="101"/>
      <c r="B515" s="101"/>
      <c r="C515" s="101"/>
      <c r="D515" s="101"/>
      <c r="E515" s="101"/>
      <c r="F515" s="101"/>
      <c r="G515" s="101"/>
      <c r="H515" s="101"/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  <c r="AA515" s="101"/>
      <c r="AB515" s="101"/>
      <c r="AC515" s="101"/>
      <c r="AD515" s="101"/>
      <c r="AE515" s="101"/>
      <c r="AF515" s="101"/>
    </row>
    <row r="516" spans="1:32" ht="13.8">
      <c r="A516" s="101"/>
      <c r="B516" s="101"/>
      <c r="C516" s="101"/>
      <c r="D516" s="101"/>
      <c r="E516" s="101"/>
      <c r="F516" s="101"/>
      <c r="G516" s="101"/>
      <c r="H516" s="101"/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  <c r="AA516" s="101"/>
      <c r="AB516" s="101"/>
      <c r="AC516" s="101"/>
      <c r="AD516" s="101"/>
      <c r="AE516" s="101"/>
      <c r="AF516" s="101"/>
    </row>
    <row r="517" spans="1:32" ht="13.8">
      <c r="A517" s="101"/>
      <c r="B517" s="101"/>
      <c r="C517" s="101"/>
      <c r="D517" s="101"/>
      <c r="E517" s="101"/>
      <c r="F517" s="101"/>
      <c r="G517" s="101"/>
      <c r="H517" s="101"/>
      <c r="I517" s="101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  <c r="AA517" s="101"/>
      <c r="AB517" s="101"/>
      <c r="AC517" s="101"/>
      <c r="AD517" s="101"/>
      <c r="AE517" s="101"/>
      <c r="AF517" s="101"/>
    </row>
    <row r="518" spans="1:32" ht="13.8">
      <c r="A518" s="101"/>
      <c r="B518" s="101"/>
      <c r="C518" s="101"/>
      <c r="D518" s="101"/>
      <c r="E518" s="101"/>
      <c r="F518" s="101"/>
      <c r="G518" s="101"/>
      <c r="H518" s="101"/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  <c r="AA518" s="101"/>
      <c r="AB518" s="101"/>
      <c r="AC518" s="101"/>
      <c r="AD518" s="101"/>
      <c r="AE518" s="101"/>
      <c r="AF518" s="101"/>
    </row>
    <row r="519" spans="1:32" ht="13.8">
      <c r="A519" s="101"/>
      <c r="B519" s="101"/>
      <c r="C519" s="101"/>
      <c r="D519" s="101"/>
      <c r="E519" s="101"/>
      <c r="F519" s="101"/>
      <c r="G519" s="101"/>
      <c r="H519" s="101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  <c r="AA519" s="101"/>
      <c r="AB519" s="101"/>
      <c r="AC519" s="101"/>
      <c r="AD519" s="101"/>
      <c r="AE519" s="101"/>
      <c r="AF519" s="101"/>
    </row>
    <row r="520" spans="1:32" ht="13.8">
      <c r="A520" s="101"/>
      <c r="B520" s="101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  <c r="AA520" s="101"/>
      <c r="AB520" s="101"/>
      <c r="AC520" s="101"/>
      <c r="AD520" s="101"/>
      <c r="AE520" s="101"/>
      <c r="AF520" s="101"/>
    </row>
    <row r="521" spans="1:32" ht="13.8">
      <c r="A521" s="101"/>
      <c r="B521" s="101"/>
      <c r="C521" s="101"/>
      <c r="D521" s="101"/>
      <c r="E521" s="101"/>
      <c r="F521" s="101"/>
      <c r="G521" s="101"/>
      <c r="H521" s="101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  <c r="AA521" s="101"/>
      <c r="AB521" s="101"/>
      <c r="AC521" s="101"/>
      <c r="AD521" s="101"/>
      <c r="AE521" s="101"/>
      <c r="AF521" s="101"/>
    </row>
    <row r="522" spans="1:32" ht="13.8">
      <c r="A522" s="101"/>
      <c r="B522" s="101"/>
      <c r="C522" s="101"/>
      <c r="D522" s="101"/>
      <c r="E522" s="101"/>
      <c r="F522" s="101"/>
      <c r="G522" s="101"/>
      <c r="H522" s="101"/>
      <c r="I522" s="101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  <c r="AA522" s="101"/>
      <c r="AB522" s="101"/>
      <c r="AC522" s="101"/>
      <c r="AD522" s="101"/>
      <c r="AE522" s="101"/>
      <c r="AF522" s="101"/>
    </row>
    <row r="523" spans="1:32" ht="13.8">
      <c r="A523" s="101"/>
      <c r="B523" s="101"/>
      <c r="C523" s="101"/>
      <c r="D523" s="101"/>
      <c r="E523" s="101"/>
      <c r="F523" s="101"/>
      <c r="G523" s="101"/>
      <c r="H523" s="101"/>
      <c r="I523" s="101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  <c r="AA523" s="101"/>
      <c r="AB523" s="101"/>
      <c r="AC523" s="101"/>
      <c r="AD523" s="101"/>
      <c r="AE523" s="101"/>
      <c r="AF523" s="101"/>
    </row>
    <row r="524" spans="1:32" ht="13.8">
      <c r="A524" s="101"/>
      <c r="B524" s="101"/>
      <c r="C524" s="101"/>
      <c r="D524" s="101"/>
      <c r="E524" s="101"/>
      <c r="F524" s="101"/>
      <c r="G524" s="101"/>
      <c r="H524" s="101"/>
      <c r="I524" s="101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  <c r="AA524" s="101"/>
      <c r="AB524" s="101"/>
      <c r="AC524" s="101"/>
      <c r="AD524" s="101"/>
      <c r="AE524" s="101"/>
      <c r="AF524" s="101"/>
    </row>
    <row r="525" spans="1:32" ht="13.8">
      <c r="A525" s="101"/>
      <c r="B525" s="101"/>
      <c r="C525" s="101"/>
      <c r="D525" s="101"/>
      <c r="E525" s="101"/>
      <c r="F525" s="101"/>
      <c r="G525" s="101"/>
      <c r="H525" s="101"/>
      <c r="I525" s="101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  <c r="AA525" s="101"/>
      <c r="AB525" s="101"/>
      <c r="AC525" s="101"/>
      <c r="AD525" s="101"/>
      <c r="AE525" s="101"/>
      <c r="AF525" s="101"/>
    </row>
    <row r="526" spans="1:32" ht="13.8">
      <c r="A526" s="101"/>
      <c r="B526" s="101"/>
      <c r="C526" s="101"/>
      <c r="D526" s="101"/>
      <c r="E526" s="101"/>
      <c r="F526" s="101"/>
      <c r="G526" s="101"/>
      <c r="H526" s="101"/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  <c r="AA526" s="101"/>
      <c r="AB526" s="101"/>
      <c r="AC526" s="101"/>
      <c r="AD526" s="101"/>
      <c r="AE526" s="101"/>
      <c r="AF526" s="101"/>
    </row>
    <row r="527" spans="1:32" ht="13.8">
      <c r="A527" s="101"/>
      <c r="B527" s="101"/>
      <c r="C527" s="101"/>
      <c r="D527" s="101"/>
      <c r="E527" s="101"/>
      <c r="F527" s="101"/>
      <c r="G527" s="101"/>
      <c r="H527" s="101"/>
      <c r="I527" s="101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  <c r="AA527" s="101"/>
      <c r="AB527" s="101"/>
      <c r="AC527" s="101"/>
      <c r="AD527" s="101"/>
      <c r="AE527" s="101"/>
      <c r="AF527" s="101"/>
    </row>
    <row r="528" spans="1:32" ht="13.8">
      <c r="A528" s="101"/>
      <c r="B528" s="101"/>
      <c r="C528" s="101"/>
      <c r="D528" s="101"/>
      <c r="E528" s="101"/>
      <c r="F528" s="101"/>
      <c r="G528" s="101"/>
      <c r="H528" s="101"/>
      <c r="I528" s="101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  <c r="AA528" s="101"/>
      <c r="AB528" s="101"/>
      <c r="AC528" s="101"/>
      <c r="AD528" s="101"/>
      <c r="AE528" s="101"/>
      <c r="AF528" s="101"/>
    </row>
    <row r="529" spans="1:32" ht="13.8">
      <c r="A529" s="101"/>
      <c r="B529" s="101"/>
      <c r="C529" s="101"/>
      <c r="D529" s="101"/>
      <c r="E529" s="101"/>
      <c r="F529" s="101"/>
      <c r="G529" s="101"/>
      <c r="H529" s="101"/>
      <c r="I529" s="101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  <c r="AA529" s="101"/>
      <c r="AB529" s="101"/>
      <c r="AC529" s="101"/>
      <c r="AD529" s="101"/>
      <c r="AE529" s="101"/>
      <c r="AF529" s="101"/>
    </row>
    <row r="530" spans="1:32" ht="13.8">
      <c r="A530" s="101"/>
      <c r="B530" s="101"/>
      <c r="C530" s="101"/>
      <c r="D530" s="101"/>
      <c r="E530" s="101"/>
      <c r="F530" s="101"/>
      <c r="G530" s="101"/>
      <c r="H530" s="101"/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  <c r="AA530" s="101"/>
      <c r="AB530" s="101"/>
      <c r="AC530" s="101"/>
      <c r="AD530" s="101"/>
      <c r="AE530" s="101"/>
      <c r="AF530" s="101"/>
    </row>
    <row r="531" spans="1:32" ht="13.8">
      <c r="A531" s="101"/>
      <c r="B531" s="101"/>
      <c r="C531" s="101"/>
      <c r="D531" s="101"/>
      <c r="E531" s="101"/>
      <c r="F531" s="101"/>
      <c r="G531" s="101"/>
      <c r="H531" s="101"/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  <c r="AA531" s="101"/>
      <c r="AB531" s="101"/>
      <c r="AC531" s="101"/>
      <c r="AD531" s="101"/>
      <c r="AE531" s="101"/>
      <c r="AF531" s="101"/>
    </row>
    <row r="532" spans="1:32" ht="13.8">
      <c r="A532" s="101"/>
      <c r="B532" s="101"/>
      <c r="C532" s="101"/>
      <c r="D532" s="101"/>
      <c r="E532" s="101"/>
      <c r="F532" s="101"/>
      <c r="G532" s="101"/>
      <c r="H532" s="101"/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  <c r="AA532" s="101"/>
      <c r="AB532" s="101"/>
      <c r="AC532" s="101"/>
      <c r="AD532" s="101"/>
      <c r="AE532" s="101"/>
      <c r="AF532" s="101"/>
    </row>
    <row r="533" spans="1:32" ht="13.8">
      <c r="A533" s="101"/>
      <c r="B533" s="101"/>
      <c r="C533" s="101"/>
      <c r="D533" s="101"/>
      <c r="E533" s="101"/>
      <c r="F533" s="101"/>
      <c r="G533" s="101"/>
      <c r="H533" s="101"/>
      <c r="I533" s="101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  <c r="AA533" s="101"/>
      <c r="AB533" s="101"/>
      <c r="AC533" s="101"/>
      <c r="AD533" s="101"/>
      <c r="AE533" s="101"/>
      <c r="AF533" s="101"/>
    </row>
    <row r="534" spans="1:32" ht="13.8">
      <c r="A534" s="101"/>
      <c r="B534" s="101"/>
      <c r="C534" s="101"/>
      <c r="D534" s="101"/>
      <c r="E534" s="101"/>
      <c r="F534" s="101"/>
      <c r="G534" s="101"/>
      <c r="H534" s="101"/>
      <c r="I534" s="101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  <c r="AA534" s="101"/>
      <c r="AB534" s="101"/>
      <c r="AC534" s="101"/>
      <c r="AD534" s="101"/>
      <c r="AE534" s="101"/>
      <c r="AF534" s="101"/>
    </row>
    <row r="535" spans="1:32" ht="13.8">
      <c r="A535" s="101"/>
      <c r="B535" s="101"/>
      <c r="C535" s="101"/>
      <c r="D535" s="101"/>
      <c r="E535" s="101"/>
      <c r="F535" s="101"/>
      <c r="G535" s="101"/>
      <c r="H535" s="101"/>
      <c r="I535" s="101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  <c r="AA535" s="101"/>
      <c r="AB535" s="101"/>
      <c r="AC535" s="101"/>
      <c r="AD535" s="101"/>
      <c r="AE535" s="101"/>
      <c r="AF535" s="101"/>
    </row>
    <row r="536" spans="1:32" ht="13.8">
      <c r="A536" s="101"/>
      <c r="B536" s="101"/>
      <c r="C536" s="101"/>
      <c r="D536" s="101"/>
      <c r="E536" s="101"/>
      <c r="F536" s="101"/>
      <c r="G536" s="101"/>
      <c r="H536" s="101"/>
      <c r="I536" s="101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  <c r="AA536" s="101"/>
      <c r="AB536" s="101"/>
      <c r="AC536" s="101"/>
      <c r="AD536" s="101"/>
      <c r="AE536" s="101"/>
      <c r="AF536" s="101"/>
    </row>
    <row r="537" spans="1:32" ht="13.8">
      <c r="A537" s="101"/>
      <c r="B537" s="101"/>
      <c r="C537" s="101"/>
      <c r="D537" s="101"/>
      <c r="E537" s="101"/>
      <c r="F537" s="101"/>
      <c r="G537" s="101"/>
      <c r="H537" s="101"/>
      <c r="I537" s="101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  <c r="AA537" s="101"/>
      <c r="AB537" s="101"/>
      <c r="AC537" s="101"/>
      <c r="AD537" s="101"/>
      <c r="AE537" s="101"/>
      <c r="AF537" s="101"/>
    </row>
    <row r="538" spans="1:32" ht="13.8">
      <c r="A538" s="101"/>
      <c r="B538" s="101"/>
      <c r="C538" s="101"/>
      <c r="D538" s="101"/>
      <c r="E538" s="101"/>
      <c r="F538" s="101"/>
      <c r="G538" s="101"/>
      <c r="H538" s="101"/>
      <c r="I538" s="101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  <c r="AA538" s="101"/>
      <c r="AB538" s="101"/>
      <c r="AC538" s="101"/>
      <c r="AD538" s="101"/>
      <c r="AE538" s="101"/>
      <c r="AF538" s="101"/>
    </row>
    <row r="539" spans="1:32" ht="13.8">
      <c r="A539" s="101"/>
      <c r="B539" s="101"/>
      <c r="C539" s="101"/>
      <c r="D539" s="101"/>
      <c r="E539" s="101"/>
      <c r="F539" s="101"/>
      <c r="G539" s="101"/>
      <c r="H539" s="101"/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  <c r="AA539" s="101"/>
      <c r="AB539" s="101"/>
      <c r="AC539" s="101"/>
      <c r="AD539" s="101"/>
      <c r="AE539" s="101"/>
      <c r="AF539" s="101"/>
    </row>
    <row r="540" spans="1:32" ht="13.8">
      <c r="A540" s="101"/>
      <c r="B540" s="101"/>
      <c r="C540" s="101"/>
      <c r="D540" s="101"/>
      <c r="E540" s="101"/>
      <c r="F540" s="101"/>
      <c r="G540" s="101"/>
      <c r="H540" s="101"/>
      <c r="I540" s="101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  <c r="AA540" s="101"/>
      <c r="AB540" s="101"/>
      <c r="AC540" s="101"/>
      <c r="AD540" s="101"/>
      <c r="AE540" s="101"/>
      <c r="AF540" s="101"/>
    </row>
    <row r="541" spans="1:32" ht="13.8">
      <c r="A541" s="101"/>
      <c r="B541" s="101"/>
      <c r="C541" s="101"/>
      <c r="D541" s="101"/>
      <c r="E541" s="101"/>
      <c r="F541" s="101"/>
      <c r="G541" s="101"/>
      <c r="H541" s="101"/>
      <c r="I541" s="101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  <c r="AA541" s="101"/>
      <c r="AB541" s="101"/>
      <c r="AC541" s="101"/>
      <c r="AD541" s="101"/>
      <c r="AE541" s="101"/>
      <c r="AF541" s="101"/>
    </row>
    <row r="542" spans="1:32" ht="13.8">
      <c r="A542" s="101"/>
      <c r="B542" s="101"/>
      <c r="C542" s="101"/>
      <c r="D542" s="101"/>
      <c r="E542" s="101"/>
      <c r="F542" s="101"/>
      <c r="G542" s="101"/>
      <c r="H542" s="101"/>
      <c r="I542" s="101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  <c r="AA542" s="101"/>
      <c r="AB542" s="101"/>
      <c r="AC542" s="101"/>
      <c r="AD542" s="101"/>
      <c r="AE542" s="101"/>
      <c r="AF542" s="101"/>
    </row>
    <row r="543" spans="1:32" ht="13.8">
      <c r="A543" s="101"/>
      <c r="B543" s="101"/>
      <c r="C543" s="101"/>
      <c r="D543" s="101"/>
      <c r="E543" s="101"/>
      <c r="F543" s="101"/>
      <c r="G543" s="101"/>
      <c r="H543" s="101"/>
      <c r="I543" s="101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  <c r="AA543" s="101"/>
      <c r="AB543" s="101"/>
      <c r="AC543" s="101"/>
      <c r="AD543" s="101"/>
      <c r="AE543" s="101"/>
      <c r="AF543" s="101"/>
    </row>
    <row r="544" spans="1:32" ht="13.8">
      <c r="A544" s="101"/>
      <c r="B544" s="101"/>
      <c r="C544" s="101"/>
      <c r="D544" s="101"/>
      <c r="E544" s="101"/>
      <c r="F544" s="101"/>
      <c r="G544" s="101"/>
      <c r="H544" s="101"/>
      <c r="I544" s="101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  <c r="AA544" s="101"/>
      <c r="AB544" s="101"/>
      <c r="AC544" s="101"/>
      <c r="AD544" s="101"/>
      <c r="AE544" s="101"/>
      <c r="AF544" s="101"/>
    </row>
    <row r="545" spans="1:32" ht="13.8">
      <c r="A545" s="101"/>
      <c r="B545" s="101"/>
      <c r="C545" s="101"/>
      <c r="D545" s="101"/>
      <c r="E545" s="101"/>
      <c r="F545" s="101"/>
      <c r="G545" s="101"/>
      <c r="H545" s="101"/>
      <c r="I545" s="101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  <c r="AA545" s="101"/>
      <c r="AB545" s="101"/>
      <c r="AC545" s="101"/>
      <c r="AD545" s="101"/>
      <c r="AE545" s="101"/>
      <c r="AF545" s="101"/>
    </row>
    <row r="546" spans="1:32" ht="13.8">
      <c r="A546" s="101"/>
      <c r="B546" s="101"/>
      <c r="C546" s="101"/>
      <c r="D546" s="101"/>
      <c r="E546" s="101"/>
      <c r="F546" s="101"/>
      <c r="G546" s="101"/>
      <c r="H546" s="101"/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  <c r="AA546" s="101"/>
      <c r="AB546" s="101"/>
      <c r="AC546" s="101"/>
      <c r="AD546" s="101"/>
      <c r="AE546" s="101"/>
      <c r="AF546" s="101"/>
    </row>
    <row r="547" spans="1:32" ht="13.8">
      <c r="A547" s="101"/>
      <c r="B547" s="101"/>
      <c r="C547" s="101"/>
      <c r="D547" s="101"/>
      <c r="E547" s="101"/>
      <c r="F547" s="101"/>
      <c r="G547" s="101"/>
      <c r="H547" s="101"/>
      <c r="I547" s="101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  <c r="AA547" s="101"/>
      <c r="AB547" s="101"/>
      <c r="AC547" s="101"/>
      <c r="AD547" s="101"/>
      <c r="AE547" s="101"/>
      <c r="AF547" s="101"/>
    </row>
    <row r="548" spans="1:32" ht="13.8">
      <c r="A548" s="101"/>
      <c r="B548" s="101"/>
      <c r="C548" s="101"/>
      <c r="D548" s="101"/>
      <c r="E548" s="101"/>
      <c r="F548" s="101"/>
      <c r="G548" s="101"/>
      <c r="H548" s="101"/>
      <c r="I548" s="101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  <c r="AA548" s="101"/>
      <c r="AB548" s="101"/>
      <c r="AC548" s="101"/>
      <c r="AD548" s="101"/>
      <c r="AE548" s="101"/>
      <c r="AF548" s="101"/>
    </row>
    <row r="549" spans="1:32" ht="13.8">
      <c r="A549" s="101"/>
      <c r="B549" s="101"/>
      <c r="C549" s="101"/>
      <c r="D549" s="101"/>
      <c r="E549" s="101"/>
      <c r="F549" s="101"/>
      <c r="G549" s="101"/>
      <c r="H549" s="101"/>
      <c r="I549" s="101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  <c r="AA549" s="101"/>
      <c r="AB549" s="101"/>
      <c r="AC549" s="101"/>
      <c r="AD549" s="101"/>
      <c r="AE549" s="101"/>
      <c r="AF549" s="101"/>
    </row>
    <row r="550" spans="1:32" ht="13.8">
      <c r="A550" s="101"/>
      <c r="B550" s="101"/>
      <c r="C550" s="101"/>
      <c r="D550" s="101"/>
      <c r="E550" s="101"/>
      <c r="F550" s="101"/>
      <c r="G550" s="101"/>
      <c r="H550" s="101"/>
      <c r="I550" s="101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  <c r="AA550" s="101"/>
      <c r="AB550" s="101"/>
      <c r="AC550" s="101"/>
      <c r="AD550" s="101"/>
      <c r="AE550" s="101"/>
      <c r="AF550" s="101"/>
    </row>
    <row r="551" spans="1:32" ht="13.8">
      <c r="A551" s="101"/>
      <c r="B551" s="101"/>
      <c r="C551" s="101"/>
      <c r="D551" s="101"/>
      <c r="E551" s="101"/>
      <c r="F551" s="101"/>
      <c r="G551" s="101"/>
      <c r="H551" s="101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  <c r="AA551" s="101"/>
      <c r="AB551" s="101"/>
      <c r="AC551" s="101"/>
      <c r="AD551" s="101"/>
      <c r="AE551" s="101"/>
      <c r="AF551" s="101"/>
    </row>
    <row r="552" spans="1:32" ht="13.8">
      <c r="A552" s="101"/>
      <c r="B552" s="101"/>
      <c r="C552" s="101"/>
      <c r="D552" s="101"/>
      <c r="E552" s="101"/>
      <c r="F552" s="101"/>
      <c r="G552" s="101"/>
      <c r="H552" s="101"/>
      <c r="I552" s="101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  <c r="Z552" s="101"/>
      <c r="AA552" s="101"/>
      <c r="AB552" s="101"/>
      <c r="AC552" s="101"/>
      <c r="AD552" s="101"/>
      <c r="AE552" s="101"/>
      <c r="AF552" s="101"/>
    </row>
    <row r="553" spans="1:32" ht="13.8">
      <c r="A553" s="101"/>
      <c r="B553" s="101"/>
      <c r="C553" s="101"/>
      <c r="D553" s="101"/>
      <c r="E553" s="101"/>
      <c r="F553" s="101"/>
      <c r="G553" s="101"/>
      <c r="H553" s="101"/>
      <c r="I553" s="101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  <c r="Z553" s="101"/>
      <c r="AA553" s="101"/>
      <c r="AB553" s="101"/>
      <c r="AC553" s="101"/>
      <c r="AD553" s="101"/>
      <c r="AE553" s="101"/>
      <c r="AF553" s="101"/>
    </row>
    <row r="554" spans="1:32" ht="13.8">
      <c r="A554" s="101"/>
      <c r="B554" s="101"/>
      <c r="C554" s="101"/>
      <c r="D554" s="101"/>
      <c r="E554" s="101"/>
      <c r="F554" s="101"/>
      <c r="G554" s="101"/>
      <c r="H554" s="101"/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  <c r="Z554" s="101"/>
      <c r="AA554" s="101"/>
      <c r="AB554" s="101"/>
      <c r="AC554" s="101"/>
      <c r="AD554" s="101"/>
      <c r="AE554" s="101"/>
      <c r="AF554" s="101"/>
    </row>
    <row r="555" spans="1:32" ht="13.8">
      <c r="A555" s="101"/>
      <c r="B555" s="101"/>
      <c r="C555" s="101"/>
      <c r="D555" s="101"/>
      <c r="E555" s="101"/>
      <c r="F555" s="101"/>
      <c r="G555" s="101"/>
      <c r="H555" s="101"/>
      <c r="I555" s="101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  <c r="Z555" s="101"/>
      <c r="AA555" s="101"/>
      <c r="AB555" s="101"/>
      <c r="AC555" s="101"/>
      <c r="AD555" s="101"/>
      <c r="AE555" s="101"/>
      <c r="AF555" s="101"/>
    </row>
    <row r="556" spans="1:32" ht="13.8">
      <c r="A556" s="101"/>
      <c r="B556" s="101"/>
      <c r="C556" s="101"/>
      <c r="D556" s="101"/>
      <c r="E556" s="101"/>
      <c r="F556" s="101"/>
      <c r="G556" s="101"/>
      <c r="H556" s="101"/>
      <c r="I556" s="101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  <c r="Z556" s="101"/>
      <c r="AA556" s="101"/>
      <c r="AB556" s="101"/>
      <c r="AC556" s="101"/>
      <c r="AD556" s="101"/>
      <c r="AE556" s="101"/>
      <c r="AF556" s="101"/>
    </row>
    <row r="557" spans="1:32" ht="13.8">
      <c r="A557" s="101"/>
      <c r="B557" s="101"/>
      <c r="C557" s="101"/>
      <c r="D557" s="101"/>
      <c r="E557" s="101"/>
      <c r="F557" s="101"/>
      <c r="G557" s="101"/>
      <c r="H557" s="101"/>
      <c r="I557" s="101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  <c r="Z557" s="101"/>
      <c r="AA557" s="101"/>
      <c r="AB557" s="101"/>
      <c r="AC557" s="101"/>
      <c r="AD557" s="101"/>
      <c r="AE557" s="101"/>
      <c r="AF557" s="101"/>
    </row>
    <row r="558" spans="1:32" ht="13.8">
      <c r="A558" s="101"/>
      <c r="B558" s="101"/>
      <c r="C558" s="101"/>
      <c r="D558" s="101"/>
      <c r="E558" s="101"/>
      <c r="F558" s="101"/>
      <c r="G558" s="101"/>
      <c r="H558" s="101"/>
      <c r="I558" s="101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  <c r="Z558" s="101"/>
      <c r="AA558" s="101"/>
      <c r="AB558" s="101"/>
      <c r="AC558" s="101"/>
      <c r="AD558" s="101"/>
      <c r="AE558" s="101"/>
      <c r="AF558" s="101"/>
    </row>
    <row r="559" spans="1:32" ht="13.8">
      <c r="A559" s="101"/>
      <c r="B559" s="101"/>
      <c r="C559" s="101"/>
      <c r="D559" s="101"/>
      <c r="E559" s="101"/>
      <c r="F559" s="101"/>
      <c r="G559" s="101"/>
      <c r="H559" s="101"/>
      <c r="I559" s="101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  <c r="Z559" s="101"/>
      <c r="AA559" s="101"/>
      <c r="AB559" s="101"/>
      <c r="AC559" s="101"/>
      <c r="AD559" s="101"/>
      <c r="AE559" s="101"/>
      <c r="AF559" s="101"/>
    </row>
    <row r="560" spans="1:32" ht="13.8">
      <c r="A560" s="101"/>
      <c r="B560" s="101"/>
      <c r="C560" s="101"/>
      <c r="D560" s="101"/>
      <c r="E560" s="101"/>
      <c r="F560" s="101"/>
      <c r="G560" s="101"/>
      <c r="H560" s="101"/>
      <c r="I560" s="101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  <c r="Z560" s="101"/>
      <c r="AA560" s="101"/>
      <c r="AB560" s="101"/>
      <c r="AC560" s="101"/>
      <c r="AD560" s="101"/>
      <c r="AE560" s="101"/>
      <c r="AF560" s="101"/>
    </row>
    <row r="561" spans="1:32" ht="13.8">
      <c r="A561" s="101"/>
      <c r="B561" s="101"/>
      <c r="C561" s="101"/>
      <c r="D561" s="101"/>
      <c r="E561" s="101"/>
      <c r="F561" s="101"/>
      <c r="G561" s="101"/>
      <c r="H561" s="101"/>
      <c r="I561" s="101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  <c r="Z561" s="101"/>
      <c r="AA561" s="101"/>
      <c r="AB561" s="101"/>
      <c r="AC561" s="101"/>
      <c r="AD561" s="101"/>
      <c r="AE561" s="101"/>
      <c r="AF561" s="101"/>
    </row>
    <row r="562" spans="1:32" ht="13.8">
      <c r="A562" s="101"/>
      <c r="B562" s="101"/>
      <c r="C562" s="101"/>
      <c r="D562" s="101"/>
      <c r="E562" s="101"/>
      <c r="F562" s="101"/>
      <c r="G562" s="101"/>
      <c r="H562" s="101"/>
      <c r="I562" s="101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  <c r="Z562" s="101"/>
      <c r="AA562" s="101"/>
      <c r="AB562" s="101"/>
      <c r="AC562" s="101"/>
      <c r="AD562" s="101"/>
      <c r="AE562" s="101"/>
      <c r="AF562" s="101"/>
    </row>
    <row r="563" spans="1:32" ht="13.8">
      <c r="A563" s="101"/>
      <c r="B563" s="101"/>
      <c r="C563" s="101"/>
      <c r="D563" s="101"/>
      <c r="E563" s="101"/>
      <c r="F563" s="101"/>
      <c r="G563" s="101"/>
      <c r="H563" s="101"/>
      <c r="I563" s="101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  <c r="Z563" s="101"/>
      <c r="AA563" s="101"/>
      <c r="AB563" s="101"/>
      <c r="AC563" s="101"/>
      <c r="AD563" s="101"/>
      <c r="AE563" s="101"/>
      <c r="AF563" s="101"/>
    </row>
    <row r="564" spans="1:32" ht="13.8">
      <c r="A564" s="101"/>
      <c r="B564" s="101"/>
      <c r="C564" s="101"/>
      <c r="D564" s="101"/>
      <c r="E564" s="101"/>
      <c r="F564" s="101"/>
      <c r="G564" s="101"/>
      <c r="H564" s="101"/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  <c r="Z564" s="101"/>
      <c r="AA564" s="101"/>
      <c r="AB564" s="101"/>
      <c r="AC564" s="101"/>
      <c r="AD564" s="101"/>
      <c r="AE564" s="101"/>
      <c r="AF564" s="101"/>
    </row>
    <row r="565" spans="1:32" ht="13.8">
      <c r="A565" s="101"/>
      <c r="B565" s="101"/>
      <c r="C565" s="101"/>
      <c r="D565" s="101"/>
      <c r="E565" s="101"/>
      <c r="F565" s="101"/>
      <c r="G565" s="101"/>
      <c r="H565" s="101"/>
      <c r="I565" s="101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  <c r="Z565" s="101"/>
      <c r="AA565" s="101"/>
      <c r="AB565" s="101"/>
      <c r="AC565" s="101"/>
      <c r="AD565" s="101"/>
      <c r="AE565" s="101"/>
      <c r="AF565" s="101"/>
    </row>
    <row r="566" spans="1:32" ht="13.8">
      <c r="A566" s="101"/>
      <c r="B566" s="101"/>
      <c r="C566" s="101"/>
      <c r="D566" s="101"/>
      <c r="E566" s="101"/>
      <c r="F566" s="101"/>
      <c r="G566" s="101"/>
      <c r="H566" s="101"/>
      <c r="I566" s="101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  <c r="Z566" s="101"/>
      <c r="AA566" s="101"/>
      <c r="AB566" s="101"/>
      <c r="AC566" s="101"/>
      <c r="AD566" s="101"/>
      <c r="AE566" s="101"/>
      <c r="AF566" s="101"/>
    </row>
    <row r="567" spans="1:32" ht="13.8">
      <c r="A567" s="101"/>
      <c r="B567" s="101"/>
      <c r="C567" s="101"/>
      <c r="D567" s="101"/>
      <c r="E567" s="101"/>
      <c r="F567" s="101"/>
      <c r="G567" s="101"/>
      <c r="H567" s="101"/>
      <c r="I567" s="101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  <c r="Z567" s="101"/>
      <c r="AA567" s="101"/>
      <c r="AB567" s="101"/>
      <c r="AC567" s="101"/>
      <c r="AD567" s="101"/>
      <c r="AE567" s="101"/>
      <c r="AF567" s="101"/>
    </row>
    <row r="568" spans="1:32" ht="13.8">
      <c r="A568" s="101"/>
      <c r="B568" s="101"/>
      <c r="C568" s="101"/>
      <c r="D568" s="101"/>
      <c r="E568" s="101"/>
      <c r="F568" s="101"/>
      <c r="G568" s="101"/>
      <c r="H568" s="101"/>
      <c r="I568" s="101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  <c r="Z568" s="101"/>
      <c r="AA568" s="101"/>
      <c r="AB568" s="101"/>
      <c r="AC568" s="101"/>
      <c r="AD568" s="101"/>
      <c r="AE568" s="101"/>
      <c r="AF568" s="101"/>
    </row>
    <row r="569" spans="1:32" ht="13.8">
      <c r="A569" s="101"/>
      <c r="B569" s="101"/>
      <c r="C569" s="101"/>
      <c r="D569" s="101"/>
      <c r="E569" s="101"/>
      <c r="F569" s="101"/>
      <c r="G569" s="101"/>
      <c r="H569" s="101"/>
      <c r="I569" s="101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  <c r="Z569" s="101"/>
      <c r="AA569" s="101"/>
      <c r="AB569" s="101"/>
      <c r="AC569" s="101"/>
      <c r="AD569" s="101"/>
      <c r="AE569" s="101"/>
      <c r="AF569" s="101"/>
    </row>
    <row r="570" spans="1:32" ht="13.8">
      <c r="A570" s="101"/>
      <c r="B570" s="101"/>
      <c r="C570" s="101"/>
      <c r="D570" s="101"/>
      <c r="E570" s="101"/>
      <c r="F570" s="101"/>
      <c r="G570" s="101"/>
      <c r="H570" s="101"/>
      <c r="I570" s="101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  <c r="Z570" s="101"/>
      <c r="AA570" s="101"/>
      <c r="AB570" s="101"/>
      <c r="AC570" s="101"/>
      <c r="AD570" s="101"/>
      <c r="AE570" s="101"/>
      <c r="AF570" s="101"/>
    </row>
    <row r="571" spans="1:32" ht="13.8">
      <c r="A571" s="101"/>
      <c r="B571" s="101"/>
      <c r="C571" s="101"/>
      <c r="D571" s="101"/>
      <c r="E571" s="101"/>
      <c r="F571" s="101"/>
      <c r="G571" s="101"/>
      <c r="H571" s="101"/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  <c r="Z571" s="101"/>
      <c r="AA571" s="101"/>
      <c r="AB571" s="101"/>
      <c r="AC571" s="101"/>
      <c r="AD571" s="101"/>
      <c r="AE571" s="101"/>
      <c r="AF571" s="101"/>
    </row>
    <row r="572" spans="1:32" ht="13.8">
      <c r="A572" s="101"/>
      <c r="B572" s="101"/>
      <c r="C572" s="101"/>
      <c r="D572" s="101"/>
      <c r="E572" s="101"/>
      <c r="F572" s="101"/>
      <c r="G572" s="101"/>
      <c r="H572" s="101"/>
      <c r="I572" s="101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  <c r="Z572" s="101"/>
      <c r="AA572" s="101"/>
      <c r="AB572" s="101"/>
      <c r="AC572" s="101"/>
      <c r="AD572" s="101"/>
      <c r="AE572" s="101"/>
      <c r="AF572" s="101"/>
    </row>
    <row r="573" spans="1:32" ht="13.8">
      <c r="A573" s="101"/>
      <c r="B573" s="101"/>
      <c r="C573" s="101"/>
      <c r="D573" s="101"/>
      <c r="E573" s="101"/>
      <c r="F573" s="101"/>
      <c r="G573" s="101"/>
      <c r="H573" s="101"/>
      <c r="I573" s="101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  <c r="Z573" s="101"/>
      <c r="AA573" s="101"/>
      <c r="AB573" s="101"/>
      <c r="AC573" s="101"/>
      <c r="AD573" s="101"/>
      <c r="AE573" s="101"/>
      <c r="AF573" s="101"/>
    </row>
    <row r="574" spans="1:32" ht="13.8">
      <c r="A574" s="101"/>
      <c r="B574" s="101"/>
      <c r="C574" s="101"/>
      <c r="D574" s="101"/>
      <c r="E574" s="101"/>
      <c r="F574" s="101"/>
      <c r="G574" s="101"/>
      <c r="H574" s="101"/>
      <c r="I574" s="101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  <c r="Z574" s="101"/>
      <c r="AA574" s="101"/>
      <c r="AB574" s="101"/>
      <c r="AC574" s="101"/>
      <c r="AD574" s="101"/>
      <c r="AE574" s="101"/>
      <c r="AF574" s="101"/>
    </row>
    <row r="575" spans="1:32" ht="13.8">
      <c r="A575" s="101"/>
      <c r="B575" s="101"/>
      <c r="C575" s="101"/>
      <c r="D575" s="101"/>
      <c r="E575" s="101"/>
      <c r="F575" s="101"/>
      <c r="G575" s="101"/>
      <c r="H575" s="101"/>
      <c r="I575" s="101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  <c r="Z575" s="101"/>
      <c r="AA575" s="101"/>
      <c r="AB575" s="101"/>
      <c r="AC575" s="101"/>
      <c r="AD575" s="101"/>
      <c r="AE575" s="101"/>
      <c r="AF575" s="101"/>
    </row>
    <row r="576" spans="1:32" ht="13.8">
      <c r="A576" s="101"/>
      <c r="B576" s="101"/>
      <c r="C576" s="101"/>
      <c r="D576" s="101"/>
      <c r="E576" s="101"/>
      <c r="F576" s="101"/>
      <c r="G576" s="101"/>
      <c r="H576" s="101"/>
      <c r="I576" s="101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  <c r="Z576" s="101"/>
      <c r="AA576" s="101"/>
      <c r="AB576" s="101"/>
      <c r="AC576" s="101"/>
      <c r="AD576" s="101"/>
      <c r="AE576" s="101"/>
      <c r="AF576" s="101"/>
    </row>
    <row r="577" spans="1:32" ht="13.8">
      <c r="A577" s="101"/>
      <c r="B577" s="101"/>
      <c r="C577" s="101"/>
      <c r="D577" s="101"/>
      <c r="E577" s="101"/>
      <c r="F577" s="101"/>
      <c r="G577" s="101"/>
      <c r="H577" s="101"/>
      <c r="I577" s="101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  <c r="Z577" s="101"/>
      <c r="AA577" s="101"/>
      <c r="AB577" s="101"/>
      <c r="AC577" s="101"/>
      <c r="AD577" s="101"/>
      <c r="AE577" s="101"/>
      <c r="AF577" s="101"/>
    </row>
    <row r="578" spans="1:32" ht="13.8">
      <c r="A578" s="101"/>
      <c r="B578" s="101"/>
      <c r="C578" s="101"/>
      <c r="D578" s="101"/>
      <c r="E578" s="101"/>
      <c r="F578" s="101"/>
      <c r="G578" s="101"/>
      <c r="H578" s="101"/>
      <c r="I578" s="101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  <c r="Z578" s="101"/>
      <c r="AA578" s="101"/>
      <c r="AB578" s="101"/>
      <c r="AC578" s="101"/>
      <c r="AD578" s="101"/>
      <c r="AE578" s="101"/>
      <c r="AF578" s="101"/>
    </row>
    <row r="579" spans="1:32" ht="13.8">
      <c r="A579" s="101"/>
      <c r="B579" s="101"/>
      <c r="C579" s="101"/>
      <c r="D579" s="101"/>
      <c r="E579" s="101"/>
      <c r="F579" s="101"/>
      <c r="G579" s="101"/>
      <c r="H579" s="101"/>
      <c r="I579" s="101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  <c r="Z579" s="101"/>
      <c r="AA579" s="101"/>
      <c r="AB579" s="101"/>
      <c r="AC579" s="101"/>
      <c r="AD579" s="101"/>
      <c r="AE579" s="101"/>
      <c r="AF579" s="101"/>
    </row>
    <row r="580" spans="1:32" ht="13.8">
      <c r="A580" s="101"/>
      <c r="B580" s="101"/>
      <c r="C580" s="101"/>
      <c r="D580" s="101"/>
      <c r="E580" s="101"/>
      <c r="F580" s="101"/>
      <c r="G580" s="101"/>
      <c r="H580" s="101"/>
      <c r="I580" s="101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  <c r="Z580" s="101"/>
      <c r="AA580" s="101"/>
      <c r="AB580" s="101"/>
      <c r="AC580" s="101"/>
      <c r="AD580" s="101"/>
      <c r="AE580" s="101"/>
      <c r="AF580" s="101"/>
    </row>
    <row r="581" spans="1:32" ht="13.8">
      <c r="A581" s="101"/>
      <c r="B581" s="101"/>
      <c r="C581" s="101"/>
      <c r="D581" s="101"/>
      <c r="E581" s="101"/>
      <c r="F581" s="101"/>
      <c r="G581" s="101"/>
      <c r="H581" s="101"/>
      <c r="I581" s="101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  <c r="Z581" s="101"/>
      <c r="AA581" s="101"/>
      <c r="AB581" s="101"/>
      <c r="AC581" s="101"/>
      <c r="AD581" s="101"/>
      <c r="AE581" s="101"/>
      <c r="AF581" s="101"/>
    </row>
    <row r="582" spans="1:32" ht="13.8">
      <c r="A582" s="101"/>
      <c r="B582" s="101"/>
      <c r="C582" s="101"/>
      <c r="D582" s="101"/>
      <c r="E582" s="101"/>
      <c r="F582" s="101"/>
      <c r="G582" s="101"/>
      <c r="H582" s="101"/>
      <c r="I582" s="101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  <c r="Z582" s="101"/>
      <c r="AA582" s="101"/>
      <c r="AB582" s="101"/>
      <c r="AC582" s="101"/>
      <c r="AD582" s="101"/>
      <c r="AE582" s="101"/>
      <c r="AF582" s="101"/>
    </row>
    <row r="583" spans="1:32" ht="13.8">
      <c r="A583" s="101"/>
      <c r="B583" s="101"/>
      <c r="C583" s="101"/>
      <c r="D583" s="101"/>
      <c r="E583" s="101"/>
      <c r="F583" s="101"/>
      <c r="G583" s="101"/>
      <c r="H583" s="101"/>
      <c r="I583" s="101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  <c r="Z583" s="101"/>
      <c r="AA583" s="101"/>
      <c r="AB583" s="101"/>
      <c r="AC583" s="101"/>
      <c r="AD583" s="101"/>
      <c r="AE583" s="101"/>
      <c r="AF583" s="101"/>
    </row>
    <row r="584" spans="1:32" ht="13.8">
      <c r="A584" s="101"/>
      <c r="B584" s="101"/>
      <c r="C584" s="101"/>
      <c r="D584" s="101"/>
      <c r="E584" s="101"/>
      <c r="F584" s="101"/>
      <c r="G584" s="101"/>
      <c r="H584" s="101"/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  <c r="Z584" s="101"/>
      <c r="AA584" s="101"/>
      <c r="AB584" s="101"/>
      <c r="AC584" s="101"/>
      <c r="AD584" s="101"/>
      <c r="AE584" s="101"/>
      <c r="AF584" s="101"/>
    </row>
    <row r="585" spans="1:32" ht="13.8">
      <c r="A585" s="101"/>
      <c r="B585" s="101"/>
      <c r="C585" s="101"/>
      <c r="D585" s="101"/>
      <c r="E585" s="101"/>
      <c r="F585" s="101"/>
      <c r="G585" s="101"/>
      <c r="H585" s="101"/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  <c r="Z585" s="101"/>
      <c r="AA585" s="101"/>
      <c r="AB585" s="101"/>
      <c r="AC585" s="101"/>
      <c r="AD585" s="101"/>
      <c r="AE585" s="101"/>
      <c r="AF585" s="101"/>
    </row>
    <row r="586" spans="1:32" ht="13.8">
      <c r="A586" s="101"/>
      <c r="B586" s="101"/>
      <c r="C586" s="101"/>
      <c r="D586" s="101"/>
      <c r="E586" s="101"/>
      <c r="F586" s="101"/>
      <c r="G586" s="101"/>
      <c r="H586" s="101"/>
      <c r="I586" s="101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  <c r="Z586" s="101"/>
      <c r="AA586" s="101"/>
      <c r="AB586" s="101"/>
      <c r="AC586" s="101"/>
      <c r="AD586" s="101"/>
      <c r="AE586" s="101"/>
      <c r="AF586" s="101"/>
    </row>
    <row r="587" spans="1:32" ht="13.8">
      <c r="A587" s="101"/>
      <c r="B587" s="101"/>
      <c r="C587" s="101"/>
      <c r="D587" s="101"/>
      <c r="E587" s="101"/>
      <c r="F587" s="101"/>
      <c r="G587" s="101"/>
      <c r="H587" s="101"/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  <c r="Z587" s="101"/>
      <c r="AA587" s="101"/>
      <c r="AB587" s="101"/>
      <c r="AC587" s="101"/>
      <c r="AD587" s="101"/>
      <c r="AE587" s="101"/>
      <c r="AF587" s="101"/>
    </row>
    <row r="588" spans="1:32" ht="13.8">
      <c r="A588" s="101"/>
      <c r="B588" s="101"/>
      <c r="C588" s="101"/>
      <c r="D588" s="101"/>
      <c r="E588" s="101"/>
      <c r="F588" s="101"/>
      <c r="G588" s="101"/>
      <c r="H588" s="101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  <c r="Z588" s="101"/>
      <c r="AA588" s="101"/>
      <c r="AB588" s="101"/>
      <c r="AC588" s="101"/>
      <c r="AD588" s="101"/>
      <c r="AE588" s="101"/>
      <c r="AF588" s="101"/>
    </row>
    <row r="589" spans="1:32" ht="13.8">
      <c r="A589" s="101"/>
      <c r="B589" s="101"/>
      <c r="C589" s="101"/>
      <c r="D589" s="101"/>
      <c r="E589" s="101"/>
      <c r="F589" s="101"/>
      <c r="G589" s="101"/>
      <c r="H589" s="101"/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  <c r="Z589" s="101"/>
      <c r="AA589" s="101"/>
      <c r="AB589" s="101"/>
      <c r="AC589" s="101"/>
      <c r="AD589" s="101"/>
      <c r="AE589" s="101"/>
      <c r="AF589" s="101"/>
    </row>
    <row r="590" spans="1:32" ht="13.8">
      <c r="A590" s="101"/>
      <c r="B590" s="101"/>
      <c r="C590" s="101"/>
      <c r="D590" s="101"/>
      <c r="E590" s="101"/>
      <c r="F590" s="101"/>
      <c r="G590" s="101"/>
      <c r="H590" s="101"/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  <c r="Z590" s="101"/>
      <c r="AA590" s="101"/>
      <c r="AB590" s="101"/>
      <c r="AC590" s="101"/>
      <c r="AD590" s="101"/>
      <c r="AE590" s="101"/>
      <c r="AF590" s="101"/>
    </row>
    <row r="591" spans="1:32" ht="13.8">
      <c r="A591" s="101"/>
      <c r="B591" s="101"/>
      <c r="C591" s="101"/>
      <c r="D591" s="101"/>
      <c r="E591" s="101"/>
      <c r="F591" s="101"/>
      <c r="G591" s="101"/>
      <c r="H591" s="101"/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  <c r="Z591" s="101"/>
      <c r="AA591" s="101"/>
      <c r="AB591" s="101"/>
      <c r="AC591" s="101"/>
      <c r="AD591" s="101"/>
      <c r="AE591" s="101"/>
      <c r="AF591" s="101"/>
    </row>
    <row r="592" spans="1:32" ht="13.8">
      <c r="A592" s="101"/>
      <c r="B592" s="101"/>
      <c r="C592" s="101"/>
      <c r="D592" s="101"/>
      <c r="E592" s="101"/>
      <c r="F592" s="101"/>
      <c r="G592" s="101"/>
      <c r="H592" s="101"/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  <c r="AA592" s="101"/>
      <c r="AB592" s="101"/>
      <c r="AC592" s="101"/>
      <c r="AD592" s="101"/>
      <c r="AE592" s="101"/>
      <c r="AF592" s="101"/>
    </row>
    <row r="593" spans="1:32" ht="13.8">
      <c r="A593" s="101"/>
      <c r="B593" s="101"/>
      <c r="C593" s="101"/>
      <c r="D593" s="101"/>
      <c r="E593" s="101"/>
      <c r="F593" s="101"/>
      <c r="G593" s="101"/>
      <c r="H593" s="101"/>
      <c r="I593" s="101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  <c r="Z593" s="101"/>
      <c r="AA593" s="101"/>
      <c r="AB593" s="101"/>
      <c r="AC593" s="101"/>
      <c r="AD593" s="101"/>
      <c r="AE593" s="101"/>
      <c r="AF593" s="101"/>
    </row>
    <row r="594" spans="1:32" ht="13.8">
      <c r="A594" s="101"/>
      <c r="B594" s="101"/>
      <c r="C594" s="101"/>
      <c r="D594" s="101"/>
      <c r="E594" s="101"/>
      <c r="F594" s="101"/>
      <c r="G594" s="101"/>
      <c r="H594" s="101"/>
      <c r="I594" s="101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  <c r="Z594" s="101"/>
      <c r="AA594" s="101"/>
      <c r="AB594" s="101"/>
      <c r="AC594" s="101"/>
      <c r="AD594" s="101"/>
      <c r="AE594" s="101"/>
      <c r="AF594" s="101"/>
    </row>
    <row r="595" spans="1:32" ht="13.8">
      <c r="A595" s="101"/>
      <c r="B595" s="101"/>
      <c r="C595" s="101"/>
      <c r="D595" s="101"/>
      <c r="E595" s="101"/>
      <c r="F595" s="101"/>
      <c r="G595" s="101"/>
      <c r="H595" s="101"/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  <c r="Z595" s="101"/>
      <c r="AA595" s="101"/>
      <c r="AB595" s="101"/>
      <c r="AC595" s="101"/>
      <c r="AD595" s="101"/>
      <c r="AE595" s="101"/>
      <c r="AF595" s="101"/>
    </row>
    <row r="596" spans="1:32" ht="13.8">
      <c r="A596" s="101"/>
      <c r="B596" s="101"/>
      <c r="C596" s="101"/>
      <c r="D596" s="101"/>
      <c r="E596" s="101"/>
      <c r="F596" s="101"/>
      <c r="G596" s="101"/>
      <c r="H596" s="101"/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  <c r="Z596" s="101"/>
      <c r="AA596" s="101"/>
      <c r="AB596" s="101"/>
      <c r="AC596" s="101"/>
      <c r="AD596" s="101"/>
      <c r="AE596" s="101"/>
      <c r="AF596" s="101"/>
    </row>
    <row r="597" spans="1:32" ht="13.8">
      <c r="A597" s="101"/>
      <c r="B597" s="101"/>
      <c r="C597" s="101"/>
      <c r="D597" s="101"/>
      <c r="E597" s="101"/>
      <c r="F597" s="101"/>
      <c r="G597" s="101"/>
      <c r="H597" s="101"/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  <c r="Z597" s="101"/>
      <c r="AA597" s="101"/>
      <c r="AB597" s="101"/>
      <c r="AC597" s="101"/>
      <c r="AD597" s="101"/>
      <c r="AE597" s="101"/>
      <c r="AF597" s="101"/>
    </row>
    <row r="598" spans="1:32" ht="13.8">
      <c r="A598" s="101"/>
      <c r="B598" s="101"/>
      <c r="C598" s="101"/>
      <c r="D598" s="101"/>
      <c r="E598" s="101"/>
      <c r="F598" s="101"/>
      <c r="G598" s="101"/>
      <c r="H598" s="101"/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  <c r="Z598" s="101"/>
      <c r="AA598" s="101"/>
      <c r="AB598" s="101"/>
      <c r="AC598" s="101"/>
      <c r="AD598" s="101"/>
      <c r="AE598" s="101"/>
      <c r="AF598" s="101"/>
    </row>
    <row r="599" spans="1:32" ht="13.8">
      <c r="A599" s="101"/>
      <c r="B599" s="101"/>
      <c r="C599" s="101"/>
      <c r="D599" s="101"/>
      <c r="E599" s="101"/>
      <c r="F599" s="101"/>
      <c r="G599" s="101"/>
      <c r="H599" s="101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  <c r="Z599" s="101"/>
      <c r="AA599" s="101"/>
      <c r="AB599" s="101"/>
      <c r="AC599" s="101"/>
      <c r="AD599" s="101"/>
      <c r="AE599" s="101"/>
      <c r="AF599" s="101"/>
    </row>
    <row r="600" spans="1:32" ht="13.8">
      <c r="A600" s="101"/>
      <c r="B600" s="101"/>
      <c r="C600" s="101"/>
      <c r="D600" s="101"/>
      <c r="E600" s="101"/>
      <c r="F600" s="101"/>
      <c r="G600" s="101"/>
      <c r="H600" s="101"/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  <c r="Z600" s="101"/>
      <c r="AA600" s="101"/>
      <c r="AB600" s="101"/>
      <c r="AC600" s="101"/>
      <c r="AD600" s="101"/>
      <c r="AE600" s="101"/>
      <c r="AF600" s="101"/>
    </row>
    <row r="601" spans="1:32" ht="13.8">
      <c r="A601" s="101"/>
      <c r="B601" s="101"/>
      <c r="C601" s="101"/>
      <c r="D601" s="101"/>
      <c r="E601" s="101"/>
      <c r="F601" s="101"/>
      <c r="G601" s="101"/>
      <c r="H601" s="101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  <c r="Z601" s="101"/>
      <c r="AA601" s="101"/>
      <c r="AB601" s="101"/>
      <c r="AC601" s="101"/>
      <c r="AD601" s="101"/>
      <c r="AE601" s="101"/>
      <c r="AF601" s="101"/>
    </row>
    <row r="602" spans="1:32" ht="13.8">
      <c r="A602" s="101"/>
      <c r="B602" s="101"/>
      <c r="C602" s="101"/>
      <c r="D602" s="101"/>
      <c r="E602" s="101"/>
      <c r="F602" s="101"/>
      <c r="G602" s="101"/>
      <c r="H602" s="101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  <c r="Z602" s="101"/>
      <c r="AA602" s="101"/>
      <c r="AB602" s="101"/>
      <c r="AC602" s="101"/>
      <c r="AD602" s="101"/>
      <c r="AE602" s="101"/>
      <c r="AF602" s="101"/>
    </row>
    <row r="603" spans="1:32" ht="13.8">
      <c r="A603" s="101"/>
      <c r="B603" s="101"/>
      <c r="C603" s="101"/>
      <c r="D603" s="101"/>
      <c r="E603" s="101"/>
      <c r="F603" s="101"/>
      <c r="G603" s="101"/>
      <c r="H603" s="101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  <c r="Z603" s="101"/>
      <c r="AA603" s="101"/>
      <c r="AB603" s="101"/>
      <c r="AC603" s="101"/>
      <c r="AD603" s="101"/>
      <c r="AE603" s="101"/>
      <c r="AF603" s="101"/>
    </row>
    <row r="604" spans="1:32" ht="13.8">
      <c r="A604" s="101"/>
      <c r="B604" s="101"/>
      <c r="C604" s="101"/>
      <c r="D604" s="101"/>
      <c r="E604" s="101"/>
      <c r="F604" s="101"/>
      <c r="G604" s="101"/>
      <c r="H604" s="101"/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  <c r="Z604" s="101"/>
      <c r="AA604" s="101"/>
      <c r="AB604" s="101"/>
      <c r="AC604" s="101"/>
      <c r="AD604" s="101"/>
      <c r="AE604" s="101"/>
      <c r="AF604" s="101"/>
    </row>
    <row r="605" spans="1:32" ht="13.8">
      <c r="A605" s="101"/>
      <c r="B605" s="101"/>
      <c r="C605" s="101"/>
      <c r="D605" s="101"/>
      <c r="E605" s="101"/>
      <c r="F605" s="101"/>
      <c r="G605" s="101"/>
      <c r="H605" s="101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  <c r="Z605" s="101"/>
      <c r="AA605" s="101"/>
      <c r="AB605" s="101"/>
      <c r="AC605" s="101"/>
      <c r="AD605" s="101"/>
      <c r="AE605" s="101"/>
      <c r="AF605" s="101"/>
    </row>
    <row r="606" spans="1:32" ht="13.8">
      <c r="A606" s="101"/>
      <c r="B606" s="101"/>
      <c r="C606" s="101"/>
      <c r="D606" s="101"/>
      <c r="E606" s="101"/>
      <c r="F606" s="101"/>
      <c r="G606" s="101"/>
      <c r="H606" s="101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  <c r="Z606" s="101"/>
      <c r="AA606" s="101"/>
      <c r="AB606" s="101"/>
      <c r="AC606" s="101"/>
      <c r="AD606" s="101"/>
      <c r="AE606" s="101"/>
      <c r="AF606" s="101"/>
    </row>
    <row r="607" spans="1:32" ht="13.8">
      <c r="A607" s="101"/>
      <c r="B607" s="101"/>
      <c r="C607" s="101"/>
      <c r="D607" s="101"/>
      <c r="E607" s="101"/>
      <c r="F607" s="101"/>
      <c r="G607" s="101"/>
      <c r="H607" s="101"/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  <c r="Z607" s="101"/>
      <c r="AA607" s="101"/>
      <c r="AB607" s="101"/>
      <c r="AC607" s="101"/>
      <c r="AD607" s="101"/>
      <c r="AE607" s="101"/>
      <c r="AF607" s="101"/>
    </row>
    <row r="608" spans="1:32" ht="13.8">
      <c r="A608" s="101"/>
      <c r="B608" s="101"/>
      <c r="C608" s="101"/>
      <c r="D608" s="101"/>
      <c r="E608" s="101"/>
      <c r="F608" s="101"/>
      <c r="G608" s="101"/>
      <c r="H608" s="101"/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  <c r="Z608" s="101"/>
      <c r="AA608" s="101"/>
      <c r="AB608" s="101"/>
      <c r="AC608" s="101"/>
      <c r="AD608" s="101"/>
      <c r="AE608" s="101"/>
      <c r="AF608" s="101"/>
    </row>
    <row r="609" spans="1:32" ht="13.8">
      <c r="A609" s="101"/>
      <c r="B609" s="101"/>
      <c r="C609" s="101"/>
      <c r="D609" s="101"/>
      <c r="E609" s="101"/>
      <c r="F609" s="101"/>
      <c r="G609" s="101"/>
      <c r="H609" s="101"/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  <c r="Z609" s="101"/>
      <c r="AA609" s="101"/>
      <c r="AB609" s="101"/>
      <c r="AC609" s="101"/>
      <c r="AD609" s="101"/>
      <c r="AE609" s="101"/>
      <c r="AF609" s="101"/>
    </row>
    <row r="610" spans="1:32" ht="13.8">
      <c r="A610" s="101"/>
      <c r="B610" s="101"/>
      <c r="C610" s="101"/>
      <c r="D610" s="101"/>
      <c r="E610" s="101"/>
      <c r="F610" s="101"/>
      <c r="G610" s="101"/>
      <c r="H610" s="101"/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  <c r="Z610" s="101"/>
      <c r="AA610" s="101"/>
      <c r="AB610" s="101"/>
      <c r="AC610" s="101"/>
      <c r="AD610" s="101"/>
      <c r="AE610" s="101"/>
      <c r="AF610" s="101"/>
    </row>
    <row r="611" spans="1:32" ht="13.8">
      <c r="A611" s="101"/>
      <c r="B611" s="101"/>
      <c r="C611" s="101"/>
      <c r="D611" s="101"/>
      <c r="E611" s="101"/>
      <c r="F611" s="101"/>
      <c r="G611" s="101"/>
      <c r="H611" s="101"/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  <c r="Z611" s="101"/>
      <c r="AA611" s="101"/>
      <c r="AB611" s="101"/>
      <c r="AC611" s="101"/>
      <c r="AD611" s="101"/>
      <c r="AE611" s="101"/>
      <c r="AF611" s="101"/>
    </row>
    <row r="612" spans="1:32" ht="13.8">
      <c r="A612" s="101"/>
      <c r="B612" s="101"/>
      <c r="C612" s="101"/>
      <c r="D612" s="101"/>
      <c r="E612" s="101"/>
      <c r="F612" s="101"/>
      <c r="G612" s="101"/>
      <c r="H612" s="101"/>
      <c r="I612" s="101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  <c r="Z612" s="101"/>
      <c r="AA612" s="101"/>
      <c r="AB612" s="101"/>
      <c r="AC612" s="101"/>
      <c r="AD612" s="101"/>
      <c r="AE612" s="101"/>
      <c r="AF612" s="101"/>
    </row>
    <row r="613" spans="1:32" ht="13.8">
      <c r="A613" s="101"/>
      <c r="B613" s="101"/>
      <c r="C613" s="101"/>
      <c r="D613" s="101"/>
      <c r="E613" s="101"/>
      <c r="F613" s="101"/>
      <c r="G613" s="101"/>
      <c r="H613" s="101"/>
      <c r="I613" s="101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  <c r="Z613" s="101"/>
      <c r="AA613" s="101"/>
      <c r="AB613" s="101"/>
      <c r="AC613" s="101"/>
      <c r="AD613" s="101"/>
      <c r="AE613" s="101"/>
      <c r="AF613" s="101"/>
    </row>
    <row r="614" spans="1:32" ht="13.8">
      <c r="A614" s="101"/>
      <c r="B614" s="101"/>
      <c r="C614" s="101"/>
      <c r="D614" s="101"/>
      <c r="E614" s="101"/>
      <c r="F614" s="101"/>
      <c r="G614" s="101"/>
      <c r="H614" s="101"/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  <c r="Z614" s="101"/>
      <c r="AA614" s="101"/>
      <c r="AB614" s="101"/>
      <c r="AC614" s="101"/>
      <c r="AD614" s="101"/>
      <c r="AE614" s="101"/>
      <c r="AF614" s="101"/>
    </row>
    <row r="615" spans="1:32" ht="13.8">
      <c r="A615" s="101"/>
      <c r="B615" s="101"/>
      <c r="C615" s="101"/>
      <c r="D615" s="101"/>
      <c r="E615" s="101"/>
      <c r="F615" s="101"/>
      <c r="G615" s="101"/>
      <c r="H615" s="101"/>
      <c r="I615" s="101"/>
      <c r="J615" s="101"/>
      <c r="K615" s="101"/>
      <c r="L615" s="101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  <c r="Z615" s="101"/>
      <c r="AA615" s="101"/>
      <c r="AB615" s="101"/>
      <c r="AC615" s="101"/>
      <c r="AD615" s="101"/>
      <c r="AE615" s="101"/>
      <c r="AF615" s="101"/>
    </row>
    <row r="616" spans="1:32" ht="13.8">
      <c r="A616" s="101"/>
      <c r="B616" s="101"/>
      <c r="C616" s="101"/>
      <c r="D616" s="101"/>
      <c r="E616" s="101"/>
      <c r="F616" s="101"/>
      <c r="G616" s="101"/>
      <c r="H616" s="101"/>
      <c r="I616" s="101"/>
      <c r="J616" s="101"/>
      <c r="K616" s="101"/>
      <c r="L616" s="101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  <c r="Z616" s="101"/>
      <c r="AA616" s="101"/>
      <c r="AB616" s="101"/>
      <c r="AC616" s="101"/>
      <c r="AD616" s="101"/>
      <c r="AE616" s="101"/>
      <c r="AF616" s="101"/>
    </row>
    <row r="617" spans="1:32" ht="13.8">
      <c r="A617" s="101"/>
      <c r="B617" s="101"/>
      <c r="C617" s="101"/>
      <c r="D617" s="101"/>
      <c r="E617" s="101"/>
      <c r="F617" s="101"/>
      <c r="G617" s="101"/>
      <c r="H617" s="101"/>
      <c r="I617" s="101"/>
      <c r="J617" s="101"/>
      <c r="K617" s="101"/>
      <c r="L617" s="101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  <c r="Z617" s="101"/>
      <c r="AA617" s="101"/>
      <c r="AB617" s="101"/>
      <c r="AC617" s="101"/>
      <c r="AD617" s="101"/>
      <c r="AE617" s="101"/>
      <c r="AF617" s="101"/>
    </row>
    <row r="618" spans="1:32" ht="13.8">
      <c r="A618" s="101"/>
      <c r="B618" s="101"/>
      <c r="C618" s="101"/>
      <c r="D618" s="101"/>
      <c r="E618" s="101"/>
      <c r="F618" s="101"/>
      <c r="G618" s="101"/>
      <c r="H618" s="101"/>
      <c r="I618" s="101"/>
      <c r="J618" s="101"/>
      <c r="K618" s="101"/>
      <c r="L618" s="101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01"/>
      <c r="Z618" s="101"/>
      <c r="AA618" s="101"/>
      <c r="AB618" s="101"/>
      <c r="AC618" s="101"/>
      <c r="AD618" s="101"/>
      <c r="AE618" s="101"/>
      <c r="AF618" s="101"/>
    </row>
    <row r="619" spans="1:32" ht="13.8">
      <c r="A619" s="101"/>
      <c r="B619" s="101"/>
      <c r="C619" s="101"/>
      <c r="D619" s="101"/>
      <c r="E619" s="101"/>
      <c r="F619" s="101"/>
      <c r="G619" s="101"/>
      <c r="H619" s="101"/>
      <c r="I619" s="101"/>
      <c r="J619" s="101"/>
      <c r="K619" s="101"/>
      <c r="L619" s="101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01"/>
      <c r="Z619" s="101"/>
      <c r="AA619" s="101"/>
      <c r="AB619" s="101"/>
      <c r="AC619" s="101"/>
      <c r="AD619" s="101"/>
      <c r="AE619" s="101"/>
      <c r="AF619" s="101"/>
    </row>
    <row r="620" spans="1:32" ht="13.8">
      <c r="A620" s="101"/>
      <c r="B620" s="101"/>
      <c r="C620" s="101"/>
      <c r="D620" s="101"/>
      <c r="E620" s="101"/>
      <c r="F620" s="101"/>
      <c r="G620" s="101"/>
      <c r="H620" s="101"/>
      <c r="I620" s="101"/>
      <c r="J620" s="101"/>
      <c r="K620" s="101"/>
      <c r="L620" s="101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01"/>
      <c r="Z620" s="101"/>
      <c r="AA620" s="101"/>
      <c r="AB620" s="101"/>
      <c r="AC620" s="101"/>
      <c r="AD620" s="101"/>
      <c r="AE620" s="101"/>
      <c r="AF620" s="101"/>
    </row>
    <row r="621" spans="1:32" ht="13.8">
      <c r="A621" s="101"/>
      <c r="B621" s="101"/>
      <c r="C621" s="101"/>
      <c r="D621" s="101"/>
      <c r="E621" s="101"/>
      <c r="F621" s="101"/>
      <c r="G621" s="101"/>
      <c r="H621" s="101"/>
      <c r="I621" s="101"/>
      <c r="J621" s="101"/>
      <c r="K621" s="101"/>
      <c r="L621" s="101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01"/>
      <c r="Z621" s="101"/>
      <c r="AA621" s="101"/>
      <c r="AB621" s="101"/>
      <c r="AC621" s="101"/>
      <c r="AD621" s="101"/>
      <c r="AE621" s="101"/>
      <c r="AF621" s="101"/>
    </row>
    <row r="622" spans="1:32" ht="13.8">
      <c r="A622" s="101"/>
      <c r="B622" s="101"/>
      <c r="C622" s="101"/>
      <c r="D622" s="101"/>
      <c r="E622" s="101"/>
      <c r="F622" s="101"/>
      <c r="G622" s="101"/>
      <c r="H622" s="101"/>
      <c r="I622" s="101"/>
      <c r="J622" s="101"/>
      <c r="K622" s="101"/>
      <c r="L622" s="101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01"/>
      <c r="Z622" s="101"/>
      <c r="AA622" s="101"/>
      <c r="AB622" s="101"/>
      <c r="AC622" s="101"/>
      <c r="AD622" s="101"/>
      <c r="AE622" s="101"/>
      <c r="AF622" s="101"/>
    </row>
    <row r="623" spans="1:32" ht="13.8">
      <c r="A623" s="101"/>
      <c r="B623" s="101"/>
      <c r="C623" s="101"/>
      <c r="D623" s="101"/>
      <c r="E623" s="101"/>
      <c r="F623" s="101"/>
      <c r="G623" s="101"/>
      <c r="H623" s="101"/>
      <c r="I623" s="101"/>
      <c r="J623" s="101"/>
      <c r="K623" s="101"/>
      <c r="L623" s="101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01"/>
      <c r="Z623" s="101"/>
      <c r="AA623" s="101"/>
      <c r="AB623" s="101"/>
      <c r="AC623" s="101"/>
      <c r="AD623" s="101"/>
      <c r="AE623" s="101"/>
      <c r="AF623" s="101"/>
    </row>
    <row r="624" spans="1:32" ht="13.8">
      <c r="A624" s="101"/>
      <c r="B624" s="101"/>
      <c r="C624" s="101"/>
      <c r="D624" s="101"/>
      <c r="E624" s="101"/>
      <c r="F624" s="101"/>
      <c r="G624" s="101"/>
      <c r="H624" s="101"/>
      <c r="I624" s="101"/>
      <c r="J624" s="101"/>
      <c r="K624" s="101"/>
      <c r="L624" s="101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01"/>
      <c r="Z624" s="101"/>
      <c r="AA624" s="101"/>
      <c r="AB624" s="101"/>
      <c r="AC624" s="101"/>
      <c r="AD624" s="101"/>
      <c r="AE624" s="101"/>
      <c r="AF624" s="101"/>
    </row>
    <row r="625" spans="1:32" ht="13.8">
      <c r="A625" s="101"/>
      <c r="B625" s="101"/>
      <c r="C625" s="101"/>
      <c r="D625" s="101"/>
      <c r="E625" s="101"/>
      <c r="F625" s="101"/>
      <c r="G625" s="101"/>
      <c r="H625" s="101"/>
      <c r="I625" s="101"/>
      <c r="J625" s="101"/>
      <c r="K625" s="101"/>
      <c r="L625" s="101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01"/>
      <c r="Z625" s="101"/>
      <c r="AA625" s="101"/>
      <c r="AB625" s="101"/>
      <c r="AC625" s="101"/>
      <c r="AD625" s="101"/>
      <c r="AE625" s="101"/>
      <c r="AF625" s="101"/>
    </row>
    <row r="626" spans="1:32" ht="13.8">
      <c r="A626" s="101"/>
      <c r="B626" s="101"/>
      <c r="C626" s="101"/>
      <c r="D626" s="101"/>
      <c r="E626" s="101"/>
      <c r="F626" s="101"/>
      <c r="G626" s="101"/>
      <c r="H626" s="101"/>
      <c r="I626" s="101"/>
      <c r="J626" s="101"/>
      <c r="K626" s="101"/>
      <c r="L626" s="101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01"/>
      <c r="Z626" s="101"/>
      <c r="AA626" s="101"/>
      <c r="AB626" s="101"/>
      <c r="AC626" s="101"/>
      <c r="AD626" s="101"/>
      <c r="AE626" s="101"/>
      <c r="AF626" s="101"/>
    </row>
    <row r="627" spans="1:32" ht="13.8">
      <c r="A627" s="101"/>
      <c r="B627" s="101"/>
      <c r="C627" s="101"/>
      <c r="D627" s="101"/>
      <c r="E627" s="101"/>
      <c r="F627" s="101"/>
      <c r="G627" s="101"/>
      <c r="H627" s="101"/>
      <c r="I627" s="101"/>
      <c r="J627" s="101"/>
      <c r="K627" s="101"/>
      <c r="L627" s="101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01"/>
      <c r="Z627" s="101"/>
      <c r="AA627" s="101"/>
      <c r="AB627" s="101"/>
      <c r="AC627" s="101"/>
      <c r="AD627" s="101"/>
      <c r="AE627" s="101"/>
      <c r="AF627" s="101"/>
    </row>
    <row r="628" spans="1:32" ht="13.8">
      <c r="A628" s="101"/>
      <c r="B628" s="101"/>
      <c r="C628" s="101"/>
      <c r="D628" s="101"/>
      <c r="E628" s="101"/>
      <c r="F628" s="101"/>
      <c r="G628" s="101"/>
      <c r="H628" s="101"/>
      <c r="I628" s="101"/>
      <c r="J628" s="101"/>
      <c r="K628" s="101"/>
      <c r="L628" s="101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01"/>
      <c r="Z628" s="101"/>
      <c r="AA628" s="101"/>
      <c r="AB628" s="101"/>
      <c r="AC628" s="101"/>
      <c r="AD628" s="101"/>
      <c r="AE628" s="101"/>
      <c r="AF628" s="101"/>
    </row>
    <row r="629" spans="1:32" ht="13.8">
      <c r="A629" s="101"/>
      <c r="B629" s="101"/>
      <c r="C629" s="101"/>
      <c r="D629" s="101"/>
      <c r="E629" s="101"/>
      <c r="F629" s="101"/>
      <c r="G629" s="101"/>
      <c r="H629" s="101"/>
      <c r="I629" s="101"/>
      <c r="J629" s="101"/>
      <c r="K629" s="101"/>
      <c r="L629" s="101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01"/>
      <c r="Z629" s="101"/>
      <c r="AA629" s="101"/>
      <c r="AB629" s="101"/>
      <c r="AC629" s="101"/>
      <c r="AD629" s="101"/>
      <c r="AE629" s="101"/>
      <c r="AF629" s="101"/>
    </row>
    <row r="630" spans="1:32" ht="13.8">
      <c r="A630" s="101"/>
      <c r="B630" s="101"/>
      <c r="C630" s="101"/>
      <c r="D630" s="101"/>
      <c r="E630" s="101"/>
      <c r="F630" s="101"/>
      <c r="G630" s="101"/>
      <c r="H630" s="101"/>
      <c r="I630" s="101"/>
      <c r="J630" s="101"/>
      <c r="K630" s="101"/>
      <c r="L630" s="101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  <c r="Z630" s="101"/>
      <c r="AA630" s="101"/>
      <c r="AB630" s="101"/>
      <c r="AC630" s="101"/>
      <c r="AD630" s="101"/>
      <c r="AE630" s="101"/>
      <c r="AF630" s="101"/>
    </row>
    <row r="631" spans="1:32" ht="13.8">
      <c r="A631" s="101"/>
      <c r="B631" s="101"/>
      <c r="C631" s="101"/>
      <c r="D631" s="101"/>
      <c r="E631" s="101"/>
      <c r="F631" s="101"/>
      <c r="G631" s="101"/>
      <c r="H631" s="101"/>
      <c r="I631" s="101"/>
      <c r="J631" s="101"/>
      <c r="K631" s="101"/>
      <c r="L631" s="101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  <c r="Z631" s="101"/>
      <c r="AA631" s="101"/>
      <c r="AB631" s="101"/>
      <c r="AC631" s="101"/>
      <c r="AD631" s="101"/>
      <c r="AE631" s="101"/>
      <c r="AF631" s="101"/>
    </row>
    <row r="632" spans="1:32" ht="13.8">
      <c r="A632" s="101"/>
      <c r="B632" s="101"/>
      <c r="C632" s="101"/>
      <c r="D632" s="101"/>
      <c r="E632" s="101"/>
      <c r="F632" s="101"/>
      <c r="G632" s="101"/>
      <c r="H632" s="101"/>
      <c r="I632" s="101"/>
      <c r="J632" s="101"/>
      <c r="K632" s="101"/>
      <c r="L632" s="101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  <c r="Z632" s="101"/>
      <c r="AA632" s="101"/>
      <c r="AB632" s="101"/>
      <c r="AC632" s="101"/>
      <c r="AD632" s="101"/>
      <c r="AE632" s="101"/>
      <c r="AF632" s="101"/>
    </row>
    <row r="633" spans="1:32" ht="13.8">
      <c r="A633" s="101"/>
      <c r="B633" s="101"/>
      <c r="C633" s="101"/>
      <c r="D633" s="101"/>
      <c r="E633" s="101"/>
      <c r="F633" s="101"/>
      <c r="G633" s="101"/>
      <c r="H633" s="101"/>
      <c r="I633" s="101"/>
      <c r="J633" s="101"/>
      <c r="K633" s="101"/>
      <c r="L633" s="101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  <c r="Z633" s="101"/>
      <c r="AA633" s="101"/>
      <c r="AB633" s="101"/>
      <c r="AC633" s="101"/>
      <c r="AD633" s="101"/>
      <c r="AE633" s="101"/>
      <c r="AF633" s="101"/>
    </row>
    <row r="634" spans="1:32" ht="13.8">
      <c r="A634" s="101"/>
      <c r="B634" s="101"/>
      <c r="C634" s="101"/>
      <c r="D634" s="101"/>
      <c r="E634" s="101"/>
      <c r="F634" s="101"/>
      <c r="G634" s="101"/>
      <c r="H634" s="101"/>
      <c r="I634" s="101"/>
      <c r="J634" s="101"/>
      <c r="K634" s="101"/>
      <c r="L634" s="101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  <c r="Z634" s="101"/>
      <c r="AA634" s="101"/>
      <c r="AB634" s="101"/>
      <c r="AC634" s="101"/>
      <c r="AD634" s="101"/>
      <c r="AE634" s="101"/>
      <c r="AF634" s="101"/>
    </row>
    <row r="635" spans="1:32" ht="13.8">
      <c r="A635" s="101"/>
      <c r="B635" s="101"/>
      <c r="C635" s="101"/>
      <c r="D635" s="101"/>
      <c r="E635" s="101"/>
      <c r="F635" s="101"/>
      <c r="G635" s="101"/>
      <c r="H635" s="101"/>
      <c r="I635" s="101"/>
      <c r="J635" s="101"/>
      <c r="K635" s="101"/>
      <c r="L635" s="101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  <c r="Z635" s="101"/>
      <c r="AA635" s="101"/>
      <c r="AB635" s="101"/>
      <c r="AC635" s="101"/>
      <c r="AD635" s="101"/>
      <c r="AE635" s="101"/>
      <c r="AF635" s="101"/>
    </row>
    <row r="636" spans="1:32" ht="13.8">
      <c r="A636" s="101"/>
      <c r="B636" s="101"/>
      <c r="C636" s="101"/>
      <c r="D636" s="101"/>
      <c r="E636" s="101"/>
      <c r="F636" s="101"/>
      <c r="G636" s="101"/>
      <c r="H636" s="101"/>
      <c r="I636" s="101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  <c r="Z636" s="101"/>
      <c r="AA636" s="101"/>
      <c r="AB636" s="101"/>
      <c r="AC636" s="101"/>
      <c r="AD636" s="101"/>
      <c r="AE636" s="101"/>
      <c r="AF636" s="101"/>
    </row>
    <row r="637" spans="1:32" ht="13.8">
      <c r="A637" s="101"/>
      <c r="B637" s="101"/>
      <c r="C637" s="101"/>
      <c r="D637" s="101"/>
      <c r="E637" s="101"/>
      <c r="F637" s="101"/>
      <c r="G637" s="101"/>
      <c r="H637" s="101"/>
      <c r="I637" s="101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  <c r="Z637" s="101"/>
      <c r="AA637" s="101"/>
      <c r="AB637" s="101"/>
      <c r="AC637" s="101"/>
      <c r="AD637" s="101"/>
      <c r="AE637" s="101"/>
      <c r="AF637" s="101"/>
    </row>
    <row r="638" spans="1:32" ht="13.8">
      <c r="A638" s="101"/>
      <c r="B638" s="101"/>
      <c r="C638" s="101"/>
      <c r="D638" s="101"/>
      <c r="E638" s="101"/>
      <c r="F638" s="101"/>
      <c r="G638" s="101"/>
      <c r="H638" s="101"/>
      <c r="I638" s="101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  <c r="Z638" s="101"/>
      <c r="AA638" s="101"/>
      <c r="AB638" s="101"/>
      <c r="AC638" s="101"/>
      <c r="AD638" s="101"/>
      <c r="AE638" s="101"/>
      <c r="AF638" s="101"/>
    </row>
    <row r="639" spans="1:32" ht="13.8">
      <c r="A639" s="101"/>
      <c r="B639" s="101"/>
      <c r="C639" s="101"/>
      <c r="D639" s="101"/>
      <c r="E639" s="101"/>
      <c r="F639" s="101"/>
      <c r="G639" s="101"/>
      <c r="H639" s="101"/>
      <c r="I639" s="101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  <c r="Z639" s="101"/>
      <c r="AA639" s="101"/>
      <c r="AB639" s="101"/>
      <c r="AC639" s="101"/>
      <c r="AD639" s="101"/>
      <c r="AE639" s="101"/>
      <c r="AF639" s="101"/>
    </row>
    <row r="640" spans="1:32" ht="13.8">
      <c r="A640" s="101"/>
      <c r="B640" s="101"/>
      <c r="C640" s="101"/>
      <c r="D640" s="101"/>
      <c r="E640" s="101"/>
      <c r="F640" s="101"/>
      <c r="G640" s="101"/>
      <c r="H640" s="101"/>
      <c r="I640" s="101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  <c r="Z640" s="101"/>
      <c r="AA640" s="101"/>
      <c r="AB640" s="101"/>
      <c r="AC640" s="101"/>
      <c r="AD640" s="101"/>
      <c r="AE640" s="101"/>
      <c r="AF640" s="101"/>
    </row>
    <row r="641" spans="1:32" ht="13.8">
      <c r="A641" s="101"/>
      <c r="B641" s="101"/>
      <c r="C641" s="101"/>
      <c r="D641" s="101"/>
      <c r="E641" s="101"/>
      <c r="F641" s="101"/>
      <c r="G641" s="101"/>
      <c r="H641" s="101"/>
      <c r="I641" s="101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  <c r="Z641" s="101"/>
      <c r="AA641" s="101"/>
      <c r="AB641" s="101"/>
      <c r="AC641" s="101"/>
      <c r="AD641" s="101"/>
      <c r="AE641" s="101"/>
      <c r="AF641" s="101"/>
    </row>
    <row r="642" spans="1:32" ht="13.8">
      <c r="A642" s="101"/>
      <c r="B642" s="101"/>
      <c r="C642" s="101"/>
      <c r="D642" s="101"/>
      <c r="E642" s="101"/>
      <c r="F642" s="101"/>
      <c r="G642" s="101"/>
      <c r="H642" s="101"/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  <c r="Z642" s="101"/>
      <c r="AA642" s="101"/>
      <c r="AB642" s="101"/>
      <c r="AC642" s="101"/>
      <c r="AD642" s="101"/>
      <c r="AE642" s="101"/>
      <c r="AF642" s="101"/>
    </row>
    <row r="643" spans="1:32" ht="13.8">
      <c r="A643" s="101"/>
      <c r="B643" s="101"/>
      <c r="C643" s="101"/>
      <c r="D643" s="101"/>
      <c r="E643" s="101"/>
      <c r="F643" s="101"/>
      <c r="G643" s="101"/>
      <c r="H643" s="101"/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  <c r="Z643" s="101"/>
      <c r="AA643" s="101"/>
      <c r="AB643" s="101"/>
      <c r="AC643" s="101"/>
      <c r="AD643" s="101"/>
      <c r="AE643" s="101"/>
      <c r="AF643" s="101"/>
    </row>
    <row r="644" spans="1:32" ht="13.8">
      <c r="A644" s="101"/>
      <c r="B644" s="101"/>
      <c r="C644" s="101"/>
      <c r="D644" s="101"/>
      <c r="E644" s="101"/>
      <c r="F644" s="101"/>
      <c r="G644" s="101"/>
      <c r="H644" s="101"/>
      <c r="I644" s="101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  <c r="Z644" s="101"/>
      <c r="AA644" s="101"/>
      <c r="AB644" s="101"/>
      <c r="AC644" s="101"/>
      <c r="AD644" s="101"/>
      <c r="AE644" s="101"/>
      <c r="AF644" s="101"/>
    </row>
    <row r="645" spans="1:32" ht="13.8">
      <c r="A645" s="101"/>
      <c r="B645" s="101"/>
      <c r="C645" s="101"/>
      <c r="D645" s="101"/>
      <c r="E645" s="101"/>
      <c r="F645" s="101"/>
      <c r="G645" s="101"/>
      <c r="H645" s="101"/>
      <c r="I645" s="101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  <c r="Z645" s="101"/>
      <c r="AA645" s="101"/>
      <c r="AB645" s="101"/>
      <c r="AC645" s="101"/>
      <c r="AD645" s="101"/>
      <c r="AE645" s="101"/>
      <c r="AF645" s="101"/>
    </row>
    <row r="646" spans="1:32" ht="13.8">
      <c r="A646" s="101"/>
      <c r="B646" s="101"/>
      <c r="C646" s="101"/>
      <c r="D646" s="101"/>
      <c r="E646" s="101"/>
      <c r="F646" s="101"/>
      <c r="G646" s="101"/>
      <c r="H646" s="101"/>
      <c r="I646" s="101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  <c r="Z646" s="101"/>
      <c r="AA646" s="101"/>
      <c r="AB646" s="101"/>
      <c r="AC646" s="101"/>
      <c r="AD646" s="101"/>
      <c r="AE646" s="101"/>
      <c r="AF646" s="101"/>
    </row>
    <row r="647" spans="1:32" ht="13.8">
      <c r="A647" s="101"/>
      <c r="B647" s="101"/>
      <c r="C647" s="101"/>
      <c r="D647" s="101"/>
      <c r="E647" s="101"/>
      <c r="F647" s="101"/>
      <c r="G647" s="101"/>
      <c r="H647" s="101"/>
      <c r="I647" s="101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  <c r="Z647" s="101"/>
      <c r="AA647" s="101"/>
      <c r="AB647" s="101"/>
      <c r="AC647" s="101"/>
      <c r="AD647" s="101"/>
      <c r="AE647" s="101"/>
      <c r="AF647" s="101"/>
    </row>
    <row r="648" spans="1:32" ht="13.8">
      <c r="A648" s="101"/>
      <c r="B648" s="101"/>
      <c r="C648" s="101"/>
      <c r="D648" s="101"/>
      <c r="E648" s="101"/>
      <c r="F648" s="101"/>
      <c r="G648" s="101"/>
      <c r="H648" s="101"/>
      <c r="I648" s="101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  <c r="Z648" s="101"/>
      <c r="AA648" s="101"/>
      <c r="AB648" s="101"/>
      <c r="AC648" s="101"/>
      <c r="AD648" s="101"/>
      <c r="AE648" s="101"/>
      <c r="AF648" s="101"/>
    </row>
    <row r="649" spans="1:32" ht="13.8">
      <c r="A649" s="101"/>
      <c r="B649" s="101"/>
      <c r="C649" s="101"/>
      <c r="D649" s="101"/>
      <c r="E649" s="101"/>
      <c r="F649" s="101"/>
      <c r="G649" s="101"/>
      <c r="H649" s="101"/>
      <c r="I649" s="101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  <c r="Z649" s="101"/>
      <c r="AA649" s="101"/>
      <c r="AB649" s="101"/>
      <c r="AC649" s="101"/>
      <c r="AD649" s="101"/>
      <c r="AE649" s="101"/>
      <c r="AF649" s="101"/>
    </row>
    <row r="650" spans="1:32" ht="13.8">
      <c r="A650" s="101"/>
      <c r="B650" s="101"/>
      <c r="C650" s="101"/>
      <c r="D650" s="101"/>
      <c r="E650" s="101"/>
      <c r="F650" s="101"/>
      <c r="G650" s="101"/>
      <c r="H650" s="101"/>
      <c r="I650" s="101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  <c r="Z650" s="101"/>
      <c r="AA650" s="101"/>
      <c r="AB650" s="101"/>
      <c r="AC650" s="101"/>
      <c r="AD650" s="101"/>
      <c r="AE650" s="101"/>
      <c r="AF650" s="101"/>
    </row>
    <row r="651" spans="1:32" ht="13.8">
      <c r="A651" s="101"/>
      <c r="B651" s="101"/>
      <c r="C651" s="101"/>
      <c r="D651" s="101"/>
      <c r="E651" s="101"/>
      <c r="F651" s="101"/>
      <c r="G651" s="101"/>
      <c r="H651" s="101"/>
      <c r="I651" s="101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  <c r="Z651" s="101"/>
      <c r="AA651" s="101"/>
      <c r="AB651" s="101"/>
      <c r="AC651" s="101"/>
      <c r="AD651" s="101"/>
      <c r="AE651" s="101"/>
      <c r="AF651" s="101"/>
    </row>
    <row r="652" spans="1:32" ht="13.8">
      <c r="A652" s="101"/>
      <c r="B652" s="101"/>
      <c r="C652" s="101"/>
      <c r="D652" s="101"/>
      <c r="E652" s="101"/>
      <c r="F652" s="101"/>
      <c r="G652" s="101"/>
      <c r="H652" s="101"/>
      <c r="I652" s="101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  <c r="Z652" s="101"/>
      <c r="AA652" s="101"/>
      <c r="AB652" s="101"/>
      <c r="AC652" s="101"/>
      <c r="AD652" s="101"/>
      <c r="AE652" s="101"/>
      <c r="AF652" s="101"/>
    </row>
    <row r="653" spans="1:32" ht="13.8">
      <c r="A653" s="101"/>
      <c r="B653" s="101"/>
      <c r="C653" s="101"/>
      <c r="D653" s="101"/>
      <c r="E653" s="101"/>
      <c r="F653" s="101"/>
      <c r="G653" s="101"/>
      <c r="H653" s="101"/>
      <c r="I653" s="101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  <c r="Z653" s="101"/>
      <c r="AA653" s="101"/>
      <c r="AB653" s="101"/>
      <c r="AC653" s="101"/>
      <c r="AD653" s="101"/>
      <c r="AE653" s="101"/>
      <c r="AF653" s="101"/>
    </row>
    <row r="654" spans="1:32" ht="13.8">
      <c r="A654" s="101"/>
      <c r="B654" s="101"/>
      <c r="C654" s="101"/>
      <c r="D654" s="101"/>
      <c r="E654" s="101"/>
      <c r="F654" s="101"/>
      <c r="G654" s="101"/>
      <c r="H654" s="101"/>
      <c r="I654" s="101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  <c r="Z654" s="101"/>
      <c r="AA654" s="101"/>
      <c r="AB654" s="101"/>
      <c r="AC654" s="101"/>
      <c r="AD654" s="101"/>
      <c r="AE654" s="101"/>
      <c r="AF654" s="101"/>
    </row>
    <row r="655" spans="1:32" ht="13.8">
      <c r="A655" s="101"/>
      <c r="B655" s="101"/>
      <c r="C655" s="101"/>
      <c r="D655" s="101"/>
      <c r="E655" s="101"/>
      <c r="F655" s="101"/>
      <c r="G655" s="101"/>
      <c r="H655" s="101"/>
      <c r="I655" s="101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  <c r="Z655" s="101"/>
      <c r="AA655" s="101"/>
      <c r="AB655" s="101"/>
      <c r="AC655" s="101"/>
      <c r="AD655" s="101"/>
      <c r="AE655" s="101"/>
      <c r="AF655" s="101"/>
    </row>
    <row r="656" spans="1:32" ht="13.8">
      <c r="A656" s="101"/>
      <c r="B656" s="101"/>
      <c r="C656" s="101"/>
      <c r="D656" s="101"/>
      <c r="E656" s="101"/>
      <c r="F656" s="101"/>
      <c r="G656" s="101"/>
      <c r="H656" s="101"/>
      <c r="I656" s="101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  <c r="Z656" s="101"/>
      <c r="AA656" s="101"/>
      <c r="AB656" s="101"/>
      <c r="AC656" s="101"/>
      <c r="AD656" s="101"/>
      <c r="AE656" s="101"/>
      <c r="AF656" s="101"/>
    </row>
    <row r="657" spans="1:32" ht="13.8">
      <c r="A657" s="101"/>
      <c r="B657" s="101"/>
      <c r="C657" s="101"/>
      <c r="D657" s="101"/>
      <c r="E657" s="101"/>
      <c r="F657" s="101"/>
      <c r="G657" s="101"/>
      <c r="H657" s="101"/>
      <c r="I657" s="101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  <c r="Z657" s="101"/>
      <c r="AA657" s="101"/>
      <c r="AB657" s="101"/>
      <c r="AC657" s="101"/>
      <c r="AD657" s="101"/>
      <c r="AE657" s="101"/>
      <c r="AF657" s="101"/>
    </row>
    <row r="658" spans="1:32" ht="13.8">
      <c r="A658" s="101"/>
      <c r="B658" s="101"/>
      <c r="C658" s="101"/>
      <c r="D658" s="101"/>
      <c r="E658" s="101"/>
      <c r="F658" s="101"/>
      <c r="G658" s="101"/>
      <c r="H658" s="101"/>
      <c r="I658" s="101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  <c r="Z658" s="101"/>
      <c r="AA658" s="101"/>
      <c r="AB658" s="101"/>
      <c r="AC658" s="101"/>
      <c r="AD658" s="101"/>
      <c r="AE658" s="101"/>
      <c r="AF658" s="101"/>
    </row>
    <row r="659" spans="1:32" ht="13.8">
      <c r="A659" s="101"/>
      <c r="B659" s="101"/>
      <c r="C659" s="101"/>
      <c r="D659" s="101"/>
      <c r="E659" s="101"/>
      <c r="F659" s="101"/>
      <c r="G659" s="101"/>
      <c r="H659" s="101"/>
      <c r="I659" s="101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  <c r="Z659" s="101"/>
      <c r="AA659" s="101"/>
      <c r="AB659" s="101"/>
      <c r="AC659" s="101"/>
      <c r="AD659" s="101"/>
      <c r="AE659" s="101"/>
      <c r="AF659" s="101"/>
    </row>
    <row r="660" spans="1:32" ht="13.8">
      <c r="A660" s="101"/>
      <c r="B660" s="101"/>
      <c r="C660" s="101"/>
      <c r="D660" s="101"/>
      <c r="E660" s="101"/>
      <c r="F660" s="101"/>
      <c r="G660" s="101"/>
      <c r="H660" s="101"/>
      <c r="I660" s="101"/>
      <c r="J660" s="101"/>
      <c r="K660" s="101"/>
      <c r="L660" s="101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01"/>
      <c r="Z660" s="101"/>
      <c r="AA660" s="101"/>
      <c r="AB660" s="101"/>
      <c r="AC660" s="101"/>
      <c r="AD660" s="101"/>
      <c r="AE660" s="101"/>
      <c r="AF660" s="101"/>
    </row>
    <row r="661" spans="1:32" ht="13.8">
      <c r="A661" s="101"/>
      <c r="B661" s="101"/>
      <c r="C661" s="101"/>
      <c r="D661" s="101"/>
      <c r="E661" s="101"/>
      <c r="F661" s="101"/>
      <c r="G661" s="101"/>
      <c r="H661" s="101"/>
      <c r="I661" s="101"/>
      <c r="J661" s="101"/>
      <c r="K661" s="101"/>
      <c r="L661" s="101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01"/>
      <c r="Z661" s="101"/>
      <c r="AA661" s="101"/>
      <c r="AB661" s="101"/>
      <c r="AC661" s="101"/>
      <c r="AD661" s="101"/>
      <c r="AE661" s="101"/>
      <c r="AF661" s="101"/>
    </row>
    <row r="662" spans="1:32" ht="13.8">
      <c r="A662" s="101"/>
      <c r="B662" s="101"/>
      <c r="C662" s="101"/>
      <c r="D662" s="101"/>
      <c r="E662" s="101"/>
      <c r="F662" s="101"/>
      <c r="G662" s="101"/>
      <c r="H662" s="101"/>
      <c r="I662" s="101"/>
      <c r="J662" s="101"/>
      <c r="K662" s="101"/>
      <c r="L662" s="101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01"/>
      <c r="Z662" s="101"/>
      <c r="AA662" s="101"/>
      <c r="AB662" s="101"/>
      <c r="AC662" s="101"/>
      <c r="AD662" s="101"/>
      <c r="AE662" s="101"/>
      <c r="AF662" s="101"/>
    </row>
    <row r="663" spans="1:32" ht="13.8">
      <c r="A663" s="101"/>
      <c r="B663" s="101"/>
      <c r="C663" s="101"/>
      <c r="D663" s="101"/>
      <c r="E663" s="101"/>
      <c r="F663" s="101"/>
      <c r="G663" s="101"/>
      <c r="H663" s="101"/>
      <c r="I663" s="101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  <c r="Z663" s="101"/>
      <c r="AA663" s="101"/>
      <c r="AB663" s="101"/>
      <c r="AC663" s="101"/>
      <c r="AD663" s="101"/>
      <c r="AE663" s="101"/>
      <c r="AF663" s="101"/>
    </row>
    <row r="664" spans="1:32" ht="13.8">
      <c r="A664" s="101"/>
      <c r="B664" s="101"/>
      <c r="C664" s="101"/>
      <c r="D664" s="101"/>
      <c r="E664" s="101"/>
      <c r="F664" s="101"/>
      <c r="G664" s="101"/>
      <c r="H664" s="101"/>
      <c r="I664" s="101"/>
      <c r="J664" s="101"/>
      <c r="K664" s="101"/>
      <c r="L664" s="101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01"/>
      <c r="Z664" s="101"/>
      <c r="AA664" s="101"/>
      <c r="AB664" s="101"/>
      <c r="AC664" s="101"/>
      <c r="AD664" s="101"/>
      <c r="AE664" s="101"/>
      <c r="AF664" s="101"/>
    </row>
    <row r="665" spans="1:32" ht="13.8">
      <c r="A665" s="101"/>
      <c r="B665" s="101"/>
      <c r="C665" s="101"/>
      <c r="D665" s="101"/>
      <c r="E665" s="101"/>
      <c r="F665" s="101"/>
      <c r="G665" s="101"/>
      <c r="H665" s="101"/>
      <c r="I665" s="101"/>
      <c r="J665" s="101"/>
      <c r="K665" s="101"/>
      <c r="L665" s="101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01"/>
      <c r="Z665" s="101"/>
      <c r="AA665" s="101"/>
      <c r="AB665" s="101"/>
      <c r="AC665" s="101"/>
      <c r="AD665" s="101"/>
      <c r="AE665" s="101"/>
      <c r="AF665" s="101"/>
    </row>
    <row r="666" spans="1:32" ht="13.8">
      <c r="A666" s="101"/>
      <c r="B666" s="101"/>
      <c r="C666" s="101"/>
      <c r="D666" s="101"/>
      <c r="E666" s="101"/>
      <c r="F666" s="101"/>
      <c r="G666" s="101"/>
      <c r="H666" s="101"/>
      <c r="I666" s="101"/>
      <c r="J666" s="101"/>
      <c r="K666" s="101"/>
      <c r="L666" s="101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01"/>
      <c r="Z666" s="101"/>
      <c r="AA666" s="101"/>
      <c r="AB666" s="101"/>
      <c r="AC666" s="101"/>
      <c r="AD666" s="101"/>
      <c r="AE666" s="101"/>
      <c r="AF666" s="101"/>
    </row>
    <row r="667" spans="1:32" ht="13.8">
      <c r="A667" s="101"/>
      <c r="B667" s="101"/>
      <c r="C667" s="101"/>
      <c r="D667" s="101"/>
      <c r="E667" s="101"/>
      <c r="F667" s="101"/>
      <c r="G667" s="101"/>
      <c r="H667" s="101"/>
      <c r="I667" s="101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  <c r="Z667" s="101"/>
      <c r="AA667" s="101"/>
      <c r="AB667" s="101"/>
      <c r="AC667" s="101"/>
      <c r="AD667" s="101"/>
      <c r="AE667" s="101"/>
      <c r="AF667" s="101"/>
    </row>
    <row r="668" spans="1:32" ht="13.8">
      <c r="A668" s="101"/>
      <c r="B668" s="101"/>
      <c r="C668" s="101"/>
      <c r="D668" s="101"/>
      <c r="E668" s="101"/>
      <c r="F668" s="101"/>
      <c r="G668" s="101"/>
      <c r="H668" s="101"/>
      <c r="I668" s="101"/>
      <c r="J668" s="101"/>
      <c r="K668" s="101"/>
      <c r="L668" s="101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01"/>
      <c r="Z668" s="101"/>
      <c r="AA668" s="101"/>
      <c r="AB668" s="101"/>
      <c r="AC668" s="101"/>
      <c r="AD668" s="101"/>
      <c r="AE668" s="101"/>
      <c r="AF668" s="101"/>
    </row>
    <row r="669" spans="1:32" ht="13.8">
      <c r="A669" s="101"/>
      <c r="B669" s="101"/>
      <c r="C669" s="101"/>
      <c r="D669" s="101"/>
      <c r="E669" s="101"/>
      <c r="F669" s="101"/>
      <c r="G669" s="101"/>
      <c r="H669" s="101"/>
      <c r="I669" s="101"/>
      <c r="J669" s="101"/>
      <c r="K669" s="101"/>
      <c r="L669" s="101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01"/>
      <c r="Z669" s="101"/>
      <c r="AA669" s="101"/>
      <c r="AB669" s="101"/>
      <c r="AC669" s="101"/>
      <c r="AD669" s="101"/>
      <c r="AE669" s="101"/>
      <c r="AF669" s="101"/>
    </row>
    <row r="670" spans="1:32" ht="13.8">
      <c r="A670" s="101"/>
      <c r="B670" s="101"/>
      <c r="C670" s="101"/>
      <c r="D670" s="101"/>
      <c r="E670" s="101"/>
      <c r="F670" s="101"/>
      <c r="G670" s="101"/>
      <c r="H670" s="101"/>
      <c r="I670" s="101"/>
      <c r="J670" s="101"/>
      <c r="K670" s="101"/>
      <c r="L670" s="101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  <c r="Y670" s="101"/>
      <c r="Z670" s="101"/>
      <c r="AA670" s="101"/>
      <c r="AB670" s="101"/>
      <c r="AC670" s="101"/>
      <c r="AD670" s="101"/>
      <c r="AE670" s="101"/>
      <c r="AF670" s="101"/>
    </row>
    <row r="671" spans="1:32" ht="13.8">
      <c r="A671" s="101"/>
      <c r="B671" s="101"/>
      <c r="C671" s="101"/>
      <c r="D671" s="101"/>
      <c r="E671" s="101"/>
      <c r="F671" s="101"/>
      <c r="G671" s="101"/>
      <c r="H671" s="101"/>
      <c r="I671" s="101"/>
      <c r="J671" s="101"/>
      <c r="K671" s="101"/>
      <c r="L671" s="101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  <c r="Y671" s="101"/>
      <c r="Z671" s="101"/>
      <c r="AA671" s="101"/>
      <c r="AB671" s="101"/>
      <c r="AC671" s="101"/>
      <c r="AD671" s="101"/>
      <c r="AE671" s="101"/>
      <c r="AF671" s="101"/>
    </row>
    <row r="672" spans="1:32" ht="13.8">
      <c r="A672" s="101"/>
      <c r="B672" s="101"/>
      <c r="C672" s="101"/>
      <c r="D672" s="101"/>
      <c r="E672" s="101"/>
      <c r="F672" s="101"/>
      <c r="G672" s="101"/>
      <c r="H672" s="101"/>
      <c r="I672" s="101"/>
      <c r="J672" s="101"/>
      <c r="K672" s="101"/>
      <c r="L672" s="101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  <c r="Y672" s="101"/>
      <c r="Z672" s="101"/>
      <c r="AA672" s="101"/>
      <c r="AB672" s="101"/>
      <c r="AC672" s="101"/>
      <c r="AD672" s="101"/>
      <c r="AE672" s="101"/>
      <c r="AF672" s="101"/>
    </row>
    <row r="673" spans="1:32" ht="13.8">
      <c r="A673" s="101"/>
      <c r="B673" s="101"/>
      <c r="C673" s="101"/>
      <c r="D673" s="101"/>
      <c r="E673" s="101"/>
      <c r="F673" s="101"/>
      <c r="G673" s="101"/>
      <c r="H673" s="101"/>
      <c r="I673" s="101"/>
      <c r="J673" s="101"/>
      <c r="K673" s="101"/>
      <c r="L673" s="101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  <c r="Y673" s="101"/>
      <c r="Z673" s="101"/>
      <c r="AA673" s="101"/>
      <c r="AB673" s="101"/>
      <c r="AC673" s="101"/>
      <c r="AD673" s="101"/>
      <c r="AE673" s="101"/>
      <c r="AF673" s="101"/>
    </row>
    <row r="674" spans="1:32" ht="13.8">
      <c r="A674" s="101"/>
      <c r="B674" s="101"/>
      <c r="C674" s="101"/>
      <c r="D674" s="101"/>
      <c r="E674" s="101"/>
      <c r="F674" s="101"/>
      <c r="G674" s="101"/>
      <c r="H674" s="101"/>
      <c r="I674" s="101"/>
      <c r="J674" s="101"/>
      <c r="K674" s="101"/>
      <c r="L674" s="101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  <c r="Y674" s="101"/>
      <c r="Z674" s="101"/>
      <c r="AA674" s="101"/>
      <c r="AB674" s="101"/>
      <c r="AC674" s="101"/>
      <c r="AD674" s="101"/>
      <c r="AE674" s="101"/>
      <c r="AF674" s="101"/>
    </row>
    <row r="675" spans="1:32" ht="13.8">
      <c r="A675" s="101"/>
      <c r="B675" s="101"/>
      <c r="C675" s="101"/>
      <c r="D675" s="101"/>
      <c r="E675" s="101"/>
      <c r="F675" s="101"/>
      <c r="G675" s="101"/>
      <c r="H675" s="101"/>
      <c r="I675" s="101"/>
      <c r="J675" s="101"/>
      <c r="K675" s="101"/>
      <c r="L675" s="101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  <c r="Y675" s="101"/>
      <c r="Z675" s="101"/>
      <c r="AA675" s="101"/>
      <c r="AB675" s="101"/>
      <c r="AC675" s="101"/>
      <c r="AD675" s="101"/>
      <c r="AE675" s="101"/>
      <c r="AF675" s="101"/>
    </row>
    <row r="676" spans="1:32" ht="13.8">
      <c r="A676" s="101"/>
      <c r="B676" s="101"/>
      <c r="C676" s="101"/>
      <c r="D676" s="101"/>
      <c r="E676" s="101"/>
      <c r="F676" s="101"/>
      <c r="G676" s="101"/>
      <c r="H676" s="101"/>
      <c r="I676" s="101"/>
      <c r="J676" s="101"/>
      <c r="K676" s="101"/>
      <c r="L676" s="101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  <c r="Y676" s="101"/>
      <c r="Z676" s="101"/>
      <c r="AA676" s="101"/>
      <c r="AB676" s="101"/>
      <c r="AC676" s="101"/>
      <c r="AD676" s="101"/>
      <c r="AE676" s="101"/>
      <c r="AF676" s="101"/>
    </row>
    <row r="677" spans="1:32" ht="13.8">
      <c r="A677" s="101"/>
      <c r="B677" s="101"/>
      <c r="C677" s="101"/>
      <c r="D677" s="101"/>
      <c r="E677" s="101"/>
      <c r="F677" s="101"/>
      <c r="G677" s="101"/>
      <c r="H677" s="101"/>
      <c r="I677" s="101"/>
      <c r="J677" s="101"/>
      <c r="K677" s="101"/>
      <c r="L677" s="101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  <c r="Y677" s="101"/>
      <c r="Z677" s="101"/>
      <c r="AA677" s="101"/>
      <c r="AB677" s="101"/>
      <c r="AC677" s="101"/>
      <c r="AD677" s="101"/>
      <c r="AE677" s="101"/>
      <c r="AF677" s="101"/>
    </row>
    <row r="678" spans="1:32" ht="13.8">
      <c r="A678" s="101"/>
      <c r="B678" s="101"/>
      <c r="C678" s="101"/>
      <c r="D678" s="101"/>
      <c r="E678" s="101"/>
      <c r="F678" s="101"/>
      <c r="G678" s="101"/>
      <c r="H678" s="101"/>
      <c r="I678" s="101"/>
      <c r="J678" s="101"/>
      <c r="K678" s="101"/>
      <c r="L678" s="101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  <c r="Y678" s="101"/>
      <c r="Z678" s="101"/>
      <c r="AA678" s="101"/>
      <c r="AB678" s="101"/>
      <c r="AC678" s="101"/>
      <c r="AD678" s="101"/>
      <c r="AE678" s="101"/>
      <c r="AF678" s="101"/>
    </row>
    <row r="679" spans="1:32" ht="13.8">
      <c r="A679" s="101"/>
      <c r="B679" s="101"/>
      <c r="C679" s="101"/>
      <c r="D679" s="101"/>
      <c r="E679" s="101"/>
      <c r="F679" s="101"/>
      <c r="G679" s="101"/>
      <c r="H679" s="101"/>
      <c r="I679" s="101"/>
      <c r="J679" s="101"/>
      <c r="K679" s="101"/>
      <c r="L679" s="101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  <c r="Y679" s="101"/>
      <c r="Z679" s="101"/>
      <c r="AA679" s="101"/>
      <c r="AB679" s="101"/>
      <c r="AC679" s="101"/>
      <c r="AD679" s="101"/>
      <c r="AE679" s="101"/>
      <c r="AF679" s="101"/>
    </row>
    <row r="680" spans="1:32" ht="13.8">
      <c r="A680" s="101"/>
      <c r="B680" s="101"/>
      <c r="C680" s="101"/>
      <c r="D680" s="101"/>
      <c r="E680" s="101"/>
      <c r="F680" s="101"/>
      <c r="G680" s="101"/>
      <c r="H680" s="101"/>
      <c r="I680" s="101"/>
      <c r="J680" s="101"/>
      <c r="K680" s="101"/>
      <c r="L680" s="101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  <c r="Y680" s="101"/>
      <c r="Z680" s="101"/>
      <c r="AA680" s="101"/>
      <c r="AB680" s="101"/>
      <c r="AC680" s="101"/>
      <c r="AD680" s="101"/>
      <c r="AE680" s="101"/>
      <c r="AF680" s="101"/>
    </row>
    <row r="681" spans="1:32" ht="13.8">
      <c r="A681" s="101"/>
      <c r="B681" s="101"/>
      <c r="C681" s="101"/>
      <c r="D681" s="101"/>
      <c r="E681" s="101"/>
      <c r="F681" s="101"/>
      <c r="G681" s="101"/>
      <c r="H681" s="101"/>
      <c r="I681" s="101"/>
      <c r="J681" s="101"/>
      <c r="K681" s="101"/>
      <c r="L681" s="101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  <c r="Y681" s="101"/>
      <c r="Z681" s="101"/>
      <c r="AA681" s="101"/>
      <c r="AB681" s="101"/>
      <c r="AC681" s="101"/>
      <c r="AD681" s="101"/>
      <c r="AE681" s="101"/>
      <c r="AF681" s="101"/>
    </row>
    <row r="682" spans="1:32" ht="13.8">
      <c r="A682" s="101"/>
      <c r="B682" s="101"/>
      <c r="C682" s="101"/>
      <c r="D682" s="101"/>
      <c r="E682" s="101"/>
      <c r="F682" s="101"/>
      <c r="G682" s="101"/>
      <c r="H682" s="101"/>
      <c r="I682" s="101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01"/>
      <c r="Z682" s="101"/>
      <c r="AA682" s="101"/>
      <c r="AB682" s="101"/>
      <c r="AC682" s="101"/>
      <c r="AD682" s="101"/>
      <c r="AE682" s="101"/>
      <c r="AF682" s="101"/>
    </row>
    <row r="683" spans="1:32" ht="13.8">
      <c r="A683" s="101"/>
      <c r="B683" s="101"/>
      <c r="C683" s="101"/>
      <c r="D683" s="101"/>
      <c r="E683" s="101"/>
      <c r="F683" s="101"/>
      <c r="G683" s="101"/>
      <c r="H683" s="101"/>
      <c r="I683" s="101"/>
      <c r="J683" s="101"/>
      <c r="K683" s="101"/>
      <c r="L683" s="101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  <c r="Y683" s="101"/>
      <c r="Z683" s="101"/>
      <c r="AA683" s="101"/>
      <c r="AB683" s="101"/>
      <c r="AC683" s="101"/>
      <c r="AD683" s="101"/>
      <c r="AE683" s="101"/>
      <c r="AF683" s="101"/>
    </row>
    <row r="684" spans="1:32" ht="13.8">
      <c r="A684" s="101"/>
      <c r="B684" s="101"/>
      <c r="C684" s="101"/>
      <c r="D684" s="101"/>
      <c r="E684" s="101"/>
      <c r="F684" s="101"/>
      <c r="G684" s="101"/>
      <c r="H684" s="101"/>
      <c r="I684" s="101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01"/>
      <c r="Z684" s="101"/>
      <c r="AA684" s="101"/>
      <c r="AB684" s="101"/>
      <c r="AC684" s="101"/>
      <c r="AD684" s="101"/>
      <c r="AE684" s="101"/>
      <c r="AF684" s="101"/>
    </row>
    <row r="685" spans="1:32" ht="13.8">
      <c r="A685" s="101"/>
      <c r="B685" s="101"/>
      <c r="C685" s="101"/>
      <c r="D685" s="101"/>
      <c r="E685" s="101"/>
      <c r="F685" s="101"/>
      <c r="G685" s="101"/>
      <c r="H685" s="101"/>
      <c r="I685" s="101"/>
      <c r="J685" s="101"/>
      <c r="K685" s="101"/>
      <c r="L685" s="101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01"/>
      <c r="Z685" s="101"/>
      <c r="AA685" s="101"/>
      <c r="AB685" s="101"/>
      <c r="AC685" s="101"/>
      <c r="AD685" s="101"/>
      <c r="AE685" s="101"/>
      <c r="AF685" s="101"/>
    </row>
    <row r="686" spans="1:32" ht="13.8">
      <c r="A686" s="101"/>
      <c r="B686" s="101"/>
      <c r="C686" s="101"/>
      <c r="D686" s="101"/>
      <c r="E686" s="101"/>
      <c r="F686" s="101"/>
      <c r="G686" s="101"/>
      <c r="H686" s="101"/>
      <c r="I686" s="101"/>
      <c r="J686" s="101"/>
      <c r="K686" s="101"/>
      <c r="L686" s="101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  <c r="Y686" s="101"/>
      <c r="Z686" s="101"/>
      <c r="AA686" s="101"/>
      <c r="AB686" s="101"/>
      <c r="AC686" s="101"/>
      <c r="AD686" s="101"/>
      <c r="AE686" s="101"/>
      <c r="AF686" s="101"/>
    </row>
    <row r="687" spans="1:32" ht="13.8">
      <c r="A687" s="101"/>
      <c r="B687" s="101"/>
      <c r="C687" s="101"/>
      <c r="D687" s="101"/>
      <c r="E687" s="101"/>
      <c r="F687" s="101"/>
      <c r="G687" s="101"/>
      <c r="H687" s="101"/>
      <c r="I687" s="101"/>
      <c r="J687" s="101"/>
      <c r="K687" s="101"/>
      <c r="L687" s="101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01"/>
      <c r="Z687" s="101"/>
      <c r="AA687" s="101"/>
      <c r="AB687" s="101"/>
      <c r="AC687" s="101"/>
      <c r="AD687" s="101"/>
      <c r="AE687" s="101"/>
      <c r="AF687" s="101"/>
    </row>
    <row r="688" spans="1:32" ht="13.8">
      <c r="A688" s="101"/>
      <c r="B688" s="101"/>
      <c r="C688" s="101"/>
      <c r="D688" s="101"/>
      <c r="E688" s="101"/>
      <c r="F688" s="101"/>
      <c r="G688" s="101"/>
      <c r="H688" s="101"/>
      <c r="I688" s="101"/>
      <c r="J688" s="101"/>
      <c r="K688" s="101"/>
      <c r="L688" s="101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  <c r="Y688" s="101"/>
      <c r="Z688" s="101"/>
      <c r="AA688" s="101"/>
      <c r="AB688" s="101"/>
      <c r="AC688" s="101"/>
      <c r="AD688" s="101"/>
      <c r="AE688" s="101"/>
      <c r="AF688" s="101"/>
    </row>
    <row r="689" spans="1:32" ht="13.8">
      <c r="A689" s="101"/>
      <c r="B689" s="101"/>
      <c r="C689" s="101"/>
      <c r="D689" s="101"/>
      <c r="E689" s="101"/>
      <c r="F689" s="101"/>
      <c r="G689" s="101"/>
      <c r="H689" s="101"/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01"/>
      <c r="Z689" s="101"/>
      <c r="AA689" s="101"/>
      <c r="AB689" s="101"/>
      <c r="AC689" s="101"/>
      <c r="AD689" s="101"/>
      <c r="AE689" s="101"/>
      <c r="AF689" s="101"/>
    </row>
    <row r="690" spans="1:32" ht="13.8">
      <c r="A690" s="101"/>
      <c r="B690" s="101"/>
      <c r="C690" s="101"/>
      <c r="D690" s="101"/>
      <c r="E690" s="101"/>
      <c r="F690" s="101"/>
      <c r="G690" s="101"/>
      <c r="H690" s="101"/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01"/>
      <c r="Z690" s="101"/>
      <c r="AA690" s="101"/>
      <c r="AB690" s="101"/>
      <c r="AC690" s="101"/>
      <c r="AD690" s="101"/>
      <c r="AE690" s="101"/>
      <c r="AF690" s="101"/>
    </row>
    <row r="691" spans="1:32" ht="13.8">
      <c r="A691" s="101"/>
      <c r="B691" s="101"/>
      <c r="C691" s="101"/>
      <c r="D691" s="101"/>
      <c r="E691" s="101"/>
      <c r="F691" s="101"/>
      <c r="G691" s="101"/>
      <c r="H691" s="101"/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01"/>
      <c r="Z691" s="101"/>
      <c r="AA691" s="101"/>
      <c r="AB691" s="101"/>
      <c r="AC691" s="101"/>
      <c r="AD691" s="101"/>
      <c r="AE691" s="101"/>
      <c r="AF691" s="101"/>
    </row>
    <row r="692" spans="1:32" ht="13.8">
      <c r="A692" s="101"/>
      <c r="B692" s="101"/>
      <c r="C692" s="101"/>
      <c r="D692" s="101"/>
      <c r="E692" s="101"/>
      <c r="F692" s="101"/>
      <c r="G692" s="101"/>
      <c r="H692" s="101"/>
      <c r="I692" s="101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01"/>
      <c r="Z692" s="101"/>
      <c r="AA692" s="101"/>
      <c r="AB692" s="101"/>
      <c r="AC692" s="101"/>
      <c r="AD692" s="101"/>
      <c r="AE692" s="101"/>
      <c r="AF692" s="101"/>
    </row>
    <row r="693" spans="1:32" ht="13.8">
      <c r="A693" s="101"/>
      <c r="B693" s="101"/>
      <c r="C693" s="101"/>
      <c r="D693" s="101"/>
      <c r="E693" s="101"/>
      <c r="F693" s="101"/>
      <c r="G693" s="101"/>
      <c r="H693" s="101"/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01"/>
      <c r="Z693" s="101"/>
      <c r="AA693" s="101"/>
      <c r="AB693" s="101"/>
      <c r="AC693" s="101"/>
      <c r="AD693" s="101"/>
      <c r="AE693" s="101"/>
      <c r="AF693" s="101"/>
    </row>
    <row r="694" spans="1:32" ht="13.8">
      <c r="A694" s="101"/>
      <c r="B694" s="101"/>
      <c r="C694" s="101"/>
      <c r="D694" s="101"/>
      <c r="E694" s="101"/>
      <c r="F694" s="101"/>
      <c r="G694" s="101"/>
      <c r="H694" s="101"/>
      <c r="I694" s="101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01"/>
      <c r="Z694" s="101"/>
      <c r="AA694" s="101"/>
      <c r="AB694" s="101"/>
      <c r="AC694" s="101"/>
      <c r="AD694" s="101"/>
      <c r="AE694" s="101"/>
      <c r="AF694" s="101"/>
    </row>
    <row r="695" spans="1:32" ht="13.8">
      <c r="A695" s="101"/>
      <c r="B695" s="101"/>
      <c r="C695" s="101"/>
      <c r="D695" s="101"/>
      <c r="E695" s="101"/>
      <c r="F695" s="101"/>
      <c r="G695" s="101"/>
      <c r="H695" s="101"/>
      <c r="I695" s="101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01"/>
      <c r="Z695" s="101"/>
      <c r="AA695" s="101"/>
      <c r="AB695" s="101"/>
      <c r="AC695" s="101"/>
      <c r="AD695" s="101"/>
      <c r="AE695" s="101"/>
      <c r="AF695" s="101"/>
    </row>
    <row r="696" spans="1:32" ht="13.8">
      <c r="A696" s="101"/>
      <c r="B696" s="101"/>
      <c r="C696" s="101"/>
      <c r="D696" s="101"/>
      <c r="E696" s="101"/>
      <c r="F696" s="101"/>
      <c r="G696" s="101"/>
      <c r="H696" s="101"/>
      <c r="I696" s="101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01"/>
      <c r="Z696" s="101"/>
      <c r="AA696" s="101"/>
      <c r="AB696" s="101"/>
      <c r="AC696" s="101"/>
      <c r="AD696" s="101"/>
      <c r="AE696" s="101"/>
      <c r="AF696" s="101"/>
    </row>
    <row r="697" spans="1:32" ht="13.8">
      <c r="A697" s="101"/>
      <c r="B697" s="101"/>
      <c r="C697" s="101"/>
      <c r="D697" s="101"/>
      <c r="E697" s="101"/>
      <c r="F697" s="101"/>
      <c r="G697" s="101"/>
      <c r="H697" s="101"/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01"/>
      <c r="Z697" s="101"/>
      <c r="AA697" s="101"/>
      <c r="AB697" s="101"/>
      <c r="AC697" s="101"/>
      <c r="AD697" s="101"/>
      <c r="AE697" s="101"/>
      <c r="AF697" s="101"/>
    </row>
    <row r="698" spans="1:32" ht="13.8">
      <c r="A698" s="101"/>
      <c r="B698" s="101"/>
      <c r="C698" s="101"/>
      <c r="D698" s="101"/>
      <c r="E698" s="101"/>
      <c r="F698" s="101"/>
      <c r="G698" s="101"/>
      <c r="H698" s="101"/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01"/>
      <c r="Z698" s="101"/>
      <c r="AA698" s="101"/>
      <c r="AB698" s="101"/>
      <c r="AC698" s="101"/>
      <c r="AD698" s="101"/>
      <c r="AE698" s="101"/>
      <c r="AF698" s="101"/>
    </row>
    <row r="699" spans="1:32" ht="13.8">
      <c r="A699" s="101"/>
      <c r="B699" s="101"/>
      <c r="C699" s="101"/>
      <c r="D699" s="101"/>
      <c r="E699" s="101"/>
      <c r="F699" s="101"/>
      <c r="G699" s="101"/>
      <c r="H699" s="101"/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01"/>
      <c r="Z699" s="101"/>
      <c r="AA699" s="101"/>
      <c r="AB699" s="101"/>
      <c r="AC699" s="101"/>
      <c r="AD699" s="101"/>
      <c r="AE699" s="101"/>
      <c r="AF699" s="101"/>
    </row>
    <row r="700" spans="1:32" ht="13.8">
      <c r="A700" s="101"/>
      <c r="B700" s="101"/>
      <c r="C700" s="101"/>
      <c r="D700" s="101"/>
      <c r="E700" s="101"/>
      <c r="F700" s="101"/>
      <c r="G700" s="101"/>
      <c r="H700" s="101"/>
      <c r="I700" s="101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01"/>
      <c r="Z700" s="101"/>
      <c r="AA700" s="101"/>
      <c r="AB700" s="101"/>
      <c r="AC700" s="101"/>
      <c r="AD700" s="101"/>
      <c r="AE700" s="101"/>
      <c r="AF700" s="101"/>
    </row>
    <row r="701" spans="1:32" ht="13.8">
      <c r="A701" s="101"/>
      <c r="B701" s="101"/>
      <c r="C701" s="101"/>
      <c r="D701" s="101"/>
      <c r="E701" s="101"/>
      <c r="F701" s="101"/>
      <c r="G701" s="101"/>
      <c r="H701" s="101"/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01"/>
      <c r="Z701" s="101"/>
      <c r="AA701" s="101"/>
      <c r="AB701" s="101"/>
      <c r="AC701" s="101"/>
      <c r="AD701" s="101"/>
      <c r="AE701" s="101"/>
      <c r="AF701" s="101"/>
    </row>
    <row r="702" spans="1:32" ht="13.8">
      <c r="A702" s="101"/>
      <c r="B702" s="101"/>
      <c r="C702" s="101"/>
      <c r="D702" s="101"/>
      <c r="E702" s="101"/>
      <c r="F702" s="101"/>
      <c r="G702" s="101"/>
      <c r="H702" s="101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  <c r="Z702" s="101"/>
      <c r="AA702" s="101"/>
      <c r="AB702" s="101"/>
      <c r="AC702" s="101"/>
      <c r="AD702" s="101"/>
      <c r="AE702" s="101"/>
      <c r="AF702" s="101"/>
    </row>
    <row r="703" spans="1:32" ht="13.8">
      <c r="A703" s="101"/>
      <c r="B703" s="101"/>
      <c r="C703" s="101"/>
      <c r="D703" s="101"/>
      <c r="E703" s="101"/>
      <c r="F703" s="101"/>
      <c r="G703" s="101"/>
      <c r="H703" s="101"/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  <c r="Z703" s="101"/>
      <c r="AA703" s="101"/>
      <c r="AB703" s="101"/>
      <c r="AC703" s="101"/>
      <c r="AD703" s="101"/>
      <c r="AE703" s="101"/>
      <c r="AF703" s="101"/>
    </row>
    <row r="704" spans="1:32" ht="13.8">
      <c r="A704" s="101"/>
      <c r="B704" s="101"/>
      <c r="C704" s="101"/>
      <c r="D704" s="101"/>
      <c r="E704" s="101"/>
      <c r="F704" s="101"/>
      <c r="G704" s="101"/>
      <c r="H704" s="101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  <c r="Z704" s="101"/>
      <c r="AA704" s="101"/>
      <c r="AB704" s="101"/>
      <c r="AC704" s="101"/>
      <c r="AD704" s="101"/>
      <c r="AE704" s="101"/>
      <c r="AF704" s="101"/>
    </row>
    <row r="705" spans="1:32" ht="13.8">
      <c r="A705" s="101"/>
      <c r="B705" s="101"/>
      <c r="C705" s="101"/>
      <c r="D705" s="101"/>
      <c r="E705" s="101"/>
      <c r="F705" s="101"/>
      <c r="G705" s="101"/>
      <c r="H705" s="101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  <c r="Z705" s="101"/>
      <c r="AA705" s="101"/>
      <c r="AB705" s="101"/>
      <c r="AC705" s="101"/>
      <c r="AD705" s="101"/>
      <c r="AE705" s="101"/>
      <c r="AF705" s="101"/>
    </row>
    <row r="706" spans="1:32" ht="13.8">
      <c r="A706" s="101"/>
      <c r="B706" s="101"/>
      <c r="C706" s="101"/>
      <c r="D706" s="101"/>
      <c r="E706" s="101"/>
      <c r="F706" s="101"/>
      <c r="G706" s="101"/>
      <c r="H706" s="101"/>
      <c r="I706" s="101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  <c r="Z706" s="101"/>
      <c r="AA706" s="101"/>
      <c r="AB706" s="101"/>
      <c r="AC706" s="101"/>
      <c r="AD706" s="101"/>
      <c r="AE706" s="101"/>
      <c r="AF706" s="101"/>
    </row>
    <row r="707" spans="1:32" ht="13.8">
      <c r="A707" s="101"/>
      <c r="B707" s="101"/>
      <c r="C707" s="101"/>
      <c r="D707" s="101"/>
      <c r="E707" s="101"/>
      <c r="F707" s="101"/>
      <c r="G707" s="101"/>
      <c r="H707" s="101"/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  <c r="Z707" s="101"/>
      <c r="AA707" s="101"/>
      <c r="AB707" s="101"/>
      <c r="AC707" s="101"/>
      <c r="AD707" s="101"/>
      <c r="AE707" s="101"/>
      <c r="AF707" s="101"/>
    </row>
    <row r="708" spans="1:32" ht="13.8">
      <c r="A708" s="101"/>
      <c r="B708" s="101"/>
      <c r="C708" s="101"/>
      <c r="D708" s="101"/>
      <c r="E708" s="101"/>
      <c r="F708" s="101"/>
      <c r="G708" s="101"/>
      <c r="H708" s="101"/>
      <c r="I708" s="101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  <c r="Z708" s="101"/>
      <c r="AA708" s="101"/>
      <c r="AB708" s="101"/>
      <c r="AC708" s="101"/>
      <c r="AD708" s="101"/>
      <c r="AE708" s="101"/>
      <c r="AF708" s="101"/>
    </row>
    <row r="709" spans="1:32" ht="13.8">
      <c r="A709" s="101"/>
      <c r="B709" s="101"/>
      <c r="C709" s="101"/>
      <c r="D709" s="101"/>
      <c r="E709" s="101"/>
      <c r="F709" s="101"/>
      <c r="G709" s="101"/>
      <c r="H709" s="101"/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  <c r="Z709" s="101"/>
      <c r="AA709" s="101"/>
      <c r="AB709" s="101"/>
      <c r="AC709" s="101"/>
      <c r="AD709" s="101"/>
      <c r="AE709" s="101"/>
      <c r="AF709" s="101"/>
    </row>
    <row r="710" spans="1:32" ht="13.8">
      <c r="A710" s="101"/>
      <c r="B710" s="101"/>
      <c r="C710" s="101"/>
      <c r="D710" s="101"/>
      <c r="E710" s="101"/>
      <c r="F710" s="101"/>
      <c r="G710" s="101"/>
      <c r="H710" s="101"/>
      <c r="I710" s="101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  <c r="Z710" s="101"/>
      <c r="AA710" s="101"/>
      <c r="AB710" s="101"/>
      <c r="AC710" s="101"/>
      <c r="AD710" s="101"/>
      <c r="AE710" s="101"/>
      <c r="AF710" s="101"/>
    </row>
    <row r="711" spans="1:32" ht="13.8">
      <c r="A711" s="101"/>
      <c r="B711" s="101"/>
      <c r="C711" s="101"/>
      <c r="D711" s="101"/>
      <c r="E711" s="101"/>
      <c r="F711" s="101"/>
      <c r="G711" s="101"/>
      <c r="H711" s="101"/>
      <c r="I711" s="101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  <c r="Z711" s="101"/>
      <c r="AA711" s="101"/>
      <c r="AB711" s="101"/>
      <c r="AC711" s="101"/>
      <c r="AD711" s="101"/>
      <c r="AE711" s="101"/>
      <c r="AF711" s="101"/>
    </row>
    <row r="712" spans="1:32" ht="13.8">
      <c r="A712" s="101"/>
      <c r="B712" s="101"/>
      <c r="C712" s="101"/>
      <c r="D712" s="101"/>
      <c r="E712" s="101"/>
      <c r="F712" s="101"/>
      <c r="G712" s="101"/>
      <c r="H712" s="101"/>
      <c r="I712" s="101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  <c r="Z712" s="101"/>
      <c r="AA712" s="101"/>
      <c r="AB712" s="101"/>
      <c r="AC712" s="101"/>
      <c r="AD712" s="101"/>
      <c r="AE712" s="101"/>
      <c r="AF712" s="101"/>
    </row>
    <row r="713" spans="1:32" ht="13.8">
      <c r="A713" s="101"/>
      <c r="B713" s="101"/>
      <c r="C713" s="101"/>
      <c r="D713" s="101"/>
      <c r="E713" s="101"/>
      <c r="F713" s="101"/>
      <c r="G713" s="101"/>
      <c r="H713" s="101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  <c r="Z713" s="101"/>
      <c r="AA713" s="101"/>
      <c r="AB713" s="101"/>
      <c r="AC713" s="101"/>
      <c r="AD713" s="101"/>
      <c r="AE713" s="101"/>
      <c r="AF713" s="101"/>
    </row>
    <row r="714" spans="1:32" ht="13.8">
      <c r="A714" s="101"/>
      <c r="B714" s="101"/>
      <c r="C714" s="101"/>
      <c r="D714" s="101"/>
      <c r="E714" s="101"/>
      <c r="F714" s="101"/>
      <c r="G714" s="101"/>
      <c r="H714" s="101"/>
      <c r="I714" s="101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  <c r="Y714" s="101"/>
      <c r="Z714" s="101"/>
      <c r="AA714" s="101"/>
      <c r="AB714" s="101"/>
      <c r="AC714" s="101"/>
      <c r="AD714" s="101"/>
      <c r="AE714" s="101"/>
      <c r="AF714" s="101"/>
    </row>
    <row r="715" spans="1:32" ht="13.8">
      <c r="A715" s="101"/>
      <c r="B715" s="101"/>
      <c r="C715" s="101"/>
      <c r="D715" s="101"/>
      <c r="E715" s="101"/>
      <c r="F715" s="101"/>
      <c r="G715" s="101"/>
      <c r="H715" s="101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  <c r="Y715" s="101"/>
      <c r="Z715" s="101"/>
      <c r="AA715" s="101"/>
      <c r="AB715" s="101"/>
      <c r="AC715" s="101"/>
      <c r="AD715" s="101"/>
      <c r="AE715" s="101"/>
      <c r="AF715" s="101"/>
    </row>
    <row r="716" spans="1:32" ht="13.8">
      <c r="A716" s="101"/>
      <c r="B716" s="101"/>
      <c r="C716" s="101"/>
      <c r="D716" s="101"/>
      <c r="E716" s="101"/>
      <c r="F716" s="101"/>
      <c r="G716" s="101"/>
      <c r="H716" s="101"/>
      <c r="I716" s="101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  <c r="Y716" s="101"/>
      <c r="Z716" s="101"/>
      <c r="AA716" s="101"/>
      <c r="AB716" s="101"/>
      <c r="AC716" s="101"/>
      <c r="AD716" s="101"/>
      <c r="AE716" s="101"/>
      <c r="AF716" s="101"/>
    </row>
    <row r="717" spans="1:32" ht="13.8">
      <c r="A717" s="101"/>
      <c r="B717" s="101"/>
      <c r="C717" s="101"/>
      <c r="D717" s="101"/>
      <c r="E717" s="101"/>
      <c r="F717" s="101"/>
      <c r="G717" s="101"/>
      <c r="H717" s="101"/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  <c r="Y717" s="101"/>
      <c r="Z717" s="101"/>
      <c r="AA717" s="101"/>
      <c r="AB717" s="101"/>
      <c r="AC717" s="101"/>
      <c r="AD717" s="101"/>
      <c r="AE717" s="101"/>
      <c r="AF717" s="101"/>
    </row>
    <row r="718" spans="1:32" ht="13.8">
      <c r="A718" s="101"/>
      <c r="B718" s="101"/>
      <c r="C718" s="101"/>
      <c r="D718" s="101"/>
      <c r="E718" s="101"/>
      <c r="F718" s="101"/>
      <c r="G718" s="101"/>
      <c r="H718" s="101"/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  <c r="Y718" s="101"/>
      <c r="Z718" s="101"/>
      <c r="AA718" s="101"/>
      <c r="AB718" s="101"/>
      <c r="AC718" s="101"/>
      <c r="AD718" s="101"/>
      <c r="AE718" s="101"/>
      <c r="AF718" s="101"/>
    </row>
    <row r="719" spans="1:32" ht="13.8">
      <c r="A719" s="101"/>
      <c r="B719" s="101"/>
      <c r="C719" s="101"/>
      <c r="D719" s="101"/>
      <c r="E719" s="101"/>
      <c r="F719" s="101"/>
      <c r="G719" s="101"/>
      <c r="H719" s="101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  <c r="Z719" s="101"/>
      <c r="AA719" s="101"/>
      <c r="AB719" s="101"/>
      <c r="AC719" s="101"/>
      <c r="AD719" s="101"/>
      <c r="AE719" s="101"/>
      <c r="AF719" s="101"/>
    </row>
    <row r="720" spans="1:32" ht="13.8">
      <c r="A720" s="101"/>
      <c r="B720" s="101"/>
      <c r="C720" s="101"/>
      <c r="D720" s="101"/>
      <c r="E720" s="101"/>
      <c r="F720" s="101"/>
      <c r="G720" s="101"/>
      <c r="H720" s="101"/>
      <c r="I720" s="101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  <c r="Y720" s="101"/>
      <c r="Z720" s="101"/>
      <c r="AA720" s="101"/>
      <c r="AB720" s="101"/>
      <c r="AC720" s="101"/>
      <c r="AD720" s="101"/>
      <c r="AE720" s="101"/>
      <c r="AF720" s="101"/>
    </row>
    <row r="721" spans="1:32" ht="13.8">
      <c r="A721" s="101"/>
      <c r="B721" s="101"/>
      <c r="C721" s="101"/>
      <c r="D721" s="101"/>
      <c r="E721" s="101"/>
      <c r="F721" s="101"/>
      <c r="G721" s="101"/>
      <c r="H721" s="101"/>
      <c r="I721" s="101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  <c r="Y721" s="101"/>
      <c r="Z721" s="101"/>
      <c r="AA721" s="101"/>
      <c r="AB721" s="101"/>
      <c r="AC721" s="101"/>
      <c r="AD721" s="101"/>
      <c r="AE721" s="101"/>
      <c r="AF721" s="101"/>
    </row>
    <row r="722" spans="1:32" ht="13.8">
      <c r="A722" s="101"/>
      <c r="B722" s="101"/>
      <c r="C722" s="101"/>
      <c r="D722" s="101"/>
      <c r="E722" s="101"/>
      <c r="F722" s="101"/>
      <c r="G722" s="101"/>
      <c r="H722" s="101"/>
      <c r="I722" s="101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  <c r="Y722" s="101"/>
      <c r="Z722" s="101"/>
      <c r="AA722" s="101"/>
      <c r="AB722" s="101"/>
      <c r="AC722" s="101"/>
      <c r="AD722" s="101"/>
      <c r="AE722" s="101"/>
      <c r="AF722" s="101"/>
    </row>
    <row r="723" spans="1:32" ht="13.8">
      <c r="A723" s="101"/>
      <c r="B723" s="101"/>
      <c r="C723" s="101"/>
      <c r="D723" s="101"/>
      <c r="E723" s="101"/>
      <c r="F723" s="101"/>
      <c r="G723" s="101"/>
      <c r="H723" s="101"/>
      <c r="I723" s="101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  <c r="Y723" s="101"/>
      <c r="Z723" s="101"/>
      <c r="AA723" s="101"/>
      <c r="AB723" s="101"/>
      <c r="AC723" s="101"/>
      <c r="AD723" s="101"/>
      <c r="AE723" s="101"/>
      <c r="AF723" s="101"/>
    </row>
    <row r="724" spans="1:32" ht="13.8">
      <c r="A724" s="101"/>
      <c r="B724" s="101"/>
      <c r="C724" s="101"/>
      <c r="D724" s="101"/>
      <c r="E724" s="101"/>
      <c r="F724" s="101"/>
      <c r="G724" s="101"/>
      <c r="H724" s="101"/>
      <c r="I724" s="101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  <c r="Y724" s="101"/>
      <c r="Z724" s="101"/>
      <c r="AA724" s="101"/>
      <c r="AB724" s="101"/>
      <c r="AC724" s="101"/>
      <c r="AD724" s="101"/>
      <c r="AE724" s="101"/>
      <c r="AF724" s="101"/>
    </row>
    <row r="725" spans="1:32" ht="13.8">
      <c r="A725" s="101"/>
      <c r="B725" s="101"/>
      <c r="C725" s="101"/>
      <c r="D725" s="101"/>
      <c r="E725" s="101"/>
      <c r="F725" s="101"/>
      <c r="G725" s="101"/>
      <c r="H725" s="101"/>
      <c r="I725" s="101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  <c r="Y725" s="101"/>
      <c r="Z725" s="101"/>
      <c r="AA725" s="101"/>
      <c r="AB725" s="101"/>
      <c r="AC725" s="101"/>
      <c r="AD725" s="101"/>
      <c r="AE725" s="101"/>
      <c r="AF725" s="101"/>
    </row>
    <row r="726" spans="1:32" ht="13.8">
      <c r="A726" s="101"/>
      <c r="B726" s="101"/>
      <c r="C726" s="101"/>
      <c r="D726" s="101"/>
      <c r="E726" s="101"/>
      <c r="F726" s="101"/>
      <c r="G726" s="101"/>
      <c r="H726" s="101"/>
      <c r="I726" s="101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  <c r="Y726" s="101"/>
      <c r="Z726" s="101"/>
      <c r="AA726" s="101"/>
      <c r="AB726" s="101"/>
      <c r="AC726" s="101"/>
      <c r="AD726" s="101"/>
      <c r="AE726" s="101"/>
      <c r="AF726" s="101"/>
    </row>
    <row r="727" spans="1:32" ht="13.8">
      <c r="A727" s="101"/>
      <c r="B727" s="101"/>
      <c r="C727" s="101"/>
      <c r="D727" s="101"/>
      <c r="E727" s="101"/>
      <c r="F727" s="101"/>
      <c r="G727" s="101"/>
      <c r="H727" s="101"/>
      <c r="I727" s="101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  <c r="Y727" s="101"/>
      <c r="Z727" s="101"/>
      <c r="AA727" s="101"/>
      <c r="AB727" s="101"/>
      <c r="AC727" s="101"/>
      <c r="AD727" s="101"/>
      <c r="AE727" s="101"/>
      <c r="AF727" s="101"/>
    </row>
    <row r="728" spans="1:32" ht="13.8">
      <c r="A728" s="101"/>
      <c r="B728" s="101"/>
      <c r="C728" s="101"/>
      <c r="D728" s="101"/>
      <c r="E728" s="101"/>
      <c r="F728" s="101"/>
      <c r="G728" s="101"/>
      <c r="H728" s="101"/>
      <c r="I728" s="101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  <c r="Y728" s="101"/>
      <c r="Z728" s="101"/>
      <c r="AA728" s="101"/>
      <c r="AB728" s="101"/>
      <c r="AC728" s="101"/>
      <c r="AD728" s="101"/>
      <c r="AE728" s="101"/>
      <c r="AF728" s="101"/>
    </row>
    <row r="729" spans="1:32" ht="13.8">
      <c r="A729" s="101"/>
      <c r="B729" s="101"/>
      <c r="C729" s="101"/>
      <c r="D729" s="101"/>
      <c r="E729" s="101"/>
      <c r="F729" s="101"/>
      <c r="G729" s="101"/>
      <c r="H729" s="101"/>
      <c r="I729" s="101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  <c r="Y729" s="101"/>
      <c r="Z729" s="101"/>
      <c r="AA729" s="101"/>
      <c r="AB729" s="101"/>
      <c r="AC729" s="101"/>
      <c r="AD729" s="101"/>
      <c r="AE729" s="101"/>
      <c r="AF729" s="101"/>
    </row>
    <row r="730" spans="1:32" ht="13.8">
      <c r="A730" s="101"/>
      <c r="B730" s="101"/>
      <c r="C730" s="101"/>
      <c r="D730" s="101"/>
      <c r="E730" s="101"/>
      <c r="F730" s="101"/>
      <c r="G730" s="101"/>
      <c r="H730" s="101"/>
      <c r="I730" s="101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  <c r="Y730" s="101"/>
      <c r="Z730" s="101"/>
      <c r="AA730" s="101"/>
      <c r="AB730" s="101"/>
      <c r="AC730" s="101"/>
      <c r="AD730" s="101"/>
      <c r="AE730" s="101"/>
      <c r="AF730" s="101"/>
    </row>
    <row r="731" spans="1:32" ht="13.8">
      <c r="A731" s="101"/>
      <c r="B731" s="101"/>
      <c r="C731" s="101"/>
      <c r="D731" s="101"/>
      <c r="E731" s="101"/>
      <c r="F731" s="101"/>
      <c r="G731" s="101"/>
      <c r="H731" s="101"/>
      <c r="I731" s="101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  <c r="Y731" s="101"/>
      <c r="Z731" s="101"/>
      <c r="AA731" s="101"/>
      <c r="AB731" s="101"/>
      <c r="AC731" s="101"/>
      <c r="AD731" s="101"/>
      <c r="AE731" s="101"/>
      <c r="AF731" s="101"/>
    </row>
    <row r="732" spans="1:32" ht="13.8">
      <c r="A732" s="101"/>
      <c r="B732" s="101"/>
      <c r="C732" s="101"/>
      <c r="D732" s="101"/>
      <c r="E732" s="101"/>
      <c r="F732" s="101"/>
      <c r="G732" s="101"/>
      <c r="H732" s="101"/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  <c r="Y732" s="101"/>
      <c r="Z732" s="101"/>
      <c r="AA732" s="101"/>
      <c r="AB732" s="101"/>
      <c r="AC732" s="101"/>
      <c r="AD732" s="101"/>
      <c r="AE732" s="101"/>
      <c r="AF732" s="101"/>
    </row>
    <row r="733" spans="1:32" ht="13.8">
      <c r="A733" s="101"/>
      <c r="B733" s="101"/>
      <c r="C733" s="101"/>
      <c r="D733" s="101"/>
      <c r="E733" s="101"/>
      <c r="F733" s="101"/>
      <c r="G733" s="101"/>
      <c r="H733" s="101"/>
      <c r="I733" s="101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  <c r="Y733" s="101"/>
      <c r="Z733" s="101"/>
      <c r="AA733" s="101"/>
      <c r="AB733" s="101"/>
      <c r="AC733" s="101"/>
      <c r="AD733" s="101"/>
      <c r="AE733" s="101"/>
      <c r="AF733" s="101"/>
    </row>
    <row r="734" spans="1:32" ht="13.8">
      <c r="A734" s="101"/>
      <c r="B734" s="101"/>
      <c r="C734" s="101"/>
      <c r="D734" s="101"/>
      <c r="E734" s="101"/>
      <c r="F734" s="101"/>
      <c r="G734" s="101"/>
      <c r="H734" s="101"/>
      <c r="I734" s="101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  <c r="Y734" s="101"/>
      <c r="Z734" s="101"/>
      <c r="AA734" s="101"/>
      <c r="AB734" s="101"/>
      <c r="AC734" s="101"/>
      <c r="AD734" s="101"/>
      <c r="AE734" s="101"/>
      <c r="AF734" s="101"/>
    </row>
    <row r="735" spans="1:32" ht="13.8">
      <c r="A735" s="101"/>
      <c r="B735" s="101"/>
      <c r="C735" s="101"/>
      <c r="D735" s="101"/>
      <c r="E735" s="101"/>
      <c r="F735" s="101"/>
      <c r="G735" s="101"/>
      <c r="H735" s="101"/>
      <c r="I735" s="101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  <c r="Y735" s="101"/>
      <c r="Z735" s="101"/>
      <c r="AA735" s="101"/>
      <c r="AB735" s="101"/>
      <c r="AC735" s="101"/>
      <c r="AD735" s="101"/>
      <c r="AE735" s="101"/>
      <c r="AF735" s="101"/>
    </row>
    <row r="736" spans="1:32" ht="13.8">
      <c r="A736" s="101"/>
      <c r="B736" s="101"/>
      <c r="C736" s="101"/>
      <c r="D736" s="101"/>
      <c r="E736" s="101"/>
      <c r="F736" s="101"/>
      <c r="G736" s="101"/>
      <c r="H736" s="101"/>
      <c r="I736" s="101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  <c r="Y736" s="101"/>
      <c r="Z736" s="101"/>
      <c r="AA736" s="101"/>
      <c r="AB736" s="101"/>
      <c r="AC736" s="101"/>
      <c r="AD736" s="101"/>
      <c r="AE736" s="101"/>
      <c r="AF736" s="101"/>
    </row>
    <row r="737" spans="1:32" ht="13.8">
      <c r="A737" s="101"/>
      <c r="B737" s="101"/>
      <c r="C737" s="101"/>
      <c r="D737" s="101"/>
      <c r="E737" s="101"/>
      <c r="F737" s="101"/>
      <c r="G737" s="101"/>
      <c r="H737" s="101"/>
      <c r="I737" s="101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  <c r="Y737" s="101"/>
      <c r="Z737" s="101"/>
      <c r="AA737" s="101"/>
      <c r="AB737" s="101"/>
      <c r="AC737" s="101"/>
      <c r="AD737" s="101"/>
      <c r="AE737" s="101"/>
      <c r="AF737" s="101"/>
    </row>
    <row r="738" spans="1:32" ht="13.8">
      <c r="A738" s="101"/>
      <c r="B738" s="101"/>
      <c r="C738" s="101"/>
      <c r="D738" s="101"/>
      <c r="E738" s="101"/>
      <c r="F738" s="101"/>
      <c r="G738" s="101"/>
      <c r="H738" s="101"/>
      <c r="I738" s="101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  <c r="Y738" s="101"/>
      <c r="Z738" s="101"/>
      <c r="AA738" s="101"/>
      <c r="AB738" s="101"/>
      <c r="AC738" s="101"/>
      <c r="AD738" s="101"/>
      <c r="AE738" s="101"/>
      <c r="AF738" s="101"/>
    </row>
    <row r="739" spans="1:32" ht="13.8">
      <c r="A739" s="101"/>
      <c r="B739" s="101"/>
      <c r="C739" s="101"/>
      <c r="D739" s="101"/>
      <c r="E739" s="101"/>
      <c r="F739" s="101"/>
      <c r="G739" s="101"/>
      <c r="H739" s="101"/>
      <c r="I739" s="101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  <c r="Y739" s="101"/>
      <c r="Z739" s="101"/>
      <c r="AA739" s="101"/>
      <c r="AB739" s="101"/>
      <c r="AC739" s="101"/>
      <c r="AD739" s="101"/>
      <c r="AE739" s="101"/>
      <c r="AF739" s="101"/>
    </row>
    <row r="740" spans="1:32" ht="13.8">
      <c r="A740" s="101"/>
      <c r="B740" s="101"/>
      <c r="C740" s="101"/>
      <c r="D740" s="101"/>
      <c r="E740" s="101"/>
      <c r="F740" s="101"/>
      <c r="G740" s="101"/>
      <c r="H740" s="101"/>
      <c r="I740" s="101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  <c r="Y740" s="101"/>
      <c r="Z740" s="101"/>
      <c r="AA740" s="101"/>
      <c r="AB740" s="101"/>
      <c r="AC740" s="101"/>
      <c r="AD740" s="101"/>
      <c r="AE740" s="101"/>
      <c r="AF740" s="101"/>
    </row>
    <row r="741" spans="1:32" ht="13.8">
      <c r="A741" s="101"/>
      <c r="B741" s="101"/>
      <c r="C741" s="101"/>
      <c r="D741" s="101"/>
      <c r="E741" s="101"/>
      <c r="F741" s="101"/>
      <c r="G741" s="101"/>
      <c r="H741" s="101"/>
      <c r="I741" s="101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  <c r="Y741" s="101"/>
      <c r="Z741" s="101"/>
      <c r="AA741" s="101"/>
      <c r="AB741" s="101"/>
      <c r="AC741" s="101"/>
      <c r="AD741" s="101"/>
      <c r="AE741" s="101"/>
      <c r="AF741" s="101"/>
    </row>
    <row r="742" spans="1:32" ht="13.8">
      <c r="A742" s="101"/>
      <c r="B742" s="101"/>
      <c r="C742" s="101"/>
      <c r="D742" s="101"/>
      <c r="E742" s="101"/>
      <c r="F742" s="101"/>
      <c r="G742" s="101"/>
      <c r="H742" s="101"/>
      <c r="I742" s="101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  <c r="Y742" s="101"/>
      <c r="Z742" s="101"/>
      <c r="AA742" s="101"/>
      <c r="AB742" s="101"/>
      <c r="AC742" s="101"/>
      <c r="AD742" s="101"/>
      <c r="AE742" s="101"/>
      <c r="AF742" s="101"/>
    </row>
    <row r="743" spans="1:32" ht="13.8">
      <c r="A743" s="101"/>
      <c r="B743" s="101"/>
      <c r="C743" s="101"/>
      <c r="D743" s="101"/>
      <c r="E743" s="101"/>
      <c r="F743" s="101"/>
      <c r="G743" s="101"/>
      <c r="H743" s="101"/>
      <c r="I743" s="101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  <c r="Y743" s="101"/>
      <c r="Z743" s="101"/>
      <c r="AA743" s="101"/>
      <c r="AB743" s="101"/>
      <c r="AC743" s="101"/>
      <c r="AD743" s="101"/>
      <c r="AE743" s="101"/>
      <c r="AF743" s="101"/>
    </row>
    <row r="744" spans="1:32" ht="13.8">
      <c r="A744" s="101"/>
      <c r="B744" s="101"/>
      <c r="C744" s="101"/>
      <c r="D744" s="101"/>
      <c r="E744" s="101"/>
      <c r="F744" s="101"/>
      <c r="G744" s="101"/>
      <c r="H744" s="101"/>
      <c r="I744" s="101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  <c r="Y744" s="101"/>
      <c r="Z744" s="101"/>
      <c r="AA744" s="101"/>
      <c r="AB744" s="101"/>
      <c r="AC744" s="101"/>
      <c r="AD744" s="101"/>
      <c r="AE744" s="101"/>
      <c r="AF744" s="101"/>
    </row>
    <row r="745" spans="1:32" ht="13.8">
      <c r="A745" s="101"/>
      <c r="B745" s="101"/>
      <c r="C745" s="101"/>
      <c r="D745" s="101"/>
      <c r="E745" s="101"/>
      <c r="F745" s="101"/>
      <c r="G745" s="101"/>
      <c r="H745" s="101"/>
      <c r="I745" s="101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  <c r="Y745" s="101"/>
      <c r="Z745" s="101"/>
      <c r="AA745" s="101"/>
      <c r="AB745" s="101"/>
      <c r="AC745" s="101"/>
      <c r="AD745" s="101"/>
      <c r="AE745" s="101"/>
      <c r="AF745" s="101"/>
    </row>
    <row r="746" spans="1:32" ht="13.8">
      <c r="A746" s="101"/>
      <c r="B746" s="101"/>
      <c r="C746" s="101"/>
      <c r="D746" s="101"/>
      <c r="E746" s="101"/>
      <c r="F746" s="101"/>
      <c r="G746" s="101"/>
      <c r="H746" s="101"/>
      <c r="I746" s="101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  <c r="Y746" s="101"/>
      <c r="Z746" s="101"/>
      <c r="AA746" s="101"/>
      <c r="AB746" s="101"/>
      <c r="AC746" s="101"/>
      <c r="AD746" s="101"/>
      <c r="AE746" s="101"/>
      <c r="AF746" s="101"/>
    </row>
    <row r="747" spans="1:32" ht="13.8">
      <c r="A747" s="101"/>
      <c r="B747" s="101"/>
      <c r="C747" s="101"/>
      <c r="D747" s="101"/>
      <c r="E747" s="101"/>
      <c r="F747" s="101"/>
      <c r="G747" s="101"/>
      <c r="H747" s="101"/>
      <c r="I747" s="101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  <c r="Y747" s="101"/>
      <c r="Z747" s="101"/>
      <c r="AA747" s="101"/>
      <c r="AB747" s="101"/>
      <c r="AC747" s="101"/>
      <c r="AD747" s="101"/>
      <c r="AE747" s="101"/>
      <c r="AF747" s="101"/>
    </row>
    <row r="748" spans="1:32" ht="13.8">
      <c r="A748" s="101"/>
      <c r="B748" s="101"/>
      <c r="C748" s="101"/>
      <c r="D748" s="101"/>
      <c r="E748" s="101"/>
      <c r="F748" s="101"/>
      <c r="G748" s="101"/>
      <c r="H748" s="101"/>
      <c r="I748" s="101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  <c r="Y748" s="101"/>
      <c r="Z748" s="101"/>
      <c r="AA748" s="101"/>
      <c r="AB748" s="101"/>
      <c r="AC748" s="101"/>
      <c r="AD748" s="101"/>
      <c r="AE748" s="101"/>
      <c r="AF748" s="101"/>
    </row>
    <row r="749" spans="1:32" ht="13.8">
      <c r="A749" s="101"/>
      <c r="B749" s="101"/>
      <c r="C749" s="101"/>
      <c r="D749" s="101"/>
      <c r="E749" s="101"/>
      <c r="F749" s="101"/>
      <c r="G749" s="101"/>
      <c r="H749" s="101"/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  <c r="Y749" s="101"/>
      <c r="Z749" s="101"/>
      <c r="AA749" s="101"/>
      <c r="AB749" s="101"/>
      <c r="AC749" s="101"/>
      <c r="AD749" s="101"/>
      <c r="AE749" s="101"/>
      <c r="AF749" s="101"/>
    </row>
    <row r="750" spans="1:32" ht="13.8">
      <c r="A750" s="101"/>
      <c r="B750" s="101"/>
      <c r="C750" s="101"/>
      <c r="D750" s="101"/>
      <c r="E750" s="101"/>
      <c r="F750" s="101"/>
      <c r="G750" s="101"/>
      <c r="H750" s="101"/>
      <c r="I750" s="101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  <c r="Y750" s="101"/>
      <c r="Z750" s="101"/>
      <c r="AA750" s="101"/>
      <c r="AB750" s="101"/>
      <c r="AC750" s="101"/>
      <c r="AD750" s="101"/>
      <c r="AE750" s="101"/>
      <c r="AF750" s="101"/>
    </row>
    <row r="751" spans="1:32" ht="13.8">
      <c r="A751" s="101"/>
      <c r="B751" s="101"/>
      <c r="C751" s="101"/>
      <c r="D751" s="101"/>
      <c r="E751" s="101"/>
      <c r="F751" s="101"/>
      <c r="G751" s="101"/>
      <c r="H751" s="101"/>
      <c r="I751" s="101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  <c r="Y751" s="101"/>
      <c r="Z751" s="101"/>
      <c r="AA751" s="101"/>
      <c r="AB751" s="101"/>
      <c r="AC751" s="101"/>
      <c r="AD751" s="101"/>
      <c r="AE751" s="101"/>
      <c r="AF751" s="101"/>
    </row>
    <row r="752" spans="1:32" ht="13.8">
      <c r="A752" s="101"/>
      <c r="B752" s="101"/>
      <c r="C752" s="101"/>
      <c r="D752" s="101"/>
      <c r="E752" s="101"/>
      <c r="F752" s="101"/>
      <c r="G752" s="101"/>
      <c r="H752" s="101"/>
      <c r="I752" s="101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  <c r="Y752" s="101"/>
      <c r="Z752" s="101"/>
      <c r="AA752" s="101"/>
      <c r="AB752" s="101"/>
      <c r="AC752" s="101"/>
      <c r="AD752" s="101"/>
      <c r="AE752" s="101"/>
      <c r="AF752" s="101"/>
    </row>
    <row r="753" spans="1:32" ht="13.8">
      <c r="A753" s="101"/>
      <c r="B753" s="101"/>
      <c r="C753" s="101"/>
      <c r="D753" s="101"/>
      <c r="E753" s="101"/>
      <c r="F753" s="101"/>
      <c r="G753" s="101"/>
      <c r="H753" s="101"/>
      <c r="I753" s="101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  <c r="Y753" s="101"/>
      <c r="Z753" s="101"/>
      <c r="AA753" s="101"/>
      <c r="AB753" s="101"/>
      <c r="AC753" s="101"/>
      <c r="AD753" s="101"/>
      <c r="AE753" s="101"/>
      <c r="AF753" s="101"/>
    </row>
    <row r="754" spans="1:32" ht="13.8">
      <c r="A754" s="101"/>
      <c r="B754" s="101"/>
      <c r="C754" s="101"/>
      <c r="D754" s="101"/>
      <c r="E754" s="101"/>
      <c r="F754" s="101"/>
      <c r="G754" s="101"/>
      <c r="H754" s="101"/>
      <c r="I754" s="101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  <c r="Y754" s="101"/>
      <c r="Z754" s="101"/>
      <c r="AA754" s="101"/>
      <c r="AB754" s="101"/>
      <c r="AC754" s="101"/>
      <c r="AD754" s="101"/>
      <c r="AE754" s="101"/>
      <c r="AF754" s="101"/>
    </row>
    <row r="755" spans="1:32" ht="13.8">
      <c r="A755" s="101"/>
      <c r="B755" s="101"/>
      <c r="C755" s="101"/>
      <c r="D755" s="101"/>
      <c r="E755" s="101"/>
      <c r="F755" s="101"/>
      <c r="G755" s="101"/>
      <c r="H755" s="101"/>
      <c r="I755" s="101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  <c r="Y755" s="101"/>
      <c r="Z755" s="101"/>
      <c r="AA755" s="101"/>
      <c r="AB755" s="101"/>
      <c r="AC755" s="101"/>
      <c r="AD755" s="101"/>
      <c r="AE755" s="101"/>
      <c r="AF755" s="101"/>
    </row>
    <row r="756" spans="1:32" ht="13.8">
      <c r="A756" s="101"/>
      <c r="B756" s="101"/>
      <c r="C756" s="101"/>
      <c r="D756" s="101"/>
      <c r="E756" s="101"/>
      <c r="F756" s="101"/>
      <c r="G756" s="101"/>
      <c r="H756" s="101"/>
      <c r="I756" s="101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  <c r="Y756" s="101"/>
      <c r="Z756" s="101"/>
      <c r="AA756" s="101"/>
      <c r="AB756" s="101"/>
      <c r="AC756" s="101"/>
      <c r="AD756" s="101"/>
      <c r="AE756" s="101"/>
      <c r="AF756" s="101"/>
    </row>
    <row r="757" spans="1:32" ht="13.8">
      <c r="A757" s="101"/>
      <c r="B757" s="101"/>
      <c r="C757" s="101"/>
      <c r="D757" s="101"/>
      <c r="E757" s="101"/>
      <c r="F757" s="101"/>
      <c r="G757" s="101"/>
      <c r="H757" s="101"/>
      <c r="I757" s="101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  <c r="Y757" s="101"/>
      <c r="Z757" s="101"/>
      <c r="AA757" s="101"/>
      <c r="AB757" s="101"/>
      <c r="AC757" s="101"/>
      <c r="AD757" s="101"/>
      <c r="AE757" s="101"/>
      <c r="AF757" s="101"/>
    </row>
    <row r="758" spans="1:32" ht="13.8">
      <c r="A758" s="101"/>
      <c r="B758" s="101"/>
      <c r="C758" s="101"/>
      <c r="D758" s="101"/>
      <c r="E758" s="101"/>
      <c r="F758" s="101"/>
      <c r="G758" s="101"/>
      <c r="H758" s="101"/>
      <c r="I758" s="101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  <c r="Y758" s="101"/>
      <c r="Z758" s="101"/>
      <c r="AA758" s="101"/>
      <c r="AB758" s="101"/>
      <c r="AC758" s="101"/>
      <c r="AD758" s="101"/>
      <c r="AE758" s="101"/>
      <c r="AF758" s="101"/>
    </row>
    <row r="759" spans="1:32" ht="13.8">
      <c r="A759" s="101"/>
      <c r="B759" s="101"/>
      <c r="C759" s="101"/>
      <c r="D759" s="101"/>
      <c r="E759" s="101"/>
      <c r="F759" s="101"/>
      <c r="G759" s="101"/>
      <c r="H759" s="101"/>
      <c r="I759" s="101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  <c r="Y759" s="101"/>
      <c r="Z759" s="101"/>
      <c r="AA759" s="101"/>
      <c r="AB759" s="101"/>
      <c r="AC759" s="101"/>
      <c r="AD759" s="101"/>
      <c r="AE759" s="101"/>
      <c r="AF759" s="101"/>
    </row>
    <row r="760" spans="1:32" ht="13.8">
      <c r="A760" s="101"/>
      <c r="B760" s="101"/>
      <c r="C760" s="101"/>
      <c r="D760" s="101"/>
      <c r="E760" s="101"/>
      <c r="F760" s="101"/>
      <c r="G760" s="101"/>
      <c r="H760" s="101"/>
      <c r="I760" s="101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  <c r="Y760" s="101"/>
      <c r="Z760" s="101"/>
      <c r="AA760" s="101"/>
      <c r="AB760" s="101"/>
      <c r="AC760" s="101"/>
      <c r="AD760" s="101"/>
      <c r="AE760" s="101"/>
      <c r="AF760" s="101"/>
    </row>
    <row r="761" spans="1:32" ht="13.8">
      <c r="A761" s="101"/>
      <c r="B761" s="101"/>
      <c r="C761" s="101"/>
      <c r="D761" s="101"/>
      <c r="E761" s="101"/>
      <c r="F761" s="101"/>
      <c r="G761" s="101"/>
      <c r="H761" s="101"/>
      <c r="I761" s="101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  <c r="Y761" s="101"/>
      <c r="Z761" s="101"/>
      <c r="AA761" s="101"/>
      <c r="AB761" s="101"/>
      <c r="AC761" s="101"/>
      <c r="AD761" s="101"/>
      <c r="AE761" s="101"/>
      <c r="AF761" s="101"/>
    </row>
    <row r="762" spans="1:32" ht="13.8">
      <c r="A762" s="101"/>
      <c r="B762" s="101"/>
      <c r="C762" s="101"/>
      <c r="D762" s="101"/>
      <c r="E762" s="101"/>
      <c r="F762" s="101"/>
      <c r="G762" s="101"/>
      <c r="H762" s="101"/>
      <c r="I762" s="101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  <c r="Y762" s="101"/>
      <c r="Z762" s="101"/>
      <c r="AA762" s="101"/>
      <c r="AB762" s="101"/>
      <c r="AC762" s="101"/>
      <c r="AD762" s="101"/>
      <c r="AE762" s="101"/>
      <c r="AF762" s="101"/>
    </row>
    <row r="763" spans="1:32" ht="13.8">
      <c r="A763" s="101"/>
      <c r="B763" s="101"/>
      <c r="C763" s="101"/>
      <c r="D763" s="101"/>
      <c r="E763" s="101"/>
      <c r="F763" s="101"/>
      <c r="G763" s="101"/>
      <c r="H763" s="101"/>
      <c r="I763" s="101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  <c r="Y763" s="101"/>
      <c r="Z763" s="101"/>
      <c r="AA763" s="101"/>
      <c r="AB763" s="101"/>
      <c r="AC763" s="101"/>
      <c r="AD763" s="101"/>
      <c r="AE763" s="101"/>
      <c r="AF763" s="101"/>
    </row>
    <row r="764" spans="1:32" ht="13.8">
      <c r="A764" s="101"/>
      <c r="B764" s="101"/>
      <c r="C764" s="101"/>
      <c r="D764" s="101"/>
      <c r="E764" s="101"/>
      <c r="F764" s="101"/>
      <c r="G764" s="101"/>
      <c r="H764" s="101"/>
      <c r="I764" s="101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  <c r="Y764" s="101"/>
      <c r="Z764" s="101"/>
      <c r="AA764" s="101"/>
      <c r="AB764" s="101"/>
      <c r="AC764" s="101"/>
      <c r="AD764" s="101"/>
      <c r="AE764" s="101"/>
      <c r="AF764" s="101"/>
    </row>
    <row r="765" spans="1:32" ht="13.8">
      <c r="A765" s="101"/>
      <c r="B765" s="101"/>
      <c r="C765" s="101"/>
      <c r="D765" s="101"/>
      <c r="E765" s="101"/>
      <c r="F765" s="101"/>
      <c r="G765" s="101"/>
      <c r="H765" s="101"/>
      <c r="I765" s="101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  <c r="Y765" s="101"/>
      <c r="Z765" s="101"/>
      <c r="AA765" s="101"/>
      <c r="AB765" s="101"/>
      <c r="AC765" s="101"/>
      <c r="AD765" s="101"/>
      <c r="AE765" s="101"/>
      <c r="AF765" s="101"/>
    </row>
    <row r="766" spans="1:32" ht="13.8">
      <c r="A766" s="101"/>
      <c r="B766" s="101"/>
      <c r="C766" s="101"/>
      <c r="D766" s="101"/>
      <c r="E766" s="101"/>
      <c r="F766" s="101"/>
      <c r="G766" s="101"/>
      <c r="H766" s="101"/>
      <c r="I766" s="101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  <c r="Y766" s="101"/>
      <c r="Z766" s="101"/>
      <c r="AA766" s="101"/>
      <c r="AB766" s="101"/>
      <c r="AC766" s="101"/>
      <c r="AD766" s="101"/>
      <c r="AE766" s="101"/>
      <c r="AF766" s="101"/>
    </row>
    <row r="767" spans="1:32" ht="13.8">
      <c r="A767" s="101"/>
      <c r="B767" s="101"/>
      <c r="C767" s="101"/>
      <c r="D767" s="101"/>
      <c r="E767" s="101"/>
      <c r="F767" s="101"/>
      <c r="G767" s="101"/>
      <c r="H767" s="101"/>
      <c r="I767" s="101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  <c r="Y767" s="101"/>
      <c r="Z767" s="101"/>
      <c r="AA767" s="101"/>
      <c r="AB767" s="101"/>
      <c r="AC767" s="101"/>
      <c r="AD767" s="101"/>
      <c r="AE767" s="101"/>
      <c r="AF767" s="101"/>
    </row>
    <row r="768" spans="1:32" ht="13.8">
      <c r="A768" s="101"/>
      <c r="B768" s="101"/>
      <c r="C768" s="101"/>
      <c r="D768" s="101"/>
      <c r="E768" s="101"/>
      <c r="F768" s="101"/>
      <c r="G768" s="101"/>
      <c r="H768" s="101"/>
      <c r="I768" s="101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  <c r="Y768" s="101"/>
      <c r="Z768" s="101"/>
      <c r="AA768" s="101"/>
      <c r="AB768" s="101"/>
      <c r="AC768" s="101"/>
      <c r="AD768" s="101"/>
      <c r="AE768" s="101"/>
      <c r="AF768" s="101"/>
    </row>
    <row r="769" spans="1:32" ht="13.8">
      <c r="A769" s="101"/>
      <c r="B769" s="101"/>
      <c r="C769" s="101"/>
      <c r="D769" s="101"/>
      <c r="E769" s="101"/>
      <c r="F769" s="101"/>
      <c r="G769" s="101"/>
      <c r="H769" s="101"/>
      <c r="I769" s="101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  <c r="Y769" s="101"/>
      <c r="Z769" s="101"/>
      <c r="AA769" s="101"/>
      <c r="AB769" s="101"/>
      <c r="AC769" s="101"/>
      <c r="AD769" s="101"/>
      <c r="AE769" s="101"/>
      <c r="AF769" s="101"/>
    </row>
    <row r="770" spans="1:32" ht="13.8">
      <c r="A770" s="101"/>
      <c r="B770" s="101"/>
      <c r="C770" s="101"/>
      <c r="D770" s="101"/>
      <c r="E770" s="101"/>
      <c r="F770" s="101"/>
      <c r="G770" s="101"/>
      <c r="H770" s="101"/>
      <c r="I770" s="101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  <c r="Y770" s="101"/>
      <c r="Z770" s="101"/>
      <c r="AA770" s="101"/>
      <c r="AB770" s="101"/>
      <c r="AC770" s="101"/>
      <c r="AD770" s="101"/>
      <c r="AE770" s="101"/>
      <c r="AF770" s="101"/>
    </row>
    <row r="771" spans="1:32" ht="13.8">
      <c r="A771" s="101"/>
      <c r="B771" s="101"/>
      <c r="C771" s="101"/>
      <c r="D771" s="101"/>
      <c r="E771" s="101"/>
      <c r="F771" s="101"/>
      <c r="G771" s="101"/>
      <c r="H771" s="101"/>
      <c r="I771" s="101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  <c r="Y771" s="101"/>
      <c r="Z771" s="101"/>
      <c r="AA771" s="101"/>
      <c r="AB771" s="101"/>
      <c r="AC771" s="101"/>
      <c r="AD771" s="101"/>
      <c r="AE771" s="101"/>
      <c r="AF771" s="101"/>
    </row>
    <row r="772" spans="1:32" ht="13.8">
      <c r="A772" s="101"/>
      <c r="B772" s="101"/>
      <c r="C772" s="101"/>
      <c r="D772" s="101"/>
      <c r="E772" s="101"/>
      <c r="F772" s="101"/>
      <c r="G772" s="101"/>
      <c r="H772" s="101"/>
      <c r="I772" s="101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  <c r="Y772" s="101"/>
      <c r="Z772" s="101"/>
      <c r="AA772" s="101"/>
      <c r="AB772" s="101"/>
      <c r="AC772" s="101"/>
      <c r="AD772" s="101"/>
      <c r="AE772" s="101"/>
      <c r="AF772" s="101"/>
    </row>
    <row r="773" spans="1:32" ht="13.8">
      <c r="A773" s="101"/>
      <c r="B773" s="101"/>
      <c r="C773" s="101"/>
      <c r="D773" s="101"/>
      <c r="E773" s="101"/>
      <c r="F773" s="101"/>
      <c r="G773" s="101"/>
      <c r="H773" s="101"/>
      <c r="I773" s="101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  <c r="Y773" s="101"/>
      <c r="Z773" s="101"/>
      <c r="AA773" s="101"/>
      <c r="AB773" s="101"/>
      <c r="AC773" s="101"/>
      <c r="AD773" s="101"/>
      <c r="AE773" s="101"/>
      <c r="AF773" s="101"/>
    </row>
    <row r="774" spans="1:32" ht="13.8">
      <c r="A774" s="101"/>
      <c r="B774" s="101"/>
      <c r="C774" s="101"/>
      <c r="D774" s="101"/>
      <c r="E774" s="101"/>
      <c r="F774" s="101"/>
      <c r="G774" s="101"/>
      <c r="H774" s="101"/>
      <c r="I774" s="101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  <c r="Y774" s="101"/>
      <c r="Z774" s="101"/>
      <c r="AA774" s="101"/>
      <c r="AB774" s="101"/>
      <c r="AC774" s="101"/>
      <c r="AD774" s="101"/>
      <c r="AE774" s="101"/>
      <c r="AF774" s="101"/>
    </row>
    <row r="775" spans="1:32" ht="13.8">
      <c r="A775" s="101"/>
      <c r="B775" s="101"/>
      <c r="C775" s="101"/>
      <c r="D775" s="101"/>
      <c r="E775" s="101"/>
      <c r="F775" s="101"/>
      <c r="G775" s="101"/>
      <c r="H775" s="101"/>
      <c r="I775" s="101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  <c r="Y775" s="101"/>
      <c r="Z775" s="101"/>
      <c r="AA775" s="101"/>
      <c r="AB775" s="101"/>
      <c r="AC775" s="101"/>
      <c r="AD775" s="101"/>
      <c r="AE775" s="101"/>
      <c r="AF775" s="101"/>
    </row>
    <row r="776" spans="1:32" ht="13.8">
      <c r="A776" s="101"/>
      <c r="B776" s="101"/>
      <c r="C776" s="101"/>
      <c r="D776" s="101"/>
      <c r="E776" s="101"/>
      <c r="F776" s="101"/>
      <c r="G776" s="101"/>
      <c r="H776" s="101"/>
      <c r="I776" s="101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  <c r="Y776" s="101"/>
      <c r="Z776" s="101"/>
      <c r="AA776" s="101"/>
      <c r="AB776" s="101"/>
      <c r="AC776" s="101"/>
      <c r="AD776" s="101"/>
      <c r="AE776" s="101"/>
      <c r="AF776" s="101"/>
    </row>
    <row r="777" spans="1:32" ht="13.8">
      <c r="A777" s="101"/>
      <c r="B777" s="101"/>
      <c r="C777" s="101"/>
      <c r="D777" s="101"/>
      <c r="E777" s="101"/>
      <c r="F777" s="101"/>
      <c r="G777" s="101"/>
      <c r="H777" s="101"/>
      <c r="I777" s="101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  <c r="Y777" s="101"/>
      <c r="Z777" s="101"/>
      <c r="AA777" s="101"/>
      <c r="AB777" s="101"/>
      <c r="AC777" s="101"/>
      <c r="AD777" s="101"/>
      <c r="AE777" s="101"/>
      <c r="AF777" s="101"/>
    </row>
    <row r="778" spans="1:32" ht="13.8">
      <c r="A778" s="101"/>
      <c r="B778" s="101"/>
      <c r="C778" s="101"/>
      <c r="D778" s="101"/>
      <c r="E778" s="101"/>
      <c r="F778" s="101"/>
      <c r="G778" s="101"/>
      <c r="H778" s="101"/>
      <c r="I778" s="101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  <c r="Y778" s="101"/>
      <c r="Z778" s="101"/>
      <c r="AA778" s="101"/>
      <c r="AB778" s="101"/>
      <c r="AC778" s="101"/>
      <c r="AD778" s="101"/>
      <c r="AE778" s="101"/>
      <c r="AF778" s="101"/>
    </row>
    <row r="779" spans="1:32" ht="13.8">
      <c r="A779" s="101"/>
      <c r="B779" s="101"/>
      <c r="C779" s="101"/>
      <c r="D779" s="101"/>
      <c r="E779" s="101"/>
      <c r="F779" s="101"/>
      <c r="G779" s="101"/>
      <c r="H779" s="101"/>
      <c r="I779" s="101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  <c r="Y779" s="101"/>
      <c r="Z779" s="101"/>
      <c r="AA779" s="101"/>
      <c r="AB779" s="101"/>
      <c r="AC779" s="101"/>
      <c r="AD779" s="101"/>
      <c r="AE779" s="101"/>
      <c r="AF779" s="101"/>
    </row>
    <row r="780" spans="1:32" ht="13.8">
      <c r="A780" s="101"/>
      <c r="B780" s="101"/>
      <c r="C780" s="101"/>
      <c r="D780" s="101"/>
      <c r="E780" s="101"/>
      <c r="F780" s="101"/>
      <c r="G780" s="101"/>
      <c r="H780" s="101"/>
      <c r="I780" s="101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  <c r="Y780" s="101"/>
      <c r="Z780" s="101"/>
      <c r="AA780" s="101"/>
      <c r="AB780" s="101"/>
      <c r="AC780" s="101"/>
      <c r="AD780" s="101"/>
      <c r="AE780" s="101"/>
      <c r="AF780" s="101"/>
    </row>
    <row r="781" spans="1:32" ht="13.8">
      <c r="A781" s="101"/>
      <c r="B781" s="101"/>
      <c r="C781" s="101"/>
      <c r="D781" s="101"/>
      <c r="E781" s="101"/>
      <c r="F781" s="101"/>
      <c r="G781" s="101"/>
      <c r="H781" s="101"/>
      <c r="I781" s="101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  <c r="Y781" s="101"/>
      <c r="Z781" s="101"/>
      <c r="AA781" s="101"/>
      <c r="AB781" s="101"/>
      <c r="AC781" s="101"/>
      <c r="AD781" s="101"/>
      <c r="AE781" s="101"/>
      <c r="AF781" s="101"/>
    </row>
    <row r="782" spans="1:32" ht="13.8">
      <c r="A782" s="101"/>
      <c r="B782" s="101"/>
      <c r="C782" s="101"/>
      <c r="D782" s="101"/>
      <c r="E782" s="101"/>
      <c r="F782" s="101"/>
      <c r="G782" s="101"/>
      <c r="H782" s="101"/>
      <c r="I782" s="101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  <c r="Y782" s="101"/>
      <c r="Z782" s="101"/>
      <c r="AA782" s="101"/>
      <c r="AB782" s="101"/>
      <c r="AC782" s="101"/>
      <c r="AD782" s="101"/>
      <c r="AE782" s="101"/>
      <c r="AF782" s="101"/>
    </row>
    <row r="783" spans="1:32" ht="13.8">
      <c r="A783" s="101"/>
      <c r="B783" s="101"/>
      <c r="C783" s="101"/>
      <c r="D783" s="101"/>
      <c r="E783" s="101"/>
      <c r="F783" s="101"/>
      <c r="G783" s="101"/>
      <c r="H783" s="101"/>
      <c r="I783" s="101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  <c r="Y783" s="101"/>
      <c r="Z783" s="101"/>
      <c r="AA783" s="101"/>
      <c r="AB783" s="101"/>
      <c r="AC783" s="101"/>
      <c r="AD783" s="101"/>
      <c r="AE783" s="101"/>
      <c r="AF783" s="101"/>
    </row>
    <row r="784" spans="1:32" ht="13.8">
      <c r="A784" s="101"/>
      <c r="B784" s="101"/>
      <c r="C784" s="101"/>
      <c r="D784" s="101"/>
      <c r="E784" s="101"/>
      <c r="F784" s="101"/>
      <c r="G784" s="101"/>
      <c r="H784" s="101"/>
      <c r="I784" s="101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  <c r="Y784" s="101"/>
      <c r="Z784" s="101"/>
      <c r="AA784" s="101"/>
      <c r="AB784" s="101"/>
      <c r="AC784" s="101"/>
      <c r="AD784" s="101"/>
      <c r="AE784" s="101"/>
      <c r="AF784" s="101"/>
    </row>
    <row r="785" spans="1:32" ht="13.8">
      <c r="A785" s="101"/>
      <c r="B785" s="101"/>
      <c r="C785" s="101"/>
      <c r="D785" s="101"/>
      <c r="E785" s="101"/>
      <c r="F785" s="101"/>
      <c r="G785" s="101"/>
      <c r="H785" s="101"/>
      <c r="I785" s="101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  <c r="Y785" s="101"/>
      <c r="Z785" s="101"/>
      <c r="AA785" s="101"/>
      <c r="AB785" s="101"/>
      <c r="AC785" s="101"/>
      <c r="AD785" s="101"/>
      <c r="AE785" s="101"/>
      <c r="AF785" s="101"/>
    </row>
    <row r="786" spans="1:32" ht="13.8">
      <c r="A786" s="101"/>
      <c r="B786" s="101"/>
      <c r="C786" s="101"/>
      <c r="D786" s="101"/>
      <c r="E786" s="101"/>
      <c r="F786" s="101"/>
      <c r="G786" s="101"/>
      <c r="H786" s="101"/>
      <c r="I786" s="101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  <c r="Y786" s="101"/>
      <c r="Z786" s="101"/>
      <c r="AA786" s="101"/>
      <c r="AB786" s="101"/>
      <c r="AC786" s="101"/>
      <c r="AD786" s="101"/>
      <c r="AE786" s="101"/>
      <c r="AF786" s="101"/>
    </row>
    <row r="787" spans="1:32" ht="13.8">
      <c r="A787" s="101"/>
      <c r="B787" s="101"/>
      <c r="C787" s="101"/>
      <c r="D787" s="101"/>
      <c r="E787" s="101"/>
      <c r="F787" s="101"/>
      <c r="G787" s="101"/>
      <c r="H787" s="101"/>
      <c r="I787" s="101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  <c r="Y787" s="101"/>
      <c r="Z787" s="101"/>
      <c r="AA787" s="101"/>
      <c r="AB787" s="101"/>
      <c r="AC787" s="101"/>
      <c r="AD787" s="101"/>
      <c r="AE787" s="101"/>
      <c r="AF787" s="101"/>
    </row>
    <row r="788" spans="1:32" ht="13.8">
      <c r="A788" s="101"/>
      <c r="B788" s="101"/>
      <c r="C788" s="101"/>
      <c r="D788" s="101"/>
      <c r="E788" s="101"/>
      <c r="F788" s="101"/>
      <c r="G788" s="101"/>
      <c r="H788" s="101"/>
      <c r="I788" s="101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  <c r="Y788" s="101"/>
      <c r="Z788" s="101"/>
      <c r="AA788" s="101"/>
      <c r="AB788" s="101"/>
      <c r="AC788" s="101"/>
      <c r="AD788" s="101"/>
      <c r="AE788" s="101"/>
      <c r="AF788" s="101"/>
    </row>
    <row r="789" spans="1:32" ht="13.8">
      <c r="A789" s="101"/>
      <c r="B789" s="101"/>
      <c r="C789" s="101"/>
      <c r="D789" s="101"/>
      <c r="E789" s="101"/>
      <c r="F789" s="101"/>
      <c r="G789" s="101"/>
      <c r="H789" s="101"/>
      <c r="I789" s="101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  <c r="Y789" s="101"/>
      <c r="Z789" s="101"/>
      <c r="AA789" s="101"/>
      <c r="AB789" s="101"/>
      <c r="AC789" s="101"/>
      <c r="AD789" s="101"/>
      <c r="AE789" s="101"/>
      <c r="AF789" s="101"/>
    </row>
    <row r="790" spans="1:32" ht="13.8">
      <c r="A790" s="101"/>
      <c r="B790" s="101"/>
      <c r="C790" s="101"/>
      <c r="D790" s="101"/>
      <c r="E790" s="101"/>
      <c r="F790" s="101"/>
      <c r="G790" s="101"/>
      <c r="H790" s="101"/>
      <c r="I790" s="101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  <c r="Y790" s="101"/>
      <c r="Z790" s="101"/>
      <c r="AA790" s="101"/>
      <c r="AB790" s="101"/>
      <c r="AC790" s="101"/>
      <c r="AD790" s="101"/>
      <c r="AE790" s="101"/>
      <c r="AF790" s="101"/>
    </row>
    <row r="791" spans="1:32" ht="13.8">
      <c r="A791" s="101"/>
      <c r="B791" s="101"/>
      <c r="C791" s="101"/>
      <c r="D791" s="101"/>
      <c r="E791" s="101"/>
      <c r="F791" s="101"/>
      <c r="G791" s="101"/>
      <c r="H791" s="101"/>
      <c r="I791" s="101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  <c r="Y791" s="101"/>
      <c r="Z791" s="101"/>
      <c r="AA791" s="101"/>
      <c r="AB791" s="101"/>
      <c r="AC791" s="101"/>
      <c r="AD791" s="101"/>
      <c r="AE791" s="101"/>
      <c r="AF791" s="101"/>
    </row>
    <row r="792" spans="1:32" ht="13.8">
      <c r="A792" s="101"/>
      <c r="B792" s="101"/>
      <c r="C792" s="101"/>
      <c r="D792" s="101"/>
      <c r="E792" s="101"/>
      <c r="F792" s="101"/>
      <c r="G792" s="101"/>
      <c r="H792" s="101"/>
      <c r="I792" s="101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  <c r="Y792" s="101"/>
      <c r="Z792" s="101"/>
      <c r="AA792" s="101"/>
      <c r="AB792" s="101"/>
      <c r="AC792" s="101"/>
      <c r="AD792" s="101"/>
      <c r="AE792" s="101"/>
      <c r="AF792" s="101"/>
    </row>
    <row r="793" spans="1:32" ht="13.8">
      <c r="A793" s="101"/>
      <c r="B793" s="101"/>
      <c r="C793" s="101"/>
      <c r="D793" s="101"/>
      <c r="E793" s="101"/>
      <c r="F793" s="101"/>
      <c r="G793" s="101"/>
      <c r="H793" s="101"/>
      <c r="I793" s="101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  <c r="Y793" s="101"/>
      <c r="Z793" s="101"/>
      <c r="AA793" s="101"/>
      <c r="AB793" s="101"/>
      <c r="AC793" s="101"/>
      <c r="AD793" s="101"/>
      <c r="AE793" s="101"/>
      <c r="AF793" s="101"/>
    </row>
    <row r="794" spans="1:32" ht="13.8">
      <c r="A794" s="101"/>
      <c r="B794" s="101"/>
      <c r="C794" s="101"/>
      <c r="D794" s="101"/>
      <c r="E794" s="101"/>
      <c r="F794" s="101"/>
      <c r="G794" s="101"/>
      <c r="H794" s="101"/>
      <c r="I794" s="101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  <c r="Y794" s="101"/>
      <c r="Z794" s="101"/>
      <c r="AA794" s="101"/>
      <c r="AB794" s="101"/>
      <c r="AC794" s="101"/>
      <c r="AD794" s="101"/>
      <c r="AE794" s="101"/>
      <c r="AF794" s="101"/>
    </row>
    <row r="795" spans="1:32" ht="13.8">
      <c r="A795" s="101"/>
      <c r="B795" s="101"/>
      <c r="C795" s="101"/>
      <c r="D795" s="101"/>
      <c r="E795" s="101"/>
      <c r="F795" s="101"/>
      <c r="G795" s="101"/>
      <c r="H795" s="101"/>
      <c r="I795" s="101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  <c r="Y795" s="101"/>
      <c r="Z795" s="101"/>
      <c r="AA795" s="101"/>
      <c r="AB795" s="101"/>
      <c r="AC795" s="101"/>
      <c r="AD795" s="101"/>
      <c r="AE795" s="101"/>
      <c r="AF795" s="101"/>
    </row>
    <row r="796" spans="1:32" ht="13.8">
      <c r="A796" s="101"/>
      <c r="B796" s="101"/>
      <c r="C796" s="101"/>
      <c r="D796" s="101"/>
      <c r="E796" s="101"/>
      <c r="F796" s="101"/>
      <c r="G796" s="101"/>
      <c r="H796" s="101"/>
      <c r="I796" s="101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  <c r="Y796" s="101"/>
      <c r="Z796" s="101"/>
      <c r="AA796" s="101"/>
      <c r="AB796" s="101"/>
      <c r="AC796" s="101"/>
      <c r="AD796" s="101"/>
      <c r="AE796" s="101"/>
      <c r="AF796" s="101"/>
    </row>
    <row r="797" spans="1:32" ht="13.8">
      <c r="A797" s="101"/>
      <c r="B797" s="101"/>
      <c r="C797" s="101"/>
      <c r="D797" s="101"/>
      <c r="E797" s="101"/>
      <c r="F797" s="101"/>
      <c r="G797" s="101"/>
      <c r="H797" s="101"/>
      <c r="I797" s="101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  <c r="Y797" s="101"/>
      <c r="Z797" s="101"/>
      <c r="AA797" s="101"/>
      <c r="AB797" s="101"/>
      <c r="AC797" s="101"/>
      <c r="AD797" s="101"/>
      <c r="AE797" s="101"/>
      <c r="AF797" s="101"/>
    </row>
    <row r="798" spans="1:32" ht="13.8">
      <c r="A798" s="101"/>
      <c r="B798" s="101"/>
      <c r="C798" s="101"/>
      <c r="D798" s="101"/>
      <c r="E798" s="101"/>
      <c r="F798" s="101"/>
      <c r="G798" s="101"/>
      <c r="H798" s="101"/>
      <c r="I798" s="101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  <c r="Y798" s="101"/>
      <c r="Z798" s="101"/>
      <c r="AA798" s="101"/>
      <c r="AB798" s="101"/>
      <c r="AC798" s="101"/>
      <c r="AD798" s="101"/>
      <c r="AE798" s="101"/>
      <c r="AF798" s="101"/>
    </row>
    <row r="799" spans="1:32" ht="13.8">
      <c r="A799" s="101"/>
      <c r="B799" s="101"/>
      <c r="C799" s="101"/>
      <c r="D799" s="101"/>
      <c r="E799" s="101"/>
      <c r="F799" s="101"/>
      <c r="G799" s="101"/>
      <c r="H799" s="101"/>
      <c r="I799" s="101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  <c r="Y799" s="101"/>
      <c r="Z799" s="101"/>
      <c r="AA799" s="101"/>
      <c r="AB799" s="101"/>
      <c r="AC799" s="101"/>
      <c r="AD799" s="101"/>
      <c r="AE799" s="101"/>
      <c r="AF799" s="101"/>
    </row>
    <row r="800" spans="1:32" ht="13.8">
      <c r="A800" s="101"/>
      <c r="B800" s="101"/>
      <c r="C800" s="101"/>
      <c r="D800" s="101"/>
      <c r="E800" s="101"/>
      <c r="F800" s="101"/>
      <c r="G800" s="101"/>
      <c r="H800" s="101"/>
      <c r="I800" s="101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  <c r="Y800" s="101"/>
      <c r="Z800" s="101"/>
      <c r="AA800" s="101"/>
      <c r="AB800" s="101"/>
      <c r="AC800" s="101"/>
      <c r="AD800" s="101"/>
      <c r="AE800" s="101"/>
      <c r="AF800" s="101"/>
    </row>
    <row r="801" spans="1:32" ht="13.8">
      <c r="A801" s="101"/>
      <c r="B801" s="101"/>
      <c r="C801" s="101"/>
      <c r="D801" s="101"/>
      <c r="E801" s="101"/>
      <c r="F801" s="101"/>
      <c r="G801" s="101"/>
      <c r="H801" s="101"/>
      <c r="I801" s="101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  <c r="Y801" s="101"/>
      <c r="Z801" s="101"/>
      <c r="AA801" s="101"/>
      <c r="AB801" s="101"/>
      <c r="AC801" s="101"/>
      <c r="AD801" s="101"/>
      <c r="AE801" s="101"/>
      <c r="AF801" s="101"/>
    </row>
    <row r="802" spans="1:32" ht="13.8">
      <c r="A802" s="101"/>
      <c r="B802" s="101"/>
      <c r="C802" s="101"/>
      <c r="D802" s="101"/>
      <c r="E802" s="101"/>
      <c r="F802" s="101"/>
      <c r="G802" s="101"/>
      <c r="H802" s="101"/>
      <c r="I802" s="101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  <c r="Y802" s="101"/>
      <c r="Z802" s="101"/>
      <c r="AA802" s="101"/>
      <c r="AB802" s="101"/>
      <c r="AC802" s="101"/>
      <c r="AD802" s="101"/>
      <c r="AE802" s="101"/>
      <c r="AF802" s="101"/>
    </row>
    <row r="803" spans="1:32" ht="13.8">
      <c r="A803" s="101"/>
      <c r="B803" s="101"/>
      <c r="C803" s="101"/>
      <c r="D803" s="101"/>
      <c r="E803" s="101"/>
      <c r="F803" s="101"/>
      <c r="G803" s="101"/>
      <c r="H803" s="101"/>
      <c r="I803" s="101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  <c r="Y803" s="101"/>
      <c r="Z803" s="101"/>
      <c r="AA803" s="101"/>
      <c r="AB803" s="101"/>
      <c r="AC803" s="101"/>
      <c r="AD803" s="101"/>
      <c r="AE803" s="101"/>
      <c r="AF803" s="101"/>
    </row>
    <row r="804" spans="1:32" ht="13.8">
      <c r="A804" s="101"/>
      <c r="B804" s="101"/>
      <c r="C804" s="101"/>
      <c r="D804" s="101"/>
      <c r="E804" s="101"/>
      <c r="F804" s="101"/>
      <c r="G804" s="101"/>
      <c r="H804" s="101"/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01"/>
      <c r="Z804" s="101"/>
      <c r="AA804" s="101"/>
      <c r="AB804" s="101"/>
      <c r="AC804" s="101"/>
      <c r="AD804" s="101"/>
      <c r="AE804" s="101"/>
      <c r="AF804" s="101"/>
    </row>
    <row r="805" spans="1:32" ht="13.8">
      <c r="A805" s="101"/>
      <c r="B805" s="101"/>
      <c r="C805" s="101"/>
      <c r="D805" s="101"/>
      <c r="E805" s="101"/>
      <c r="F805" s="101"/>
      <c r="G805" s="101"/>
      <c r="H805" s="101"/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01"/>
      <c r="Z805" s="101"/>
      <c r="AA805" s="101"/>
      <c r="AB805" s="101"/>
      <c r="AC805" s="101"/>
      <c r="AD805" s="101"/>
      <c r="AE805" s="101"/>
      <c r="AF805" s="101"/>
    </row>
    <row r="806" spans="1:32" ht="13.8">
      <c r="A806" s="101"/>
      <c r="B806" s="101"/>
      <c r="C806" s="101"/>
      <c r="D806" s="101"/>
      <c r="E806" s="101"/>
      <c r="F806" s="101"/>
      <c r="G806" s="101"/>
      <c r="H806" s="101"/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01"/>
      <c r="Z806" s="101"/>
      <c r="AA806" s="101"/>
      <c r="AB806" s="101"/>
      <c r="AC806" s="101"/>
      <c r="AD806" s="101"/>
      <c r="AE806" s="101"/>
      <c r="AF806" s="101"/>
    </row>
    <row r="807" spans="1:32" ht="13.8">
      <c r="A807" s="101"/>
      <c r="B807" s="101"/>
      <c r="C807" s="101"/>
      <c r="D807" s="101"/>
      <c r="E807" s="101"/>
      <c r="F807" s="101"/>
      <c r="G807" s="101"/>
      <c r="H807" s="101"/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01"/>
      <c r="Z807" s="101"/>
      <c r="AA807" s="101"/>
      <c r="AB807" s="101"/>
      <c r="AC807" s="101"/>
      <c r="AD807" s="101"/>
      <c r="AE807" s="101"/>
      <c r="AF807" s="101"/>
    </row>
    <row r="808" spans="1:32" ht="13.8">
      <c r="A808" s="101"/>
      <c r="B808" s="101"/>
      <c r="C808" s="101"/>
      <c r="D808" s="101"/>
      <c r="E808" s="101"/>
      <c r="F808" s="101"/>
      <c r="G808" s="101"/>
      <c r="H808" s="101"/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01"/>
      <c r="Z808" s="101"/>
      <c r="AA808" s="101"/>
      <c r="AB808" s="101"/>
      <c r="AC808" s="101"/>
      <c r="AD808" s="101"/>
      <c r="AE808" s="101"/>
      <c r="AF808" s="101"/>
    </row>
    <row r="809" spans="1:32" ht="13.8">
      <c r="A809" s="101"/>
      <c r="B809" s="101"/>
      <c r="C809" s="101"/>
      <c r="D809" s="101"/>
      <c r="E809" s="101"/>
      <c r="F809" s="101"/>
      <c r="G809" s="101"/>
      <c r="H809" s="101"/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01"/>
      <c r="Z809" s="101"/>
      <c r="AA809" s="101"/>
      <c r="AB809" s="101"/>
      <c r="AC809" s="101"/>
      <c r="AD809" s="101"/>
      <c r="AE809" s="101"/>
      <c r="AF809" s="101"/>
    </row>
    <row r="810" spans="1:32" ht="13.8">
      <c r="A810" s="101"/>
      <c r="B810" s="101"/>
      <c r="C810" s="101"/>
      <c r="D810" s="101"/>
      <c r="E810" s="101"/>
      <c r="F810" s="101"/>
      <c r="G810" s="10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  <c r="Z810" s="101"/>
      <c r="AA810" s="101"/>
      <c r="AB810" s="101"/>
      <c r="AC810" s="101"/>
      <c r="AD810" s="101"/>
      <c r="AE810" s="101"/>
      <c r="AF810" s="101"/>
    </row>
    <row r="811" spans="1:32" ht="13.8">
      <c r="A811" s="101"/>
      <c r="B811" s="101"/>
      <c r="C811" s="101"/>
      <c r="D811" s="101"/>
      <c r="E811" s="101"/>
      <c r="F811" s="101"/>
      <c r="G811" s="101"/>
      <c r="H811" s="101"/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01"/>
      <c r="Z811" s="101"/>
      <c r="AA811" s="101"/>
      <c r="AB811" s="101"/>
      <c r="AC811" s="101"/>
      <c r="AD811" s="101"/>
      <c r="AE811" s="101"/>
      <c r="AF811" s="101"/>
    </row>
    <row r="812" spans="1:32" ht="13.8">
      <c r="A812" s="101"/>
      <c r="B812" s="101"/>
      <c r="C812" s="101"/>
      <c r="D812" s="101"/>
      <c r="E812" s="101"/>
      <c r="F812" s="101"/>
      <c r="G812" s="101"/>
      <c r="H812" s="101"/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01"/>
      <c r="Z812" s="101"/>
      <c r="AA812" s="101"/>
      <c r="AB812" s="101"/>
      <c r="AC812" s="101"/>
      <c r="AD812" s="101"/>
      <c r="AE812" s="101"/>
      <c r="AF812" s="101"/>
    </row>
    <row r="813" spans="1:32" ht="13.8">
      <c r="A813" s="101"/>
      <c r="B813" s="101"/>
      <c r="C813" s="101"/>
      <c r="D813" s="101"/>
      <c r="E813" s="101"/>
      <c r="F813" s="101"/>
      <c r="G813" s="101"/>
      <c r="H813" s="101"/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01"/>
      <c r="Z813" s="101"/>
      <c r="AA813" s="101"/>
      <c r="AB813" s="101"/>
      <c r="AC813" s="101"/>
      <c r="AD813" s="101"/>
      <c r="AE813" s="101"/>
      <c r="AF813" s="101"/>
    </row>
    <row r="814" spans="1:32" ht="13.8">
      <c r="A814" s="101"/>
      <c r="B814" s="101"/>
      <c r="C814" s="101"/>
      <c r="D814" s="101"/>
      <c r="E814" s="101"/>
      <c r="F814" s="101"/>
      <c r="G814" s="101"/>
      <c r="H814" s="101"/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01"/>
      <c r="Z814" s="101"/>
      <c r="AA814" s="101"/>
      <c r="AB814" s="101"/>
      <c r="AC814" s="101"/>
      <c r="AD814" s="101"/>
      <c r="AE814" s="101"/>
      <c r="AF814" s="101"/>
    </row>
    <row r="815" spans="1:32" ht="13.8">
      <c r="A815" s="101"/>
      <c r="B815" s="101"/>
      <c r="C815" s="101"/>
      <c r="D815" s="101"/>
      <c r="E815" s="101"/>
      <c r="F815" s="101"/>
      <c r="G815" s="101"/>
      <c r="H815" s="101"/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01"/>
      <c r="Z815" s="101"/>
      <c r="AA815" s="101"/>
      <c r="AB815" s="101"/>
      <c r="AC815" s="101"/>
      <c r="AD815" s="101"/>
      <c r="AE815" s="101"/>
      <c r="AF815" s="101"/>
    </row>
    <row r="816" spans="1:32" ht="13.8">
      <c r="A816" s="101"/>
      <c r="B816" s="101"/>
      <c r="C816" s="101"/>
      <c r="D816" s="101"/>
      <c r="E816" s="101"/>
      <c r="F816" s="101"/>
      <c r="G816" s="101"/>
      <c r="H816" s="101"/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01"/>
      <c r="Z816" s="101"/>
      <c r="AA816" s="101"/>
      <c r="AB816" s="101"/>
      <c r="AC816" s="101"/>
      <c r="AD816" s="101"/>
      <c r="AE816" s="101"/>
      <c r="AF816" s="101"/>
    </row>
    <row r="817" spans="1:32" ht="13.8">
      <c r="A817" s="101"/>
      <c r="B817" s="101"/>
      <c r="C817" s="101"/>
      <c r="D817" s="101"/>
      <c r="E817" s="101"/>
      <c r="F817" s="101"/>
      <c r="G817" s="101"/>
      <c r="H817" s="101"/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01"/>
      <c r="Z817" s="101"/>
      <c r="AA817" s="101"/>
      <c r="AB817" s="101"/>
      <c r="AC817" s="101"/>
      <c r="AD817" s="101"/>
      <c r="AE817" s="101"/>
      <c r="AF817" s="101"/>
    </row>
    <row r="818" spans="1:32" ht="13.8">
      <c r="A818" s="101"/>
      <c r="B818" s="101"/>
      <c r="C818" s="101"/>
      <c r="D818" s="101"/>
      <c r="E818" s="101"/>
      <c r="F818" s="101"/>
      <c r="G818" s="101"/>
      <c r="H818" s="101"/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01"/>
      <c r="Z818" s="101"/>
      <c r="AA818" s="101"/>
      <c r="AB818" s="101"/>
      <c r="AC818" s="101"/>
      <c r="AD818" s="101"/>
      <c r="AE818" s="101"/>
      <c r="AF818" s="101"/>
    </row>
    <row r="819" spans="1:32" ht="13.8">
      <c r="A819" s="101"/>
      <c r="B819" s="101"/>
      <c r="C819" s="101"/>
      <c r="D819" s="101"/>
      <c r="E819" s="101"/>
      <c r="F819" s="101"/>
      <c r="G819" s="101"/>
      <c r="H819" s="101"/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01"/>
      <c r="Z819" s="101"/>
      <c r="AA819" s="101"/>
      <c r="AB819" s="101"/>
      <c r="AC819" s="101"/>
      <c r="AD819" s="101"/>
      <c r="AE819" s="101"/>
      <c r="AF819" s="101"/>
    </row>
    <row r="820" spans="1:32" ht="13.8">
      <c r="A820" s="101"/>
      <c r="B820" s="101"/>
      <c r="C820" s="101"/>
      <c r="D820" s="101"/>
      <c r="E820" s="101"/>
      <c r="F820" s="101"/>
      <c r="G820" s="101"/>
      <c r="H820" s="101"/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01"/>
      <c r="Z820" s="101"/>
      <c r="AA820" s="101"/>
      <c r="AB820" s="101"/>
      <c r="AC820" s="101"/>
      <c r="AD820" s="101"/>
      <c r="AE820" s="101"/>
      <c r="AF820" s="101"/>
    </row>
    <row r="821" spans="1:32" ht="13.8">
      <c r="A821" s="101"/>
      <c r="B821" s="101"/>
      <c r="C821" s="101"/>
      <c r="D821" s="101"/>
      <c r="E821" s="101"/>
      <c r="F821" s="101"/>
      <c r="G821" s="101"/>
      <c r="H821" s="101"/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01"/>
      <c r="Z821" s="101"/>
      <c r="AA821" s="101"/>
      <c r="AB821" s="101"/>
      <c r="AC821" s="101"/>
      <c r="AD821" s="101"/>
      <c r="AE821" s="101"/>
      <c r="AF821" s="101"/>
    </row>
    <row r="822" spans="1:32" ht="13.8">
      <c r="A822" s="101"/>
      <c r="B822" s="101"/>
      <c r="C822" s="101"/>
      <c r="D822" s="101"/>
      <c r="E822" s="101"/>
      <c r="F822" s="101"/>
      <c r="G822" s="101"/>
      <c r="H822" s="101"/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01"/>
      <c r="Z822" s="101"/>
      <c r="AA822" s="101"/>
      <c r="AB822" s="101"/>
      <c r="AC822" s="101"/>
      <c r="AD822" s="101"/>
      <c r="AE822" s="101"/>
      <c r="AF822" s="101"/>
    </row>
    <row r="823" spans="1:32" ht="13.8">
      <c r="A823" s="101"/>
      <c r="B823" s="101"/>
      <c r="C823" s="101"/>
      <c r="D823" s="101"/>
      <c r="E823" s="101"/>
      <c r="F823" s="101"/>
      <c r="G823" s="101"/>
      <c r="H823" s="101"/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01"/>
      <c r="Z823" s="101"/>
      <c r="AA823" s="101"/>
      <c r="AB823" s="101"/>
      <c r="AC823" s="101"/>
      <c r="AD823" s="101"/>
      <c r="AE823" s="101"/>
      <c r="AF823" s="101"/>
    </row>
    <row r="824" spans="1:32" ht="13.8">
      <c r="A824" s="101"/>
      <c r="B824" s="101"/>
      <c r="C824" s="101"/>
      <c r="D824" s="101"/>
      <c r="E824" s="101"/>
      <c r="F824" s="101"/>
      <c r="G824" s="101"/>
      <c r="H824" s="101"/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01"/>
      <c r="Z824" s="101"/>
      <c r="AA824" s="101"/>
      <c r="AB824" s="101"/>
      <c r="AC824" s="101"/>
      <c r="AD824" s="101"/>
      <c r="AE824" s="101"/>
      <c r="AF824" s="101"/>
    </row>
    <row r="825" spans="1:32" ht="13.8">
      <c r="A825" s="101"/>
      <c r="B825" s="101"/>
      <c r="C825" s="101"/>
      <c r="D825" s="101"/>
      <c r="E825" s="101"/>
      <c r="F825" s="101"/>
      <c r="G825" s="101"/>
      <c r="H825" s="101"/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01"/>
      <c r="Z825" s="101"/>
      <c r="AA825" s="101"/>
      <c r="AB825" s="101"/>
      <c r="AC825" s="101"/>
      <c r="AD825" s="101"/>
      <c r="AE825" s="101"/>
      <c r="AF825" s="101"/>
    </row>
    <row r="826" spans="1:32" ht="13.8">
      <c r="A826" s="101"/>
      <c r="B826" s="101"/>
      <c r="C826" s="101"/>
      <c r="D826" s="101"/>
      <c r="E826" s="101"/>
      <c r="F826" s="101"/>
      <c r="G826" s="101"/>
      <c r="H826" s="101"/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01"/>
      <c r="Z826" s="101"/>
      <c r="AA826" s="101"/>
      <c r="AB826" s="101"/>
      <c r="AC826" s="101"/>
      <c r="AD826" s="101"/>
      <c r="AE826" s="101"/>
      <c r="AF826" s="101"/>
    </row>
    <row r="827" spans="1:32" ht="13.8">
      <c r="A827" s="101"/>
      <c r="B827" s="101"/>
      <c r="C827" s="101"/>
      <c r="D827" s="101"/>
      <c r="E827" s="101"/>
      <c r="F827" s="101"/>
      <c r="G827" s="101"/>
      <c r="H827" s="101"/>
      <c r="I827" s="101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  <c r="Y827" s="101"/>
      <c r="Z827" s="101"/>
      <c r="AA827" s="101"/>
      <c r="AB827" s="101"/>
      <c r="AC827" s="101"/>
      <c r="AD827" s="101"/>
      <c r="AE827" s="101"/>
      <c r="AF827" s="101"/>
    </row>
    <row r="828" spans="1:32" ht="13.8">
      <c r="A828" s="101"/>
      <c r="B828" s="101"/>
      <c r="C828" s="101"/>
      <c r="D828" s="101"/>
      <c r="E828" s="101"/>
      <c r="F828" s="101"/>
      <c r="G828" s="101"/>
      <c r="H828" s="101"/>
      <c r="I828" s="101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  <c r="Y828" s="101"/>
      <c r="Z828" s="101"/>
      <c r="AA828" s="101"/>
      <c r="AB828" s="101"/>
      <c r="AC828" s="101"/>
      <c r="AD828" s="101"/>
      <c r="AE828" s="101"/>
      <c r="AF828" s="101"/>
    </row>
    <row r="829" spans="1:32" ht="13.8">
      <c r="A829" s="101"/>
      <c r="B829" s="101"/>
      <c r="C829" s="101"/>
      <c r="D829" s="101"/>
      <c r="E829" s="101"/>
      <c r="F829" s="101"/>
      <c r="G829" s="101"/>
      <c r="H829" s="101"/>
      <c r="I829" s="101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  <c r="Y829" s="101"/>
      <c r="Z829" s="101"/>
      <c r="AA829" s="101"/>
      <c r="AB829" s="101"/>
      <c r="AC829" s="101"/>
      <c r="AD829" s="101"/>
      <c r="AE829" s="101"/>
      <c r="AF829" s="101"/>
    </row>
    <row r="830" spans="1:32" ht="13.8">
      <c r="A830" s="101"/>
      <c r="B830" s="101"/>
      <c r="C830" s="101"/>
      <c r="D830" s="101"/>
      <c r="E830" s="101"/>
      <c r="F830" s="101"/>
      <c r="G830" s="101"/>
      <c r="H830" s="101"/>
      <c r="I830" s="101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  <c r="Y830" s="101"/>
      <c r="Z830" s="101"/>
      <c r="AA830" s="101"/>
      <c r="AB830" s="101"/>
      <c r="AC830" s="101"/>
      <c r="AD830" s="101"/>
      <c r="AE830" s="101"/>
      <c r="AF830" s="101"/>
    </row>
    <row r="831" spans="1:32" ht="13.8">
      <c r="A831" s="101"/>
      <c r="B831" s="101"/>
      <c r="C831" s="101"/>
      <c r="D831" s="101"/>
      <c r="E831" s="101"/>
      <c r="F831" s="101"/>
      <c r="G831" s="101"/>
      <c r="H831" s="101"/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01"/>
      <c r="Z831" s="101"/>
      <c r="AA831" s="101"/>
      <c r="AB831" s="101"/>
      <c r="AC831" s="101"/>
      <c r="AD831" s="101"/>
      <c r="AE831" s="101"/>
      <c r="AF831" s="101"/>
    </row>
    <row r="832" spans="1:32" ht="13.8">
      <c r="A832" s="101"/>
      <c r="B832" s="101"/>
      <c r="C832" s="101"/>
      <c r="D832" s="101"/>
      <c r="E832" s="101"/>
      <c r="F832" s="101"/>
      <c r="G832" s="101"/>
      <c r="H832" s="101"/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01"/>
      <c r="Z832" s="101"/>
      <c r="AA832" s="101"/>
      <c r="AB832" s="101"/>
      <c r="AC832" s="101"/>
      <c r="AD832" s="101"/>
      <c r="AE832" s="101"/>
      <c r="AF832" s="101"/>
    </row>
    <row r="833" spans="1:32" ht="13.8">
      <c r="A833" s="101"/>
      <c r="B833" s="101"/>
      <c r="C833" s="101"/>
      <c r="D833" s="101"/>
      <c r="E833" s="101"/>
      <c r="F833" s="101"/>
      <c r="G833" s="101"/>
      <c r="H833" s="101"/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01"/>
      <c r="Z833" s="101"/>
      <c r="AA833" s="101"/>
      <c r="AB833" s="101"/>
      <c r="AC833" s="101"/>
      <c r="AD833" s="101"/>
      <c r="AE833" s="101"/>
      <c r="AF833" s="101"/>
    </row>
    <row r="834" spans="1:32" ht="13.8">
      <c r="A834" s="101"/>
      <c r="B834" s="101"/>
      <c r="C834" s="101"/>
      <c r="D834" s="101"/>
      <c r="E834" s="101"/>
      <c r="F834" s="101"/>
      <c r="G834" s="101"/>
      <c r="H834" s="101"/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01"/>
      <c r="Z834" s="101"/>
      <c r="AA834" s="101"/>
      <c r="AB834" s="101"/>
      <c r="AC834" s="101"/>
      <c r="AD834" s="101"/>
      <c r="AE834" s="101"/>
      <c r="AF834" s="101"/>
    </row>
    <row r="835" spans="1:32" ht="13.8">
      <c r="A835" s="101"/>
      <c r="B835" s="101"/>
      <c r="C835" s="101"/>
      <c r="D835" s="101"/>
      <c r="E835" s="101"/>
      <c r="F835" s="101"/>
      <c r="G835" s="101"/>
      <c r="H835" s="101"/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01"/>
      <c r="Z835" s="101"/>
      <c r="AA835" s="101"/>
      <c r="AB835" s="101"/>
      <c r="AC835" s="101"/>
      <c r="AD835" s="101"/>
      <c r="AE835" s="101"/>
      <c r="AF835" s="101"/>
    </row>
    <row r="836" spans="1:32" ht="13.8">
      <c r="A836" s="101"/>
      <c r="B836" s="101"/>
      <c r="C836" s="101"/>
      <c r="D836" s="101"/>
      <c r="E836" s="101"/>
      <c r="F836" s="101"/>
      <c r="G836" s="101"/>
      <c r="H836" s="101"/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01"/>
      <c r="Z836" s="101"/>
      <c r="AA836" s="101"/>
      <c r="AB836" s="101"/>
      <c r="AC836" s="101"/>
      <c r="AD836" s="101"/>
      <c r="AE836" s="101"/>
      <c r="AF836" s="101"/>
    </row>
    <row r="837" spans="1:32" ht="13.8">
      <c r="A837" s="101"/>
      <c r="B837" s="101"/>
      <c r="C837" s="101"/>
      <c r="D837" s="101"/>
      <c r="E837" s="101"/>
      <c r="F837" s="101"/>
      <c r="G837" s="101"/>
      <c r="H837" s="101"/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01"/>
      <c r="Z837" s="101"/>
      <c r="AA837" s="101"/>
      <c r="AB837" s="101"/>
      <c r="AC837" s="101"/>
      <c r="AD837" s="101"/>
      <c r="AE837" s="101"/>
      <c r="AF837" s="101"/>
    </row>
    <row r="838" spans="1:32" ht="13.8">
      <c r="A838" s="101"/>
      <c r="B838" s="101"/>
      <c r="C838" s="101"/>
      <c r="D838" s="101"/>
      <c r="E838" s="101"/>
      <c r="F838" s="101"/>
      <c r="G838" s="101"/>
      <c r="H838" s="101"/>
      <c r="I838" s="101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  <c r="Y838" s="101"/>
      <c r="Z838" s="101"/>
      <c r="AA838" s="101"/>
      <c r="AB838" s="101"/>
      <c r="AC838" s="101"/>
      <c r="AD838" s="101"/>
      <c r="AE838" s="101"/>
      <c r="AF838" s="101"/>
    </row>
    <row r="839" spans="1:32" ht="13.8">
      <c r="A839" s="101"/>
      <c r="B839" s="101"/>
      <c r="C839" s="101"/>
      <c r="D839" s="101"/>
      <c r="E839" s="101"/>
      <c r="F839" s="101"/>
      <c r="G839" s="101"/>
      <c r="H839" s="101"/>
      <c r="I839" s="101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  <c r="Y839" s="101"/>
      <c r="Z839" s="101"/>
      <c r="AA839" s="101"/>
      <c r="AB839" s="101"/>
      <c r="AC839" s="101"/>
      <c r="AD839" s="101"/>
      <c r="AE839" s="101"/>
      <c r="AF839" s="101"/>
    </row>
    <row r="840" spans="1:32" ht="13.8">
      <c r="A840" s="101"/>
      <c r="B840" s="101"/>
      <c r="C840" s="101"/>
      <c r="D840" s="101"/>
      <c r="E840" s="101"/>
      <c r="F840" s="101"/>
      <c r="G840" s="101"/>
      <c r="H840" s="101"/>
      <c r="I840" s="101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  <c r="Y840" s="101"/>
      <c r="Z840" s="101"/>
      <c r="AA840" s="101"/>
      <c r="AB840" s="101"/>
      <c r="AC840" s="101"/>
      <c r="AD840" s="101"/>
      <c r="AE840" s="101"/>
      <c r="AF840" s="101"/>
    </row>
    <row r="841" spans="1:32" ht="13.8">
      <c r="A841" s="101"/>
      <c r="B841" s="101"/>
      <c r="C841" s="101"/>
      <c r="D841" s="101"/>
      <c r="E841" s="101"/>
      <c r="F841" s="101"/>
      <c r="G841" s="101"/>
      <c r="H841" s="101"/>
      <c r="I841" s="101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  <c r="Y841" s="101"/>
      <c r="Z841" s="101"/>
      <c r="AA841" s="101"/>
      <c r="AB841" s="101"/>
      <c r="AC841" s="101"/>
      <c r="AD841" s="101"/>
      <c r="AE841" s="101"/>
      <c r="AF841" s="101"/>
    </row>
    <row r="842" spans="1:32" ht="13.8">
      <c r="A842" s="101"/>
      <c r="B842" s="101"/>
      <c r="C842" s="101"/>
      <c r="D842" s="101"/>
      <c r="E842" s="101"/>
      <c r="F842" s="101"/>
      <c r="G842" s="101"/>
      <c r="H842" s="101"/>
      <c r="I842" s="101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  <c r="Y842" s="101"/>
      <c r="Z842" s="101"/>
      <c r="AA842" s="101"/>
      <c r="AB842" s="101"/>
      <c r="AC842" s="101"/>
      <c r="AD842" s="101"/>
      <c r="AE842" s="101"/>
      <c r="AF842" s="101"/>
    </row>
    <row r="843" spans="1:32" ht="13.8">
      <c r="A843" s="101"/>
      <c r="B843" s="101"/>
      <c r="C843" s="101"/>
      <c r="D843" s="101"/>
      <c r="E843" s="101"/>
      <c r="F843" s="101"/>
      <c r="G843" s="101"/>
      <c r="H843" s="101"/>
      <c r="I843" s="101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  <c r="Y843" s="101"/>
      <c r="Z843" s="101"/>
      <c r="AA843" s="101"/>
      <c r="AB843" s="101"/>
      <c r="AC843" s="101"/>
      <c r="AD843" s="101"/>
      <c r="AE843" s="101"/>
      <c r="AF843" s="101"/>
    </row>
    <row r="844" spans="1:32" ht="13.8">
      <c r="A844" s="101"/>
      <c r="B844" s="101"/>
      <c r="C844" s="101"/>
      <c r="D844" s="101"/>
      <c r="E844" s="101"/>
      <c r="F844" s="101"/>
      <c r="G844" s="101"/>
      <c r="H844" s="101"/>
      <c r="I844" s="101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  <c r="Y844" s="101"/>
      <c r="Z844" s="101"/>
      <c r="AA844" s="101"/>
      <c r="AB844" s="101"/>
      <c r="AC844" s="101"/>
      <c r="AD844" s="101"/>
      <c r="AE844" s="101"/>
      <c r="AF844" s="101"/>
    </row>
    <row r="845" spans="1:32" ht="13.8">
      <c r="A845" s="101"/>
      <c r="B845" s="101"/>
      <c r="C845" s="101"/>
      <c r="D845" s="101"/>
      <c r="E845" s="101"/>
      <c r="F845" s="101"/>
      <c r="G845" s="101"/>
      <c r="H845" s="101"/>
      <c r="I845" s="101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  <c r="Y845" s="101"/>
      <c r="Z845" s="101"/>
      <c r="AA845" s="101"/>
      <c r="AB845" s="101"/>
      <c r="AC845" s="101"/>
      <c r="AD845" s="101"/>
      <c r="AE845" s="101"/>
      <c r="AF845" s="101"/>
    </row>
    <row r="846" spans="1:32" ht="13.8">
      <c r="A846" s="101"/>
      <c r="B846" s="101"/>
      <c r="C846" s="101"/>
      <c r="D846" s="101"/>
      <c r="E846" s="101"/>
      <c r="F846" s="101"/>
      <c r="G846" s="101"/>
      <c r="H846" s="101"/>
      <c r="I846" s="101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  <c r="Y846" s="101"/>
      <c r="Z846" s="101"/>
      <c r="AA846" s="101"/>
      <c r="AB846" s="101"/>
      <c r="AC846" s="101"/>
      <c r="AD846" s="101"/>
      <c r="AE846" s="101"/>
      <c r="AF846" s="101"/>
    </row>
    <row r="847" spans="1:32" ht="13.8">
      <c r="A847" s="101"/>
      <c r="B847" s="101"/>
      <c r="C847" s="101"/>
      <c r="D847" s="101"/>
      <c r="E847" s="101"/>
      <c r="F847" s="101"/>
      <c r="G847" s="101"/>
      <c r="H847" s="101"/>
      <c r="I847" s="101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  <c r="Y847" s="101"/>
      <c r="Z847" s="101"/>
      <c r="AA847" s="101"/>
      <c r="AB847" s="101"/>
      <c r="AC847" s="101"/>
      <c r="AD847" s="101"/>
      <c r="AE847" s="101"/>
      <c r="AF847" s="101"/>
    </row>
    <row r="848" spans="1:32" ht="13.8">
      <c r="A848" s="101"/>
      <c r="B848" s="101"/>
      <c r="C848" s="101"/>
      <c r="D848" s="101"/>
      <c r="E848" s="101"/>
      <c r="F848" s="101"/>
      <c r="G848" s="101"/>
      <c r="H848" s="101"/>
      <c r="I848" s="101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  <c r="Y848" s="101"/>
      <c r="Z848" s="101"/>
      <c r="AA848" s="101"/>
      <c r="AB848" s="101"/>
      <c r="AC848" s="101"/>
      <c r="AD848" s="101"/>
      <c r="AE848" s="101"/>
      <c r="AF848" s="101"/>
    </row>
    <row r="849" spans="1:32" ht="13.8">
      <c r="A849" s="101"/>
      <c r="B849" s="101"/>
      <c r="C849" s="101"/>
      <c r="D849" s="101"/>
      <c r="E849" s="101"/>
      <c r="F849" s="101"/>
      <c r="G849" s="101"/>
      <c r="H849" s="101"/>
      <c r="I849" s="101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  <c r="Y849" s="101"/>
      <c r="Z849" s="101"/>
      <c r="AA849" s="101"/>
      <c r="AB849" s="101"/>
      <c r="AC849" s="101"/>
      <c r="AD849" s="101"/>
      <c r="AE849" s="101"/>
      <c r="AF849" s="101"/>
    </row>
    <row r="850" spans="1:32" ht="13.8">
      <c r="A850" s="101"/>
      <c r="B850" s="101"/>
      <c r="C850" s="101"/>
      <c r="D850" s="101"/>
      <c r="E850" s="101"/>
      <c r="F850" s="101"/>
      <c r="G850" s="101"/>
      <c r="H850" s="101"/>
      <c r="I850" s="101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  <c r="Y850" s="101"/>
      <c r="Z850" s="101"/>
      <c r="AA850" s="101"/>
      <c r="AB850" s="101"/>
      <c r="AC850" s="101"/>
      <c r="AD850" s="101"/>
      <c r="AE850" s="101"/>
      <c r="AF850" s="101"/>
    </row>
    <row r="851" spans="1:32" ht="13.8">
      <c r="A851" s="101"/>
      <c r="B851" s="101"/>
      <c r="C851" s="101"/>
      <c r="D851" s="101"/>
      <c r="E851" s="101"/>
      <c r="F851" s="101"/>
      <c r="G851" s="101"/>
      <c r="H851" s="101"/>
      <c r="I851" s="101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  <c r="Y851" s="101"/>
      <c r="Z851" s="101"/>
      <c r="AA851" s="101"/>
      <c r="AB851" s="101"/>
      <c r="AC851" s="101"/>
      <c r="AD851" s="101"/>
      <c r="AE851" s="101"/>
      <c r="AF851" s="101"/>
    </row>
    <row r="852" spans="1:32" ht="13.8">
      <c r="A852" s="101"/>
      <c r="B852" s="101"/>
      <c r="C852" s="101"/>
      <c r="D852" s="101"/>
      <c r="E852" s="101"/>
      <c r="F852" s="101"/>
      <c r="G852" s="101"/>
      <c r="H852" s="101"/>
      <c r="I852" s="101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  <c r="Y852" s="101"/>
      <c r="Z852" s="101"/>
      <c r="AA852" s="101"/>
      <c r="AB852" s="101"/>
      <c r="AC852" s="101"/>
      <c r="AD852" s="101"/>
      <c r="AE852" s="101"/>
      <c r="AF852" s="101"/>
    </row>
    <row r="853" spans="1:32" ht="13.8">
      <c r="A853" s="101"/>
      <c r="B853" s="101"/>
      <c r="C853" s="101"/>
      <c r="D853" s="101"/>
      <c r="E853" s="101"/>
      <c r="F853" s="101"/>
      <c r="G853" s="101"/>
      <c r="H853" s="101"/>
      <c r="I853" s="101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  <c r="Y853" s="101"/>
      <c r="Z853" s="101"/>
      <c r="AA853" s="101"/>
      <c r="AB853" s="101"/>
      <c r="AC853" s="101"/>
      <c r="AD853" s="101"/>
      <c r="AE853" s="101"/>
      <c r="AF853" s="101"/>
    </row>
    <row r="854" spans="1:32" ht="13.8">
      <c r="A854" s="101"/>
      <c r="B854" s="101"/>
      <c r="C854" s="101"/>
      <c r="D854" s="101"/>
      <c r="E854" s="101"/>
      <c r="F854" s="101"/>
      <c r="G854" s="101"/>
      <c r="H854" s="101"/>
      <c r="I854" s="101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  <c r="Y854" s="101"/>
      <c r="Z854" s="101"/>
      <c r="AA854" s="101"/>
      <c r="AB854" s="101"/>
      <c r="AC854" s="101"/>
      <c r="AD854" s="101"/>
      <c r="AE854" s="101"/>
      <c r="AF854" s="101"/>
    </row>
    <row r="855" spans="1:32" ht="13.8">
      <c r="A855" s="101"/>
      <c r="B855" s="101"/>
      <c r="C855" s="101"/>
      <c r="D855" s="101"/>
      <c r="E855" s="101"/>
      <c r="F855" s="101"/>
      <c r="G855" s="101"/>
      <c r="H855" s="101"/>
      <c r="I855" s="101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  <c r="Y855" s="101"/>
      <c r="Z855" s="101"/>
      <c r="AA855" s="101"/>
      <c r="AB855" s="101"/>
      <c r="AC855" s="101"/>
      <c r="AD855" s="101"/>
      <c r="AE855" s="101"/>
      <c r="AF855" s="101"/>
    </row>
    <row r="856" spans="1:32" ht="13.8">
      <c r="A856" s="101"/>
      <c r="B856" s="101"/>
      <c r="C856" s="101"/>
      <c r="D856" s="101"/>
      <c r="E856" s="101"/>
      <c r="F856" s="101"/>
      <c r="G856" s="101"/>
      <c r="H856" s="101"/>
      <c r="I856" s="101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  <c r="Y856" s="101"/>
      <c r="Z856" s="101"/>
      <c r="AA856" s="101"/>
      <c r="AB856" s="101"/>
      <c r="AC856" s="101"/>
      <c r="AD856" s="101"/>
      <c r="AE856" s="101"/>
      <c r="AF856" s="101"/>
    </row>
    <row r="857" spans="1:32" ht="13.8">
      <c r="A857" s="101"/>
      <c r="B857" s="101"/>
      <c r="C857" s="101"/>
      <c r="D857" s="101"/>
      <c r="E857" s="101"/>
      <c r="F857" s="101"/>
      <c r="G857" s="101"/>
      <c r="H857" s="101"/>
      <c r="I857" s="101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  <c r="Y857" s="101"/>
      <c r="Z857" s="101"/>
      <c r="AA857" s="101"/>
      <c r="AB857" s="101"/>
      <c r="AC857" s="101"/>
      <c r="AD857" s="101"/>
      <c r="AE857" s="101"/>
      <c r="AF857" s="101"/>
    </row>
    <row r="858" spans="1:32" ht="13.8">
      <c r="A858" s="101"/>
      <c r="B858" s="101"/>
      <c r="C858" s="101"/>
      <c r="D858" s="101"/>
      <c r="E858" s="101"/>
      <c r="F858" s="101"/>
      <c r="G858" s="101"/>
      <c r="H858" s="101"/>
      <c r="I858" s="101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  <c r="Y858" s="101"/>
      <c r="Z858" s="101"/>
      <c r="AA858" s="101"/>
      <c r="AB858" s="101"/>
      <c r="AC858" s="101"/>
      <c r="AD858" s="101"/>
      <c r="AE858" s="101"/>
      <c r="AF858" s="101"/>
    </row>
    <row r="859" spans="1:32" ht="13.8">
      <c r="A859" s="101"/>
      <c r="B859" s="101"/>
      <c r="C859" s="101"/>
      <c r="D859" s="101"/>
      <c r="E859" s="101"/>
      <c r="F859" s="101"/>
      <c r="G859" s="101"/>
      <c r="H859" s="101"/>
      <c r="I859" s="101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  <c r="Y859" s="101"/>
      <c r="Z859" s="101"/>
      <c r="AA859" s="101"/>
      <c r="AB859" s="101"/>
      <c r="AC859" s="101"/>
      <c r="AD859" s="101"/>
      <c r="AE859" s="101"/>
      <c r="AF859" s="101"/>
    </row>
    <row r="860" spans="1:32" ht="13.8">
      <c r="A860" s="101"/>
      <c r="B860" s="101"/>
      <c r="C860" s="101"/>
      <c r="D860" s="101"/>
      <c r="E860" s="101"/>
      <c r="F860" s="101"/>
      <c r="G860" s="101"/>
      <c r="H860" s="101"/>
      <c r="I860" s="101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  <c r="Y860" s="101"/>
      <c r="Z860" s="101"/>
      <c r="AA860" s="101"/>
      <c r="AB860" s="101"/>
      <c r="AC860" s="101"/>
      <c r="AD860" s="101"/>
      <c r="AE860" s="101"/>
      <c r="AF860" s="101"/>
    </row>
    <row r="861" spans="1:32" ht="13.8">
      <c r="A861" s="101"/>
      <c r="B861" s="101"/>
      <c r="C861" s="101"/>
      <c r="D861" s="101"/>
      <c r="E861" s="101"/>
      <c r="F861" s="101"/>
      <c r="G861" s="101"/>
      <c r="H861" s="101"/>
      <c r="I861" s="101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  <c r="Y861" s="101"/>
      <c r="Z861" s="101"/>
      <c r="AA861" s="101"/>
      <c r="AB861" s="101"/>
      <c r="AC861" s="101"/>
      <c r="AD861" s="101"/>
      <c r="AE861" s="101"/>
      <c r="AF861" s="101"/>
    </row>
    <row r="862" spans="1:32" ht="13.8">
      <c r="A862" s="101"/>
      <c r="B862" s="101"/>
      <c r="C862" s="101"/>
      <c r="D862" s="101"/>
      <c r="E862" s="101"/>
      <c r="F862" s="101"/>
      <c r="G862" s="101"/>
      <c r="H862" s="101"/>
      <c r="I862" s="101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  <c r="Y862" s="101"/>
      <c r="Z862" s="101"/>
      <c r="AA862" s="101"/>
      <c r="AB862" s="101"/>
      <c r="AC862" s="101"/>
      <c r="AD862" s="101"/>
      <c r="AE862" s="101"/>
      <c r="AF862" s="101"/>
    </row>
    <row r="863" spans="1:32" ht="13.8">
      <c r="A863" s="101"/>
      <c r="B863" s="101"/>
      <c r="C863" s="101"/>
      <c r="D863" s="101"/>
      <c r="E863" s="101"/>
      <c r="F863" s="101"/>
      <c r="G863" s="101"/>
      <c r="H863" s="101"/>
      <c r="I863" s="101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  <c r="Y863" s="101"/>
      <c r="Z863" s="101"/>
      <c r="AA863" s="101"/>
      <c r="AB863" s="101"/>
      <c r="AC863" s="101"/>
      <c r="AD863" s="101"/>
      <c r="AE863" s="101"/>
      <c r="AF863" s="101"/>
    </row>
    <row r="864" spans="1:32" ht="13.8">
      <c r="A864" s="101"/>
      <c r="B864" s="101"/>
      <c r="C864" s="101"/>
      <c r="D864" s="101"/>
      <c r="E864" s="101"/>
      <c r="F864" s="101"/>
      <c r="G864" s="101"/>
      <c r="H864" s="101"/>
      <c r="I864" s="101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  <c r="Y864" s="101"/>
      <c r="Z864" s="101"/>
      <c r="AA864" s="101"/>
      <c r="AB864" s="101"/>
      <c r="AC864" s="101"/>
      <c r="AD864" s="101"/>
      <c r="AE864" s="101"/>
      <c r="AF864" s="101"/>
    </row>
    <row r="865" spans="1:32" ht="13.8">
      <c r="A865" s="101"/>
      <c r="B865" s="101"/>
      <c r="C865" s="101"/>
      <c r="D865" s="101"/>
      <c r="E865" s="101"/>
      <c r="F865" s="101"/>
      <c r="G865" s="101"/>
      <c r="H865" s="101"/>
      <c r="I865" s="101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  <c r="Y865" s="101"/>
      <c r="Z865" s="101"/>
      <c r="AA865" s="101"/>
      <c r="AB865" s="101"/>
      <c r="AC865" s="101"/>
      <c r="AD865" s="101"/>
      <c r="AE865" s="101"/>
      <c r="AF865" s="101"/>
    </row>
    <row r="866" spans="1:32" ht="13.8">
      <c r="A866" s="101"/>
      <c r="B866" s="101"/>
      <c r="C866" s="101"/>
      <c r="D866" s="101"/>
      <c r="E866" s="101"/>
      <c r="F866" s="101"/>
      <c r="G866" s="101"/>
      <c r="H866" s="101"/>
      <c r="I866" s="101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  <c r="Y866" s="101"/>
      <c r="Z866" s="101"/>
      <c r="AA866" s="101"/>
      <c r="AB866" s="101"/>
      <c r="AC866" s="101"/>
      <c r="AD866" s="101"/>
      <c r="AE866" s="101"/>
      <c r="AF866" s="101"/>
    </row>
    <row r="867" spans="1:32" ht="13.8">
      <c r="A867" s="101"/>
      <c r="B867" s="101"/>
      <c r="C867" s="101"/>
      <c r="D867" s="101"/>
      <c r="E867" s="101"/>
      <c r="F867" s="101"/>
      <c r="G867" s="101"/>
      <c r="H867" s="101"/>
      <c r="I867" s="101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  <c r="Y867" s="101"/>
      <c r="Z867" s="101"/>
      <c r="AA867" s="101"/>
      <c r="AB867" s="101"/>
      <c r="AC867" s="101"/>
      <c r="AD867" s="101"/>
      <c r="AE867" s="101"/>
      <c r="AF867" s="101"/>
    </row>
    <row r="868" spans="1:32" ht="13.8">
      <c r="A868" s="101"/>
      <c r="B868" s="101"/>
      <c r="C868" s="101"/>
      <c r="D868" s="101"/>
      <c r="E868" s="101"/>
      <c r="F868" s="101"/>
      <c r="G868" s="101"/>
      <c r="H868" s="101"/>
      <c r="I868" s="101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  <c r="Y868" s="101"/>
      <c r="Z868" s="101"/>
      <c r="AA868" s="101"/>
      <c r="AB868" s="101"/>
      <c r="AC868" s="101"/>
      <c r="AD868" s="101"/>
      <c r="AE868" s="101"/>
      <c r="AF868" s="101"/>
    </row>
    <row r="869" spans="1:32" ht="13.8">
      <c r="A869" s="101"/>
      <c r="B869" s="101"/>
      <c r="C869" s="101"/>
      <c r="D869" s="101"/>
      <c r="E869" s="101"/>
      <c r="F869" s="101"/>
      <c r="G869" s="101"/>
      <c r="H869" s="101"/>
      <c r="I869" s="101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  <c r="Y869" s="101"/>
      <c r="Z869" s="101"/>
      <c r="AA869" s="101"/>
      <c r="AB869" s="101"/>
      <c r="AC869" s="101"/>
      <c r="AD869" s="101"/>
      <c r="AE869" s="101"/>
      <c r="AF869" s="101"/>
    </row>
    <row r="870" spans="1:32" ht="13.8">
      <c r="A870" s="101"/>
      <c r="B870" s="101"/>
      <c r="C870" s="101"/>
      <c r="D870" s="101"/>
      <c r="E870" s="101"/>
      <c r="F870" s="101"/>
      <c r="G870" s="101"/>
      <c r="H870" s="101"/>
      <c r="I870" s="101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  <c r="Y870" s="101"/>
      <c r="Z870" s="101"/>
      <c r="AA870" s="101"/>
      <c r="AB870" s="101"/>
      <c r="AC870" s="101"/>
      <c r="AD870" s="101"/>
      <c r="AE870" s="101"/>
      <c r="AF870" s="101"/>
    </row>
    <row r="871" spans="1:32" ht="13.8">
      <c r="A871" s="101"/>
      <c r="B871" s="101"/>
      <c r="C871" s="101"/>
      <c r="D871" s="101"/>
      <c r="E871" s="101"/>
      <c r="F871" s="101"/>
      <c r="G871" s="101"/>
      <c r="H871" s="101"/>
      <c r="I871" s="101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  <c r="Y871" s="101"/>
      <c r="Z871" s="101"/>
      <c r="AA871" s="101"/>
      <c r="AB871" s="101"/>
      <c r="AC871" s="101"/>
      <c r="AD871" s="101"/>
      <c r="AE871" s="101"/>
      <c r="AF871" s="101"/>
    </row>
    <row r="872" spans="1:32" ht="13.8">
      <c r="A872" s="101"/>
      <c r="B872" s="101"/>
      <c r="C872" s="101"/>
      <c r="D872" s="101"/>
      <c r="E872" s="101"/>
      <c r="F872" s="101"/>
      <c r="G872" s="101"/>
      <c r="H872" s="101"/>
      <c r="I872" s="101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  <c r="Y872" s="101"/>
      <c r="Z872" s="101"/>
      <c r="AA872" s="101"/>
      <c r="AB872" s="101"/>
      <c r="AC872" s="101"/>
      <c r="AD872" s="101"/>
      <c r="AE872" s="101"/>
      <c r="AF872" s="101"/>
    </row>
    <row r="873" spans="1:32" ht="13.8">
      <c r="A873" s="101"/>
      <c r="B873" s="101"/>
      <c r="C873" s="101"/>
      <c r="D873" s="101"/>
      <c r="E873" s="101"/>
      <c r="F873" s="101"/>
      <c r="G873" s="101"/>
      <c r="H873" s="101"/>
      <c r="I873" s="101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  <c r="Y873" s="101"/>
      <c r="Z873" s="101"/>
      <c r="AA873" s="101"/>
      <c r="AB873" s="101"/>
      <c r="AC873" s="101"/>
      <c r="AD873" s="101"/>
      <c r="AE873" s="101"/>
      <c r="AF873" s="101"/>
    </row>
    <row r="874" spans="1:32" ht="13.8">
      <c r="A874" s="101"/>
      <c r="B874" s="101"/>
      <c r="C874" s="101"/>
      <c r="D874" s="101"/>
      <c r="E874" s="101"/>
      <c r="F874" s="101"/>
      <c r="G874" s="101"/>
      <c r="H874" s="101"/>
      <c r="I874" s="101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  <c r="Y874" s="101"/>
      <c r="Z874" s="101"/>
      <c r="AA874" s="101"/>
      <c r="AB874" s="101"/>
      <c r="AC874" s="101"/>
      <c r="AD874" s="101"/>
      <c r="AE874" s="101"/>
      <c r="AF874" s="101"/>
    </row>
    <row r="875" spans="1:32" ht="13.8">
      <c r="A875" s="101"/>
      <c r="B875" s="101"/>
      <c r="C875" s="101"/>
      <c r="D875" s="101"/>
      <c r="E875" s="101"/>
      <c r="F875" s="101"/>
      <c r="G875" s="101"/>
      <c r="H875" s="101"/>
      <c r="I875" s="101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  <c r="Y875" s="101"/>
      <c r="Z875" s="101"/>
      <c r="AA875" s="101"/>
      <c r="AB875" s="101"/>
      <c r="AC875" s="101"/>
      <c r="AD875" s="101"/>
      <c r="AE875" s="101"/>
      <c r="AF875" s="101"/>
    </row>
    <row r="876" spans="1:32" ht="13.8">
      <c r="A876" s="101"/>
      <c r="B876" s="101"/>
      <c r="C876" s="101"/>
      <c r="D876" s="101"/>
      <c r="E876" s="101"/>
      <c r="F876" s="101"/>
      <c r="G876" s="101"/>
      <c r="H876" s="101"/>
      <c r="I876" s="101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  <c r="Y876" s="101"/>
      <c r="Z876" s="101"/>
      <c r="AA876" s="101"/>
      <c r="AB876" s="101"/>
      <c r="AC876" s="101"/>
      <c r="AD876" s="101"/>
      <c r="AE876" s="101"/>
      <c r="AF876" s="101"/>
    </row>
    <row r="877" spans="1:32" ht="13.8">
      <c r="A877" s="101"/>
      <c r="B877" s="101"/>
      <c r="C877" s="101"/>
      <c r="D877" s="101"/>
      <c r="E877" s="101"/>
      <c r="F877" s="101"/>
      <c r="G877" s="101"/>
      <c r="H877" s="101"/>
      <c r="I877" s="101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  <c r="Y877" s="101"/>
      <c r="Z877" s="101"/>
      <c r="AA877" s="101"/>
      <c r="AB877" s="101"/>
      <c r="AC877" s="101"/>
      <c r="AD877" s="101"/>
      <c r="AE877" s="101"/>
      <c r="AF877" s="101"/>
    </row>
    <row r="878" spans="1:32" ht="13.8">
      <c r="A878" s="101"/>
      <c r="B878" s="101"/>
      <c r="C878" s="101"/>
      <c r="D878" s="101"/>
      <c r="E878" s="101"/>
      <c r="F878" s="101"/>
      <c r="G878" s="101"/>
      <c r="H878" s="101"/>
      <c r="I878" s="101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  <c r="Y878" s="101"/>
      <c r="Z878" s="101"/>
      <c r="AA878" s="101"/>
      <c r="AB878" s="101"/>
      <c r="AC878" s="101"/>
      <c r="AD878" s="101"/>
      <c r="AE878" s="101"/>
      <c r="AF878" s="101"/>
    </row>
    <row r="879" spans="1:32" ht="13.8">
      <c r="A879" s="101"/>
      <c r="B879" s="101"/>
      <c r="C879" s="101"/>
      <c r="D879" s="101"/>
      <c r="E879" s="101"/>
      <c r="F879" s="101"/>
      <c r="G879" s="101"/>
      <c r="H879" s="101"/>
      <c r="I879" s="101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  <c r="Y879" s="101"/>
      <c r="Z879" s="101"/>
      <c r="AA879" s="101"/>
      <c r="AB879" s="101"/>
      <c r="AC879" s="101"/>
      <c r="AD879" s="101"/>
      <c r="AE879" s="101"/>
      <c r="AF879" s="101"/>
    </row>
    <row r="880" spans="1:32" ht="13.8">
      <c r="A880" s="101"/>
      <c r="B880" s="101"/>
      <c r="C880" s="101"/>
      <c r="D880" s="101"/>
      <c r="E880" s="101"/>
      <c r="F880" s="101"/>
      <c r="G880" s="101"/>
      <c r="H880" s="101"/>
      <c r="I880" s="101"/>
      <c r="J880" s="101"/>
      <c r="K880" s="101"/>
      <c r="L880" s="101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  <c r="Y880" s="101"/>
      <c r="Z880" s="101"/>
      <c r="AA880" s="101"/>
      <c r="AB880" s="101"/>
      <c r="AC880" s="101"/>
      <c r="AD880" s="101"/>
      <c r="AE880" s="101"/>
      <c r="AF880" s="101"/>
    </row>
    <row r="881" spans="1:32" ht="13.8">
      <c r="A881" s="101"/>
      <c r="B881" s="101"/>
      <c r="C881" s="101"/>
      <c r="D881" s="101"/>
      <c r="E881" s="101"/>
      <c r="F881" s="101"/>
      <c r="G881" s="101"/>
      <c r="H881" s="101"/>
      <c r="I881" s="101"/>
      <c r="J881" s="101"/>
      <c r="K881" s="101"/>
      <c r="L881" s="101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  <c r="Y881" s="101"/>
      <c r="Z881" s="101"/>
      <c r="AA881" s="101"/>
      <c r="AB881" s="101"/>
      <c r="AC881" s="101"/>
      <c r="AD881" s="101"/>
      <c r="AE881" s="101"/>
      <c r="AF881" s="101"/>
    </row>
    <row r="882" spans="1:32" ht="13.8">
      <c r="A882" s="101"/>
      <c r="B882" s="101"/>
      <c r="C882" s="101"/>
      <c r="D882" s="101"/>
      <c r="E882" s="101"/>
      <c r="F882" s="101"/>
      <c r="G882" s="101"/>
      <c r="H882" s="101"/>
      <c r="I882" s="101"/>
      <c r="J882" s="101"/>
      <c r="K882" s="101"/>
      <c r="L882" s="101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  <c r="Y882" s="101"/>
      <c r="Z882" s="101"/>
      <c r="AA882" s="101"/>
      <c r="AB882" s="101"/>
      <c r="AC882" s="101"/>
      <c r="AD882" s="101"/>
      <c r="AE882" s="101"/>
      <c r="AF882" s="101"/>
    </row>
    <row r="883" spans="1:32" ht="13.8">
      <c r="A883" s="101"/>
      <c r="B883" s="101"/>
      <c r="C883" s="101"/>
      <c r="D883" s="101"/>
      <c r="E883" s="101"/>
      <c r="F883" s="101"/>
      <c r="G883" s="101"/>
      <c r="H883" s="101"/>
      <c r="I883" s="101"/>
      <c r="J883" s="101"/>
      <c r="K883" s="101"/>
      <c r="L883" s="101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  <c r="Y883" s="101"/>
      <c r="Z883" s="101"/>
      <c r="AA883" s="101"/>
      <c r="AB883" s="101"/>
      <c r="AC883" s="101"/>
      <c r="AD883" s="101"/>
      <c r="AE883" s="101"/>
      <c r="AF883" s="101"/>
    </row>
    <row r="884" spans="1:32" ht="13.8">
      <c r="A884" s="101"/>
      <c r="B884" s="101"/>
      <c r="C884" s="101"/>
      <c r="D884" s="101"/>
      <c r="E884" s="101"/>
      <c r="F884" s="101"/>
      <c r="G884" s="101"/>
      <c r="H884" s="101"/>
      <c r="I884" s="101"/>
      <c r="J884" s="101"/>
      <c r="K884" s="101"/>
      <c r="L884" s="101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  <c r="Y884" s="101"/>
      <c r="Z884" s="101"/>
      <c r="AA884" s="101"/>
      <c r="AB884" s="101"/>
      <c r="AC884" s="101"/>
      <c r="AD884" s="101"/>
      <c r="AE884" s="101"/>
      <c r="AF884" s="101"/>
    </row>
    <row r="885" spans="1:32" ht="13.8">
      <c r="A885" s="101"/>
      <c r="B885" s="101"/>
      <c r="C885" s="101"/>
      <c r="D885" s="101"/>
      <c r="E885" s="101"/>
      <c r="F885" s="101"/>
      <c r="G885" s="101"/>
      <c r="H885" s="101"/>
      <c r="I885" s="101"/>
      <c r="J885" s="101"/>
      <c r="K885" s="101"/>
      <c r="L885" s="101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  <c r="Y885" s="101"/>
      <c r="Z885" s="101"/>
      <c r="AA885" s="101"/>
      <c r="AB885" s="101"/>
      <c r="AC885" s="101"/>
      <c r="AD885" s="101"/>
      <c r="AE885" s="101"/>
      <c r="AF885" s="101"/>
    </row>
    <row r="886" spans="1:32" ht="13.8">
      <c r="A886" s="101"/>
      <c r="B886" s="101"/>
      <c r="C886" s="101"/>
      <c r="D886" s="101"/>
      <c r="E886" s="101"/>
      <c r="F886" s="101"/>
      <c r="G886" s="101"/>
      <c r="H886" s="101"/>
      <c r="I886" s="101"/>
      <c r="J886" s="101"/>
      <c r="K886" s="101"/>
      <c r="L886" s="101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  <c r="Y886" s="101"/>
      <c r="Z886" s="101"/>
      <c r="AA886" s="101"/>
      <c r="AB886" s="101"/>
      <c r="AC886" s="101"/>
      <c r="AD886" s="101"/>
      <c r="AE886" s="101"/>
      <c r="AF886" s="101"/>
    </row>
    <row r="887" spans="1:32" ht="13.8">
      <c r="A887" s="101"/>
      <c r="B887" s="101"/>
      <c r="C887" s="101"/>
      <c r="D887" s="101"/>
      <c r="E887" s="101"/>
      <c r="F887" s="101"/>
      <c r="G887" s="101"/>
      <c r="H887" s="101"/>
      <c r="I887" s="101"/>
      <c r="J887" s="101"/>
      <c r="K887" s="101"/>
      <c r="L887" s="101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  <c r="Y887" s="101"/>
      <c r="Z887" s="101"/>
      <c r="AA887" s="101"/>
      <c r="AB887" s="101"/>
      <c r="AC887" s="101"/>
      <c r="AD887" s="101"/>
      <c r="AE887" s="101"/>
      <c r="AF887" s="101"/>
    </row>
    <row r="888" spans="1:32" ht="13.8">
      <c r="A888" s="101"/>
      <c r="B888" s="101"/>
      <c r="C888" s="101"/>
      <c r="D888" s="101"/>
      <c r="E888" s="101"/>
      <c r="F888" s="101"/>
      <c r="G888" s="101"/>
      <c r="H888" s="101"/>
      <c r="I888" s="101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  <c r="Y888" s="101"/>
      <c r="Z888" s="101"/>
      <c r="AA888" s="101"/>
      <c r="AB888" s="101"/>
      <c r="AC888" s="101"/>
      <c r="AD888" s="101"/>
      <c r="AE888" s="101"/>
      <c r="AF888" s="101"/>
    </row>
    <row r="889" spans="1:32" ht="13.8">
      <c r="A889" s="101"/>
      <c r="B889" s="101"/>
      <c r="C889" s="101"/>
      <c r="D889" s="101"/>
      <c r="E889" s="101"/>
      <c r="F889" s="101"/>
      <c r="G889" s="101"/>
      <c r="H889" s="101"/>
      <c r="I889" s="101"/>
      <c r="J889" s="101"/>
      <c r="K889" s="101"/>
      <c r="L889" s="101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  <c r="Y889" s="101"/>
      <c r="Z889" s="101"/>
      <c r="AA889" s="101"/>
      <c r="AB889" s="101"/>
      <c r="AC889" s="101"/>
      <c r="AD889" s="101"/>
      <c r="AE889" s="101"/>
      <c r="AF889" s="101"/>
    </row>
    <row r="890" spans="1:32" ht="13.8">
      <c r="A890" s="101"/>
      <c r="B890" s="101"/>
      <c r="C890" s="101"/>
      <c r="D890" s="101"/>
      <c r="E890" s="101"/>
      <c r="F890" s="101"/>
      <c r="G890" s="101"/>
      <c r="H890" s="101"/>
      <c r="I890" s="101"/>
      <c r="J890" s="101"/>
      <c r="K890" s="101"/>
      <c r="L890" s="101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  <c r="Y890" s="101"/>
      <c r="Z890" s="101"/>
      <c r="AA890" s="101"/>
      <c r="AB890" s="101"/>
      <c r="AC890" s="101"/>
      <c r="AD890" s="101"/>
      <c r="AE890" s="101"/>
      <c r="AF890" s="101"/>
    </row>
    <row r="891" spans="1:32" ht="13.8">
      <c r="A891" s="101"/>
      <c r="B891" s="101"/>
      <c r="C891" s="101"/>
      <c r="D891" s="101"/>
      <c r="E891" s="101"/>
      <c r="F891" s="101"/>
      <c r="G891" s="101"/>
      <c r="H891" s="101"/>
      <c r="I891" s="101"/>
      <c r="J891" s="101"/>
      <c r="K891" s="101"/>
      <c r="L891" s="101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  <c r="Y891" s="101"/>
      <c r="Z891" s="101"/>
      <c r="AA891" s="101"/>
      <c r="AB891" s="101"/>
      <c r="AC891" s="101"/>
      <c r="AD891" s="101"/>
      <c r="AE891" s="101"/>
      <c r="AF891" s="101"/>
    </row>
    <row r="892" spans="1:32" ht="13.8">
      <c r="A892" s="101"/>
      <c r="B892" s="101"/>
      <c r="C892" s="101"/>
      <c r="D892" s="101"/>
      <c r="E892" s="101"/>
      <c r="F892" s="101"/>
      <c r="G892" s="101"/>
      <c r="H892" s="101"/>
      <c r="I892" s="101"/>
      <c r="J892" s="101"/>
      <c r="K892" s="101"/>
      <c r="L892" s="101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  <c r="Y892" s="101"/>
      <c r="Z892" s="101"/>
      <c r="AA892" s="101"/>
      <c r="AB892" s="101"/>
      <c r="AC892" s="101"/>
      <c r="AD892" s="101"/>
      <c r="AE892" s="101"/>
      <c r="AF892" s="101"/>
    </row>
    <row r="893" spans="1:32" ht="13.8">
      <c r="A893" s="101"/>
      <c r="B893" s="101"/>
      <c r="C893" s="101"/>
      <c r="D893" s="101"/>
      <c r="E893" s="101"/>
      <c r="F893" s="101"/>
      <c r="G893" s="101"/>
      <c r="H893" s="101"/>
      <c r="I893" s="101"/>
      <c r="J893" s="101"/>
      <c r="K893" s="101"/>
      <c r="L893" s="101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  <c r="Y893" s="101"/>
      <c r="Z893" s="101"/>
      <c r="AA893" s="101"/>
      <c r="AB893" s="101"/>
      <c r="AC893" s="101"/>
      <c r="AD893" s="101"/>
      <c r="AE893" s="101"/>
      <c r="AF893" s="101"/>
    </row>
    <row r="894" spans="1:32" ht="13.8">
      <c r="A894" s="101"/>
      <c r="B894" s="101"/>
      <c r="C894" s="101"/>
      <c r="D894" s="101"/>
      <c r="E894" s="101"/>
      <c r="F894" s="101"/>
      <c r="G894" s="101"/>
      <c r="H894" s="101"/>
      <c r="I894" s="101"/>
      <c r="J894" s="101"/>
      <c r="K894" s="101"/>
      <c r="L894" s="101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  <c r="Y894" s="101"/>
      <c r="Z894" s="101"/>
      <c r="AA894" s="101"/>
      <c r="AB894" s="101"/>
      <c r="AC894" s="101"/>
      <c r="AD894" s="101"/>
      <c r="AE894" s="101"/>
      <c r="AF894" s="101"/>
    </row>
    <row r="895" spans="1:32" ht="13.8">
      <c r="A895" s="101"/>
      <c r="B895" s="101"/>
      <c r="C895" s="101"/>
      <c r="D895" s="101"/>
      <c r="E895" s="101"/>
      <c r="F895" s="101"/>
      <c r="G895" s="101"/>
      <c r="H895" s="101"/>
      <c r="I895" s="101"/>
      <c r="J895" s="101"/>
      <c r="K895" s="101"/>
      <c r="L895" s="101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  <c r="Y895" s="101"/>
      <c r="Z895" s="101"/>
      <c r="AA895" s="101"/>
      <c r="AB895" s="101"/>
      <c r="AC895" s="101"/>
      <c r="AD895" s="101"/>
      <c r="AE895" s="101"/>
      <c r="AF895" s="101"/>
    </row>
    <row r="896" spans="1:32" ht="13.8">
      <c r="A896" s="101"/>
      <c r="B896" s="101"/>
      <c r="C896" s="101"/>
      <c r="D896" s="101"/>
      <c r="E896" s="101"/>
      <c r="F896" s="101"/>
      <c r="G896" s="101"/>
      <c r="H896" s="101"/>
      <c r="I896" s="101"/>
      <c r="J896" s="101"/>
      <c r="K896" s="101"/>
      <c r="L896" s="101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  <c r="Y896" s="101"/>
      <c r="Z896" s="101"/>
      <c r="AA896" s="101"/>
      <c r="AB896" s="101"/>
      <c r="AC896" s="101"/>
      <c r="AD896" s="101"/>
      <c r="AE896" s="101"/>
      <c r="AF896" s="101"/>
    </row>
    <row r="897" spans="1:32" ht="13.8">
      <c r="A897" s="101"/>
      <c r="B897" s="101"/>
      <c r="C897" s="101"/>
      <c r="D897" s="101"/>
      <c r="E897" s="101"/>
      <c r="F897" s="101"/>
      <c r="G897" s="101"/>
      <c r="H897" s="101"/>
      <c r="I897" s="101"/>
      <c r="J897" s="101"/>
      <c r="K897" s="101"/>
      <c r="L897" s="101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  <c r="Y897" s="101"/>
      <c r="Z897" s="101"/>
      <c r="AA897" s="101"/>
      <c r="AB897" s="101"/>
      <c r="AC897" s="101"/>
      <c r="AD897" s="101"/>
      <c r="AE897" s="101"/>
      <c r="AF897" s="101"/>
    </row>
    <row r="898" spans="1:32" ht="13.8">
      <c r="A898" s="101"/>
      <c r="B898" s="101"/>
      <c r="C898" s="101"/>
      <c r="D898" s="101"/>
      <c r="E898" s="101"/>
      <c r="F898" s="101"/>
      <c r="G898" s="101"/>
      <c r="H898" s="101"/>
      <c r="I898" s="101"/>
      <c r="J898" s="101"/>
      <c r="K898" s="101"/>
      <c r="L898" s="101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  <c r="Y898" s="101"/>
      <c r="Z898" s="101"/>
      <c r="AA898" s="101"/>
      <c r="AB898" s="101"/>
      <c r="AC898" s="101"/>
      <c r="AD898" s="101"/>
      <c r="AE898" s="101"/>
      <c r="AF898" s="101"/>
    </row>
    <row r="899" spans="1:32" ht="13.8">
      <c r="A899" s="101"/>
      <c r="B899" s="101"/>
      <c r="C899" s="101"/>
      <c r="D899" s="101"/>
      <c r="E899" s="101"/>
      <c r="F899" s="101"/>
      <c r="G899" s="101"/>
      <c r="H899" s="101"/>
      <c r="I899" s="101"/>
      <c r="J899" s="101"/>
      <c r="K899" s="101"/>
      <c r="L899" s="101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  <c r="Y899" s="101"/>
      <c r="Z899" s="101"/>
      <c r="AA899" s="101"/>
      <c r="AB899" s="101"/>
      <c r="AC899" s="101"/>
      <c r="AD899" s="101"/>
      <c r="AE899" s="101"/>
      <c r="AF899" s="101"/>
    </row>
    <row r="900" spans="1:32" ht="13.8">
      <c r="A900" s="101"/>
      <c r="B900" s="101"/>
      <c r="C900" s="101"/>
      <c r="D900" s="101"/>
      <c r="E900" s="101"/>
      <c r="F900" s="101"/>
      <c r="G900" s="101"/>
      <c r="H900" s="101"/>
      <c r="I900" s="101"/>
      <c r="J900" s="101"/>
      <c r="K900" s="101"/>
      <c r="L900" s="101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  <c r="Y900" s="101"/>
      <c r="Z900" s="101"/>
      <c r="AA900" s="101"/>
      <c r="AB900" s="101"/>
      <c r="AC900" s="101"/>
      <c r="AD900" s="101"/>
      <c r="AE900" s="101"/>
      <c r="AF900" s="101"/>
    </row>
    <row r="901" spans="1:32" ht="13.8">
      <c r="A901" s="101"/>
      <c r="B901" s="101"/>
      <c r="C901" s="101"/>
      <c r="D901" s="101"/>
      <c r="E901" s="101"/>
      <c r="F901" s="101"/>
      <c r="G901" s="101"/>
      <c r="H901" s="101"/>
      <c r="I901" s="101"/>
      <c r="J901" s="101"/>
      <c r="K901" s="101"/>
      <c r="L901" s="101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  <c r="Y901" s="101"/>
      <c r="Z901" s="101"/>
      <c r="AA901" s="101"/>
      <c r="AB901" s="101"/>
      <c r="AC901" s="101"/>
      <c r="AD901" s="101"/>
      <c r="AE901" s="101"/>
      <c r="AF901" s="101"/>
    </row>
    <row r="902" spans="1:32" ht="13.8">
      <c r="A902" s="101"/>
      <c r="B902" s="101"/>
      <c r="C902" s="101"/>
      <c r="D902" s="101"/>
      <c r="E902" s="101"/>
      <c r="F902" s="101"/>
      <c r="G902" s="101"/>
      <c r="H902" s="101"/>
      <c r="I902" s="101"/>
      <c r="J902" s="101"/>
      <c r="K902" s="101"/>
      <c r="L902" s="101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  <c r="Y902" s="101"/>
      <c r="Z902" s="101"/>
      <c r="AA902" s="101"/>
      <c r="AB902" s="101"/>
      <c r="AC902" s="101"/>
      <c r="AD902" s="101"/>
      <c r="AE902" s="101"/>
      <c r="AF902" s="101"/>
    </row>
    <row r="903" spans="1:32" ht="13.8">
      <c r="A903" s="101"/>
      <c r="B903" s="101"/>
      <c r="C903" s="101"/>
      <c r="D903" s="101"/>
      <c r="E903" s="101"/>
      <c r="F903" s="101"/>
      <c r="G903" s="101"/>
      <c r="H903" s="101"/>
      <c r="I903" s="101"/>
      <c r="J903" s="101"/>
      <c r="K903" s="101"/>
      <c r="L903" s="101"/>
      <c r="M903" s="101"/>
      <c r="N903" s="101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  <c r="Y903" s="101"/>
      <c r="Z903" s="101"/>
      <c r="AA903" s="101"/>
      <c r="AB903" s="101"/>
      <c r="AC903" s="101"/>
      <c r="AD903" s="101"/>
      <c r="AE903" s="101"/>
      <c r="AF903" s="101"/>
    </row>
    <row r="904" spans="1:32" ht="13.8">
      <c r="A904" s="101"/>
      <c r="B904" s="101"/>
      <c r="C904" s="101"/>
      <c r="D904" s="101"/>
      <c r="E904" s="101"/>
      <c r="F904" s="101"/>
      <c r="G904" s="101"/>
      <c r="H904" s="101"/>
      <c r="I904" s="101"/>
      <c r="J904" s="101"/>
      <c r="K904" s="101"/>
      <c r="L904" s="101"/>
      <c r="M904" s="101"/>
      <c r="N904" s="101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  <c r="Y904" s="101"/>
      <c r="Z904" s="101"/>
      <c r="AA904" s="101"/>
      <c r="AB904" s="101"/>
      <c r="AC904" s="101"/>
      <c r="AD904" s="101"/>
      <c r="AE904" s="101"/>
      <c r="AF904" s="101"/>
    </row>
    <row r="905" spans="1:32" ht="13.8">
      <c r="A905" s="101"/>
      <c r="B905" s="101"/>
      <c r="C905" s="101"/>
      <c r="D905" s="101"/>
      <c r="E905" s="101"/>
      <c r="F905" s="101"/>
      <c r="G905" s="101"/>
      <c r="H905" s="101"/>
      <c r="I905" s="101"/>
      <c r="J905" s="101"/>
      <c r="K905" s="101"/>
      <c r="L905" s="101"/>
      <c r="M905" s="101"/>
      <c r="N905" s="101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  <c r="Y905" s="101"/>
      <c r="Z905" s="101"/>
      <c r="AA905" s="101"/>
      <c r="AB905" s="101"/>
      <c r="AC905" s="101"/>
      <c r="AD905" s="101"/>
      <c r="AE905" s="101"/>
      <c r="AF905" s="101"/>
    </row>
    <row r="906" spans="1:32" ht="13.8">
      <c r="A906" s="101"/>
      <c r="B906" s="101"/>
      <c r="C906" s="101"/>
      <c r="D906" s="101"/>
      <c r="E906" s="101"/>
      <c r="F906" s="101"/>
      <c r="G906" s="101"/>
      <c r="H906" s="101"/>
      <c r="I906" s="101"/>
      <c r="J906" s="101"/>
      <c r="K906" s="101"/>
      <c r="L906" s="101"/>
      <c r="M906" s="101"/>
      <c r="N906" s="101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  <c r="Y906" s="101"/>
      <c r="Z906" s="101"/>
      <c r="AA906" s="101"/>
      <c r="AB906" s="101"/>
      <c r="AC906" s="101"/>
      <c r="AD906" s="101"/>
      <c r="AE906" s="101"/>
      <c r="AF906" s="101"/>
    </row>
    <row r="907" spans="1:32" ht="13.8">
      <c r="A907" s="101"/>
      <c r="B907" s="101"/>
      <c r="C907" s="101"/>
      <c r="D907" s="101"/>
      <c r="E907" s="101"/>
      <c r="F907" s="101"/>
      <c r="G907" s="101"/>
      <c r="H907" s="101"/>
      <c r="I907" s="101"/>
      <c r="J907" s="101"/>
      <c r="K907" s="101"/>
      <c r="L907" s="101"/>
      <c r="M907" s="101"/>
      <c r="N907" s="101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  <c r="Y907" s="101"/>
      <c r="Z907" s="101"/>
      <c r="AA907" s="101"/>
      <c r="AB907" s="101"/>
      <c r="AC907" s="101"/>
      <c r="AD907" s="101"/>
      <c r="AE907" s="101"/>
      <c r="AF907" s="101"/>
    </row>
    <row r="908" spans="1:32" ht="13.8">
      <c r="A908" s="101"/>
      <c r="B908" s="101"/>
      <c r="C908" s="101"/>
      <c r="D908" s="101"/>
      <c r="E908" s="101"/>
      <c r="F908" s="101"/>
      <c r="G908" s="101"/>
      <c r="H908" s="101"/>
      <c r="I908" s="101"/>
      <c r="J908" s="101"/>
      <c r="K908" s="101"/>
      <c r="L908" s="101"/>
      <c r="M908" s="101"/>
      <c r="N908" s="101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  <c r="Y908" s="101"/>
      <c r="Z908" s="101"/>
      <c r="AA908" s="101"/>
      <c r="AB908" s="101"/>
      <c r="AC908" s="101"/>
      <c r="AD908" s="101"/>
      <c r="AE908" s="101"/>
      <c r="AF908" s="101"/>
    </row>
    <row r="909" spans="1:32" ht="13.8">
      <c r="A909" s="101"/>
      <c r="B909" s="101"/>
      <c r="C909" s="101"/>
      <c r="D909" s="101"/>
      <c r="E909" s="101"/>
      <c r="F909" s="101"/>
      <c r="G909" s="101"/>
      <c r="H909" s="101"/>
      <c r="I909" s="101"/>
      <c r="J909" s="101"/>
      <c r="K909" s="101"/>
      <c r="L909" s="101"/>
      <c r="M909" s="101"/>
      <c r="N909" s="101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  <c r="Y909" s="101"/>
      <c r="Z909" s="101"/>
      <c r="AA909" s="101"/>
      <c r="AB909" s="101"/>
      <c r="AC909" s="101"/>
      <c r="AD909" s="101"/>
      <c r="AE909" s="101"/>
      <c r="AF909" s="101"/>
    </row>
    <row r="910" spans="1:32" ht="13.8">
      <c r="A910" s="101"/>
      <c r="B910" s="101"/>
      <c r="C910" s="101"/>
      <c r="D910" s="101"/>
      <c r="E910" s="101"/>
      <c r="F910" s="101"/>
      <c r="G910" s="101"/>
      <c r="H910" s="101"/>
      <c r="I910" s="101"/>
      <c r="J910" s="101"/>
      <c r="K910" s="101"/>
      <c r="L910" s="101"/>
      <c r="M910" s="101"/>
      <c r="N910" s="101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  <c r="Y910" s="101"/>
      <c r="Z910" s="101"/>
      <c r="AA910" s="101"/>
      <c r="AB910" s="101"/>
      <c r="AC910" s="101"/>
      <c r="AD910" s="101"/>
      <c r="AE910" s="101"/>
      <c r="AF910" s="101"/>
    </row>
    <row r="911" spans="1:32" ht="13.8">
      <c r="A911" s="101"/>
      <c r="B911" s="101"/>
      <c r="C911" s="101"/>
      <c r="D911" s="101"/>
      <c r="E911" s="101"/>
      <c r="F911" s="101"/>
      <c r="G911" s="101"/>
      <c r="H911" s="101"/>
      <c r="I911" s="101"/>
      <c r="J911" s="101"/>
      <c r="K911" s="101"/>
      <c r="L911" s="101"/>
      <c r="M911" s="101"/>
      <c r="N911" s="101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  <c r="Y911" s="101"/>
      <c r="Z911" s="101"/>
      <c r="AA911" s="101"/>
      <c r="AB911" s="101"/>
      <c r="AC911" s="101"/>
      <c r="AD911" s="101"/>
      <c r="AE911" s="101"/>
      <c r="AF911" s="101"/>
    </row>
    <row r="912" spans="1:32" ht="13.8">
      <c r="A912" s="101"/>
      <c r="B912" s="101"/>
      <c r="C912" s="101"/>
      <c r="D912" s="101"/>
      <c r="E912" s="101"/>
      <c r="F912" s="101"/>
      <c r="G912" s="101"/>
      <c r="H912" s="101"/>
      <c r="I912" s="101"/>
      <c r="J912" s="101"/>
      <c r="K912" s="101"/>
      <c r="L912" s="101"/>
      <c r="M912" s="101"/>
      <c r="N912" s="101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  <c r="Y912" s="101"/>
      <c r="Z912" s="101"/>
      <c r="AA912" s="101"/>
      <c r="AB912" s="101"/>
      <c r="AC912" s="101"/>
      <c r="AD912" s="101"/>
      <c r="AE912" s="101"/>
      <c r="AF912" s="101"/>
    </row>
    <row r="913" spans="1:32" ht="13.8">
      <c r="A913" s="101"/>
      <c r="B913" s="101"/>
      <c r="C913" s="101"/>
      <c r="D913" s="101"/>
      <c r="E913" s="101"/>
      <c r="F913" s="101"/>
      <c r="G913" s="101"/>
      <c r="H913" s="101"/>
      <c r="I913" s="101"/>
      <c r="J913" s="101"/>
      <c r="K913" s="101"/>
      <c r="L913" s="101"/>
      <c r="M913" s="101"/>
      <c r="N913" s="101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  <c r="Y913" s="101"/>
      <c r="Z913" s="101"/>
      <c r="AA913" s="101"/>
      <c r="AB913" s="101"/>
      <c r="AC913" s="101"/>
      <c r="AD913" s="101"/>
      <c r="AE913" s="101"/>
      <c r="AF913" s="101"/>
    </row>
    <row r="914" spans="1:32" ht="13.8">
      <c r="A914" s="101"/>
      <c r="B914" s="101"/>
      <c r="C914" s="101"/>
      <c r="D914" s="101"/>
      <c r="E914" s="101"/>
      <c r="F914" s="101"/>
      <c r="G914" s="101"/>
      <c r="H914" s="101"/>
      <c r="I914" s="101"/>
      <c r="J914" s="101"/>
      <c r="K914" s="101"/>
      <c r="L914" s="101"/>
      <c r="M914" s="101"/>
      <c r="N914" s="101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  <c r="Y914" s="101"/>
      <c r="Z914" s="101"/>
      <c r="AA914" s="101"/>
      <c r="AB914" s="101"/>
      <c r="AC914" s="101"/>
      <c r="AD914" s="101"/>
      <c r="AE914" s="101"/>
      <c r="AF914" s="101"/>
    </row>
    <row r="915" spans="1:32" ht="13.8">
      <c r="A915" s="101"/>
      <c r="B915" s="101"/>
      <c r="C915" s="101"/>
      <c r="D915" s="101"/>
      <c r="E915" s="101"/>
      <c r="F915" s="101"/>
      <c r="G915" s="101"/>
      <c r="H915" s="101"/>
      <c r="I915" s="101"/>
      <c r="J915" s="101"/>
      <c r="K915" s="101"/>
      <c r="L915" s="101"/>
      <c r="M915" s="101"/>
      <c r="N915" s="101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  <c r="Y915" s="101"/>
      <c r="Z915" s="101"/>
      <c r="AA915" s="101"/>
      <c r="AB915" s="101"/>
      <c r="AC915" s="101"/>
      <c r="AD915" s="101"/>
      <c r="AE915" s="101"/>
      <c r="AF915" s="101"/>
    </row>
    <row r="916" spans="1:32" ht="13.8">
      <c r="A916" s="101"/>
      <c r="B916" s="101"/>
      <c r="C916" s="101"/>
      <c r="D916" s="101"/>
      <c r="E916" s="101"/>
      <c r="F916" s="101"/>
      <c r="G916" s="101"/>
      <c r="H916" s="101"/>
      <c r="I916" s="101"/>
      <c r="J916" s="101"/>
      <c r="K916" s="101"/>
      <c r="L916" s="101"/>
      <c r="M916" s="101"/>
      <c r="N916" s="101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  <c r="Y916" s="101"/>
      <c r="Z916" s="101"/>
      <c r="AA916" s="101"/>
      <c r="AB916" s="101"/>
      <c r="AC916" s="101"/>
      <c r="AD916" s="101"/>
      <c r="AE916" s="101"/>
      <c r="AF916" s="101"/>
    </row>
    <row r="917" spans="1:32" ht="13.8">
      <c r="A917" s="101"/>
      <c r="B917" s="101"/>
      <c r="C917" s="101"/>
      <c r="D917" s="101"/>
      <c r="E917" s="101"/>
      <c r="F917" s="101"/>
      <c r="G917" s="101"/>
      <c r="H917" s="101"/>
      <c r="I917" s="101"/>
      <c r="J917" s="101"/>
      <c r="K917" s="101"/>
      <c r="L917" s="101"/>
      <c r="M917" s="101"/>
      <c r="N917" s="101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  <c r="Y917" s="101"/>
      <c r="Z917" s="101"/>
      <c r="AA917" s="101"/>
      <c r="AB917" s="101"/>
      <c r="AC917" s="101"/>
      <c r="AD917" s="101"/>
      <c r="AE917" s="101"/>
      <c r="AF917" s="101"/>
    </row>
    <row r="918" spans="1:32" ht="13.8">
      <c r="A918" s="101"/>
      <c r="B918" s="101"/>
      <c r="C918" s="101"/>
      <c r="D918" s="101"/>
      <c r="E918" s="101"/>
      <c r="F918" s="101"/>
      <c r="G918" s="101"/>
      <c r="H918" s="101"/>
      <c r="I918" s="101"/>
      <c r="J918" s="101"/>
      <c r="K918" s="101"/>
      <c r="L918" s="101"/>
      <c r="M918" s="101"/>
      <c r="N918" s="101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  <c r="Y918" s="101"/>
      <c r="Z918" s="101"/>
      <c r="AA918" s="101"/>
      <c r="AB918" s="101"/>
      <c r="AC918" s="101"/>
      <c r="AD918" s="101"/>
      <c r="AE918" s="101"/>
      <c r="AF918" s="101"/>
    </row>
    <row r="919" spans="1:32" ht="13.8">
      <c r="A919" s="101"/>
      <c r="B919" s="101"/>
      <c r="C919" s="101"/>
      <c r="D919" s="101"/>
      <c r="E919" s="101"/>
      <c r="F919" s="101"/>
      <c r="G919" s="101"/>
      <c r="H919" s="101"/>
      <c r="I919" s="101"/>
      <c r="J919" s="101"/>
      <c r="K919" s="101"/>
      <c r="L919" s="101"/>
      <c r="M919" s="101"/>
      <c r="N919" s="101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  <c r="Y919" s="101"/>
      <c r="Z919" s="101"/>
      <c r="AA919" s="101"/>
      <c r="AB919" s="101"/>
      <c r="AC919" s="101"/>
      <c r="AD919" s="101"/>
      <c r="AE919" s="101"/>
      <c r="AF919" s="101"/>
    </row>
    <row r="920" spans="1:32" ht="13.8">
      <c r="A920" s="101"/>
      <c r="B920" s="101"/>
      <c r="C920" s="101"/>
      <c r="D920" s="101"/>
      <c r="E920" s="101"/>
      <c r="F920" s="101"/>
      <c r="G920" s="101"/>
      <c r="H920" s="101"/>
      <c r="I920" s="101"/>
      <c r="J920" s="101"/>
      <c r="K920" s="101"/>
      <c r="L920" s="101"/>
      <c r="M920" s="101"/>
      <c r="N920" s="101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  <c r="Y920" s="101"/>
      <c r="Z920" s="101"/>
      <c r="AA920" s="101"/>
      <c r="AB920" s="101"/>
      <c r="AC920" s="101"/>
      <c r="AD920" s="101"/>
      <c r="AE920" s="101"/>
      <c r="AF920" s="101"/>
    </row>
    <row r="921" spans="1:32" ht="13.8">
      <c r="A921" s="101"/>
      <c r="B921" s="101"/>
      <c r="C921" s="101"/>
      <c r="D921" s="101"/>
      <c r="E921" s="101"/>
      <c r="F921" s="101"/>
      <c r="G921" s="101"/>
      <c r="H921" s="101"/>
      <c r="I921" s="101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  <c r="Y921" s="101"/>
      <c r="Z921" s="101"/>
      <c r="AA921" s="101"/>
      <c r="AB921" s="101"/>
      <c r="AC921" s="101"/>
      <c r="AD921" s="101"/>
      <c r="AE921" s="101"/>
      <c r="AF921" s="101"/>
    </row>
    <row r="922" spans="1:32" ht="13.8">
      <c r="A922" s="101"/>
      <c r="B922" s="101"/>
      <c r="C922" s="101"/>
      <c r="D922" s="101"/>
      <c r="E922" s="101"/>
      <c r="F922" s="101"/>
      <c r="G922" s="101"/>
      <c r="H922" s="101"/>
      <c r="I922" s="101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  <c r="Y922" s="101"/>
      <c r="Z922" s="101"/>
      <c r="AA922" s="101"/>
      <c r="AB922" s="101"/>
      <c r="AC922" s="101"/>
      <c r="AD922" s="101"/>
      <c r="AE922" s="101"/>
      <c r="AF922" s="101"/>
    </row>
    <row r="923" spans="1:32" ht="13.8">
      <c r="A923" s="101"/>
      <c r="B923" s="101"/>
      <c r="C923" s="101"/>
      <c r="D923" s="101"/>
      <c r="E923" s="101"/>
      <c r="F923" s="101"/>
      <c r="G923" s="101"/>
      <c r="H923" s="101"/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01"/>
      <c r="Z923" s="101"/>
      <c r="AA923" s="101"/>
      <c r="AB923" s="101"/>
      <c r="AC923" s="101"/>
      <c r="AD923" s="101"/>
      <c r="AE923" s="101"/>
      <c r="AF923" s="101"/>
    </row>
    <row r="924" spans="1:32" ht="13.8">
      <c r="A924" s="101"/>
      <c r="B924" s="101"/>
      <c r="C924" s="101"/>
      <c r="D924" s="101"/>
      <c r="E924" s="101"/>
      <c r="F924" s="101"/>
      <c r="G924" s="101"/>
      <c r="H924" s="101"/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01"/>
      <c r="Z924" s="101"/>
      <c r="AA924" s="101"/>
      <c r="AB924" s="101"/>
      <c r="AC924" s="101"/>
      <c r="AD924" s="101"/>
      <c r="AE924" s="101"/>
      <c r="AF924" s="101"/>
    </row>
    <row r="925" spans="1:32" ht="13.8">
      <c r="A925" s="101"/>
      <c r="B925" s="101"/>
      <c r="C925" s="101"/>
      <c r="D925" s="101"/>
      <c r="E925" s="101"/>
      <c r="F925" s="101"/>
      <c r="G925" s="101"/>
      <c r="H925" s="101"/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01"/>
      <c r="Z925" s="101"/>
      <c r="AA925" s="101"/>
      <c r="AB925" s="101"/>
      <c r="AC925" s="101"/>
      <c r="AD925" s="101"/>
      <c r="AE925" s="101"/>
      <c r="AF925" s="101"/>
    </row>
    <row r="926" spans="1:32" ht="13.8">
      <c r="A926" s="101"/>
      <c r="B926" s="101"/>
      <c r="C926" s="101"/>
      <c r="D926" s="101"/>
      <c r="E926" s="101"/>
      <c r="F926" s="101"/>
      <c r="G926" s="101"/>
      <c r="H926" s="101"/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01"/>
      <c r="Z926" s="101"/>
      <c r="AA926" s="101"/>
      <c r="AB926" s="101"/>
      <c r="AC926" s="101"/>
      <c r="AD926" s="101"/>
      <c r="AE926" s="101"/>
      <c r="AF926" s="101"/>
    </row>
    <row r="927" spans="1:32" ht="13.8">
      <c r="A927" s="101"/>
      <c r="B927" s="101"/>
      <c r="C927" s="101"/>
      <c r="D927" s="101"/>
      <c r="E927" s="101"/>
      <c r="F927" s="101"/>
      <c r="G927" s="101"/>
      <c r="H927" s="101"/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01"/>
      <c r="Z927" s="101"/>
      <c r="AA927" s="101"/>
      <c r="AB927" s="101"/>
      <c r="AC927" s="101"/>
      <c r="AD927" s="101"/>
      <c r="AE927" s="101"/>
      <c r="AF927" s="101"/>
    </row>
    <row r="928" spans="1:32" ht="13.8">
      <c r="A928" s="101"/>
      <c r="B928" s="101"/>
      <c r="C928" s="101"/>
      <c r="D928" s="101"/>
      <c r="E928" s="101"/>
      <c r="F928" s="101"/>
      <c r="G928" s="101"/>
      <c r="H928" s="101"/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01"/>
      <c r="Z928" s="101"/>
      <c r="AA928" s="101"/>
      <c r="AB928" s="101"/>
      <c r="AC928" s="101"/>
      <c r="AD928" s="101"/>
      <c r="AE928" s="101"/>
      <c r="AF928" s="101"/>
    </row>
    <row r="929" spans="1:32" ht="13.8">
      <c r="A929" s="101"/>
      <c r="B929" s="101"/>
      <c r="C929" s="101"/>
      <c r="D929" s="101"/>
      <c r="E929" s="101"/>
      <c r="F929" s="101"/>
      <c r="G929" s="101"/>
      <c r="H929" s="101"/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01"/>
      <c r="Z929" s="101"/>
      <c r="AA929" s="101"/>
      <c r="AB929" s="101"/>
      <c r="AC929" s="101"/>
      <c r="AD929" s="101"/>
      <c r="AE929" s="101"/>
      <c r="AF929" s="101"/>
    </row>
    <row r="930" spans="1:32" ht="13.8">
      <c r="A930" s="101"/>
      <c r="B930" s="101"/>
      <c r="C930" s="101"/>
      <c r="D930" s="101"/>
      <c r="E930" s="101"/>
      <c r="F930" s="101"/>
      <c r="G930" s="101"/>
      <c r="H930" s="101"/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01"/>
      <c r="Z930" s="101"/>
      <c r="AA930" s="101"/>
      <c r="AB930" s="101"/>
      <c r="AC930" s="101"/>
      <c r="AD930" s="101"/>
      <c r="AE930" s="101"/>
      <c r="AF930" s="101"/>
    </row>
    <row r="931" spans="1:32" ht="13.8">
      <c r="A931" s="101"/>
      <c r="B931" s="101"/>
      <c r="C931" s="101"/>
      <c r="D931" s="101"/>
      <c r="E931" s="101"/>
      <c r="F931" s="101"/>
      <c r="G931" s="101"/>
      <c r="H931" s="101"/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01"/>
      <c r="Z931" s="101"/>
      <c r="AA931" s="101"/>
      <c r="AB931" s="101"/>
      <c r="AC931" s="101"/>
      <c r="AD931" s="101"/>
      <c r="AE931" s="101"/>
      <c r="AF931" s="101"/>
    </row>
    <row r="932" spans="1:32" ht="13.8">
      <c r="A932" s="101"/>
      <c r="B932" s="101"/>
      <c r="C932" s="101"/>
      <c r="D932" s="101"/>
      <c r="E932" s="101"/>
      <c r="F932" s="101"/>
      <c r="G932" s="101"/>
      <c r="H932" s="101"/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01"/>
      <c r="Z932" s="101"/>
      <c r="AA932" s="101"/>
      <c r="AB932" s="101"/>
      <c r="AC932" s="101"/>
      <c r="AD932" s="101"/>
      <c r="AE932" s="101"/>
      <c r="AF932" s="101"/>
    </row>
    <row r="933" spans="1:32" ht="13.8">
      <c r="A933" s="101"/>
      <c r="B933" s="101"/>
      <c r="C933" s="101"/>
      <c r="D933" s="101"/>
      <c r="E933" s="101"/>
      <c r="F933" s="101"/>
      <c r="G933" s="101"/>
      <c r="H933" s="101"/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01"/>
      <c r="Z933" s="101"/>
      <c r="AA933" s="101"/>
      <c r="AB933" s="101"/>
      <c r="AC933" s="101"/>
      <c r="AD933" s="101"/>
      <c r="AE933" s="101"/>
      <c r="AF933" s="101"/>
    </row>
    <row r="934" spans="1:32" ht="13.8">
      <c r="A934" s="101"/>
      <c r="B934" s="101"/>
      <c r="C934" s="101"/>
      <c r="D934" s="101"/>
      <c r="E934" s="101"/>
      <c r="F934" s="101"/>
      <c r="G934" s="101"/>
      <c r="H934" s="101"/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01"/>
      <c r="Z934" s="101"/>
      <c r="AA934" s="101"/>
      <c r="AB934" s="101"/>
      <c r="AC934" s="101"/>
      <c r="AD934" s="101"/>
      <c r="AE934" s="101"/>
      <c r="AF934" s="101"/>
    </row>
    <row r="935" spans="1:32" ht="13.8">
      <c r="A935" s="101"/>
      <c r="B935" s="101"/>
      <c r="C935" s="101"/>
      <c r="D935" s="101"/>
      <c r="E935" s="101"/>
      <c r="F935" s="101"/>
      <c r="G935" s="101"/>
      <c r="H935" s="101"/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01"/>
      <c r="Z935" s="101"/>
      <c r="AA935" s="101"/>
      <c r="AB935" s="101"/>
      <c r="AC935" s="101"/>
      <c r="AD935" s="101"/>
      <c r="AE935" s="101"/>
      <c r="AF935" s="101"/>
    </row>
    <row r="936" spans="1:32" ht="13.8">
      <c r="A936" s="101"/>
      <c r="B936" s="101"/>
      <c r="C936" s="101"/>
      <c r="D936" s="101"/>
      <c r="E936" s="101"/>
      <c r="F936" s="101"/>
      <c r="G936" s="101"/>
      <c r="H936" s="101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01"/>
      <c r="Z936" s="101"/>
      <c r="AA936" s="101"/>
      <c r="AB936" s="101"/>
      <c r="AC936" s="101"/>
      <c r="AD936" s="101"/>
      <c r="AE936" s="101"/>
      <c r="AF936" s="101"/>
    </row>
    <row r="937" spans="1:32" ht="13.8">
      <c r="A937" s="101"/>
      <c r="B937" s="101"/>
      <c r="C937" s="101"/>
      <c r="D937" s="101"/>
      <c r="E937" s="101"/>
      <c r="F937" s="101"/>
      <c r="G937" s="101"/>
      <c r="H937" s="101"/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  <c r="Y937" s="101"/>
      <c r="Z937" s="101"/>
      <c r="AA937" s="101"/>
      <c r="AB937" s="101"/>
      <c r="AC937" s="101"/>
      <c r="AD937" s="101"/>
      <c r="AE937" s="101"/>
      <c r="AF937" s="101"/>
    </row>
    <row r="938" spans="1:32" ht="13.8">
      <c r="A938" s="101"/>
      <c r="B938" s="101"/>
      <c r="C938" s="101"/>
      <c r="D938" s="101"/>
      <c r="E938" s="101"/>
      <c r="F938" s="101"/>
      <c r="G938" s="101"/>
      <c r="H938" s="101"/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  <c r="Y938" s="101"/>
      <c r="Z938" s="101"/>
      <c r="AA938" s="101"/>
      <c r="AB938" s="101"/>
      <c r="AC938" s="101"/>
      <c r="AD938" s="101"/>
      <c r="AE938" s="101"/>
      <c r="AF938" s="101"/>
    </row>
    <row r="939" spans="1:32" ht="13.8">
      <c r="A939" s="101"/>
      <c r="B939" s="101"/>
      <c r="C939" s="101"/>
      <c r="D939" s="101"/>
      <c r="E939" s="101"/>
      <c r="F939" s="101"/>
      <c r="G939" s="101"/>
      <c r="H939" s="101"/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  <c r="Y939" s="101"/>
      <c r="Z939" s="101"/>
      <c r="AA939" s="101"/>
      <c r="AB939" s="101"/>
      <c r="AC939" s="101"/>
      <c r="AD939" s="101"/>
      <c r="AE939" s="101"/>
      <c r="AF939" s="101"/>
    </row>
    <row r="940" spans="1:32" ht="13.8">
      <c r="A940" s="101"/>
      <c r="B940" s="101"/>
      <c r="C940" s="101"/>
      <c r="D940" s="101"/>
      <c r="E940" s="101"/>
      <c r="F940" s="101"/>
      <c r="G940" s="101"/>
      <c r="H940" s="101"/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  <c r="Y940" s="101"/>
      <c r="Z940" s="101"/>
      <c r="AA940" s="101"/>
      <c r="AB940" s="101"/>
      <c r="AC940" s="101"/>
      <c r="AD940" s="101"/>
      <c r="AE940" s="101"/>
      <c r="AF940" s="101"/>
    </row>
    <row r="941" spans="1:32" ht="13.8">
      <c r="A941" s="101"/>
      <c r="B941" s="101"/>
      <c r="C941" s="101"/>
      <c r="D941" s="101"/>
      <c r="E941" s="101"/>
      <c r="F941" s="101"/>
      <c r="G941" s="101"/>
      <c r="H941" s="101"/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  <c r="Y941" s="101"/>
      <c r="Z941" s="101"/>
      <c r="AA941" s="101"/>
      <c r="AB941" s="101"/>
      <c r="AC941" s="101"/>
      <c r="AD941" s="101"/>
      <c r="AE941" s="101"/>
      <c r="AF941" s="101"/>
    </row>
    <row r="942" spans="1:32" ht="13.8">
      <c r="A942" s="101"/>
      <c r="B942" s="101"/>
      <c r="C942" s="101"/>
      <c r="D942" s="101"/>
      <c r="E942" s="101"/>
      <c r="F942" s="101"/>
      <c r="G942" s="101"/>
      <c r="H942" s="101"/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  <c r="Y942" s="101"/>
      <c r="Z942" s="101"/>
      <c r="AA942" s="101"/>
      <c r="AB942" s="101"/>
      <c r="AC942" s="101"/>
      <c r="AD942" s="101"/>
      <c r="AE942" s="101"/>
      <c r="AF942" s="101"/>
    </row>
    <row r="943" spans="1:32" ht="13.8">
      <c r="A943" s="101"/>
      <c r="B943" s="101"/>
      <c r="C943" s="101"/>
      <c r="D943" s="101"/>
      <c r="E943" s="101"/>
      <c r="F943" s="101"/>
      <c r="G943" s="101"/>
      <c r="H943" s="101"/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  <c r="Y943" s="101"/>
      <c r="Z943" s="101"/>
      <c r="AA943" s="101"/>
      <c r="AB943" s="101"/>
      <c r="AC943" s="101"/>
      <c r="AD943" s="101"/>
      <c r="AE943" s="101"/>
      <c r="AF943" s="101"/>
    </row>
    <row r="944" spans="1:32" ht="13.8">
      <c r="A944" s="101"/>
      <c r="B944" s="101"/>
      <c r="C944" s="101"/>
      <c r="D944" s="101"/>
      <c r="E944" s="101"/>
      <c r="F944" s="101"/>
      <c r="G944" s="101"/>
      <c r="H944" s="101"/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  <c r="Y944" s="101"/>
      <c r="Z944" s="101"/>
      <c r="AA944" s="101"/>
      <c r="AB944" s="101"/>
      <c r="AC944" s="101"/>
      <c r="AD944" s="101"/>
      <c r="AE944" s="101"/>
      <c r="AF944" s="101"/>
    </row>
    <row r="945" spans="1:32" ht="13.8">
      <c r="A945" s="101"/>
      <c r="B945" s="101"/>
      <c r="C945" s="101"/>
      <c r="D945" s="101"/>
      <c r="E945" s="101"/>
      <c r="F945" s="101"/>
      <c r="G945" s="101"/>
      <c r="H945" s="101"/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  <c r="Y945" s="101"/>
      <c r="Z945" s="101"/>
      <c r="AA945" s="101"/>
      <c r="AB945" s="101"/>
      <c r="AC945" s="101"/>
      <c r="AD945" s="101"/>
      <c r="AE945" s="101"/>
      <c r="AF945" s="101"/>
    </row>
    <row r="946" spans="1:32" ht="13.8">
      <c r="A946" s="101"/>
      <c r="B946" s="101"/>
      <c r="C946" s="101"/>
      <c r="D946" s="101"/>
      <c r="E946" s="101"/>
      <c r="F946" s="101"/>
      <c r="G946" s="101"/>
      <c r="H946" s="101"/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  <c r="Y946" s="101"/>
      <c r="Z946" s="101"/>
      <c r="AA946" s="101"/>
      <c r="AB946" s="101"/>
      <c r="AC946" s="101"/>
      <c r="AD946" s="101"/>
      <c r="AE946" s="101"/>
      <c r="AF946" s="101"/>
    </row>
    <row r="947" spans="1:32" ht="13.8">
      <c r="A947" s="101"/>
      <c r="B947" s="101"/>
      <c r="C947" s="101"/>
      <c r="D947" s="101"/>
      <c r="E947" s="101"/>
      <c r="F947" s="101"/>
      <c r="G947" s="101"/>
      <c r="H947" s="101"/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  <c r="Y947" s="101"/>
      <c r="Z947" s="101"/>
      <c r="AA947" s="101"/>
      <c r="AB947" s="101"/>
      <c r="AC947" s="101"/>
      <c r="AD947" s="101"/>
      <c r="AE947" s="101"/>
      <c r="AF947" s="101"/>
    </row>
    <row r="948" spans="1:32" ht="13.8">
      <c r="A948" s="101"/>
      <c r="B948" s="101"/>
      <c r="C948" s="101"/>
      <c r="D948" s="101"/>
      <c r="E948" s="101"/>
      <c r="F948" s="101"/>
      <c r="G948" s="101"/>
      <c r="H948" s="101"/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  <c r="Y948" s="101"/>
      <c r="Z948" s="101"/>
      <c r="AA948" s="101"/>
      <c r="AB948" s="101"/>
      <c r="AC948" s="101"/>
      <c r="AD948" s="101"/>
      <c r="AE948" s="101"/>
      <c r="AF948" s="101"/>
    </row>
    <row r="949" spans="1:32" ht="13.8">
      <c r="A949" s="101"/>
      <c r="B949" s="101"/>
      <c r="C949" s="101"/>
      <c r="D949" s="101"/>
      <c r="E949" s="101"/>
      <c r="F949" s="101"/>
      <c r="G949" s="101"/>
      <c r="H949" s="101"/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  <c r="Y949" s="101"/>
      <c r="Z949" s="101"/>
      <c r="AA949" s="101"/>
      <c r="AB949" s="101"/>
      <c r="AC949" s="101"/>
      <c r="AD949" s="101"/>
      <c r="AE949" s="101"/>
      <c r="AF949" s="101"/>
    </row>
    <row r="950" spans="1:32" ht="13.8">
      <c r="A950" s="101"/>
      <c r="B950" s="101"/>
      <c r="C950" s="101"/>
      <c r="D950" s="101"/>
      <c r="E950" s="101"/>
      <c r="F950" s="101"/>
      <c r="G950" s="101"/>
      <c r="H950" s="101"/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  <c r="Y950" s="101"/>
      <c r="Z950" s="101"/>
      <c r="AA950" s="101"/>
      <c r="AB950" s="101"/>
      <c r="AC950" s="101"/>
      <c r="AD950" s="101"/>
      <c r="AE950" s="101"/>
      <c r="AF950" s="101"/>
    </row>
    <row r="951" spans="1:32" ht="13.8">
      <c r="A951" s="101"/>
      <c r="B951" s="101"/>
      <c r="C951" s="101"/>
      <c r="D951" s="101"/>
      <c r="E951" s="101"/>
      <c r="F951" s="101"/>
      <c r="G951" s="101"/>
      <c r="H951" s="101"/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  <c r="Y951" s="101"/>
      <c r="Z951" s="101"/>
      <c r="AA951" s="101"/>
      <c r="AB951" s="101"/>
      <c r="AC951" s="101"/>
      <c r="AD951" s="101"/>
      <c r="AE951" s="101"/>
      <c r="AF951" s="101"/>
    </row>
    <row r="952" spans="1:32" ht="13.8">
      <c r="A952" s="101"/>
      <c r="B952" s="101"/>
      <c r="C952" s="101"/>
      <c r="D952" s="101"/>
      <c r="E952" s="101"/>
      <c r="F952" s="101"/>
      <c r="G952" s="101"/>
      <c r="H952" s="101"/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  <c r="Y952" s="101"/>
      <c r="Z952" s="101"/>
      <c r="AA952" s="101"/>
      <c r="AB952" s="101"/>
      <c r="AC952" s="101"/>
      <c r="AD952" s="101"/>
      <c r="AE952" s="101"/>
      <c r="AF952" s="101"/>
    </row>
    <row r="953" spans="1:32" ht="13.8">
      <c r="A953" s="101"/>
      <c r="B953" s="101"/>
      <c r="C953" s="101"/>
      <c r="D953" s="101"/>
      <c r="E953" s="101"/>
      <c r="F953" s="101"/>
      <c r="G953" s="101"/>
      <c r="H953" s="101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  <c r="Y953" s="101"/>
      <c r="Z953" s="101"/>
      <c r="AA953" s="101"/>
      <c r="AB953" s="101"/>
      <c r="AC953" s="101"/>
      <c r="AD953" s="101"/>
      <c r="AE953" s="101"/>
      <c r="AF953" s="101"/>
    </row>
    <row r="954" spans="1:32" ht="13.8">
      <c r="A954" s="101"/>
      <c r="B954" s="101"/>
      <c r="C954" s="101"/>
      <c r="D954" s="101"/>
      <c r="E954" s="101"/>
      <c r="F954" s="101"/>
      <c r="G954" s="101"/>
      <c r="H954" s="101"/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  <c r="Y954" s="101"/>
      <c r="Z954" s="101"/>
      <c r="AA954" s="101"/>
      <c r="AB954" s="101"/>
      <c r="AC954" s="101"/>
      <c r="AD954" s="101"/>
      <c r="AE954" s="101"/>
      <c r="AF954" s="101"/>
    </row>
    <row r="955" spans="1:32" ht="13.8">
      <c r="A955" s="101"/>
      <c r="B955" s="101"/>
      <c r="C955" s="101"/>
      <c r="D955" s="101"/>
      <c r="E955" s="101"/>
      <c r="F955" s="101"/>
      <c r="G955" s="101"/>
      <c r="H955" s="101"/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  <c r="Y955" s="101"/>
      <c r="Z955" s="101"/>
      <c r="AA955" s="101"/>
      <c r="AB955" s="101"/>
      <c r="AC955" s="101"/>
      <c r="AD955" s="101"/>
      <c r="AE955" s="101"/>
      <c r="AF955" s="101"/>
    </row>
    <row r="956" spans="1:32" ht="13.8">
      <c r="A956" s="101"/>
      <c r="B956" s="101"/>
      <c r="C956" s="101"/>
      <c r="D956" s="101"/>
      <c r="E956" s="101"/>
      <c r="F956" s="101"/>
      <c r="G956" s="101"/>
      <c r="H956" s="101"/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  <c r="Y956" s="101"/>
      <c r="Z956" s="101"/>
      <c r="AA956" s="101"/>
      <c r="AB956" s="101"/>
      <c r="AC956" s="101"/>
      <c r="AD956" s="101"/>
      <c r="AE956" s="101"/>
      <c r="AF956" s="101"/>
    </row>
    <row r="957" spans="1:32" ht="13.8">
      <c r="A957" s="101"/>
      <c r="B957" s="101"/>
      <c r="C957" s="101"/>
      <c r="D957" s="101"/>
      <c r="E957" s="101"/>
      <c r="F957" s="101"/>
      <c r="G957" s="101"/>
      <c r="H957" s="101"/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  <c r="Y957" s="101"/>
      <c r="Z957" s="101"/>
      <c r="AA957" s="101"/>
      <c r="AB957" s="101"/>
      <c r="AC957" s="101"/>
      <c r="AD957" s="101"/>
      <c r="AE957" s="101"/>
      <c r="AF957" s="101"/>
    </row>
    <row r="958" spans="1:32" ht="13.8">
      <c r="A958" s="101"/>
      <c r="B958" s="101"/>
      <c r="C958" s="101"/>
      <c r="D958" s="101"/>
      <c r="E958" s="101"/>
      <c r="F958" s="101"/>
      <c r="G958" s="101"/>
      <c r="H958" s="101"/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  <c r="Y958" s="101"/>
      <c r="Z958" s="101"/>
      <c r="AA958" s="101"/>
      <c r="AB958" s="101"/>
      <c r="AC958" s="101"/>
      <c r="AD958" s="101"/>
      <c r="AE958" s="101"/>
      <c r="AF958" s="101"/>
    </row>
    <row r="959" spans="1:32" ht="13.8">
      <c r="A959" s="101"/>
      <c r="B959" s="101"/>
      <c r="C959" s="101"/>
      <c r="D959" s="101"/>
      <c r="E959" s="101"/>
      <c r="F959" s="101"/>
      <c r="G959" s="101"/>
      <c r="H959" s="101"/>
      <c r="I959" s="101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  <c r="Y959" s="101"/>
      <c r="Z959" s="101"/>
      <c r="AA959" s="101"/>
      <c r="AB959" s="101"/>
      <c r="AC959" s="101"/>
      <c r="AD959" s="101"/>
      <c r="AE959" s="101"/>
      <c r="AF959" s="101"/>
    </row>
    <row r="960" spans="1:32" ht="13.8">
      <c r="A960" s="101"/>
      <c r="B960" s="101"/>
      <c r="C960" s="101"/>
      <c r="D960" s="101"/>
      <c r="E960" s="101"/>
      <c r="F960" s="101"/>
      <c r="G960" s="101"/>
      <c r="H960" s="101"/>
      <c r="I960" s="101"/>
      <c r="J960" s="101"/>
      <c r="K960" s="101"/>
      <c r="L960" s="101"/>
      <c r="M960" s="101"/>
      <c r="N960" s="101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  <c r="Y960" s="101"/>
      <c r="Z960" s="101"/>
      <c r="AA960" s="101"/>
      <c r="AB960" s="101"/>
      <c r="AC960" s="101"/>
      <c r="AD960" s="101"/>
      <c r="AE960" s="101"/>
      <c r="AF960" s="101"/>
    </row>
    <row r="961" spans="1:32" ht="13.8">
      <c r="A961" s="101"/>
      <c r="B961" s="101"/>
      <c r="C961" s="101"/>
      <c r="D961" s="101"/>
      <c r="E961" s="101"/>
      <c r="F961" s="101"/>
      <c r="G961" s="101"/>
      <c r="H961" s="101"/>
      <c r="I961" s="101"/>
      <c r="J961" s="101"/>
      <c r="K961" s="101"/>
      <c r="L961" s="101"/>
      <c r="M961" s="101"/>
      <c r="N961" s="101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  <c r="Y961" s="101"/>
      <c r="Z961" s="101"/>
      <c r="AA961" s="101"/>
      <c r="AB961" s="101"/>
      <c r="AC961" s="101"/>
      <c r="AD961" s="101"/>
      <c r="AE961" s="101"/>
      <c r="AF961" s="101"/>
    </row>
    <row r="962" spans="1:32" ht="13.8">
      <c r="A962" s="101"/>
      <c r="B962" s="101"/>
      <c r="C962" s="101"/>
      <c r="D962" s="101"/>
      <c r="E962" s="101"/>
      <c r="F962" s="101"/>
      <c r="G962" s="101"/>
      <c r="H962" s="101"/>
      <c r="I962" s="101"/>
      <c r="J962" s="101"/>
      <c r="K962" s="101"/>
      <c r="L962" s="101"/>
      <c r="M962" s="101"/>
      <c r="N962" s="101"/>
      <c r="O962" s="101"/>
      <c r="P962" s="101"/>
      <c r="Q962" s="101"/>
      <c r="R962" s="101"/>
      <c r="S962" s="101"/>
      <c r="T962" s="101"/>
      <c r="U962" s="101"/>
      <c r="V962" s="101"/>
      <c r="W962" s="101"/>
      <c r="X962" s="101"/>
      <c r="Y962" s="101"/>
      <c r="Z962" s="101"/>
      <c r="AA962" s="101"/>
      <c r="AB962" s="101"/>
      <c r="AC962" s="101"/>
      <c r="AD962" s="101"/>
      <c r="AE962" s="101"/>
      <c r="AF962" s="101"/>
    </row>
    <row r="963" spans="1:32" ht="13.8">
      <c r="A963" s="101"/>
      <c r="B963" s="101"/>
      <c r="C963" s="101"/>
      <c r="D963" s="101"/>
      <c r="E963" s="101"/>
      <c r="F963" s="101"/>
      <c r="G963" s="101"/>
      <c r="H963" s="101"/>
      <c r="I963" s="101"/>
      <c r="J963" s="101"/>
      <c r="K963" s="101"/>
      <c r="L963" s="101"/>
      <c r="M963" s="101"/>
      <c r="N963" s="101"/>
      <c r="O963" s="101"/>
      <c r="P963" s="101"/>
      <c r="Q963" s="101"/>
      <c r="R963" s="101"/>
      <c r="S963" s="101"/>
      <c r="T963" s="101"/>
      <c r="U963" s="101"/>
      <c r="V963" s="101"/>
      <c r="W963" s="101"/>
      <c r="X963" s="101"/>
      <c r="Y963" s="101"/>
      <c r="Z963" s="101"/>
      <c r="AA963" s="101"/>
      <c r="AB963" s="101"/>
      <c r="AC963" s="101"/>
      <c r="AD963" s="101"/>
      <c r="AE963" s="101"/>
      <c r="AF963" s="101"/>
    </row>
    <row r="964" spans="1:32" ht="13.8">
      <c r="A964" s="101"/>
      <c r="B964" s="101"/>
      <c r="C964" s="101"/>
      <c r="D964" s="101"/>
      <c r="E964" s="101"/>
      <c r="F964" s="101"/>
      <c r="G964" s="101"/>
      <c r="H964" s="101"/>
      <c r="I964" s="101"/>
      <c r="J964" s="101"/>
      <c r="K964" s="101"/>
      <c r="L964" s="101"/>
      <c r="M964" s="101"/>
      <c r="N964" s="101"/>
      <c r="O964" s="101"/>
      <c r="P964" s="101"/>
      <c r="Q964" s="101"/>
      <c r="R964" s="101"/>
      <c r="S964" s="101"/>
      <c r="T964" s="101"/>
      <c r="U964" s="101"/>
      <c r="V964" s="101"/>
      <c r="W964" s="101"/>
      <c r="X964" s="101"/>
      <c r="Y964" s="101"/>
      <c r="Z964" s="101"/>
      <c r="AA964" s="101"/>
      <c r="AB964" s="101"/>
      <c r="AC964" s="101"/>
      <c r="AD964" s="101"/>
      <c r="AE964" s="101"/>
      <c r="AF964" s="101"/>
    </row>
    <row r="965" spans="1:32" ht="13.8">
      <c r="A965" s="101"/>
      <c r="B965" s="101"/>
      <c r="C965" s="101"/>
      <c r="D965" s="101"/>
      <c r="E965" s="101"/>
      <c r="F965" s="101"/>
      <c r="G965" s="101"/>
      <c r="H965" s="101"/>
      <c r="I965" s="101"/>
      <c r="J965" s="101"/>
      <c r="K965" s="101"/>
      <c r="L965" s="101"/>
      <c r="M965" s="101"/>
      <c r="N965" s="101"/>
      <c r="O965" s="101"/>
      <c r="P965" s="101"/>
      <c r="Q965" s="101"/>
      <c r="R965" s="101"/>
      <c r="S965" s="101"/>
      <c r="T965" s="101"/>
      <c r="U965" s="101"/>
      <c r="V965" s="101"/>
      <c r="W965" s="101"/>
      <c r="X965" s="101"/>
      <c r="Y965" s="101"/>
      <c r="Z965" s="101"/>
      <c r="AA965" s="101"/>
      <c r="AB965" s="101"/>
      <c r="AC965" s="101"/>
      <c r="AD965" s="101"/>
      <c r="AE965" s="101"/>
      <c r="AF965" s="101"/>
    </row>
    <row r="966" spans="1:32" ht="13.8">
      <c r="A966" s="101"/>
      <c r="B966" s="101"/>
      <c r="C966" s="101"/>
      <c r="D966" s="101"/>
      <c r="E966" s="101"/>
      <c r="F966" s="101"/>
      <c r="G966" s="101"/>
      <c r="H966" s="101"/>
      <c r="I966" s="101"/>
      <c r="J966" s="101"/>
      <c r="K966" s="101"/>
      <c r="L966" s="101"/>
      <c r="M966" s="101"/>
      <c r="N966" s="101"/>
      <c r="O966" s="101"/>
      <c r="P966" s="101"/>
      <c r="Q966" s="101"/>
      <c r="R966" s="101"/>
      <c r="S966" s="101"/>
      <c r="T966" s="101"/>
      <c r="U966" s="101"/>
      <c r="V966" s="101"/>
      <c r="W966" s="101"/>
      <c r="X966" s="101"/>
      <c r="Y966" s="101"/>
      <c r="Z966" s="101"/>
      <c r="AA966" s="101"/>
      <c r="AB966" s="101"/>
      <c r="AC966" s="101"/>
      <c r="AD966" s="101"/>
      <c r="AE966" s="101"/>
      <c r="AF966" s="101"/>
    </row>
    <row r="967" spans="1:32" ht="13.8">
      <c r="A967" s="101"/>
      <c r="B967" s="101"/>
      <c r="C967" s="101"/>
      <c r="D967" s="101"/>
      <c r="E967" s="101"/>
      <c r="F967" s="101"/>
      <c r="G967" s="101"/>
      <c r="H967" s="101"/>
      <c r="I967" s="101"/>
      <c r="J967" s="101"/>
      <c r="K967" s="101"/>
      <c r="L967" s="101"/>
      <c r="M967" s="101"/>
      <c r="N967" s="101"/>
      <c r="O967" s="101"/>
      <c r="P967" s="101"/>
      <c r="Q967" s="101"/>
      <c r="R967" s="101"/>
      <c r="S967" s="101"/>
      <c r="T967" s="101"/>
      <c r="U967" s="101"/>
      <c r="V967" s="101"/>
      <c r="W967" s="101"/>
      <c r="X967" s="101"/>
      <c r="Y967" s="101"/>
      <c r="Z967" s="101"/>
      <c r="AA967" s="101"/>
      <c r="AB967" s="101"/>
      <c r="AC967" s="101"/>
      <c r="AD967" s="101"/>
      <c r="AE967" s="101"/>
      <c r="AF967" s="101"/>
    </row>
    <row r="968" spans="1:32" ht="13.8">
      <c r="A968" s="101"/>
      <c r="B968" s="101"/>
      <c r="C968" s="101"/>
      <c r="D968" s="101"/>
      <c r="E968" s="101"/>
      <c r="F968" s="101"/>
      <c r="G968" s="101"/>
      <c r="H968" s="101"/>
      <c r="I968" s="101"/>
      <c r="J968" s="101"/>
      <c r="K968" s="101"/>
      <c r="L968" s="101"/>
      <c r="M968" s="101"/>
      <c r="N968" s="101"/>
      <c r="O968" s="101"/>
      <c r="P968" s="101"/>
      <c r="Q968" s="101"/>
      <c r="R968" s="101"/>
      <c r="S968" s="101"/>
      <c r="T968" s="101"/>
      <c r="U968" s="101"/>
      <c r="V968" s="101"/>
      <c r="W968" s="101"/>
      <c r="X968" s="101"/>
      <c r="Y968" s="101"/>
      <c r="Z968" s="101"/>
      <c r="AA968" s="101"/>
      <c r="AB968" s="101"/>
      <c r="AC968" s="101"/>
      <c r="AD968" s="101"/>
      <c r="AE968" s="101"/>
      <c r="AF968" s="101"/>
    </row>
    <row r="969" spans="1:32" ht="13.8">
      <c r="A969" s="101"/>
      <c r="B969" s="101"/>
      <c r="C969" s="101"/>
      <c r="D969" s="101"/>
      <c r="E969" s="101"/>
      <c r="F969" s="101"/>
      <c r="G969" s="101"/>
      <c r="H969" s="101"/>
      <c r="I969" s="101"/>
      <c r="J969" s="101"/>
      <c r="K969" s="101"/>
      <c r="L969" s="101"/>
      <c r="M969" s="101"/>
      <c r="N969" s="101"/>
      <c r="O969" s="101"/>
      <c r="P969" s="101"/>
      <c r="Q969" s="101"/>
      <c r="R969" s="101"/>
      <c r="S969" s="101"/>
      <c r="T969" s="101"/>
      <c r="U969" s="101"/>
      <c r="V969" s="101"/>
      <c r="W969" s="101"/>
      <c r="X969" s="101"/>
      <c r="Y969" s="101"/>
      <c r="Z969" s="101"/>
      <c r="AA969" s="101"/>
      <c r="AB969" s="101"/>
      <c r="AC969" s="101"/>
      <c r="AD969" s="101"/>
      <c r="AE969" s="101"/>
      <c r="AF969" s="101"/>
    </row>
    <row r="970" spans="1:32" ht="13.8">
      <c r="A970" s="101"/>
      <c r="B970" s="101"/>
      <c r="C970" s="101"/>
      <c r="D970" s="101"/>
      <c r="E970" s="101"/>
      <c r="F970" s="101"/>
      <c r="G970" s="101"/>
      <c r="H970" s="101"/>
      <c r="I970" s="101"/>
      <c r="J970" s="101"/>
      <c r="K970" s="101"/>
      <c r="L970" s="101"/>
      <c r="M970" s="101"/>
      <c r="N970" s="101"/>
      <c r="O970" s="101"/>
      <c r="P970" s="101"/>
      <c r="Q970" s="101"/>
      <c r="R970" s="101"/>
      <c r="S970" s="101"/>
      <c r="T970" s="101"/>
      <c r="U970" s="101"/>
      <c r="V970" s="101"/>
      <c r="W970" s="101"/>
      <c r="X970" s="101"/>
      <c r="Y970" s="101"/>
      <c r="Z970" s="101"/>
      <c r="AA970" s="101"/>
      <c r="AB970" s="101"/>
      <c r="AC970" s="101"/>
      <c r="AD970" s="101"/>
      <c r="AE970" s="101"/>
      <c r="AF970" s="101"/>
    </row>
    <row r="971" spans="1:32" ht="13.8">
      <c r="A971" s="101"/>
      <c r="B971" s="101"/>
      <c r="C971" s="101"/>
      <c r="D971" s="101"/>
      <c r="E971" s="101"/>
      <c r="F971" s="101"/>
      <c r="G971" s="101"/>
      <c r="H971" s="101"/>
      <c r="I971" s="101"/>
      <c r="J971" s="101"/>
      <c r="K971" s="101"/>
      <c r="L971" s="101"/>
      <c r="M971" s="101"/>
      <c r="N971" s="101"/>
      <c r="O971" s="101"/>
      <c r="P971" s="101"/>
      <c r="Q971" s="101"/>
      <c r="R971" s="101"/>
      <c r="S971" s="101"/>
      <c r="T971" s="101"/>
      <c r="U971" s="101"/>
      <c r="V971" s="101"/>
      <c r="W971" s="101"/>
      <c r="X971" s="101"/>
      <c r="Y971" s="101"/>
      <c r="Z971" s="101"/>
      <c r="AA971" s="101"/>
      <c r="AB971" s="101"/>
      <c r="AC971" s="101"/>
      <c r="AD971" s="101"/>
      <c r="AE971" s="101"/>
      <c r="AF971" s="101"/>
    </row>
    <row r="972" spans="1:32" ht="13.8">
      <c r="A972" s="101"/>
      <c r="B972" s="101"/>
      <c r="C972" s="101"/>
      <c r="D972" s="101"/>
      <c r="E972" s="101"/>
      <c r="F972" s="101"/>
      <c r="G972" s="101"/>
      <c r="H972" s="101"/>
      <c r="I972" s="101"/>
      <c r="J972" s="101"/>
      <c r="K972" s="101"/>
      <c r="L972" s="101"/>
      <c r="M972" s="101"/>
      <c r="N972" s="101"/>
      <c r="O972" s="101"/>
      <c r="P972" s="101"/>
      <c r="Q972" s="101"/>
      <c r="R972" s="101"/>
      <c r="S972" s="101"/>
      <c r="T972" s="101"/>
      <c r="U972" s="101"/>
      <c r="V972" s="101"/>
      <c r="W972" s="101"/>
      <c r="X972" s="101"/>
      <c r="Y972" s="101"/>
      <c r="Z972" s="101"/>
      <c r="AA972" s="101"/>
      <c r="AB972" s="101"/>
      <c r="AC972" s="101"/>
      <c r="AD972" s="101"/>
      <c r="AE972" s="101"/>
      <c r="AF972" s="101"/>
    </row>
    <row r="973" spans="1:32" ht="13.8">
      <c r="A973" s="101"/>
      <c r="B973" s="101"/>
      <c r="C973" s="101"/>
      <c r="D973" s="101"/>
      <c r="E973" s="101"/>
      <c r="F973" s="101"/>
      <c r="G973" s="101"/>
      <c r="H973" s="101"/>
      <c r="I973" s="101"/>
      <c r="J973" s="101"/>
      <c r="K973" s="101"/>
      <c r="L973" s="101"/>
      <c r="M973" s="101"/>
      <c r="N973" s="101"/>
      <c r="O973" s="101"/>
      <c r="P973" s="101"/>
      <c r="Q973" s="101"/>
      <c r="R973" s="101"/>
      <c r="S973" s="101"/>
      <c r="T973" s="101"/>
      <c r="U973" s="101"/>
      <c r="V973" s="101"/>
      <c r="W973" s="101"/>
      <c r="X973" s="101"/>
      <c r="Y973" s="101"/>
      <c r="Z973" s="101"/>
      <c r="AA973" s="101"/>
      <c r="AB973" s="101"/>
      <c r="AC973" s="101"/>
      <c r="AD973" s="101"/>
      <c r="AE973" s="101"/>
      <c r="AF973" s="101"/>
    </row>
    <row r="974" spans="1:32" ht="13.8">
      <c r="A974" s="101"/>
      <c r="B974" s="101"/>
      <c r="C974" s="101"/>
      <c r="D974" s="101"/>
      <c r="E974" s="101"/>
      <c r="F974" s="101"/>
      <c r="G974" s="101"/>
      <c r="H974" s="101"/>
      <c r="I974" s="101"/>
      <c r="J974" s="101"/>
      <c r="K974" s="101"/>
      <c r="L974" s="101"/>
      <c r="M974" s="101"/>
      <c r="N974" s="101"/>
      <c r="O974" s="101"/>
      <c r="P974" s="101"/>
      <c r="Q974" s="101"/>
      <c r="R974" s="101"/>
      <c r="S974" s="101"/>
      <c r="T974" s="101"/>
      <c r="U974" s="101"/>
      <c r="V974" s="101"/>
      <c r="W974" s="101"/>
      <c r="X974" s="101"/>
      <c r="Y974" s="101"/>
      <c r="Z974" s="101"/>
      <c r="AA974" s="101"/>
      <c r="AB974" s="101"/>
      <c r="AC974" s="101"/>
      <c r="AD974" s="101"/>
      <c r="AE974" s="101"/>
      <c r="AF974" s="101"/>
    </row>
    <row r="975" spans="1:32" ht="13.8">
      <c r="A975" s="101"/>
      <c r="B975" s="101"/>
      <c r="C975" s="101"/>
      <c r="D975" s="101"/>
      <c r="E975" s="101"/>
      <c r="F975" s="101"/>
      <c r="G975" s="101"/>
      <c r="H975" s="101"/>
      <c r="I975" s="101"/>
      <c r="J975" s="101"/>
      <c r="K975" s="101"/>
      <c r="L975" s="101"/>
      <c r="M975" s="101"/>
      <c r="N975" s="101"/>
      <c r="O975" s="101"/>
      <c r="P975" s="101"/>
      <c r="Q975" s="101"/>
      <c r="R975" s="101"/>
      <c r="S975" s="101"/>
      <c r="T975" s="101"/>
      <c r="U975" s="101"/>
      <c r="V975" s="101"/>
      <c r="W975" s="101"/>
      <c r="X975" s="101"/>
      <c r="Y975" s="101"/>
      <c r="Z975" s="101"/>
      <c r="AA975" s="101"/>
      <c r="AB975" s="101"/>
      <c r="AC975" s="101"/>
      <c r="AD975" s="101"/>
      <c r="AE975" s="101"/>
      <c r="AF975" s="101"/>
    </row>
    <row r="976" spans="1:32" ht="13.8">
      <c r="A976" s="101"/>
      <c r="B976" s="101"/>
      <c r="C976" s="101"/>
      <c r="D976" s="101"/>
      <c r="E976" s="101"/>
      <c r="F976" s="101"/>
      <c r="G976" s="101"/>
      <c r="H976" s="101"/>
      <c r="I976" s="101"/>
      <c r="J976" s="101"/>
      <c r="K976" s="101"/>
      <c r="L976" s="101"/>
      <c r="M976" s="101"/>
      <c r="N976" s="101"/>
      <c r="O976" s="101"/>
      <c r="P976" s="101"/>
      <c r="Q976" s="101"/>
      <c r="R976" s="101"/>
      <c r="S976" s="101"/>
      <c r="T976" s="101"/>
      <c r="U976" s="101"/>
      <c r="V976" s="101"/>
      <c r="W976" s="101"/>
      <c r="X976" s="101"/>
      <c r="Y976" s="101"/>
      <c r="Z976" s="101"/>
      <c r="AA976" s="101"/>
      <c r="AB976" s="101"/>
      <c r="AC976" s="101"/>
      <c r="AD976" s="101"/>
      <c r="AE976" s="101"/>
      <c r="AF976" s="101"/>
    </row>
    <row r="977" spans="1:32" ht="13.8">
      <c r="A977" s="101"/>
      <c r="B977" s="101"/>
      <c r="C977" s="101"/>
      <c r="D977" s="101"/>
      <c r="E977" s="101"/>
      <c r="F977" s="101"/>
      <c r="G977" s="101"/>
      <c r="H977" s="101"/>
      <c r="I977" s="101"/>
      <c r="J977" s="101"/>
      <c r="K977" s="101"/>
      <c r="L977" s="101"/>
      <c r="M977" s="101"/>
      <c r="N977" s="101"/>
      <c r="O977" s="101"/>
      <c r="P977" s="101"/>
      <c r="Q977" s="101"/>
      <c r="R977" s="101"/>
      <c r="S977" s="101"/>
      <c r="T977" s="101"/>
      <c r="U977" s="101"/>
      <c r="V977" s="101"/>
      <c r="W977" s="101"/>
      <c r="X977" s="101"/>
      <c r="Y977" s="101"/>
      <c r="Z977" s="101"/>
      <c r="AA977" s="101"/>
      <c r="AB977" s="101"/>
      <c r="AC977" s="101"/>
      <c r="AD977" s="101"/>
      <c r="AE977" s="101"/>
      <c r="AF977" s="101"/>
    </row>
    <row r="978" spans="1:32" ht="13.8">
      <c r="A978" s="101"/>
      <c r="B978" s="101"/>
      <c r="C978" s="101"/>
      <c r="D978" s="101"/>
      <c r="E978" s="101"/>
      <c r="F978" s="101"/>
      <c r="G978" s="101"/>
      <c r="H978" s="101"/>
      <c r="I978" s="101"/>
      <c r="J978" s="101"/>
      <c r="K978" s="101"/>
      <c r="L978" s="101"/>
      <c r="M978" s="101"/>
      <c r="N978" s="101"/>
      <c r="O978" s="101"/>
      <c r="P978" s="101"/>
      <c r="Q978" s="101"/>
      <c r="R978" s="101"/>
      <c r="S978" s="101"/>
      <c r="T978" s="101"/>
      <c r="U978" s="101"/>
      <c r="V978" s="101"/>
      <c r="W978" s="101"/>
      <c r="X978" s="101"/>
      <c r="Y978" s="101"/>
      <c r="Z978" s="101"/>
      <c r="AA978" s="101"/>
      <c r="AB978" s="101"/>
      <c r="AC978" s="101"/>
      <c r="AD978" s="101"/>
      <c r="AE978" s="101"/>
      <c r="AF978" s="101"/>
    </row>
    <row r="979" spans="1:32" ht="13.8">
      <c r="A979" s="101"/>
      <c r="B979" s="101"/>
      <c r="C979" s="101"/>
      <c r="D979" s="101"/>
      <c r="E979" s="101"/>
      <c r="F979" s="101"/>
      <c r="G979" s="101"/>
      <c r="H979" s="101"/>
      <c r="I979" s="101"/>
      <c r="J979" s="101"/>
      <c r="K979" s="101"/>
      <c r="L979" s="101"/>
      <c r="M979" s="101"/>
      <c r="N979" s="101"/>
      <c r="O979" s="101"/>
      <c r="P979" s="101"/>
      <c r="Q979" s="101"/>
      <c r="R979" s="101"/>
      <c r="S979" s="101"/>
      <c r="T979" s="101"/>
      <c r="U979" s="101"/>
      <c r="V979" s="101"/>
      <c r="W979" s="101"/>
      <c r="X979" s="101"/>
      <c r="Y979" s="101"/>
      <c r="Z979" s="101"/>
      <c r="AA979" s="101"/>
      <c r="AB979" s="101"/>
      <c r="AC979" s="101"/>
      <c r="AD979" s="101"/>
      <c r="AE979" s="101"/>
      <c r="AF979" s="101"/>
    </row>
    <row r="980" spans="1:32" ht="13.8">
      <c r="A980" s="101"/>
      <c r="B980" s="101"/>
      <c r="C980" s="101"/>
      <c r="D980" s="101"/>
      <c r="E980" s="101"/>
      <c r="F980" s="101"/>
      <c r="G980" s="101"/>
      <c r="H980" s="101"/>
      <c r="I980" s="101"/>
      <c r="J980" s="101"/>
      <c r="K980" s="101"/>
      <c r="L980" s="101"/>
      <c r="M980" s="101"/>
      <c r="N980" s="101"/>
      <c r="O980" s="101"/>
      <c r="P980" s="101"/>
      <c r="Q980" s="101"/>
      <c r="R980" s="101"/>
      <c r="S980" s="101"/>
      <c r="T980" s="101"/>
      <c r="U980" s="101"/>
      <c r="V980" s="101"/>
      <c r="W980" s="101"/>
      <c r="X980" s="101"/>
      <c r="Y980" s="101"/>
      <c r="Z980" s="101"/>
      <c r="AA980" s="101"/>
      <c r="AB980" s="101"/>
      <c r="AC980" s="101"/>
      <c r="AD980" s="101"/>
      <c r="AE980" s="101"/>
      <c r="AF980" s="101"/>
    </row>
    <row r="981" spans="1:32" ht="13.8">
      <c r="A981" s="101"/>
      <c r="B981" s="101"/>
      <c r="C981" s="101"/>
      <c r="D981" s="101"/>
      <c r="E981" s="101"/>
      <c r="F981" s="101"/>
      <c r="G981" s="101"/>
      <c r="H981" s="101"/>
      <c r="I981" s="101"/>
      <c r="J981" s="101"/>
      <c r="K981" s="101"/>
      <c r="L981" s="101"/>
      <c r="M981" s="101"/>
      <c r="N981" s="101"/>
      <c r="O981" s="101"/>
      <c r="P981" s="101"/>
      <c r="Q981" s="101"/>
      <c r="R981" s="101"/>
      <c r="S981" s="101"/>
      <c r="T981" s="101"/>
      <c r="U981" s="101"/>
      <c r="V981" s="101"/>
      <c r="W981" s="101"/>
      <c r="X981" s="101"/>
      <c r="Y981" s="101"/>
      <c r="Z981" s="101"/>
      <c r="AA981" s="101"/>
      <c r="AB981" s="101"/>
      <c r="AC981" s="101"/>
      <c r="AD981" s="101"/>
      <c r="AE981" s="101"/>
      <c r="AF981" s="101"/>
    </row>
    <row r="982" spans="1:32" ht="13.8">
      <c r="A982" s="101"/>
      <c r="B982" s="101"/>
      <c r="C982" s="101"/>
      <c r="D982" s="101"/>
      <c r="E982" s="101"/>
      <c r="F982" s="101"/>
      <c r="G982" s="101"/>
      <c r="H982" s="101"/>
      <c r="I982" s="101"/>
      <c r="J982" s="101"/>
      <c r="K982" s="101"/>
      <c r="L982" s="101"/>
      <c r="M982" s="101"/>
      <c r="N982" s="101"/>
      <c r="O982" s="101"/>
      <c r="P982" s="101"/>
      <c r="Q982" s="101"/>
      <c r="R982" s="101"/>
      <c r="S982" s="101"/>
      <c r="T982" s="101"/>
      <c r="U982" s="101"/>
      <c r="V982" s="101"/>
      <c r="W982" s="101"/>
      <c r="X982" s="101"/>
      <c r="Y982" s="101"/>
      <c r="Z982" s="101"/>
      <c r="AA982" s="101"/>
      <c r="AB982" s="101"/>
      <c r="AC982" s="101"/>
      <c r="AD982" s="101"/>
      <c r="AE982" s="101"/>
      <c r="AF982" s="101"/>
    </row>
    <row r="983" spans="1:32" ht="13.8">
      <c r="A983" s="101"/>
      <c r="B983" s="101"/>
      <c r="C983" s="101"/>
      <c r="D983" s="101"/>
      <c r="E983" s="101"/>
      <c r="F983" s="101"/>
      <c r="G983" s="101"/>
      <c r="H983" s="101"/>
      <c r="I983" s="101"/>
      <c r="J983" s="101"/>
      <c r="K983" s="101"/>
      <c r="L983" s="101"/>
      <c r="M983" s="101"/>
      <c r="N983" s="101"/>
      <c r="O983" s="101"/>
      <c r="P983" s="101"/>
      <c r="Q983" s="101"/>
      <c r="R983" s="101"/>
      <c r="S983" s="101"/>
      <c r="T983" s="101"/>
      <c r="U983" s="101"/>
      <c r="V983" s="101"/>
      <c r="W983" s="101"/>
      <c r="X983" s="101"/>
      <c r="Y983" s="101"/>
      <c r="Z983" s="101"/>
      <c r="AA983" s="101"/>
      <c r="AB983" s="101"/>
      <c r="AC983" s="101"/>
      <c r="AD983" s="101"/>
      <c r="AE983" s="101"/>
      <c r="AF983" s="101"/>
    </row>
    <row r="984" spans="1:32" ht="13.8">
      <c r="A984" s="101"/>
      <c r="B984" s="101"/>
      <c r="C984" s="101"/>
      <c r="D984" s="101"/>
      <c r="E984" s="101"/>
      <c r="F984" s="101"/>
      <c r="G984" s="101"/>
      <c r="H984" s="101"/>
      <c r="I984" s="101"/>
      <c r="J984" s="101"/>
      <c r="K984" s="101"/>
      <c r="L984" s="101"/>
      <c r="M984" s="101"/>
      <c r="N984" s="101"/>
      <c r="O984" s="101"/>
      <c r="P984" s="101"/>
      <c r="Q984" s="101"/>
      <c r="R984" s="101"/>
      <c r="S984" s="101"/>
      <c r="T984" s="101"/>
      <c r="U984" s="101"/>
      <c r="V984" s="101"/>
      <c r="W984" s="101"/>
      <c r="X984" s="101"/>
      <c r="Y984" s="101"/>
      <c r="Z984" s="101"/>
      <c r="AA984" s="101"/>
      <c r="AB984" s="101"/>
      <c r="AC984" s="101"/>
      <c r="AD984" s="101"/>
      <c r="AE984" s="101"/>
      <c r="AF984" s="101"/>
    </row>
    <row r="985" spans="1:32" ht="13.8">
      <c r="A985" s="101"/>
      <c r="B985" s="101"/>
      <c r="C985" s="101"/>
      <c r="D985" s="101"/>
      <c r="E985" s="101"/>
      <c r="F985" s="101"/>
      <c r="G985" s="101"/>
      <c r="H985" s="101"/>
      <c r="I985" s="101"/>
      <c r="J985" s="101"/>
      <c r="K985" s="101"/>
      <c r="L985" s="101"/>
      <c r="M985" s="101"/>
      <c r="N985" s="101"/>
      <c r="O985" s="101"/>
      <c r="P985" s="101"/>
      <c r="Q985" s="101"/>
      <c r="R985" s="101"/>
      <c r="S985" s="101"/>
      <c r="T985" s="101"/>
      <c r="U985" s="101"/>
      <c r="V985" s="101"/>
      <c r="W985" s="101"/>
      <c r="X985" s="101"/>
      <c r="Y985" s="101"/>
      <c r="Z985" s="101"/>
      <c r="AA985" s="101"/>
      <c r="AB985" s="101"/>
      <c r="AC985" s="101"/>
      <c r="AD985" s="101"/>
      <c r="AE985" s="101"/>
      <c r="AF985" s="101"/>
    </row>
    <row r="986" spans="1:32" ht="13.8">
      <c r="A986" s="101"/>
      <c r="B986" s="101"/>
      <c r="C986" s="101"/>
      <c r="D986" s="101"/>
      <c r="E986" s="101"/>
      <c r="F986" s="101"/>
      <c r="G986" s="101"/>
      <c r="H986" s="101"/>
      <c r="I986" s="101"/>
      <c r="J986" s="101"/>
      <c r="K986" s="101"/>
      <c r="L986" s="101"/>
      <c r="M986" s="101"/>
      <c r="N986" s="101"/>
      <c r="O986" s="101"/>
      <c r="P986" s="101"/>
      <c r="Q986" s="101"/>
      <c r="R986" s="101"/>
      <c r="S986" s="101"/>
      <c r="T986" s="101"/>
      <c r="U986" s="101"/>
      <c r="V986" s="101"/>
      <c r="W986" s="101"/>
      <c r="X986" s="101"/>
      <c r="Y986" s="101"/>
      <c r="Z986" s="101"/>
      <c r="AA986" s="101"/>
      <c r="AB986" s="101"/>
      <c r="AC986" s="101"/>
      <c r="AD986" s="101"/>
      <c r="AE986" s="101"/>
      <c r="AF986" s="101"/>
    </row>
    <row r="987" spans="1:32" ht="13.8">
      <c r="A987" s="101"/>
      <c r="B987" s="101"/>
      <c r="C987" s="101"/>
      <c r="D987" s="101"/>
      <c r="E987" s="101"/>
      <c r="F987" s="101"/>
      <c r="G987" s="101"/>
      <c r="H987" s="101"/>
      <c r="I987" s="101"/>
      <c r="J987" s="101"/>
      <c r="K987" s="101"/>
      <c r="L987" s="101"/>
      <c r="M987" s="101"/>
      <c r="N987" s="101"/>
      <c r="O987" s="101"/>
      <c r="P987" s="101"/>
      <c r="Q987" s="101"/>
      <c r="R987" s="101"/>
      <c r="S987" s="101"/>
      <c r="T987" s="101"/>
      <c r="U987" s="101"/>
      <c r="V987" s="101"/>
      <c r="W987" s="101"/>
      <c r="X987" s="101"/>
      <c r="Y987" s="101"/>
      <c r="Z987" s="101"/>
      <c r="AA987" s="101"/>
      <c r="AB987" s="101"/>
      <c r="AC987" s="101"/>
      <c r="AD987" s="101"/>
      <c r="AE987" s="101"/>
      <c r="AF987" s="101"/>
    </row>
    <row r="988" spans="1:32" ht="13.8">
      <c r="A988" s="101"/>
      <c r="B988" s="101"/>
      <c r="C988" s="101"/>
      <c r="D988" s="101"/>
      <c r="E988" s="101"/>
      <c r="F988" s="101"/>
      <c r="G988" s="101"/>
      <c r="H988" s="101"/>
      <c r="I988" s="101"/>
      <c r="J988" s="101"/>
      <c r="K988" s="101"/>
      <c r="L988" s="101"/>
      <c r="M988" s="101"/>
      <c r="N988" s="101"/>
      <c r="O988" s="101"/>
      <c r="P988" s="101"/>
      <c r="Q988" s="101"/>
      <c r="R988" s="101"/>
      <c r="S988" s="101"/>
      <c r="T988" s="101"/>
      <c r="U988" s="101"/>
      <c r="V988" s="101"/>
      <c r="W988" s="101"/>
      <c r="X988" s="101"/>
      <c r="Y988" s="101"/>
      <c r="Z988" s="101"/>
      <c r="AA988" s="101"/>
      <c r="AB988" s="101"/>
      <c r="AC988" s="101"/>
      <c r="AD988" s="101"/>
      <c r="AE988" s="101"/>
      <c r="AF988" s="101"/>
    </row>
    <row r="989" spans="1:32" ht="13.8">
      <c r="A989" s="101"/>
      <c r="B989" s="101"/>
      <c r="C989" s="101"/>
      <c r="D989" s="101"/>
      <c r="E989" s="101"/>
      <c r="F989" s="101"/>
      <c r="G989" s="101"/>
      <c r="H989" s="101"/>
      <c r="I989" s="101"/>
      <c r="J989" s="101"/>
      <c r="K989" s="101"/>
      <c r="L989" s="101"/>
      <c r="M989" s="101"/>
      <c r="N989" s="101"/>
      <c r="O989" s="101"/>
      <c r="P989" s="101"/>
      <c r="Q989" s="101"/>
      <c r="R989" s="101"/>
      <c r="S989" s="101"/>
      <c r="T989" s="101"/>
      <c r="U989" s="101"/>
      <c r="V989" s="101"/>
      <c r="W989" s="101"/>
      <c r="X989" s="101"/>
      <c r="Y989" s="101"/>
      <c r="Z989" s="101"/>
      <c r="AA989" s="101"/>
      <c r="AB989" s="101"/>
      <c r="AC989" s="101"/>
      <c r="AD989" s="101"/>
      <c r="AE989" s="101"/>
      <c r="AF989" s="101"/>
    </row>
    <row r="990" spans="1:32" ht="13.8">
      <c r="A990" s="101"/>
      <c r="B990" s="101"/>
      <c r="C990" s="101"/>
      <c r="D990" s="101"/>
      <c r="E990" s="101"/>
      <c r="F990" s="101"/>
      <c r="G990" s="101"/>
      <c r="H990" s="101"/>
      <c r="I990" s="101"/>
      <c r="J990" s="101"/>
      <c r="K990" s="101"/>
      <c r="L990" s="101"/>
      <c r="M990" s="101"/>
      <c r="N990" s="101"/>
      <c r="O990" s="101"/>
      <c r="P990" s="101"/>
      <c r="Q990" s="101"/>
      <c r="R990" s="101"/>
      <c r="S990" s="101"/>
      <c r="T990" s="101"/>
      <c r="U990" s="101"/>
      <c r="V990" s="101"/>
      <c r="W990" s="101"/>
      <c r="X990" s="101"/>
      <c r="Y990" s="101"/>
      <c r="Z990" s="101"/>
      <c r="AA990" s="101"/>
      <c r="AB990" s="101"/>
      <c r="AC990" s="101"/>
      <c r="AD990" s="101"/>
      <c r="AE990" s="101"/>
      <c r="AF990" s="101"/>
    </row>
    <row r="991" spans="1:32" ht="13.8">
      <c r="A991" s="101"/>
      <c r="B991" s="101"/>
      <c r="C991" s="101"/>
      <c r="D991" s="101"/>
      <c r="E991" s="101"/>
      <c r="F991" s="101"/>
      <c r="G991" s="101"/>
      <c r="H991" s="101"/>
      <c r="I991" s="101"/>
      <c r="J991" s="101"/>
      <c r="K991" s="101"/>
      <c r="L991" s="101"/>
      <c r="M991" s="101"/>
      <c r="N991" s="101"/>
      <c r="O991" s="101"/>
      <c r="P991" s="101"/>
      <c r="Q991" s="101"/>
      <c r="R991" s="101"/>
      <c r="S991" s="101"/>
      <c r="T991" s="101"/>
      <c r="U991" s="101"/>
      <c r="V991" s="101"/>
      <c r="W991" s="101"/>
      <c r="X991" s="101"/>
      <c r="Y991" s="101"/>
      <c r="Z991" s="101"/>
      <c r="AA991" s="101"/>
      <c r="AB991" s="101"/>
      <c r="AC991" s="101"/>
      <c r="AD991" s="101"/>
      <c r="AE991" s="101"/>
      <c r="AF991" s="101"/>
    </row>
    <row r="992" spans="1:32" ht="13.8">
      <c r="A992" s="101"/>
      <c r="B992" s="101"/>
      <c r="C992" s="101"/>
      <c r="D992" s="101"/>
      <c r="E992" s="101"/>
      <c r="F992" s="101"/>
      <c r="G992" s="101"/>
      <c r="H992" s="101"/>
      <c r="I992" s="101"/>
      <c r="J992" s="101"/>
      <c r="K992" s="101"/>
      <c r="L992" s="101"/>
      <c r="M992" s="101"/>
      <c r="N992" s="101"/>
      <c r="O992" s="101"/>
      <c r="P992" s="101"/>
      <c r="Q992" s="101"/>
      <c r="R992" s="101"/>
      <c r="S992" s="101"/>
      <c r="T992" s="101"/>
      <c r="U992" s="101"/>
      <c r="V992" s="101"/>
      <c r="W992" s="101"/>
      <c r="X992" s="101"/>
      <c r="Y992" s="101"/>
      <c r="Z992" s="101"/>
      <c r="AA992" s="101"/>
      <c r="AB992" s="101"/>
      <c r="AC992" s="101"/>
      <c r="AD992" s="101"/>
      <c r="AE992" s="101"/>
      <c r="AF992" s="101"/>
    </row>
    <row r="993" spans="1:32" ht="13.8">
      <c r="A993" s="101"/>
      <c r="B993" s="101"/>
      <c r="C993" s="101"/>
      <c r="D993" s="101"/>
      <c r="E993" s="101"/>
      <c r="F993" s="101"/>
      <c r="G993" s="101"/>
      <c r="H993" s="101"/>
      <c r="I993" s="101"/>
      <c r="J993" s="101"/>
      <c r="K993" s="101"/>
      <c r="L993" s="101"/>
      <c r="M993" s="101"/>
      <c r="N993" s="101"/>
      <c r="O993" s="101"/>
      <c r="P993" s="101"/>
      <c r="Q993" s="101"/>
      <c r="R993" s="101"/>
      <c r="S993" s="101"/>
      <c r="T993" s="101"/>
      <c r="U993" s="101"/>
      <c r="V993" s="101"/>
      <c r="W993" s="101"/>
      <c r="X993" s="101"/>
      <c r="Y993" s="101"/>
      <c r="Z993" s="101"/>
      <c r="AA993" s="101"/>
      <c r="AB993" s="101"/>
      <c r="AC993" s="101"/>
      <c r="AD993" s="101"/>
      <c r="AE993" s="101"/>
      <c r="AF993" s="101"/>
    </row>
    <row r="994" spans="1:32" ht="13.8">
      <c r="A994" s="101"/>
      <c r="B994" s="101"/>
      <c r="C994" s="101"/>
      <c r="D994" s="101"/>
      <c r="E994" s="101"/>
      <c r="F994" s="101"/>
      <c r="G994" s="101"/>
      <c r="H994" s="101"/>
      <c r="I994" s="101"/>
      <c r="J994" s="101"/>
      <c r="K994" s="101"/>
      <c r="L994" s="101"/>
      <c r="M994" s="101"/>
      <c r="N994" s="101"/>
      <c r="O994" s="101"/>
      <c r="P994" s="101"/>
      <c r="Q994" s="101"/>
      <c r="R994" s="101"/>
      <c r="S994" s="101"/>
      <c r="T994" s="101"/>
      <c r="U994" s="101"/>
      <c r="V994" s="101"/>
      <c r="W994" s="101"/>
      <c r="X994" s="101"/>
      <c r="Y994" s="101"/>
      <c r="Z994" s="101"/>
      <c r="AA994" s="101"/>
      <c r="AB994" s="101"/>
      <c r="AC994" s="101"/>
      <c r="AD994" s="101"/>
      <c r="AE994" s="101"/>
      <c r="AF994" s="101"/>
    </row>
    <row r="995" spans="1:32" ht="13.8">
      <c r="A995" s="101"/>
      <c r="B995" s="101"/>
      <c r="C995" s="101"/>
      <c r="D995" s="101"/>
      <c r="E995" s="101"/>
      <c r="F995" s="101"/>
      <c r="G995" s="101"/>
      <c r="H995" s="101"/>
      <c r="I995" s="101"/>
      <c r="J995" s="101"/>
      <c r="K995" s="101"/>
      <c r="L995" s="101"/>
      <c r="M995" s="101"/>
      <c r="N995" s="101"/>
      <c r="O995" s="101"/>
      <c r="P995" s="101"/>
      <c r="Q995" s="101"/>
      <c r="R995" s="101"/>
      <c r="S995" s="101"/>
      <c r="T995" s="101"/>
      <c r="U995" s="101"/>
      <c r="V995" s="101"/>
      <c r="W995" s="101"/>
      <c r="X995" s="101"/>
      <c r="Y995" s="101"/>
      <c r="Z995" s="101"/>
      <c r="AA995" s="101"/>
      <c r="AB995" s="101"/>
      <c r="AC995" s="101"/>
      <c r="AD995" s="101"/>
      <c r="AE995" s="101"/>
      <c r="AF995" s="101"/>
    </row>
    <row r="996" spans="1:32" ht="13.8">
      <c r="A996" s="101"/>
      <c r="B996" s="101"/>
      <c r="C996" s="101"/>
      <c r="D996" s="101"/>
      <c r="E996" s="101"/>
      <c r="F996" s="101"/>
      <c r="G996" s="101"/>
      <c r="H996" s="101"/>
      <c r="I996" s="101"/>
      <c r="J996" s="101"/>
      <c r="K996" s="101"/>
      <c r="L996" s="101"/>
      <c r="M996" s="101"/>
      <c r="N996" s="101"/>
      <c r="O996" s="101"/>
      <c r="P996" s="101"/>
      <c r="Q996" s="101"/>
      <c r="R996" s="101"/>
      <c r="S996" s="101"/>
      <c r="T996" s="101"/>
      <c r="U996" s="101"/>
      <c r="V996" s="101"/>
      <c r="W996" s="101"/>
      <c r="X996" s="101"/>
      <c r="Y996" s="101"/>
      <c r="Z996" s="101"/>
      <c r="AA996" s="101"/>
      <c r="AB996" s="101"/>
      <c r="AC996" s="101"/>
      <c r="AD996" s="101"/>
      <c r="AE996" s="101"/>
      <c r="AF996" s="101"/>
    </row>
    <row r="997" spans="1:32" ht="13.8">
      <c r="A997" s="101"/>
      <c r="B997" s="101"/>
      <c r="C997" s="101"/>
      <c r="D997" s="101"/>
      <c r="E997" s="101"/>
      <c r="F997" s="101"/>
      <c r="G997" s="101"/>
      <c r="H997" s="101"/>
      <c r="I997" s="101"/>
      <c r="J997" s="101"/>
      <c r="K997" s="101"/>
      <c r="L997" s="101"/>
      <c r="M997" s="101"/>
      <c r="N997" s="101"/>
      <c r="O997" s="101"/>
      <c r="P997" s="101"/>
      <c r="Q997" s="101"/>
      <c r="R997" s="101"/>
      <c r="S997" s="101"/>
      <c r="T997" s="101"/>
      <c r="U997" s="101"/>
      <c r="V997" s="101"/>
      <c r="W997" s="101"/>
      <c r="X997" s="101"/>
      <c r="Y997" s="101"/>
      <c r="Z997" s="101"/>
      <c r="AA997" s="101"/>
      <c r="AB997" s="101"/>
      <c r="AC997" s="101"/>
      <c r="AD997" s="101"/>
      <c r="AE997" s="101"/>
      <c r="AF997" s="101"/>
    </row>
    <row r="998" spans="1:32" ht="13.8">
      <c r="A998" s="101"/>
      <c r="B998" s="101"/>
      <c r="C998" s="101"/>
      <c r="D998" s="101"/>
      <c r="E998" s="101"/>
      <c r="F998" s="101"/>
      <c r="G998" s="101"/>
      <c r="H998" s="101"/>
      <c r="I998" s="101"/>
      <c r="J998" s="101"/>
      <c r="K998" s="101"/>
      <c r="L998" s="101"/>
      <c r="M998" s="101"/>
      <c r="N998" s="101"/>
      <c r="O998" s="101"/>
      <c r="P998" s="101"/>
      <c r="Q998" s="101"/>
      <c r="R998" s="101"/>
      <c r="S998" s="101"/>
      <c r="T998" s="101"/>
      <c r="U998" s="101"/>
      <c r="V998" s="101"/>
      <c r="W998" s="101"/>
      <c r="X998" s="101"/>
      <c r="Y998" s="101"/>
      <c r="Z998" s="101"/>
      <c r="AA998" s="101"/>
      <c r="AB998" s="101"/>
      <c r="AC998" s="101"/>
      <c r="AD998" s="101"/>
      <c r="AE998" s="101"/>
      <c r="AF998" s="101"/>
    </row>
    <row r="999" spans="1:32" ht="13.8">
      <c r="A999" s="101"/>
      <c r="B999" s="101"/>
      <c r="C999" s="101"/>
      <c r="D999" s="101"/>
      <c r="E999" s="101"/>
      <c r="F999" s="101"/>
      <c r="G999" s="101"/>
      <c r="H999" s="101"/>
      <c r="I999" s="101"/>
      <c r="J999" s="101"/>
      <c r="K999" s="101"/>
      <c r="L999" s="101"/>
      <c r="M999" s="101"/>
      <c r="N999" s="101"/>
      <c r="O999" s="101"/>
      <c r="P999" s="101"/>
      <c r="Q999" s="101"/>
      <c r="R999" s="101"/>
      <c r="S999" s="101"/>
      <c r="T999" s="101"/>
      <c r="U999" s="101"/>
      <c r="V999" s="101"/>
      <c r="W999" s="101"/>
      <c r="X999" s="101"/>
      <c r="Y999" s="101"/>
      <c r="Z999" s="101"/>
      <c r="AA999" s="101"/>
      <c r="AB999" s="101"/>
      <c r="AC999" s="101"/>
      <c r="AD999" s="101"/>
      <c r="AE999" s="101"/>
      <c r="AF999" s="101"/>
    </row>
    <row r="1000" spans="1:32" ht="13.8">
      <c r="A1000" s="101"/>
      <c r="B1000" s="101"/>
      <c r="C1000" s="101"/>
      <c r="D1000" s="101"/>
      <c r="E1000" s="101"/>
      <c r="F1000" s="101"/>
      <c r="G1000" s="101"/>
      <c r="H1000" s="101"/>
      <c r="I1000" s="101"/>
      <c r="J1000" s="101"/>
      <c r="K1000" s="101"/>
      <c r="L1000" s="101"/>
      <c r="M1000" s="101"/>
      <c r="N1000" s="101"/>
      <c r="O1000" s="101"/>
      <c r="P1000" s="101"/>
      <c r="Q1000" s="101"/>
      <c r="R1000" s="101"/>
      <c r="S1000" s="101"/>
      <c r="T1000" s="101"/>
      <c r="U1000" s="101"/>
      <c r="V1000" s="101"/>
      <c r="W1000" s="101"/>
      <c r="X1000" s="101"/>
      <c r="Y1000" s="101"/>
      <c r="Z1000" s="101"/>
      <c r="AA1000" s="101"/>
      <c r="AB1000" s="101"/>
      <c r="AC1000" s="101"/>
      <c r="AD1000" s="101"/>
      <c r="AE1000" s="101"/>
      <c r="AF1000" s="101"/>
    </row>
    <row r="1001" spans="1:32" ht="13.8">
      <c r="A1001" s="101"/>
      <c r="B1001" s="101"/>
      <c r="C1001" s="101"/>
      <c r="D1001" s="101"/>
      <c r="E1001" s="101"/>
      <c r="F1001" s="101"/>
      <c r="G1001" s="101"/>
      <c r="H1001" s="101"/>
      <c r="I1001" s="101"/>
      <c r="J1001" s="101"/>
      <c r="K1001" s="101"/>
      <c r="L1001" s="101"/>
      <c r="M1001" s="101"/>
      <c r="N1001" s="101"/>
      <c r="O1001" s="101"/>
      <c r="P1001" s="101"/>
      <c r="Q1001" s="101"/>
      <c r="R1001" s="101"/>
      <c r="S1001" s="101"/>
      <c r="T1001" s="101"/>
      <c r="U1001" s="101"/>
      <c r="V1001" s="101"/>
      <c r="W1001" s="101"/>
      <c r="X1001" s="101"/>
      <c r="Y1001" s="101"/>
      <c r="Z1001" s="101"/>
      <c r="AA1001" s="101"/>
      <c r="AB1001" s="101"/>
      <c r="AC1001" s="101"/>
      <c r="AD1001" s="101"/>
      <c r="AE1001" s="101"/>
      <c r="AF1001" s="101"/>
    </row>
    <row r="1002" spans="1:32" ht="13.8">
      <c r="A1002" s="101"/>
      <c r="B1002" s="101"/>
      <c r="C1002" s="101"/>
      <c r="D1002" s="101"/>
      <c r="E1002" s="101"/>
      <c r="F1002" s="101"/>
      <c r="G1002" s="101"/>
      <c r="H1002" s="101"/>
      <c r="I1002" s="101"/>
      <c r="J1002" s="101"/>
      <c r="K1002" s="101"/>
      <c r="L1002" s="101"/>
      <c r="M1002" s="101"/>
      <c r="N1002" s="101"/>
      <c r="O1002" s="101"/>
      <c r="P1002" s="101"/>
      <c r="Q1002" s="101"/>
      <c r="R1002" s="101"/>
      <c r="S1002" s="101"/>
      <c r="T1002" s="101"/>
      <c r="U1002" s="101"/>
      <c r="V1002" s="101"/>
      <c r="W1002" s="101"/>
      <c r="X1002" s="101"/>
      <c r="Y1002" s="101"/>
      <c r="Z1002" s="101"/>
      <c r="AA1002" s="101"/>
      <c r="AB1002" s="101"/>
      <c r="AC1002" s="101"/>
      <c r="AD1002" s="101"/>
      <c r="AE1002" s="101"/>
      <c r="AF1002" s="101"/>
    </row>
    <row r="1003" spans="1:32" ht="13.8">
      <c r="A1003" s="101"/>
      <c r="B1003" s="101"/>
      <c r="C1003" s="101"/>
      <c r="D1003" s="101"/>
      <c r="E1003" s="101"/>
      <c r="F1003" s="101"/>
      <c r="G1003" s="101"/>
      <c r="H1003" s="101"/>
      <c r="I1003" s="101"/>
      <c r="J1003" s="101"/>
      <c r="K1003" s="101"/>
      <c r="L1003" s="101"/>
      <c r="M1003" s="101"/>
      <c r="N1003" s="101"/>
      <c r="O1003" s="101"/>
      <c r="P1003" s="101"/>
      <c r="Q1003" s="101"/>
      <c r="R1003" s="101"/>
      <c r="S1003" s="101"/>
      <c r="T1003" s="101"/>
      <c r="U1003" s="101"/>
      <c r="V1003" s="101"/>
      <c r="W1003" s="101"/>
      <c r="X1003" s="101"/>
      <c r="Y1003" s="101"/>
      <c r="Z1003" s="101"/>
      <c r="AA1003" s="101"/>
      <c r="AB1003" s="101"/>
      <c r="AC1003" s="101"/>
      <c r="AD1003" s="101"/>
      <c r="AE1003" s="101"/>
      <c r="AF1003" s="101"/>
    </row>
    <row r="1004" spans="1:32" ht="13.8">
      <c r="A1004" s="101"/>
      <c r="B1004" s="101"/>
      <c r="C1004" s="101"/>
      <c r="D1004" s="101"/>
      <c r="E1004" s="101"/>
      <c r="F1004" s="101"/>
      <c r="G1004" s="101"/>
      <c r="H1004" s="101"/>
      <c r="I1004" s="101"/>
      <c r="J1004" s="101"/>
      <c r="K1004" s="101"/>
      <c r="L1004" s="101"/>
      <c r="M1004" s="101"/>
      <c r="N1004" s="101"/>
      <c r="O1004" s="101"/>
      <c r="P1004" s="101"/>
      <c r="Q1004" s="101"/>
      <c r="R1004" s="101"/>
      <c r="S1004" s="101"/>
      <c r="T1004" s="101"/>
      <c r="U1004" s="101"/>
      <c r="V1004" s="101"/>
      <c r="W1004" s="101"/>
      <c r="X1004" s="101"/>
      <c r="Y1004" s="101"/>
      <c r="Z1004" s="101"/>
      <c r="AA1004" s="101"/>
      <c r="AB1004" s="101"/>
      <c r="AC1004" s="101"/>
      <c r="AD1004" s="101"/>
      <c r="AE1004" s="101"/>
      <c r="AF1004" s="101"/>
    </row>
    <row r="1005" spans="1:32" ht="13.8">
      <c r="A1005" s="101"/>
      <c r="B1005" s="101"/>
      <c r="C1005" s="101"/>
      <c r="D1005" s="101"/>
      <c r="E1005" s="101"/>
      <c r="F1005" s="101"/>
      <c r="G1005" s="101"/>
      <c r="H1005" s="101"/>
      <c r="I1005" s="101"/>
      <c r="J1005" s="101"/>
      <c r="K1005" s="101"/>
      <c r="L1005" s="101"/>
      <c r="M1005" s="101"/>
      <c r="N1005" s="101"/>
      <c r="O1005" s="101"/>
      <c r="P1005" s="101"/>
      <c r="Q1005" s="101"/>
      <c r="R1005" s="101"/>
      <c r="S1005" s="101"/>
      <c r="T1005" s="101"/>
      <c r="U1005" s="101"/>
      <c r="V1005" s="101"/>
      <c r="W1005" s="101"/>
      <c r="X1005" s="101"/>
      <c r="Y1005" s="101"/>
      <c r="Z1005" s="101"/>
      <c r="AA1005" s="101"/>
      <c r="AB1005" s="101"/>
      <c r="AC1005" s="101"/>
      <c r="AD1005" s="101"/>
      <c r="AE1005" s="101"/>
      <c r="AF1005" s="101"/>
    </row>
    <row r="1006" spans="1:32" ht="13.8">
      <c r="A1006" s="101"/>
      <c r="B1006" s="101"/>
      <c r="C1006" s="101"/>
      <c r="D1006" s="101"/>
      <c r="E1006" s="101"/>
      <c r="F1006" s="101"/>
      <c r="G1006" s="101"/>
      <c r="H1006" s="101"/>
      <c r="I1006" s="101"/>
      <c r="J1006" s="101"/>
      <c r="K1006" s="101"/>
      <c r="L1006" s="101"/>
      <c r="M1006" s="101"/>
      <c r="N1006" s="101"/>
      <c r="O1006" s="101"/>
      <c r="P1006" s="101"/>
      <c r="Q1006" s="101"/>
      <c r="R1006" s="101"/>
      <c r="S1006" s="101"/>
      <c r="T1006" s="101"/>
      <c r="U1006" s="101"/>
      <c r="V1006" s="101"/>
      <c r="W1006" s="101"/>
      <c r="X1006" s="101"/>
      <c r="Y1006" s="101"/>
      <c r="Z1006" s="101"/>
      <c r="AA1006" s="101"/>
      <c r="AB1006" s="101"/>
      <c r="AC1006" s="101"/>
      <c r="AD1006" s="101"/>
      <c r="AE1006" s="101"/>
      <c r="AF1006" s="101"/>
    </row>
    <row r="1007" spans="1:32" ht="13.8">
      <c r="A1007" s="101"/>
      <c r="B1007" s="101"/>
      <c r="C1007" s="101"/>
      <c r="D1007" s="101"/>
      <c r="E1007" s="101"/>
      <c r="F1007" s="101"/>
      <c r="G1007" s="101"/>
      <c r="H1007" s="101"/>
      <c r="I1007" s="101"/>
      <c r="J1007" s="101"/>
      <c r="K1007" s="101"/>
      <c r="L1007" s="101"/>
      <c r="M1007" s="101"/>
      <c r="N1007" s="101"/>
      <c r="O1007" s="101"/>
      <c r="P1007" s="101"/>
      <c r="Q1007" s="101"/>
      <c r="R1007" s="101"/>
      <c r="S1007" s="101"/>
      <c r="T1007" s="101"/>
      <c r="U1007" s="101"/>
      <c r="V1007" s="101"/>
      <c r="W1007" s="101"/>
      <c r="X1007" s="101"/>
      <c r="Y1007" s="101"/>
      <c r="Z1007" s="101"/>
      <c r="AA1007" s="101"/>
      <c r="AB1007" s="101"/>
      <c r="AC1007" s="101"/>
      <c r="AD1007" s="101"/>
      <c r="AE1007" s="101"/>
      <c r="AF1007" s="101"/>
    </row>
    <row r="1008" spans="1:32" ht="13.8">
      <c r="A1008" s="101"/>
      <c r="B1008" s="101"/>
      <c r="C1008" s="101"/>
      <c r="D1008" s="101"/>
      <c r="E1008" s="101"/>
      <c r="F1008" s="101"/>
      <c r="G1008" s="101"/>
      <c r="H1008" s="101"/>
      <c r="I1008" s="101"/>
      <c r="J1008" s="101"/>
      <c r="K1008" s="101"/>
      <c r="L1008" s="101"/>
      <c r="M1008" s="101"/>
      <c r="N1008" s="101"/>
      <c r="O1008" s="101"/>
      <c r="P1008" s="101"/>
      <c r="Q1008" s="101"/>
      <c r="R1008" s="101"/>
      <c r="S1008" s="101"/>
      <c r="T1008" s="101"/>
      <c r="U1008" s="101"/>
      <c r="V1008" s="101"/>
      <c r="W1008" s="101"/>
      <c r="X1008" s="101"/>
      <c r="Y1008" s="101"/>
      <c r="Z1008" s="101"/>
      <c r="AA1008" s="101"/>
      <c r="AB1008" s="101"/>
      <c r="AC1008" s="101"/>
      <c r="AD1008" s="101"/>
      <c r="AE1008" s="101"/>
      <c r="AF1008" s="101"/>
    </row>
    <row r="1009" spans="1:32" ht="13.8">
      <c r="A1009" s="101"/>
      <c r="B1009" s="101"/>
      <c r="C1009" s="101"/>
      <c r="D1009" s="101"/>
      <c r="E1009" s="101"/>
      <c r="F1009" s="101"/>
      <c r="G1009" s="101"/>
      <c r="H1009" s="101"/>
      <c r="I1009" s="101"/>
      <c r="J1009" s="101"/>
      <c r="K1009" s="101"/>
      <c r="L1009" s="101"/>
      <c r="M1009" s="101"/>
      <c r="N1009" s="101"/>
      <c r="O1009" s="101"/>
      <c r="P1009" s="101"/>
      <c r="Q1009" s="101"/>
      <c r="R1009" s="101"/>
      <c r="S1009" s="101"/>
      <c r="T1009" s="101"/>
      <c r="U1009" s="101"/>
      <c r="V1009" s="101"/>
      <c r="W1009" s="101"/>
      <c r="X1009" s="101"/>
      <c r="Y1009" s="101"/>
      <c r="Z1009" s="101"/>
      <c r="AA1009" s="101"/>
      <c r="AB1009" s="101"/>
      <c r="AC1009" s="101"/>
      <c r="AD1009" s="101"/>
      <c r="AE1009" s="101"/>
      <c r="AF1009" s="101"/>
    </row>
    <row r="1010" spans="1:32" ht="13.8">
      <c r="A1010" s="101"/>
      <c r="B1010" s="101"/>
      <c r="C1010" s="101"/>
      <c r="D1010" s="101"/>
      <c r="E1010" s="101"/>
      <c r="F1010" s="101"/>
      <c r="G1010" s="101"/>
      <c r="H1010" s="101"/>
      <c r="I1010" s="101"/>
      <c r="J1010" s="101"/>
      <c r="K1010" s="101"/>
      <c r="L1010" s="101"/>
      <c r="M1010" s="101"/>
      <c r="N1010" s="101"/>
      <c r="O1010" s="101"/>
      <c r="P1010" s="101"/>
      <c r="Q1010" s="101"/>
      <c r="R1010" s="101"/>
      <c r="S1010" s="101"/>
      <c r="T1010" s="101"/>
      <c r="U1010" s="101"/>
      <c r="V1010" s="101"/>
      <c r="W1010" s="101"/>
      <c r="X1010" s="101"/>
      <c r="Y1010" s="101"/>
      <c r="Z1010" s="101"/>
      <c r="AA1010" s="101"/>
      <c r="AB1010" s="101"/>
      <c r="AC1010" s="101"/>
      <c r="AD1010" s="101"/>
      <c r="AE1010" s="101"/>
      <c r="AF1010" s="101"/>
    </row>
    <row r="1011" spans="1:32" ht="13.8">
      <c r="A1011" s="101"/>
      <c r="B1011" s="101"/>
      <c r="C1011" s="101"/>
      <c r="D1011" s="101"/>
      <c r="E1011" s="101"/>
      <c r="F1011" s="101"/>
      <c r="G1011" s="101"/>
      <c r="H1011" s="101"/>
      <c r="I1011" s="101"/>
      <c r="J1011" s="101"/>
      <c r="K1011" s="101"/>
      <c r="L1011" s="101"/>
      <c r="M1011" s="101"/>
      <c r="N1011" s="101"/>
      <c r="O1011" s="101"/>
      <c r="P1011" s="101"/>
      <c r="Q1011" s="101"/>
      <c r="R1011" s="101"/>
      <c r="S1011" s="101"/>
      <c r="T1011" s="101"/>
      <c r="U1011" s="101"/>
      <c r="V1011" s="101"/>
      <c r="W1011" s="101"/>
      <c r="X1011" s="101"/>
      <c r="Y1011" s="101"/>
      <c r="Z1011" s="101"/>
      <c r="AA1011" s="101"/>
      <c r="AB1011" s="101"/>
      <c r="AC1011" s="101"/>
      <c r="AD1011" s="101"/>
      <c r="AE1011" s="101"/>
      <c r="AF1011" s="101"/>
    </row>
    <row r="1012" spans="1:32" ht="13.8">
      <c r="A1012" s="101"/>
      <c r="B1012" s="101"/>
      <c r="C1012" s="101"/>
      <c r="D1012" s="101"/>
      <c r="E1012" s="101"/>
      <c r="F1012" s="101"/>
      <c r="G1012" s="101"/>
      <c r="H1012" s="101"/>
      <c r="I1012" s="101"/>
      <c r="J1012" s="101"/>
      <c r="K1012" s="101"/>
      <c r="L1012" s="101"/>
      <c r="M1012" s="101"/>
      <c r="N1012" s="101"/>
      <c r="O1012" s="101"/>
      <c r="P1012" s="101"/>
      <c r="Q1012" s="101"/>
      <c r="R1012" s="101"/>
      <c r="S1012" s="101"/>
      <c r="T1012" s="101"/>
      <c r="U1012" s="101"/>
      <c r="V1012" s="101"/>
      <c r="W1012" s="101"/>
      <c r="X1012" s="101"/>
      <c r="Y1012" s="101"/>
      <c r="Z1012" s="101"/>
      <c r="AA1012" s="101"/>
      <c r="AB1012" s="101"/>
      <c r="AC1012" s="101"/>
      <c r="AD1012" s="101"/>
      <c r="AE1012" s="101"/>
      <c r="AF1012" s="101"/>
    </row>
    <row r="1013" spans="1:32" ht="13.8">
      <c r="A1013" s="101"/>
      <c r="B1013" s="101"/>
      <c r="C1013" s="101"/>
      <c r="D1013" s="101"/>
      <c r="E1013" s="101"/>
      <c r="F1013" s="101"/>
      <c r="G1013" s="101"/>
      <c r="H1013" s="101"/>
      <c r="I1013" s="101"/>
      <c r="J1013" s="101"/>
      <c r="K1013" s="101"/>
      <c r="L1013" s="101"/>
      <c r="M1013" s="101"/>
      <c r="N1013" s="101"/>
      <c r="O1013" s="101"/>
      <c r="P1013" s="101"/>
      <c r="Q1013" s="101"/>
      <c r="R1013" s="101"/>
      <c r="S1013" s="101"/>
      <c r="T1013" s="101"/>
      <c r="U1013" s="101"/>
      <c r="V1013" s="101"/>
      <c r="W1013" s="101"/>
      <c r="X1013" s="101"/>
      <c r="Y1013" s="101"/>
      <c r="Z1013" s="101"/>
      <c r="AA1013" s="101"/>
      <c r="AB1013" s="101"/>
      <c r="AC1013" s="101"/>
      <c r="AD1013" s="101"/>
      <c r="AE1013" s="101"/>
      <c r="AF1013" s="101"/>
    </row>
    <row r="1014" spans="1:32" ht="13.8">
      <c r="A1014" s="101"/>
      <c r="B1014" s="101"/>
      <c r="C1014" s="101"/>
      <c r="D1014" s="101"/>
      <c r="E1014" s="101"/>
      <c r="F1014" s="101"/>
      <c r="G1014" s="101"/>
      <c r="H1014" s="101"/>
      <c r="I1014" s="101"/>
      <c r="J1014" s="101"/>
      <c r="K1014" s="101"/>
      <c r="L1014" s="101"/>
      <c r="M1014" s="101"/>
      <c r="N1014" s="101"/>
      <c r="O1014" s="101"/>
      <c r="P1014" s="101"/>
      <c r="Q1014" s="101"/>
      <c r="R1014" s="101"/>
      <c r="S1014" s="101"/>
      <c r="T1014" s="101"/>
      <c r="U1014" s="101"/>
      <c r="V1014" s="101"/>
      <c r="W1014" s="101"/>
      <c r="X1014" s="101"/>
      <c r="Y1014" s="101"/>
      <c r="Z1014" s="101"/>
      <c r="AA1014" s="101"/>
      <c r="AB1014" s="101"/>
      <c r="AC1014" s="101"/>
      <c r="AD1014" s="101"/>
      <c r="AE1014" s="101"/>
      <c r="AF1014" s="101"/>
    </row>
    <row r="1015" spans="1:32" ht="13.8">
      <c r="A1015" s="101"/>
      <c r="B1015" s="101"/>
      <c r="C1015" s="101"/>
      <c r="D1015" s="101"/>
      <c r="E1015" s="101"/>
      <c r="F1015" s="101"/>
      <c r="G1015" s="101"/>
      <c r="H1015" s="101"/>
      <c r="I1015" s="101"/>
      <c r="J1015" s="101"/>
      <c r="K1015" s="101"/>
      <c r="L1015" s="101"/>
      <c r="M1015" s="101"/>
      <c r="N1015" s="101"/>
      <c r="O1015" s="101"/>
      <c r="P1015" s="101"/>
      <c r="Q1015" s="101"/>
      <c r="R1015" s="101"/>
      <c r="S1015" s="101"/>
      <c r="T1015" s="101"/>
      <c r="U1015" s="101"/>
      <c r="V1015" s="101"/>
      <c r="W1015" s="101"/>
      <c r="X1015" s="101"/>
      <c r="Y1015" s="101"/>
      <c r="Z1015" s="101"/>
      <c r="AA1015" s="101"/>
      <c r="AB1015" s="101"/>
      <c r="AC1015" s="101"/>
      <c r="AD1015" s="101"/>
      <c r="AE1015" s="101"/>
      <c r="AF1015" s="101"/>
    </row>
    <row r="1016" spans="1:32" ht="13.8">
      <c r="A1016" s="101"/>
      <c r="B1016" s="101"/>
      <c r="C1016" s="101"/>
      <c r="D1016" s="101"/>
      <c r="E1016" s="101"/>
      <c r="F1016" s="101"/>
      <c r="G1016" s="101"/>
      <c r="H1016" s="101"/>
      <c r="I1016" s="101"/>
      <c r="J1016" s="101"/>
      <c r="K1016" s="101"/>
      <c r="L1016" s="101"/>
      <c r="M1016" s="101"/>
      <c r="N1016" s="101"/>
      <c r="O1016" s="101"/>
      <c r="P1016" s="101"/>
      <c r="Q1016" s="101"/>
      <c r="R1016" s="101"/>
      <c r="S1016" s="101"/>
      <c r="T1016" s="101"/>
      <c r="U1016" s="101"/>
      <c r="V1016" s="101"/>
      <c r="W1016" s="101"/>
      <c r="X1016" s="101"/>
      <c r="Y1016" s="101"/>
      <c r="Z1016" s="101"/>
      <c r="AA1016" s="101"/>
      <c r="AB1016" s="101"/>
      <c r="AC1016" s="101"/>
      <c r="AD1016" s="101"/>
      <c r="AE1016" s="101"/>
      <c r="AF1016" s="101"/>
    </row>
    <row r="1017" spans="1:32" ht="13.8">
      <c r="A1017" s="101"/>
      <c r="B1017" s="101"/>
      <c r="C1017" s="101"/>
      <c r="D1017" s="101"/>
      <c r="E1017" s="101"/>
      <c r="F1017" s="101"/>
      <c r="G1017" s="101"/>
      <c r="H1017" s="101"/>
      <c r="I1017" s="101"/>
      <c r="J1017" s="101"/>
      <c r="K1017" s="101"/>
      <c r="L1017" s="101"/>
      <c r="M1017" s="101"/>
      <c r="N1017" s="101"/>
      <c r="O1017" s="101"/>
      <c r="P1017" s="101"/>
      <c r="Q1017" s="101"/>
      <c r="R1017" s="101"/>
      <c r="S1017" s="101"/>
      <c r="T1017" s="101"/>
      <c r="U1017" s="101"/>
      <c r="V1017" s="101"/>
      <c r="W1017" s="101"/>
      <c r="X1017" s="101"/>
      <c r="Y1017" s="101"/>
      <c r="Z1017" s="101"/>
      <c r="AA1017" s="101"/>
      <c r="AB1017" s="101"/>
      <c r="AC1017" s="101"/>
      <c r="AD1017" s="101"/>
      <c r="AE1017" s="101"/>
      <c r="AF1017" s="101"/>
    </row>
  </sheetData>
  <autoFilter ref="A2:AF252" xr:uid="{00000000-0009-0000-0000-000005000000}"/>
  <mergeCells count="6">
    <mergeCell ref="B266:C266"/>
    <mergeCell ref="A260:C260"/>
    <mergeCell ref="A261:C261"/>
    <mergeCell ref="A262:B262"/>
    <mergeCell ref="A263:C263"/>
    <mergeCell ref="A264:B26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998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/>
  <cols>
    <col min="1" max="1" width="9.109375" customWidth="1"/>
    <col min="3" max="3" width="38" customWidth="1"/>
    <col min="4" max="4" width="14.88671875" customWidth="1"/>
    <col min="6" max="6" width="24.88671875" customWidth="1"/>
    <col min="8" max="8" width="23.44140625" customWidth="1"/>
  </cols>
  <sheetData>
    <row r="1" spans="1:14" ht="15.75" customHeight="1">
      <c r="A1" s="357" t="s">
        <v>0</v>
      </c>
      <c r="B1" s="354"/>
      <c r="C1" s="354"/>
      <c r="D1" s="354"/>
      <c r="E1" s="354"/>
      <c r="F1" s="168"/>
      <c r="G1" s="168"/>
      <c r="H1" s="168"/>
      <c r="I1" s="168"/>
      <c r="J1" s="168"/>
      <c r="K1" s="168"/>
      <c r="L1" s="168"/>
      <c r="M1" s="168"/>
      <c r="N1" s="168"/>
    </row>
    <row r="2" spans="1:14" ht="15.75" customHeight="1">
      <c r="A2" s="8" t="s">
        <v>2</v>
      </c>
      <c r="B2" s="8" t="s">
        <v>3</v>
      </c>
      <c r="C2" s="8" t="s">
        <v>4</v>
      </c>
      <c r="D2" s="169" t="s">
        <v>5</v>
      </c>
      <c r="E2" s="8" t="s">
        <v>6</v>
      </c>
      <c r="F2" s="8" t="s">
        <v>8</v>
      </c>
      <c r="G2" s="8" t="s">
        <v>24</v>
      </c>
      <c r="H2" s="8" t="s">
        <v>10</v>
      </c>
      <c r="I2" s="8" t="s">
        <v>11</v>
      </c>
      <c r="J2" s="8" t="s">
        <v>12</v>
      </c>
      <c r="K2" s="8" t="s">
        <v>14</v>
      </c>
      <c r="L2" s="8" t="s">
        <v>15</v>
      </c>
      <c r="M2" s="8" t="s">
        <v>2947</v>
      </c>
      <c r="N2" s="8" t="s">
        <v>17</v>
      </c>
    </row>
    <row r="3" spans="1:14" ht="15.75" customHeight="1">
      <c r="A3" s="143" t="s">
        <v>2948</v>
      </c>
      <c r="B3" s="143" t="s">
        <v>49</v>
      </c>
      <c r="C3" s="143" t="s">
        <v>85</v>
      </c>
      <c r="D3" s="170" t="s">
        <v>86</v>
      </c>
      <c r="E3" s="171" t="s">
        <v>54</v>
      </c>
      <c r="F3" s="143" t="s">
        <v>2956</v>
      </c>
      <c r="G3" s="143" t="s">
        <v>2958</v>
      </c>
      <c r="H3" s="143" t="s">
        <v>2959</v>
      </c>
      <c r="I3" s="143" t="s">
        <v>916</v>
      </c>
      <c r="J3" s="143" t="s">
        <v>2903</v>
      </c>
      <c r="K3" s="143" t="s">
        <v>2960</v>
      </c>
      <c r="L3" s="143" t="s">
        <v>2962</v>
      </c>
      <c r="M3" s="143" t="s">
        <v>41</v>
      </c>
      <c r="N3" s="143"/>
    </row>
    <row r="4" spans="1:14" ht="15.75" customHeight="1">
      <c r="A4" s="28" t="s">
        <v>2948</v>
      </c>
      <c r="B4" s="28" t="s">
        <v>49</v>
      </c>
      <c r="C4" s="28" t="s">
        <v>85</v>
      </c>
      <c r="D4" s="172" t="s">
        <v>86</v>
      </c>
      <c r="E4" s="29" t="s">
        <v>2969</v>
      </c>
      <c r="F4" s="28" t="s">
        <v>2971</v>
      </c>
      <c r="G4" s="28" t="s">
        <v>2973</v>
      </c>
      <c r="H4" s="28" t="s">
        <v>2975</v>
      </c>
      <c r="I4" s="28" t="s">
        <v>2976</v>
      </c>
      <c r="J4" s="28" t="s">
        <v>2909</v>
      </c>
      <c r="K4" s="28" t="s">
        <v>2977</v>
      </c>
      <c r="L4" s="28" t="s">
        <v>2978</v>
      </c>
      <c r="M4" s="28" t="s">
        <v>41</v>
      </c>
      <c r="N4" s="28"/>
    </row>
    <row r="5" spans="1:14" ht="15.75" customHeight="1">
      <c r="A5" s="28" t="s">
        <v>2948</v>
      </c>
      <c r="B5" s="28" t="s">
        <v>49</v>
      </c>
      <c r="C5" s="28" t="s">
        <v>85</v>
      </c>
      <c r="D5" s="172" t="s">
        <v>86</v>
      </c>
      <c r="E5" s="29" t="s">
        <v>2969</v>
      </c>
      <c r="F5" s="28" t="s">
        <v>2980</v>
      </c>
      <c r="G5" s="28" t="s">
        <v>2981</v>
      </c>
      <c r="H5" s="28" t="s">
        <v>2983</v>
      </c>
      <c r="I5" s="28" t="s">
        <v>2984</v>
      </c>
      <c r="J5" s="28" t="s">
        <v>2939</v>
      </c>
      <c r="K5" s="28" t="s">
        <v>2983</v>
      </c>
      <c r="L5" s="28" t="s">
        <v>149</v>
      </c>
      <c r="M5" s="28" t="s">
        <v>41</v>
      </c>
      <c r="N5" s="28"/>
    </row>
    <row r="6" spans="1:14" ht="15.75" customHeight="1">
      <c r="A6" s="28" t="s">
        <v>2948</v>
      </c>
      <c r="B6" s="28" t="s">
        <v>49</v>
      </c>
      <c r="C6" s="28" t="s">
        <v>85</v>
      </c>
      <c r="D6" s="172" t="s">
        <v>86</v>
      </c>
      <c r="E6" s="29" t="s">
        <v>2969</v>
      </c>
      <c r="F6" s="28" t="s">
        <v>2988</v>
      </c>
      <c r="G6" s="29" t="s">
        <v>2990</v>
      </c>
      <c r="H6" s="28" t="s">
        <v>2992</v>
      </c>
      <c r="I6" s="28" t="s">
        <v>2994</v>
      </c>
      <c r="J6" s="28" t="s">
        <v>2915</v>
      </c>
      <c r="K6" s="28" t="s">
        <v>2992</v>
      </c>
      <c r="L6" s="28" t="s">
        <v>2996</v>
      </c>
      <c r="M6" s="28" t="s">
        <v>41</v>
      </c>
      <c r="N6" s="28"/>
    </row>
    <row r="7" spans="1:14" ht="15.75" customHeight="1">
      <c r="A7" s="28" t="s">
        <v>2948</v>
      </c>
      <c r="B7" s="28" t="s">
        <v>49</v>
      </c>
      <c r="C7" s="28" t="s">
        <v>85</v>
      </c>
      <c r="D7" s="172" t="s">
        <v>86</v>
      </c>
      <c r="E7" s="29" t="s">
        <v>2969</v>
      </c>
      <c r="F7" s="28" t="s">
        <v>2997</v>
      </c>
      <c r="G7" s="28" t="s">
        <v>2998</v>
      </c>
      <c r="H7" s="28" t="s">
        <v>3000</v>
      </c>
      <c r="I7" s="28" t="s">
        <v>3002</v>
      </c>
      <c r="J7" s="28" t="s">
        <v>2934</v>
      </c>
      <c r="K7" s="28" t="s">
        <v>3000</v>
      </c>
      <c r="L7" s="28" t="s">
        <v>3006</v>
      </c>
      <c r="M7" s="28" t="s">
        <v>41</v>
      </c>
      <c r="N7" s="28"/>
    </row>
    <row r="8" spans="1:14" ht="15.75" customHeight="1">
      <c r="A8" s="28" t="s">
        <v>2948</v>
      </c>
      <c r="B8" s="28" t="s">
        <v>49</v>
      </c>
      <c r="C8" s="28" t="s">
        <v>85</v>
      </c>
      <c r="D8" s="172" t="s">
        <v>86</v>
      </c>
      <c r="E8" s="29" t="s">
        <v>2969</v>
      </c>
      <c r="F8" s="28" t="s">
        <v>3007</v>
      </c>
      <c r="G8" s="28" t="s">
        <v>3008</v>
      </c>
      <c r="H8" s="28" t="s">
        <v>3010</v>
      </c>
      <c r="I8" s="28" t="s">
        <v>3011</v>
      </c>
      <c r="J8" s="28" t="s">
        <v>3013</v>
      </c>
      <c r="K8" s="28" t="s">
        <v>3010</v>
      </c>
      <c r="L8" s="28" t="s">
        <v>989</v>
      </c>
      <c r="M8" s="28" t="s">
        <v>41</v>
      </c>
      <c r="N8" s="28"/>
    </row>
    <row r="9" spans="1:14" ht="15.75" customHeight="1">
      <c r="A9" s="28" t="s">
        <v>2948</v>
      </c>
      <c r="B9" s="28" t="s">
        <v>49</v>
      </c>
      <c r="C9" s="28" t="s">
        <v>85</v>
      </c>
      <c r="D9" s="172" t="s">
        <v>86</v>
      </c>
      <c r="E9" s="29" t="s">
        <v>2969</v>
      </c>
      <c r="F9" s="28" t="s">
        <v>3018</v>
      </c>
      <c r="G9" s="28" t="s">
        <v>3019</v>
      </c>
      <c r="H9" s="28" t="s">
        <v>3020</v>
      </c>
      <c r="I9" s="28" t="s">
        <v>3021</v>
      </c>
      <c r="J9" s="28" t="s">
        <v>2945</v>
      </c>
      <c r="K9" s="28" t="s">
        <v>3022</v>
      </c>
      <c r="L9" s="28" t="s">
        <v>3023</v>
      </c>
      <c r="M9" s="28" t="s">
        <v>41</v>
      </c>
      <c r="N9" s="28"/>
    </row>
    <row r="10" spans="1:14" ht="15.75" customHeight="1">
      <c r="A10" s="28" t="s">
        <v>2948</v>
      </c>
      <c r="B10" s="28" t="s">
        <v>49</v>
      </c>
      <c r="C10" s="28" t="s">
        <v>85</v>
      </c>
      <c r="D10" s="172" t="s">
        <v>86</v>
      </c>
      <c r="E10" s="29" t="s">
        <v>2969</v>
      </c>
      <c r="F10" s="28" t="s">
        <v>3026</v>
      </c>
      <c r="G10" s="28" t="s">
        <v>3027</v>
      </c>
      <c r="H10" s="28" t="s">
        <v>3028</v>
      </c>
      <c r="I10" s="28" t="s">
        <v>3029</v>
      </c>
      <c r="J10" s="28" t="s">
        <v>2951</v>
      </c>
      <c r="K10" s="28" t="s">
        <v>3022</v>
      </c>
      <c r="L10" s="28" t="s">
        <v>3031</v>
      </c>
      <c r="M10" s="28" t="s">
        <v>41</v>
      </c>
      <c r="N10" s="28"/>
    </row>
    <row r="11" spans="1:14" ht="15.75" customHeight="1">
      <c r="A11" s="28" t="s">
        <v>2948</v>
      </c>
      <c r="B11" s="28" t="s">
        <v>49</v>
      </c>
      <c r="C11" s="28" t="s">
        <v>85</v>
      </c>
      <c r="D11" s="172" t="s">
        <v>86</v>
      </c>
      <c r="E11" s="29" t="s">
        <v>2969</v>
      </c>
      <c r="F11" s="28" t="s">
        <v>3034</v>
      </c>
      <c r="G11" s="28" t="s">
        <v>3036</v>
      </c>
      <c r="H11" s="28" t="s">
        <v>3037</v>
      </c>
      <c r="I11" s="28" t="s">
        <v>3038</v>
      </c>
      <c r="J11" s="28" t="s">
        <v>3040</v>
      </c>
      <c r="K11" s="28" t="s">
        <v>3037</v>
      </c>
      <c r="L11" s="28" t="s">
        <v>3042</v>
      </c>
      <c r="M11" s="28" t="s">
        <v>41</v>
      </c>
      <c r="N11" s="28"/>
    </row>
    <row r="12" spans="1:14" ht="15.75" customHeight="1">
      <c r="A12" s="28" t="s">
        <v>2948</v>
      </c>
      <c r="B12" s="28" t="s">
        <v>49</v>
      </c>
      <c r="C12" s="28" t="s">
        <v>85</v>
      </c>
      <c r="D12" s="172" t="s">
        <v>86</v>
      </c>
      <c r="E12" s="29" t="s">
        <v>2969</v>
      </c>
      <c r="F12" s="28" t="s">
        <v>3043</v>
      </c>
      <c r="G12" s="28" t="s">
        <v>3044</v>
      </c>
      <c r="H12" s="28" t="s">
        <v>3037</v>
      </c>
      <c r="I12" s="28" t="s">
        <v>3038</v>
      </c>
      <c r="J12" s="28" t="s">
        <v>3046</v>
      </c>
      <c r="K12" s="28" t="s">
        <v>3022</v>
      </c>
      <c r="L12" s="28" t="s">
        <v>3042</v>
      </c>
      <c r="M12" s="28" t="s">
        <v>41</v>
      </c>
      <c r="N12" s="28"/>
    </row>
    <row r="13" spans="1:14" ht="15.75" customHeight="1">
      <c r="A13" s="28" t="s">
        <v>2948</v>
      </c>
      <c r="B13" s="28" t="s">
        <v>49</v>
      </c>
      <c r="C13" s="28" t="s">
        <v>85</v>
      </c>
      <c r="D13" s="172" t="s">
        <v>86</v>
      </c>
      <c r="E13" s="29" t="s">
        <v>2969</v>
      </c>
      <c r="F13" s="28" t="s">
        <v>3049</v>
      </c>
      <c r="G13" s="28" t="s">
        <v>3051</v>
      </c>
      <c r="H13" s="28" t="s">
        <v>3052</v>
      </c>
      <c r="I13" s="28" t="s">
        <v>567</v>
      </c>
      <c r="J13" s="28" t="s">
        <v>2955</v>
      </c>
      <c r="K13" s="28" t="s">
        <v>3052</v>
      </c>
      <c r="L13" s="28" t="s">
        <v>3042</v>
      </c>
      <c r="M13" s="28" t="s">
        <v>41</v>
      </c>
      <c r="N13" s="28"/>
    </row>
    <row r="14" spans="1:14" ht="15.75" customHeight="1">
      <c r="A14" s="28" t="s">
        <v>2948</v>
      </c>
      <c r="B14" s="28" t="s">
        <v>49</v>
      </c>
      <c r="C14" s="28" t="s">
        <v>85</v>
      </c>
      <c r="D14" s="172" t="s">
        <v>86</v>
      </c>
      <c r="E14" s="29" t="s">
        <v>2969</v>
      </c>
      <c r="F14" s="28" t="s">
        <v>3056</v>
      </c>
      <c r="G14" s="28" t="s">
        <v>3057</v>
      </c>
      <c r="H14" s="28" t="s">
        <v>3058</v>
      </c>
      <c r="I14" s="28" t="s">
        <v>3059</v>
      </c>
      <c r="J14" s="28" t="s">
        <v>3060</v>
      </c>
      <c r="K14" s="28" t="s">
        <v>3058</v>
      </c>
      <c r="L14" s="28" t="s">
        <v>3061</v>
      </c>
      <c r="M14" s="28" t="s">
        <v>41</v>
      </c>
      <c r="N14" s="28"/>
    </row>
    <row r="15" spans="1:14" ht="15.75" customHeight="1">
      <c r="A15" s="28" t="s">
        <v>2948</v>
      </c>
      <c r="B15" s="28" t="s">
        <v>49</v>
      </c>
      <c r="C15" s="28" t="s">
        <v>85</v>
      </c>
      <c r="D15" s="172" t="s">
        <v>86</v>
      </c>
      <c r="E15" s="29" t="s">
        <v>2969</v>
      </c>
      <c r="F15" s="28" t="s">
        <v>3067</v>
      </c>
      <c r="G15" s="28" t="s">
        <v>3068</v>
      </c>
      <c r="H15" s="28" t="s">
        <v>3069</v>
      </c>
      <c r="I15" s="28" t="s">
        <v>3070</v>
      </c>
      <c r="J15" s="28" t="s">
        <v>3071</v>
      </c>
      <c r="K15" s="28" t="s">
        <v>3069</v>
      </c>
      <c r="L15" s="28" t="s">
        <v>2996</v>
      </c>
      <c r="M15" s="28" t="s">
        <v>41</v>
      </c>
      <c r="N15" s="28"/>
    </row>
    <row r="16" spans="1:14" ht="15.75" customHeight="1">
      <c r="A16" s="28" t="s">
        <v>2948</v>
      </c>
      <c r="B16" s="28" t="s">
        <v>49</v>
      </c>
      <c r="C16" s="28" t="s">
        <v>85</v>
      </c>
      <c r="D16" s="172" t="s">
        <v>86</v>
      </c>
      <c r="E16" s="29" t="s">
        <v>2969</v>
      </c>
      <c r="F16" s="28" t="s">
        <v>3075</v>
      </c>
      <c r="G16" s="28" t="s">
        <v>3076</v>
      </c>
      <c r="H16" s="28" t="s">
        <v>3077</v>
      </c>
      <c r="I16" s="28" t="s">
        <v>3078</v>
      </c>
      <c r="J16" s="28" t="s">
        <v>2920</v>
      </c>
      <c r="K16" s="28" t="s">
        <v>3022</v>
      </c>
      <c r="L16" s="28" t="s">
        <v>2996</v>
      </c>
      <c r="M16" s="28" t="s">
        <v>41</v>
      </c>
      <c r="N16" s="28"/>
    </row>
    <row r="17" spans="1:26" ht="15.75" customHeight="1">
      <c r="A17" s="28" t="s">
        <v>2948</v>
      </c>
      <c r="B17" s="28" t="s">
        <v>49</v>
      </c>
      <c r="C17" s="28" t="s">
        <v>85</v>
      </c>
      <c r="D17" s="172" t="s">
        <v>86</v>
      </c>
      <c r="E17" s="29" t="s">
        <v>2969</v>
      </c>
      <c r="F17" s="28" t="s">
        <v>3080</v>
      </c>
      <c r="G17" s="28" t="s">
        <v>3081</v>
      </c>
      <c r="H17" s="28" t="s">
        <v>3082</v>
      </c>
      <c r="I17" s="28" t="s">
        <v>3083</v>
      </c>
      <c r="J17" s="28" t="s">
        <v>2928</v>
      </c>
      <c r="K17" s="28" t="s">
        <v>3082</v>
      </c>
      <c r="L17" s="28" t="s">
        <v>2996</v>
      </c>
      <c r="M17" s="28" t="s">
        <v>41</v>
      </c>
      <c r="N17" s="28"/>
    </row>
    <row r="18" spans="1:26" ht="14.4">
      <c r="A18" s="28" t="s">
        <v>2948</v>
      </c>
      <c r="B18" s="28" t="s">
        <v>49</v>
      </c>
      <c r="C18" s="28" t="s">
        <v>85</v>
      </c>
      <c r="D18" s="172" t="s">
        <v>86</v>
      </c>
      <c r="E18" s="29" t="s">
        <v>2969</v>
      </c>
      <c r="F18" s="28" t="s">
        <v>3086</v>
      </c>
      <c r="G18" s="28" t="s">
        <v>3087</v>
      </c>
      <c r="H18" s="28" t="s">
        <v>3090</v>
      </c>
      <c r="I18" s="28" t="s">
        <v>3091</v>
      </c>
      <c r="J18" s="28" t="s">
        <v>3092</v>
      </c>
      <c r="K18" s="28" t="s">
        <v>3090</v>
      </c>
      <c r="L18" s="28" t="s">
        <v>3093</v>
      </c>
      <c r="M18" s="28" t="s">
        <v>41</v>
      </c>
      <c r="N18" s="28"/>
    </row>
    <row r="19" spans="1:26" ht="14.4">
      <c r="A19" s="28" t="s">
        <v>2948</v>
      </c>
      <c r="B19" s="28" t="s">
        <v>49</v>
      </c>
      <c r="C19" s="28" t="s">
        <v>220</v>
      </c>
      <c r="D19" s="172" t="s">
        <v>234</v>
      </c>
      <c r="E19" s="29" t="s">
        <v>2969</v>
      </c>
      <c r="F19" s="28" t="s">
        <v>3099</v>
      </c>
      <c r="G19" s="28" t="s">
        <v>3100</v>
      </c>
      <c r="H19" s="28" t="s">
        <v>2992</v>
      </c>
      <c r="I19" s="28" t="s">
        <v>2994</v>
      </c>
      <c r="J19" s="28" t="s">
        <v>3101</v>
      </c>
      <c r="K19" s="28" t="s">
        <v>3102</v>
      </c>
      <c r="L19" s="28" t="s">
        <v>2996</v>
      </c>
      <c r="M19" s="28" t="s">
        <v>41</v>
      </c>
      <c r="N19" s="28"/>
    </row>
    <row r="20" spans="1:26" ht="14.4">
      <c r="A20" s="28" t="s">
        <v>2948</v>
      </c>
      <c r="B20" s="28" t="s">
        <v>49</v>
      </c>
      <c r="C20" s="28" t="s">
        <v>220</v>
      </c>
      <c r="D20" s="172" t="s">
        <v>234</v>
      </c>
      <c r="E20" s="29" t="s">
        <v>2969</v>
      </c>
      <c r="F20" s="28" t="s">
        <v>3104</v>
      </c>
      <c r="G20" s="28" t="s">
        <v>3105</v>
      </c>
      <c r="H20" s="28" t="s">
        <v>2992</v>
      </c>
      <c r="I20" s="28" t="s">
        <v>2994</v>
      </c>
      <c r="J20" s="28" t="s">
        <v>3101</v>
      </c>
      <c r="K20" s="28" t="s">
        <v>3102</v>
      </c>
      <c r="L20" s="28" t="s">
        <v>2996</v>
      </c>
      <c r="M20" s="28" t="s">
        <v>41</v>
      </c>
      <c r="N20" s="28"/>
    </row>
    <row r="21" spans="1:26" ht="14.4">
      <c r="A21" s="28" t="s">
        <v>2948</v>
      </c>
      <c r="B21" s="28" t="s">
        <v>49</v>
      </c>
      <c r="C21" s="28" t="s">
        <v>220</v>
      </c>
      <c r="D21" s="172" t="s">
        <v>234</v>
      </c>
      <c r="E21" s="29" t="s">
        <v>2969</v>
      </c>
      <c r="F21" s="28" t="s">
        <v>3107</v>
      </c>
      <c r="G21" s="28" t="s">
        <v>3108</v>
      </c>
      <c r="H21" s="28" t="s">
        <v>3000</v>
      </c>
      <c r="I21" s="28" t="s">
        <v>3002</v>
      </c>
      <c r="J21" s="28" t="s">
        <v>3109</v>
      </c>
      <c r="K21" s="28" t="s">
        <v>3022</v>
      </c>
      <c r="L21" s="28" t="s">
        <v>3006</v>
      </c>
      <c r="M21" s="28" t="s">
        <v>41</v>
      </c>
      <c r="N21" s="28"/>
    </row>
    <row r="22" spans="1:26" ht="14.4">
      <c r="A22" s="28" t="s">
        <v>2948</v>
      </c>
      <c r="B22" s="28" t="s">
        <v>49</v>
      </c>
      <c r="C22" s="28" t="s">
        <v>220</v>
      </c>
      <c r="D22" s="172" t="s">
        <v>234</v>
      </c>
      <c r="E22" s="29" t="s">
        <v>2969</v>
      </c>
      <c r="F22" s="28" t="s">
        <v>3114</v>
      </c>
      <c r="G22" s="28" t="s">
        <v>3115</v>
      </c>
      <c r="H22" s="28" t="s">
        <v>3117</v>
      </c>
      <c r="I22" s="28" t="s">
        <v>3070</v>
      </c>
      <c r="J22" s="28" t="s">
        <v>3118</v>
      </c>
      <c r="K22" s="28" t="s">
        <v>3022</v>
      </c>
      <c r="L22" s="28" t="s">
        <v>2996</v>
      </c>
      <c r="M22" s="28" t="s">
        <v>41</v>
      </c>
      <c r="N22" s="28"/>
    </row>
    <row r="23" spans="1:26" ht="14.4">
      <c r="A23" s="28" t="s">
        <v>2948</v>
      </c>
      <c r="B23" s="28" t="s">
        <v>49</v>
      </c>
      <c r="C23" s="28" t="s">
        <v>220</v>
      </c>
      <c r="D23" s="172" t="s">
        <v>234</v>
      </c>
      <c r="E23" s="29" t="s">
        <v>2969</v>
      </c>
      <c r="F23" s="28" t="s">
        <v>3120</v>
      </c>
      <c r="G23" s="28" t="s">
        <v>3122</v>
      </c>
      <c r="H23" s="28" t="s">
        <v>3069</v>
      </c>
      <c r="I23" s="28" t="s">
        <v>2994</v>
      </c>
      <c r="J23" s="28" t="s">
        <v>3123</v>
      </c>
      <c r="K23" s="28" t="s">
        <v>3022</v>
      </c>
      <c r="L23" s="28" t="s">
        <v>2996</v>
      </c>
      <c r="M23" s="28" t="s">
        <v>41</v>
      </c>
      <c r="N23" s="28"/>
    </row>
    <row r="24" spans="1:26" ht="14.4">
      <c r="A24" s="28" t="s">
        <v>2948</v>
      </c>
      <c r="B24" s="28" t="s">
        <v>49</v>
      </c>
      <c r="C24" s="28" t="s">
        <v>220</v>
      </c>
      <c r="D24" s="172" t="s">
        <v>234</v>
      </c>
      <c r="E24" s="29" t="s">
        <v>2969</v>
      </c>
      <c r="F24" s="28" t="s">
        <v>3127</v>
      </c>
      <c r="G24" s="28" t="s">
        <v>3128</v>
      </c>
      <c r="H24" s="28" t="s">
        <v>3082</v>
      </c>
      <c r="I24" s="28" t="s">
        <v>3083</v>
      </c>
      <c r="J24" s="28" t="s">
        <v>3129</v>
      </c>
      <c r="K24" s="28" t="s">
        <v>3022</v>
      </c>
      <c r="L24" s="28" t="s">
        <v>2996</v>
      </c>
      <c r="M24" s="28" t="s">
        <v>41</v>
      </c>
      <c r="N24" s="28"/>
    </row>
    <row r="25" spans="1:26" ht="14.4">
      <c r="A25" s="28" t="s">
        <v>2948</v>
      </c>
      <c r="B25" s="28" t="s">
        <v>49</v>
      </c>
      <c r="C25" s="28" t="s">
        <v>220</v>
      </c>
      <c r="D25" s="172" t="s">
        <v>234</v>
      </c>
      <c r="E25" s="29" t="s">
        <v>2969</v>
      </c>
      <c r="F25" s="28" t="s">
        <v>3130</v>
      </c>
      <c r="G25" s="28" t="s">
        <v>3131</v>
      </c>
      <c r="H25" s="28" t="s">
        <v>3020</v>
      </c>
      <c r="I25" s="28" t="s">
        <v>3021</v>
      </c>
      <c r="J25" s="28" t="s">
        <v>3133</v>
      </c>
      <c r="K25" s="28" t="s">
        <v>3022</v>
      </c>
      <c r="L25" s="28" t="s">
        <v>3023</v>
      </c>
      <c r="M25" s="28" t="s">
        <v>41</v>
      </c>
      <c r="N25" s="28"/>
    </row>
    <row r="26" spans="1:26" ht="14.4">
      <c r="A26" s="28" t="s">
        <v>2948</v>
      </c>
      <c r="B26" s="28" t="s">
        <v>49</v>
      </c>
      <c r="C26" s="28" t="s">
        <v>233</v>
      </c>
      <c r="D26" s="172" t="s">
        <v>298</v>
      </c>
      <c r="E26" s="29" t="s">
        <v>2969</v>
      </c>
      <c r="F26" s="28" t="s">
        <v>3135</v>
      </c>
      <c r="G26" s="28"/>
      <c r="H26" s="28" t="s">
        <v>3136</v>
      </c>
      <c r="I26" s="28" t="s">
        <v>3137</v>
      </c>
      <c r="J26" s="28" t="s">
        <v>3138</v>
      </c>
      <c r="K26" s="28" t="s">
        <v>3136</v>
      </c>
      <c r="L26" s="28" t="s">
        <v>815</v>
      </c>
      <c r="M26" s="28" t="s">
        <v>41</v>
      </c>
      <c r="N26" s="28" t="s">
        <v>3140</v>
      </c>
    </row>
    <row r="27" spans="1:26" ht="14.4">
      <c r="A27" s="28" t="s">
        <v>2948</v>
      </c>
      <c r="B27" s="28" t="s">
        <v>49</v>
      </c>
      <c r="C27" s="28" t="s">
        <v>233</v>
      </c>
      <c r="D27" s="172" t="s">
        <v>298</v>
      </c>
      <c r="E27" s="29" t="s">
        <v>2969</v>
      </c>
      <c r="F27" s="28" t="s">
        <v>3142</v>
      </c>
      <c r="G27" s="28"/>
      <c r="H27" s="28" t="s">
        <v>3052</v>
      </c>
      <c r="I27" s="28" t="s">
        <v>3038</v>
      </c>
      <c r="J27" s="28" t="s">
        <v>3143</v>
      </c>
      <c r="K27" s="28" t="s">
        <v>3022</v>
      </c>
      <c r="L27" s="28" t="s">
        <v>3042</v>
      </c>
      <c r="M27" s="28" t="s">
        <v>41</v>
      </c>
      <c r="N27" s="28"/>
    </row>
    <row r="28" spans="1:26" ht="14.4">
      <c r="A28" s="28" t="s">
        <v>2948</v>
      </c>
      <c r="B28" s="28" t="s">
        <v>49</v>
      </c>
      <c r="C28" s="28" t="s">
        <v>233</v>
      </c>
      <c r="D28" s="172" t="s">
        <v>298</v>
      </c>
      <c r="E28" s="29" t="s">
        <v>2969</v>
      </c>
      <c r="F28" s="28" t="s">
        <v>3145</v>
      </c>
      <c r="G28" s="28"/>
      <c r="H28" s="28" t="s">
        <v>3010</v>
      </c>
      <c r="I28" s="28" t="s">
        <v>3011</v>
      </c>
      <c r="J28" s="28" t="s">
        <v>3146</v>
      </c>
      <c r="K28" s="28" t="s">
        <v>3010</v>
      </c>
      <c r="L28" s="28" t="s">
        <v>989</v>
      </c>
      <c r="M28" s="28" t="s">
        <v>41</v>
      </c>
      <c r="N28" s="28"/>
    </row>
    <row r="29" spans="1:26" ht="14.4">
      <c r="A29" s="28" t="s">
        <v>2948</v>
      </c>
      <c r="B29" s="28" t="s">
        <v>49</v>
      </c>
      <c r="C29" s="28" t="s">
        <v>233</v>
      </c>
      <c r="D29" s="172" t="s">
        <v>298</v>
      </c>
      <c r="E29" s="29" t="s">
        <v>2969</v>
      </c>
      <c r="F29" s="28" t="s">
        <v>3153</v>
      </c>
      <c r="G29" s="28"/>
      <c r="H29" s="28" t="s">
        <v>3154</v>
      </c>
      <c r="I29" s="28" t="s">
        <v>3155</v>
      </c>
      <c r="J29" s="28" t="s">
        <v>328</v>
      </c>
      <c r="K29" s="28" t="s">
        <v>3154</v>
      </c>
      <c r="L29" s="28" t="s">
        <v>3157</v>
      </c>
      <c r="M29" s="28" t="s">
        <v>41</v>
      </c>
      <c r="N29" s="28"/>
    </row>
    <row r="30" spans="1:26" ht="14.4">
      <c r="A30" s="28" t="s">
        <v>2948</v>
      </c>
      <c r="B30" s="28" t="s">
        <v>49</v>
      </c>
      <c r="C30" s="28" t="s">
        <v>296</v>
      </c>
      <c r="D30" s="172" t="s">
        <v>954</v>
      </c>
      <c r="E30" s="29" t="s">
        <v>2969</v>
      </c>
      <c r="F30" s="79" t="s">
        <v>3162</v>
      </c>
      <c r="G30" s="28" t="s">
        <v>3163</v>
      </c>
      <c r="H30" s="28" t="s">
        <v>3037</v>
      </c>
      <c r="I30" s="28" t="s">
        <v>3059</v>
      </c>
      <c r="J30" s="28" t="s">
        <v>3164</v>
      </c>
      <c r="K30" s="28" t="s">
        <v>3167</v>
      </c>
      <c r="L30" s="28" t="s">
        <v>3168</v>
      </c>
      <c r="M30" s="28" t="s">
        <v>41</v>
      </c>
      <c r="N30" s="28"/>
    </row>
    <row r="31" spans="1:26" ht="14.4">
      <c r="A31" s="28" t="s">
        <v>2948</v>
      </c>
      <c r="B31" s="28" t="s">
        <v>49</v>
      </c>
      <c r="C31" s="28" t="s">
        <v>306</v>
      </c>
      <c r="D31" s="177" t="s">
        <v>341</v>
      </c>
      <c r="E31" s="29" t="s">
        <v>2969</v>
      </c>
      <c r="F31" s="28" t="s">
        <v>3173</v>
      </c>
      <c r="G31" s="28" t="s">
        <v>3174</v>
      </c>
      <c r="H31" s="28" t="s">
        <v>3154</v>
      </c>
      <c r="I31" s="28" t="s">
        <v>1800</v>
      </c>
      <c r="J31" s="28" t="s">
        <v>2306</v>
      </c>
      <c r="K31" s="28" t="s">
        <v>3175</v>
      </c>
      <c r="L31" s="28" t="s">
        <v>3176</v>
      </c>
      <c r="M31" s="28" t="s">
        <v>41</v>
      </c>
      <c r="N31" s="28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 ht="14.4">
      <c r="A32" s="28" t="s">
        <v>2948</v>
      </c>
      <c r="B32" s="28" t="s">
        <v>49</v>
      </c>
      <c r="C32" s="28" t="s">
        <v>306</v>
      </c>
      <c r="D32" s="172" t="s">
        <v>341</v>
      </c>
      <c r="E32" s="29" t="s">
        <v>2969</v>
      </c>
      <c r="F32" s="28" t="s">
        <v>3184</v>
      </c>
      <c r="G32" s="28" t="s">
        <v>3185</v>
      </c>
      <c r="H32" s="28" t="s">
        <v>3154</v>
      </c>
      <c r="I32" s="28" t="s">
        <v>3186</v>
      </c>
      <c r="J32" s="28" t="s">
        <v>3188</v>
      </c>
      <c r="K32" s="28" t="s">
        <v>3022</v>
      </c>
      <c r="L32" s="28" t="s">
        <v>2996</v>
      </c>
      <c r="M32" s="28" t="s">
        <v>41</v>
      </c>
      <c r="N32" s="28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1:14" ht="14.4">
      <c r="A33" s="28" t="s">
        <v>2948</v>
      </c>
      <c r="B33" s="28" t="s">
        <v>3194</v>
      </c>
      <c r="C33" s="28" t="s">
        <v>85</v>
      </c>
      <c r="D33" s="172" t="s">
        <v>86</v>
      </c>
      <c r="E33" s="29" t="s">
        <v>2969</v>
      </c>
      <c r="F33" s="28" t="s">
        <v>3196</v>
      </c>
      <c r="G33" s="28" t="s">
        <v>3197</v>
      </c>
      <c r="H33" s="28" t="s">
        <v>3198</v>
      </c>
      <c r="I33" s="28" t="s">
        <v>3200</v>
      </c>
      <c r="J33" s="28" t="s">
        <v>3202</v>
      </c>
      <c r="K33" s="28" t="s">
        <v>3198</v>
      </c>
      <c r="L33" s="28" t="s">
        <v>2895</v>
      </c>
      <c r="M33" s="28" t="s">
        <v>41</v>
      </c>
      <c r="N33" s="28"/>
    </row>
    <row r="34" spans="1:14" ht="14.4">
      <c r="A34" s="28" t="s">
        <v>2948</v>
      </c>
      <c r="B34" s="28" t="s">
        <v>3194</v>
      </c>
      <c r="C34" s="28" t="s">
        <v>85</v>
      </c>
      <c r="D34" s="172" t="s">
        <v>86</v>
      </c>
      <c r="E34" s="29" t="s">
        <v>2969</v>
      </c>
      <c r="F34" s="28" t="s">
        <v>3208</v>
      </c>
      <c r="G34" s="28" t="s">
        <v>3209</v>
      </c>
      <c r="H34" s="28" t="s">
        <v>3210</v>
      </c>
      <c r="I34" s="28" t="s">
        <v>689</v>
      </c>
      <c r="J34" s="28" t="s">
        <v>3212</v>
      </c>
      <c r="K34" s="28" t="s">
        <v>3210</v>
      </c>
      <c r="L34" s="28" t="s">
        <v>989</v>
      </c>
      <c r="M34" s="28" t="s">
        <v>41</v>
      </c>
      <c r="N34" s="28"/>
    </row>
    <row r="35" spans="1:14" ht="14.4">
      <c r="A35" s="28" t="s">
        <v>2948</v>
      </c>
      <c r="B35" s="28" t="s">
        <v>3194</v>
      </c>
      <c r="C35" s="28" t="s">
        <v>85</v>
      </c>
      <c r="D35" s="172" t="s">
        <v>86</v>
      </c>
      <c r="E35" s="29" t="s">
        <v>2969</v>
      </c>
      <c r="F35" s="28" t="s">
        <v>3218</v>
      </c>
      <c r="G35" s="28" t="s">
        <v>3219</v>
      </c>
      <c r="H35" s="28" t="s">
        <v>3221</v>
      </c>
      <c r="I35" s="28" t="s">
        <v>769</v>
      </c>
      <c r="J35" s="28" t="s">
        <v>3223</v>
      </c>
      <c r="K35" s="28" t="s">
        <v>3221</v>
      </c>
      <c r="L35" s="28" t="s">
        <v>989</v>
      </c>
      <c r="M35" s="28" t="s">
        <v>41</v>
      </c>
      <c r="N35" s="28"/>
    </row>
    <row r="36" spans="1:14" ht="14.4">
      <c r="A36" s="28" t="s">
        <v>2948</v>
      </c>
      <c r="B36" s="28" t="s">
        <v>3194</v>
      </c>
      <c r="C36" s="28" t="s">
        <v>85</v>
      </c>
      <c r="D36" s="172" t="s">
        <v>86</v>
      </c>
      <c r="E36" s="29" t="s">
        <v>2969</v>
      </c>
      <c r="F36" s="28" t="s">
        <v>3225</v>
      </c>
      <c r="G36" s="28" t="s">
        <v>3226</v>
      </c>
      <c r="H36" s="28" t="s">
        <v>3228</v>
      </c>
      <c r="I36" s="28" t="s">
        <v>218</v>
      </c>
      <c r="J36" s="28" t="s">
        <v>3231</v>
      </c>
      <c r="K36" s="28" t="s">
        <v>3228</v>
      </c>
      <c r="L36" s="28" t="s">
        <v>989</v>
      </c>
      <c r="M36" s="28" t="s">
        <v>41</v>
      </c>
      <c r="N36" s="28"/>
    </row>
    <row r="37" spans="1:14" ht="14.4">
      <c r="A37" s="28" t="s">
        <v>2948</v>
      </c>
      <c r="B37" s="28" t="s">
        <v>3194</v>
      </c>
      <c r="C37" s="28" t="s">
        <v>85</v>
      </c>
      <c r="D37" s="172" t="s">
        <v>86</v>
      </c>
      <c r="E37" s="29" t="s">
        <v>2969</v>
      </c>
      <c r="F37" s="28" t="s">
        <v>3234</v>
      </c>
      <c r="G37" s="28" t="s">
        <v>3235</v>
      </c>
      <c r="H37" s="28" t="s">
        <v>3237</v>
      </c>
      <c r="I37" s="28" t="s">
        <v>3238</v>
      </c>
      <c r="J37" s="28" t="s">
        <v>3239</v>
      </c>
      <c r="K37" s="28" t="s">
        <v>3241</v>
      </c>
      <c r="L37" s="28" t="s">
        <v>989</v>
      </c>
      <c r="M37" s="28" t="s">
        <v>41</v>
      </c>
      <c r="N37" s="28"/>
    </row>
    <row r="38" spans="1:14" ht="14.4">
      <c r="A38" s="28" t="s">
        <v>2948</v>
      </c>
      <c r="B38" s="28" t="s">
        <v>3194</v>
      </c>
      <c r="C38" s="28" t="s">
        <v>85</v>
      </c>
      <c r="D38" s="172" t="s">
        <v>86</v>
      </c>
      <c r="E38" s="29" t="s">
        <v>2969</v>
      </c>
      <c r="F38" s="28" t="s">
        <v>3246</v>
      </c>
      <c r="G38" s="28" t="s">
        <v>3247</v>
      </c>
      <c r="H38" s="28" t="s">
        <v>3248</v>
      </c>
      <c r="I38" s="28" t="s">
        <v>3249</v>
      </c>
      <c r="J38" s="28" t="s">
        <v>3250</v>
      </c>
      <c r="K38" s="28" t="s">
        <v>3248</v>
      </c>
      <c r="L38" s="28" t="s">
        <v>3251</v>
      </c>
      <c r="M38" s="28" t="s">
        <v>41</v>
      </c>
      <c r="N38" s="28"/>
    </row>
    <row r="39" spans="1:14" ht="14.4">
      <c r="A39" s="28" t="s">
        <v>2948</v>
      </c>
      <c r="B39" s="28" t="s">
        <v>3194</v>
      </c>
      <c r="C39" s="28" t="s">
        <v>85</v>
      </c>
      <c r="D39" s="172" t="s">
        <v>86</v>
      </c>
      <c r="E39" s="29" t="s">
        <v>2969</v>
      </c>
      <c r="F39" s="28" t="s">
        <v>3257</v>
      </c>
      <c r="G39" s="28" t="s">
        <v>3258</v>
      </c>
      <c r="H39" s="28" t="s">
        <v>3259</v>
      </c>
      <c r="I39" s="28" t="s">
        <v>3260</v>
      </c>
      <c r="J39" s="28" t="s">
        <v>3261</v>
      </c>
      <c r="K39" s="28" t="s">
        <v>3259</v>
      </c>
      <c r="L39" s="28" t="s">
        <v>2166</v>
      </c>
      <c r="M39" s="28" t="s">
        <v>41</v>
      </c>
      <c r="N39" s="28"/>
    </row>
    <row r="40" spans="1:14" ht="14.4">
      <c r="A40" s="28" t="s">
        <v>2948</v>
      </c>
      <c r="B40" s="28" t="s">
        <v>3194</v>
      </c>
      <c r="C40" s="28" t="s">
        <v>85</v>
      </c>
      <c r="D40" s="172" t="s">
        <v>86</v>
      </c>
      <c r="E40" s="29" t="s">
        <v>2969</v>
      </c>
      <c r="F40" s="28" t="s">
        <v>3263</v>
      </c>
      <c r="G40" s="28" t="s">
        <v>3264</v>
      </c>
      <c r="H40" s="28" t="s">
        <v>3267</v>
      </c>
      <c r="I40" s="28" t="s">
        <v>3269</v>
      </c>
      <c r="J40" s="28" t="s">
        <v>3270</v>
      </c>
      <c r="K40" s="28" t="s">
        <v>3267</v>
      </c>
      <c r="L40" s="28" t="s">
        <v>2895</v>
      </c>
      <c r="M40" s="28" t="s">
        <v>41</v>
      </c>
      <c r="N40" s="28"/>
    </row>
    <row r="41" spans="1:14" ht="14.4">
      <c r="A41" s="28" t="s">
        <v>2948</v>
      </c>
      <c r="B41" s="28" t="s">
        <v>3194</v>
      </c>
      <c r="C41" s="28" t="s">
        <v>85</v>
      </c>
      <c r="D41" s="172" t="s">
        <v>86</v>
      </c>
      <c r="E41" s="29" t="s">
        <v>2969</v>
      </c>
      <c r="F41" s="28" t="s">
        <v>3273</v>
      </c>
      <c r="G41" s="28" t="s">
        <v>3274</v>
      </c>
      <c r="H41" s="28" t="s">
        <v>3267</v>
      </c>
      <c r="I41" s="28" t="s">
        <v>3269</v>
      </c>
      <c r="J41" s="28" t="s">
        <v>3275</v>
      </c>
      <c r="K41" s="28" t="s">
        <v>3276</v>
      </c>
      <c r="L41" s="28" t="s">
        <v>2895</v>
      </c>
      <c r="M41" s="28" t="s">
        <v>41</v>
      </c>
      <c r="N41" s="28"/>
    </row>
    <row r="42" spans="1:14" ht="14.4">
      <c r="A42" s="28" t="s">
        <v>2948</v>
      </c>
      <c r="B42" s="28" t="s">
        <v>3194</v>
      </c>
      <c r="C42" s="28" t="s">
        <v>85</v>
      </c>
      <c r="D42" s="172" t="s">
        <v>86</v>
      </c>
      <c r="E42" s="29" t="s">
        <v>2969</v>
      </c>
      <c r="F42" s="28" t="s">
        <v>3282</v>
      </c>
      <c r="G42" s="28" t="s">
        <v>3283</v>
      </c>
      <c r="H42" s="28" t="s">
        <v>3237</v>
      </c>
      <c r="I42" s="28" t="s">
        <v>434</v>
      </c>
      <c r="J42" s="28" t="s">
        <v>3285</v>
      </c>
      <c r="K42" s="28" t="s">
        <v>3237</v>
      </c>
      <c r="L42" s="28" t="s">
        <v>989</v>
      </c>
      <c r="M42" s="28" t="s">
        <v>41</v>
      </c>
      <c r="N42" s="28"/>
    </row>
    <row r="43" spans="1:14" ht="14.4">
      <c r="A43" s="28" t="s">
        <v>2948</v>
      </c>
      <c r="B43" s="28" t="s">
        <v>3194</v>
      </c>
      <c r="C43" s="28" t="s">
        <v>85</v>
      </c>
      <c r="D43" s="172" t="s">
        <v>86</v>
      </c>
      <c r="E43" s="29" t="s">
        <v>2969</v>
      </c>
      <c r="F43" s="28" t="s">
        <v>3288</v>
      </c>
      <c r="G43" s="28" t="s">
        <v>3289</v>
      </c>
      <c r="H43" s="28" t="s">
        <v>3237</v>
      </c>
      <c r="I43" s="28" t="s">
        <v>434</v>
      </c>
      <c r="J43" s="28" t="s">
        <v>3291</v>
      </c>
      <c r="K43" s="28" t="s">
        <v>3237</v>
      </c>
      <c r="L43" s="28" t="s">
        <v>989</v>
      </c>
      <c r="M43" s="28" t="s">
        <v>41</v>
      </c>
      <c r="N43" s="28"/>
    </row>
    <row r="44" spans="1:14" ht="14.4">
      <c r="A44" s="28" t="s">
        <v>2948</v>
      </c>
      <c r="B44" s="28" t="s">
        <v>3194</v>
      </c>
      <c r="C44" s="28" t="s">
        <v>85</v>
      </c>
      <c r="D44" s="172" t="s">
        <v>86</v>
      </c>
      <c r="E44" s="29" t="s">
        <v>2969</v>
      </c>
      <c r="F44" s="28" t="s">
        <v>3294</v>
      </c>
      <c r="G44" s="28" t="s">
        <v>3295</v>
      </c>
      <c r="H44" s="28" t="s">
        <v>3296</v>
      </c>
      <c r="I44" s="28" t="s">
        <v>933</v>
      </c>
      <c r="J44" s="28" t="s">
        <v>3297</v>
      </c>
      <c r="K44" s="28" t="s">
        <v>3276</v>
      </c>
      <c r="L44" s="28" t="s">
        <v>784</v>
      </c>
      <c r="M44" s="28" t="s">
        <v>41</v>
      </c>
      <c r="N44" s="28"/>
    </row>
    <row r="45" spans="1:14" ht="14.4">
      <c r="A45" s="28" t="s">
        <v>2948</v>
      </c>
      <c r="B45" s="28" t="s">
        <v>3194</v>
      </c>
      <c r="C45" s="28" t="s">
        <v>85</v>
      </c>
      <c r="D45" s="172" t="s">
        <v>86</v>
      </c>
      <c r="E45" s="29" t="s">
        <v>2969</v>
      </c>
      <c r="F45" s="28" t="s">
        <v>3302</v>
      </c>
      <c r="G45" s="28" t="s">
        <v>3303</v>
      </c>
      <c r="H45" s="28" t="s">
        <v>3304</v>
      </c>
      <c r="I45" s="28" t="s">
        <v>3305</v>
      </c>
      <c r="J45" s="28" t="s">
        <v>3307</v>
      </c>
      <c r="K45" s="28" t="s">
        <v>3276</v>
      </c>
      <c r="L45" s="28" t="s">
        <v>989</v>
      </c>
      <c r="M45" s="28" t="s">
        <v>41</v>
      </c>
      <c r="N45" s="28"/>
    </row>
    <row r="46" spans="1:14" ht="14.4">
      <c r="A46" s="28" t="s">
        <v>2948</v>
      </c>
      <c r="B46" s="28" t="s">
        <v>3194</v>
      </c>
      <c r="C46" s="28" t="s">
        <v>85</v>
      </c>
      <c r="D46" s="172" t="s">
        <v>86</v>
      </c>
      <c r="E46" s="29" t="s">
        <v>2969</v>
      </c>
      <c r="F46" s="28" t="s">
        <v>3308</v>
      </c>
      <c r="G46" s="28" t="s">
        <v>3309</v>
      </c>
      <c r="H46" s="28" t="s">
        <v>3311</v>
      </c>
      <c r="I46" s="28" t="s">
        <v>3312</v>
      </c>
      <c r="J46" s="28" t="s">
        <v>3313</v>
      </c>
      <c r="K46" s="28" t="s">
        <v>3311</v>
      </c>
      <c r="L46" s="28" t="s">
        <v>2166</v>
      </c>
      <c r="M46" s="28" t="s">
        <v>41</v>
      </c>
      <c r="N46" s="28"/>
    </row>
    <row r="47" spans="1:14" ht="14.4">
      <c r="A47" s="28" t="s">
        <v>2948</v>
      </c>
      <c r="B47" s="28" t="s">
        <v>3194</v>
      </c>
      <c r="C47" s="28" t="s">
        <v>220</v>
      </c>
      <c r="D47" s="172" t="s">
        <v>234</v>
      </c>
      <c r="E47" s="29" t="s">
        <v>2969</v>
      </c>
      <c r="F47" s="28" t="s">
        <v>3319</v>
      </c>
      <c r="G47" s="28" t="s">
        <v>3320</v>
      </c>
      <c r="H47" s="28" t="s">
        <v>3321</v>
      </c>
      <c r="I47" s="28" t="s">
        <v>3322</v>
      </c>
      <c r="J47" s="28" t="s">
        <v>3323</v>
      </c>
      <c r="K47" s="28" t="s">
        <v>3276</v>
      </c>
      <c r="L47" s="28" t="s">
        <v>989</v>
      </c>
      <c r="M47" s="28" t="s">
        <v>41</v>
      </c>
      <c r="N47" s="28"/>
    </row>
    <row r="48" spans="1:14" ht="14.4">
      <c r="A48" s="28" t="s">
        <v>2948</v>
      </c>
      <c r="B48" s="28" t="s">
        <v>3194</v>
      </c>
      <c r="C48" s="28" t="s">
        <v>220</v>
      </c>
      <c r="D48" s="172" t="s">
        <v>234</v>
      </c>
      <c r="E48" s="29" t="s">
        <v>2969</v>
      </c>
      <c r="F48" s="28" t="s">
        <v>3326</v>
      </c>
      <c r="G48" s="28" t="s">
        <v>3327</v>
      </c>
      <c r="H48" s="28" t="s">
        <v>3328</v>
      </c>
      <c r="I48" s="28" t="s">
        <v>3329</v>
      </c>
      <c r="J48" s="28" t="s">
        <v>3330</v>
      </c>
      <c r="K48" s="28" t="s">
        <v>3333</v>
      </c>
      <c r="L48" s="28" t="s">
        <v>2895</v>
      </c>
      <c r="M48" s="28" t="s">
        <v>41</v>
      </c>
      <c r="N48" s="28"/>
    </row>
    <row r="49" spans="1:26" ht="14.4">
      <c r="A49" s="28" t="s">
        <v>2948</v>
      </c>
      <c r="B49" s="28" t="s">
        <v>3194</v>
      </c>
      <c r="C49" s="28" t="s">
        <v>233</v>
      </c>
      <c r="D49" s="172" t="s">
        <v>298</v>
      </c>
      <c r="E49" s="29" t="s">
        <v>2969</v>
      </c>
      <c r="F49" s="28" t="s">
        <v>3337</v>
      </c>
      <c r="G49" s="28" t="s">
        <v>3339</v>
      </c>
      <c r="H49" s="28" t="s">
        <v>3340</v>
      </c>
      <c r="I49" s="28" t="s">
        <v>3305</v>
      </c>
      <c r="J49" s="28" t="s">
        <v>3341</v>
      </c>
      <c r="K49" s="28" t="s">
        <v>3304</v>
      </c>
      <c r="L49" s="28" t="s">
        <v>989</v>
      </c>
      <c r="M49" s="28" t="s">
        <v>41</v>
      </c>
      <c r="N49" s="28"/>
    </row>
    <row r="50" spans="1:26" ht="14.4">
      <c r="A50" s="28" t="s">
        <v>2948</v>
      </c>
      <c r="B50" s="28" t="s">
        <v>3194</v>
      </c>
      <c r="C50" s="28" t="s">
        <v>233</v>
      </c>
      <c r="D50" s="172" t="s">
        <v>298</v>
      </c>
      <c r="E50" s="29" t="s">
        <v>2969</v>
      </c>
      <c r="F50" s="28" t="s">
        <v>3347</v>
      </c>
      <c r="G50" s="28" t="s">
        <v>3348</v>
      </c>
      <c r="H50" s="28" t="s">
        <v>3296</v>
      </c>
      <c r="I50" s="28" t="s">
        <v>3350</v>
      </c>
      <c r="J50" s="28" t="s">
        <v>3351</v>
      </c>
      <c r="K50" s="28" t="s">
        <v>3352</v>
      </c>
      <c r="L50" s="28" t="s">
        <v>784</v>
      </c>
      <c r="M50" s="28" t="s">
        <v>41</v>
      </c>
      <c r="N50" s="28"/>
    </row>
    <row r="51" spans="1:26" ht="14.4">
      <c r="A51" s="28" t="s">
        <v>2948</v>
      </c>
      <c r="B51" s="28" t="s">
        <v>3194</v>
      </c>
      <c r="C51" s="28" t="s">
        <v>275</v>
      </c>
      <c r="D51" s="172" t="s">
        <v>543</v>
      </c>
      <c r="E51" s="29" t="s">
        <v>2969</v>
      </c>
      <c r="F51" s="79" t="s">
        <v>3354</v>
      </c>
      <c r="G51" s="28" t="s">
        <v>3355</v>
      </c>
      <c r="H51" s="28" t="s">
        <v>3356</v>
      </c>
      <c r="I51" s="28" t="s">
        <v>3358</v>
      </c>
      <c r="J51" s="28" t="s">
        <v>3360</v>
      </c>
      <c r="K51" s="28" t="s">
        <v>3362</v>
      </c>
      <c r="L51" s="28" t="s">
        <v>3363</v>
      </c>
      <c r="M51" s="28" t="s">
        <v>41</v>
      </c>
      <c r="N51" s="28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spans="1:26" ht="14.4">
      <c r="A52" s="28" t="s">
        <v>2948</v>
      </c>
      <c r="B52" s="28" t="s">
        <v>3194</v>
      </c>
      <c r="C52" s="28" t="s">
        <v>296</v>
      </c>
      <c r="D52" s="172" t="s">
        <v>954</v>
      </c>
      <c r="E52" s="29" t="s">
        <v>2969</v>
      </c>
      <c r="F52" s="79" t="s">
        <v>3368</v>
      </c>
      <c r="G52" s="28" t="s">
        <v>3369</v>
      </c>
      <c r="H52" s="28" t="s">
        <v>3267</v>
      </c>
      <c r="I52" s="28" t="s">
        <v>3370</v>
      </c>
      <c r="J52" s="28" t="s">
        <v>3164</v>
      </c>
      <c r="K52" s="28" t="s">
        <v>3371</v>
      </c>
      <c r="L52" s="28" t="s">
        <v>2895</v>
      </c>
      <c r="M52" s="28" t="s">
        <v>41</v>
      </c>
      <c r="N52" s="28"/>
    </row>
    <row r="53" spans="1:26" ht="14.4">
      <c r="A53" s="28" t="s">
        <v>2948</v>
      </c>
      <c r="B53" s="28" t="s">
        <v>3374</v>
      </c>
      <c r="C53" s="28" t="s">
        <v>85</v>
      </c>
      <c r="D53" s="172" t="s">
        <v>86</v>
      </c>
      <c r="E53" s="29" t="s">
        <v>2969</v>
      </c>
      <c r="F53" s="28" t="s">
        <v>3377</v>
      </c>
      <c r="G53" s="28" t="s">
        <v>3378</v>
      </c>
      <c r="H53" s="28" t="s">
        <v>3379</v>
      </c>
      <c r="I53" s="28" t="s">
        <v>898</v>
      </c>
      <c r="J53" s="28" t="s">
        <v>3388</v>
      </c>
      <c r="K53" s="28" t="s">
        <v>3379</v>
      </c>
      <c r="L53" s="28" t="s">
        <v>3389</v>
      </c>
      <c r="M53" s="28" t="s">
        <v>41</v>
      </c>
      <c r="N53" s="28" t="s">
        <v>3391</v>
      </c>
    </row>
    <row r="54" spans="1:26" ht="14.4">
      <c r="A54" s="28" t="s">
        <v>2948</v>
      </c>
      <c r="B54" s="28" t="s">
        <v>3374</v>
      </c>
      <c r="C54" s="28" t="s">
        <v>85</v>
      </c>
      <c r="D54" s="172" t="s">
        <v>86</v>
      </c>
      <c r="E54" s="29" t="s">
        <v>2969</v>
      </c>
      <c r="F54" s="28" t="s">
        <v>3395</v>
      </c>
      <c r="G54" s="28" t="s">
        <v>3396</v>
      </c>
      <c r="H54" s="28" t="s">
        <v>3397</v>
      </c>
      <c r="I54" s="28" t="s">
        <v>898</v>
      </c>
      <c r="J54" s="28" t="s">
        <v>3398</v>
      </c>
      <c r="K54" s="28" t="s">
        <v>3397</v>
      </c>
      <c r="L54" s="28" t="s">
        <v>3389</v>
      </c>
      <c r="M54" s="28" t="s">
        <v>41</v>
      </c>
      <c r="N54" s="28"/>
    </row>
    <row r="55" spans="1:26" ht="14.4">
      <c r="A55" s="28" t="s">
        <v>2948</v>
      </c>
      <c r="B55" s="28" t="s">
        <v>3374</v>
      </c>
      <c r="C55" s="28" t="s">
        <v>85</v>
      </c>
      <c r="D55" s="172" t="s">
        <v>86</v>
      </c>
      <c r="E55" s="29" t="s">
        <v>2969</v>
      </c>
      <c r="F55" s="28" t="s">
        <v>3401</v>
      </c>
      <c r="G55" s="28" t="s">
        <v>3402</v>
      </c>
      <c r="H55" s="28" t="s">
        <v>3404</v>
      </c>
      <c r="I55" s="28" t="s">
        <v>887</v>
      </c>
      <c r="J55" s="28" t="s">
        <v>3406</v>
      </c>
      <c r="K55" s="28" t="s">
        <v>3404</v>
      </c>
      <c r="L55" s="28" t="s">
        <v>3389</v>
      </c>
      <c r="M55" s="28" t="s">
        <v>41</v>
      </c>
      <c r="N55" s="28" t="s">
        <v>3407</v>
      </c>
    </row>
    <row r="56" spans="1:26" ht="14.4">
      <c r="A56" s="28" t="s">
        <v>2948</v>
      </c>
      <c r="B56" s="28" t="s">
        <v>3374</v>
      </c>
      <c r="C56" s="28" t="s">
        <v>85</v>
      </c>
      <c r="D56" s="172" t="s">
        <v>86</v>
      </c>
      <c r="E56" s="29" t="s">
        <v>2969</v>
      </c>
      <c r="F56" s="28" t="s">
        <v>3410</v>
      </c>
      <c r="G56" s="28" t="s">
        <v>3412</v>
      </c>
      <c r="H56" s="28" t="s">
        <v>3414</v>
      </c>
      <c r="I56" s="28" t="s">
        <v>521</v>
      </c>
      <c r="J56" s="28" t="s">
        <v>3416</v>
      </c>
      <c r="K56" s="28" t="s">
        <v>3414</v>
      </c>
      <c r="L56" s="28" t="s">
        <v>3389</v>
      </c>
      <c r="M56" s="28" t="s">
        <v>41</v>
      </c>
      <c r="N56" s="28"/>
    </row>
    <row r="57" spans="1:26" ht="14.4">
      <c r="A57" s="28" t="s">
        <v>2948</v>
      </c>
      <c r="B57" s="28" t="s">
        <v>3374</v>
      </c>
      <c r="C57" s="28" t="s">
        <v>85</v>
      </c>
      <c r="D57" s="172" t="s">
        <v>86</v>
      </c>
      <c r="E57" s="29" t="s">
        <v>2969</v>
      </c>
      <c r="F57" s="28" t="s">
        <v>3418</v>
      </c>
      <c r="G57" s="28" t="s">
        <v>3419</v>
      </c>
      <c r="H57" s="28" t="s">
        <v>3420</v>
      </c>
      <c r="I57" s="28" t="s">
        <v>700</v>
      </c>
      <c r="J57" s="28" t="s">
        <v>3422</v>
      </c>
      <c r="K57" s="28" t="s">
        <v>3420</v>
      </c>
      <c r="L57" s="28" t="s">
        <v>2336</v>
      </c>
      <c r="M57" s="28" t="s">
        <v>41</v>
      </c>
      <c r="N57" s="28"/>
    </row>
    <row r="58" spans="1:26" ht="14.4">
      <c r="A58" s="28" t="s">
        <v>2948</v>
      </c>
      <c r="B58" s="28" t="s">
        <v>3374</v>
      </c>
      <c r="C58" s="28" t="s">
        <v>85</v>
      </c>
      <c r="D58" s="172" t="s">
        <v>86</v>
      </c>
      <c r="E58" s="29" t="s">
        <v>2969</v>
      </c>
      <c r="F58" s="28" t="s">
        <v>3427</v>
      </c>
      <c r="G58" s="28" t="s">
        <v>3428</v>
      </c>
      <c r="H58" s="28" t="s">
        <v>3430</v>
      </c>
      <c r="I58" s="28" t="s">
        <v>1610</v>
      </c>
      <c r="J58" s="28" t="s">
        <v>3431</v>
      </c>
      <c r="K58" s="28" t="s">
        <v>3430</v>
      </c>
      <c r="L58" s="28" t="s">
        <v>989</v>
      </c>
      <c r="M58" s="28" t="s">
        <v>41</v>
      </c>
      <c r="N58" s="28" t="s">
        <v>3391</v>
      </c>
    </row>
    <row r="59" spans="1:26" ht="14.4">
      <c r="A59" s="28" t="s">
        <v>2948</v>
      </c>
      <c r="B59" s="28" t="s">
        <v>3374</v>
      </c>
      <c r="C59" s="28" t="s">
        <v>85</v>
      </c>
      <c r="D59" s="172" t="s">
        <v>86</v>
      </c>
      <c r="E59" s="29" t="s">
        <v>2969</v>
      </c>
      <c r="F59" s="28" t="s">
        <v>3435</v>
      </c>
      <c r="G59" s="28" t="s">
        <v>3437</v>
      </c>
      <c r="H59" s="28" t="s">
        <v>3438</v>
      </c>
      <c r="I59" s="28" t="s">
        <v>689</v>
      </c>
      <c r="J59" s="28" t="s">
        <v>3440</v>
      </c>
      <c r="K59" s="28" t="s">
        <v>3438</v>
      </c>
      <c r="L59" s="28" t="s">
        <v>989</v>
      </c>
      <c r="M59" s="28" t="s">
        <v>41</v>
      </c>
      <c r="N59" s="28"/>
    </row>
    <row r="60" spans="1:26" ht="14.4">
      <c r="A60" s="28" t="s">
        <v>2948</v>
      </c>
      <c r="B60" s="28" t="s">
        <v>3374</v>
      </c>
      <c r="C60" s="28" t="s">
        <v>85</v>
      </c>
      <c r="D60" s="172" t="s">
        <v>86</v>
      </c>
      <c r="E60" s="29" t="s">
        <v>2969</v>
      </c>
      <c r="F60" s="28" t="s">
        <v>3442</v>
      </c>
      <c r="G60" s="28" t="s">
        <v>3443</v>
      </c>
      <c r="H60" s="28" t="s">
        <v>3444</v>
      </c>
      <c r="I60" s="28" t="s">
        <v>3204</v>
      </c>
      <c r="J60" s="28" t="s">
        <v>3445</v>
      </c>
      <c r="K60" s="28" t="s">
        <v>3444</v>
      </c>
      <c r="L60" s="28" t="s">
        <v>989</v>
      </c>
      <c r="M60" s="28" t="s">
        <v>41</v>
      </c>
      <c r="N60" s="28"/>
    </row>
    <row r="61" spans="1:26" ht="14.4">
      <c r="A61" s="28" t="s">
        <v>2948</v>
      </c>
      <c r="B61" s="28" t="s">
        <v>3374</v>
      </c>
      <c r="C61" s="28" t="s">
        <v>85</v>
      </c>
      <c r="D61" s="172" t="s">
        <v>86</v>
      </c>
      <c r="E61" s="29" t="s">
        <v>2969</v>
      </c>
      <c r="F61" s="28" t="s">
        <v>3450</v>
      </c>
      <c r="G61" s="28" t="s">
        <v>3451</v>
      </c>
      <c r="H61" s="28" t="s">
        <v>3453</v>
      </c>
      <c r="I61" s="28" t="s">
        <v>521</v>
      </c>
      <c r="J61" s="28" t="s">
        <v>3454</v>
      </c>
      <c r="K61" s="28" t="s">
        <v>3453</v>
      </c>
      <c r="L61" s="28" t="s">
        <v>2166</v>
      </c>
      <c r="M61" s="28" t="s">
        <v>41</v>
      </c>
      <c r="N61" s="28"/>
    </row>
    <row r="62" spans="1:26" ht="14.4">
      <c r="A62" s="28" t="s">
        <v>2948</v>
      </c>
      <c r="B62" s="28" t="s">
        <v>3374</v>
      </c>
      <c r="C62" s="28" t="s">
        <v>85</v>
      </c>
      <c r="D62" s="172" t="s">
        <v>86</v>
      </c>
      <c r="E62" s="29" t="s">
        <v>2969</v>
      </c>
      <c r="F62" s="28" t="s">
        <v>3455</v>
      </c>
      <c r="G62" s="28" t="s">
        <v>3456</v>
      </c>
      <c r="H62" s="28" t="s">
        <v>3457</v>
      </c>
      <c r="I62" s="28" t="s">
        <v>887</v>
      </c>
      <c r="J62" s="28" t="s">
        <v>3459</v>
      </c>
      <c r="K62" s="28" t="s">
        <v>3457</v>
      </c>
      <c r="L62" s="28" t="s">
        <v>2166</v>
      </c>
      <c r="M62" s="28" t="s">
        <v>41</v>
      </c>
      <c r="N62" s="28"/>
    </row>
    <row r="63" spans="1:26" ht="14.4">
      <c r="A63" s="28" t="s">
        <v>2948</v>
      </c>
      <c r="B63" s="28" t="s">
        <v>3374</v>
      </c>
      <c r="C63" s="28" t="s">
        <v>85</v>
      </c>
      <c r="D63" s="172" t="s">
        <v>86</v>
      </c>
      <c r="E63" s="29" t="s">
        <v>2969</v>
      </c>
      <c r="F63" s="28" t="s">
        <v>3460</v>
      </c>
      <c r="G63" s="28" t="s">
        <v>3461</v>
      </c>
      <c r="H63" s="28" t="s">
        <v>3462</v>
      </c>
      <c r="I63" s="28" t="s">
        <v>700</v>
      </c>
      <c r="J63" s="28" t="s">
        <v>3464</v>
      </c>
      <c r="K63" s="28" t="s">
        <v>3462</v>
      </c>
      <c r="L63" s="28" t="s">
        <v>784</v>
      </c>
      <c r="M63" s="28" t="s">
        <v>41</v>
      </c>
      <c r="N63" s="28"/>
    </row>
    <row r="64" spans="1:26" ht="14.4">
      <c r="A64" s="28" t="s">
        <v>2948</v>
      </c>
      <c r="B64" s="28" t="s">
        <v>3374</v>
      </c>
      <c r="C64" s="28" t="s">
        <v>233</v>
      </c>
      <c r="D64" s="172" t="s">
        <v>298</v>
      </c>
      <c r="E64" s="29" t="s">
        <v>2969</v>
      </c>
      <c r="F64" s="28" t="s">
        <v>3465</v>
      </c>
      <c r="G64" s="28"/>
      <c r="H64" s="28" t="s">
        <v>3466</v>
      </c>
      <c r="I64" s="28" t="s">
        <v>521</v>
      </c>
      <c r="J64" s="28" t="s">
        <v>3467</v>
      </c>
      <c r="K64" s="28" t="s">
        <v>3468</v>
      </c>
      <c r="L64" s="28" t="s">
        <v>989</v>
      </c>
      <c r="M64" s="28" t="s">
        <v>41</v>
      </c>
      <c r="N64" s="28"/>
    </row>
    <row r="65" spans="1:26" ht="14.4">
      <c r="A65" s="28" t="s">
        <v>2948</v>
      </c>
      <c r="B65" s="28" t="s">
        <v>3374</v>
      </c>
      <c r="C65" s="28" t="s">
        <v>233</v>
      </c>
      <c r="D65" s="172" t="s">
        <v>298</v>
      </c>
      <c r="E65" s="29" t="s">
        <v>2969</v>
      </c>
      <c r="F65" s="28" t="s">
        <v>3153</v>
      </c>
      <c r="G65" s="28"/>
      <c r="H65" s="28" t="s">
        <v>3473</v>
      </c>
      <c r="I65" s="28" t="s">
        <v>521</v>
      </c>
      <c r="J65" s="28" t="s">
        <v>3474</v>
      </c>
      <c r="K65" s="28" t="s">
        <v>3473</v>
      </c>
      <c r="L65" s="28" t="s">
        <v>989</v>
      </c>
      <c r="M65" s="28" t="s">
        <v>41</v>
      </c>
      <c r="N65" s="28"/>
    </row>
    <row r="66" spans="1:26" ht="14.4">
      <c r="A66" s="28" t="s">
        <v>2948</v>
      </c>
      <c r="B66" s="28" t="s">
        <v>3374</v>
      </c>
      <c r="C66" s="28" t="s">
        <v>275</v>
      </c>
      <c r="D66" s="172" t="s">
        <v>543</v>
      </c>
      <c r="E66" s="29" t="s">
        <v>2969</v>
      </c>
      <c r="F66" s="79" t="s">
        <v>3476</v>
      </c>
      <c r="G66" s="28"/>
      <c r="H66" s="28" t="s">
        <v>3468</v>
      </c>
      <c r="I66" s="28" t="s">
        <v>3389</v>
      </c>
      <c r="J66" s="28" t="s">
        <v>2863</v>
      </c>
      <c r="K66" s="28" t="s">
        <v>3468</v>
      </c>
      <c r="L66" s="28" t="s">
        <v>3477</v>
      </c>
      <c r="M66" s="28" t="s">
        <v>41</v>
      </c>
      <c r="N66" s="28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spans="1:26" ht="14.4">
      <c r="A67" s="28" t="s">
        <v>2948</v>
      </c>
      <c r="B67" s="28" t="s">
        <v>3374</v>
      </c>
      <c r="C67" s="28" t="s">
        <v>296</v>
      </c>
      <c r="D67" s="172" t="s">
        <v>954</v>
      </c>
      <c r="E67" s="29" t="s">
        <v>2969</v>
      </c>
      <c r="F67" s="79" t="s">
        <v>3480</v>
      </c>
      <c r="G67" s="28" t="s">
        <v>3481</v>
      </c>
      <c r="H67" s="28" t="s">
        <v>3482</v>
      </c>
      <c r="I67" s="28" t="s">
        <v>1395</v>
      </c>
      <c r="J67" s="28" t="s">
        <v>3164</v>
      </c>
      <c r="K67" s="28" t="s">
        <v>3371</v>
      </c>
      <c r="L67" s="28" t="s">
        <v>989</v>
      </c>
      <c r="M67" s="28" t="s">
        <v>41</v>
      </c>
      <c r="N67" s="28"/>
    </row>
    <row r="68" spans="1:26" ht="14.4">
      <c r="A68" s="28" t="s">
        <v>2948</v>
      </c>
      <c r="B68" s="28" t="s">
        <v>3484</v>
      </c>
      <c r="C68" s="28" t="s">
        <v>85</v>
      </c>
      <c r="D68" s="172" t="s">
        <v>86</v>
      </c>
      <c r="E68" s="29" t="s">
        <v>2969</v>
      </c>
      <c r="F68" s="28" t="s">
        <v>3486</v>
      </c>
      <c r="G68" s="28" t="s">
        <v>3487</v>
      </c>
      <c r="H68" s="28" t="s">
        <v>3488</v>
      </c>
      <c r="I68" s="28" t="s">
        <v>1610</v>
      </c>
      <c r="J68" s="28" t="s">
        <v>3491</v>
      </c>
      <c r="K68" s="28" t="s">
        <v>3488</v>
      </c>
      <c r="L68" s="28" t="s">
        <v>989</v>
      </c>
      <c r="M68" s="28" t="s">
        <v>41</v>
      </c>
      <c r="N68" s="28"/>
    </row>
    <row r="69" spans="1:26" ht="14.4">
      <c r="A69" s="28" t="s">
        <v>2948</v>
      </c>
      <c r="B69" s="28" t="s">
        <v>3484</v>
      </c>
      <c r="C69" s="28" t="s">
        <v>85</v>
      </c>
      <c r="D69" s="172" t="s">
        <v>86</v>
      </c>
      <c r="E69" s="29" t="s">
        <v>2969</v>
      </c>
      <c r="F69" s="28" t="s">
        <v>3494</v>
      </c>
      <c r="G69" s="28" t="s">
        <v>3495</v>
      </c>
      <c r="H69" s="28" t="s">
        <v>3497</v>
      </c>
      <c r="I69" s="28" t="s">
        <v>3498</v>
      </c>
      <c r="J69" s="28" t="s">
        <v>3499</v>
      </c>
      <c r="K69" s="28" t="s">
        <v>3497</v>
      </c>
      <c r="L69" s="28" t="s">
        <v>3389</v>
      </c>
      <c r="M69" s="28" t="s">
        <v>41</v>
      </c>
      <c r="N69" s="28"/>
    </row>
    <row r="70" spans="1:26" ht="14.4">
      <c r="A70" s="28" t="s">
        <v>2948</v>
      </c>
      <c r="B70" s="28" t="s">
        <v>3484</v>
      </c>
      <c r="C70" s="28" t="s">
        <v>85</v>
      </c>
      <c r="D70" s="172" t="s">
        <v>86</v>
      </c>
      <c r="E70" s="29" t="s">
        <v>2969</v>
      </c>
      <c r="F70" s="28" t="s">
        <v>3504</v>
      </c>
      <c r="G70" s="28" t="s">
        <v>3505</v>
      </c>
      <c r="H70" s="28" t="s">
        <v>3506</v>
      </c>
      <c r="I70" s="28" t="s">
        <v>887</v>
      </c>
      <c r="J70" s="28" t="s">
        <v>3507</v>
      </c>
      <c r="K70" s="28" t="s">
        <v>3506</v>
      </c>
      <c r="L70" s="28" t="s">
        <v>2336</v>
      </c>
      <c r="M70" s="28" t="s">
        <v>41</v>
      </c>
      <c r="N70" s="28"/>
    </row>
    <row r="71" spans="1:26" ht="14.4">
      <c r="A71" s="28" t="s">
        <v>2948</v>
      </c>
      <c r="B71" s="28" t="s">
        <v>3484</v>
      </c>
      <c r="C71" s="28" t="s">
        <v>85</v>
      </c>
      <c r="D71" s="172" t="s">
        <v>86</v>
      </c>
      <c r="E71" s="29" t="s">
        <v>2969</v>
      </c>
      <c r="F71" s="28" t="s">
        <v>3509</v>
      </c>
      <c r="G71" s="28" t="s">
        <v>3510</v>
      </c>
      <c r="H71" s="28" t="s">
        <v>3511</v>
      </c>
      <c r="I71" s="28" t="s">
        <v>898</v>
      </c>
      <c r="J71" s="28" t="s">
        <v>3512</v>
      </c>
      <c r="K71" s="28" t="s">
        <v>3511</v>
      </c>
      <c r="L71" s="28" t="s">
        <v>2166</v>
      </c>
      <c r="M71" s="28" t="s">
        <v>41</v>
      </c>
      <c r="N71" s="28"/>
    </row>
    <row r="72" spans="1:26" ht="14.4">
      <c r="A72" s="28" t="s">
        <v>2948</v>
      </c>
      <c r="B72" s="28" t="s">
        <v>3484</v>
      </c>
      <c r="C72" s="28" t="s">
        <v>85</v>
      </c>
      <c r="D72" s="172" t="s">
        <v>86</v>
      </c>
      <c r="E72" s="29" t="s">
        <v>2969</v>
      </c>
      <c r="F72" s="28" t="s">
        <v>3515</v>
      </c>
      <c r="G72" s="28" t="s">
        <v>3516</v>
      </c>
      <c r="H72" s="28" t="s">
        <v>3518</v>
      </c>
      <c r="I72" s="28" t="s">
        <v>3181</v>
      </c>
      <c r="J72" s="28" t="s">
        <v>3520</v>
      </c>
      <c r="K72" s="28" t="s">
        <v>3518</v>
      </c>
      <c r="L72" s="28" t="s">
        <v>2166</v>
      </c>
      <c r="M72" s="28" t="s">
        <v>41</v>
      </c>
      <c r="N72" s="28"/>
    </row>
    <row r="73" spans="1:26" ht="14.4">
      <c r="A73" s="28" t="s">
        <v>2948</v>
      </c>
      <c r="B73" s="28" t="s">
        <v>3484</v>
      </c>
      <c r="C73" s="28" t="s">
        <v>85</v>
      </c>
      <c r="D73" s="172" t="s">
        <v>86</v>
      </c>
      <c r="E73" s="29" t="s">
        <v>2969</v>
      </c>
      <c r="F73" s="28" t="s">
        <v>3523</v>
      </c>
      <c r="G73" s="28" t="s">
        <v>3524</v>
      </c>
      <c r="H73" s="28" t="s">
        <v>3525</v>
      </c>
      <c r="I73" s="28" t="s">
        <v>2714</v>
      </c>
      <c r="J73" s="28" t="s">
        <v>3526</v>
      </c>
      <c r="K73" s="28" t="s">
        <v>3525</v>
      </c>
      <c r="L73" s="28" t="s">
        <v>3389</v>
      </c>
      <c r="M73" s="28" t="s">
        <v>41</v>
      </c>
      <c r="N73" s="28"/>
    </row>
    <row r="74" spans="1:26" ht="14.4">
      <c r="A74" s="28" t="s">
        <v>2948</v>
      </c>
      <c r="B74" s="28" t="s">
        <v>3484</v>
      </c>
      <c r="C74" s="28" t="s">
        <v>85</v>
      </c>
      <c r="D74" s="172" t="s">
        <v>86</v>
      </c>
      <c r="E74" s="29" t="s">
        <v>2969</v>
      </c>
      <c r="F74" s="28" t="s">
        <v>3529</v>
      </c>
      <c r="G74" s="28" t="s">
        <v>3530</v>
      </c>
      <c r="H74" s="28" t="s">
        <v>3532</v>
      </c>
      <c r="I74" s="28" t="s">
        <v>2714</v>
      </c>
      <c r="J74" s="28" t="s">
        <v>3534</v>
      </c>
      <c r="K74" s="28" t="s">
        <v>3532</v>
      </c>
      <c r="L74" s="28" t="s">
        <v>3389</v>
      </c>
      <c r="M74" s="28" t="s">
        <v>41</v>
      </c>
      <c r="N74" s="28"/>
    </row>
    <row r="75" spans="1:26" ht="14.4">
      <c r="A75" s="28" t="s">
        <v>2948</v>
      </c>
      <c r="B75" s="28" t="s">
        <v>3484</v>
      </c>
      <c r="C75" s="28" t="s">
        <v>233</v>
      </c>
      <c r="D75" s="172" t="s">
        <v>298</v>
      </c>
      <c r="E75" s="29" t="s">
        <v>2969</v>
      </c>
      <c r="F75" s="28" t="s">
        <v>3535</v>
      </c>
      <c r="G75" s="28"/>
      <c r="H75" s="28" t="s">
        <v>3536</v>
      </c>
      <c r="I75" s="28" t="s">
        <v>2714</v>
      </c>
      <c r="J75" s="28" t="s">
        <v>3537</v>
      </c>
      <c r="K75" s="28" t="s">
        <v>3536</v>
      </c>
      <c r="L75" s="28" t="s">
        <v>3389</v>
      </c>
      <c r="M75" s="28" t="s">
        <v>41</v>
      </c>
      <c r="N75" s="28"/>
    </row>
    <row r="76" spans="1:26" ht="14.4">
      <c r="A76" s="28" t="s">
        <v>2948</v>
      </c>
      <c r="B76" s="28" t="s">
        <v>3484</v>
      </c>
      <c r="C76" s="28" t="s">
        <v>275</v>
      </c>
      <c r="D76" s="172" t="s">
        <v>543</v>
      </c>
      <c r="E76" s="29" t="s">
        <v>2969</v>
      </c>
      <c r="F76" s="79" t="s">
        <v>3540</v>
      </c>
      <c r="G76" s="28"/>
      <c r="H76" s="28" t="s">
        <v>3532</v>
      </c>
      <c r="I76" s="28" t="s">
        <v>2714</v>
      </c>
      <c r="J76" s="28" t="s">
        <v>3541</v>
      </c>
      <c r="K76" s="28" t="s">
        <v>3532</v>
      </c>
      <c r="L76" s="28" t="s">
        <v>3389</v>
      </c>
      <c r="M76" s="28" t="s">
        <v>41</v>
      </c>
      <c r="N76" s="28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spans="1:26" ht="14.4">
      <c r="A77" s="28" t="s">
        <v>2948</v>
      </c>
      <c r="B77" s="28" t="s">
        <v>3543</v>
      </c>
      <c r="C77" s="28" t="s">
        <v>85</v>
      </c>
      <c r="D77" s="172" t="s">
        <v>86</v>
      </c>
      <c r="E77" s="29" t="s">
        <v>2969</v>
      </c>
      <c r="F77" s="28" t="s">
        <v>3546</v>
      </c>
      <c r="G77" s="28" t="s">
        <v>3547</v>
      </c>
      <c r="H77" s="28" t="s">
        <v>3549</v>
      </c>
      <c r="I77" s="28" t="s">
        <v>887</v>
      </c>
      <c r="J77" s="28" t="s">
        <v>2893</v>
      </c>
      <c r="K77" s="28" t="s">
        <v>3549</v>
      </c>
      <c r="L77" s="28" t="s">
        <v>2149</v>
      </c>
      <c r="M77" s="28" t="s">
        <v>41</v>
      </c>
      <c r="N77" s="28"/>
    </row>
    <row r="78" spans="1:26" ht="14.4">
      <c r="A78" s="28" t="s">
        <v>2948</v>
      </c>
      <c r="B78" s="28" t="s">
        <v>3543</v>
      </c>
      <c r="C78" s="28" t="s">
        <v>85</v>
      </c>
      <c r="D78" s="172" t="s">
        <v>86</v>
      </c>
      <c r="E78" s="29" t="s">
        <v>2969</v>
      </c>
      <c r="F78" s="28" t="s">
        <v>3551</v>
      </c>
      <c r="G78" s="28" t="s">
        <v>3552</v>
      </c>
      <c r="H78" s="28" t="s">
        <v>3553</v>
      </c>
      <c r="I78" s="28" t="s">
        <v>521</v>
      </c>
      <c r="J78" s="28" t="s">
        <v>2903</v>
      </c>
      <c r="K78" s="28" t="s">
        <v>3553</v>
      </c>
      <c r="L78" s="28" t="s">
        <v>2166</v>
      </c>
      <c r="M78" s="28" t="s">
        <v>41</v>
      </c>
      <c r="N78" s="28"/>
    </row>
    <row r="79" spans="1:26" ht="14.4">
      <c r="A79" s="28" t="s">
        <v>2948</v>
      </c>
      <c r="B79" s="28" t="s">
        <v>3543</v>
      </c>
      <c r="C79" s="28" t="s">
        <v>85</v>
      </c>
      <c r="D79" s="172" t="s">
        <v>86</v>
      </c>
      <c r="E79" s="29" t="s">
        <v>2969</v>
      </c>
      <c r="F79" s="28" t="s">
        <v>3557</v>
      </c>
      <c r="G79" s="28" t="s">
        <v>3558</v>
      </c>
      <c r="H79" s="28" t="s">
        <v>3559</v>
      </c>
      <c r="I79" s="28" t="s">
        <v>130</v>
      </c>
      <c r="J79" s="28" t="s">
        <v>2909</v>
      </c>
      <c r="K79" s="28" t="s">
        <v>3559</v>
      </c>
      <c r="L79" s="28" t="s">
        <v>2166</v>
      </c>
      <c r="M79" s="28" t="s">
        <v>41</v>
      </c>
      <c r="N79" s="28"/>
    </row>
    <row r="80" spans="1:26" ht="14.4">
      <c r="A80" s="28" t="s">
        <v>2948</v>
      </c>
      <c r="B80" s="28" t="s">
        <v>3543</v>
      </c>
      <c r="C80" s="28" t="s">
        <v>85</v>
      </c>
      <c r="D80" s="172" t="s">
        <v>86</v>
      </c>
      <c r="E80" s="29" t="s">
        <v>2969</v>
      </c>
      <c r="F80" s="28" t="s">
        <v>3562</v>
      </c>
      <c r="G80" s="28" t="s">
        <v>3564</v>
      </c>
      <c r="H80" s="28" t="s">
        <v>3565</v>
      </c>
      <c r="I80" s="28" t="s">
        <v>1610</v>
      </c>
      <c r="J80" s="28" t="s">
        <v>2915</v>
      </c>
      <c r="K80" s="28" t="s">
        <v>3567</v>
      </c>
      <c r="L80" s="28" t="s">
        <v>989</v>
      </c>
      <c r="M80" s="28" t="s">
        <v>41</v>
      </c>
      <c r="N80" s="28"/>
    </row>
    <row r="81" spans="1:26" ht="14.4">
      <c r="A81" s="28" t="s">
        <v>2948</v>
      </c>
      <c r="B81" s="28" t="s">
        <v>3543</v>
      </c>
      <c r="C81" s="28" t="s">
        <v>85</v>
      </c>
      <c r="D81" s="172" t="s">
        <v>86</v>
      </c>
      <c r="E81" s="29" t="s">
        <v>2969</v>
      </c>
      <c r="F81" s="28" t="s">
        <v>3570</v>
      </c>
      <c r="G81" s="28" t="s">
        <v>3571</v>
      </c>
      <c r="H81" s="28" t="s">
        <v>3572</v>
      </c>
      <c r="I81" s="28" t="s">
        <v>3573</v>
      </c>
      <c r="J81" s="28" t="s">
        <v>2920</v>
      </c>
      <c r="K81" s="28" t="s">
        <v>3572</v>
      </c>
      <c r="L81" s="28" t="s">
        <v>989</v>
      </c>
      <c r="M81" s="28" t="s">
        <v>41</v>
      </c>
      <c r="N81" s="28"/>
    </row>
    <row r="82" spans="1:26" ht="14.4">
      <c r="A82" s="28" t="s">
        <v>2948</v>
      </c>
      <c r="B82" s="28" t="s">
        <v>3543</v>
      </c>
      <c r="C82" s="28" t="s">
        <v>85</v>
      </c>
      <c r="D82" s="172" t="s">
        <v>86</v>
      </c>
      <c r="E82" s="29" t="s">
        <v>2969</v>
      </c>
      <c r="F82" s="28" t="s">
        <v>3578</v>
      </c>
      <c r="G82" s="28" t="s">
        <v>3579</v>
      </c>
      <c r="H82" s="28" t="s">
        <v>3580</v>
      </c>
      <c r="I82" s="28" t="s">
        <v>689</v>
      </c>
      <c r="J82" s="28" t="s">
        <v>2928</v>
      </c>
      <c r="K82" s="28" t="s">
        <v>3582</v>
      </c>
      <c r="L82" s="28" t="s">
        <v>989</v>
      </c>
      <c r="M82" s="28" t="s">
        <v>41</v>
      </c>
      <c r="N82" s="28"/>
    </row>
    <row r="83" spans="1:26" ht="14.4">
      <c r="A83" s="28" t="s">
        <v>2948</v>
      </c>
      <c r="B83" s="28" t="s">
        <v>3543</v>
      </c>
      <c r="C83" s="28" t="s">
        <v>85</v>
      </c>
      <c r="D83" s="172" t="s">
        <v>86</v>
      </c>
      <c r="E83" s="29" t="s">
        <v>2969</v>
      </c>
      <c r="F83" s="28" t="s">
        <v>3586</v>
      </c>
      <c r="G83" s="28" t="s">
        <v>3587</v>
      </c>
      <c r="H83" s="28" t="s">
        <v>3588</v>
      </c>
      <c r="I83" s="28" t="s">
        <v>3204</v>
      </c>
      <c r="J83" s="28" t="s">
        <v>2934</v>
      </c>
      <c r="K83" s="28" t="s">
        <v>3590</v>
      </c>
      <c r="L83" s="28" t="s">
        <v>989</v>
      </c>
      <c r="M83" s="28" t="s">
        <v>41</v>
      </c>
      <c r="N83" s="28"/>
    </row>
    <row r="84" spans="1:26" ht="14.4">
      <c r="A84" s="28" t="s">
        <v>2948</v>
      </c>
      <c r="B84" s="28" t="s">
        <v>3543</v>
      </c>
      <c r="C84" s="28" t="s">
        <v>85</v>
      </c>
      <c r="D84" s="172" t="s">
        <v>86</v>
      </c>
      <c r="E84" s="29" t="s">
        <v>2969</v>
      </c>
      <c r="F84" s="28" t="s">
        <v>3597</v>
      </c>
      <c r="G84" s="28" t="s">
        <v>3598</v>
      </c>
      <c r="H84" s="28" t="s">
        <v>3599</v>
      </c>
      <c r="I84" s="28" t="s">
        <v>130</v>
      </c>
      <c r="J84" s="28" t="s">
        <v>2939</v>
      </c>
      <c r="K84" s="28" t="s">
        <v>3600</v>
      </c>
      <c r="L84" s="28" t="s">
        <v>2149</v>
      </c>
      <c r="M84" s="28" t="s">
        <v>41</v>
      </c>
      <c r="N84" s="28"/>
    </row>
    <row r="85" spans="1:26" ht="14.4">
      <c r="A85" s="28" t="s">
        <v>2948</v>
      </c>
      <c r="B85" s="28" t="s">
        <v>3543</v>
      </c>
      <c r="C85" s="28" t="s">
        <v>85</v>
      </c>
      <c r="D85" s="172" t="s">
        <v>86</v>
      </c>
      <c r="E85" s="29" t="s">
        <v>2969</v>
      </c>
      <c r="F85" s="28" t="s">
        <v>3606</v>
      </c>
      <c r="G85" s="28" t="s">
        <v>3607</v>
      </c>
      <c r="H85" s="28" t="s">
        <v>3599</v>
      </c>
      <c r="I85" s="28" t="s">
        <v>130</v>
      </c>
      <c r="J85" s="28" t="s">
        <v>2945</v>
      </c>
      <c r="K85" s="28" t="s">
        <v>3600</v>
      </c>
      <c r="L85" s="28" t="s">
        <v>2149</v>
      </c>
      <c r="M85" s="28" t="s">
        <v>41</v>
      </c>
      <c r="N85" s="28"/>
    </row>
    <row r="86" spans="1:26" ht="14.4">
      <c r="A86" s="28" t="s">
        <v>2948</v>
      </c>
      <c r="B86" s="28" t="s">
        <v>3543</v>
      </c>
      <c r="C86" s="28" t="s">
        <v>85</v>
      </c>
      <c r="D86" s="172" t="s">
        <v>86</v>
      </c>
      <c r="E86" s="29" t="s">
        <v>2969</v>
      </c>
      <c r="F86" s="28" t="s">
        <v>3611</v>
      </c>
      <c r="G86" s="28" t="s">
        <v>3612</v>
      </c>
      <c r="H86" s="28" t="s">
        <v>3599</v>
      </c>
      <c r="I86" s="28" t="s">
        <v>130</v>
      </c>
      <c r="J86" s="28" t="s">
        <v>2951</v>
      </c>
      <c r="K86" s="28" t="s">
        <v>3613</v>
      </c>
      <c r="L86" s="28" t="s">
        <v>2149</v>
      </c>
      <c r="M86" s="28" t="s">
        <v>41</v>
      </c>
      <c r="N86" s="28"/>
    </row>
    <row r="87" spans="1:26" ht="14.4">
      <c r="A87" s="28" t="s">
        <v>2948</v>
      </c>
      <c r="B87" s="28" t="s">
        <v>3543</v>
      </c>
      <c r="C87" s="28" t="s">
        <v>85</v>
      </c>
      <c r="D87" s="172" t="s">
        <v>86</v>
      </c>
      <c r="E87" s="29" t="s">
        <v>2969</v>
      </c>
      <c r="F87" s="28" t="s">
        <v>3614</v>
      </c>
      <c r="G87" s="28" t="s">
        <v>3615</v>
      </c>
      <c r="H87" s="28" t="s">
        <v>3617</v>
      </c>
      <c r="I87" s="28" t="s">
        <v>3619</v>
      </c>
      <c r="J87" s="28" t="s">
        <v>2955</v>
      </c>
      <c r="K87" s="28" t="s">
        <v>1252</v>
      </c>
      <c r="L87" s="28" t="s">
        <v>989</v>
      </c>
      <c r="M87" s="28" t="s">
        <v>41</v>
      </c>
      <c r="N87" s="28"/>
    </row>
    <row r="88" spans="1:26" ht="14.4">
      <c r="A88" s="28" t="s">
        <v>2948</v>
      </c>
      <c r="B88" s="28" t="s">
        <v>3543</v>
      </c>
      <c r="C88" s="28" t="s">
        <v>85</v>
      </c>
      <c r="D88" s="172" t="s">
        <v>86</v>
      </c>
      <c r="E88" s="29" t="s">
        <v>2969</v>
      </c>
      <c r="F88" s="28" t="s">
        <v>3624</v>
      </c>
      <c r="G88" s="28" t="s">
        <v>3625</v>
      </c>
      <c r="H88" s="28" t="s">
        <v>3627</v>
      </c>
      <c r="I88" s="28" t="s">
        <v>966</v>
      </c>
      <c r="J88" s="28" t="s">
        <v>3040</v>
      </c>
      <c r="K88" s="28" t="s">
        <v>3627</v>
      </c>
      <c r="L88" s="28" t="s">
        <v>2149</v>
      </c>
      <c r="M88" s="28" t="s">
        <v>41</v>
      </c>
      <c r="N88" s="28"/>
    </row>
    <row r="89" spans="1:26" ht="14.4">
      <c r="A89" s="28" t="s">
        <v>2948</v>
      </c>
      <c r="B89" s="28" t="s">
        <v>3543</v>
      </c>
      <c r="C89" s="28" t="s">
        <v>85</v>
      </c>
      <c r="D89" s="172" t="s">
        <v>86</v>
      </c>
      <c r="E89" s="29" t="s">
        <v>2969</v>
      </c>
      <c r="F89" s="28" t="s">
        <v>3630</v>
      </c>
      <c r="G89" s="28" t="s">
        <v>3631</v>
      </c>
      <c r="H89" s="28" t="s">
        <v>3632</v>
      </c>
      <c r="I89" s="28" t="s">
        <v>898</v>
      </c>
      <c r="J89" s="28" t="s">
        <v>3633</v>
      </c>
      <c r="K89" s="28" t="s">
        <v>3632</v>
      </c>
      <c r="L89" s="28" t="s">
        <v>2149</v>
      </c>
      <c r="M89" s="28" t="s">
        <v>41</v>
      </c>
      <c r="N89" s="28"/>
    </row>
    <row r="90" spans="1:26" ht="14.4">
      <c r="A90" s="28" t="s">
        <v>2948</v>
      </c>
      <c r="B90" s="28" t="s">
        <v>3543</v>
      </c>
      <c r="C90" s="28" t="s">
        <v>85</v>
      </c>
      <c r="D90" s="172" t="s">
        <v>86</v>
      </c>
      <c r="E90" s="29" t="s">
        <v>2969</v>
      </c>
      <c r="F90" s="28" t="s">
        <v>3636</v>
      </c>
      <c r="G90" s="28" t="s">
        <v>3637</v>
      </c>
      <c r="H90" s="28" t="s">
        <v>3565</v>
      </c>
      <c r="I90" s="28" t="s">
        <v>1610</v>
      </c>
      <c r="J90" s="28" t="s">
        <v>3641</v>
      </c>
      <c r="K90" s="28" t="s">
        <v>3642</v>
      </c>
      <c r="L90" s="28" t="s">
        <v>989</v>
      </c>
      <c r="M90" s="28" t="s">
        <v>41</v>
      </c>
      <c r="N90" s="28"/>
    </row>
    <row r="91" spans="1:26" ht="14.4">
      <c r="A91" s="28" t="s">
        <v>2948</v>
      </c>
      <c r="B91" s="28" t="s">
        <v>3543</v>
      </c>
      <c r="C91" s="28" t="s">
        <v>220</v>
      </c>
      <c r="D91" s="172" t="s">
        <v>234</v>
      </c>
      <c r="E91" s="29" t="s">
        <v>2969</v>
      </c>
      <c r="F91" s="28" t="s">
        <v>3643</v>
      </c>
      <c r="G91" s="28" t="s">
        <v>3644</v>
      </c>
      <c r="H91" s="28" t="s">
        <v>3565</v>
      </c>
      <c r="I91" s="28" t="s">
        <v>1610</v>
      </c>
      <c r="J91" s="28" t="s">
        <v>2784</v>
      </c>
      <c r="K91" s="28" t="s">
        <v>3647</v>
      </c>
      <c r="L91" s="28" t="s">
        <v>989</v>
      </c>
      <c r="M91" s="28" t="s">
        <v>41</v>
      </c>
      <c r="N91" s="28"/>
    </row>
    <row r="92" spans="1:26" ht="14.4">
      <c r="A92" s="28" t="s">
        <v>2948</v>
      </c>
      <c r="B92" s="28" t="s">
        <v>3543</v>
      </c>
      <c r="C92" s="28" t="s">
        <v>220</v>
      </c>
      <c r="D92" s="172" t="s">
        <v>234</v>
      </c>
      <c r="E92" s="29" t="s">
        <v>2969</v>
      </c>
      <c r="F92" s="28" t="s">
        <v>3649</v>
      </c>
      <c r="G92" s="28" t="s">
        <v>767</v>
      </c>
      <c r="H92" s="28" t="s">
        <v>3599</v>
      </c>
      <c r="I92" s="28" t="s">
        <v>130</v>
      </c>
      <c r="J92" s="28" t="s">
        <v>2791</v>
      </c>
      <c r="K92" s="28" t="s">
        <v>3567</v>
      </c>
      <c r="L92" s="28" t="s">
        <v>2149</v>
      </c>
      <c r="M92" s="28" t="s">
        <v>41</v>
      </c>
      <c r="N92" s="28"/>
    </row>
    <row r="93" spans="1:26" ht="14.4">
      <c r="A93" s="28" t="s">
        <v>2948</v>
      </c>
      <c r="B93" s="28" t="s">
        <v>3543</v>
      </c>
      <c r="C93" s="28" t="s">
        <v>233</v>
      </c>
      <c r="D93" s="172" t="s">
        <v>298</v>
      </c>
      <c r="E93" s="29" t="s">
        <v>2969</v>
      </c>
      <c r="F93" s="28" t="s">
        <v>3652</v>
      </c>
      <c r="G93" s="28"/>
      <c r="H93" s="28" t="s">
        <v>3599</v>
      </c>
      <c r="I93" s="28" t="s">
        <v>130</v>
      </c>
      <c r="J93" s="28" t="s">
        <v>2798</v>
      </c>
      <c r="K93" s="28" t="s">
        <v>3599</v>
      </c>
      <c r="L93" s="28" t="s">
        <v>2149</v>
      </c>
      <c r="M93" s="28" t="s">
        <v>41</v>
      </c>
      <c r="N93" s="28"/>
    </row>
    <row r="94" spans="1:26" ht="14.4">
      <c r="A94" s="28" t="s">
        <v>2948</v>
      </c>
      <c r="B94" s="28" t="s">
        <v>3543</v>
      </c>
      <c r="C94" s="28" t="s">
        <v>233</v>
      </c>
      <c r="D94" s="172" t="s">
        <v>298</v>
      </c>
      <c r="E94" s="29" t="s">
        <v>2969</v>
      </c>
      <c r="F94" s="28" t="s">
        <v>3656</v>
      </c>
      <c r="G94" s="28"/>
      <c r="H94" s="28" t="s">
        <v>3632</v>
      </c>
      <c r="I94" s="28" t="s">
        <v>898</v>
      </c>
      <c r="J94" s="28" t="s">
        <v>2804</v>
      </c>
      <c r="K94" s="28" t="s">
        <v>3632</v>
      </c>
      <c r="L94" s="28" t="s">
        <v>2149</v>
      </c>
      <c r="M94" s="28" t="s">
        <v>41</v>
      </c>
      <c r="N94" s="28"/>
    </row>
    <row r="95" spans="1:26" ht="14.4">
      <c r="A95" s="28" t="s">
        <v>2948</v>
      </c>
      <c r="B95" s="28" t="s">
        <v>3543</v>
      </c>
      <c r="C95" s="28" t="s">
        <v>233</v>
      </c>
      <c r="D95" s="172" t="s">
        <v>298</v>
      </c>
      <c r="E95" s="29" t="s">
        <v>2969</v>
      </c>
      <c r="F95" s="28" t="s">
        <v>3661</v>
      </c>
      <c r="G95" s="28"/>
      <c r="H95" s="28" t="s">
        <v>3662</v>
      </c>
      <c r="I95" s="28" t="s">
        <v>521</v>
      </c>
      <c r="J95" s="28" t="s">
        <v>3663</v>
      </c>
      <c r="K95" s="28" t="s">
        <v>3662</v>
      </c>
      <c r="L95" s="28" t="s">
        <v>2166</v>
      </c>
      <c r="M95" s="28" t="s">
        <v>41</v>
      </c>
      <c r="N95" s="28"/>
    </row>
    <row r="96" spans="1:26" ht="14.4">
      <c r="A96" s="28" t="s">
        <v>2948</v>
      </c>
      <c r="B96" s="28" t="s">
        <v>3543</v>
      </c>
      <c r="C96" s="28" t="s">
        <v>275</v>
      </c>
      <c r="D96" s="172" t="s">
        <v>543</v>
      </c>
      <c r="E96" s="29" t="s">
        <v>2969</v>
      </c>
      <c r="F96" s="79" t="s">
        <v>3669</v>
      </c>
      <c r="G96" s="28"/>
      <c r="H96" s="28" t="s">
        <v>3599</v>
      </c>
      <c r="I96" s="28" t="s">
        <v>130</v>
      </c>
      <c r="J96" s="28" t="s">
        <v>3670</v>
      </c>
      <c r="K96" s="28" t="s">
        <v>3599</v>
      </c>
      <c r="L96" s="28" t="s">
        <v>2149</v>
      </c>
      <c r="M96" s="28" t="s">
        <v>41</v>
      </c>
      <c r="N96" s="28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spans="1:14" ht="14.4">
      <c r="A97" s="28" t="s">
        <v>2948</v>
      </c>
      <c r="B97" s="28" t="s">
        <v>3543</v>
      </c>
      <c r="C97" s="28" t="s">
        <v>296</v>
      </c>
      <c r="D97" s="172" t="s">
        <v>954</v>
      </c>
      <c r="E97" s="29" t="s">
        <v>2969</v>
      </c>
      <c r="F97" s="79" t="s">
        <v>3675</v>
      </c>
      <c r="G97" s="28" t="s">
        <v>3677</v>
      </c>
      <c r="H97" s="28" t="s">
        <v>3679</v>
      </c>
      <c r="I97" s="28" t="s">
        <v>933</v>
      </c>
      <c r="J97" s="28" t="s">
        <v>3164</v>
      </c>
      <c r="K97" s="28" t="s">
        <v>3679</v>
      </c>
      <c r="L97" s="28" t="s">
        <v>3682</v>
      </c>
      <c r="M97" s="28" t="s">
        <v>41</v>
      </c>
      <c r="N97" s="28"/>
    </row>
    <row r="98" spans="1:14" ht="14.4">
      <c r="A98" s="28" t="s">
        <v>2948</v>
      </c>
      <c r="B98" s="28" t="s">
        <v>3684</v>
      </c>
      <c r="C98" s="28" t="s">
        <v>85</v>
      </c>
      <c r="D98" s="172" t="s">
        <v>86</v>
      </c>
      <c r="E98" s="29" t="s">
        <v>2969</v>
      </c>
      <c r="F98" s="28" t="s">
        <v>3686</v>
      </c>
      <c r="G98" s="28" t="s">
        <v>3687</v>
      </c>
      <c r="H98" s="28" t="s">
        <v>3689</v>
      </c>
      <c r="I98" s="28" t="s">
        <v>3691</v>
      </c>
      <c r="J98" s="28" t="s">
        <v>3692</v>
      </c>
      <c r="K98" s="28" t="s">
        <v>3694</v>
      </c>
      <c r="L98" s="28" t="s">
        <v>2149</v>
      </c>
      <c r="M98" s="28" t="s">
        <v>41</v>
      </c>
      <c r="N98" s="28" t="s">
        <v>3696</v>
      </c>
    </row>
    <row r="99" spans="1:14" ht="14.4">
      <c r="A99" s="28" t="s">
        <v>2948</v>
      </c>
      <c r="B99" s="28" t="s">
        <v>3684</v>
      </c>
      <c r="C99" s="28" t="s">
        <v>85</v>
      </c>
      <c r="D99" s="172" t="s">
        <v>86</v>
      </c>
      <c r="E99" s="29" t="s">
        <v>2969</v>
      </c>
      <c r="F99" s="28" t="s">
        <v>3698</v>
      </c>
      <c r="G99" s="28" t="s">
        <v>3699</v>
      </c>
      <c r="H99" s="28" t="s">
        <v>3689</v>
      </c>
      <c r="I99" s="28" t="s">
        <v>3691</v>
      </c>
      <c r="J99" s="28" t="s">
        <v>3705</v>
      </c>
      <c r="K99" s="28" t="s">
        <v>3707</v>
      </c>
      <c r="L99" s="28" t="s">
        <v>2149</v>
      </c>
      <c r="M99" s="28" t="s">
        <v>41</v>
      </c>
      <c r="N99" s="28"/>
    </row>
    <row r="100" spans="1:14" ht="14.4">
      <c r="A100" s="28" t="s">
        <v>2948</v>
      </c>
      <c r="B100" s="28" t="s">
        <v>3684</v>
      </c>
      <c r="C100" s="28" t="s">
        <v>85</v>
      </c>
      <c r="D100" s="172" t="s">
        <v>86</v>
      </c>
      <c r="E100" s="29" t="s">
        <v>2969</v>
      </c>
      <c r="F100" s="28" t="s">
        <v>3710</v>
      </c>
      <c r="G100" s="28" t="s">
        <v>3712</v>
      </c>
      <c r="H100" s="28" t="s">
        <v>3713</v>
      </c>
      <c r="I100" s="28" t="s">
        <v>3715</v>
      </c>
      <c r="J100" s="28" t="s">
        <v>3717</v>
      </c>
      <c r="K100" s="28" t="s">
        <v>3713</v>
      </c>
      <c r="L100" s="28" t="s">
        <v>989</v>
      </c>
      <c r="M100" s="28" t="s">
        <v>41</v>
      </c>
      <c r="N100" s="28"/>
    </row>
    <row r="101" spans="1:14" ht="14.4">
      <c r="A101" s="28" t="s">
        <v>2948</v>
      </c>
      <c r="B101" s="28" t="s">
        <v>3684</v>
      </c>
      <c r="C101" s="28" t="s">
        <v>85</v>
      </c>
      <c r="D101" s="172" t="s">
        <v>86</v>
      </c>
      <c r="E101" s="29" t="s">
        <v>2969</v>
      </c>
      <c r="F101" s="28" t="s">
        <v>3721</v>
      </c>
      <c r="G101" s="28" t="s">
        <v>3722</v>
      </c>
      <c r="H101" s="28" t="s">
        <v>3723</v>
      </c>
      <c r="I101" s="28" t="s">
        <v>3724</v>
      </c>
      <c r="J101" s="28" t="s">
        <v>3725</v>
      </c>
      <c r="K101" s="28" t="s">
        <v>3728</v>
      </c>
      <c r="L101" s="28" t="s">
        <v>2149</v>
      </c>
      <c r="M101" s="28" t="s">
        <v>41</v>
      </c>
      <c r="N101" s="28" t="s">
        <v>3732</v>
      </c>
    </row>
    <row r="102" spans="1:14" ht="14.4">
      <c r="A102" s="28" t="s">
        <v>2948</v>
      </c>
      <c r="B102" s="28" t="s">
        <v>3684</v>
      </c>
      <c r="C102" s="28" t="s">
        <v>85</v>
      </c>
      <c r="D102" s="172" t="s">
        <v>86</v>
      </c>
      <c r="E102" s="29" t="s">
        <v>2969</v>
      </c>
      <c r="F102" s="28" t="s">
        <v>3734</v>
      </c>
      <c r="G102" s="28" t="s">
        <v>3735</v>
      </c>
      <c r="H102" s="28" t="s">
        <v>3736</v>
      </c>
      <c r="I102" s="28" t="s">
        <v>3738</v>
      </c>
      <c r="J102" s="28" t="s">
        <v>3275</v>
      </c>
      <c r="K102" s="28" t="s">
        <v>3736</v>
      </c>
      <c r="L102" s="28" t="s">
        <v>2149</v>
      </c>
      <c r="M102" s="28" t="s">
        <v>41</v>
      </c>
      <c r="N102" s="28"/>
    </row>
    <row r="103" spans="1:14" ht="14.4">
      <c r="A103" s="28" t="s">
        <v>2948</v>
      </c>
      <c r="B103" s="28" t="s">
        <v>3684</v>
      </c>
      <c r="C103" s="28" t="s">
        <v>85</v>
      </c>
      <c r="D103" s="172" t="s">
        <v>86</v>
      </c>
      <c r="E103" s="29" t="s">
        <v>2969</v>
      </c>
      <c r="F103" s="28" t="s">
        <v>3743</v>
      </c>
      <c r="G103" s="28" t="s">
        <v>3745</v>
      </c>
      <c r="H103" s="28" t="s">
        <v>3689</v>
      </c>
      <c r="I103" s="28" t="s">
        <v>3746</v>
      </c>
      <c r="J103" s="28" t="s">
        <v>3270</v>
      </c>
      <c r="K103" s="28" t="s">
        <v>3748</v>
      </c>
      <c r="L103" s="28" t="s">
        <v>2166</v>
      </c>
      <c r="M103" s="28" t="s">
        <v>41</v>
      </c>
      <c r="N103" s="28" t="s">
        <v>3749</v>
      </c>
    </row>
    <row r="104" spans="1:14" ht="14.4">
      <c r="A104" s="28" t="s">
        <v>2948</v>
      </c>
      <c r="B104" s="28" t="s">
        <v>3684</v>
      </c>
      <c r="C104" s="28" t="s">
        <v>85</v>
      </c>
      <c r="D104" s="172" t="s">
        <v>86</v>
      </c>
      <c r="E104" s="29" t="s">
        <v>2969</v>
      </c>
      <c r="F104" s="28" t="s">
        <v>3755</v>
      </c>
      <c r="G104" s="28" t="s">
        <v>3756</v>
      </c>
      <c r="H104" s="28" t="s">
        <v>3689</v>
      </c>
      <c r="I104" s="28" t="s">
        <v>3746</v>
      </c>
      <c r="J104" s="28" t="s">
        <v>3757</v>
      </c>
      <c r="K104" s="28" t="s">
        <v>3758</v>
      </c>
      <c r="L104" s="28" t="s">
        <v>2166</v>
      </c>
      <c r="M104" s="28" t="s">
        <v>41</v>
      </c>
      <c r="N104" s="28" t="s">
        <v>3760</v>
      </c>
    </row>
    <row r="105" spans="1:14" ht="14.4">
      <c r="A105" s="28" t="s">
        <v>2948</v>
      </c>
      <c r="B105" s="28" t="s">
        <v>3684</v>
      </c>
      <c r="C105" s="28" t="s">
        <v>85</v>
      </c>
      <c r="D105" s="172" t="s">
        <v>86</v>
      </c>
      <c r="E105" s="29" t="s">
        <v>2969</v>
      </c>
      <c r="F105" s="28" t="s">
        <v>3763</v>
      </c>
      <c r="G105" s="28" t="s">
        <v>3764</v>
      </c>
      <c r="H105" s="28" t="s">
        <v>3766</v>
      </c>
      <c r="I105" s="28" t="s">
        <v>3767</v>
      </c>
      <c r="J105" s="28" t="s">
        <v>3768</v>
      </c>
      <c r="K105" s="28" t="s">
        <v>3770</v>
      </c>
      <c r="L105" s="28" t="s">
        <v>989</v>
      </c>
      <c r="M105" s="28" t="s">
        <v>41</v>
      </c>
      <c r="N105" s="28" t="s">
        <v>3771</v>
      </c>
    </row>
    <row r="106" spans="1:14" ht="14.4">
      <c r="A106" s="28" t="s">
        <v>2948</v>
      </c>
      <c r="B106" s="28" t="s">
        <v>3684</v>
      </c>
      <c r="C106" s="28" t="s">
        <v>85</v>
      </c>
      <c r="D106" s="172" t="s">
        <v>86</v>
      </c>
      <c r="E106" s="29" t="s">
        <v>2969</v>
      </c>
      <c r="F106" s="28" t="s">
        <v>3773</v>
      </c>
      <c r="G106" s="28" t="s">
        <v>3774</v>
      </c>
      <c r="H106" s="28" t="s">
        <v>3770</v>
      </c>
      <c r="I106" s="28" t="s">
        <v>3775</v>
      </c>
      <c r="J106" s="28" t="s">
        <v>3777</v>
      </c>
      <c r="K106" s="28" t="s">
        <v>3779</v>
      </c>
      <c r="L106" s="28" t="s">
        <v>989</v>
      </c>
      <c r="M106" s="28" t="s">
        <v>41</v>
      </c>
      <c r="N106" s="28"/>
    </row>
    <row r="107" spans="1:14" ht="14.4">
      <c r="A107" s="28" t="s">
        <v>2948</v>
      </c>
      <c r="B107" s="28" t="s">
        <v>3684</v>
      </c>
      <c r="C107" s="28" t="s">
        <v>85</v>
      </c>
      <c r="D107" s="172" t="s">
        <v>86</v>
      </c>
      <c r="E107" s="29" t="s">
        <v>2969</v>
      </c>
      <c r="F107" s="28" t="s">
        <v>3781</v>
      </c>
      <c r="G107" s="28" t="s">
        <v>3782</v>
      </c>
      <c r="H107" s="28" t="s">
        <v>3723</v>
      </c>
      <c r="I107" s="28" t="s">
        <v>3724</v>
      </c>
      <c r="J107" s="28" t="s">
        <v>3297</v>
      </c>
      <c r="K107" s="28" t="s">
        <v>3783</v>
      </c>
      <c r="L107" s="28" t="s">
        <v>2149</v>
      </c>
      <c r="M107" s="28" t="s">
        <v>41</v>
      </c>
      <c r="N107" s="28" t="s">
        <v>3785</v>
      </c>
    </row>
    <row r="108" spans="1:14" ht="14.4">
      <c r="A108" s="28" t="s">
        <v>2948</v>
      </c>
      <c r="B108" s="28" t="s">
        <v>3684</v>
      </c>
      <c r="C108" s="28" t="s">
        <v>85</v>
      </c>
      <c r="D108" s="172" t="s">
        <v>86</v>
      </c>
      <c r="E108" s="29" t="s">
        <v>2969</v>
      </c>
      <c r="F108" s="28" t="s">
        <v>3790</v>
      </c>
      <c r="G108" s="28" t="s">
        <v>3791</v>
      </c>
      <c r="H108" s="28" t="s">
        <v>3792</v>
      </c>
      <c r="I108" s="28" t="s">
        <v>3746</v>
      </c>
      <c r="J108" s="28" t="s">
        <v>3291</v>
      </c>
      <c r="K108" s="28" t="s">
        <v>3794</v>
      </c>
      <c r="L108" s="28" t="s">
        <v>2166</v>
      </c>
      <c r="M108" s="28" t="s">
        <v>41</v>
      </c>
      <c r="N108" s="28"/>
    </row>
    <row r="109" spans="1:14" ht="14.4">
      <c r="A109" s="28" t="s">
        <v>2948</v>
      </c>
      <c r="B109" s="28" t="s">
        <v>3684</v>
      </c>
      <c r="C109" s="28" t="s">
        <v>85</v>
      </c>
      <c r="D109" s="172" t="s">
        <v>86</v>
      </c>
      <c r="E109" s="29" t="s">
        <v>2969</v>
      </c>
      <c r="F109" s="28" t="s">
        <v>3798</v>
      </c>
      <c r="G109" s="28" t="s">
        <v>3800</v>
      </c>
      <c r="H109" s="28" t="s">
        <v>3801</v>
      </c>
      <c r="I109" s="28" t="s">
        <v>3802</v>
      </c>
      <c r="J109" s="28" t="s">
        <v>3285</v>
      </c>
      <c r="K109" s="28" t="s">
        <v>3801</v>
      </c>
      <c r="L109" s="28" t="s">
        <v>989</v>
      </c>
      <c r="M109" s="28" t="s">
        <v>41</v>
      </c>
      <c r="N109" s="28" t="s">
        <v>3804</v>
      </c>
    </row>
    <row r="110" spans="1:14" ht="14.4">
      <c r="A110" s="28" t="s">
        <v>2948</v>
      </c>
      <c r="B110" s="28" t="s">
        <v>3684</v>
      </c>
      <c r="C110" s="28" t="s">
        <v>85</v>
      </c>
      <c r="D110" s="172" t="s">
        <v>86</v>
      </c>
      <c r="E110" s="29" t="s">
        <v>2969</v>
      </c>
      <c r="F110" s="28" t="s">
        <v>3806</v>
      </c>
      <c r="G110" s="28" t="s">
        <v>3808</v>
      </c>
      <c r="H110" s="28" t="s">
        <v>3810</v>
      </c>
      <c r="I110" s="28" t="s">
        <v>3811</v>
      </c>
      <c r="J110" s="28" t="s">
        <v>3812</v>
      </c>
      <c r="K110" s="28" t="s">
        <v>3814</v>
      </c>
      <c r="L110" s="28" t="s">
        <v>2230</v>
      </c>
      <c r="M110" s="28" t="s">
        <v>41</v>
      </c>
      <c r="N110" s="28"/>
    </row>
    <row r="111" spans="1:14" ht="14.4">
      <c r="A111" s="28" t="s">
        <v>2948</v>
      </c>
      <c r="B111" s="28" t="s">
        <v>3684</v>
      </c>
      <c r="C111" s="28" t="s">
        <v>85</v>
      </c>
      <c r="D111" s="172" t="s">
        <v>86</v>
      </c>
      <c r="E111" s="29" t="s">
        <v>2969</v>
      </c>
      <c r="F111" s="28" t="s">
        <v>3816</v>
      </c>
      <c r="G111" s="28" t="s">
        <v>3818</v>
      </c>
      <c r="H111" s="28" t="s">
        <v>3819</v>
      </c>
      <c r="I111" s="28" t="s">
        <v>3820</v>
      </c>
      <c r="J111" s="28" t="s">
        <v>3822</v>
      </c>
      <c r="K111" s="28" t="s">
        <v>3819</v>
      </c>
      <c r="L111" s="28" t="s">
        <v>2149</v>
      </c>
      <c r="M111" s="28" t="s">
        <v>41</v>
      </c>
      <c r="N111" s="28" t="s">
        <v>3825</v>
      </c>
    </row>
    <row r="112" spans="1:14" ht="14.4">
      <c r="A112" s="28" t="s">
        <v>2948</v>
      </c>
      <c r="B112" s="28" t="s">
        <v>3684</v>
      </c>
      <c r="C112" s="28" t="s">
        <v>220</v>
      </c>
      <c r="D112" s="172" t="s">
        <v>234</v>
      </c>
      <c r="E112" s="29" t="s">
        <v>2969</v>
      </c>
      <c r="F112" s="28" t="s">
        <v>3827</v>
      </c>
      <c r="G112" s="28" t="s">
        <v>3828</v>
      </c>
      <c r="H112" s="28" t="s">
        <v>3810</v>
      </c>
      <c r="I112" s="28" t="s">
        <v>506</v>
      </c>
      <c r="J112" s="28" t="s">
        <v>3829</v>
      </c>
      <c r="K112" s="28" t="s">
        <v>3830</v>
      </c>
      <c r="L112" s="28" t="s">
        <v>989</v>
      </c>
      <c r="M112" s="28" t="s">
        <v>41</v>
      </c>
      <c r="N112" s="28" t="s">
        <v>3834</v>
      </c>
    </row>
    <row r="113" spans="1:26" ht="14.4">
      <c r="A113" s="28" t="s">
        <v>2948</v>
      </c>
      <c r="B113" s="28" t="s">
        <v>3684</v>
      </c>
      <c r="C113" s="28" t="s">
        <v>220</v>
      </c>
      <c r="D113" s="172" t="s">
        <v>234</v>
      </c>
      <c r="E113" s="29" t="s">
        <v>2969</v>
      </c>
      <c r="F113" s="28" t="s">
        <v>3837</v>
      </c>
      <c r="G113" s="28" t="s">
        <v>3838</v>
      </c>
      <c r="H113" s="28" t="s">
        <v>3723</v>
      </c>
      <c r="I113" s="28" t="s">
        <v>3724</v>
      </c>
      <c r="J113" s="28" t="s">
        <v>3839</v>
      </c>
      <c r="K113" s="28" t="s">
        <v>3840</v>
      </c>
      <c r="L113" s="28" t="s">
        <v>2149</v>
      </c>
      <c r="M113" s="28" t="s">
        <v>41</v>
      </c>
      <c r="N113" s="28" t="s">
        <v>3842</v>
      </c>
    </row>
    <row r="114" spans="1:26" ht="14.4">
      <c r="A114" s="28" t="s">
        <v>2948</v>
      </c>
      <c r="B114" s="28" t="s">
        <v>3684</v>
      </c>
      <c r="C114" s="28" t="s">
        <v>220</v>
      </c>
      <c r="D114" s="172" t="s">
        <v>234</v>
      </c>
      <c r="E114" s="29" t="s">
        <v>2969</v>
      </c>
      <c r="F114" s="28" t="s">
        <v>3846</v>
      </c>
      <c r="G114" s="28" t="s">
        <v>3847</v>
      </c>
      <c r="H114" s="28" t="s">
        <v>3792</v>
      </c>
      <c r="I114" s="28" t="s">
        <v>3691</v>
      </c>
      <c r="J114" s="28" t="s">
        <v>3849</v>
      </c>
      <c r="K114" s="28" t="s">
        <v>3851</v>
      </c>
      <c r="L114" s="28" t="s">
        <v>2149</v>
      </c>
      <c r="M114" s="28" t="s">
        <v>41</v>
      </c>
      <c r="N114" s="28" t="s">
        <v>3852</v>
      </c>
    </row>
    <row r="115" spans="1:26" ht="14.4">
      <c r="A115" s="28" t="s">
        <v>2948</v>
      </c>
      <c r="B115" s="28" t="s">
        <v>3684</v>
      </c>
      <c r="C115" s="28" t="s">
        <v>220</v>
      </c>
      <c r="D115" s="172" t="s">
        <v>234</v>
      </c>
      <c r="E115" s="29" t="s">
        <v>2969</v>
      </c>
      <c r="F115" s="28" t="s">
        <v>3853</v>
      </c>
      <c r="G115" s="28" t="s">
        <v>3854</v>
      </c>
      <c r="H115" s="28" t="s">
        <v>3689</v>
      </c>
      <c r="I115" s="28" t="s">
        <v>3855</v>
      </c>
      <c r="J115" s="28" t="s">
        <v>3857</v>
      </c>
      <c r="K115" s="28" t="s">
        <v>3859</v>
      </c>
      <c r="L115" s="28" t="s">
        <v>2166</v>
      </c>
      <c r="M115" s="28" t="s">
        <v>41</v>
      </c>
      <c r="N115" s="28"/>
    </row>
    <row r="116" spans="1:26" ht="14.4">
      <c r="A116" s="28" t="s">
        <v>2948</v>
      </c>
      <c r="B116" s="28" t="s">
        <v>3684</v>
      </c>
      <c r="C116" s="28" t="s">
        <v>220</v>
      </c>
      <c r="D116" s="172" t="s">
        <v>234</v>
      </c>
      <c r="E116" s="29" t="s">
        <v>2969</v>
      </c>
      <c r="F116" s="28" t="s">
        <v>3862</v>
      </c>
      <c r="G116" s="28" t="s">
        <v>3863</v>
      </c>
      <c r="H116" s="28" t="s">
        <v>3689</v>
      </c>
      <c r="I116" s="28" t="s">
        <v>3855</v>
      </c>
      <c r="J116" s="28" t="s">
        <v>3866</v>
      </c>
      <c r="K116" s="28" t="s">
        <v>3867</v>
      </c>
      <c r="L116" s="28" t="s">
        <v>2149</v>
      </c>
      <c r="M116" s="28" t="s">
        <v>41</v>
      </c>
      <c r="N116" s="28"/>
    </row>
    <row r="117" spans="1:26" ht="14.4">
      <c r="A117" s="28" t="s">
        <v>2948</v>
      </c>
      <c r="B117" s="28" t="s">
        <v>3684</v>
      </c>
      <c r="C117" s="28" t="s">
        <v>233</v>
      </c>
      <c r="D117" s="172" t="s">
        <v>298</v>
      </c>
      <c r="E117" s="29" t="s">
        <v>2969</v>
      </c>
      <c r="F117" s="28" t="s">
        <v>3869</v>
      </c>
      <c r="G117" s="28"/>
      <c r="H117" s="28" t="s">
        <v>3723</v>
      </c>
      <c r="I117" s="28" t="s">
        <v>3724</v>
      </c>
      <c r="J117" s="28" t="s">
        <v>3873</v>
      </c>
      <c r="K117" s="28" t="s">
        <v>3723</v>
      </c>
      <c r="L117" s="28" t="s">
        <v>2149</v>
      </c>
      <c r="M117" s="28" t="s">
        <v>41</v>
      </c>
      <c r="N117" s="28"/>
    </row>
    <row r="118" spans="1:26" ht="14.4">
      <c r="A118" s="28" t="s">
        <v>2948</v>
      </c>
      <c r="B118" s="28" t="s">
        <v>3684</v>
      </c>
      <c r="C118" s="28" t="s">
        <v>233</v>
      </c>
      <c r="D118" s="172" t="s">
        <v>298</v>
      </c>
      <c r="E118" s="29" t="s">
        <v>2969</v>
      </c>
      <c r="F118" s="28" t="s">
        <v>3876</v>
      </c>
      <c r="G118" s="28"/>
      <c r="H118" s="28" t="s">
        <v>3713</v>
      </c>
      <c r="I118" s="28" t="s">
        <v>3715</v>
      </c>
      <c r="J118" s="28" t="s">
        <v>3877</v>
      </c>
      <c r="K118" s="28" t="s">
        <v>3713</v>
      </c>
      <c r="L118" s="28" t="s">
        <v>989</v>
      </c>
      <c r="M118" s="28" t="s">
        <v>41</v>
      </c>
      <c r="N118" s="28"/>
    </row>
    <row r="119" spans="1:26" ht="14.4">
      <c r="A119" s="28" t="s">
        <v>2948</v>
      </c>
      <c r="B119" s="28" t="s">
        <v>3684</v>
      </c>
      <c r="C119" s="28" t="s">
        <v>233</v>
      </c>
      <c r="D119" s="172" t="s">
        <v>298</v>
      </c>
      <c r="E119" s="29" t="s">
        <v>2969</v>
      </c>
      <c r="F119" s="28" t="s">
        <v>3878</v>
      </c>
      <c r="G119" s="28"/>
      <c r="H119" s="28" t="s">
        <v>3766</v>
      </c>
      <c r="I119" s="28" t="s">
        <v>3767</v>
      </c>
      <c r="J119" s="28" t="s">
        <v>3880</v>
      </c>
      <c r="K119" s="28" t="s">
        <v>3881</v>
      </c>
      <c r="L119" s="28" t="s">
        <v>989</v>
      </c>
      <c r="M119" s="28" t="s">
        <v>41</v>
      </c>
      <c r="N119" s="28"/>
    </row>
    <row r="120" spans="1:26" ht="14.4">
      <c r="A120" s="28" t="s">
        <v>2948</v>
      </c>
      <c r="B120" s="28" t="s">
        <v>3684</v>
      </c>
      <c r="C120" s="28" t="s">
        <v>233</v>
      </c>
      <c r="D120" s="172" t="s">
        <v>298</v>
      </c>
      <c r="E120" s="29" t="s">
        <v>2969</v>
      </c>
      <c r="F120" s="28" t="s">
        <v>3886</v>
      </c>
      <c r="G120" s="28"/>
      <c r="H120" s="28" t="s">
        <v>3887</v>
      </c>
      <c r="I120" s="28" t="s">
        <v>3888</v>
      </c>
      <c r="J120" s="28" t="s">
        <v>3889</v>
      </c>
      <c r="K120" s="28" t="s">
        <v>3890</v>
      </c>
      <c r="L120" s="28" t="s">
        <v>149</v>
      </c>
      <c r="M120" s="28" t="s">
        <v>41</v>
      </c>
      <c r="N120" s="28"/>
    </row>
    <row r="121" spans="1:26" ht="14.4">
      <c r="A121" s="28" t="s">
        <v>2948</v>
      </c>
      <c r="B121" s="28" t="s">
        <v>3684</v>
      </c>
      <c r="C121" s="28" t="s">
        <v>51</v>
      </c>
      <c r="D121" s="172" t="s">
        <v>52</v>
      </c>
      <c r="E121" s="29" t="s">
        <v>2969</v>
      </c>
      <c r="F121" s="28" t="s">
        <v>3894</v>
      </c>
      <c r="G121" s="28"/>
      <c r="H121" s="28" t="s">
        <v>3896</v>
      </c>
      <c r="I121" s="28" t="s">
        <v>3898</v>
      </c>
      <c r="J121" s="28" t="s">
        <v>2877</v>
      </c>
      <c r="K121" s="28" t="s">
        <v>3896</v>
      </c>
      <c r="L121" s="28" t="s">
        <v>2149</v>
      </c>
      <c r="M121" s="28" t="s">
        <v>41</v>
      </c>
      <c r="N121" s="28"/>
    </row>
    <row r="122" spans="1:26" ht="14.4">
      <c r="A122" s="28" t="s">
        <v>2948</v>
      </c>
      <c r="B122" s="28" t="s">
        <v>3684</v>
      </c>
      <c r="C122" s="28" t="s">
        <v>70</v>
      </c>
      <c r="D122" s="172" t="s">
        <v>71</v>
      </c>
      <c r="E122" s="29" t="s">
        <v>2969</v>
      </c>
      <c r="F122" s="79" t="s">
        <v>3894</v>
      </c>
      <c r="G122" s="28"/>
      <c r="H122" s="28" t="s">
        <v>3896</v>
      </c>
      <c r="I122" s="28" t="s">
        <v>3898</v>
      </c>
      <c r="J122" s="28" t="s">
        <v>2881</v>
      </c>
      <c r="K122" s="28" t="s">
        <v>3896</v>
      </c>
      <c r="L122" s="28" t="s">
        <v>2149</v>
      </c>
      <c r="M122" s="28" t="s">
        <v>41</v>
      </c>
      <c r="N122" s="28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spans="1:26" ht="14.4">
      <c r="A123" s="28" t="s">
        <v>2948</v>
      </c>
      <c r="B123" s="28" t="s">
        <v>3684</v>
      </c>
      <c r="C123" s="28" t="s">
        <v>79</v>
      </c>
      <c r="D123" s="172" t="s">
        <v>80</v>
      </c>
      <c r="E123" s="29" t="s">
        <v>2969</v>
      </c>
      <c r="F123" s="28" t="s">
        <v>1870</v>
      </c>
      <c r="G123" s="28"/>
      <c r="H123" s="28" t="s">
        <v>3896</v>
      </c>
      <c r="I123" s="28" t="s">
        <v>3898</v>
      </c>
      <c r="J123" s="28" t="s">
        <v>3907</v>
      </c>
      <c r="K123" s="28" t="s">
        <v>3896</v>
      </c>
      <c r="L123" s="28" t="s">
        <v>2149</v>
      </c>
      <c r="M123" s="28" t="s">
        <v>41</v>
      </c>
      <c r="N123" s="28"/>
    </row>
    <row r="124" spans="1:26" ht="14.4">
      <c r="A124" s="28" t="s">
        <v>2948</v>
      </c>
      <c r="B124" s="28" t="s">
        <v>3684</v>
      </c>
      <c r="C124" s="28" t="s">
        <v>79</v>
      </c>
      <c r="D124" s="172" t="s">
        <v>80</v>
      </c>
      <c r="E124" s="29" t="s">
        <v>2969</v>
      </c>
      <c r="F124" s="28" t="s">
        <v>3893</v>
      </c>
      <c r="G124" s="28" t="s">
        <v>3914</v>
      </c>
      <c r="H124" s="28" t="s">
        <v>3896</v>
      </c>
      <c r="I124" s="28" t="s">
        <v>3898</v>
      </c>
      <c r="J124" s="28" t="s">
        <v>3907</v>
      </c>
      <c r="K124" s="28" t="s">
        <v>3896</v>
      </c>
      <c r="L124" s="28" t="s">
        <v>2149</v>
      </c>
      <c r="M124" s="28" t="s">
        <v>41</v>
      </c>
      <c r="N124" s="28"/>
    </row>
    <row r="125" spans="1:26" ht="14.4">
      <c r="A125" s="28" t="s">
        <v>2948</v>
      </c>
      <c r="B125" s="28" t="s">
        <v>3684</v>
      </c>
      <c r="C125" s="28" t="s">
        <v>79</v>
      </c>
      <c r="D125" s="172" t="s">
        <v>80</v>
      </c>
      <c r="E125" s="29" t="s">
        <v>2969</v>
      </c>
      <c r="F125" s="28" t="s">
        <v>3903</v>
      </c>
      <c r="G125" s="28" t="s">
        <v>3921</v>
      </c>
      <c r="H125" s="28" t="s">
        <v>3896</v>
      </c>
      <c r="I125" s="28" t="s">
        <v>3898</v>
      </c>
      <c r="J125" s="28" t="s">
        <v>3907</v>
      </c>
      <c r="K125" s="28" t="s">
        <v>3896</v>
      </c>
      <c r="L125" s="28" t="s">
        <v>2149</v>
      </c>
      <c r="M125" s="28" t="s">
        <v>41</v>
      </c>
      <c r="N125" s="28"/>
    </row>
    <row r="126" spans="1:26" ht="14.4">
      <c r="A126" s="28" t="s">
        <v>2948</v>
      </c>
      <c r="B126" s="28" t="s">
        <v>3684</v>
      </c>
      <c r="C126" s="28" t="s">
        <v>79</v>
      </c>
      <c r="D126" s="172" t="s">
        <v>80</v>
      </c>
      <c r="E126" s="29" t="s">
        <v>2969</v>
      </c>
      <c r="F126" s="28" t="s">
        <v>3910</v>
      </c>
      <c r="G126" s="28" t="s">
        <v>3924</v>
      </c>
      <c r="H126" s="28" t="s">
        <v>3896</v>
      </c>
      <c r="I126" s="28" t="s">
        <v>3898</v>
      </c>
      <c r="J126" s="28" t="s">
        <v>3907</v>
      </c>
      <c r="K126" s="28" t="s">
        <v>3896</v>
      </c>
      <c r="L126" s="28" t="s">
        <v>2149</v>
      </c>
      <c r="M126" s="28" t="s">
        <v>41</v>
      </c>
      <c r="N126" s="28"/>
    </row>
    <row r="127" spans="1:26" ht="14.4">
      <c r="A127" s="28" t="s">
        <v>2948</v>
      </c>
      <c r="B127" s="28" t="s">
        <v>3684</v>
      </c>
      <c r="C127" s="28" t="s">
        <v>79</v>
      </c>
      <c r="D127" s="172" t="s">
        <v>80</v>
      </c>
      <c r="E127" s="29" t="s">
        <v>2969</v>
      </c>
      <c r="F127" s="28" t="s">
        <v>3915</v>
      </c>
      <c r="G127" s="28" t="s">
        <v>3929</v>
      </c>
      <c r="H127" s="28" t="s">
        <v>3896</v>
      </c>
      <c r="I127" s="28" t="s">
        <v>3898</v>
      </c>
      <c r="J127" s="28" t="s">
        <v>3907</v>
      </c>
      <c r="K127" s="28" t="s">
        <v>3896</v>
      </c>
      <c r="L127" s="28" t="s">
        <v>2149</v>
      </c>
      <c r="M127" s="28" t="s">
        <v>41</v>
      </c>
      <c r="N127" s="28"/>
    </row>
    <row r="128" spans="1:26" ht="14.4">
      <c r="A128" s="28" t="s">
        <v>2948</v>
      </c>
      <c r="B128" s="28" t="s">
        <v>3684</v>
      </c>
      <c r="C128" s="28" t="s">
        <v>79</v>
      </c>
      <c r="D128" s="172" t="s">
        <v>80</v>
      </c>
      <c r="E128" s="29" t="s">
        <v>2969</v>
      </c>
      <c r="F128" s="28" t="s">
        <v>3925</v>
      </c>
      <c r="G128" s="28" t="s">
        <v>3935</v>
      </c>
      <c r="H128" s="28" t="s">
        <v>3896</v>
      </c>
      <c r="I128" s="28" t="s">
        <v>3898</v>
      </c>
      <c r="J128" s="28" t="s">
        <v>3907</v>
      </c>
      <c r="K128" s="28" t="s">
        <v>3896</v>
      </c>
      <c r="L128" s="28" t="s">
        <v>2149</v>
      </c>
      <c r="M128" s="28" t="s">
        <v>41</v>
      </c>
      <c r="N128" s="28"/>
    </row>
    <row r="129" spans="1:26" ht="14.4">
      <c r="A129" s="28" t="s">
        <v>2948</v>
      </c>
      <c r="B129" s="28" t="s">
        <v>3684</v>
      </c>
      <c r="C129" s="28" t="s">
        <v>79</v>
      </c>
      <c r="D129" s="172" t="s">
        <v>80</v>
      </c>
      <c r="E129" s="29" t="s">
        <v>2969</v>
      </c>
      <c r="F129" s="28" t="s">
        <v>3930</v>
      </c>
      <c r="G129" s="28" t="s">
        <v>3943</v>
      </c>
      <c r="H129" s="28" t="s">
        <v>3896</v>
      </c>
      <c r="I129" s="28" t="s">
        <v>3898</v>
      </c>
      <c r="J129" s="28" t="s">
        <v>3907</v>
      </c>
      <c r="K129" s="28" t="s">
        <v>3896</v>
      </c>
      <c r="L129" s="28" t="s">
        <v>2149</v>
      </c>
      <c r="M129" s="28" t="s">
        <v>41</v>
      </c>
      <c r="N129" s="28"/>
    </row>
    <row r="130" spans="1:26" ht="14.4">
      <c r="A130" s="28" t="s">
        <v>2948</v>
      </c>
      <c r="B130" s="28" t="s">
        <v>3684</v>
      </c>
      <c r="C130" s="28" t="s">
        <v>79</v>
      </c>
      <c r="D130" s="172" t="s">
        <v>80</v>
      </c>
      <c r="E130" s="29" t="s">
        <v>2969</v>
      </c>
      <c r="F130" s="28" t="s">
        <v>3937</v>
      </c>
      <c r="G130" s="28" t="s">
        <v>3949</v>
      </c>
      <c r="H130" s="28" t="s">
        <v>3896</v>
      </c>
      <c r="I130" s="28" t="s">
        <v>3898</v>
      </c>
      <c r="J130" s="28" t="s">
        <v>3907</v>
      </c>
      <c r="K130" s="28" t="s">
        <v>3896</v>
      </c>
      <c r="L130" s="28" t="s">
        <v>2149</v>
      </c>
      <c r="M130" s="28" t="s">
        <v>41</v>
      </c>
      <c r="N130" s="28"/>
    </row>
    <row r="131" spans="1:26" ht="14.4">
      <c r="A131" s="28" t="s">
        <v>2948</v>
      </c>
      <c r="B131" s="28" t="s">
        <v>3684</v>
      </c>
      <c r="C131" s="28" t="s">
        <v>275</v>
      </c>
      <c r="D131" s="172" t="s">
        <v>543</v>
      </c>
      <c r="E131" s="29" t="s">
        <v>2969</v>
      </c>
      <c r="F131" s="79" t="s">
        <v>3953</v>
      </c>
      <c r="G131" s="28" t="s">
        <v>3954</v>
      </c>
      <c r="H131" s="28" t="s">
        <v>3955</v>
      </c>
      <c r="I131" s="28" t="s">
        <v>3956</v>
      </c>
      <c r="J131" s="28" t="s">
        <v>3957</v>
      </c>
      <c r="K131" s="28" t="s">
        <v>3955</v>
      </c>
      <c r="L131" s="28" t="s">
        <v>3958</v>
      </c>
      <c r="M131" s="28" t="s">
        <v>41</v>
      </c>
      <c r="N131" s="28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spans="1:26" ht="14.4">
      <c r="A132" s="28" t="s">
        <v>2948</v>
      </c>
      <c r="B132" s="28" t="s">
        <v>3684</v>
      </c>
      <c r="C132" s="28" t="s">
        <v>296</v>
      </c>
      <c r="D132" s="172" t="s">
        <v>954</v>
      </c>
      <c r="E132" s="29" t="s">
        <v>2969</v>
      </c>
      <c r="F132" s="79" t="s">
        <v>3963</v>
      </c>
      <c r="G132" s="28" t="s">
        <v>3964</v>
      </c>
      <c r="H132" s="28" t="s">
        <v>3736</v>
      </c>
      <c r="I132" s="28" t="s">
        <v>3126</v>
      </c>
      <c r="J132" s="28" t="s">
        <v>3164</v>
      </c>
      <c r="K132" s="28" t="s">
        <v>3736</v>
      </c>
      <c r="L132" s="28" t="s">
        <v>3967</v>
      </c>
      <c r="M132" s="28" t="s">
        <v>41</v>
      </c>
      <c r="N132" s="28"/>
    </row>
    <row r="133" spans="1:26" ht="14.4">
      <c r="A133" s="28" t="s">
        <v>2948</v>
      </c>
      <c r="B133" s="28" t="s">
        <v>3969</v>
      </c>
      <c r="C133" s="28" t="s">
        <v>85</v>
      </c>
      <c r="D133" s="172" t="s">
        <v>86</v>
      </c>
      <c r="E133" s="29" t="s">
        <v>2969</v>
      </c>
      <c r="F133" s="28" t="s">
        <v>3971</v>
      </c>
      <c r="G133" s="28" t="s">
        <v>3972</v>
      </c>
      <c r="H133" s="28" t="s">
        <v>3973</v>
      </c>
      <c r="I133" s="28" t="s">
        <v>434</v>
      </c>
      <c r="J133" s="28" t="s">
        <v>3974</v>
      </c>
      <c r="K133" s="28" t="s">
        <v>3973</v>
      </c>
      <c r="L133" s="28" t="s">
        <v>989</v>
      </c>
      <c r="M133" s="28" t="s">
        <v>41</v>
      </c>
      <c r="N133" s="28"/>
    </row>
    <row r="134" spans="1:26" ht="14.4">
      <c r="A134" s="28" t="s">
        <v>2948</v>
      </c>
      <c r="B134" s="28" t="s">
        <v>3969</v>
      </c>
      <c r="C134" s="28" t="s">
        <v>85</v>
      </c>
      <c r="D134" s="172" t="s">
        <v>86</v>
      </c>
      <c r="E134" s="29" t="s">
        <v>2969</v>
      </c>
      <c r="F134" s="28" t="s">
        <v>3976</v>
      </c>
      <c r="G134" s="28" t="s">
        <v>3977</v>
      </c>
      <c r="H134" s="28" t="s">
        <v>3978</v>
      </c>
      <c r="I134" s="28" t="s">
        <v>3498</v>
      </c>
      <c r="J134" s="28" t="s">
        <v>3979</v>
      </c>
      <c r="K134" s="28" t="s">
        <v>3978</v>
      </c>
      <c r="L134" s="28" t="s">
        <v>989</v>
      </c>
      <c r="M134" s="28" t="s">
        <v>41</v>
      </c>
      <c r="N134" s="28"/>
    </row>
    <row r="135" spans="1:26" ht="14.4">
      <c r="A135" s="28" t="s">
        <v>2948</v>
      </c>
      <c r="B135" s="28" t="s">
        <v>3969</v>
      </c>
      <c r="C135" s="28" t="s">
        <v>85</v>
      </c>
      <c r="D135" s="172" t="s">
        <v>86</v>
      </c>
      <c r="E135" s="29" t="s">
        <v>2969</v>
      </c>
      <c r="F135" s="28" t="s">
        <v>3982</v>
      </c>
      <c r="G135" s="28" t="s">
        <v>3983</v>
      </c>
      <c r="H135" s="28" t="s">
        <v>3984</v>
      </c>
      <c r="I135" s="28" t="s">
        <v>3986</v>
      </c>
      <c r="J135" s="28" t="s">
        <v>3987</v>
      </c>
      <c r="K135" s="28" t="s">
        <v>3984</v>
      </c>
      <c r="L135" s="28" t="s">
        <v>989</v>
      </c>
      <c r="M135" s="28" t="s">
        <v>41</v>
      </c>
      <c r="N135" s="28"/>
    </row>
    <row r="136" spans="1:26" ht="14.4">
      <c r="A136" s="28" t="s">
        <v>2948</v>
      </c>
      <c r="B136" s="28" t="s">
        <v>3969</v>
      </c>
      <c r="C136" s="28" t="s">
        <v>85</v>
      </c>
      <c r="D136" s="172" t="s">
        <v>86</v>
      </c>
      <c r="E136" s="29" t="s">
        <v>2969</v>
      </c>
      <c r="F136" s="28" t="s">
        <v>3990</v>
      </c>
      <c r="G136" s="28" t="s">
        <v>3991</v>
      </c>
      <c r="H136" s="28" t="s">
        <v>3993</v>
      </c>
      <c r="I136" s="28" t="s">
        <v>784</v>
      </c>
      <c r="J136" s="28" t="s">
        <v>3994</v>
      </c>
      <c r="K136" s="28" t="s">
        <v>3993</v>
      </c>
      <c r="L136" s="28" t="s">
        <v>784</v>
      </c>
      <c r="M136" s="28" t="s">
        <v>41</v>
      </c>
      <c r="N136" s="28"/>
    </row>
    <row r="137" spans="1:26" ht="14.4">
      <c r="A137" s="28" t="s">
        <v>2948</v>
      </c>
      <c r="B137" s="28" t="s">
        <v>3969</v>
      </c>
      <c r="C137" s="28" t="s">
        <v>85</v>
      </c>
      <c r="D137" s="172" t="s">
        <v>86</v>
      </c>
      <c r="E137" s="29" t="s">
        <v>2969</v>
      </c>
      <c r="F137" s="28" t="s">
        <v>3995</v>
      </c>
      <c r="G137" s="28" t="s">
        <v>3996</v>
      </c>
      <c r="H137" s="28" t="s">
        <v>3998</v>
      </c>
      <c r="I137" s="28" t="s">
        <v>521</v>
      </c>
      <c r="J137" s="28" t="s">
        <v>4000</v>
      </c>
      <c r="K137" s="28" t="s">
        <v>3998</v>
      </c>
      <c r="L137" s="28" t="s">
        <v>2895</v>
      </c>
      <c r="M137" s="28" t="s">
        <v>41</v>
      </c>
      <c r="N137" s="28"/>
    </row>
    <row r="138" spans="1:26" ht="14.4">
      <c r="A138" s="28" t="s">
        <v>2948</v>
      </c>
      <c r="B138" s="28" t="s">
        <v>3969</v>
      </c>
      <c r="C138" s="28" t="s">
        <v>85</v>
      </c>
      <c r="D138" s="172" t="s">
        <v>86</v>
      </c>
      <c r="E138" s="29" t="s">
        <v>2969</v>
      </c>
      <c r="F138" s="28" t="s">
        <v>4003</v>
      </c>
      <c r="G138" s="28" t="s">
        <v>4004</v>
      </c>
      <c r="H138" s="28" t="s">
        <v>4005</v>
      </c>
      <c r="I138" s="28" t="s">
        <v>4007</v>
      </c>
      <c r="J138" s="28" t="s">
        <v>4008</v>
      </c>
      <c r="K138" s="28" t="s">
        <v>4005</v>
      </c>
      <c r="L138" s="28" t="s">
        <v>2336</v>
      </c>
      <c r="M138" s="28" t="s">
        <v>41</v>
      </c>
      <c r="N138" s="28" t="s">
        <v>4009</v>
      </c>
    </row>
    <row r="139" spans="1:26" ht="14.4">
      <c r="A139" s="28" t="s">
        <v>2948</v>
      </c>
      <c r="B139" s="28" t="s">
        <v>3969</v>
      </c>
      <c r="C139" s="28" t="s">
        <v>85</v>
      </c>
      <c r="D139" s="172" t="s">
        <v>86</v>
      </c>
      <c r="E139" s="29" t="s">
        <v>2969</v>
      </c>
      <c r="F139" s="28" t="s">
        <v>4010</v>
      </c>
      <c r="G139" s="28" t="s">
        <v>4012</v>
      </c>
      <c r="H139" s="28" t="s">
        <v>4014</v>
      </c>
      <c r="I139" s="28" t="s">
        <v>130</v>
      </c>
      <c r="J139" s="28" t="s">
        <v>4017</v>
      </c>
      <c r="K139" s="28" t="s">
        <v>4014</v>
      </c>
      <c r="L139" s="28" t="s">
        <v>2764</v>
      </c>
      <c r="M139" s="28" t="s">
        <v>41</v>
      </c>
      <c r="N139" s="28"/>
    </row>
    <row r="140" spans="1:26" ht="14.4">
      <c r="A140" s="28" t="s">
        <v>2948</v>
      </c>
      <c r="B140" s="28" t="s">
        <v>3969</v>
      </c>
      <c r="C140" s="28" t="s">
        <v>85</v>
      </c>
      <c r="D140" s="172" t="s">
        <v>86</v>
      </c>
      <c r="E140" s="29" t="s">
        <v>2969</v>
      </c>
      <c r="F140" s="28" t="s">
        <v>4018</v>
      </c>
      <c r="G140" s="28" t="s">
        <v>4019</v>
      </c>
      <c r="H140" s="28" t="s">
        <v>4020</v>
      </c>
      <c r="I140" s="28" t="s">
        <v>3498</v>
      </c>
      <c r="J140" s="28" t="s">
        <v>4022</v>
      </c>
      <c r="K140" s="28" t="s">
        <v>3022</v>
      </c>
      <c r="L140" s="28" t="s">
        <v>989</v>
      </c>
      <c r="M140" s="28" t="s">
        <v>41</v>
      </c>
      <c r="N140" s="28"/>
    </row>
    <row r="141" spans="1:26" ht="14.4">
      <c r="A141" s="28" t="s">
        <v>2948</v>
      </c>
      <c r="B141" s="28" t="s">
        <v>3969</v>
      </c>
      <c r="C141" s="28" t="s">
        <v>85</v>
      </c>
      <c r="D141" s="172" t="s">
        <v>86</v>
      </c>
      <c r="E141" s="29" t="s">
        <v>2969</v>
      </c>
      <c r="F141" s="28" t="s">
        <v>4024</v>
      </c>
      <c r="G141" s="28" t="s">
        <v>4025</v>
      </c>
      <c r="H141" s="28" t="s">
        <v>4020</v>
      </c>
      <c r="I141" s="28" t="s">
        <v>2714</v>
      </c>
      <c r="J141" s="28" t="s">
        <v>4026</v>
      </c>
      <c r="K141" s="28" t="s">
        <v>4020</v>
      </c>
      <c r="L141" s="28" t="s">
        <v>2895</v>
      </c>
      <c r="M141" s="28" t="s">
        <v>41</v>
      </c>
      <c r="N141" s="28"/>
    </row>
    <row r="142" spans="1:26" ht="14.4">
      <c r="A142" s="28" t="s">
        <v>2948</v>
      </c>
      <c r="B142" s="28" t="s">
        <v>3969</v>
      </c>
      <c r="C142" s="28" t="s">
        <v>85</v>
      </c>
      <c r="D142" s="172" t="s">
        <v>86</v>
      </c>
      <c r="E142" s="29" t="s">
        <v>2969</v>
      </c>
      <c r="F142" s="28" t="s">
        <v>4030</v>
      </c>
      <c r="G142" s="28" t="s">
        <v>4031</v>
      </c>
      <c r="H142" s="28" t="s">
        <v>4032</v>
      </c>
      <c r="I142" s="28" t="s">
        <v>2714</v>
      </c>
      <c r="J142" s="28" t="s">
        <v>4033</v>
      </c>
      <c r="K142" s="28" t="s">
        <v>3022</v>
      </c>
      <c r="L142" s="28" t="s">
        <v>2895</v>
      </c>
      <c r="M142" s="28" t="s">
        <v>41</v>
      </c>
      <c r="N142" s="28"/>
    </row>
    <row r="143" spans="1:26" ht="14.4">
      <c r="A143" s="28" t="s">
        <v>2948</v>
      </c>
      <c r="B143" s="28" t="s">
        <v>3969</v>
      </c>
      <c r="C143" s="28" t="s">
        <v>85</v>
      </c>
      <c r="D143" s="172" t="s">
        <v>86</v>
      </c>
      <c r="E143" s="29" t="s">
        <v>2969</v>
      </c>
      <c r="F143" s="28" t="s">
        <v>4034</v>
      </c>
      <c r="G143" s="28" t="s">
        <v>4035</v>
      </c>
      <c r="H143" s="28" t="s">
        <v>4036</v>
      </c>
      <c r="I143" s="28" t="s">
        <v>4037</v>
      </c>
      <c r="J143" s="28" t="s">
        <v>4038</v>
      </c>
      <c r="K143" s="28" t="s">
        <v>4036</v>
      </c>
      <c r="L143" s="28" t="s">
        <v>2895</v>
      </c>
      <c r="M143" s="28" t="s">
        <v>41</v>
      </c>
      <c r="N143" s="28"/>
    </row>
    <row r="144" spans="1:26" ht="14.4">
      <c r="A144" s="28" t="s">
        <v>2948</v>
      </c>
      <c r="B144" s="28" t="s">
        <v>3969</v>
      </c>
      <c r="C144" s="28" t="s">
        <v>85</v>
      </c>
      <c r="D144" s="172" t="s">
        <v>86</v>
      </c>
      <c r="E144" s="29" t="s">
        <v>2969</v>
      </c>
      <c r="F144" s="28" t="s">
        <v>4042</v>
      </c>
      <c r="G144" s="28" t="s">
        <v>4043</v>
      </c>
      <c r="H144" s="28" t="s">
        <v>4044</v>
      </c>
      <c r="I144" s="28" t="s">
        <v>966</v>
      </c>
      <c r="J144" s="28" t="s">
        <v>4045</v>
      </c>
      <c r="K144" s="28" t="s">
        <v>3022</v>
      </c>
      <c r="L144" s="28" t="s">
        <v>2895</v>
      </c>
      <c r="M144" s="28" t="s">
        <v>41</v>
      </c>
      <c r="N144" s="28"/>
    </row>
    <row r="145" spans="1:26" ht="14.4">
      <c r="A145" s="28" t="s">
        <v>2948</v>
      </c>
      <c r="B145" s="28" t="s">
        <v>3969</v>
      </c>
      <c r="C145" s="28" t="s">
        <v>85</v>
      </c>
      <c r="D145" s="172" t="s">
        <v>86</v>
      </c>
      <c r="E145" s="29" t="s">
        <v>2969</v>
      </c>
      <c r="F145" s="28" t="s">
        <v>4046</v>
      </c>
      <c r="G145" s="28" t="s">
        <v>4047</v>
      </c>
      <c r="H145" s="28" t="s">
        <v>3998</v>
      </c>
      <c r="I145" s="28" t="s">
        <v>521</v>
      </c>
      <c r="J145" s="28" t="s">
        <v>4048</v>
      </c>
      <c r="K145" s="28" t="s">
        <v>3022</v>
      </c>
      <c r="L145" s="28" t="s">
        <v>2895</v>
      </c>
      <c r="M145" s="28" t="s">
        <v>41</v>
      </c>
      <c r="N145" s="28"/>
    </row>
    <row r="146" spans="1:26" ht="14.4">
      <c r="A146" s="28" t="s">
        <v>2948</v>
      </c>
      <c r="B146" s="28" t="s">
        <v>3969</v>
      </c>
      <c r="C146" s="28" t="s">
        <v>85</v>
      </c>
      <c r="D146" s="172" t="s">
        <v>86</v>
      </c>
      <c r="E146" s="29" t="s">
        <v>2969</v>
      </c>
      <c r="F146" s="28" t="s">
        <v>4049</v>
      </c>
      <c r="G146" s="28" t="s">
        <v>4050</v>
      </c>
      <c r="H146" s="28" t="s">
        <v>4044</v>
      </c>
      <c r="I146" s="28" t="s">
        <v>966</v>
      </c>
      <c r="J146" s="28" t="s">
        <v>4051</v>
      </c>
      <c r="K146" s="28" t="s">
        <v>4044</v>
      </c>
      <c r="L146" s="28" t="s">
        <v>2895</v>
      </c>
      <c r="M146" s="28" t="s">
        <v>41</v>
      </c>
      <c r="N146" s="28"/>
    </row>
    <row r="147" spans="1:26" ht="14.4">
      <c r="A147" s="28" t="s">
        <v>2948</v>
      </c>
      <c r="B147" s="28" t="s">
        <v>3969</v>
      </c>
      <c r="C147" s="28" t="s">
        <v>220</v>
      </c>
      <c r="D147" s="172" t="s">
        <v>234</v>
      </c>
      <c r="E147" s="29" t="s">
        <v>2969</v>
      </c>
      <c r="F147" s="28" t="s">
        <v>4053</v>
      </c>
      <c r="G147" s="28" t="s">
        <v>4054</v>
      </c>
      <c r="H147" s="28" t="s">
        <v>4056</v>
      </c>
      <c r="I147" s="28" t="s">
        <v>4057</v>
      </c>
      <c r="J147" s="28" t="s">
        <v>4058</v>
      </c>
      <c r="K147" s="28" t="s">
        <v>4056</v>
      </c>
      <c r="L147" s="28" t="s">
        <v>989</v>
      </c>
      <c r="M147" s="28" t="s">
        <v>41</v>
      </c>
      <c r="N147" s="28"/>
    </row>
    <row r="148" spans="1:26" ht="14.4">
      <c r="A148" s="28" t="s">
        <v>2948</v>
      </c>
      <c r="B148" s="28" t="s">
        <v>3969</v>
      </c>
      <c r="C148" s="28" t="s">
        <v>220</v>
      </c>
      <c r="D148" s="172" t="s">
        <v>234</v>
      </c>
      <c r="E148" s="29" t="s">
        <v>2969</v>
      </c>
      <c r="F148" s="28" t="s">
        <v>4060</v>
      </c>
      <c r="G148" s="28" t="s">
        <v>4061</v>
      </c>
      <c r="H148" s="28" t="s">
        <v>3998</v>
      </c>
      <c r="I148" s="28" t="s">
        <v>521</v>
      </c>
      <c r="J148" s="28" t="s">
        <v>4062</v>
      </c>
      <c r="K148" s="28" t="s">
        <v>4063</v>
      </c>
      <c r="L148" s="28" t="s">
        <v>2895</v>
      </c>
      <c r="M148" s="28" t="s">
        <v>41</v>
      </c>
      <c r="N148" s="28"/>
    </row>
    <row r="149" spans="1:26" ht="14.4">
      <c r="A149" s="28" t="s">
        <v>2948</v>
      </c>
      <c r="B149" s="28" t="s">
        <v>3969</v>
      </c>
      <c r="C149" s="28" t="s">
        <v>4064</v>
      </c>
      <c r="D149" s="172" t="s">
        <v>298</v>
      </c>
      <c r="E149" s="29" t="s">
        <v>2969</v>
      </c>
      <c r="F149" s="28" t="s">
        <v>4065</v>
      </c>
      <c r="G149" s="28"/>
      <c r="H149" s="28" t="s">
        <v>3998</v>
      </c>
      <c r="I149" s="28" t="s">
        <v>966</v>
      </c>
      <c r="J149" s="28" t="s">
        <v>4066</v>
      </c>
      <c r="K149" s="28" t="s">
        <v>4067</v>
      </c>
      <c r="L149" s="28" t="s">
        <v>2895</v>
      </c>
      <c r="M149" s="28" t="s">
        <v>41</v>
      </c>
      <c r="N149" s="28"/>
    </row>
    <row r="150" spans="1:26" ht="14.4">
      <c r="A150" s="28" t="s">
        <v>2948</v>
      </c>
      <c r="B150" s="28" t="s">
        <v>3969</v>
      </c>
      <c r="C150" s="28" t="s">
        <v>4064</v>
      </c>
      <c r="D150" s="172" t="s">
        <v>298</v>
      </c>
      <c r="E150" s="29" t="s">
        <v>2969</v>
      </c>
      <c r="F150" s="28" t="s">
        <v>4071</v>
      </c>
      <c r="G150" s="28"/>
      <c r="H150" s="28" t="s">
        <v>4072</v>
      </c>
      <c r="I150" s="28" t="s">
        <v>3112</v>
      </c>
      <c r="J150" s="28" t="s">
        <v>4073</v>
      </c>
      <c r="K150" s="28" t="s">
        <v>4072</v>
      </c>
      <c r="L150" s="28" t="s">
        <v>989</v>
      </c>
      <c r="M150" s="28" t="s">
        <v>41</v>
      </c>
      <c r="N150" s="28"/>
    </row>
    <row r="151" spans="1:26" ht="14.4">
      <c r="A151" s="28" t="s">
        <v>2948</v>
      </c>
      <c r="B151" s="28" t="s">
        <v>3969</v>
      </c>
      <c r="C151" s="28" t="s">
        <v>275</v>
      </c>
      <c r="D151" s="172" t="s">
        <v>543</v>
      </c>
      <c r="E151" s="29" t="s">
        <v>2969</v>
      </c>
      <c r="F151" s="79" t="s">
        <v>4074</v>
      </c>
      <c r="G151" s="28"/>
      <c r="H151" s="28" t="s">
        <v>4075</v>
      </c>
      <c r="I151" s="28" t="s">
        <v>2714</v>
      </c>
      <c r="J151" s="28" t="s">
        <v>4076</v>
      </c>
      <c r="K151" s="28" t="s">
        <v>4075</v>
      </c>
      <c r="L151" s="28" t="s">
        <v>2444</v>
      </c>
      <c r="M151" s="28" t="s">
        <v>41</v>
      </c>
      <c r="N151" s="28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spans="1:26" ht="14.4">
      <c r="A152" s="28" t="s">
        <v>2948</v>
      </c>
      <c r="B152" s="28" t="s">
        <v>3969</v>
      </c>
      <c r="C152" s="28" t="s">
        <v>296</v>
      </c>
      <c r="D152" s="172" t="s">
        <v>954</v>
      </c>
      <c r="E152" s="29" t="s">
        <v>2969</v>
      </c>
      <c r="F152" s="79" t="s">
        <v>4078</v>
      </c>
      <c r="G152" s="28" t="s">
        <v>4080</v>
      </c>
      <c r="H152" s="28" t="s">
        <v>4081</v>
      </c>
      <c r="I152" s="28" t="s">
        <v>966</v>
      </c>
      <c r="J152" s="28" t="s">
        <v>3164</v>
      </c>
      <c r="K152" s="28" t="s">
        <v>4081</v>
      </c>
      <c r="L152" s="28" t="s">
        <v>2895</v>
      </c>
      <c r="M152" s="28" t="s">
        <v>41</v>
      </c>
      <c r="N152" s="28"/>
    </row>
    <row r="153" spans="1:26" ht="14.4">
      <c r="A153" s="28" t="s">
        <v>2948</v>
      </c>
      <c r="B153" s="28" t="s">
        <v>4083</v>
      </c>
      <c r="C153" s="28" t="s">
        <v>85</v>
      </c>
      <c r="D153" s="172" t="s">
        <v>86</v>
      </c>
      <c r="E153" s="29" t="s">
        <v>2969</v>
      </c>
      <c r="F153" s="28" t="s">
        <v>4084</v>
      </c>
      <c r="G153" s="28" t="s">
        <v>4085</v>
      </c>
      <c r="H153" s="28" t="s">
        <v>4086</v>
      </c>
      <c r="I153" s="28" t="s">
        <v>2919</v>
      </c>
      <c r="J153" s="28" t="s">
        <v>4087</v>
      </c>
      <c r="K153" s="28" t="s">
        <v>3022</v>
      </c>
      <c r="L153" s="28" t="s">
        <v>4089</v>
      </c>
      <c r="M153" s="28" t="s">
        <v>41</v>
      </c>
      <c r="N153" s="28" t="s">
        <v>4009</v>
      </c>
    </row>
    <row r="154" spans="1:26" ht="14.4">
      <c r="A154" s="28" t="s">
        <v>2948</v>
      </c>
      <c r="B154" s="28" t="s">
        <v>4083</v>
      </c>
      <c r="C154" s="28" t="s">
        <v>85</v>
      </c>
      <c r="D154" s="172" t="s">
        <v>86</v>
      </c>
      <c r="E154" s="29" t="s">
        <v>2969</v>
      </c>
      <c r="F154" s="28" t="s">
        <v>4092</v>
      </c>
      <c r="G154" s="28" t="s">
        <v>4093</v>
      </c>
      <c r="H154" s="28" t="s">
        <v>4094</v>
      </c>
      <c r="I154" s="28" t="s">
        <v>4095</v>
      </c>
      <c r="J154" s="28" t="s">
        <v>4096</v>
      </c>
      <c r="K154" s="28" t="s">
        <v>4094</v>
      </c>
      <c r="L154" s="28" t="s">
        <v>4089</v>
      </c>
      <c r="M154" s="28" t="s">
        <v>41</v>
      </c>
      <c r="N154" s="28" t="s">
        <v>4097</v>
      </c>
    </row>
    <row r="155" spans="1:26" ht="14.4">
      <c r="A155" s="28" t="s">
        <v>2948</v>
      </c>
      <c r="B155" s="28" t="s">
        <v>4083</v>
      </c>
      <c r="C155" s="28" t="s">
        <v>85</v>
      </c>
      <c r="D155" s="172" t="s">
        <v>86</v>
      </c>
      <c r="E155" s="29" t="s">
        <v>2969</v>
      </c>
      <c r="F155" s="28" t="s">
        <v>4099</v>
      </c>
      <c r="G155" s="28" t="s">
        <v>4100</v>
      </c>
      <c r="H155" s="28" t="s">
        <v>4101</v>
      </c>
      <c r="I155" s="28" t="s">
        <v>898</v>
      </c>
      <c r="J155" s="28" t="s">
        <v>4103</v>
      </c>
      <c r="K155" s="28" t="s">
        <v>4104</v>
      </c>
      <c r="L155" s="28" t="s">
        <v>4105</v>
      </c>
      <c r="M155" s="28" t="s">
        <v>41</v>
      </c>
      <c r="N155" s="28"/>
    </row>
    <row r="156" spans="1:26" ht="14.4">
      <c r="A156" s="28" t="s">
        <v>2948</v>
      </c>
      <c r="B156" s="28" t="s">
        <v>4083</v>
      </c>
      <c r="C156" s="28" t="s">
        <v>85</v>
      </c>
      <c r="D156" s="172" t="s">
        <v>86</v>
      </c>
      <c r="E156" s="29" t="s">
        <v>2969</v>
      </c>
      <c r="F156" s="28" t="s">
        <v>4107</v>
      </c>
      <c r="G156" s="28" t="s">
        <v>4109</v>
      </c>
      <c r="H156" s="28" t="s">
        <v>4110</v>
      </c>
      <c r="I156" s="28" t="s">
        <v>2120</v>
      </c>
      <c r="J156" s="28" t="s">
        <v>4111</v>
      </c>
      <c r="K156" s="28" t="s">
        <v>3022</v>
      </c>
      <c r="L156" s="28" t="s">
        <v>4089</v>
      </c>
      <c r="M156" s="28" t="s">
        <v>41</v>
      </c>
      <c r="N156" s="28" t="s">
        <v>4009</v>
      </c>
    </row>
    <row r="157" spans="1:26" ht="14.4">
      <c r="A157" s="28" t="s">
        <v>2948</v>
      </c>
      <c r="B157" s="28" t="s">
        <v>4083</v>
      </c>
      <c r="C157" s="28" t="s">
        <v>85</v>
      </c>
      <c r="D157" s="172" t="s">
        <v>86</v>
      </c>
      <c r="E157" s="29" t="s">
        <v>2969</v>
      </c>
      <c r="F157" s="28" t="s">
        <v>4112</v>
      </c>
      <c r="G157" s="28" t="s">
        <v>4113</v>
      </c>
      <c r="H157" s="28" t="s">
        <v>4114</v>
      </c>
      <c r="I157" s="28" t="s">
        <v>3573</v>
      </c>
      <c r="J157" s="28" t="s">
        <v>4115</v>
      </c>
      <c r="K157" s="28" t="s">
        <v>4116</v>
      </c>
      <c r="L157" s="28" t="s">
        <v>550</v>
      </c>
      <c r="M157" s="28" t="s">
        <v>41</v>
      </c>
      <c r="N157" s="28" t="s">
        <v>4119</v>
      </c>
    </row>
    <row r="158" spans="1:26" ht="14.4">
      <c r="A158" s="28" t="s">
        <v>2948</v>
      </c>
      <c r="B158" s="28" t="s">
        <v>4083</v>
      </c>
      <c r="C158" s="28" t="s">
        <v>85</v>
      </c>
      <c r="D158" s="172" t="s">
        <v>86</v>
      </c>
      <c r="E158" s="29" t="s">
        <v>2969</v>
      </c>
      <c r="F158" s="28" t="s">
        <v>4120</v>
      </c>
      <c r="G158" s="28" t="s">
        <v>4121</v>
      </c>
      <c r="H158" s="28" t="s">
        <v>4122</v>
      </c>
      <c r="I158" s="28" t="s">
        <v>440</v>
      </c>
      <c r="J158" s="28" t="s">
        <v>4123</v>
      </c>
      <c r="K158" s="28" t="s">
        <v>4122</v>
      </c>
      <c r="L158" s="28" t="s">
        <v>4089</v>
      </c>
      <c r="M158" s="28" t="s">
        <v>41</v>
      </c>
      <c r="N158" s="28" t="s">
        <v>3391</v>
      </c>
    </row>
    <row r="159" spans="1:26" ht="14.4">
      <c r="A159" s="28" t="s">
        <v>2948</v>
      </c>
      <c r="B159" s="28" t="s">
        <v>4083</v>
      </c>
      <c r="C159" s="28" t="s">
        <v>85</v>
      </c>
      <c r="D159" s="172" t="s">
        <v>86</v>
      </c>
      <c r="E159" s="29" t="s">
        <v>2969</v>
      </c>
      <c r="F159" s="28" t="s">
        <v>4126</v>
      </c>
      <c r="G159" s="28" t="s">
        <v>4127</v>
      </c>
      <c r="H159" s="28" t="s">
        <v>4128</v>
      </c>
      <c r="I159" s="28" t="s">
        <v>2194</v>
      </c>
      <c r="J159" s="28" t="s">
        <v>4129</v>
      </c>
      <c r="K159" s="28" t="s">
        <v>3022</v>
      </c>
      <c r="L159" s="28" t="s">
        <v>4131</v>
      </c>
      <c r="M159" s="28" t="s">
        <v>41</v>
      </c>
      <c r="N159" s="28" t="s">
        <v>3391</v>
      </c>
    </row>
    <row r="160" spans="1:26" ht="14.4">
      <c r="A160" s="28" t="s">
        <v>2948</v>
      </c>
      <c r="B160" s="28" t="s">
        <v>4083</v>
      </c>
      <c r="C160" s="28" t="s">
        <v>85</v>
      </c>
      <c r="D160" s="172" t="s">
        <v>86</v>
      </c>
      <c r="E160" s="29" t="s">
        <v>2969</v>
      </c>
      <c r="F160" s="28" t="s">
        <v>4133</v>
      </c>
      <c r="G160" s="28" t="s">
        <v>4134</v>
      </c>
      <c r="H160" s="28" t="s">
        <v>4135</v>
      </c>
      <c r="I160" s="28" t="s">
        <v>4136</v>
      </c>
      <c r="J160" s="28" t="s">
        <v>4137</v>
      </c>
      <c r="K160" s="28" t="s">
        <v>3022</v>
      </c>
      <c r="L160" s="28" t="s">
        <v>4138</v>
      </c>
      <c r="M160" s="28" t="s">
        <v>41</v>
      </c>
      <c r="N160" s="28"/>
    </row>
    <row r="161" spans="1:26" ht="14.4">
      <c r="A161" s="28" t="s">
        <v>2948</v>
      </c>
      <c r="B161" s="28" t="s">
        <v>4083</v>
      </c>
      <c r="C161" s="28" t="s">
        <v>85</v>
      </c>
      <c r="D161" s="172" t="s">
        <v>86</v>
      </c>
      <c r="E161" s="29" t="s">
        <v>2969</v>
      </c>
      <c r="F161" s="28" t="s">
        <v>4141</v>
      </c>
      <c r="G161" s="28" t="s">
        <v>4142</v>
      </c>
      <c r="H161" s="28" t="s">
        <v>4143</v>
      </c>
      <c r="I161" s="28" t="s">
        <v>898</v>
      </c>
      <c r="J161" s="28" t="s">
        <v>4144</v>
      </c>
      <c r="K161" s="28" t="s">
        <v>4143</v>
      </c>
      <c r="L161" s="28" t="s">
        <v>4138</v>
      </c>
      <c r="M161" s="28" t="s">
        <v>41</v>
      </c>
      <c r="N161" s="28"/>
    </row>
    <row r="162" spans="1:26" ht="14.4">
      <c r="A162" s="28" t="s">
        <v>2948</v>
      </c>
      <c r="B162" s="28" t="s">
        <v>4083</v>
      </c>
      <c r="C162" s="28" t="s">
        <v>85</v>
      </c>
      <c r="D162" s="172" t="s">
        <v>86</v>
      </c>
      <c r="E162" s="29" t="s">
        <v>2969</v>
      </c>
      <c r="F162" s="28" t="s">
        <v>4147</v>
      </c>
      <c r="G162" s="28" t="s">
        <v>4148</v>
      </c>
      <c r="H162" s="28" t="s">
        <v>4149</v>
      </c>
      <c r="I162" s="28" t="s">
        <v>2106</v>
      </c>
      <c r="J162" s="28" t="s">
        <v>4150</v>
      </c>
      <c r="K162" s="28" t="s">
        <v>4149</v>
      </c>
      <c r="L162" s="28" t="s">
        <v>4089</v>
      </c>
      <c r="M162" s="28" t="s">
        <v>41</v>
      </c>
      <c r="N162" s="28"/>
    </row>
    <row r="163" spans="1:26" ht="14.4">
      <c r="A163" s="28" t="s">
        <v>2948</v>
      </c>
      <c r="B163" s="28" t="s">
        <v>4083</v>
      </c>
      <c r="C163" s="28" t="s">
        <v>85</v>
      </c>
      <c r="D163" s="172" t="s">
        <v>86</v>
      </c>
      <c r="E163" s="29" t="s">
        <v>2969</v>
      </c>
      <c r="F163" s="28" t="s">
        <v>4153</v>
      </c>
      <c r="G163" s="28" t="s">
        <v>4154</v>
      </c>
      <c r="H163" s="28" t="s">
        <v>4155</v>
      </c>
      <c r="I163" s="28" t="s">
        <v>521</v>
      </c>
      <c r="J163" s="28" t="s">
        <v>4156</v>
      </c>
      <c r="K163" s="28" t="s">
        <v>4157</v>
      </c>
      <c r="L163" s="28" t="s">
        <v>4158</v>
      </c>
      <c r="M163" s="28" t="s">
        <v>41</v>
      </c>
      <c r="N163" s="28" t="s">
        <v>3391</v>
      </c>
    </row>
    <row r="164" spans="1:26" ht="14.4">
      <c r="A164" s="28" t="s">
        <v>2948</v>
      </c>
      <c r="B164" s="28" t="s">
        <v>4083</v>
      </c>
      <c r="C164" s="28" t="s">
        <v>85</v>
      </c>
      <c r="D164" s="172" t="s">
        <v>86</v>
      </c>
      <c r="E164" s="29" t="s">
        <v>2969</v>
      </c>
      <c r="F164" s="28" t="s">
        <v>4161</v>
      </c>
      <c r="G164" s="28" t="s">
        <v>4162</v>
      </c>
      <c r="H164" s="28" t="s">
        <v>4163</v>
      </c>
      <c r="I164" s="28" t="s">
        <v>2714</v>
      </c>
      <c r="J164" s="28" t="s">
        <v>4164</v>
      </c>
      <c r="K164" s="28" t="s">
        <v>4163</v>
      </c>
      <c r="L164" s="28" t="s">
        <v>4165</v>
      </c>
      <c r="M164" s="28" t="s">
        <v>41</v>
      </c>
      <c r="N164" s="28" t="s">
        <v>3391</v>
      </c>
    </row>
    <row r="165" spans="1:26" ht="14.4">
      <c r="A165" s="28" t="s">
        <v>2948</v>
      </c>
      <c r="B165" s="28" t="s">
        <v>4083</v>
      </c>
      <c r="C165" s="28" t="s">
        <v>85</v>
      </c>
      <c r="D165" s="172" t="s">
        <v>86</v>
      </c>
      <c r="E165" s="29" t="s">
        <v>2969</v>
      </c>
      <c r="F165" s="28" t="s">
        <v>4168</v>
      </c>
      <c r="G165" s="28" t="s">
        <v>4169</v>
      </c>
      <c r="H165" s="28" t="s">
        <v>4170</v>
      </c>
      <c r="I165" s="28" t="s">
        <v>4171</v>
      </c>
      <c r="J165" s="28" t="s">
        <v>4172</v>
      </c>
      <c r="K165" s="28" t="s">
        <v>3022</v>
      </c>
      <c r="L165" s="28" t="s">
        <v>4089</v>
      </c>
      <c r="M165" s="28" t="s">
        <v>41</v>
      </c>
      <c r="N165" s="28"/>
    </row>
    <row r="166" spans="1:26" ht="14.4">
      <c r="A166" s="28" t="s">
        <v>2948</v>
      </c>
      <c r="B166" s="28" t="s">
        <v>4083</v>
      </c>
      <c r="C166" s="28" t="s">
        <v>85</v>
      </c>
      <c r="D166" s="172" t="s">
        <v>86</v>
      </c>
      <c r="E166" s="29" t="s">
        <v>2969</v>
      </c>
      <c r="F166" s="28" t="s">
        <v>4173</v>
      </c>
      <c r="G166" s="28" t="s">
        <v>4174</v>
      </c>
      <c r="H166" s="28" t="s">
        <v>4175</v>
      </c>
      <c r="I166" s="28" t="s">
        <v>4176</v>
      </c>
      <c r="J166" s="28" t="s">
        <v>4177</v>
      </c>
      <c r="K166" s="28" t="s">
        <v>3022</v>
      </c>
      <c r="L166" s="28" t="s">
        <v>4165</v>
      </c>
      <c r="M166" s="28" t="s">
        <v>41</v>
      </c>
      <c r="N166" s="28" t="s">
        <v>4178</v>
      </c>
    </row>
    <row r="167" spans="1:26" ht="14.4">
      <c r="A167" s="28" t="s">
        <v>2948</v>
      </c>
      <c r="B167" s="28" t="s">
        <v>4083</v>
      </c>
      <c r="C167" s="28" t="s">
        <v>220</v>
      </c>
      <c r="D167" s="172" t="s">
        <v>234</v>
      </c>
      <c r="E167" s="29" t="s">
        <v>2969</v>
      </c>
      <c r="F167" s="28" t="s">
        <v>4179</v>
      </c>
      <c r="G167" s="28" t="s">
        <v>4180</v>
      </c>
      <c r="H167" s="28" t="s">
        <v>4114</v>
      </c>
      <c r="I167" s="28" t="s">
        <v>3573</v>
      </c>
      <c r="J167" s="28" t="s">
        <v>4087</v>
      </c>
      <c r="K167" s="28" t="s">
        <v>4114</v>
      </c>
      <c r="L167" s="28" t="s">
        <v>4089</v>
      </c>
      <c r="M167" s="28" t="s">
        <v>41</v>
      </c>
      <c r="N167" s="28" t="s">
        <v>4009</v>
      </c>
    </row>
    <row r="168" spans="1:26" ht="14.4">
      <c r="A168" s="28" t="s">
        <v>2948</v>
      </c>
      <c r="B168" s="28" t="s">
        <v>4083</v>
      </c>
      <c r="C168" s="28" t="s">
        <v>220</v>
      </c>
      <c r="D168" s="172" t="s">
        <v>234</v>
      </c>
      <c r="E168" s="29" t="s">
        <v>2969</v>
      </c>
      <c r="F168" s="28" t="s">
        <v>4181</v>
      </c>
      <c r="G168" s="28" t="s">
        <v>4182</v>
      </c>
      <c r="H168" s="28" t="s">
        <v>4128</v>
      </c>
      <c r="I168" s="28" t="s">
        <v>2194</v>
      </c>
      <c r="J168" s="28" t="s">
        <v>4096</v>
      </c>
      <c r="K168" s="28" t="s">
        <v>3022</v>
      </c>
      <c r="L168" s="28" t="s">
        <v>4131</v>
      </c>
      <c r="M168" s="28" t="s">
        <v>41</v>
      </c>
      <c r="N168" s="28" t="s">
        <v>4009</v>
      </c>
    </row>
    <row r="169" spans="1:26" ht="14.4">
      <c r="A169" s="28" t="s">
        <v>2948</v>
      </c>
      <c r="B169" s="28" t="s">
        <v>4083</v>
      </c>
      <c r="C169" s="28" t="s">
        <v>220</v>
      </c>
      <c r="D169" s="172" t="s">
        <v>234</v>
      </c>
      <c r="E169" s="29" t="s">
        <v>2969</v>
      </c>
      <c r="F169" s="28" t="s">
        <v>4183</v>
      </c>
      <c r="G169" s="28" t="s">
        <v>4184</v>
      </c>
      <c r="H169" s="28" t="s">
        <v>4155</v>
      </c>
      <c r="I169" s="28" t="s">
        <v>521</v>
      </c>
      <c r="J169" s="28" t="s">
        <v>4103</v>
      </c>
      <c r="K169" s="28" t="s">
        <v>4155</v>
      </c>
      <c r="L169" s="28" t="s">
        <v>4138</v>
      </c>
      <c r="M169" s="28" t="s">
        <v>41</v>
      </c>
      <c r="N169" s="28" t="s">
        <v>4009</v>
      </c>
    </row>
    <row r="170" spans="1:26" ht="14.4">
      <c r="A170" s="211" t="s">
        <v>2948</v>
      </c>
      <c r="B170" s="28" t="s">
        <v>4083</v>
      </c>
      <c r="C170" s="28" t="s">
        <v>233</v>
      </c>
      <c r="D170" s="172" t="s">
        <v>298</v>
      </c>
      <c r="E170" s="29" t="s">
        <v>2969</v>
      </c>
      <c r="F170" s="28" t="s">
        <v>4186</v>
      </c>
      <c r="G170" s="28"/>
      <c r="H170" s="28" t="s">
        <v>2128</v>
      </c>
      <c r="I170" s="28" t="s">
        <v>2128</v>
      </c>
      <c r="J170" s="28" t="s">
        <v>4087</v>
      </c>
      <c r="K170" s="28" t="s">
        <v>4170</v>
      </c>
      <c r="L170" s="28" t="s">
        <v>4089</v>
      </c>
      <c r="M170" s="28" t="s">
        <v>41</v>
      </c>
      <c r="N170" s="213"/>
    </row>
    <row r="171" spans="1:26" ht="14.4">
      <c r="A171" s="28" t="s">
        <v>2948</v>
      </c>
      <c r="B171" s="28" t="s">
        <v>4083</v>
      </c>
      <c r="C171" s="28" t="s">
        <v>233</v>
      </c>
      <c r="D171" s="172" t="s">
        <v>298</v>
      </c>
      <c r="E171" s="29" t="s">
        <v>2969</v>
      </c>
      <c r="F171" s="28" t="s">
        <v>4189</v>
      </c>
      <c r="G171" s="28"/>
      <c r="H171" s="28" t="s">
        <v>2400</v>
      </c>
      <c r="I171" s="28" t="s">
        <v>4190</v>
      </c>
      <c r="J171" s="28" t="s">
        <v>4096</v>
      </c>
      <c r="K171" s="28" t="s">
        <v>4191</v>
      </c>
      <c r="L171" s="28" t="s">
        <v>4192</v>
      </c>
      <c r="M171" s="28" t="s">
        <v>41</v>
      </c>
      <c r="N171" s="28"/>
    </row>
    <row r="172" spans="1:26" ht="14.4">
      <c r="A172" s="28" t="s">
        <v>2948</v>
      </c>
      <c r="B172" s="28" t="s">
        <v>4083</v>
      </c>
      <c r="C172" s="28" t="s">
        <v>233</v>
      </c>
      <c r="D172" s="172" t="s">
        <v>298</v>
      </c>
      <c r="E172" s="29" t="s">
        <v>2969</v>
      </c>
      <c r="F172" s="28" t="s">
        <v>1040</v>
      </c>
      <c r="G172" s="28"/>
      <c r="H172" s="28" t="s">
        <v>4194</v>
      </c>
      <c r="I172" s="28" t="s">
        <v>4194</v>
      </c>
      <c r="J172" s="28" t="s">
        <v>4103</v>
      </c>
      <c r="K172" s="28" t="s">
        <v>4195</v>
      </c>
      <c r="L172" s="28" t="s">
        <v>2166</v>
      </c>
      <c r="M172" s="28" t="s">
        <v>41</v>
      </c>
      <c r="N172" s="28"/>
    </row>
    <row r="173" spans="1:26" ht="14.4">
      <c r="A173" s="28" t="s">
        <v>2948</v>
      </c>
      <c r="B173" s="28" t="s">
        <v>4083</v>
      </c>
      <c r="C173" s="28" t="s">
        <v>275</v>
      </c>
      <c r="D173" s="172" t="s">
        <v>543</v>
      </c>
      <c r="E173" s="29" t="s">
        <v>2969</v>
      </c>
      <c r="F173" s="79" t="s">
        <v>4196</v>
      </c>
      <c r="G173" s="28"/>
      <c r="H173" s="28" t="s">
        <v>4155</v>
      </c>
      <c r="I173" s="28" t="s">
        <v>521</v>
      </c>
      <c r="J173" s="28" t="s">
        <v>4198</v>
      </c>
      <c r="K173" s="28" t="s">
        <v>4155</v>
      </c>
      <c r="L173" s="28" t="s">
        <v>4199</v>
      </c>
      <c r="M173" s="28" t="s">
        <v>41</v>
      </c>
      <c r="N173" s="28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spans="1:26" ht="14.4">
      <c r="A174" s="28" t="s">
        <v>2948</v>
      </c>
      <c r="B174" s="28" t="s">
        <v>4083</v>
      </c>
      <c r="C174" s="28" t="s">
        <v>296</v>
      </c>
      <c r="D174" s="172" t="s">
        <v>954</v>
      </c>
      <c r="E174" s="29" t="s">
        <v>2969</v>
      </c>
      <c r="F174" s="79" t="s">
        <v>4200</v>
      </c>
      <c r="G174" s="28" t="s">
        <v>4201</v>
      </c>
      <c r="H174" s="28" t="s">
        <v>4175</v>
      </c>
      <c r="I174" s="28" t="s">
        <v>4202</v>
      </c>
      <c r="J174" s="28" t="s">
        <v>3164</v>
      </c>
      <c r="K174" s="28" t="s">
        <v>3371</v>
      </c>
      <c r="L174" s="28" t="s">
        <v>989</v>
      </c>
      <c r="M174" s="28" t="s">
        <v>41</v>
      </c>
      <c r="N174" s="28"/>
    </row>
    <row r="175" spans="1:26" ht="14.4">
      <c r="A175" s="28" t="s">
        <v>2948</v>
      </c>
      <c r="B175" s="28" t="s">
        <v>3684</v>
      </c>
      <c r="C175" s="28" t="s">
        <v>287</v>
      </c>
      <c r="D175" s="172" t="s">
        <v>71</v>
      </c>
      <c r="E175" s="29" t="s">
        <v>2969</v>
      </c>
      <c r="F175" s="28" t="s">
        <v>4203</v>
      </c>
      <c r="G175" s="28" t="s">
        <v>4204</v>
      </c>
      <c r="H175" s="28" t="s">
        <v>3896</v>
      </c>
      <c r="I175" s="28" t="s">
        <v>3898</v>
      </c>
      <c r="J175" s="28" t="s">
        <v>4205</v>
      </c>
      <c r="K175" s="28" t="s">
        <v>3896</v>
      </c>
      <c r="L175" s="28" t="s">
        <v>2149</v>
      </c>
      <c r="M175" s="28" t="s">
        <v>41</v>
      </c>
      <c r="N175" s="28"/>
    </row>
    <row r="176" spans="1:26" ht="14.4">
      <c r="A176" s="28" t="s">
        <v>2948</v>
      </c>
      <c r="B176" s="28" t="s">
        <v>3684</v>
      </c>
      <c r="C176" s="28" t="s">
        <v>319</v>
      </c>
      <c r="D176" s="172" t="s">
        <v>796</v>
      </c>
      <c r="E176" s="29" t="s">
        <v>2969</v>
      </c>
      <c r="F176" s="79" t="s">
        <v>4206</v>
      </c>
      <c r="G176" s="28" t="s">
        <v>4207</v>
      </c>
      <c r="H176" s="28" t="s">
        <v>4208</v>
      </c>
      <c r="I176" s="28" t="s">
        <v>1804</v>
      </c>
      <c r="J176" s="28">
        <v>2409101</v>
      </c>
      <c r="K176" s="28" t="s">
        <v>4208</v>
      </c>
      <c r="L176" s="28"/>
      <c r="M176" s="28" t="s">
        <v>41</v>
      </c>
      <c r="N176" s="28"/>
    </row>
    <row r="177" spans="1:14" ht="14.4">
      <c r="A177" s="28" t="s">
        <v>2948</v>
      </c>
      <c r="B177" s="28" t="s">
        <v>3684</v>
      </c>
      <c r="C177" s="28" t="s">
        <v>319</v>
      </c>
      <c r="D177" s="172" t="s">
        <v>796</v>
      </c>
      <c r="E177" s="29" t="s">
        <v>2969</v>
      </c>
      <c r="F177" s="79" t="s">
        <v>4209</v>
      </c>
      <c r="G177" s="28" t="s">
        <v>4210</v>
      </c>
      <c r="H177" s="28" t="s">
        <v>4211</v>
      </c>
      <c r="I177" s="28" t="s">
        <v>3498</v>
      </c>
      <c r="J177" s="28">
        <v>2409101</v>
      </c>
      <c r="K177" s="28" t="s">
        <v>4211</v>
      </c>
      <c r="L177" s="28"/>
      <c r="M177" s="28" t="s">
        <v>41</v>
      </c>
      <c r="N177" s="28"/>
    </row>
    <row r="178" spans="1:14" ht="14.4">
      <c r="A178" s="28" t="s">
        <v>2948</v>
      </c>
      <c r="B178" s="28" t="s">
        <v>3684</v>
      </c>
      <c r="C178" s="28" t="s">
        <v>319</v>
      </c>
      <c r="D178" s="172" t="s">
        <v>796</v>
      </c>
      <c r="E178" s="29" t="s">
        <v>2969</v>
      </c>
      <c r="F178" s="79" t="s">
        <v>4212</v>
      </c>
      <c r="G178" s="28" t="s">
        <v>4213</v>
      </c>
      <c r="H178" s="28" t="s">
        <v>4214</v>
      </c>
      <c r="I178" s="28" t="s">
        <v>4215</v>
      </c>
      <c r="J178" s="28">
        <v>2409101</v>
      </c>
      <c r="K178" s="28" t="s">
        <v>4214</v>
      </c>
      <c r="L178" s="28"/>
      <c r="M178" s="28" t="s">
        <v>41</v>
      </c>
      <c r="N178" s="28"/>
    </row>
    <row r="179" spans="1:14" ht="14.4">
      <c r="A179" s="28" t="s">
        <v>2948</v>
      </c>
      <c r="B179" s="28" t="s">
        <v>3684</v>
      </c>
      <c r="C179" s="28" t="s">
        <v>319</v>
      </c>
      <c r="D179" s="172" t="s">
        <v>796</v>
      </c>
      <c r="E179" s="29" t="s">
        <v>2969</v>
      </c>
      <c r="F179" s="79" t="s">
        <v>4216</v>
      </c>
      <c r="G179" s="28" t="s">
        <v>4217</v>
      </c>
      <c r="H179" s="28" t="s">
        <v>4218</v>
      </c>
      <c r="I179" s="28" t="s">
        <v>4215</v>
      </c>
      <c r="J179" s="28">
        <v>2409101</v>
      </c>
      <c r="K179" s="28" t="s">
        <v>4218</v>
      </c>
      <c r="L179" s="28"/>
      <c r="M179" s="28" t="s">
        <v>41</v>
      </c>
      <c r="N179" s="28"/>
    </row>
    <row r="180" spans="1:14" ht="14.4">
      <c r="A180" s="28" t="s">
        <v>2948</v>
      </c>
      <c r="B180" s="28" t="s">
        <v>3684</v>
      </c>
      <c r="C180" s="28" t="s">
        <v>319</v>
      </c>
      <c r="D180" s="172" t="s">
        <v>796</v>
      </c>
      <c r="E180" s="29" t="s">
        <v>2969</v>
      </c>
      <c r="F180" s="79" t="s">
        <v>4220</v>
      </c>
      <c r="G180" s="28" t="s">
        <v>4221</v>
      </c>
      <c r="H180" s="28" t="s">
        <v>4222</v>
      </c>
      <c r="I180" s="28" t="s">
        <v>4215</v>
      </c>
      <c r="J180" s="28">
        <v>2409101</v>
      </c>
      <c r="K180" s="28" t="s">
        <v>4222</v>
      </c>
      <c r="L180" s="28"/>
      <c r="M180" s="28" t="s">
        <v>41</v>
      </c>
      <c r="N180" s="28"/>
    </row>
    <row r="181" spans="1:14" ht="14.4">
      <c r="A181" s="28" t="s">
        <v>2948</v>
      </c>
      <c r="B181" s="28" t="s">
        <v>3684</v>
      </c>
      <c r="C181" s="28" t="s">
        <v>319</v>
      </c>
      <c r="D181" s="172" t="s">
        <v>796</v>
      </c>
      <c r="E181" s="29" t="s">
        <v>2969</v>
      </c>
      <c r="F181" s="79" t="s">
        <v>4223</v>
      </c>
      <c r="G181" s="28" t="s">
        <v>4224</v>
      </c>
      <c r="H181" s="28" t="s">
        <v>4225</v>
      </c>
      <c r="I181" s="28" t="s">
        <v>887</v>
      </c>
      <c r="J181" s="28">
        <v>2409101</v>
      </c>
      <c r="K181" s="28" t="s">
        <v>4225</v>
      </c>
      <c r="L181" s="28"/>
      <c r="M181" s="28" t="s">
        <v>41</v>
      </c>
      <c r="N181" s="28"/>
    </row>
    <row r="182" spans="1:14" ht="14.4">
      <c r="A182" s="28" t="s">
        <v>2948</v>
      </c>
      <c r="B182" s="28" t="s">
        <v>3684</v>
      </c>
      <c r="C182" s="28" t="s">
        <v>319</v>
      </c>
      <c r="D182" s="172" t="s">
        <v>796</v>
      </c>
      <c r="E182" s="29" t="s">
        <v>2969</v>
      </c>
      <c r="F182" s="79" t="s">
        <v>4226</v>
      </c>
      <c r="G182" s="28" t="s">
        <v>4227</v>
      </c>
      <c r="H182" s="28" t="s">
        <v>4228</v>
      </c>
      <c r="I182" s="28" t="s">
        <v>4229</v>
      </c>
      <c r="J182" s="28">
        <v>2409101</v>
      </c>
      <c r="K182" s="28" t="s">
        <v>4228</v>
      </c>
      <c r="L182" s="28"/>
      <c r="M182" s="28" t="s">
        <v>41</v>
      </c>
      <c r="N182" s="28"/>
    </row>
    <row r="183" spans="1:14" ht="14.4">
      <c r="A183" s="28" t="s">
        <v>2948</v>
      </c>
      <c r="B183" s="28" t="s">
        <v>3684</v>
      </c>
      <c r="C183" s="28" t="s">
        <v>319</v>
      </c>
      <c r="D183" s="172" t="s">
        <v>796</v>
      </c>
      <c r="E183" s="29" t="s">
        <v>2969</v>
      </c>
      <c r="F183" s="79" t="s">
        <v>4230</v>
      </c>
      <c r="G183" s="28" t="s">
        <v>4231</v>
      </c>
      <c r="H183" s="28" t="s">
        <v>4232</v>
      </c>
      <c r="I183" s="28" t="s">
        <v>4233</v>
      </c>
      <c r="J183" s="28">
        <v>2409101</v>
      </c>
      <c r="K183" s="28" t="s">
        <v>4232</v>
      </c>
      <c r="L183" s="28"/>
      <c r="M183" s="28" t="s">
        <v>41</v>
      </c>
      <c r="N183" s="28"/>
    </row>
    <row r="184" spans="1:14" ht="14.4">
      <c r="A184" s="28" t="s">
        <v>2948</v>
      </c>
      <c r="B184" s="28" t="s">
        <v>3684</v>
      </c>
      <c r="C184" s="28" t="s">
        <v>319</v>
      </c>
      <c r="D184" s="172" t="s">
        <v>796</v>
      </c>
      <c r="E184" s="29" t="s">
        <v>2969</v>
      </c>
      <c r="F184" s="79" t="s">
        <v>4234</v>
      </c>
      <c r="G184" s="28" t="s">
        <v>4235</v>
      </c>
      <c r="H184" s="28" t="s">
        <v>4228</v>
      </c>
      <c r="I184" s="28" t="s">
        <v>4229</v>
      </c>
      <c r="J184" s="28">
        <v>2409101</v>
      </c>
      <c r="K184" s="28" t="s">
        <v>4228</v>
      </c>
      <c r="L184" s="28"/>
      <c r="M184" s="28" t="s">
        <v>41</v>
      </c>
      <c r="N184" s="28"/>
    </row>
    <row r="185" spans="1:14" ht="14.4">
      <c r="A185" s="28" t="s">
        <v>2948</v>
      </c>
      <c r="B185" s="28" t="s">
        <v>3684</v>
      </c>
      <c r="C185" s="28" t="s">
        <v>319</v>
      </c>
      <c r="D185" s="172" t="s">
        <v>796</v>
      </c>
      <c r="E185" s="29" t="s">
        <v>2969</v>
      </c>
      <c r="F185" s="79" t="s">
        <v>4236</v>
      </c>
      <c r="G185" s="28" t="s">
        <v>4237</v>
      </c>
      <c r="H185" s="28" t="s">
        <v>4238</v>
      </c>
      <c r="I185" s="28" t="s">
        <v>4239</v>
      </c>
      <c r="J185" s="28">
        <v>2409101</v>
      </c>
      <c r="K185" s="28" t="s">
        <v>4228</v>
      </c>
      <c r="L185" s="28"/>
      <c r="M185" s="28" t="s">
        <v>41</v>
      </c>
      <c r="N185" s="28"/>
    </row>
    <row r="186" spans="1:14" ht="14.4">
      <c r="A186" s="28" t="s">
        <v>2948</v>
      </c>
      <c r="B186" s="28" t="s">
        <v>4083</v>
      </c>
      <c r="C186" s="28" t="s">
        <v>319</v>
      </c>
      <c r="D186" s="172" t="s">
        <v>796</v>
      </c>
      <c r="E186" s="29" t="s">
        <v>2969</v>
      </c>
      <c r="F186" s="79" t="s">
        <v>4240</v>
      </c>
      <c r="G186" s="28"/>
      <c r="H186" s="28" t="s">
        <v>4241</v>
      </c>
      <c r="I186" s="28" t="s">
        <v>521</v>
      </c>
      <c r="J186" s="28"/>
      <c r="K186" s="28" t="s">
        <v>4241</v>
      </c>
      <c r="L186" s="28" t="s">
        <v>989</v>
      </c>
      <c r="M186" s="28" t="s">
        <v>41</v>
      </c>
      <c r="N186" s="28"/>
    </row>
    <row r="187" spans="1:14" ht="14.4">
      <c r="A187" s="28" t="s">
        <v>2948</v>
      </c>
      <c r="B187" s="28" t="s">
        <v>4083</v>
      </c>
      <c r="C187" s="28" t="s">
        <v>319</v>
      </c>
      <c r="D187" s="172" t="s">
        <v>796</v>
      </c>
      <c r="E187" s="29" t="s">
        <v>2969</v>
      </c>
      <c r="F187" s="79" t="s">
        <v>4242</v>
      </c>
      <c r="G187" s="28"/>
      <c r="H187" s="28" t="s">
        <v>4110</v>
      </c>
      <c r="I187" s="28" t="s">
        <v>4243</v>
      </c>
      <c r="J187" s="28"/>
      <c r="K187" s="28" t="s">
        <v>4110</v>
      </c>
      <c r="L187" s="28" t="s">
        <v>4244</v>
      </c>
      <c r="M187" s="28" t="s">
        <v>41</v>
      </c>
      <c r="N187" s="28"/>
    </row>
    <row r="188" spans="1:14" ht="14.4">
      <c r="A188" s="28" t="s">
        <v>2948</v>
      </c>
      <c r="B188" s="28" t="s">
        <v>4083</v>
      </c>
      <c r="C188" s="28" t="s">
        <v>319</v>
      </c>
      <c r="D188" s="172" t="s">
        <v>796</v>
      </c>
      <c r="E188" s="29" t="s">
        <v>2969</v>
      </c>
      <c r="F188" s="79" t="s">
        <v>4245</v>
      </c>
      <c r="G188" s="28"/>
      <c r="H188" s="28" t="s">
        <v>4246</v>
      </c>
      <c r="I188" s="28" t="s">
        <v>933</v>
      </c>
      <c r="J188" s="28"/>
      <c r="K188" s="28" t="s">
        <v>4246</v>
      </c>
      <c r="L188" s="28" t="s">
        <v>2149</v>
      </c>
      <c r="M188" s="28" t="s">
        <v>41</v>
      </c>
      <c r="N188" s="28"/>
    </row>
    <row r="189" spans="1:14" ht="14.4">
      <c r="A189" s="28" t="s">
        <v>2948</v>
      </c>
      <c r="B189" s="28" t="s">
        <v>49</v>
      </c>
      <c r="C189" s="28" t="s">
        <v>319</v>
      </c>
      <c r="D189" s="172" t="s">
        <v>796</v>
      </c>
      <c r="E189" s="29" t="s">
        <v>2969</v>
      </c>
      <c r="F189" s="79" t="s">
        <v>4247</v>
      </c>
      <c r="G189" s="28"/>
      <c r="H189" s="28" t="s">
        <v>2975</v>
      </c>
      <c r="I189" s="28" t="s">
        <v>2976</v>
      </c>
      <c r="J189" s="28"/>
      <c r="K189" s="28" t="s">
        <v>2975</v>
      </c>
      <c r="L189" s="28" t="s">
        <v>2978</v>
      </c>
      <c r="M189" s="28" t="s">
        <v>41</v>
      </c>
      <c r="N189" s="28"/>
    </row>
    <row r="190" spans="1:14" ht="14.4">
      <c r="A190" s="28" t="s">
        <v>2948</v>
      </c>
      <c r="B190" s="28" t="s">
        <v>49</v>
      </c>
      <c r="C190" s="28" t="s">
        <v>319</v>
      </c>
      <c r="D190" s="172" t="s">
        <v>796</v>
      </c>
      <c r="E190" s="29" t="s">
        <v>2969</v>
      </c>
      <c r="F190" s="79" t="s">
        <v>4248</v>
      </c>
      <c r="G190" s="28"/>
      <c r="H190" s="28" t="s">
        <v>4249</v>
      </c>
      <c r="I190" s="28" t="s">
        <v>4250</v>
      </c>
      <c r="J190" s="28"/>
      <c r="K190" s="28" t="s">
        <v>4249</v>
      </c>
      <c r="L190" s="28" t="s">
        <v>4251</v>
      </c>
      <c r="M190" s="28" t="s">
        <v>41</v>
      </c>
      <c r="N190" s="28"/>
    </row>
    <row r="191" spans="1:14" ht="14.4">
      <c r="A191" s="28" t="s">
        <v>2948</v>
      </c>
      <c r="B191" s="28" t="s">
        <v>49</v>
      </c>
      <c r="C191" s="28" t="s">
        <v>319</v>
      </c>
      <c r="D191" s="172" t="s">
        <v>796</v>
      </c>
      <c r="E191" s="29" t="s">
        <v>2969</v>
      </c>
      <c r="F191" s="79" t="s">
        <v>4252</v>
      </c>
      <c r="G191" s="28"/>
      <c r="H191" s="28" t="s">
        <v>3000</v>
      </c>
      <c r="I191" s="28" t="s">
        <v>3002</v>
      </c>
      <c r="J191" s="28"/>
      <c r="K191" s="28" t="s">
        <v>3022</v>
      </c>
      <c r="L191" s="28" t="s">
        <v>3006</v>
      </c>
      <c r="M191" s="28" t="s">
        <v>41</v>
      </c>
      <c r="N191" s="28"/>
    </row>
    <row r="192" spans="1:14" ht="14.4">
      <c r="A192" s="28" t="s">
        <v>2948</v>
      </c>
      <c r="B192" s="28" t="s">
        <v>49</v>
      </c>
      <c r="C192" s="28" t="s">
        <v>319</v>
      </c>
      <c r="D192" s="172" t="s">
        <v>796</v>
      </c>
      <c r="E192" s="29" t="s">
        <v>2969</v>
      </c>
      <c r="F192" s="79" t="s">
        <v>4253</v>
      </c>
      <c r="G192" s="28"/>
      <c r="H192" s="28" t="s">
        <v>3154</v>
      </c>
      <c r="I192" s="28" t="s">
        <v>3155</v>
      </c>
      <c r="J192" s="28"/>
      <c r="K192" s="28" t="s">
        <v>3022</v>
      </c>
      <c r="L192" s="28" t="s">
        <v>3157</v>
      </c>
      <c r="M192" s="28" t="s">
        <v>41</v>
      </c>
      <c r="N192" s="28"/>
    </row>
    <row r="193" spans="1:14" ht="14.4">
      <c r="A193" s="28" t="s">
        <v>2948</v>
      </c>
      <c r="B193" s="28" t="s">
        <v>49</v>
      </c>
      <c r="C193" s="28" t="s">
        <v>319</v>
      </c>
      <c r="D193" s="172" t="s">
        <v>796</v>
      </c>
      <c r="E193" s="29" t="s">
        <v>2969</v>
      </c>
      <c r="F193" s="79" t="s">
        <v>4254</v>
      </c>
      <c r="G193" s="28"/>
      <c r="H193" s="28" t="s">
        <v>3117</v>
      </c>
      <c r="I193" s="28" t="s">
        <v>4255</v>
      </c>
      <c r="J193" s="28"/>
      <c r="K193" s="28" t="s">
        <v>3117</v>
      </c>
      <c r="L193" s="28" t="s">
        <v>2996</v>
      </c>
      <c r="M193" s="28" t="s">
        <v>41</v>
      </c>
      <c r="N193" s="28"/>
    </row>
    <row r="194" spans="1:14" ht="14.4">
      <c r="A194" s="28" t="s">
        <v>2948</v>
      </c>
      <c r="B194" s="28" t="s">
        <v>49</v>
      </c>
      <c r="C194" s="28" t="s">
        <v>319</v>
      </c>
      <c r="D194" s="172" t="s">
        <v>796</v>
      </c>
      <c r="E194" s="29" t="s">
        <v>2969</v>
      </c>
      <c r="F194" s="79" t="s">
        <v>4256</v>
      </c>
      <c r="G194" s="28"/>
      <c r="H194" s="28" t="s">
        <v>3154</v>
      </c>
      <c r="I194" s="28" t="s">
        <v>3155</v>
      </c>
      <c r="J194" s="28"/>
      <c r="K194" s="28" t="s">
        <v>3022</v>
      </c>
      <c r="L194" s="28" t="s">
        <v>3157</v>
      </c>
      <c r="M194" s="28" t="s">
        <v>41</v>
      </c>
      <c r="N194" s="28"/>
    </row>
    <row r="195" spans="1:14" ht="14.4">
      <c r="A195" s="28" t="s">
        <v>2948</v>
      </c>
      <c r="B195" s="28" t="s">
        <v>3969</v>
      </c>
      <c r="C195" s="28" t="s">
        <v>319</v>
      </c>
      <c r="D195" s="172" t="s">
        <v>796</v>
      </c>
      <c r="E195" s="29" t="s">
        <v>2969</v>
      </c>
      <c r="F195" s="79" t="s">
        <v>4257</v>
      </c>
      <c r="G195" s="28"/>
      <c r="H195" s="28" t="s">
        <v>4075</v>
      </c>
      <c r="I195" s="28" t="s">
        <v>521</v>
      </c>
      <c r="J195" s="28"/>
      <c r="K195" s="28" t="s">
        <v>4075</v>
      </c>
      <c r="L195" s="28" t="s">
        <v>4258</v>
      </c>
      <c r="M195" s="28" t="s">
        <v>41</v>
      </c>
      <c r="N195" s="28"/>
    </row>
    <row r="196" spans="1:14" ht="14.4">
      <c r="A196" s="28" t="s">
        <v>2948</v>
      </c>
      <c r="B196" s="28" t="s">
        <v>3969</v>
      </c>
      <c r="C196" s="28" t="s">
        <v>319</v>
      </c>
      <c r="D196" s="172" t="s">
        <v>796</v>
      </c>
      <c r="E196" s="29" t="s">
        <v>2969</v>
      </c>
      <c r="F196" s="79" t="s">
        <v>4259</v>
      </c>
      <c r="G196" s="28"/>
      <c r="H196" s="28" t="s">
        <v>4020</v>
      </c>
      <c r="I196" s="28" t="s">
        <v>521</v>
      </c>
      <c r="J196" s="28"/>
      <c r="K196" s="28" t="s">
        <v>3022</v>
      </c>
      <c r="L196" s="28" t="s">
        <v>4260</v>
      </c>
      <c r="M196" s="28" t="s">
        <v>41</v>
      </c>
      <c r="N196" s="28"/>
    </row>
    <row r="197" spans="1:14" ht="14.4">
      <c r="A197" s="28" t="s">
        <v>2948</v>
      </c>
      <c r="B197" s="28" t="s">
        <v>3194</v>
      </c>
      <c r="C197" s="28" t="s">
        <v>319</v>
      </c>
      <c r="D197" s="172" t="s">
        <v>796</v>
      </c>
      <c r="E197" s="29" t="s">
        <v>2969</v>
      </c>
      <c r="F197" s="79" t="s">
        <v>4261</v>
      </c>
      <c r="G197" s="28" t="s">
        <v>4262</v>
      </c>
      <c r="H197" s="28" t="s">
        <v>4263</v>
      </c>
      <c r="I197" s="28" t="s">
        <v>521</v>
      </c>
      <c r="J197" s="28"/>
      <c r="K197" s="28"/>
      <c r="L197" s="28" t="s">
        <v>2166</v>
      </c>
      <c r="M197" s="28" t="s">
        <v>41</v>
      </c>
      <c r="N197" s="28"/>
    </row>
    <row r="198" spans="1:14" ht="14.4">
      <c r="A198" s="28" t="s">
        <v>2948</v>
      </c>
      <c r="B198" s="28" t="s">
        <v>3194</v>
      </c>
      <c r="C198" s="28" t="s">
        <v>319</v>
      </c>
      <c r="D198" s="172" t="s">
        <v>796</v>
      </c>
      <c r="E198" s="29" t="s">
        <v>2969</v>
      </c>
      <c r="F198" s="79" t="s">
        <v>4264</v>
      </c>
      <c r="G198" s="28" t="s">
        <v>4265</v>
      </c>
      <c r="H198" s="28" t="s">
        <v>4266</v>
      </c>
      <c r="I198" s="28" t="s">
        <v>966</v>
      </c>
      <c r="J198" s="28"/>
      <c r="K198" s="28"/>
      <c r="L198" s="28" t="s">
        <v>2336</v>
      </c>
      <c r="M198" s="28" t="s">
        <v>41</v>
      </c>
      <c r="N198" s="28"/>
    </row>
    <row r="199" spans="1:14" ht="14.4">
      <c r="A199" s="28" t="s">
        <v>2948</v>
      </c>
      <c r="B199" s="28" t="s">
        <v>3374</v>
      </c>
      <c r="C199" s="28" t="s">
        <v>319</v>
      </c>
      <c r="D199" s="172" t="s">
        <v>796</v>
      </c>
      <c r="E199" s="29" t="s">
        <v>2969</v>
      </c>
      <c r="F199" s="79" t="s">
        <v>4267</v>
      </c>
      <c r="G199" s="28"/>
      <c r="H199" s="28" t="s">
        <v>4268</v>
      </c>
      <c r="I199" s="28" t="s">
        <v>887</v>
      </c>
      <c r="J199" s="28"/>
      <c r="K199" s="28" t="s">
        <v>4268</v>
      </c>
      <c r="L199" s="28" t="s">
        <v>4269</v>
      </c>
      <c r="M199" s="28" t="s">
        <v>41</v>
      </c>
      <c r="N199" s="28"/>
    </row>
    <row r="200" spans="1:14" ht="14.4">
      <c r="A200" s="28" t="s">
        <v>2948</v>
      </c>
      <c r="B200" s="28" t="s">
        <v>3374</v>
      </c>
      <c r="C200" s="28" t="s">
        <v>319</v>
      </c>
      <c r="D200" s="172" t="s">
        <v>796</v>
      </c>
      <c r="E200" s="29" t="s">
        <v>2969</v>
      </c>
      <c r="F200" s="79" t="s">
        <v>4270</v>
      </c>
      <c r="G200" s="28"/>
      <c r="H200" s="28" t="s">
        <v>4271</v>
      </c>
      <c r="I200" s="28" t="s">
        <v>887</v>
      </c>
      <c r="J200" s="28"/>
      <c r="K200" s="28" t="s">
        <v>4271</v>
      </c>
      <c r="L200" s="28" t="s">
        <v>2895</v>
      </c>
      <c r="M200" s="28" t="s">
        <v>41</v>
      </c>
      <c r="N200" s="28"/>
    </row>
    <row r="201" spans="1:14" ht="14.4">
      <c r="A201" s="28" t="s">
        <v>2948</v>
      </c>
      <c r="B201" s="28" t="s">
        <v>3543</v>
      </c>
      <c r="C201" s="28" t="s">
        <v>319</v>
      </c>
      <c r="D201" s="172" t="s">
        <v>796</v>
      </c>
      <c r="E201" s="29" t="s">
        <v>2969</v>
      </c>
      <c r="F201" s="79" t="s">
        <v>4272</v>
      </c>
      <c r="G201" s="28"/>
      <c r="H201" s="28" t="s">
        <v>4273</v>
      </c>
      <c r="I201" s="28" t="s">
        <v>4007</v>
      </c>
      <c r="J201" s="28"/>
      <c r="K201" s="28"/>
      <c r="L201" s="28" t="s">
        <v>2336</v>
      </c>
      <c r="M201" s="28" t="s">
        <v>41</v>
      </c>
      <c r="N201" s="28"/>
    </row>
    <row r="202" spans="1:14" ht="14.4">
      <c r="A202" s="28" t="s">
        <v>2948</v>
      </c>
      <c r="B202" s="28" t="s">
        <v>3543</v>
      </c>
      <c r="C202" s="28" t="s">
        <v>319</v>
      </c>
      <c r="D202" s="172" t="s">
        <v>796</v>
      </c>
      <c r="E202" s="29" t="s">
        <v>2969</v>
      </c>
      <c r="F202" s="79" t="s">
        <v>4274</v>
      </c>
      <c r="G202" s="28"/>
      <c r="H202" s="28" t="s">
        <v>4275</v>
      </c>
      <c r="I202" s="28" t="s">
        <v>521</v>
      </c>
      <c r="J202" s="28"/>
      <c r="K202" s="28"/>
      <c r="L202" s="28" t="s">
        <v>4276</v>
      </c>
      <c r="M202" s="28" t="s">
        <v>41</v>
      </c>
      <c r="N202" s="28"/>
    </row>
    <row r="203" spans="1:14" ht="14.4">
      <c r="A203" s="28" t="s">
        <v>2948</v>
      </c>
      <c r="B203" s="28" t="s">
        <v>49</v>
      </c>
      <c r="C203" s="28" t="s">
        <v>20</v>
      </c>
      <c r="D203" s="172" t="s">
        <v>1305</v>
      </c>
      <c r="E203" s="214" t="s">
        <v>2969</v>
      </c>
      <c r="F203" s="28" t="s">
        <v>4277</v>
      </c>
      <c r="G203" s="28" t="s">
        <v>4278</v>
      </c>
      <c r="H203" s="28" t="s">
        <v>2975</v>
      </c>
      <c r="I203" s="28" t="s">
        <v>2976</v>
      </c>
      <c r="J203" s="28" t="s">
        <v>3313</v>
      </c>
      <c r="K203" s="28" t="s">
        <v>2975</v>
      </c>
      <c r="L203" s="28" t="s">
        <v>2978</v>
      </c>
      <c r="M203" s="143" t="s">
        <v>41</v>
      </c>
      <c r="N203" s="28"/>
    </row>
    <row r="204" spans="1:14" ht="14.4">
      <c r="A204" s="28" t="s">
        <v>2948</v>
      </c>
      <c r="B204" s="28" t="s">
        <v>49</v>
      </c>
      <c r="C204" s="28" t="s">
        <v>20</v>
      </c>
      <c r="D204" s="172" t="s">
        <v>1305</v>
      </c>
      <c r="E204" s="214" t="s">
        <v>2969</v>
      </c>
      <c r="F204" s="28" t="s">
        <v>4279</v>
      </c>
      <c r="G204" s="28" t="s">
        <v>4280</v>
      </c>
      <c r="H204" s="28" t="s">
        <v>2983</v>
      </c>
      <c r="I204" s="28" t="s">
        <v>2984</v>
      </c>
      <c r="J204" s="28" t="s">
        <v>4281</v>
      </c>
      <c r="K204" s="28" t="s">
        <v>2983</v>
      </c>
      <c r="L204" s="28" t="s">
        <v>149</v>
      </c>
      <c r="M204" s="143" t="s">
        <v>41</v>
      </c>
      <c r="N204" s="28"/>
    </row>
    <row r="205" spans="1:14" ht="14.4">
      <c r="A205" s="28" t="s">
        <v>2948</v>
      </c>
      <c r="B205" s="28" t="s">
        <v>49</v>
      </c>
      <c r="C205" s="28" t="s">
        <v>20</v>
      </c>
      <c r="D205" s="172" t="s">
        <v>1305</v>
      </c>
      <c r="E205" s="214" t="s">
        <v>2969</v>
      </c>
      <c r="F205" s="28" t="s">
        <v>4282</v>
      </c>
      <c r="G205" s="28" t="s">
        <v>4283</v>
      </c>
      <c r="H205" s="28" t="s">
        <v>2992</v>
      </c>
      <c r="I205" s="28" t="s">
        <v>2994</v>
      </c>
      <c r="J205" s="28" t="s">
        <v>4284</v>
      </c>
      <c r="K205" s="28" t="s">
        <v>2992</v>
      </c>
      <c r="L205" s="28" t="s">
        <v>2996</v>
      </c>
      <c r="M205" s="143" t="s">
        <v>41</v>
      </c>
      <c r="N205" s="28"/>
    </row>
    <row r="206" spans="1:14" ht="14.4">
      <c r="A206" s="28" t="s">
        <v>2948</v>
      </c>
      <c r="B206" s="28" t="s">
        <v>49</v>
      </c>
      <c r="C206" s="28" t="s">
        <v>20</v>
      </c>
      <c r="D206" s="172" t="s">
        <v>1305</v>
      </c>
      <c r="E206" s="214" t="s">
        <v>2969</v>
      </c>
      <c r="F206" s="28" t="s">
        <v>4285</v>
      </c>
      <c r="G206" s="28" t="s">
        <v>4286</v>
      </c>
      <c r="H206" s="28" t="s">
        <v>2959</v>
      </c>
      <c r="I206" s="28" t="s">
        <v>916</v>
      </c>
      <c r="J206" s="28" t="s">
        <v>4287</v>
      </c>
      <c r="K206" s="28" t="s">
        <v>2959</v>
      </c>
      <c r="L206" s="28" t="s">
        <v>2962</v>
      </c>
      <c r="M206" s="143" t="s">
        <v>41</v>
      </c>
      <c r="N206" s="28"/>
    </row>
    <row r="207" spans="1:14" ht="14.4">
      <c r="A207" s="28" t="s">
        <v>2948</v>
      </c>
      <c r="B207" s="28" t="s">
        <v>49</v>
      </c>
      <c r="C207" s="28" t="s">
        <v>260</v>
      </c>
      <c r="D207" s="215" t="s">
        <v>1337</v>
      </c>
      <c r="E207" s="214" t="s">
        <v>2969</v>
      </c>
      <c r="F207" s="28" t="s">
        <v>4288</v>
      </c>
      <c r="G207" s="28" t="s">
        <v>1342</v>
      </c>
      <c r="H207" s="28" t="s">
        <v>3058</v>
      </c>
      <c r="I207" s="28" t="s">
        <v>4289</v>
      </c>
      <c r="J207" s="28" t="s">
        <v>4290</v>
      </c>
      <c r="K207" s="28" t="s">
        <v>3058</v>
      </c>
      <c r="L207" s="28" t="s">
        <v>3176</v>
      </c>
      <c r="M207" s="143" t="s">
        <v>41</v>
      </c>
      <c r="N207" s="28"/>
    </row>
    <row r="208" spans="1:14" ht="14.4">
      <c r="A208" s="28" t="s">
        <v>2948</v>
      </c>
      <c r="B208" s="28" t="s">
        <v>3194</v>
      </c>
      <c r="C208" s="28" t="s">
        <v>20</v>
      </c>
      <c r="D208" s="172" t="s">
        <v>1305</v>
      </c>
      <c r="E208" s="214" t="s">
        <v>2969</v>
      </c>
      <c r="F208" s="28" t="s">
        <v>4291</v>
      </c>
      <c r="G208" s="28" t="s">
        <v>4292</v>
      </c>
      <c r="H208" s="28" t="s">
        <v>3352</v>
      </c>
      <c r="I208" s="28" t="s">
        <v>3350</v>
      </c>
      <c r="J208" s="28" t="s">
        <v>4293</v>
      </c>
      <c r="K208" s="28" t="s">
        <v>3352</v>
      </c>
      <c r="L208" s="28" t="s">
        <v>784</v>
      </c>
      <c r="M208" s="143" t="s">
        <v>41</v>
      </c>
      <c r="N208" s="28"/>
    </row>
    <row r="209" spans="1:14" ht="14.4">
      <c r="A209" s="28" t="s">
        <v>2948</v>
      </c>
      <c r="B209" s="28" t="s">
        <v>3194</v>
      </c>
      <c r="C209" s="28" t="s">
        <v>260</v>
      </c>
      <c r="D209" s="215" t="s">
        <v>1337</v>
      </c>
      <c r="E209" s="214" t="s">
        <v>2969</v>
      </c>
      <c r="F209" s="28" t="s">
        <v>4294</v>
      </c>
      <c r="G209" s="28" t="s">
        <v>4295</v>
      </c>
      <c r="H209" s="28" t="s">
        <v>3237</v>
      </c>
      <c r="I209" s="28" t="s">
        <v>434</v>
      </c>
      <c r="J209" s="28" t="s">
        <v>4296</v>
      </c>
      <c r="K209" s="28" t="s">
        <v>3237</v>
      </c>
      <c r="L209" s="28" t="s">
        <v>3363</v>
      </c>
      <c r="M209" s="143" t="s">
        <v>41</v>
      </c>
      <c r="N209" s="28"/>
    </row>
    <row r="210" spans="1:14" ht="14.4">
      <c r="A210" s="28" t="s">
        <v>2948</v>
      </c>
      <c r="B210" s="28" t="s">
        <v>3374</v>
      </c>
      <c r="C210" s="28" t="s">
        <v>20</v>
      </c>
      <c r="D210" s="172" t="s">
        <v>1305</v>
      </c>
      <c r="E210" s="214" t="s">
        <v>2969</v>
      </c>
      <c r="F210" s="28" t="s">
        <v>4297</v>
      </c>
      <c r="G210" s="28" t="s">
        <v>4298</v>
      </c>
      <c r="H210" s="28" t="s">
        <v>4299</v>
      </c>
      <c r="I210" s="28" t="s">
        <v>933</v>
      </c>
      <c r="J210" s="28" t="s">
        <v>4300</v>
      </c>
      <c r="K210" s="28" t="s">
        <v>4299</v>
      </c>
      <c r="L210" s="28" t="s">
        <v>784</v>
      </c>
      <c r="M210" s="143" t="s">
        <v>41</v>
      </c>
      <c r="N210" s="28"/>
    </row>
    <row r="211" spans="1:14" ht="14.4">
      <c r="A211" s="28" t="s">
        <v>2948</v>
      </c>
      <c r="B211" s="28" t="s">
        <v>3374</v>
      </c>
      <c r="C211" s="28" t="s">
        <v>260</v>
      </c>
      <c r="D211" s="215" t="s">
        <v>1337</v>
      </c>
      <c r="E211" s="214" t="s">
        <v>2969</v>
      </c>
      <c r="F211" s="28" t="s">
        <v>4301</v>
      </c>
      <c r="G211" s="28" t="s">
        <v>1342</v>
      </c>
      <c r="H211" s="28" t="s">
        <v>4268</v>
      </c>
      <c r="I211" s="28" t="s">
        <v>989</v>
      </c>
      <c r="J211" s="28" t="s">
        <v>4290</v>
      </c>
      <c r="K211" s="28" t="s">
        <v>4268</v>
      </c>
      <c r="L211" s="28" t="s">
        <v>3477</v>
      </c>
      <c r="M211" s="143" t="s">
        <v>41</v>
      </c>
      <c r="N211" s="28"/>
    </row>
    <row r="212" spans="1:14" ht="14.4">
      <c r="A212" s="28" t="s">
        <v>2948</v>
      </c>
      <c r="B212" s="28" t="s">
        <v>3374</v>
      </c>
      <c r="C212" s="28" t="s">
        <v>260</v>
      </c>
      <c r="D212" s="215" t="s">
        <v>1337</v>
      </c>
      <c r="E212" s="214" t="s">
        <v>2969</v>
      </c>
      <c r="F212" s="28" t="s">
        <v>4302</v>
      </c>
      <c r="G212" s="28" t="s">
        <v>1342</v>
      </c>
      <c r="H212" s="28" t="s">
        <v>4303</v>
      </c>
      <c r="I212" s="28" t="s">
        <v>2714</v>
      </c>
      <c r="J212" s="28" t="s">
        <v>4070</v>
      </c>
      <c r="K212" s="28" t="s">
        <v>4304</v>
      </c>
      <c r="L212" s="28" t="s">
        <v>3477</v>
      </c>
      <c r="M212" s="143" t="s">
        <v>41</v>
      </c>
      <c r="N212" s="28"/>
    </row>
    <row r="213" spans="1:14" ht="14.4">
      <c r="A213" s="28" t="s">
        <v>2948</v>
      </c>
      <c r="B213" s="28" t="s">
        <v>3484</v>
      </c>
      <c r="C213" s="28" t="s">
        <v>20</v>
      </c>
      <c r="D213" s="172" t="s">
        <v>1305</v>
      </c>
      <c r="E213" s="214" t="s">
        <v>2969</v>
      </c>
      <c r="F213" s="28" t="s">
        <v>4305</v>
      </c>
      <c r="G213" s="28" t="s">
        <v>4306</v>
      </c>
      <c r="H213" s="28" t="s">
        <v>4299</v>
      </c>
      <c r="I213" s="28" t="s">
        <v>933</v>
      </c>
      <c r="J213" s="28" t="s">
        <v>4307</v>
      </c>
      <c r="K213" s="28" t="s">
        <v>4299</v>
      </c>
      <c r="L213" s="28" t="s">
        <v>784</v>
      </c>
      <c r="M213" s="143" t="s">
        <v>41</v>
      </c>
      <c r="N213" s="28"/>
    </row>
    <row r="214" spans="1:14" ht="14.4">
      <c r="A214" s="28" t="s">
        <v>2948</v>
      </c>
      <c r="B214" s="28" t="s">
        <v>3484</v>
      </c>
      <c r="C214" s="28" t="s">
        <v>260</v>
      </c>
      <c r="D214" s="215" t="s">
        <v>1337</v>
      </c>
      <c r="E214" s="214" t="s">
        <v>2969</v>
      </c>
      <c r="F214" s="28" t="s">
        <v>4308</v>
      </c>
      <c r="G214" s="28" t="s">
        <v>1342</v>
      </c>
      <c r="H214" s="28" t="s">
        <v>3525</v>
      </c>
      <c r="I214" s="28" t="s">
        <v>2714</v>
      </c>
      <c r="J214" s="28" t="s">
        <v>4309</v>
      </c>
      <c r="K214" s="28" t="s">
        <v>3525</v>
      </c>
      <c r="L214" s="28" t="s">
        <v>3389</v>
      </c>
      <c r="M214" s="143" t="s">
        <v>41</v>
      </c>
      <c r="N214" s="28"/>
    </row>
    <row r="215" spans="1:14" ht="14.4">
      <c r="A215" s="28" t="s">
        <v>2948</v>
      </c>
      <c r="B215" s="28" t="s">
        <v>3484</v>
      </c>
      <c r="C215" s="28" t="s">
        <v>260</v>
      </c>
      <c r="D215" s="215" t="s">
        <v>1337</v>
      </c>
      <c r="E215" s="214" t="s">
        <v>2969</v>
      </c>
      <c r="F215" s="28" t="s">
        <v>4310</v>
      </c>
      <c r="G215" s="28" t="s">
        <v>1342</v>
      </c>
      <c r="H215" s="28" t="s">
        <v>3497</v>
      </c>
      <c r="I215" s="28" t="s">
        <v>887</v>
      </c>
      <c r="J215" s="28" t="s">
        <v>4311</v>
      </c>
      <c r="K215" s="28" t="s">
        <v>3497</v>
      </c>
      <c r="L215" s="28" t="s">
        <v>3042</v>
      </c>
      <c r="M215" s="143" t="s">
        <v>41</v>
      </c>
      <c r="N215" s="28"/>
    </row>
    <row r="216" spans="1:14" ht="14.4">
      <c r="A216" s="28" t="s">
        <v>2948</v>
      </c>
      <c r="B216" s="28" t="s">
        <v>3484</v>
      </c>
      <c r="C216" s="28" t="s">
        <v>260</v>
      </c>
      <c r="D216" s="215" t="s">
        <v>1337</v>
      </c>
      <c r="E216" s="214" t="s">
        <v>2969</v>
      </c>
      <c r="F216" s="28" t="s">
        <v>4312</v>
      </c>
      <c r="G216" s="28" t="s">
        <v>1342</v>
      </c>
      <c r="H216" s="28" t="s">
        <v>4313</v>
      </c>
      <c r="I216" s="28" t="s">
        <v>700</v>
      </c>
      <c r="J216" s="28" t="s">
        <v>4314</v>
      </c>
      <c r="K216" s="28" t="s">
        <v>4313</v>
      </c>
      <c r="L216" s="28" t="s">
        <v>3389</v>
      </c>
      <c r="M216" s="143" t="s">
        <v>41</v>
      </c>
      <c r="N216" s="28"/>
    </row>
    <row r="217" spans="1:14" ht="14.4">
      <c r="A217" s="28" t="s">
        <v>2948</v>
      </c>
      <c r="B217" s="28" t="s">
        <v>3484</v>
      </c>
      <c r="C217" s="28" t="s">
        <v>260</v>
      </c>
      <c r="D217" s="215" t="s">
        <v>1337</v>
      </c>
      <c r="E217" s="214" t="s">
        <v>2969</v>
      </c>
      <c r="F217" s="28" t="s">
        <v>4315</v>
      </c>
      <c r="G217" s="28" t="s">
        <v>1342</v>
      </c>
      <c r="H217" s="28" t="s">
        <v>4316</v>
      </c>
      <c r="I217" s="28" t="s">
        <v>2714</v>
      </c>
      <c r="J217" s="28" t="s">
        <v>4317</v>
      </c>
      <c r="K217" s="28" t="s">
        <v>4316</v>
      </c>
      <c r="L217" s="28" t="s">
        <v>989</v>
      </c>
      <c r="M217" s="143" t="s">
        <v>41</v>
      </c>
      <c r="N217" s="28"/>
    </row>
    <row r="218" spans="1:14" ht="14.4">
      <c r="A218" s="28" t="s">
        <v>2948</v>
      </c>
      <c r="B218" s="28" t="s">
        <v>3543</v>
      </c>
      <c r="C218" s="28" t="s">
        <v>20</v>
      </c>
      <c r="D218" s="172" t="s">
        <v>1305</v>
      </c>
      <c r="E218" s="214" t="s">
        <v>2969</v>
      </c>
      <c r="F218" s="28" t="s">
        <v>4318</v>
      </c>
      <c r="G218" s="28" t="s">
        <v>4319</v>
      </c>
      <c r="H218" s="28" t="s">
        <v>4320</v>
      </c>
      <c r="I218" s="28" t="s">
        <v>933</v>
      </c>
      <c r="J218" s="28" t="s">
        <v>2809</v>
      </c>
      <c r="K218" s="28" t="s">
        <v>4321</v>
      </c>
      <c r="L218" s="28" t="s">
        <v>4322</v>
      </c>
      <c r="M218" s="143" t="s">
        <v>41</v>
      </c>
      <c r="N218" s="28"/>
    </row>
    <row r="219" spans="1:14" ht="14.4">
      <c r="A219" s="28" t="s">
        <v>2948</v>
      </c>
      <c r="B219" s="28" t="s">
        <v>3543</v>
      </c>
      <c r="C219" s="28" t="s">
        <v>260</v>
      </c>
      <c r="D219" s="215" t="s">
        <v>1337</v>
      </c>
      <c r="E219" s="214" t="s">
        <v>2969</v>
      </c>
      <c r="F219" s="28" t="s">
        <v>4323</v>
      </c>
      <c r="G219" s="28" t="s">
        <v>1342</v>
      </c>
      <c r="H219" s="28" t="s">
        <v>3599</v>
      </c>
      <c r="I219" s="28" t="s">
        <v>130</v>
      </c>
      <c r="J219" s="28" t="s">
        <v>4324</v>
      </c>
      <c r="K219" s="28" t="s">
        <v>3567</v>
      </c>
      <c r="L219" s="28" t="s">
        <v>2149</v>
      </c>
      <c r="M219" s="143" t="s">
        <v>41</v>
      </c>
      <c r="N219" s="28"/>
    </row>
    <row r="220" spans="1:14" ht="14.4">
      <c r="A220" s="28" t="s">
        <v>2948</v>
      </c>
      <c r="B220" s="28" t="s">
        <v>3543</v>
      </c>
      <c r="C220" s="28" t="s">
        <v>260</v>
      </c>
      <c r="D220" s="215" t="s">
        <v>1337</v>
      </c>
      <c r="E220" s="214" t="s">
        <v>2969</v>
      </c>
      <c r="F220" s="28" t="s">
        <v>4325</v>
      </c>
      <c r="G220" s="28" t="s">
        <v>1342</v>
      </c>
      <c r="H220" s="28" t="s">
        <v>3565</v>
      </c>
      <c r="I220" s="28" t="s">
        <v>1610</v>
      </c>
      <c r="J220" s="28" t="s">
        <v>4326</v>
      </c>
      <c r="K220" s="28" t="s">
        <v>4327</v>
      </c>
      <c r="L220" s="28" t="s">
        <v>2403</v>
      </c>
      <c r="M220" s="143" t="s">
        <v>41</v>
      </c>
      <c r="N220" s="28"/>
    </row>
    <row r="221" spans="1:14" ht="14.4">
      <c r="A221" s="28" t="s">
        <v>2948</v>
      </c>
      <c r="B221" s="28" t="s">
        <v>3684</v>
      </c>
      <c r="C221" s="28" t="s">
        <v>260</v>
      </c>
      <c r="D221" s="215" t="s">
        <v>1337</v>
      </c>
      <c r="E221" s="214" t="s">
        <v>2969</v>
      </c>
      <c r="F221" s="28" t="s">
        <v>4328</v>
      </c>
      <c r="G221" s="28" t="s">
        <v>4329</v>
      </c>
      <c r="H221" s="28" t="s">
        <v>4330</v>
      </c>
      <c r="I221" s="28" t="s">
        <v>4331</v>
      </c>
      <c r="J221" s="28" t="s">
        <v>3250</v>
      </c>
      <c r="K221" s="28" t="s">
        <v>4330</v>
      </c>
      <c r="L221" s="28" t="s">
        <v>2149</v>
      </c>
      <c r="M221" s="143" t="s">
        <v>41</v>
      </c>
      <c r="N221" s="28" t="s">
        <v>4332</v>
      </c>
    </row>
    <row r="222" spans="1:14" ht="14.4">
      <c r="A222" s="28" t="s">
        <v>2948</v>
      </c>
      <c r="B222" s="28" t="s">
        <v>3684</v>
      </c>
      <c r="C222" s="28" t="s">
        <v>260</v>
      </c>
      <c r="D222" s="215" t="s">
        <v>1337</v>
      </c>
      <c r="E222" s="214" t="s">
        <v>2969</v>
      </c>
      <c r="F222" s="28" t="s">
        <v>4333</v>
      </c>
      <c r="G222" s="28" t="s">
        <v>4334</v>
      </c>
      <c r="H222" s="28" t="s">
        <v>4335</v>
      </c>
      <c r="I222" s="28" t="s">
        <v>3956</v>
      </c>
      <c r="J222" s="28" t="s">
        <v>3933</v>
      </c>
      <c r="K222" s="28" t="s">
        <v>3955</v>
      </c>
      <c r="L222" s="28" t="s">
        <v>3958</v>
      </c>
      <c r="M222" s="143" t="s">
        <v>41</v>
      </c>
      <c r="N222" s="28" t="s">
        <v>4336</v>
      </c>
    </row>
    <row r="223" spans="1:14" ht="14.4">
      <c r="A223" s="28" t="s">
        <v>2948</v>
      </c>
      <c r="B223" s="28" t="s">
        <v>3684</v>
      </c>
      <c r="C223" s="28" t="s">
        <v>260</v>
      </c>
      <c r="D223" s="215" t="s">
        <v>1337</v>
      </c>
      <c r="E223" s="214" t="s">
        <v>2969</v>
      </c>
      <c r="F223" s="28" t="s">
        <v>4337</v>
      </c>
      <c r="G223" s="28" t="s">
        <v>4338</v>
      </c>
      <c r="H223" s="28" t="s">
        <v>4339</v>
      </c>
      <c r="I223" s="28" t="s">
        <v>4340</v>
      </c>
      <c r="J223" s="28" t="s">
        <v>3970</v>
      </c>
      <c r="K223" s="28" t="s">
        <v>4339</v>
      </c>
      <c r="L223" s="28" t="s">
        <v>2149</v>
      </c>
      <c r="M223" s="143" t="s">
        <v>41</v>
      </c>
      <c r="N223" s="28" t="s">
        <v>4341</v>
      </c>
    </row>
    <row r="224" spans="1:14" ht="14.4">
      <c r="A224" s="28" t="s">
        <v>2948</v>
      </c>
      <c r="B224" s="28" t="s">
        <v>3684</v>
      </c>
      <c r="C224" s="28" t="s">
        <v>260</v>
      </c>
      <c r="D224" s="215" t="s">
        <v>1337</v>
      </c>
      <c r="E224" s="214" t="s">
        <v>2969</v>
      </c>
      <c r="F224" s="28" t="s">
        <v>4342</v>
      </c>
      <c r="G224" s="28" t="s">
        <v>4343</v>
      </c>
      <c r="H224" s="28" t="s">
        <v>4344</v>
      </c>
      <c r="I224" s="28" t="s">
        <v>3956</v>
      </c>
      <c r="J224" s="28" t="s">
        <v>3261</v>
      </c>
      <c r="K224" s="28" t="s">
        <v>3955</v>
      </c>
      <c r="L224" s="28" t="s">
        <v>3958</v>
      </c>
      <c r="M224" s="143" t="s">
        <v>41</v>
      </c>
      <c r="N224" s="28" t="s">
        <v>4345</v>
      </c>
    </row>
    <row r="225" spans="1:14" ht="14.4">
      <c r="A225" s="28" t="s">
        <v>2948</v>
      </c>
      <c r="B225" s="28" t="s">
        <v>3684</v>
      </c>
      <c r="C225" s="28" t="s">
        <v>260</v>
      </c>
      <c r="D225" s="215" t="s">
        <v>1337</v>
      </c>
      <c r="E225" s="214" t="s">
        <v>2969</v>
      </c>
      <c r="F225" s="28" t="s">
        <v>4346</v>
      </c>
      <c r="G225" s="28" t="s">
        <v>4347</v>
      </c>
      <c r="H225" s="28" t="s">
        <v>4348</v>
      </c>
      <c r="I225" s="28" t="s">
        <v>3956</v>
      </c>
      <c r="J225" s="28" t="s">
        <v>4349</v>
      </c>
      <c r="K225" s="28" t="s">
        <v>3955</v>
      </c>
      <c r="L225" s="28" t="s">
        <v>3958</v>
      </c>
      <c r="M225" s="143" t="s">
        <v>41</v>
      </c>
      <c r="N225" s="28"/>
    </row>
    <row r="226" spans="1:14" ht="14.4">
      <c r="A226" s="28" t="s">
        <v>2948</v>
      </c>
      <c r="B226" s="28" t="s">
        <v>3684</v>
      </c>
      <c r="C226" s="28" t="s">
        <v>260</v>
      </c>
      <c r="D226" s="215" t="s">
        <v>1337</v>
      </c>
      <c r="E226" s="214" t="s">
        <v>2969</v>
      </c>
      <c r="F226" s="28" t="s">
        <v>4350</v>
      </c>
      <c r="G226" s="28" t="s">
        <v>4351</v>
      </c>
      <c r="H226" s="28" t="s">
        <v>4352</v>
      </c>
      <c r="I226" s="28" t="s">
        <v>4340</v>
      </c>
      <c r="J226" s="28" t="s">
        <v>3799</v>
      </c>
      <c r="K226" s="28" t="s">
        <v>4353</v>
      </c>
      <c r="L226" s="28" t="s">
        <v>2149</v>
      </c>
      <c r="M226" s="143" t="s">
        <v>41</v>
      </c>
      <c r="N226" s="28"/>
    </row>
    <row r="227" spans="1:14" ht="14.4">
      <c r="A227" s="28" t="s">
        <v>2948</v>
      </c>
      <c r="B227" s="28" t="s">
        <v>3969</v>
      </c>
      <c r="C227" s="28" t="s">
        <v>20</v>
      </c>
      <c r="D227" s="172" t="s">
        <v>1305</v>
      </c>
      <c r="E227" s="214" t="s">
        <v>2969</v>
      </c>
      <c r="F227" s="28" t="s">
        <v>4354</v>
      </c>
      <c r="G227" s="28" t="s">
        <v>4355</v>
      </c>
      <c r="H227" s="28" t="s">
        <v>3993</v>
      </c>
      <c r="I227" s="28" t="s">
        <v>784</v>
      </c>
      <c r="J227" s="28" t="s">
        <v>4356</v>
      </c>
      <c r="K227" s="28" t="s">
        <v>3993</v>
      </c>
      <c r="L227" s="28" t="s">
        <v>784</v>
      </c>
      <c r="M227" s="143" t="s">
        <v>41</v>
      </c>
      <c r="N227" s="28"/>
    </row>
    <row r="228" spans="1:14" ht="14.4">
      <c r="A228" s="28" t="s">
        <v>2948</v>
      </c>
      <c r="B228" s="28" t="s">
        <v>3969</v>
      </c>
      <c r="C228" s="28" t="s">
        <v>260</v>
      </c>
      <c r="D228" s="215" t="s">
        <v>1337</v>
      </c>
      <c r="E228" s="214" t="s">
        <v>2969</v>
      </c>
      <c r="F228" s="28" t="s">
        <v>4357</v>
      </c>
      <c r="G228" s="28" t="s">
        <v>4358</v>
      </c>
      <c r="H228" s="28" t="s">
        <v>3998</v>
      </c>
      <c r="I228" s="28" t="s">
        <v>521</v>
      </c>
      <c r="J228" s="28" t="s">
        <v>4359</v>
      </c>
      <c r="K228" s="28" t="s">
        <v>3998</v>
      </c>
      <c r="L228" s="28" t="s">
        <v>2149</v>
      </c>
      <c r="M228" s="143" t="s">
        <v>41</v>
      </c>
      <c r="N228" s="28"/>
    </row>
    <row r="229" spans="1:14" ht="14.4">
      <c r="A229" s="28" t="s">
        <v>2948</v>
      </c>
      <c r="B229" s="28" t="s">
        <v>4083</v>
      </c>
      <c r="C229" s="28" t="s">
        <v>20</v>
      </c>
      <c r="D229" s="172" t="s">
        <v>1305</v>
      </c>
      <c r="E229" s="214" t="s">
        <v>2969</v>
      </c>
      <c r="F229" s="28" t="s">
        <v>4360</v>
      </c>
      <c r="G229" s="28" t="s">
        <v>4361</v>
      </c>
      <c r="H229" s="28" t="s">
        <v>4246</v>
      </c>
      <c r="I229" s="28" t="s">
        <v>933</v>
      </c>
      <c r="J229" s="28" t="s">
        <v>4087</v>
      </c>
      <c r="K229" s="28" t="s">
        <v>3352</v>
      </c>
      <c r="L229" s="28" t="s">
        <v>4362</v>
      </c>
      <c r="M229" s="143" t="s">
        <v>41</v>
      </c>
      <c r="N229" s="28"/>
    </row>
    <row r="230" spans="1:14" ht="14.4">
      <c r="A230" s="211" t="s">
        <v>2948</v>
      </c>
      <c r="B230" s="28" t="s">
        <v>4083</v>
      </c>
      <c r="C230" s="28" t="s">
        <v>260</v>
      </c>
      <c r="D230" s="215" t="s">
        <v>1337</v>
      </c>
      <c r="E230" s="214" t="s">
        <v>2969</v>
      </c>
      <c r="F230" s="28" t="s">
        <v>4363</v>
      </c>
      <c r="G230" s="28" t="s">
        <v>1342</v>
      </c>
      <c r="H230" s="28" t="s">
        <v>4128</v>
      </c>
      <c r="I230" s="28" t="s">
        <v>2194</v>
      </c>
      <c r="J230" s="28" t="s">
        <v>4087</v>
      </c>
      <c r="K230" s="28" t="s">
        <v>3022</v>
      </c>
      <c r="L230" s="28" t="s">
        <v>4199</v>
      </c>
      <c r="M230" s="143" t="s">
        <v>41</v>
      </c>
      <c r="N230" s="213"/>
    </row>
    <row r="231" spans="1:14" ht="14.4">
      <c r="A231" s="28" t="s">
        <v>2948</v>
      </c>
      <c r="B231" s="28" t="s">
        <v>4083</v>
      </c>
      <c r="C231" s="28" t="s">
        <v>260</v>
      </c>
      <c r="D231" s="215" t="s">
        <v>1337</v>
      </c>
      <c r="E231" s="214" t="s">
        <v>2969</v>
      </c>
      <c r="F231" s="28" t="s">
        <v>4364</v>
      </c>
      <c r="G231" s="28" t="s">
        <v>1342</v>
      </c>
      <c r="H231" s="28" t="s">
        <v>4143</v>
      </c>
      <c r="I231" s="28" t="s">
        <v>898</v>
      </c>
      <c r="J231" s="28" t="s">
        <v>4096</v>
      </c>
      <c r="K231" s="28" t="s">
        <v>3022</v>
      </c>
      <c r="L231" s="28" t="s">
        <v>4199</v>
      </c>
      <c r="M231" s="143" t="s">
        <v>41</v>
      </c>
      <c r="N231" s="28"/>
    </row>
    <row r="232" spans="1:14" ht="14.4">
      <c r="A232" s="28" t="s">
        <v>2948</v>
      </c>
      <c r="B232" s="28" t="s">
        <v>4083</v>
      </c>
      <c r="C232" s="28" t="s">
        <v>260</v>
      </c>
      <c r="D232" s="215" t="s">
        <v>1337</v>
      </c>
      <c r="E232" s="214" t="s">
        <v>2969</v>
      </c>
      <c r="F232" s="28" t="s">
        <v>4365</v>
      </c>
      <c r="G232" s="28" t="s">
        <v>1342</v>
      </c>
      <c r="H232" s="28" t="s">
        <v>4155</v>
      </c>
      <c r="I232" s="28" t="s">
        <v>521</v>
      </c>
      <c r="J232" s="28" t="s">
        <v>4103</v>
      </c>
      <c r="K232" s="28" t="s">
        <v>3022</v>
      </c>
      <c r="L232" s="28" t="s">
        <v>4199</v>
      </c>
      <c r="M232" s="143" t="s">
        <v>41</v>
      </c>
      <c r="N232" s="28"/>
    </row>
    <row r="233" spans="1:14" ht="28.8">
      <c r="A233" s="28" t="s">
        <v>2948</v>
      </c>
      <c r="B233" s="122" t="s">
        <v>4366</v>
      </c>
      <c r="C233" s="216" t="s">
        <v>1588</v>
      </c>
      <c r="D233" s="217">
        <v>1498000</v>
      </c>
      <c r="E233" s="71"/>
      <c r="F233" s="127" t="s">
        <v>4367</v>
      </c>
      <c r="G233" s="119" t="s">
        <v>4368</v>
      </c>
      <c r="H233" s="45" t="s">
        <v>4369</v>
      </c>
      <c r="I233" s="45"/>
      <c r="J233" s="45"/>
      <c r="K233" s="45"/>
      <c r="L233" s="45"/>
      <c r="M233" s="45"/>
      <c r="N233" s="45"/>
    </row>
    <row r="234" spans="1:14" ht="28.8">
      <c r="A234" s="28" t="s">
        <v>2948</v>
      </c>
      <c r="B234" s="122" t="s">
        <v>4370</v>
      </c>
      <c r="C234" s="216" t="s">
        <v>1588</v>
      </c>
      <c r="D234" s="217">
        <v>1498000</v>
      </c>
      <c r="E234" s="71"/>
      <c r="F234" s="127" t="s">
        <v>4371</v>
      </c>
      <c r="G234" s="119" t="s">
        <v>4372</v>
      </c>
      <c r="H234" s="45" t="s">
        <v>4369</v>
      </c>
      <c r="I234" s="45"/>
      <c r="J234" s="45"/>
      <c r="K234" s="45"/>
      <c r="L234" s="45"/>
      <c r="M234" s="45"/>
      <c r="N234" s="45"/>
    </row>
    <row r="235" spans="1:14" ht="28.8">
      <c r="A235" s="28" t="s">
        <v>2948</v>
      </c>
      <c r="B235" s="122" t="s">
        <v>4373</v>
      </c>
      <c r="C235" s="216" t="s">
        <v>1588</v>
      </c>
      <c r="D235" s="217">
        <v>1498000</v>
      </c>
      <c r="E235" s="71"/>
      <c r="F235" s="127" t="s">
        <v>4374</v>
      </c>
      <c r="G235" s="119" t="s">
        <v>4375</v>
      </c>
      <c r="H235" s="45" t="s">
        <v>4369</v>
      </c>
      <c r="I235" s="45"/>
      <c r="J235" s="45"/>
      <c r="K235" s="45"/>
      <c r="L235" s="45"/>
      <c r="M235" s="45"/>
      <c r="N235" s="45"/>
    </row>
    <row r="236" spans="1:14" ht="28.8">
      <c r="A236" s="28" t="s">
        <v>2948</v>
      </c>
      <c r="B236" s="122" t="s">
        <v>4376</v>
      </c>
      <c r="C236" s="216" t="s">
        <v>1588</v>
      </c>
      <c r="D236" s="217">
        <v>1498000</v>
      </c>
      <c r="E236" s="71"/>
      <c r="F236" s="127" t="s">
        <v>4377</v>
      </c>
      <c r="G236" s="119" t="s">
        <v>4378</v>
      </c>
      <c r="H236" s="45" t="s">
        <v>4369</v>
      </c>
      <c r="I236" s="45"/>
      <c r="J236" s="45"/>
      <c r="K236" s="45"/>
      <c r="L236" s="45"/>
      <c r="M236" s="45"/>
      <c r="N236" s="45"/>
    </row>
    <row r="237" spans="1:14" ht="28.8">
      <c r="A237" s="28" t="s">
        <v>2948</v>
      </c>
      <c r="B237" s="122" t="s">
        <v>4379</v>
      </c>
      <c r="C237" s="216" t="s">
        <v>1588</v>
      </c>
      <c r="D237" s="217">
        <v>1498000</v>
      </c>
      <c r="E237" s="71"/>
      <c r="F237" s="127" t="s">
        <v>4377</v>
      </c>
      <c r="G237" s="119" t="s">
        <v>4380</v>
      </c>
      <c r="H237" s="45" t="s">
        <v>4369</v>
      </c>
      <c r="I237" s="45"/>
      <c r="J237" s="45"/>
      <c r="K237" s="45"/>
      <c r="L237" s="45"/>
      <c r="M237" s="45"/>
      <c r="N237" s="45"/>
    </row>
    <row r="238" spans="1:14" ht="28.8">
      <c r="A238" s="28" t="s">
        <v>2948</v>
      </c>
      <c r="B238" s="122" t="s">
        <v>4381</v>
      </c>
      <c r="C238" s="216" t="s">
        <v>1588</v>
      </c>
      <c r="D238" s="217">
        <v>1498000</v>
      </c>
      <c r="E238" s="71"/>
      <c r="F238" s="127" t="s">
        <v>4382</v>
      </c>
      <c r="G238" s="119" t="s">
        <v>4383</v>
      </c>
      <c r="H238" s="45" t="s">
        <v>4369</v>
      </c>
      <c r="I238" s="45"/>
      <c r="J238" s="45"/>
      <c r="K238" s="45"/>
      <c r="L238" s="45"/>
      <c r="M238" s="45"/>
      <c r="N238" s="45"/>
    </row>
    <row r="239" spans="1:14" ht="28.8">
      <c r="A239" s="28" t="s">
        <v>2948</v>
      </c>
      <c r="B239" s="122" t="s">
        <v>4384</v>
      </c>
      <c r="C239" s="216" t="s">
        <v>1588</v>
      </c>
      <c r="D239" s="217">
        <v>1498000</v>
      </c>
      <c r="E239" s="71"/>
      <c r="F239" s="127" t="s">
        <v>4385</v>
      </c>
      <c r="G239" s="119" t="s">
        <v>4386</v>
      </c>
      <c r="H239" s="45" t="s">
        <v>4369</v>
      </c>
      <c r="I239" s="45"/>
      <c r="J239" s="45"/>
      <c r="K239" s="45"/>
      <c r="L239" s="45"/>
      <c r="M239" s="45"/>
      <c r="N239" s="45"/>
    </row>
    <row r="240" spans="1:14" ht="14.4">
      <c r="A240" s="45" t="s">
        <v>2948</v>
      </c>
      <c r="B240" s="45" t="s">
        <v>49</v>
      </c>
      <c r="C240" s="218" t="s">
        <v>4387</v>
      </c>
      <c r="D240" s="219">
        <v>4420000</v>
      </c>
      <c r="E240" s="45"/>
      <c r="F240" s="220" t="s">
        <v>4388</v>
      </c>
      <c r="G240" s="45"/>
      <c r="H240" s="45" t="s">
        <v>4369</v>
      </c>
      <c r="I240" s="45"/>
      <c r="J240" s="45"/>
      <c r="K240" s="45"/>
      <c r="L240" s="45"/>
      <c r="M240" s="45"/>
      <c r="N240" s="45"/>
    </row>
    <row r="241" spans="1:14" ht="14.4">
      <c r="A241" s="45" t="s">
        <v>2948</v>
      </c>
      <c r="B241" s="45" t="s">
        <v>49</v>
      </c>
      <c r="C241" s="218" t="s">
        <v>4387</v>
      </c>
      <c r="D241" s="221" t="s">
        <v>4389</v>
      </c>
      <c r="E241" s="45"/>
      <c r="F241" s="220" t="s">
        <v>4390</v>
      </c>
      <c r="G241" s="45"/>
      <c r="H241" s="45" t="s">
        <v>4369</v>
      </c>
      <c r="I241" s="45"/>
      <c r="J241" s="45"/>
      <c r="K241" s="45"/>
      <c r="L241" s="45"/>
      <c r="M241" s="45"/>
      <c r="N241" s="45"/>
    </row>
    <row r="242" spans="1:14" ht="13.2">
      <c r="A242" s="164" t="s">
        <v>2948</v>
      </c>
      <c r="B242" s="164" t="s">
        <v>49</v>
      </c>
      <c r="C242" s="92" t="s">
        <v>4391</v>
      </c>
      <c r="D242" s="222">
        <v>598888</v>
      </c>
      <c r="F242" s="164" t="s">
        <v>4392</v>
      </c>
      <c r="H242" s="45" t="s">
        <v>4369</v>
      </c>
    </row>
    <row r="243" spans="1:14" ht="13.2">
      <c r="A243" s="164" t="s">
        <v>2948</v>
      </c>
      <c r="B243" s="164" t="s">
        <v>49</v>
      </c>
      <c r="D243" s="93"/>
    </row>
    <row r="244" spans="1:14" ht="13.2">
      <c r="D244" s="93"/>
    </row>
    <row r="245" spans="1:14" ht="13.2">
      <c r="D245" s="93"/>
    </row>
    <row r="246" spans="1:14" ht="13.2">
      <c r="D246" s="93"/>
    </row>
    <row r="247" spans="1:14" ht="13.2">
      <c r="D247" s="93"/>
    </row>
    <row r="248" spans="1:14" ht="13.2">
      <c r="D248" s="93"/>
    </row>
    <row r="249" spans="1:14" ht="13.2">
      <c r="D249" s="93"/>
    </row>
    <row r="250" spans="1:14" ht="13.2">
      <c r="D250" s="93"/>
    </row>
    <row r="251" spans="1:14" ht="13.2">
      <c r="D251" s="93"/>
    </row>
    <row r="252" spans="1:14" ht="13.2">
      <c r="D252" s="93"/>
    </row>
    <row r="253" spans="1:14" ht="13.2">
      <c r="D253" s="93"/>
    </row>
    <row r="254" spans="1:14" ht="13.2">
      <c r="D254" s="93"/>
    </row>
    <row r="255" spans="1:14" ht="13.2">
      <c r="D255" s="93"/>
    </row>
    <row r="256" spans="1:14" ht="13.2">
      <c r="D256" s="93"/>
    </row>
    <row r="257" spans="4:4" ht="13.2">
      <c r="D257" s="93"/>
    </row>
    <row r="258" spans="4:4" ht="13.2">
      <c r="D258" s="93"/>
    </row>
    <row r="259" spans="4:4" ht="13.2">
      <c r="D259" s="93"/>
    </row>
    <row r="260" spans="4:4" ht="13.2">
      <c r="D260" s="93"/>
    </row>
    <row r="261" spans="4:4" ht="13.2">
      <c r="D261" s="93"/>
    </row>
    <row r="262" spans="4:4" ht="13.2">
      <c r="D262" s="93"/>
    </row>
    <row r="263" spans="4:4" ht="13.2">
      <c r="D263" s="93"/>
    </row>
    <row r="264" spans="4:4" ht="13.2">
      <c r="D264" s="93"/>
    </row>
    <row r="265" spans="4:4" ht="13.2">
      <c r="D265" s="93"/>
    </row>
    <row r="266" spans="4:4" ht="13.2">
      <c r="D266" s="93"/>
    </row>
    <row r="267" spans="4:4" ht="13.2">
      <c r="D267" s="93"/>
    </row>
    <row r="268" spans="4:4" ht="13.2">
      <c r="D268" s="93"/>
    </row>
    <row r="269" spans="4:4" ht="13.2">
      <c r="D269" s="93"/>
    </row>
    <row r="270" spans="4:4" ht="13.2">
      <c r="D270" s="93"/>
    </row>
    <row r="271" spans="4:4" ht="13.2">
      <c r="D271" s="93"/>
    </row>
    <row r="272" spans="4:4" ht="13.2">
      <c r="D272" s="93"/>
    </row>
    <row r="273" spans="4:4" ht="13.2">
      <c r="D273" s="93"/>
    </row>
    <row r="274" spans="4:4" ht="13.2">
      <c r="D274" s="93"/>
    </row>
    <row r="275" spans="4:4" ht="13.2">
      <c r="D275" s="93"/>
    </row>
    <row r="276" spans="4:4" ht="13.2">
      <c r="D276" s="93"/>
    </row>
    <row r="277" spans="4:4" ht="13.2">
      <c r="D277" s="93"/>
    </row>
    <row r="278" spans="4:4" ht="13.2">
      <c r="D278" s="93"/>
    </row>
    <row r="279" spans="4:4" ht="13.2">
      <c r="D279" s="93"/>
    </row>
    <row r="280" spans="4:4" ht="13.2">
      <c r="D280" s="93"/>
    </row>
    <row r="281" spans="4:4" ht="13.2">
      <c r="D281" s="93"/>
    </row>
    <row r="282" spans="4:4" ht="13.2">
      <c r="D282" s="93"/>
    </row>
    <row r="283" spans="4:4" ht="13.2">
      <c r="D283" s="93"/>
    </row>
    <row r="284" spans="4:4" ht="13.2">
      <c r="D284" s="93"/>
    </row>
    <row r="285" spans="4:4" ht="13.2">
      <c r="D285" s="93"/>
    </row>
    <row r="286" spans="4:4" ht="13.2">
      <c r="D286" s="93"/>
    </row>
    <row r="287" spans="4:4" ht="13.2">
      <c r="D287" s="93"/>
    </row>
    <row r="288" spans="4:4" ht="13.2">
      <c r="D288" s="93"/>
    </row>
    <row r="289" spans="4:4" ht="13.2">
      <c r="D289" s="93"/>
    </row>
    <row r="290" spans="4:4" ht="13.2">
      <c r="D290" s="93"/>
    </row>
    <row r="291" spans="4:4" ht="13.2">
      <c r="D291" s="93"/>
    </row>
    <row r="292" spans="4:4" ht="13.2">
      <c r="D292" s="93"/>
    </row>
    <row r="293" spans="4:4" ht="13.2">
      <c r="D293" s="93"/>
    </row>
    <row r="294" spans="4:4" ht="13.2">
      <c r="D294" s="93"/>
    </row>
    <row r="295" spans="4:4" ht="13.2">
      <c r="D295" s="93"/>
    </row>
    <row r="296" spans="4:4" ht="13.2">
      <c r="D296" s="93"/>
    </row>
    <row r="297" spans="4:4" ht="13.2">
      <c r="D297" s="93"/>
    </row>
    <row r="298" spans="4:4" ht="13.2">
      <c r="D298" s="93"/>
    </row>
    <row r="299" spans="4:4" ht="13.2">
      <c r="D299" s="93"/>
    </row>
    <row r="300" spans="4:4" ht="13.2">
      <c r="D300" s="93"/>
    </row>
    <row r="301" spans="4:4" ht="13.2">
      <c r="D301" s="93"/>
    </row>
    <row r="302" spans="4:4" ht="13.2">
      <c r="D302" s="93"/>
    </row>
    <row r="303" spans="4:4" ht="13.2">
      <c r="D303" s="93"/>
    </row>
    <row r="304" spans="4:4" ht="13.2">
      <c r="D304" s="93"/>
    </row>
    <row r="305" spans="4:4" ht="13.2">
      <c r="D305" s="93"/>
    </row>
    <row r="306" spans="4:4" ht="13.2">
      <c r="D306" s="93"/>
    </row>
    <row r="307" spans="4:4" ht="13.2">
      <c r="D307" s="93"/>
    </row>
    <row r="308" spans="4:4" ht="13.2">
      <c r="D308" s="93"/>
    </row>
    <row r="309" spans="4:4" ht="13.2">
      <c r="D309" s="93"/>
    </row>
    <row r="310" spans="4:4" ht="13.2">
      <c r="D310" s="93"/>
    </row>
    <row r="311" spans="4:4" ht="13.2">
      <c r="D311" s="93"/>
    </row>
    <row r="312" spans="4:4" ht="13.2">
      <c r="D312" s="93"/>
    </row>
    <row r="313" spans="4:4" ht="13.2">
      <c r="D313" s="93"/>
    </row>
    <row r="314" spans="4:4" ht="13.2">
      <c r="D314" s="93"/>
    </row>
    <row r="315" spans="4:4" ht="13.2">
      <c r="D315" s="93"/>
    </row>
    <row r="316" spans="4:4" ht="13.2">
      <c r="D316" s="93"/>
    </row>
    <row r="317" spans="4:4" ht="13.2">
      <c r="D317" s="93"/>
    </row>
    <row r="318" spans="4:4" ht="13.2">
      <c r="D318" s="93"/>
    </row>
    <row r="319" spans="4:4" ht="13.2">
      <c r="D319" s="93"/>
    </row>
    <row r="320" spans="4:4" ht="13.2">
      <c r="D320" s="93"/>
    </row>
    <row r="321" spans="4:4" ht="13.2">
      <c r="D321" s="93"/>
    </row>
    <row r="322" spans="4:4" ht="13.2">
      <c r="D322" s="93"/>
    </row>
    <row r="323" spans="4:4" ht="13.2">
      <c r="D323" s="93"/>
    </row>
    <row r="324" spans="4:4" ht="13.2">
      <c r="D324" s="93"/>
    </row>
    <row r="325" spans="4:4" ht="13.2">
      <c r="D325" s="93"/>
    </row>
    <row r="326" spans="4:4" ht="13.2">
      <c r="D326" s="93"/>
    </row>
    <row r="327" spans="4:4" ht="13.2">
      <c r="D327" s="93"/>
    </row>
    <row r="328" spans="4:4" ht="13.2">
      <c r="D328" s="93"/>
    </row>
    <row r="329" spans="4:4" ht="13.2">
      <c r="D329" s="93"/>
    </row>
    <row r="330" spans="4:4" ht="13.2">
      <c r="D330" s="93"/>
    </row>
    <row r="331" spans="4:4" ht="13.2">
      <c r="D331" s="93"/>
    </row>
    <row r="332" spans="4:4" ht="13.2">
      <c r="D332" s="93"/>
    </row>
    <row r="333" spans="4:4" ht="13.2">
      <c r="D333" s="93"/>
    </row>
    <row r="334" spans="4:4" ht="13.2">
      <c r="D334" s="93"/>
    </row>
    <row r="335" spans="4:4" ht="13.2">
      <c r="D335" s="93"/>
    </row>
    <row r="336" spans="4:4" ht="13.2">
      <c r="D336" s="93"/>
    </row>
    <row r="337" spans="4:4" ht="13.2">
      <c r="D337" s="93"/>
    </row>
    <row r="338" spans="4:4" ht="13.2">
      <c r="D338" s="93"/>
    </row>
    <row r="339" spans="4:4" ht="13.2">
      <c r="D339" s="93"/>
    </row>
    <row r="340" spans="4:4" ht="13.2">
      <c r="D340" s="93"/>
    </row>
    <row r="341" spans="4:4" ht="13.2">
      <c r="D341" s="93"/>
    </row>
    <row r="342" spans="4:4" ht="13.2">
      <c r="D342" s="93"/>
    </row>
    <row r="343" spans="4:4" ht="13.2">
      <c r="D343" s="93"/>
    </row>
    <row r="344" spans="4:4" ht="13.2">
      <c r="D344" s="93"/>
    </row>
    <row r="345" spans="4:4" ht="13.2">
      <c r="D345" s="93"/>
    </row>
    <row r="346" spans="4:4" ht="13.2">
      <c r="D346" s="93"/>
    </row>
    <row r="347" spans="4:4" ht="13.2">
      <c r="D347" s="93"/>
    </row>
    <row r="348" spans="4:4" ht="13.2">
      <c r="D348" s="93"/>
    </row>
    <row r="349" spans="4:4" ht="13.2">
      <c r="D349" s="93"/>
    </row>
    <row r="350" spans="4:4" ht="13.2">
      <c r="D350" s="93"/>
    </row>
    <row r="351" spans="4:4" ht="13.2">
      <c r="D351" s="93"/>
    </row>
    <row r="352" spans="4:4" ht="13.2">
      <c r="D352" s="93"/>
    </row>
    <row r="353" spans="4:4" ht="13.2">
      <c r="D353" s="93"/>
    </row>
    <row r="354" spans="4:4" ht="13.2">
      <c r="D354" s="93"/>
    </row>
    <row r="355" spans="4:4" ht="13.2">
      <c r="D355" s="93"/>
    </row>
    <row r="356" spans="4:4" ht="13.2">
      <c r="D356" s="93"/>
    </row>
    <row r="357" spans="4:4" ht="13.2">
      <c r="D357" s="93"/>
    </row>
    <row r="358" spans="4:4" ht="13.2">
      <c r="D358" s="93"/>
    </row>
    <row r="359" spans="4:4" ht="13.2">
      <c r="D359" s="93"/>
    </row>
    <row r="360" spans="4:4" ht="13.2">
      <c r="D360" s="93"/>
    </row>
    <row r="361" spans="4:4" ht="13.2">
      <c r="D361" s="93"/>
    </row>
    <row r="362" spans="4:4" ht="13.2">
      <c r="D362" s="93"/>
    </row>
    <row r="363" spans="4:4" ht="13.2">
      <c r="D363" s="93"/>
    </row>
    <row r="364" spans="4:4" ht="13.2">
      <c r="D364" s="93"/>
    </row>
    <row r="365" spans="4:4" ht="13.2">
      <c r="D365" s="93"/>
    </row>
    <row r="366" spans="4:4" ht="13.2">
      <c r="D366" s="93"/>
    </row>
    <row r="367" spans="4:4" ht="13.2">
      <c r="D367" s="93"/>
    </row>
    <row r="368" spans="4:4" ht="13.2">
      <c r="D368" s="93"/>
    </row>
    <row r="369" spans="4:4" ht="13.2">
      <c r="D369" s="93"/>
    </row>
    <row r="370" spans="4:4" ht="13.2">
      <c r="D370" s="93"/>
    </row>
    <row r="371" spans="4:4" ht="13.2">
      <c r="D371" s="93"/>
    </row>
    <row r="372" spans="4:4" ht="13.2">
      <c r="D372" s="93"/>
    </row>
    <row r="373" spans="4:4" ht="13.2">
      <c r="D373" s="93"/>
    </row>
    <row r="374" spans="4:4" ht="13.2">
      <c r="D374" s="93"/>
    </row>
    <row r="375" spans="4:4" ht="13.2">
      <c r="D375" s="93"/>
    </row>
    <row r="376" spans="4:4" ht="13.2">
      <c r="D376" s="93"/>
    </row>
    <row r="377" spans="4:4" ht="13.2">
      <c r="D377" s="93"/>
    </row>
    <row r="378" spans="4:4" ht="13.2">
      <c r="D378" s="93"/>
    </row>
    <row r="379" spans="4:4" ht="13.2">
      <c r="D379" s="93"/>
    </row>
    <row r="380" spans="4:4" ht="13.2">
      <c r="D380" s="93"/>
    </row>
    <row r="381" spans="4:4" ht="13.2">
      <c r="D381" s="93"/>
    </row>
    <row r="382" spans="4:4" ht="13.2">
      <c r="D382" s="93"/>
    </row>
    <row r="383" spans="4:4" ht="13.2">
      <c r="D383" s="93"/>
    </row>
    <row r="384" spans="4:4" ht="13.2">
      <c r="D384" s="93"/>
    </row>
    <row r="385" spans="4:4" ht="13.2">
      <c r="D385" s="93"/>
    </row>
    <row r="386" spans="4:4" ht="13.2">
      <c r="D386" s="93"/>
    </row>
    <row r="387" spans="4:4" ht="13.2">
      <c r="D387" s="93"/>
    </row>
    <row r="388" spans="4:4" ht="13.2">
      <c r="D388" s="93"/>
    </row>
    <row r="389" spans="4:4" ht="13.2">
      <c r="D389" s="93"/>
    </row>
    <row r="390" spans="4:4" ht="13.2">
      <c r="D390" s="93"/>
    </row>
    <row r="391" spans="4:4" ht="13.2">
      <c r="D391" s="93"/>
    </row>
    <row r="392" spans="4:4" ht="13.2">
      <c r="D392" s="93"/>
    </row>
    <row r="393" spans="4:4" ht="13.2">
      <c r="D393" s="93"/>
    </row>
    <row r="394" spans="4:4" ht="13.2">
      <c r="D394" s="93"/>
    </row>
    <row r="395" spans="4:4" ht="13.2">
      <c r="D395" s="93"/>
    </row>
    <row r="396" spans="4:4" ht="13.2">
      <c r="D396" s="93"/>
    </row>
    <row r="397" spans="4:4" ht="13.2">
      <c r="D397" s="93"/>
    </row>
    <row r="398" spans="4:4" ht="13.2">
      <c r="D398" s="93"/>
    </row>
    <row r="399" spans="4:4" ht="13.2">
      <c r="D399" s="93"/>
    </row>
    <row r="400" spans="4:4" ht="13.2">
      <c r="D400" s="93"/>
    </row>
    <row r="401" spans="4:4" ht="13.2">
      <c r="D401" s="93"/>
    </row>
    <row r="402" spans="4:4" ht="13.2">
      <c r="D402" s="93"/>
    </row>
    <row r="403" spans="4:4" ht="13.2">
      <c r="D403" s="93"/>
    </row>
    <row r="404" spans="4:4" ht="13.2">
      <c r="D404" s="93"/>
    </row>
    <row r="405" spans="4:4" ht="13.2">
      <c r="D405" s="93"/>
    </row>
    <row r="406" spans="4:4" ht="13.2">
      <c r="D406" s="93"/>
    </row>
    <row r="407" spans="4:4" ht="13.2">
      <c r="D407" s="93"/>
    </row>
    <row r="408" spans="4:4" ht="13.2">
      <c r="D408" s="93"/>
    </row>
    <row r="409" spans="4:4" ht="13.2">
      <c r="D409" s="93"/>
    </row>
    <row r="410" spans="4:4" ht="13.2">
      <c r="D410" s="93"/>
    </row>
    <row r="411" spans="4:4" ht="13.2">
      <c r="D411" s="93"/>
    </row>
    <row r="412" spans="4:4" ht="13.2">
      <c r="D412" s="93"/>
    </row>
    <row r="413" spans="4:4" ht="13.2">
      <c r="D413" s="93"/>
    </row>
    <row r="414" spans="4:4" ht="13.2">
      <c r="D414" s="93"/>
    </row>
    <row r="415" spans="4:4" ht="13.2">
      <c r="D415" s="93"/>
    </row>
    <row r="416" spans="4:4" ht="13.2">
      <c r="D416" s="93"/>
    </row>
    <row r="417" spans="4:4" ht="13.2">
      <c r="D417" s="93"/>
    </row>
    <row r="418" spans="4:4" ht="13.2">
      <c r="D418" s="93"/>
    </row>
    <row r="419" spans="4:4" ht="13.2">
      <c r="D419" s="93"/>
    </row>
    <row r="420" spans="4:4" ht="13.2">
      <c r="D420" s="93"/>
    </row>
    <row r="421" spans="4:4" ht="13.2">
      <c r="D421" s="93"/>
    </row>
    <row r="422" spans="4:4" ht="13.2">
      <c r="D422" s="93"/>
    </row>
    <row r="423" spans="4:4" ht="13.2">
      <c r="D423" s="93"/>
    </row>
    <row r="424" spans="4:4" ht="13.2">
      <c r="D424" s="93"/>
    </row>
    <row r="425" spans="4:4" ht="13.2">
      <c r="D425" s="93"/>
    </row>
    <row r="426" spans="4:4" ht="13.2">
      <c r="D426" s="93"/>
    </row>
    <row r="427" spans="4:4" ht="13.2">
      <c r="D427" s="93"/>
    </row>
    <row r="428" spans="4:4" ht="13.2">
      <c r="D428" s="93"/>
    </row>
    <row r="429" spans="4:4" ht="13.2">
      <c r="D429" s="93"/>
    </row>
    <row r="430" spans="4:4" ht="13.2">
      <c r="D430" s="93"/>
    </row>
    <row r="431" spans="4:4" ht="13.2">
      <c r="D431" s="93"/>
    </row>
    <row r="432" spans="4:4" ht="13.2">
      <c r="D432" s="93"/>
    </row>
    <row r="433" spans="4:4" ht="13.2">
      <c r="D433" s="93"/>
    </row>
    <row r="434" spans="4:4" ht="13.2">
      <c r="D434" s="93"/>
    </row>
    <row r="435" spans="4:4" ht="13.2">
      <c r="D435" s="93"/>
    </row>
    <row r="436" spans="4:4" ht="13.2">
      <c r="D436" s="93"/>
    </row>
    <row r="437" spans="4:4" ht="13.2">
      <c r="D437" s="93"/>
    </row>
    <row r="438" spans="4:4" ht="13.2">
      <c r="D438" s="93"/>
    </row>
    <row r="439" spans="4:4" ht="13.2">
      <c r="D439" s="93"/>
    </row>
    <row r="440" spans="4:4" ht="13.2">
      <c r="D440" s="93"/>
    </row>
    <row r="441" spans="4:4" ht="13.2">
      <c r="D441" s="93"/>
    </row>
    <row r="442" spans="4:4" ht="13.2">
      <c r="D442" s="93"/>
    </row>
    <row r="443" spans="4:4" ht="13.2">
      <c r="D443" s="93"/>
    </row>
    <row r="444" spans="4:4" ht="13.2">
      <c r="D444" s="93"/>
    </row>
    <row r="445" spans="4:4" ht="13.2">
      <c r="D445" s="93"/>
    </row>
    <row r="446" spans="4:4" ht="13.2">
      <c r="D446" s="93"/>
    </row>
    <row r="447" spans="4:4" ht="13.2">
      <c r="D447" s="93"/>
    </row>
    <row r="448" spans="4:4" ht="13.2">
      <c r="D448" s="93"/>
    </row>
    <row r="449" spans="4:4" ht="13.2">
      <c r="D449" s="93"/>
    </row>
    <row r="450" spans="4:4" ht="13.2">
      <c r="D450" s="93"/>
    </row>
    <row r="451" spans="4:4" ht="13.2">
      <c r="D451" s="93"/>
    </row>
    <row r="452" spans="4:4" ht="13.2">
      <c r="D452" s="93"/>
    </row>
    <row r="453" spans="4:4" ht="13.2">
      <c r="D453" s="93"/>
    </row>
    <row r="454" spans="4:4" ht="13.2">
      <c r="D454" s="93"/>
    </row>
    <row r="455" spans="4:4" ht="13.2">
      <c r="D455" s="93"/>
    </row>
    <row r="456" spans="4:4" ht="13.2">
      <c r="D456" s="93"/>
    </row>
    <row r="457" spans="4:4" ht="13.2">
      <c r="D457" s="93"/>
    </row>
    <row r="458" spans="4:4" ht="13.2">
      <c r="D458" s="93"/>
    </row>
    <row r="459" spans="4:4" ht="13.2">
      <c r="D459" s="93"/>
    </row>
    <row r="460" spans="4:4" ht="13.2">
      <c r="D460" s="93"/>
    </row>
    <row r="461" spans="4:4" ht="13.2">
      <c r="D461" s="93"/>
    </row>
    <row r="462" spans="4:4" ht="13.2">
      <c r="D462" s="93"/>
    </row>
    <row r="463" spans="4:4" ht="13.2">
      <c r="D463" s="93"/>
    </row>
    <row r="464" spans="4:4" ht="13.2">
      <c r="D464" s="93"/>
    </row>
    <row r="465" spans="4:4" ht="13.2">
      <c r="D465" s="93"/>
    </row>
    <row r="466" spans="4:4" ht="13.2">
      <c r="D466" s="93"/>
    </row>
    <row r="467" spans="4:4" ht="13.2">
      <c r="D467" s="93"/>
    </row>
    <row r="468" spans="4:4" ht="13.2">
      <c r="D468" s="93"/>
    </row>
    <row r="469" spans="4:4" ht="13.2">
      <c r="D469" s="93"/>
    </row>
    <row r="470" spans="4:4" ht="13.2">
      <c r="D470" s="93"/>
    </row>
    <row r="471" spans="4:4" ht="13.2">
      <c r="D471" s="93"/>
    </row>
    <row r="472" spans="4:4" ht="13.2">
      <c r="D472" s="93"/>
    </row>
    <row r="473" spans="4:4" ht="13.2">
      <c r="D473" s="93"/>
    </row>
    <row r="474" spans="4:4" ht="13.2">
      <c r="D474" s="93"/>
    </row>
    <row r="475" spans="4:4" ht="13.2">
      <c r="D475" s="93"/>
    </row>
    <row r="476" spans="4:4" ht="13.2">
      <c r="D476" s="93"/>
    </row>
    <row r="477" spans="4:4" ht="13.2">
      <c r="D477" s="93"/>
    </row>
    <row r="478" spans="4:4" ht="13.2">
      <c r="D478" s="93"/>
    </row>
    <row r="479" spans="4:4" ht="13.2">
      <c r="D479" s="93"/>
    </row>
    <row r="480" spans="4:4" ht="13.2">
      <c r="D480" s="93"/>
    </row>
    <row r="481" spans="4:4" ht="13.2">
      <c r="D481" s="93"/>
    </row>
    <row r="482" spans="4:4" ht="13.2">
      <c r="D482" s="93"/>
    </row>
    <row r="483" spans="4:4" ht="13.2">
      <c r="D483" s="93"/>
    </row>
    <row r="484" spans="4:4" ht="13.2">
      <c r="D484" s="93"/>
    </row>
    <row r="485" spans="4:4" ht="13.2">
      <c r="D485" s="93"/>
    </row>
    <row r="486" spans="4:4" ht="13.2">
      <c r="D486" s="93"/>
    </row>
    <row r="487" spans="4:4" ht="13.2">
      <c r="D487" s="93"/>
    </row>
    <row r="488" spans="4:4" ht="13.2">
      <c r="D488" s="93"/>
    </row>
    <row r="489" spans="4:4" ht="13.2">
      <c r="D489" s="93"/>
    </row>
    <row r="490" spans="4:4" ht="13.2">
      <c r="D490" s="93"/>
    </row>
    <row r="491" spans="4:4" ht="13.2">
      <c r="D491" s="93"/>
    </row>
    <row r="492" spans="4:4" ht="13.2">
      <c r="D492" s="93"/>
    </row>
    <row r="493" spans="4:4" ht="13.2">
      <c r="D493" s="93"/>
    </row>
    <row r="494" spans="4:4" ht="13.2">
      <c r="D494" s="93"/>
    </row>
    <row r="495" spans="4:4" ht="13.2">
      <c r="D495" s="93"/>
    </row>
    <row r="496" spans="4:4" ht="13.2">
      <c r="D496" s="93"/>
    </row>
    <row r="497" spans="4:4" ht="13.2">
      <c r="D497" s="93"/>
    </row>
    <row r="498" spans="4:4" ht="13.2">
      <c r="D498" s="93"/>
    </row>
    <row r="499" spans="4:4" ht="13.2">
      <c r="D499" s="93"/>
    </row>
    <row r="500" spans="4:4" ht="13.2">
      <c r="D500" s="93"/>
    </row>
    <row r="501" spans="4:4" ht="13.2">
      <c r="D501" s="93"/>
    </row>
    <row r="502" spans="4:4" ht="13.2">
      <c r="D502" s="93"/>
    </row>
    <row r="503" spans="4:4" ht="13.2">
      <c r="D503" s="93"/>
    </row>
    <row r="504" spans="4:4" ht="13.2">
      <c r="D504" s="93"/>
    </row>
    <row r="505" spans="4:4" ht="13.2">
      <c r="D505" s="93"/>
    </row>
    <row r="506" spans="4:4" ht="13.2">
      <c r="D506" s="93"/>
    </row>
    <row r="507" spans="4:4" ht="13.2">
      <c r="D507" s="93"/>
    </row>
    <row r="508" spans="4:4" ht="13.2">
      <c r="D508" s="93"/>
    </row>
    <row r="509" spans="4:4" ht="13.2">
      <c r="D509" s="93"/>
    </row>
    <row r="510" spans="4:4" ht="13.2">
      <c r="D510" s="93"/>
    </row>
    <row r="511" spans="4:4" ht="13.2">
      <c r="D511" s="93"/>
    </row>
    <row r="512" spans="4:4" ht="13.2">
      <c r="D512" s="93"/>
    </row>
    <row r="513" spans="4:4" ht="13.2">
      <c r="D513" s="93"/>
    </row>
    <row r="514" spans="4:4" ht="13.2">
      <c r="D514" s="93"/>
    </row>
    <row r="515" spans="4:4" ht="13.2">
      <c r="D515" s="93"/>
    </row>
    <row r="516" spans="4:4" ht="13.2">
      <c r="D516" s="93"/>
    </row>
    <row r="517" spans="4:4" ht="13.2">
      <c r="D517" s="93"/>
    </row>
    <row r="518" spans="4:4" ht="13.2">
      <c r="D518" s="93"/>
    </row>
    <row r="519" spans="4:4" ht="13.2">
      <c r="D519" s="93"/>
    </row>
    <row r="520" spans="4:4" ht="13.2">
      <c r="D520" s="93"/>
    </row>
    <row r="521" spans="4:4" ht="13.2">
      <c r="D521" s="93"/>
    </row>
    <row r="522" spans="4:4" ht="13.2">
      <c r="D522" s="93"/>
    </row>
    <row r="523" spans="4:4" ht="13.2">
      <c r="D523" s="93"/>
    </row>
    <row r="524" spans="4:4" ht="13.2">
      <c r="D524" s="93"/>
    </row>
    <row r="525" spans="4:4" ht="13.2">
      <c r="D525" s="93"/>
    </row>
    <row r="526" spans="4:4" ht="13.2">
      <c r="D526" s="93"/>
    </row>
    <row r="527" spans="4:4" ht="13.2">
      <c r="D527" s="93"/>
    </row>
    <row r="528" spans="4:4" ht="13.2">
      <c r="D528" s="93"/>
    </row>
    <row r="529" spans="4:4" ht="13.2">
      <c r="D529" s="93"/>
    </row>
    <row r="530" spans="4:4" ht="13.2">
      <c r="D530" s="93"/>
    </row>
    <row r="531" spans="4:4" ht="13.2">
      <c r="D531" s="93"/>
    </row>
    <row r="532" spans="4:4" ht="13.2">
      <c r="D532" s="93"/>
    </row>
    <row r="533" spans="4:4" ht="13.2">
      <c r="D533" s="93"/>
    </row>
    <row r="534" spans="4:4" ht="13.2">
      <c r="D534" s="93"/>
    </row>
    <row r="535" spans="4:4" ht="13.2">
      <c r="D535" s="93"/>
    </row>
    <row r="536" spans="4:4" ht="13.2">
      <c r="D536" s="93"/>
    </row>
    <row r="537" spans="4:4" ht="13.2">
      <c r="D537" s="93"/>
    </row>
    <row r="538" spans="4:4" ht="13.2">
      <c r="D538" s="93"/>
    </row>
    <row r="539" spans="4:4" ht="13.2">
      <c r="D539" s="93"/>
    </row>
    <row r="540" spans="4:4" ht="13.2">
      <c r="D540" s="93"/>
    </row>
    <row r="541" spans="4:4" ht="13.2">
      <c r="D541" s="93"/>
    </row>
    <row r="542" spans="4:4" ht="13.2">
      <c r="D542" s="93"/>
    </row>
    <row r="543" spans="4:4" ht="13.2">
      <c r="D543" s="93"/>
    </row>
    <row r="544" spans="4:4" ht="13.2">
      <c r="D544" s="93"/>
    </row>
    <row r="545" spans="4:4" ht="13.2">
      <c r="D545" s="93"/>
    </row>
    <row r="546" spans="4:4" ht="13.2">
      <c r="D546" s="93"/>
    </row>
    <row r="547" spans="4:4" ht="13.2">
      <c r="D547" s="93"/>
    </row>
    <row r="548" spans="4:4" ht="13.2">
      <c r="D548" s="93"/>
    </row>
    <row r="549" spans="4:4" ht="13.2">
      <c r="D549" s="93"/>
    </row>
    <row r="550" spans="4:4" ht="13.2">
      <c r="D550" s="93"/>
    </row>
    <row r="551" spans="4:4" ht="13.2">
      <c r="D551" s="93"/>
    </row>
    <row r="552" spans="4:4" ht="13.2">
      <c r="D552" s="93"/>
    </row>
    <row r="553" spans="4:4" ht="13.2">
      <c r="D553" s="93"/>
    </row>
    <row r="554" spans="4:4" ht="13.2">
      <c r="D554" s="93"/>
    </row>
    <row r="555" spans="4:4" ht="13.2">
      <c r="D555" s="93"/>
    </row>
    <row r="556" spans="4:4" ht="13.2">
      <c r="D556" s="93"/>
    </row>
    <row r="557" spans="4:4" ht="13.2">
      <c r="D557" s="93"/>
    </row>
    <row r="558" spans="4:4" ht="13.2">
      <c r="D558" s="93"/>
    </row>
    <row r="559" spans="4:4" ht="13.2">
      <c r="D559" s="93"/>
    </row>
    <row r="560" spans="4:4" ht="13.2">
      <c r="D560" s="93"/>
    </row>
    <row r="561" spans="4:4" ht="13.2">
      <c r="D561" s="93"/>
    </row>
    <row r="562" spans="4:4" ht="13.2">
      <c r="D562" s="93"/>
    </row>
    <row r="563" spans="4:4" ht="13.2">
      <c r="D563" s="93"/>
    </row>
    <row r="564" spans="4:4" ht="13.2">
      <c r="D564" s="93"/>
    </row>
    <row r="565" spans="4:4" ht="13.2">
      <c r="D565" s="93"/>
    </row>
    <row r="566" spans="4:4" ht="13.2">
      <c r="D566" s="93"/>
    </row>
    <row r="567" spans="4:4" ht="13.2">
      <c r="D567" s="93"/>
    </row>
    <row r="568" spans="4:4" ht="13.2">
      <c r="D568" s="93"/>
    </row>
    <row r="569" spans="4:4" ht="13.2">
      <c r="D569" s="93"/>
    </row>
    <row r="570" spans="4:4" ht="13.2">
      <c r="D570" s="93"/>
    </row>
    <row r="571" spans="4:4" ht="13.2">
      <c r="D571" s="93"/>
    </row>
    <row r="572" spans="4:4" ht="13.2">
      <c r="D572" s="93"/>
    </row>
    <row r="573" spans="4:4" ht="13.2">
      <c r="D573" s="93"/>
    </row>
    <row r="574" spans="4:4" ht="13.2">
      <c r="D574" s="93"/>
    </row>
    <row r="575" spans="4:4" ht="13.2">
      <c r="D575" s="93"/>
    </row>
    <row r="576" spans="4:4" ht="13.2">
      <c r="D576" s="93"/>
    </row>
    <row r="577" spans="4:4" ht="13.2">
      <c r="D577" s="93"/>
    </row>
    <row r="578" spans="4:4" ht="13.2">
      <c r="D578" s="93"/>
    </row>
    <row r="579" spans="4:4" ht="13.2">
      <c r="D579" s="93"/>
    </row>
    <row r="580" spans="4:4" ht="13.2">
      <c r="D580" s="93"/>
    </row>
    <row r="581" spans="4:4" ht="13.2">
      <c r="D581" s="93"/>
    </row>
    <row r="582" spans="4:4" ht="13.2">
      <c r="D582" s="93"/>
    </row>
    <row r="583" spans="4:4" ht="13.2">
      <c r="D583" s="93"/>
    </row>
    <row r="584" spans="4:4" ht="13.2">
      <c r="D584" s="93"/>
    </row>
    <row r="585" spans="4:4" ht="13.2">
      <c r="D585" s="93"/>
    </row>
    <row r="586" spans="4:4" ht="13.2">
      <c r="D586" s="93"/>
    </row>
    <row r="587" spans="4:4" ht="13.2">
      <c r="D587" s="93"/>
    </row>
    <row r="588" spans="4:4" ht="13.2">
      <c r="D588" s="93"/>
    </row>
    <row r="589" spans="4:4" ht="13.2">
      <c r="D589" s="93"/>
    </row>
    <row r="590" spans="4:4" ht="13.2">
      <c r="D590" s="93"/>
    </row>
    <row r="591" spans="4:4" ht="13.2">
      <c r="D591" s="93"/>
    </row>
    <row r="592" spans="4:4" ht="13.2">
      <c r="D592" s="93"/>
    </row>
    <row r="593" spans="4:4" ht="13.2">
      <c r="D593" s="93"/>
    </row>
    <row r="594" spans="4:4" ht="13.2">
      <c r="D594" s="93"/>
    </row>
    <row r="595" spans="4:4" ht="13.2">
      <c r="D595" s="93"/>
    </row>
    <row r="596" spans="4:4" ht="13.2">
      <c r="D596" s="93"/>
    </row>
    <row r="597" spans="4:4" ht="13.2">
      <c r="D597" s="93"/>
    </row>
    <row r="598" spans="4:4" ht="13.2">
      <c r="D598" s="93"/>
    </row>
    <row r="599" spans="4:4" ht="13.2">
      <c r="D599" s="93"/>
    </row>
    <row r="600" spans="4:4" ht="13.2">
      <c r="D600" s="93"/>
    </row>
    <row r="601" spans="4:4" ht="13.2">
      <c r="D601" s="93"/>
    </row>
    <row r="602" spans="4:4" ht="13.2">
      <c r="D602" s="93"/>
    </row>
    <row r="603" spans="4:4" ht="13.2">
      <c r="D603" s="93"/>
    </row>
    <row r="604" spans="4:4" ht="13.2">
      <c r="D604" s="93"/>
    </row>
    <row r="605" spans="4:4" ht="13.2">
      <c r="D605" s="93"/>
    </row>
    <row r="606" spans="4:4" ht="13.2">
      <c r="D606" s="93"/>
    </row>
    <row r="607" spans="4:4" ht="13.2">
      <c r="D607" s="93"/>
    </row>
    <row r="608" spans="4:4" ht="13.2">
      <c r="D608" s="93"/>
    </row>
    <row r="609" spans="4:4" ht="13.2">
      <c r="D609" s="93"/>
    </row>
    <row r="610" spans="4:4" ht="13.2">
      <c r="D610" s="93"/>
    </row>
    <row r="611" spans="4:4" ht="13.2">
      <c r="D611" s="93"/>
    </row>
    <row r="612" spans="4:4" ht="13.2">
      <c r="D612" s="93"/>
    </row>
    <row r="613" spans="4:4" ht="13.2">
      <c r="D613" s="93"/>
    </row>
    <row r="614" spans="4:4" ht="13.2">
      <c r="D614" s="93"/>
    </row>
    <row r="615" spans="4:4" ht="13.2">
      <c r="D615" s="93"/>
    </row>
    <row r="616" spans="4:4" ht="13.2">
      <c r="D616" s="93"/>
    </row>
    <row r="617" spans="4:4" ht="13.2">
      <c r="D617" s="93"/>
    </row>
    <row r="618" spans="4:4" ht="13.2">
      <c r="D618" s="93"/>
    </row>
    <row r="619" spans="4:4" ht="13.2">
      <c r="D619" s="93"/>
    </row>
    <row r="620" spans="4:4" ht="13.2">
      <c r="D620" s="93"/>
    </row>
    <row r="621" spans="4:4" ht="13.2">
      <c r="D621" s="93"/>
    </row>
    <row r="622" spans="4:4" ht="13.2">
      <c r="D622" s="93"/>
    </row>
    <row r="623" spans="4:4" ht="13.2">
      <c r="D623" s="93"/>
    </row>
    <row r="624" spans="4:4" ht="13.2">
      <c r="D624" s="93"/>
    </row>
    <row r="625" spans="4:4" ht="13.2">
      <c r="D625" s="93"/>
    </row>
    <row r="626" spans="4:4" ht="13.2">
      <c r="D626" s="93"/>
    </row>
    <row r="627" spans="4:4" ht="13.2">
      <c r="D627" s="93"/>
    </row>
    <row r="628" spans="4:4" ht="13.2">
      <c r="D628" s="93"/>
    </row>
    <row r="629" spans="4:4" ht="13.2">
      <c r="D629" s="93"/>
    </row>
    <row r="630" spans="4:4" ht="13.2">
      <c r="D630" s="93"/>
    </row>
    <row r="631" spans="4:4" ht="13.2">
      <c r="D631" s="93"/>
    </row>
    <row r="632" spans="4:4" ht="13.2">
      <c r="D632" s="93"/>
    </row>
    <row r="633" spans="4:4" ht="13.2">
      <c r="D633" s="93"/>
    </row>
    <row r="634" spans="4:4" ht="13.2">
      <c r="D634" s="93"/>
    </row>
    <row r="635" spans="4:4" ht="13.2">
      <c r="D635" s="93"/>
    </row>
    <row r="636" spans="4:4" ht="13.2">
      <c r="D636" s="93"/>
    </row>
    <row r="637" spans="4:4" ht="13.2">
      <c r="D637" s="93"/>
    </row>
    <row r="638" spans="4:4" ht="13.2">
      <c r="D638" s="93"/>
    </row>
    <row r="639" spans="4:4" ht="13.2">
      <c r="D639" s="93"/>
    </row>
    <row r="640" spans="4:4" ht="13.2">
      <c r="D640" s="93"/>
    </row>
    <row r="641" spans="4:4" ht="13.2">
      <c r="D641" s="93"/>
    </row>
    <row r="642" spans="4:4" ht="13.2">
      <c r="D642" s="93"/>
    </row>
    <row r="643" spans="4:4" ht="13.2">
      <c r="D643" s="93"/>
    </row>
    <row r="644" spans="4:4" ht="13.2">
      <c r="D644" s="93"/>
    </row>
    <row r="645" spans="4:4" ht="13.2">
      <c r="D645" s="93"/>
    </row>
    <row r="646" spans="4:4" ht="13.2">
      <c r="D646" s="93"/>
    </row>
    <row r="647" spans="4:4" ht="13.2">
      <c r="D647" s="93"/>
    </row>
    <row r="648" spans="4:4" ht="13.2">
      <c r="D648" s="93"/>
    </row>
    <row r="649" spans="4:4" ht="13.2">
      <c r="D649" s="93"/>
    </row>
    <row r="650" spans="4:4" ht="13.2">
      <c r="D650" s="93"/>
    </row>
    <row r="651" spans="4:4" ht="13.2">
      <c r="D651" s="93"/>
    </row>
    <row r="652" spans="4:4" ht="13.2">
      <c r="D652" s="93"/>
    </row>
    <row r="653" spans="4:4" ht="13.2">
      <c r="D653" s="93"/>
    </row>
    <row r="654" spans="4:4" ht="13.2">
      <c r="D654" s="93"/>
    </row>
    <row r="655" spans="4:4" ht="13.2">
      <c r="D655" s="93"/>
    </row>
    <row r="656" spans="4:4" ht="13.2">
      <c r="D656" s="93"/>
    </row>
    <row r="657" spans="4:4" ht="13.2">
      <c r="D657" s="93"/>
    </row>
    <row r="658" spans="4:4" ht="13.2">
      <c r="D658" s="93"/>
    </row>
    <row r="659" spans="4:4" ht="13.2">
      <c r="D659" s="93"/>
    </row>
    <row r="660" spans="4:4" ht="13.2">
      <c r="D660" s="93"/>
    </row>
    <row r="661" spans="4:4" ht="13.2">
      <c r="D661" s="93"/>
    </row>
    <row r="662" spans="4:4" ht="13.2">
      <c r="D662" s="93"/>
    </row>
    <row r="663" spans="4:4" ht="13.2">
      <c r="D663" s="93"/>
    </row>
    <row r="664" spans="4:4" ht="13.2">
      <c r="D664" s="93"/>
    </row>
    <row r="665" spans="4:4" ht="13.2">
      <c r="D665" s="93"/>
    </row>
    <row r="666" spans="4:4" ht="13.2">
      <c r="D666" s="93"/>
    </row>
    <row r="667" spans="4:4" ht="13.2">
      <c r="D667" s="93"/>
    </row>
    <row r="668" spans="4:4" ht="13.2">
      <c r="D668" s="93"/>
    </row>
    <row r="669" spans="4:4" ht="13.2">
      <c r="D669" s="93"/>
    </row>
    <row r="670" spans="4:4" ht="13.2">
      <c r="D670" s="93"/>
    </row>
    <row r="671" spans="4:4" ht="13.2">
      <c r="D671" s="93"/>
    </row>
    <row r="672" spans="4:4" ht="13.2">
      <c r="D672" s="93"/>
    </row>
    <row r="673" spans="4:4" ht="13.2">
      <c r="D673" s="93"/>
    </row>
    <row r="674" spans="4:4" ht="13.2">
      <c r="D674" s="93"/>
    </row>
    <row r="675" spans="4:4" ht="13.2">
      <c r="D675" s="93"/>
    </row>
    <row r="676" spans="4:4" ht="13.2">
      <c r="D676" s="93"/>
    </row>
    <row r="677" spans="4:4" ht="13.2">
      <c r="D677" s="93"/>
    </row>
    <row r="678" spans="4:4" ht="13.2">
      <c r="D678" s="93"/>
    </row>
    <row r="679" spans="4:4" ht="13.2">
      <c r="D679" s="93"/>
    </row>
    <row r="680" spans="4:4" ht="13.2">
      <c r="D680" s="93"/>
    </row>
    <row r="681" spans="4:4" ht="13.2">
      <c r="D681" s="93"/>
    </row>
    <row r="682" spans="4:4" ht="13.2">
      <c r="D682" s="93"/>
    </row>
    <row r="683" spans="4:4" ht="13.2">
      <c r="D683" s="93"/>
    </row>
    <row r="684" spans="4:4" ht="13.2">
      <c r="D684" s="93"/>
    </row>
    <row r="685" spans="4:4" ht="13.2">
      <c r="D685" s="93"/>
    </row>
    <row r="686" spans="4:4" ht="13.2">
      <c r="D686" s="93"/>
    </row>
    <row r="687" spans="4:4" ht="13.2">
      <c r="D687" s="93"/>
    </row>
    <row r="688" spans="4:4" ht="13.2">
      <c r="D688" s="93"/>
    </row>
    <row r="689" spans="4:4" ht="13.2">
      <c r="D689" s="93"/>
    </row>
    <row r="690" spans="4:4" ht="13.2">
      <c r="D690" s="93"/>
    </row>
    <row r="691" spans="4:4" ht="13.2">
      <c r="D691" s="93"/>
    </row>
    <row r="692" spans="4:4" ht="13.2">
      <c r="D692" s="93"/>
    </row>
    <row r="693" spans="4:4" ht="13.2">
      <c r="D693" s="93"/>
    </row>
    <row r="694" spans="4:4" ht="13.2">
      <c r="D694" s="93"/>
    </row>
    <row r="695" spans="4:4" ht="13.2">
      <c r="D695" s="93"/>
    </row>
    <row r="696" spans="4:4" ht="13.2">
      <c r="D696" s="93"/>
    </row>
    <row r="697" spans="4:4" ht="13.2">
      <c r="D697" s="93"/>
    </row>
    <row r="698" spans="4:4" ht="13.2">
      <c r="D698" s="93"/>
    </row>
    <row r="699" spans="4:4" ht="13.2">
      <c r="D699" s="93"/>
    </row>
    <row r="700" spans="4:4" ht="13.2">
      <c r="D700" s="93"/>
    </row>
    <row r="701" spans="4:4" ht="13.2">
      <c r="D701" s="93"/>
    </row>
    <row r="702" spans="4:4" ht="13.2">
      <c r="D702" s="93"/>
    </row>
    <row r="703" spans="4:4" ht="13.2">
      <c r="D703" s="93"/>
    </row>
    <row r="704" spans="4:4" ht="13.2">
      <c r="D704" s="93"/>
    </row>
    <row r="705" spans="4:4" ht="13.2">
      <c r="D705" s="93"/>
    </row>
    <row r="706" spans="4:4" ht="13.2">
      <c r="D706" s="93"/>
    </row>
    <row r="707" spans="4:4" ht="13.2">
      <c r="D707" s="93"/>
    </row>
    <row r="708" spans="4:4" ht="13.2">
      <c r="D708" s="93"/>
    </row>
    <row r="709" spans="4:4" ht="13.2">
      <c r="D709" s="93"/>
    </row>
    <row r="710" spans="4:4" ht="13.2">
      <c r="D710" s="93"/>
    </row>
    <row r="711" spans="4:4" ht="13.2">
      <c r="D711" s="93"/>
    </row>
    <row r="712" spans="4:4" ht="13.2">
      <c r="D712" s="93"/>
    </row>
    <row r="713" spans="4:4" ht="13.2">
      <c r="D713" s="93"/>
    </row>
    <row r="714" spans="4:4" ht="13.2">
      <c r="D714" s="93"/>
    </row>
    <row r="715" spans="4:4" ht="13.2">
      <c r="D715" s="93"/>
    </row>
    <row r="716" spans="4:4" ht="13.2">
      <c r="D716" s="93"/>
    </row>
    <row r="717" spans="4:4" ht="13.2">
      <c r="D717" s="93"/>
    </row>
    <row r="718" spans="4:4" ht="13.2">
      <c r="D718" s="93"/>
    </row>
    <row r="719" spans="4:4" ht="13.2">
      <c r="D719" s="93"/>
    </row>
    <row r="720" spans="4:4" ht="13.2">
      <c r="D720" s="93"/>
    </row>
    <row r="721" spans="4:4" ht="13.2">
      <c r="D721" s="93"/>
    </row>
    <row r="722" spans="4:4" ht="13.2">
      <c r="D722" s="93"/>
    </row>
    <row r="723" spans="4:4" ht="13.2">
      <c r="D723" s="93"/>
    </row>
    <row r="724" spans="4:4" ht="13.2">
      <c r="D724" s="93"/>
    </row>
    <row r="725" spans="4:4" ht="13.2">
      <c r="D725" s="93"/>
    </row>
    <row r="726" spans="4:4" ht="13.2">
      <c r="D726" s="93"/>
    </row>
    <row r="727" spans="4:4" ht="13.2">
      <c r="D727" s="93"/>
    </row>
    <row r="728" spans="4:4" ht="13.2">
      <c r="D728" s="93"/>
    </row>
    <row r="729" spans="4:4" ht="13.2">
      <c r="D729" s="93"/>
    </row>
    <row r="730" spans="4:4" ht="13.2">
      <c r="D730" s="93"/>
    </row>
    <row r="731" spans="4:4" ht="13.2">
      <c r="D731" s="93"/>
    </row>
    <row r="732" spans="4:4" ht="13.2">
      <c r="D732" s="93"/>
    </row>
    <row r="733" spans="4:4" ht="13.2">
      <c r="D733" s="93"/>
    </row>
    <row r="734" spans="4:4" ht="13.2">
      <c r="D734" s="93"/>
    </row>
    <row r="735" spans="4:4" ht="13.2">
      <c r="D735" s="93"/>
    </row>
    <row r="736" spans="4:4" ht="13.2">
      <c r="D736" s="93"/>
    </row>
    <row r="737" spans="4:4" ht="13.2">
      <c r="D737" s="93"/>
    </row>
    <row r="738" spans="4:4" ht="13.2">
      <c r="D738" s="93"/>
    </row>
    <row r="739" spans="4:4" ht="13.2">
      <c r="D739" s="93"/>
    </row>
    <row r="740" spans="4:4" ht="13.2">
      <c r="D740" s="93"/>
    </row>
    <row r="741" spans="4:4" ht="13.2">
      <c r="D741" s="93"/>
    </row>
    <row r="742" spans="4:4" ht="13.2">
      <c r="D742" s="93"/>
    </row>
    <row r="743" spans="4:4" ht="13.2">
      <c r="D743" s="93"/>
    </row>
    <row r="744" spans="4:4" ht="13.2">
      <c r="D744" s="93"/>
    </row>
    <row r="745" spans="4:4" ht="13.2">
      <c r="D745" s="93"/>
    </row>
    <row r="746" spans="4:4" ht="13.2">
      <c r="D746" s="93"/>
    </row>
    <row r="747" spans="4:4" ht="13.2">
      <c r="D747" s="93"/>
    </row>
    <row r="748" spans="4:4" ht="13.2">
      <c r="D748" s="93"/>
    </row>
    <row r="749" spans="4:4" ht="13.2">
      <c r="D749" s="93"/>
    </row>
    <row r="750" spans="4:4" ht="13.2">
      <c r="D750" s="93"/>
    </row>
    <row r="751" spans="4:4" ht="13.2">
      <c r="D751" s="93"/>
    </row>
    <row r="752" spans="4:4" ht="13.2">
      <c r="D752" s="93"/>
    </row>
    <row r="753" spans="4:4" ht="13.2">
      <c r="D753" s="93"/>
    </row>
    <row r="754" spans="4:4" ht="13.2">
      <c r="D754" s="93"/>
    </row>
    <row r="755" spans="4:4" ht="13.2">
      <c r="D755" s="93"/>
    </row>
    <row r="756" spans="4:4" ht="13.2">
      <c r="D756" s="93"/>
    </row>
    <row r="757" spans="4:4" ht="13.2">
      <c r="D757" s="93"/>
    </row>
    <row r="758" spans="4:4" ht="13.2">
      <c r="D758" s="93"/>
    </row>
    <row r="759" spans="4:4" ht="13.2">
      <c r="D759" s="93"/>
    </row>
    <row r="760" spans="4:4" ht="13.2">
      <c r="D760" s="93"/>
    </row>
    <row r="761" spans="4:4" ht="13.2">
      <c r="D761" s="93"/>
    </row>
    <row r="762" spans="4:4" ht="13.2">
      <c r="D762" s="93"/>
    </row>
    <row r="763" spans="4:4" ht="13.2">
      <c r="D763" s="93"/>
    </row>
    <row r="764" spans="4:4" ht="13.2">
      <c r="D764" s="93"/>
    </row>
    <row r="765" spans="4:4" ht="13.2">
      <c r="D765" s="93"/>
    </row>
    <row r="766" spans="4:4" ht="13.2">
      <c r="D766" s="93"/>
    </row>
    <row r="767" spans="4:4" ht="13.2">
      <c r="D767" s="93"/>
    </row>
    <row r="768" spans="4:4" ht="13.2">
      <c r="D768" s="93"/>
    </row>
    <row r="769" spans="4:4" ht="13.2">
      <c r="D769" s="93"/>
    </row>
    <row r="770" spans="4:4" ht="13.2">
      <c r="D770" s="93"/>
    </row>
    <row r="771" spans="4:4" ht="13.2">
      <c r="D771" s="93"/>
    </row>
    <row r="772" spans="4:4" ht="13.2">
      <c r="D772" s="93"/>
    </row>
    <row r="773" spans="4:4" ht="13.2">
      <c r="D773" s="93"/>
    </row>
    <row r="774" spans="4:4" ht="13.2">
      <c r="D774" s="93"/>
    </row>
    <row r="775" spans="4:4" ht="13.2">
      <c r="D775" s="93"/>
    </row>
    <row r="776" spans="4:4" ht="13.2">
      <c r="D776" s="93"/>
    </row>
    <row r="777" spans="4:4" ht="13.2">
      <c r="D777" s="93"/>
    </row>
    <row r="778" spans="4:4" ht="13.2">
      <c r="D778" s="93"/>
    </row>
    <row r="779" spans="4:4" ht="13.2">
      <c r="D779" s="93"/>
    </row>
    <row r="780" spans="4:4" ht="13.2">
      <c r="D780" s="93"/>
    </row>
    <row r="781" spans="4:4" ht="13.2">
      <c r="D781" s="93"/>
    </row>
    <row r="782" spans="4:4" ht="13.2">
      <c r="D782" s="93"/>
    </row>
    <row r="783" spans="4:4" ht="13.2">
      <c r="D783" s="93"/>
    </row>
    <row r="784" spans="4:4" ht="13.2">
      <c r="D784" s="93"/>
    </row>
    <row r="785" spans="4:4" ht="13.2">
      <c r="D785" s="93"/>
    </row>
    <row r="786" spans="4:4" ht="13.2">
      <c r="D786" s="93"/>
    </row>
    <row r="787" spans="4:4" ht="13.2">
      <c r="D787" s="93"/>
    </row>
    <row r="788" spans="4:4" ht="13.2">
      <c r="D788" s="93"/>
    </row>
    <row r="789" spans="4:4" ht="13.2">
      <c r="D789" s="93"/>
    </row>
    <row r="790" spans="4:4" ht="13.2">
      <c r="D790" s="93"/>
    </row>
    <row r="791" spans="4:4" ht="13.2">
      <c r="D791" s="93"/>
    </row>
    <row r="792" spans="4:4" ht="13.2">
      <c r="D792" s="93"/>
    </row>
    <row r="793" spans="4:4" ht="13.2">
      <c r="D793" s="93"/>
    </row>
    <row r="794" spans="4:4" ht="13.2">
      <c r="D794" s="93"/>
    </row>
    <row r="795" spans="4:4" ht="13.2">
      <c r="D795" s="93"/>
    </row>
    <row r="796" spans="4:4" ht="13.2">
      <c r="D796" s="93"/>
    </row>
    <row r="797" spans="4:4" ht="13.2">
      <c r="D797" s="93"/>
    </row>
    <row r="798" spans="4:4" ht="13.2">
      <c r="D798" s="93"/>
    </row>
    <row r="799" spans="4:4" ht="13.2">
      <c r="D799" s="93"/>
    </row>
    <row r="800" spans="4:4" ht="13.2">
      <c r="D800" s="93"/>
    </row>
    <row r="801" spans="4:4" ht="13.2">
      <c r="D801" s="93"/>
    </row>
    <row r="802" spans="4:4" ht="13.2">
      <c r="D802" s="93"/>
    </row>
    <row r="803" spans="4:4" ht="13.2">
      <c r="D803" s="93"/>
    </row>
    <row r="804" spans="4:4" ht="13.2">
      <c r="D804" s="93"/>
    </row>
    <row r="805" spans="4:4" ht="13.2">
      <c r="D805" s="93"/>
    </row>
    <row r="806" spans="4:4" ht="13.2">
      <c r="D806" s="93"/>
    </row>
    <row r="807" spans="4:4" ht="13.2">
      <c r="D807" s="93"/>
    </row>
    <row r="808" spans="4:4" ht="13.2">
      <c r="D808" s="93"/>
    </row>
    <row r="809" spans="4:4" ht="13.2">
      <c r="D809" s="93"/>
    </row>
    <row r="810" spans="4:4" ht="13.2">
      <c r="D810" s="93"/>
    </row>
    <row r="811" spans="4:4" ht="13.2">
      <c r="D811" s="93"/>
    </row>
    <row r="812" spans="4:4" ht="13.2">
      <c r="D812" s="93"/>
    </row>
    <row r="813" spans="4:4" ht="13.2">
      <c r="D813" s="93"/>
    </row>
    <row r="814" spans="4:4" ht="13.2">
      <c r="D814" s="93"/>
    </row>
    <row r="815" spans="4:4" ht="13.2">
      <c r="D815" s="93"/>
    </row>
    <row r="816" spans="4:4" ht="13.2">
      <c r="D816" s="93"/>
    </row>
    <row r="817" spans="4:4" ht="13.2">
      <c r="D817" s="93"/>
    </row>
    <row r="818" spans="4:4" ht="13.2">
      <c r="D818" s="93"/>
    </row>
    <row r="819" spans="4:4" ht="13.2">
      <c r="D819" s="93"/>
    </row>
    <row r="820" spans="4:4" ht="13.2">
      <c r="D820" s="93"/>
    </row>
    <row r="821" spans="4:4" ht="13.2">
      <c r="D821" s="93"/>
    </row>
    <row r="822" spans="4:4" ht="13.2">
      <c r="D822" s="93"/>
    </row>
    <row r="823" spans="4:4" ht="13.2">
      <c r="D823" s="93"/>
    </row>
    <row r="824" spans="4:4" ht="13.2">
      <c r="D824" s="93"/>
    </row>
    <row r="825" spans="4:4" ht="13.2">
      <c r="D825" s="93"/>
    </row>
    <row r="826" spans="4:4" ht="13.2">
      <c r="D826" s="93"/>
    </row>
    <row r="827" spans="4:4" ht="13.2">
      <c r="D827" s="93"/>
    </row>
    <row r="828" spans="4:4" ht="13.2">
      <c r="D828" s="93"/>
    </row>
    <row r="829" spans="4:4" ht="13.2">
      <c r="D829" s="93"/>
    </row>
    <row r="830" spans="4:4" ht="13.2">
      <c r="D830" s="93"/>
    </row>
    <row r="831" spans="4:4" ht="13.2">
      <c r="D831" s="93"/>
    </row>
    <row r="832" spans="4:4" ht="13.2">
      <c r="D832" s="93"/>
    </row>
    <row r="833" spans="4:4" ht="13.2">
      <c r="D833" s="93"/>
    </row>
    <row r="834" spans="4:4" ht="13.2">
      <c r="D834" s="93"/>
    </row>
    <row r="835" spans="4:4" ht="13.2">
      <c r="D835" s="93"/>
    </row>
    <row r="836" spans="4:4" ht="13.2">
      <c r="D836" s="93"/>
    </row>
    <row r="837" spans="4:4" ht="13.2">
      <c r="D837" s="93"/>
    </row>
    <row r="838" spans="4:4" ht="13.2">
      <c r="D838" s="93"/>
    </row>
    <row r="839" spans="4:4" ht="13.2">
      <c r="D839" s="93"/>
    </row>
    <row r="840" spans="4:4" ht="13.2">
      <c r="D840" s="93"/>
    </row>
    <row r="841" spans="4:4" ht="13.2">
      <c r="D841" s="93"/>
    </row>
    <row r="842" spans="4:4" ht="13.2">
      <c r="D842" s="93"/>
    </row>
    <row r="843" spans="4:4" ht="13.2">
      <c r="D843" s="93"/>
    </row>
    <row r="844" spans="4:4" ht="13.2">
      <c r="D844" s="93"/>
    </row>
    <row r="845" spans="4:4" ht="13.2">
      <c r="D845" s="93"/>
    </row>
    <row r="846" spans="4:4" ht="13.2">
      <c r="D846" s="93"/>
    </row>
    <row r="847" spans="4:4" ht="13.2">
      <c r="D847" s="93"/>
    </row>
    <row r="848" spans="4:4" ht="13.2">
      <c r="D848" s="93"/>
    </row>
    <row r="849" spans="4:4" ht="13.2">
      <c r="D849" s="93"/>
    </row>
    <row r="850" spans="4:4" ht="13.2">
      <c r="D850" s="93"/>
    </row>
    <row r="851" spans="4:4" ht="13.2">
      <c r="D851" s="93"/>
    </row>
    <row r="852" spans="4:4" ht="13.2">
      <c r="D852" s="93"/>
    </row>
    <row r="853" spans="4:4" ht="13.2">
      <c r="D853" s="93"/>
    </row>
    <row r="854" spans="4:4" ht="13.2">
      <c r="D854" s="93"/>
    </row>
    <row r="855" spans="4:4" ht="13.2">
      <c r="D855" s="93"/>
    </row>
    <row r="856" spans="4:4" ht="13.2">
      <c r="D856" s="93"/>
    </row>
    <row r="857" spans="4:4" ht="13.2">
      <c r="D857" s="93"/>
    </row>
    <row r="858" spans="4:4" ht="13.2">
      <c r="D858" s="93"/>
    </row>
    <row r="859" spans="4:4" ht="13.2">
      <c r="D859" s="93"/>
    </row>
    <row r="860" spans="4:4" ht="13.2">
      <c r="D860" s="93"/>
    </row>
    <row r="861" spans="4:4" ht="13.2">
      <c r="D861" s="93"/>
    </row>
    <row r="862" spans="4:4" ht="13.2">
      <c r="D862" s="93"/>
    </row>
    <row r="863" spans="4:4" ht="13.2">
      <c r="D863" s="93"/>
    </row>
    <row r="864" spans="4:4" ht="13.2">
      <c r="D864" s="93"/>
    </row>
    <row r="865" spans="4:4" ht="13.2">
      <c r="D865" s="93"/>
    </row>
    <row r="866" spans="4:4" ht="13.2">
      <c r="D866" s="93"/>
    </row>
    <row r="867" spans="4:4" ht="13.2">
      <c r="D867" s="93"/>
    </row>
    <row r="868" spans="4:4" ht="13.2">
      <c r="D868" s="93"/>
    </row>
    <row r="869" spans="4:4" ht="13.2">
      <c r="D869" s="93"/>
    </row>
    <row r="870" spans="4:4" ht="13.2">
      <c r="D870" s="93"/>
    </row>
    <row r="871" spans="4:4" ht="13.2">
      <c r="D871" s="93"/>
    </row>
    <row r="872" spans="4:4" ht="13.2">
      <c r="D872" s="93"/>
    </row>
    <row r="873" spans="4:4" ht="13.2">
      <c r="D873" s="93"/>
    </row>
    <row r="874" spans="4:4" ht="13.2">
      <c r="D874" s="93"/>
    </row>
    <row r="875" spans="4:4" ht="13.2">
      <c r="D875" s="93"/>
    </row>
    <row r="876" spans="4:4" ht="13.2">
      <c r="D876" s="93"/>
    </row>
    <row r="877" spans="4:4" ht="13.2">
      <c r="D877" s="93"/>
    </row>
    <row r="878" spans="4:4" ht="13.2">
      <c r="D878" s="93"/>
    </row>
    <row r="879" spans="4:4" ht="13.2">
      <c r="D879" s="93"/>
    </row>
    <row r="880" spans="4:4" ht="13.2">
      <c r="D880" s="93"/>
    </row>
    <row r="881" spans="4:4" ht="13.2">
      <c r="D881" s="93"/>
    </row>
    <row r="882" spans="4:4" ht="13.2">
      <c r="D882" s="93"/>
    </row>
    <row r="883" spans="4:4" ht="13.2">
      <c r="D883" s="93"/>
    </row>
    <row r="884" spans="4:4" ht="13.2">
      <c r="D884" s="93"/>
    </row>
    <row r="885" spans="4:4" ht="13.2">
      <c r="D885" s="93"/>
    </row>
    <row r="886" spans="4:4" ht="13.2">
      <c r="D886" s="93"/>
    </row>
    <row r="887" spans="4:4" ht="13.2">
      <c r="D887" s="93"/>
    </row>
    <row r="888" spans="4:4" ht="13.2">
      <c r="D888" s="93"/>
    </row>
    <row r="889" spans="4:4" ht="13.2">
      <c r="D889" s="93"/>
    </row>
    <row r="890" spans="4:4" ht="13.2">
      <c r="D890" s="93"/>
    </row>
    <row r="891" spans="4:4" ht="13.2">
      <c r="D891" s="93"/>
    </row>
    <row r="892" spans="4:4" ht="13.2">
      <c r="D892" s="93"/>
    </row>
    <row r="893" spans="4:4" ht="13.2">
      <c r="D893" s="93"/>
    </row>
    <row r="894" spans="4:4" ht="13.2">
      <c r="D894" s="93"/>
    </row>
    <row r="895" spans="4:4" ht="13.2">
      <c r="D895" s="93"/>
    </row>
    <row r="896" spans="4:4" ht="13.2">
      <c r="D896" s="93"/>
    </row>
    <row r="897" spans="4:4" ht="13.2">
      <c r="D897" s="93"/>
    </row>
    <row r="898" spans="4:4" ht="13.2">
      <c r="D898" s="93"/>
    </row>
    <row r="899" spans="4:4" ht="13.2">
      <c r="D899" s="93"/>
    </row>
    <row r="900" spans="4:4" ht="13.2">
      <c r="D900" s="93"/>
    </row>
    <row r="901" spans="4:4" ht="13.2">
      <c r="D901" s="93"/>
    </row>
    <row r="902" spans="4:4" ht="13.2">
      <c r="D902" s="93"/>
    </row>
    <row r="903" spans="4:4" ht="13.2">
      <c r="D903" s="93"/>
    </row>
    <row r="904" spans="4:4" ht="13.2">
      <c r="D904" s="93"/>
    </row>
    <row r="905" spans="4:4" ht="13.2">
      <c r="D905" s="93"/>
    </row>
    <row r="906" spans="4:4" ht="13.2">
      <c r="D906" s="93"/>
    </row>
    <row r="907" spans="4:4" ht="13.2">
      <c r="D907" s="93"/>
    </row>
    <row r="908" spans="4:4" ht="13.2">
      <c r="D908" s="93"/>
    </row>
    <row r="909" spans="4:4" ht="13.2">
      <c r="D909" s="93"/>
    </row>
    <row r="910" spans="4:4" ht="13.2">
      <c r="D910" s="93"/>
    </row>
    <row r="911" spans="4:4" ht="13.2">
      <c r="D911" s="93"/>
    </row>
    <row r="912" spans="4:4" ht="13.2">
      <c r="D912" s="93"/>
    </row>
    <row r="913" spans="4:4" ht="13.2">
      <c r="D913" s="93"/>
    </row>
    <row r="914" spans="4:4" ht="13.2">
      <c r="D914" s="93"/>
    </row>
    <row r="915" spans="4:4" ht="13.2">
      <c r="D915" s="93"/>
    </row>
    <row r="916" spans="4:4" ht="13.2">
      <c r="D916" s="93"/>
    </row>
    <row r="917" spans="4:4" ht="13.2">
      <c r="D917" s="93"/>
    </row>
    <row r="918" spans="4:4" ht="13.2">
      <c r="D918" s="93"/>
    </row>
    <row r="919" spans="4:4" ht="13.2">
      <c r="D919" s="93"/>
    </row>
    <row r="920" spans="4:4" ht="13.2">
      <c r="D920" s="93"/>
    </row>
    <row r="921" spans="4:4" ht="13.2">
      <c r="D921" s="93"/>
    </row>
    <row r="922" spans="4:4" ht="13.2">
      <c r="D922" s="93"/>
    </row>
    <row r="923" spans="4:4" ht="13.2">
      <c r="D923" s="93"/>
    </row>
    <row r="924" spans="4:4" ht="13.2">
      <c r="D924" s="93"/>
    </row>
    <row r="925" spans="4:4" ht="13.2">
      <c r="D925" s="93"/>
    </row>
    <row r="926" spans="4:4" ht="13.2">
      <c r="D926" s="93"/>
    </row>
    <row r="927" spans="4:4" ht="13.2">
      <c r="D927" s="93"/>
    </row>
    <row r="928" spans="4:4" ht="13.2">
      <c r="D928" s="93"/>
    </row>
    <row r="929" spans="4:4" ht="13.2">
      <c r="D929" s="93"/>
    </row>
    <row r="930" spans="4:4" ht="13.2">
      <c r="D930" s="93"/>
    </row>
    <row r="931" spans="4:4" ht="13.2">
      <c r="D931" s="93"/>
    </row>
    <row r="932" spans="4:4" ht="13.2">
      <c r="D932" s="93"/>
    </row>
    <row r="933" spans="4:4" ht="13.2">
      <c r="D933" s="93"/>
    </row>
    <row r="934" spans="4:4" ht="13.2">
      <c r="D934" s="93"/>
    </row>
    <row r="935" spans="4:4" ht="13.2">
      <c r="D935" s="93"/>
    </row>
    <row r="936" spans="4:4" ht="13.2">
      <c r="D936" s="93"/>
    </row>
    <row r="937" spans="4:4" ht="13.2">
      <c r="D937" s="93"/>
    </row>
    <row r="938" spans="4:4" ht="13.2">
      <c r="D938" s="93"/>
    </row>
    <row r="939" spans="4:4" ht="13.2">
      <c r="D939" s="93"/>
    </row>
    <row r="940" spans="4:4" ht="13.2">
      <c r="D940" s="93"/>
    </row>
    <row r="941" spans="4:4" ht="13.2">
      <c r="D941" s="93"/>
    </row>
    <row r="942" spans="4:4" ht="13.2">
      <c r="D942" s="93"/>
    </row>
    <row r="943" spans="4:4" ht="13.2">
      <c r="D943" s="93"/>
    </row>
    <row r="944" spans="4:4" ht="13.2">
      <c r="D944" s="93"/>
    </row>
    <row r="945" spans="4:4" ht="13.2">
      <c r="D945" s="93"/>
    </row>
    <row r="946" spans="4:4" ht="13.2">
      <c r="D946" s="93"/>
    </row>
    <row r="947" spans="4:4" ht="13.2">
      <c r="D947" s="93"/>
    </row>
    <row r="948" spans="4:4" ht="13.2">
      <c r="D948" s="93"/>
    </row>
    <row r="949" spans="4:4" ht="13.2">
      <c r="D949" s="93"/>
    </row>
    <row r="950" spans="4:4" ht="13.2">
      <c r="D950" s="93"/>
    </row>
    <row r="951" spans="4:4" ht="13.2">
      <c r="D951" s="93"/>
    </row>
    <row r="952" spans="4:4" ht="13.2">
      <c r="D952" s="93"/>
    </row>
    <row r="953" spans="4:4" ht="13.2">
      <c r="D953" s="93"/>
    </row>
    <row r="954" spans="4:4" ht="13.2">
      <c r="D954" s="93"/>
    </row>
    <row r="955" spans="4:4" ht="13.2">
      <c r="D955" s="93"/>
    </row>
    <row r="956" spans="4:4" ht="13.2">
      <c r="D956" s="93"/>
    </row>
    <row r="957" spans="4:4" ht="13.2">
      <c r="D957" s="93"/>
    </row>
    <row r="958" spans="4:4" ht="13.2">
      <c r="D958" s="93"/>
    </row>
    <row r="959" spans="4:4" ht="13.2">
      <c r="D959" s="93"/>
    </row>
    <row r="960" spans="4:4" ht="13.2">
      <c r="D960" s="93"/>
    </row>
    <row r="961" spans="4:4" ht="13.2">
      <c r="D961" s="93"/>
    </row>
    <row r="962" spans="4:4" ht="13.2">
      <c r="D962" s="93"/>
    </row>
    <row r="963" spans="4:4" ht="13.2">
      <c r="D963" s="93"/>
    </row>
    <row r="964" spans="4:4" ht="13.2">
      <c r="D964" s="93"/>
    </row>
    <row r="965" spans="4:4" ht="13.2">
      <c r="D965" s="93"/>
    </row>
    <row r="966" spans="4:4" ht="13.2">
      <c r="D966" s="93"/>
    </row>
    <row r="967" spans="4:4" ht="13.2">
      <c r="D967" s="93"/>
    </row>
    <row r="968" spans="4:4" ht="13.2">
      <c r="D968" s="93"/>
    </row>
    <row r="969" spans="4:4" ht="13.2">
      <c r="D969" s="93"/>
    </row>
    <row r="970" spans="4:4" ht="13.2">
      <c r="D970" s="93"/>
    </row>
    <row r="971" spans="4:4" ht="13.2">
      <c r="D971" s="93"/>
    </row>
    <row r="972" spans="4:4" ht="13.2">
      <c r="D972" s="93"/>
    </row>
    <row r="973" spans="4:4" ht="13.2">
      <c r="D973" s="93"/>
    </row>
    <row r="974" spans="4:4" ht="13.2">
      <c r="D974" s="93"/>
    </row>
    <row r="975" spans="4:4" ht="13.2">
      <c r="D975" s="93"/>
    </row>
    <row r="976" spans="4:4" ht="13.2">
      <c r="D976" s="93"/>
    </row>
    <row r="977" spans="4:4" ht="13.2">
      <c r="D977" s="93"/>
    </row>
    <row r="978" spans="4:4" ht="13.2">
      <c r="D978" s="93"/>
    </row>
    <row r="979" spans="4:4" ht="13.2">
      <c r="D979" s="93"/>
    </row>
    <row r="980" spans="4:4" ht="13.2">
      <c r="D980" s="93"/>
    </row>
    <row r="981" spans="4:4" ht="13.2">
      <c r="D981" s="93"/>
    </row>
    <row r="982" spans="4:4" ht="13.2">
      <c r="D982" s="93"/>
    </row>
    <row r="983" spans="4:4" ht="13.2">
      <c r="D983" s="93"/>
    </row>
    <row r="984" spans="4:4" ht="13.2">
      <c r="D984" s="93"/>
    </row>
    <row r="985" spans="4:4" ht="13.2">
      <c r="D985" s="93"/>
    </row>
    <row r="986" spans="4:4" ht="13.2">
      <c r="D986" s="93"/>
    </row>
    <row r="987" spans="4:4" ht="13.2">
      <c r="D987" s="93"/>
    </row>
    <row r="988" spans="4:4" ht="13.2">
      <c r="D988" s="93"/>
    </row>
    <row r="989" spans="4:4" ht="13.2">
      <c r="D989" s="93"/>
    </row>
    <row r="990" spans="4:4" ht="13.2">
      <c r="D990" s="93"/>
    </row>
    <row r="991" spans="4:4" ht="13.2">
      <c r="D991" s="93"/>
    </row>
    <row r="992" spans="4:4" ht="13.2">
      <c r="D992" s="93"/>
    </row>
    <row r="993" spans="4:4" ht="13.2">
      <c r="D993" s="93"/>
    </row>
    <row r="994" spans="4:4" ht="13.2">
      <c r="D994" s="93"/>
    </row>
    <row r="995" spans="4:4" ht="13.2">
      <c r="D995" s="93"/>
    </row>
    <row r="996" spans="4:4" ht="13.2">
      <c r="D996" s="93"/>
    </row>
    <row r="997" spans="4:4" ht="13.2">
      <c r="D997" s="93"/>
    </row>
    <row r="998" spans="4:4" ht="13.2">
      <c r="D998" s="93"/>
    </row>
  </sheetData>
  <autoFilter ref="A2:Z243" xr:uid="{00000000-0009-0000-0000-000006000000}"/>
  <mergeCells count="1">
    <mergeCell ref="A1:E1"/>
  </mergeCells>
  <conditionalFormatting sqref="D240">
    <cfRule type="notContainsBlanks" dxfId="0" priority="1">
      <formula>LEN(TRIM(D240))&gt;0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212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/>
  <cols>
    <col min="1" max="1" width="11.21875" customWidth="1"/>
    <col min="2" max="2" width="14.33203125" customWidth="1"/>
    <col min="3" max="3" width="41.44140625" customWidth="1"/>
    <col min="6" max="6" width="22.21875" customWidth="1"/>
  </cols>
  <sheetData>
    <row r="1" spans="1:26" ht="15.75" customHeight="1">
      <c r="A1" s="2" t="s">
        <v>0</v>
      </c>
      <c r="B1" s="2"/>
      <c r="C1" s="2"/>
      <c r="D1" s="2"/>
      <c r="E1" s="2"/>
      <c r="F1" s="11"/>
      <c r="G1" s="11"/>
      <c r="H1" s="11"/>
      <c r="I1" s="11"/>
      <c r="J1" s="11"/>
      <c r="K1" s="11"/>
      <c r="L1" s="11"/>
      <c r="M1" s="11"/>
      <c r="N1" s="11"/>
    </row>
    <row r="2" spans="1:26" ht="15.75" customHeight="1">
      <c r="A2" s="8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8</v>
      </c>
      <c r="G2" s="8" t="s">
        <v>24</v>
      </c>
      <c r="H2" s="8" t="s">
        <v>10</v>
      </c>
      <c r="I2" s="8" t="s">
        <v>11</v>
      </c>
      <c r="J2" s="8" t="s">
        <v>12</v>
      </c>
      <c r="K2" s="8" t="s">
        <v>14</v>
      </c>
      <c r="L2" s="8" t="s">
        <v>15</v>
      </c>
      <c r="M2" s="8" t="s">
        <v>2947</v>
      </c>
      <c r="N2" s="8" t="s">
        <v>17</v>
      </c>
    </row>
    <row r="3" spans="1:26" ht="15.75" customHeight="1">
      <c r="A3" s="28" t="s">
        <v>4393</v>
      </c>
      <c r="B3" s="28" t="s">
        <v>4394</v>
      </c>
      <c r="C3" s="28" t="s">
        <v>51</v>
      </c>
      <c r="D3" s="29" t="s">
        <v>52</v>
      </c>
      <c r="E3" s="29" t="s">
        <v>54</v>
      </c>
      <c r="F3" s="28" t="s">
        <v>4395</v>
      </c>
      <c r="G3" s="28" t="s">
        <v>4396</v>
      </c>
      <c r="H3" s="28" t="s">
        <v>4397</v>
      </c>
      <c r="I3" s="28" t="s">
        <v>4398</v>
      </c>
      <c r="J3" s="28" t="s">
        <v>4399</v>
      </c>
      <c r="K3" s="28" t="s">
        <v>4397</v>
      </c>
      <c r="L3" s="28" t="s">
        <v>2149</v>
      </c>
      <c r="M3" s="143" t="s">
        <v>41</v>
      </c>
      <c r="N3" s="28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spans="1:26" ht="15.75" customHeight="1">
      <c r="A4" s="28" t="s">
        <v>4393</v>
      </c>
      <c r="B4" s="28" t="s">
        <v>4400</v>
      </c>
      <c r="C4" s="28" t="s">
        <v>51</v>
      </c>
      <c r="D4" s="29" t="s">
        <v>52</v>
      </c>
      <c r="E4" s="29" t="s">
        <v>2969</v>
      </c>
      <c r="F4" s="28" t="s">
        <v>4401</v>
      </c>
      <c r="G4" s="28" t="s">
        <v>4402</v>
      </c>
      <c r="H4" s="28" t="s">
        <v>4403</v>
      </c>
      <c r="I4" s="28" t="s">
        <v>4404</v>
      </c>
      <c r="J4" s="28" t="s">
        <v>4405</v>
      </c>
      <c r="K4" s="28" t="s">
        <v>4403</v>
      </c>
      <c r="L4" s="28" t="s">
        <v>4406</v>
      </c>
      <c r="M4" s="143" t="s">
        <v>41</v>
      </c>
      <c r="N4" s="28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spans="1:26" ht="15.75" customHeight="1">
      <c r="A5" s="28" t="s">
        <v>4393</v>
      </c>
      <c r="B5" s="28" t="s">
        <v>4407</v>
      </c>
      <c r="C5" s="28" t="s">
        <v>51</v>
      </c>
      <c r="D5" s="29" t="s">
        <v>52</v>
      </c>
      <c r="E5" s="29" t="s">
        <v>2969</v>
      </c>
      <c r="F5" s="28" t="s">
        <v>4408</v>
      </c>
      <c r="G5" s="28" t="s">
        <v>4409</v>
      </c>
      <c r="H5" s="28" t="s">
        <v>4410</v>
      </c>
      <c r="I5" s="28" t="s">
        <v>4411</v>
      </c>
      <c r="J5" s="28" t="s">
        <v>2881</v>
      </c>
      <c r="K5" s="28" t="s">
        <v>4410</v>
      </c>
      <c r="L5" s="28" t="s">
        <v>2149</v>
      </c>
      <c r="M5" s="143" t="s">
        <v>41</v>
      </c>
      <c r="N5" s="28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spans="1:26" ht="15.75" customHeight="1">
      <c r="A6" s="28" t="s">
        <v>4393</v>
      </c>
      <c r="B6" s="28" t="s">
        <v>4412</v>
      </c>
      <c r="C6" s="28" t="s">
        <v>51</v>
      </c>
      <c r="D6" s="29" t="s">
        <v>52</v>
      </c>
      <c r="E6" s="29" t="s">
        <v>2969</v>
      </c>
      <c r="F6" s="28" t="s">
        <v>4413</v>
      </c>
      <c r="G6" s="28" t="s">
        <v>4414</v>
      </c>
      <c r="H6" s="28" t="s">
        <v>4415</v>
      </c>
      <c r="I6" s="28" t="s">
        <v>4416</v>
      </c>
      <c r="J6" s="28" t="s">
        <v>4417</v>
      </c>
      <c r="K6" s="28" t="s">
        <v>4415</v>
      </c>
      <c r="L6" s="28" t="s">
        <v>4418</v>
      </c>
      <c r="M6" s="143" t="s">
        <v>41</v>
      </c>
      <c r="N6" s="28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 ht="15.75" customHeight="1">
      <c r="A7" s="28" t="s">
        <v>4393</v>
      </c>
      <c r="B7" s="28" t="s">
        <v>4394</v>
      </c>
      <c r="C7" s="28" t="s">
        <v>70</v>
      </c>
      <c r="D7" s="29" t="s">
        <v>71</v>
      </c>
      <c r="E7" s="29" t="s">
        <v>2969</v>
      </c>
      <c r="F7" s="79" t="s">
        <v>4395</v>
      </c>
      <c r="G7" s="28">
        <v>2839859</v>
      </c>
      <c r="H7" s="28" t="s">
        <v>4397</v>
      </c>
      <c r="I7" s="28" t="s">
        <v>4398</v>
      </c>
      <c r="J7" s="28" t="s">
        <v>4419</v>
      </c>
      <c r="K7" s="28" t="s">
        <v>4397</v>
      </c>
      <c r="L7" s="28" t="s">
        <v>2149</v>
      </c>
      <c r="M7" s="143" t="s">
        <v>41</v>
      </c>
      <c r="N7" s="28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ht="15.75" customHeight="1">
      <c r="A8" s="28" t="s">
        <v>4393</v>
      </c>
      <c r="B8" s="28" t="s">
        <v>4400</v>
      </c>
      <c r="C8" s="28" t="s">
        <v>70</v>
      </c>
      <c r="D8" s="29" t="s">
        <v>71</v>
      </c>
      <c r="E8" s="29" t="s">
        <v>2969</v>
      </c>
      <c r="F8" s="79" t="s">
        <v>4401</v>
      </c>
      <c r="G8" s="28">
        <v>2839813</v>
      </c>
      <c r="H8" s="28" t="s">
        <v>4403</v>
      </c>
      <c r="I8" s="28" t="s">
        <v>4404</v>
      </c>
      <c r="J8" s="28" t="s">
        <v>4420</v>
      </c>
      <c r="K8" s="28" t="s">
        <v>4403</v>
      </c>
      <c r="L8" s="28" t="s">
        <v>4406</v>
      </c>
      <c r="M8" s="143" t="s">
        <v>41</v>
      </c>
      <c r="N8" s="28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ht="15.75" customHeight="1">
      <c r="A9" s="28" t="s">
        <v>4393</v>
      </c>
      <c r="B9" s="28" t="s">
        <v>4407</v>
      </c>
      <c r="C9" s="28" t="s">
        <v>70</v>
      </c>
      <c r="D9" s="29" t="s">
        <v>71</v>
      </c>
      <c r="E9" s="29" t="s">
        <v>2969</v>
      </c>
      <c r="F9" s="79" t="s">
        <v>4408</v>
      </c>
      <c r="G9" s="28">
        <v>2839988</v>
      </c>
      <c r="H9" s="28" t="s">
        <v>4410</v>
      </c>
      <c r="I9" s="28" t="s">
        <v>4411</v>
      </c>
      <c r="J9" s="28" t="s">
        <v>2872</v>
      </c>
      <c r="K9" s="28" t="s">
        <v>4410</v>
      </c>
      <c r="L9" s="28" t="s">
        <v>2149</v>
      </c>
      <c r="M9" s="143" t="s">
        <v>41</v>
      </c>
      <c r="N9" s="28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ht="15.75" customHeight="1">
      <c r="A10" s="28" t="s">
        <v>4393</v>
      </c>
      <c r="B10" s="28" t="s">
        <v>4412</v>
      </c>
      <c r="C10" s="28" t="s">
        <v>70</v>
      </c>
      <c r="D10" s="29" t="s">
        <v>71</v>
      </c>
      <c r="E10" s="29" t="s">
        <v>2969</v>
      </c>
      <c r="F10" s="79" t="s">
        <v>4413</v>
      </c>
      <c r="G10" s="28">
        <v>2839815</v>
      </c>
      <c r="H10" s="28" t="s">
        <v>4415</v>
      </c>
      <c r="I10" s="28" t="s">
        <v>4416</v>
      </c>
      <c r="J10" s="28" t="s">
        <v>4421</v>
      </c>
      <c r="K10" s="28" t="s">
        <v>4415</v>
      </c>
      <c r="L10" s="28" t="s">
        <v>4418</v>
      </c>
      <c r="M10" s="143" t="s">
        <v>41</v>
      </c>
      <c r="N10" s="28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ht="15.75" customHeight="1">
      <c r="A11" s="28" t="s">
        <v>4393</v>
      </c>
      <c r="B11" s="28" t="s">
        <v>4394</v>
      </c>
      <c r="C11" s="28" t="s">
        <v>79</v>
      </c>
      <c r="D11" s="43" t="s">
        <v>80</v>
      </c>
      <c r="E11" s="223" t="s">
        <v>2969</v>
      </c>
      <c r="F11" s="28" t="s">
        <v>4422</v>
      </c>
      <c r="G11" s="28" t="s">
        <v>4423</v>
      </c>
      <c r="H11" s="28" t="s">
        <v>4397</v>
      </c>
      <c r="I11" s="28" t="s">
        <v>4398</v>
      </c>
      <c r="J11" s="28" t="s">
        <v>4424</v>
      </c>
      <c r="K11" s="28" t="s">
        <v>4397</v>
      </c>
      <c r="L11" s="28" t="s">
        <v>2149</v>
      </c>
      <c r="M11" s="143" t="s">
        <v>41</v>
      </c>
      <c r="N11" s="28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spans="1:26" ht="15.75" customHeight="1">
      <c r="A12" s="28" t="s">
        <v>4393</v>
      </c>
      <c r="B12" s="28" t="s">
        <v>4400</v>
      </c>
      <c r="C12" s="28" t="s">
        <v>79</v>
      </c>
      <c r="D12" s="43" t="s">
        <v>80</v>
      </c>
      <c r="E12" s="223" t="s">
        <v>2969</v>
      </c>
      <c r="F12" s="28" t="s">
        <v>4425</v>
      </c>
      <c r="G12" s="28" t="s">
        <v>4426</v>
      </c>
      <c r="H12" s="28" t="s">
        <v>4403</v>
      </c>
      <c r="I12" s="28" t="s">
        <v>4404</v>
      </c>
      <c r="J12" s="28" t="s">
        <v>4427</v>
      </c>
      <c r="K12" s="28" t="s">
        <v>4403</v>
      </c>
      <c r="L12" s="28" t="s">
        <v>4406</v>
      </c>
      <c r="M12" s="143" t="s">
        <v>41</v>
      </c>
      <c r="N12" s="28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1:26" ht="15.75" customHeight="1">
      <c r="A13" s="28" t="s">
        <v>4393</v>
      </c>
      <c r="B13" s="28" t="s">
        <v>4407</v>
      </c>
      <c r="C13" s="28" t="s">
        <v>79</v>
      </c>
      <c r="D13" s="43" t="s">
        <v>80</v>
      </c>
      <c r="E13" s="223" t="s">
        <v>2969</v>
      </c>
      <c r="F13" s="28" t="s">
        <v>4428</v>
      </c>
      <c r="G13" s="28" t="s">
        <v>4429</v>
      </c>
      <c r="H13" s="28" t="s">
        <v>4410</v>
      </c>
      <c r="I13" s="28" t="s">
        <v>4411</v>
      </c>
      <c r="J13" s="28" t="s">
        <v>2877</v>
      </c>
      <c r="K13" s="28" t="s">
        <v>4410</v>
      </c>
      <c r="L13" s="28" t="s">
        <v>2149</v>
      </c>
      <c r="M13" s="143" t="s">
        <v>41</v>
      </c>
      <c r="N13" s="28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1:26" ht="15.75" customHeight="1">
      <c r="A14" s="28" t="s">
        <v>4393</v>
      </c>
      <c r="B14" s="28" t="s">
        <v>4412</v>
      </c>
      <c r="C14" s="28" t="s">
        <v>79</v>
      </c>
      <c r="D14" s="43" t="s">
        <v>80</v>
      </c>
      <c r="E14" s="223" t="s">
        <v>2969</v>
      </c>
      <c r="F14" s="28" t="s">
        <v>4430</v>
      </c>
      <c r="G14" s="28" t="s">
        <v>4431</v>
      </c>
      <c r="H14" s="28" t="s">
        <v>4415</v>
      </c>
      <c r="I14" s="28" t="s">
        <v>4416</v>
      </c>
      <c r="J14" s="28" t="s">
        <v>4432</v>
      </c>
      <c r="K14" s="28" t="s">
        <v>4415</v>
      </c>
      <c r="L14" s="28" t="s">
        <v>4418</v>
      </c>
      <c r="M14" s="143" t="s">
        <v>41</v>
      </c>
      <c r="N14" s="28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1:26" ht="15.75" customHeight="1">
      <c r="A15" s="28" t="s">
        <v>4393</v>
      </c>
      <c r="B15" s="28" t="s">
        <v>1379</v>
      </c>
      <c r="C15" s="28" t="s">
        <v>4433</v>
      </c>
      <c r="D15" s="28" t="s">
        <v>86</v>
      </c>
      <c r="E15" s="29" t="s">
        <v>2969</v>
      </c>
      <c r="F15" s="28" t="s">
        <v>4434</v>
      </c>
      <c r="G15" s="28" t="s">
        <v>4435</v>
      </c>
      <c r="H15" s="28" t="s">
        <v>4436</v>
      </c>
      <c r="I15" s="28" t="s">
        <v>2128</v>
      </c>
      <c r="J15" s="28" t="s">
        <v>4437</v>
      </c>
      <c r="K15" s="28" t="s">
        <v>4438</v>
      </c>
      <c r="L15" s="28" t="s">
        <v>4439</v>
      </c>
      <c r="M15" s="143" t="s">
        <v>41</v>
      </c>
      <c r="N15" s="28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1:26" ht="15.75" customHeight="1">
      <c r="A16" s="28" t="s">
        <v>4393</v>
      </c>
      <c r="B16" s="28" t="s">
        <v>1379</v>
      </c>
      <c r="C16" s="28" t="s">
        <v>4433</v>
      </c>
      <c r="D16" s="28" t="s">
        <v>86</v>
      </c>
      <c r="E16" s="29" t="s">
        <v>2969</v>
      </c>
      <c r="F16" s="28" t="s">
        <v>4440</v>
      </c>
      <c r="G16" s="28" t="s">
        <v>4441</v>
      </c>
      <c r="H16" s="28" t="s">
        <v>4442</v>
      </c>
      <c r="I16" s="28" t="s">
        <v>2106</v>
      </c>
      <c r="J16" s="28" t="s">
        <v>4443</v>
      </c>
      <c r="K16" s="28" t="s">
        <v>4442</v>
      </c>
      <c r="L16" s="28" t="s">
        <v>3204</v>
      </c>
      <c r="M16" s="143" t="s">
        <v>41</v>
      </c>
      <c r="N16" s="28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1:26" ht="15.75" customHeight="1">
      <c r="A17" s="28" t="s">
        <v>4393</v>
      </c>
      <c r="B17" s="28" t="s">
        <v>1379</v>
      </c>
      <c r="C17" s="28" t="s">
        <v>4433</v>
      </c>
      <c r="D17" s="28" t="s">
        <v>86</v>
      </c>
      <c r="E17" s="29" t="s">
        <v>2969</v>
      </c>
      <c r="F17" s="28" t="s">
        <v>4444</v>
      </c>
      <c r="G17" s="28" t="s">
        <v>4445</v>
      </c>
      <c r="H17" s="28" t="s">
        <v>4446</v>
      </c>
      <c r="I17" s="28" t="s">
        <v>1804</v>
      </c>
      <c r="J17" s="28" t="s">
        <v>4447</v>
      </c>
      <c r="K17" s="28" t="s">
        <v>4446</v>
      </c>
      <c r="L17" s="28" t="s">
        <v>2996</v>
      </c>
      <c r="M17" s="143" t="s">
        <v>41</v>
      </c>
      <c r="N17" s="28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1:26" ht="14.4">
      <c r="A18" s="28" t="s">
        <v>4393</v>
      </c>
      <c r="B18" s="28" t="s">
        <v>1379</v>
      </c>
      <c r="C18" s="28" t="s">
        <v>4433</v>
      </c>
      <c r="D18" s="28" t="s">
        <v>86</v>
      </c>
      <c r="E18" s="29" t="s">
        <v>2969</v>
      </c>
      <c r="F18" s="28" t="s">
        <v>4448</v>
      </c>
      <c r="G18" s="28" t="s">
        <v>4449</v>
      </c>
      <c r="H18" s="28" t="s">
        <v>4450</v>
      </c>
      <c r="I18" s="28" t="s">
        <v>4451</v>
      </c>
      <c r="J18" s="28" t="s">
        <v>4452</v>
      </c>
      <c r="K18" s="28" t="s">
        <v>4450</v>
      </c>
      <c r="L18" s="28" t="s">
        <v>2996</v>
      </c>
      <c r="M18" s="143" t="s">
        <v>41</v>
      </c>
      <c r="N18" s="28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ht="14.4">
      <c r="A19" s="28" t="s">
        <v>4393</v>
      </c>
      <c r="B19" s="28" t="s">
        <v>1379</v>
      </c>
      <c r="C19" s="28" t="s">
        <v>4433</v>
      </c>
      <c r="D19" s="28" t="s">
        <v>86</v>
      </c>
      <c r="E19" s="29" t="s">
        <v>2969</v>
      </c>
      <c r="F19" s="28" t="s">
        <v>4453</v>
      </c>
      <c r="G19" s="28" t="s">
        <v>4454</v>
      </c>
      <c r="H19" s="28" t="s">
        <v>4455</v>
      </c>
      <c r="I19" s="28" t="s">
        <v>2919</v>
      </c>
      <c r="J19" s="28" t="s">
        <v>4456</v>
      </c>
      <c r="K19" s="28" t="s">
        <v>4457</v>
      </c>
      <c r="L19" s="28" t="s">
        <v>3619</v>
      </c>
      <c r="M19" s="143" t="s">
        <v>41</v>
      </c>
      <c r="N19" s="28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 ht="14.4">
      <c r="A20" s="28" t="s">
        <v>4393</v>
      </c>
      <c r="B20" s="28" t="s">
        <v>1379</v>
      </c>
      <c r="C20" s="28" t="s">
        <v>4433</v>
      </c>
      <c r="D20" s="28" t="s">
        <v>86</v>
      </c>
      <c r="E20" s="29" t="s">
        <v>2969</v>
      </c>
      <c r="F20" s="28" t="s">
        <v>4458</v>
      </c>
      <c r="G20" s="28" t="s">
        <v>4459</v>
      </c>
      <c r="H20" s="28" t="s">
        <v>4460</v>
      </c>
      <c r="I20" s="28" t="s">
        <v>2120</v>
      </c>
      <c r="J20" s="28" t="s">
        <v>4461</v>
      </c>
      <c r="K20" s="28" t="s">
        <v>4460</v>
      </c>
      <c r="L20" s="28" t="s">
        <v>526</v>
      </c>
      <c r="M20" s="143" t="s">
        <v>41</v>
      </c>
      <c r="N20" s="28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spans="1:26" ht="14.4">
      <c r="A21" s="28" t="s">
        <v>4393</v>
      </c>
      <c r="B21" s="28" t="s">
        <v>1379</v>
      </c>
      <c r="C21" s="28" t="s">
        <v>4433</v>
      </c>
      <c r="D21" s="28" t="s">
        <v>86</v>
      </c>
      <c r="E21" s="29" t="s">
        <v>2969</v>
      </c>
      <c r="F21" s="28" t="s">
        <v>4462</v>
      </c>
      <c r="G21" s="28" t="s">
        <v>4463</v>
      </c>
      <c r="H21" s="28" t="s">
        <v>4464</v>
      </c>
      <c r="I21" s="28" t="s">
        <v>4465</v>
      </c>
      <c r="J21" s="28" t="s">
        <v>4466</v>
      </c>
      <c r="K21" s="28" t="s">
        <v>4464</v>
      </c>
      <c r="L21" s="28" t="s">
        <v>2996</v>
      </c>
      <c r="M21" s="143" t="s">
        <v>41</v>
      </c>
      <c r="N21" s="28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spans="1:26" ht="14.4">
      <c r="A22" s="28" t="s">
        <v>4393</v>
      </c>
      <c r="B22" s="28" t="s">
        <v>1379</v>
      </c>
      <c r="C22" s="28" t="s">
        <v>4433</v>
      </c>
      <c r="D22" s="28" t="s">
        <v>86</v>
      </c>
      <c r="E22" s="29" t="s">
        <v>2969</v>
      </c>
      <c r="F22" s="28" t="s">
        <v>4467</v>
      </c>
      <c r="G22" s="28" t="s">
        <v>4468</v>
      </c>
      <c r="H22" s="28" t="s">
        <v>4469</v>
      </c>
      <c r="I22" s="28" t="s">
        <v>4470</v>
      </c>
      <c r="J22" s="28" t="s">
        <v>4471</v>
      </c>
      <c r="K22" s="28" t="s">
        <v>4472</v>
      </c>
      <c r="L22" s="28" t="s">
        <v>4473</v>
      </c>
      <c r="M22" s="143" t="s">
        <v>41</v>
      </c>
      <c r="N22" s="28" t="s">
        <v>4474</v>
      </c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spans="1:26" ht="14.4">
      <c r="A23" s="28" t="s">
        <v>4393</v>
      </c>
      <c r="B23" s="28" t="s">
        <v>1379</v>
      </c>
      <c r="C23" s="28" t="s">
        <v>4433</v>
      </c>
      <c r="D23" s="28" t="s">
        <v>86</v>
      </c>
      <c r="E23" s="29" t="s">
        <v>2969</v>
      </c>
      <c r="F23" s="28" t="s">
        <v>4475</v>
      </c>
      <c r="G23" s="28" t="s">
        <v>4476</v>
      </c>
      <c r="H23" s="28" t="s">
        <v>4477</v>
      </c>
      <c r="I23" s="28" t="s">
        <v>4478</v>
      </c>
      <c r="J23" s="28" t="s">
        <v>4479</v>
      </c>
      <c r="K23" s="28" t="s">
        <v>4477</v>
      </c>
      <c r="L23" s="28" t="s">
        <v>4480</v>
      </c>
      <c r="M23" s="143" t="s">
        <v>41</v>
      </c>
      <c r="N23" s="28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pans="1:26" ht="14.4">
      <c r="A24" s="28" t="s">
        <v>4393</v>
      </c>
      <c r="B24" s="28" t="s">
        <v>1379</v>
      </c>
      <c r="C24" s="28" t="s">
        <v>4433</v>
      </c>
      <c r="D24" s="28" t="s">
        <v>86</v>
      </c>
      <c r="E24" s="29" t="s">
        <v>2969</v>
      </c>
      <c r="F24" s="28" t="s">
        <v>4481</v>
      </c>
      <c r="G24" s="28" t="s">
        <v>4482</v>
      </c>
      <c r="H24" s="28" t="s">
        <v>4483</v>
      </c>
      <c r="I24" s="28" t="s">
        <v>4484</v>
      </c>
      <c r="J24" s="28" t="s">
        <v>4485</v>
      </c>
      <c r="K24" s="28" t="s">
        <v>4486</v>
      </c>
      <c r="L24" s="28" t="s">
        <v>2336</v>
      </c>
      <c r="M24" s="143" t="s">
        <v>41</v>
      </c>
      <c r="N24" s="28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spans="1:26" ht="14.4">
      <c r="A25" s="28" t="s">
        <v>4393</v>
      </c>
      <c r="B25" s="28" t="s">
        <v>1379</v>
      </c>
      <c r="C25" s="28" t="s">
        <v>306</v>
      </c>
      <c r="D25" s="155" t="s">
        <v>341</v>
      </c>
      <c r="E25" s="29" t="s">
        <v>2969</v>
      </c>
      <c r="F25" s="28" t="s">
        <v>4487</v>
      </c>
      <c r="G25" s="28"/>
      <c r="H25" s="28" t="s">
        <v>4488</v>
      </c>
      <c r="I25" s="28" t="s">
        <v>1800</v>
      </c>
      <c r="J25" s="28"/>
      <c r="K25" s="28" t="s">
        <v>4488</v>
      </c>
      <c r="L25" s="28" t="s">
        <v>4489</v>
      </c>
      <c r="M25" s="143" t="s">
        <v>41</v>
      </c>
      <c r="N25" s="28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pans="1:26" ht="14.4">
      <c r="A26" s="28" t="s">
        <v>4393</v>
      </c>
      <c r="B26" s="28" t="s">
        <v>4394</v>
      </c>
      <c r="C26" s="28" t="s">
        <v>4433</v>
      </c>
      <c r="D26" s="28" t="s">
        <v>86</v>
      </c>
      <c r="E26" s="29" t="s">
        <v>2969</v>
      </c>
      <c r="F26" s="28" t="s">
        <v>4490</v>
      </c>
      <c r="G26" s="28" t="s">
        <v>4491</v>
      </c>
      <c r="H26" s="28" t="s">
        <v>4492</v>
      </c>
      <c r="I26" s="28" t="s">
        <v>4493</v>
      </c>
      <c r="J26" s="28" t="s">
        <v>4494</v>
      </c>
      <c r="K26" s="107" t="s">
        <v>4492</v>
      </c>
      <c r="L26" s="28" t="s">
        <v>2149</v>
      </c>
      <c r="M26" s="143" t="s">
        <v>41</v>
      </c>
      <c r="N26" s="28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ht="14.4">
      <c r="A27" s="28" t="s">
        <v>4393</v>
      </c>
      <c r="B27" s="28" t="s">
        <v>4394</v>
      </c>
      <c r="C27" s="28" t="s">
        <v>4433</v>
      </c>
      <c r="D27" s="28" t="s">
        <v>86</v>
      </c>
      <c r="E27" s="29" t="s">
        <v>2969</v>
      </c>
      <c r="F27" s="28" t="s">
        <v>4495</v>
      </c>
      <c r="G27" s="28" t="s">
        <v>4496</v>
      </c>
      <c r="H27" s="28" t="s">
        <v>4497</v>
      </c>
      <c r="I27" s="28" t="s">
        <v>4498</v>
      </c>
      <c r="J27" s="28" t="s">
        <v>4499</v>
      </c>
      <c r="K27" s="107" t="s">
        <v>4497</v>
      </c>
      <c r="L27" s="28" t="s">
        <v>4500</v>
      </c>
      <c r="M27" s="143" t="s">
        <v>41</v>
      </c>
      <c r="N27" s="28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ht="14.4">
      <c r="A28" s="28" t="s">
        <v>4393</v>
      </c>
      <c r="B28" s="28" t="s">
        <v>4394</v>
      </c>
      <c r="C28" s="28" t="s">
        <v>4433</v>
      </c>
      <c r="D28" s="28" t="s">
        <v>86</v>
      </c>
      <c r="E28" s="29" t="s">
        <v>2969</v>
      </c>
      <c r="F28" s="28" t="s">
        <v>4501</v>
      </c>
      <c r="G28" s="28" t="s">
        <v>4502</v>
      </c>
      <c r="H28" s="28" t="s">
        <v>933</v>
      </c>
      <c r="I28" s="28" t="s">
        <v>933</v>
      </c>
      <c r="J28" s="28" t="s">
        <v>4503</v>
      </c>
      <c r="K28" s="28" t="s">
        <v>933</v>
      </c>
      <c r="L28" s="28" t="s">
        <v>4504</v>
      </c>
      <c r="M28" s="143" t="s">
        <v>41</v>
      </c>
      <c r="N28" s="28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 ht="14.4">
      <c r="A29" s="28" t="s">
        <v>4393</v>
      </c>
      <c r="B29" s="28" t="s">
        <v>4394</v>
      </c>
      <c r="C29" s="28" t="s">
        <v>4433</v>
      </c>
      <c r="D29" s="28" t="s">
        <v>86</v>
      </c>
      <c r="E29" s="29" t="s">
        <v>2969</v>
      </c>
      <c r="F29" s="28" t="s">
        <v>4505</v>
      </c>
      <c r="G29" s="28" t="s">
        <v>4506</v>
      </c>
      <c r="H29" s="28" t="s">
        <v>4507</v>
      </c>
      <c r="I29" s="28" t="s">
        <v>4508</v>
      </c>
      <c r="J29" s="28" t="s">
        <v>4509</v>
      </c>
      <c r="K29" s="28" t="s">
        <v>4507</v>
      </c>
      <c r="L29" s="28" t="s">
        <v>2149</v>
      </c>
      <c r="M29" s="143" t="s">
        <v>41</v>
      </c>
      <c r="N29" s="28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ht="14.4">
      <c r="A30" s="28" t="s">
        <v>4393</v>
      </c>
      <c r="B30" s="28" t="s">
        <v>4394</v>
      </c>
      <c r="C30" s="28" t="s">
        <v>4433</v>
      </c>
      <c r="D30" s="28" t="s">
        <v>86</v>
      </c>
      <c r="E30" s="29" t="s">
        <v>2969</v>
      </c>
      <c r="F30" s="28" t="s">
        <v>4510</v>
      </c>
      <c r="G30" s="28" t="s">
        <v>4511</v>
      </c>
      <c r="H30" s="28" t="s">
        <v>4512</v>
      </c>
      <c r="I30" s="28" t="s">
        <v>4513</v>
      </c>
      <c r="J30" s="28" t="s">
        <v>4514</v>
      </c>
      <c r="K30" s="28" t="s">
        <v>4512</v>
      </c>
      <c r="L30" s="28" t="s">
        <v>4500</v>
      </c>
      <c r="M30" s="143" t="s">
        <v>41</v>
      </c>
      <c r="N30" s="28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spans="1:26" ht="14.4">
      <c r="A31" s="28" t="s">
        <v>4393</v>
      </c>
      <c r="B31" s="28" t="s">
        <v>4394</v>
      </c>
      <c r="C31" s="28" t="s">
        <v>4433</v>
      </c>
      <c r="D31" s="28" t="s">
        <v>86</v>
      </c>
      <c r="E31" s="29" t="s">
        <v>2969</v>
      </c>
      <c r="F31" s="28" t="s">
        <v>4515</v>
      </c>
      <c r="G31" s="28" t="s">
        <v>4516</v>
      </c>
      <c r="H31" s="28" t="s">
        <v>4517</v>
      </c>
      <c r="I31" s="28" t="s">
        <v>4518</v>
      </c>
      <c r="J31" s="28" t="s">
        <v>4519</v>
      </c>
      <c r="K31" s="28" t="s">
        <v>4517</v>
      </c>
      <c r="L31" s="28" t="s">
        <v>4520</v>
      </c>
      <c r="M31" s="143" t="s">
        <v>41</v>
      </c>
      <c r="N31" s="28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 ht="14.4">
      <c r="A32" s="28" t="s">
        <v>4393</v>
      </c>
      <c r="B32" s="28" t="s">
        <v>4394</v>
      </c>
      <c r="C32" s="28" t="s">
        <v>4433</v>
      </c>
      <c r="D32" s="28" t="s">
        <v>86</v>
      </c>
      <c r="E32" s="29" t="s">
        <v>2969</v>
      </c>
      <c r="F32" s="28" t="s">
        <v>4521</v>
      </c>
      <c r="G32" s="28" t="s">
        <v>4522</v>
      </c>
      <c r="H32" s="28" t="s">
        <v>4523</v>
      </c>
      <c r="I32" s="28" t="s">
        <v>4524</v>
      </c>
      <c r="J32" s="28" t="s">
        <v>4525</v>
      </c>
      <c r="K32" s="28" t="s">
        <v>4523</v>
      </c>
      <c r="L32" s="28" t="s">
        <v>2166</v>
      </c>
      <c r="M32" s="143" t="s">
        <v>41</v>
      </c>
      <c r="N32" s="28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1:26" ht="14.4">
      <c r="A33" s="28" t="s">
        <v>4393</v>
      </c>
      <c r="B33" s="28" t="s">
        <v>4394</v>
      </c>
      <c r="C33" s="28" t="s">
        <v>4433</v>
      </c>
      <c r="D33" s="28" t="s">
        <v>86</v>
      </c>
      <c r="E33" s="29" t="s">
        <v>2969</v>
      </c>
      <c r="F33" s="28" t="s">
        <v>4526</v>
      </c>
      <c r="G33" s="28" t="s">
        <v>4527</v>
      </c>
      <c r="H33" s="28" t="s">
        <v>4528</v>
      </c>
      <c r="I33" s="28" t="s">
        <v>4529</v>
      </c>
      <c r="J33" s="28" t="s">
        <v>4530</v>
      </c>
      <c r="K33" s="28" t="s">
        <v>4528</v>
      </c>
      <c r="L33" s="28" t="s">
        <v>989</v>
      </c>
      <c r="M33" s="143" t="s">
        <v>41</v>
      </c>
      <c r="N33" s="28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1:26" ht="14.4">
      <c r="A34" s="28" t="s">
        <v>4393</v>
      </c>
      <c r="B34" s="28" t="s">
        <v>4394</v>
      </c>
      <c r="C34" s="28" t="s">
        <v>4433</v>
      </c>
      <c r="D34" s="28" t="s">
        <v>86</v>
      </c>
      <c r="E34" s="29" t="s">
        <v>2969</v>
      </c>
      <c r="F34" s="28" t="s">
        <v>4531</v>
      </c>
      <c r="G34" s="28" t="s">
        <v>4532</v>
      </c>
      <c r="H34" s="28" t="s">
        <v>4533</v>
      </c>
      <c r="I34" s="28" t="s">
        <v>4534</v>
      </c>
      <c r="J34" s="28" t="s">
        <v>4535</v>
      </c>
      <c r="K34" s="28" t="s">
        <v>4533</v>
      </c>
      <c r="L34" s="28" t="s">
        <v>4536</v>
      </c>
      <c r="M34" s="143" t="s">
        <v>41</v>
      </c>
      <c r="N34" s="28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1:26" ht="14.4">
      <c r="A35" s="28" t="s">
        <v>4393</v>
      </c>
      <c r="B35" s="28" t="s">
        <v>4394</v>
      </c>
      <c r="C35" s="28" t="s">
        <v>4433</v>
      </c>
      <c r="D35" s="28" t="s">
        <v>86</v>
      </c>
      <c r="E35" s="29" t="s">
        <v>2969</v>
      </c>
      <c r="F35" s="28" t="s">
        <v>4537</v>
      </c>
      <c r="G35" s="28" t="s">
        <v>4538</v>
      </c>
      <c r="H35" s="28" t="s">
        <v>4539</v>
      </c>
      <c r="I35" s="28" t="s">
        <v>2120</v>
      </c>
      <c r="J35" s="28" t="s">
        <v>4540</v>
      </c>
      <c r="K35" s="28" t="s">
        <v>4539</v>
      </c>
      <c r="L35" s="28" t="s">
        <v>526</v>
      </c>
      <c r="M35" s="143" t="s">
        <v>41</v>
      </c>
      <c r="N35" s="28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1:26" ht="14.4">
      <c r="A36" s="28" t="s">
        <v>4393</v>
      </c>
      <c r="B36" s="28" t="s">
        <v>4394</v>
      </c>
      <c r="C36" s="28" t="s">
        <v>4433</v>
      </c>
      <c r="D36" s="28" t="s">
        <v>86</v>
      </c>
      <c r="E36" s="29" t="s">
        <v>2969</v>
      </c>
      <c r="F36" s="28" t="s">
        <v>4541</v>
      </c>
      <c r="G36" s="28" t="s">
        <v>4542</v>
      </c>
      <c r="H36" s="28" t="s">
        <v>4543</v>
      </c>
      <c r="I36" s="28" t="s">
        <v>2919</v>
      </c>
      <c r="J36" s="28" t="s">
        <v>4544</v>
      </c>
      <c r="K36" s="28" t="s">
        <v>4543</v>
      </c>
      <c r="L36" s="28" t="s">
        <v>989</v>
      </c>
      <c r="M36" s="143" t="s">
        <v>41</v>
      </c>
      <c r="N36" s="28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1:26" ht="14.4">
      <c r="A37" s="28" t="s">
        <v>4393</v>
      </c>
      <c r="B37" s="28" t="s">
        <v>4394</v>
      </c>
      <c r="C37" s="28" t="s">
        <v>4433</v>
      </c>
      <c r="D37" s="28" t="s">
        <v>86</v>
      </c>
      <c r="E37" s="29" t="s">
        <v>2969</v>
      </c>
      <c r="F37" s="28" t="s">
        <v>4545</v>
      </c>
      <c r="G37" s="28" t="s">
        <v>4546</v>
      </c>
      <c r="H37" s="28" t="s">
        <v>4547</v>
      </c>
      <c r="I37" s="28" t="s">
        <v>2106</v>
      </c>
      <c r="J37" s="28" t="s">
        <v>4548</v>
      </c>
      <c r="K37" s="28" t="s">
        <v>4547</v>
      </c>
      <c r="L37" s="28" t="s">
        <v>3204</v>
      </c>
      <c r="M37" s="143" t="s">
        <v>41</v>
      </c>
      <c r="N37" s="28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1:26" ht="14.4">
      <c r="A38" s="28" t="s">
        <v>4393</v>
      </c>
      <c r="B38" s="28" t="s">
        <v>4549</v>
      </c>
      <c r="C38" s="28" t="s">
        <v>4433</v>
      </c>
      <c r="D38" s="28" t="s">
        <v>86</v>
      </c>
      <c r="E38" s="29" t="s">
        <v>2969</v>
      </c>
      <c r="F38" s="28" t="s">
        <v>4550</v>
      </c>
      <c r="G38" s="28" t="s">
        <v>4551</v>
      </c>
      <c r="H38" s="28" t="s">
        <v>4552</v>
      </c>
      <c r="I38" s="28" t="s">
        <v>4553</v>
      </c>
      <c r="J38" s="28" t="s">
        <v>4554</v>
      </c>
      <c r="K38" s="28" t="s">
        <v>4555</v>
      </c>
      <c r="L38" s="28" t="s">
        <v>989</v>
      </c>
      <c r="M38" s="143" t="s">
        <v>41</v>
      </c>
      <c r="N38" s="28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6" ht="14.4">
      <c r="A39" s="28" t="s">
        <v>4393</v>
      </c>
      <c r="B39" s="28" t="s">
        <v>4549</v>
      </c>
      <c r="C39" s="28" t="s">
        <v>4433</v>
      </c>
      <c r="D39" s="28" t="s">
        <v>86</v>
      </c>
      <c r="E39" s="29" t="s">
        <v>2969</v>
      </c>
      <c r="F39" s="28" t="s">
        <v>4556</v>
      </c>
      <c r="G39" s="28" t="s">
        <v>4557</v>
      </c>
      <c r="H39" s="28" t="s">
        <v>4558</v>
      </c>
      <c r="I39" s="28" t="s">
        <v>4559</v>
      </c>
      <c r="J39" s="28" t="s">
        <v>4560</v>
      </c>
      <c r="K39" s="28" t="s">
        <v>4561</v>
      </c>
      <c r="L39" s="28" t="s">
        <v>2149</v>
      </c>
      <c r="M39" s="143" t="s">
        <v>41</v>
      </c>
      <c r="N39" s="28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1:26" ht="14.4">
      <c r="A40" s="28" t="s">
        <v>4393</v>
      </c>
      <c r="B40" s="28" t="s">
        <v>4549</v>
      </c>
      <c r="C40" s="28" t="s">
        <v>4433</v>
      </c>
      <c r="D40" s="28" t="s">
        <v>86</v>
      </c>
      <c r="E40" s="29" t="s">
        <v>2969</v>
      </c>
      <c r="F40" s="28" t="s">
        <v>4562</v>
      </c>
      <c r="G40" s="28" t="s">
        <v>4563</v>
      </c>
      <c r="H40" s="28" t="s">
        <v>4564</v>
      </c>
      <c r="I40" s="28" t="s">
        <v>4565</v>
      </c>
      <c r="J40" s="28" t="s">
        <v>4566</v>
      </c>
      <c r="K40" s="28" t="s">
        <v>4567</v>
      </c>
      <c r="L40" s="28" t="s">
        <v>2149</v>
      </c>
      <c r="M40" s="143" t="s">
        <v>41</v>
      </c>
      <c r="N40" s="28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spans="1:26" ht="14.4">
      <c r="A41" s="28" t="s">
        <v>4393</v>
      </c>
      <c r="B41" s="28" t="s">
        <v>4549</v>
      </c>
      <c r="C41" s="28" t="s">
        <v>4433</v>
      </c>
      <c r="D41" s="28" t="s">
        <v>86</v>
      </c>
      <c r="E41" s="29" t="s">
        <v>2969</v>
      </c>
      <c r="F41" s="28" t="s">
        <v>4568</v>
      </c>
      <c r="G41" s="28" t="s">
        <v>4569</v>
      </c>
      <c r="H41" s="28" t="s">
        <v>4570</v>
      </c>
      <c r="I41" s="28" t="s">
        <v>4571</v>
      </c>
      <c r="J41" s="28" t="s">
        <v>4572</v>
      </c>
      <c r="K41" s="28" t="s">
        <v>4573</v>
      </c>
      <c r="L41" s="28" t="s">
        <v>2149</v>
      </c>
      <c r="M41" s="143" t="s">
        <v>41</v>
      </c>
      <c r="N41" s="28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spans="1:26" ht="14.4">
      <c r="A42" s="28" t="s">
        <v>4393</v>
      </c>
      <c r="B42" s="28" t="s">
        <v>4549</v>
      </c>
      <c r="C42" s="28" t="s">
        <v>4433</v>
      </c>
      <c r="D42" s="28" t="s">
        <v>86</v>
      </c>
      <c r="E42" s="29" t="s">
        <v>2969</v>
      </c>
      <c r="F42" s="28" t="s">
        <v>4574</v>
      </c>
      <c r="G42" s="28" t="s">
        <v>4575</v>
      </c>
      <c r="H42" s="28" t="s">
        <v>4570</v>
      </c>
      <c r="I42" s="28" t="s">
        <v>4571</v>
      </c>
      <c r="J42" s="28" t="s">
        <v>4572</v>
      </c>
      <c r="K42" s="28" t="s">
        <v>4576</v>
      </c>
      <c r="L42" s="28" t="s">
        <v>2149</v>
      </c>
      <c r="M42" s="143" t="s">
        <v>41</v>
      </c>
      <c r="N42" s="28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spans="1:26" ht="14.4">
      <c r="A43" s="28" t="s">
        <v>4393</v>
      </c>
      <c r="B43" s="28" t="s">
        <v>4549</v>
      </c>
      <c r="C43" s="28" t="s">
        <v>4433</v>
      </c>
      <c r="D43" s="28" t="s">
        <v>86</v>
      </c>
      <c r="E43" s="29" t="s">
        <v>2969</v>
      </c>
      <c r="F43" s="28" t="s">
        <v>4577</v>
      </c>
      <c r="G43" s="28" t="s">
        <v>4578</v>
      </c>
      <c r="H43" s="28" t="s">
        <v>4570</v>
      </c>
      <c r="I43" s="28" t="s">
        <v>4571</v>
      </c>
      <c r="J43" s="28" t="s">
        <v>4572</v>
      </c>
      <c r="K43" s="28" t="s">
        <v>4579</v>
      </c>
      <c r="L43" s="28" t="s">
        <v>2149</v>
      </c>
      <c r="M43" s="143" t="s">
        <v>41</v>
      </c>
      <c r="N43" s="28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spans="1:26" ht="14.4">
      <c r="A44" s="28" t="s">
        <v>4393</v>
      </c>
      <c r="B44" s="28" t="s">
        <v>4549</v>
      </c>
      <c r="C44" s="28" t="s">
        <v>4433</v>
      </c>
      <c r="D44" s="28" t="s">
        <v>86</v>
      </c>
      <c r="E44" s="29" t="s">
        <v>2969</v>
      </c>
      <c r="F44" s="28" t="s">
        <v>4580</v>
      </c>
      <c r="G44" s="28" t="s">
        <v>4581</v>
      </c>
      <c r="H44" s="28" t="s">
        <v>4582</v>
      </c>
      <c r="I44" s="28" t="s">
        <v>4583</v>
      </c>
      <c r="J44" s="28" t="s">
        <v>4584</v>
      </c>
      <c r="K44" s="28" t="s">
        <v>4585</v>
      </c>
      <c r="L44" s="28" t="s">
        <v>989</v>
      </c>
      <c r="M44" s="143" t="s">
        <v>41</v>
      </c>
      <c r="N44" s="28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spans="1:26" ht="14.4">
      <c r="A45" s="28" t="s">
        <v>4393</v>
      </c>
      <c r="B45" s="28" t="s">
        <v>4549</v>
      </c>
      <c r="C45" s="28" t="s">
        <v>4433</v>
      </c>
      <c r="D45" s="28" t="s">
        <v>86</v>
      </c>
      <c r="E45" s="29" t="s">
        <v>2969</v>
      </c>
      <c r="F45" s="28" t="s">
        <v>4586</v>
      </c>
      <c r="G45" s="28" t="s">
        <v>4587</v>
      </c>
      <c r="H45" s="28" t="s">
        <v>4564</v>
      </c>
      <c r="I45" s="28" t="s">
        <v>4565</v>
      </c>
      <c r="J45" s="28" t="s">
        <v>4566</v>
      </c>
      <c r="K45" s="28" t="s">
        <v>4564</v>
      </c>
      <c r="L45" s="28" t="s">
        <v>989</v>
      </c>
      <c r="M45" s="143" t="s">
        <v>41</v>
      </c>
      <c r="N45" s="28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spans="1:26" ht="14.4">
      <c r="A46" s="28" t="s">
        <v>4393</v>
      </c>
      <c r="B46" s="28" t="s">
        <v>4549</v>
      </c>
      <c r="C46" s="28" t="s">
        <v>4433</v>
      </c>
      <c r="D46" s="28" t="s">
        <v>86</v>
      </c>
      <c r="E46" s="29" t="s">
        <v>2969</v>
      </c>
      <c r="F46" s="28" t="s">
        <v>4588</v>
      </c>
      <c r="G46" s="28" t="s">
        <v>4589</v>
      </c>
      <c r="H46" s="28" t="s">
        <v>4558</v>
      </c>
      <c r="I46" s="28" t="s">
        <v>4559</v>
      </c>
      <c r="J46" s="28" t="s">
        <v>4560</v>
      </c>
      <c r="K46" s="28" t="s">
        <v>4558</v>
      </c>
      <c r="L46" s="28" t="s">
        <v>2166</v>
      </c>
      <c r="M46" s="143" t="s">
        <v>41</v>
      </c>
      <c r="N46" s="28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spans="1:26" ht="14.4">
      <c r="A47" s="28" t="s">
        <v>4393</v>
      </c>
      <c r="B47" s="28" t="s">
        <v>4549</v>
      </c>
      <c r="C47" s="28" t="s">
        <v>4433</v>
      </c>
      <c r="D47" s="28" t="s">
        <v>86</v>
      </c>
      <c r="E47" s="29" t="s">
        <v>2969</v>
      </c>
      <c r="F47" s="28" t="s">
        <v>4590</v>
      </c>
      <c r="G47" s="28" t="s">
        <v>4591</v>
      </c>
      <c r="H47" s="28" t="s">
        <v>4570</v>
      </c>
      <c r="I47" s="28" t="s">
        <v>4571</v>
      </c>
      <c r="J47" s="28" t="s">
        <v>4572</v>
      </c>
      <c r="K47" s="28" t="s">
        <v>4570</v>
      </c>
      <c r="L47" s="28" t="s">
        <v>2149</v>
      </c>
      <c r="M47" s="143" t="s">
        <v>41</v>
      </c>
      <c r="N47" s="28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spans="1:26" ht="14.4">
      <c r="A48" s="28" t="s">
        <v>4393</v>
      </c>
      <c r="B48" s="28" t="s">
        <v>4549</v>
      </c>
      <c r="C48" s="28" t="s">
        <v>4433</v>
      </c>
      <c r="D48" s="28" t="s">
        <v>86</v>
      </c>
      <c r="E48" s="29" t="s">
        <v>2969</v>
      </c>
      <c r="F48" s="28" t="s">
        <v>4592</v>
      </c>
      <c r="G48" s="28" t="s">
        <v>4593</v>
      </c>
      <c r="H48" s="28" t="s">
        <v>4552</v>
      </c>
      <c r="I48" s="28" t="s">
        <v>4553</v>
      </c>
      <c r="J48" s="28" t="s">
        <v>4554</v>
      </c>
      <c r="K48" s="28" t="s">
        <v>4552</v>
      </c>
      <c r="L48" s="28" t="s">
        <v>2166</v>
      </c>
      <c r="M48" s="143" t="s">
        <v>41</v>
      </c>
      <c r="N48" s="28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spans="1:26" ht="14.4">
      <c r="A49" s="28" t="s">
        <v>4393</v>
      </c>
      <c r="B49" s="28" t="s">
        <v>4549</v>
      </c>
      <c r="C49" s="28" t="s">
        <v>4433</v>
      </c>
      <c r="D49" s="28" t="s">
        <v>86</v>
      </c>
      <c r="E49" s="29" t="s">
        <v>2969</v>
      </c>
      <c r="F49" s="28" t="s">
        <v>4594</v>
      </c>
      <c r="G49" s="28" t="s">
        <v>4595</v>
      </c>
      <c r="H49" s="28" t="s">
        <v>4582</v>
      </c>
      <c r="I49" s="28" t="s">
        <v>4583</v>
      </c>
      <c r="J49" s="28" t="s">
        <v>4584</v>
      </c>
      <c r="K49" s="28" t="s">
        <v>4582</v>
      </c>
      <c r="L49" s="28" t="s">
        <v>989</v>
      </c>
      <c r="M49" s="143" t="s">
        <v>41</v>
      </c>
      <c r="N49" s="28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spans="1:26" ht="14.4">
      <c r="A50" s="28" t="s">
        <v>4393</v>
      </c>
      <c r="B50" s="28" t="s">
        <v>4596</v>
      </c>
      <c r="C50" s="28" t="s">
        <v>4433</v>
      </c>
      <c r="D50" s="28" t="s">
        <v>86</v>
      </c>
      <c r="E50" s="29" t="s">
        <v>2969</v>
      </c>
      <c r="F50" s="28" t="s">
        <v>4597</v>
      </c>
      <c r="G50" s="28" t="s">
        <v>4598</v>
      </c>
      <c r="H50" s="28" t="s">
        <v>4599</v>
      </c>
      <c r="I50" s="28" t="s">
        <v>4600</v>
      </c>
      <c r="J50" s="28" t="s">
        <v>4601</v>
      </c>
      <c r="K50" s="28" t="s">
        <v>4599</v>
      </c>
      <c r="L50" s="28" t="s">
        <v>4602</v>
      </c>
      <c r="M50" s="143" t="s">
        <v>41</v>
      </c>
      <c r="N50" s="28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spans="1:26" ht="14.4">
      <c r="A51" s="28" t="s">
        <v>4393</v>
      </c>
      <c r="B51" s="28" t="s">
        <v>4596</v>
      </c>
      <c r="C51" s="28" t="s">
        <v>4433</v>
      </c>
      <c r="D51" s="28" t="s">
        <v>86</v>
      </c>
      <c r="E51" s="29" t="s">
        <v>2969</v>
      </c>
      <c r="F51" s="28" t="s">
        <v>4603</v>
      </c>
      <c r="G51" s="28" t="s">
        <v>4604</v>
      </c>
      <c r="H51" s="28" t="s">
        <v>4605</v>
      </c>
      <c r="I51" s="28" t="s">
        <v>2128</v>
      </c>
      <c r="J51" s="28" t="s">
        <v>4606</v>
      </c>
      <c r="K51" s="28" t="s">
        <v>4605</v>
      </c>
      <c r="L51" s="28" t="s">
        <v>4607</v>
      </c>
      <c r="M51" s="143" t="s">
        <v>41</v>
      </c>
      <c r="N51" s="28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spans="1:26" ht="14.4">
      <c r="A52" s="28" t="s">
        <v>4393</v>
      </c>
      <c r="B52" s="28" t="s">
        <v>4596</v>
      </c>
      <c r="C52" s="28" t="s">
        <v>4433</v>
      </c>
      <c r="D52" s="28" t="s">
        <v>86</v>
      </c>
      <c r="E52" s="29" t="s">
        <v>2969</v>
      </c>
      <c r="F52" s="28" t="s">
        <v>4608</v>
      </c>
      <c r="G52" s="28" t="s">
        <v>4609</v>
      </c>
      <c r="H52" s="28" t="s">
        <v>4610</v>
      </c>
      <c r="I52" s="28" t="s">
        <v>2106</v>
      </c>
      <c r="J52" s="28" t="s">
        <v>4611</v>
      </c>
      <c r="K52" s="28" t="s">
        <v>4610</v>
      </c>
      <c r="L52" s="28" t="s">
        <v>989</v>
      </c>
      <c r="M52" s="143" t="s">
        <v>41</v>
      </c>
      <c r="N52" s="28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spans="1:26" ht="14.4">
      <c r="A53" s="28" t="s">
        <v>4393</v>
      </c>
      <c r="B53" s="28" t="s">
        <v>4596</v>
      </c>
      <c r="C53" s="28" t="s">
        <v>4433</v>
      </c>
      <c r="D53" s="28" t="s">
        <v>86</v>
      </c>
      <c r="E53" s="29" t="s">
        <v>2969</v>
      </c>
      <c r="F53" s="28" t="s">
        <v>4612</v>
      </c>
      <c r="G53" s="28" t="s">
        <v>4613</v>
      </c>
      <c r="H53" s="28" t="s">
        <v>4614</v>
      </c>
      <c r="I53" s="28" t="s">
        <v>4615</v>
      </c>
      <c r="J53" s="28" t="s">
        <v>4616</v>
      </c>
      <c r="K53" s="28" t="s">
        <v>4614</v>
      </c>
      <c r="L53" s="28" t="s">
        <v>989</v>
      </c>
      <c r="M53" s="143" t="s">
        <v>41</v>
      </c>
      <c r="N53" s="28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spans="1:26" ht="14.4">
      <c r="A54" s="28" t="s">
        <v>4393</v>
      </c>
      <c r="B54" s="28" t="s">
        <v>4596</v>
      </c>
      <c r="C54" s="28" t="s">
        <v>4433</v>
      </c>
      <c r="D54" s="28" t="s">
        <v>86</v>
      </c>
      <c r="E54" s="29" t="s">
        <v>2969</v>
      </c>
      <c r="F54" s="28" t="s">
        <v>4617</v>
      </c>
      <c r="G54" s="28" t="s">
        <v>4618</v>
      </c>
      <c r="H54" s="28" t="s">
        <v>4619</v>
      </c>
      <c r="I54" s="28" t="s">
        <v>2120</v>
      </c>
      <c r="J54" s="28" t="s">
        <v>4620</v>
      </c>
      <c r="K54" s="28" t="s">
        <v>4619</v>
      </c>
      <c r="L54" s="28" t="s">
        <v>989</v>
      </c>
      <c r="M54" s="143" t="s">
        <v>41</v>
      </c>
      <c r="N54" s="28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spans="1:26" ht="14.4">
      <c r="A55" s="28" t="s">
        <v>4393</v>
      </c>
      <c r="B55" s="28" t="s">
        <v>4596</v>
      </c>
      <c r="C55" s="28" t="s">
        <v>4433</v>
      </c>
      <c r="D55" s="28" t="s">
        <v>86</v>
      </c>
      <c r="E55" s="29" t="s">
        <v>2969</v>
      </c>
      <c r="F55" s="28" t="s">
        <v>4621</v>
      </c>
      <c r="G55" s="28" t="s">
        <v>4622</v>
      </c>
      <c r="H55" s="28" t="s">
        <v>4623</v>
      </c>
      <c r="I55" s="28" t="s">
        <v>2919</v>
      </c>
      <c r="J55" s="28" t="s">
        <v>4624</v>
      </c>
      <c r="K55" s="28" t="s">
        <v>4623</v>
      </c>
      <c r="L55" s="28" t="s">
        <v>989</v>
      </c>
      <c r="M55" s="143" t="s">
        <v>41</v>
      </c>
      <c r="N55" s="28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spans="1:26" ht="14.4">
      <c r="A56" s="28" t="s">
        <v>4393</v>
      </c>
      <c r="B56" s="28" t="s">
        <v>4596</v>
      </c>
      <c r="C56" s="28" t="s">
        <v>4433</v>
      </c>
      <c r="D56" s="28" t="s">
        <v>86</v>
      </c>
      <c r="E56" s="29" t="s">
        <v>2969</v>
      </c>
      <c r="F56" s="28" t="s">
        <v>4625</v>
      </c>
      <c r="G56" s="28" t="s">
        <v>2808</v>
      </c>
      <c r="H56" s="28" t="s">
        <v>4626</v>
      </c>
      <c r="I56" s="28" t="s">
        <v>2194</v>
      </c>
      <c r="J56" s="28" t="s">
        <v>4627</v>
      </c>
      <c r="K56" s="28" t="s">
        <v>4626</v>
      </c>
      <c r="L56" s="28" t="s">
        <v>2336</v>
      </c>
      <c r="M56" s="143" t="s">
        <v>41</v>
      </c>
      <c r="N56" s="28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spans="1:26" ht="14.4">
      <c r="A57" s="28" t="s">
        <v>4393</v>
      </c>
      <c r="B57" s="28" t="s">
        <v>4596</v>
      </c>
      <c r="C57" s="28" t="s">
        <v>4433</v>
      </c>
      <c r="D57" s="28" t="s">
        <v>86</v>
      </c>
      <c r="E57" s="29" t="s">
        <v>2969</v>
      </c>
      <c r="F57" s="28" t="s">
        <v>4628</v>
      </c>
      <c r="G57" s="28" t="s">
        <v>4629</v>
      </c>
      <c r="H57" s="28" t="s">
        <v>4630</v>
      </c>
      <c r="I57" s="28" t="s">
        <v>4631</v>
      </c>
      <c r="J57" s="28" t="s">
        <v>4632</v>
      </c>
      <c r="K57" s="28" t="s">
        <v>4630</v>
      </c>
      <c r="L57" s="28" t="s">
        <v>4602</v>
      </c>
      <c r="M57" s="143" t="s">
        <v>41</v>
      </c>
      <c r="N57" s="28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spans="1:26" ht="14.4">
      <c r="A58" s="28" t="s">
        <v>4393</v>
      </c>
      <c r="B58" s="28" t="s">
        <v>4596</v>
      </c>
      <c r="C58" s="107" t="s">
        <v>4433</v>
      </c>
      <c r="D58" s="28" t="s">
        <v>86</v>
      </c>
      <c r="E58" s="29" t="s">
        <v>2969</v>
      </c>
      <c r="F58" s="28" t="s">
        <v>4633</v>
      </c>
      <c r="G58" s="28" t="s">
        <v>4634</v>
      </c>
      <c r="H58" s="28" t="s">
        <v>4635</v>
      </c>
      <c r="I58" s="28" t="s">
        <v>4636</v>
      </c>
      <c r="J58" s="28" t="s">
        <v>4637</v>
      </c>
      <c r="K58" s="28" t="s">
        <v>4635</v>
      </c>
      <c r="L58" s="28" t="s">
        <v>4602</v>
      </c>
      <c r="M58" s="143" t="s">
        <v>41</v>
      </c>
      <c r="N58" s="28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spans="1:26" ht="14.4">
      <c r="A59" s="28" t="s">
        <v>4393</v>
      </c>
      <c r="B59" s="28" t="s">
        <v>4596</v>
      </c>
      <c r="C59" s="107" t="s">
        <v>4433</v>
      </c>
      <c r="D59" s="28" t="s">
        <v>86</v>
      </c>
      <c r="E59" s="29" t="s">
        <v>2969</v>
      </c>
      <c r="F59" s="28" t="s">
        <v>4638</v>
      </c>
      <c r="G59" s="28" t="s">
        <v>4639</v>
      </c>
      <c r="H59" s="28" t="s">
        <v>4640</v>
      </c>
      <c r="I59" s="28" t="s">
        <v>4641</v>
      </c>
      <c r="J59" s="28" t="s">
        <v>4642</v>
      </c>
      <c r="K59" s="28" t="s">
        <v>4640</v>
      </c>
      <c r="L59" s="28" t="s">
        <v>989</v>
      </c>
      <c r="M59" s="143" t="s">
        <v>41</v>
      </c>
      <c r="N59" s="28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spans="1:26" ht="14.4">
      <c r="A60" s="28" t="s">
        <v>4393</v>
      </c>
      <c r="B60" s="28" t="s">
        <v>4596</v>
      </c>
      <c r="C60" s="107" t="s">
        <v>4433</v>
      </c>
      <c r="D60" s="28" t="s">
        <v>86</v>
      </c>
      <c r="E60" s="29" t="s">
        <v>2969</v>
      </c>
      <c r="F60" s="28" t="s">
        <v>4643</v>
      </c>
      <c r="G60" s="28" t="s">
        <v>4644</v>
      </c>
      <c r="H60" s="28" t="s">
        <v>4645</v>
      </c>
      <c r="I60" s="28" t="s">
        <v>4646</v>
      </c>
      <c r="J60" s="28" t="s">
        <v>4647</v>
      </c>
      <c r="K60" s="28" t="s">
        <v>4648</v>
      </c>
      <c r="L60" s="28" t="s">
        <v>4649</v>
      </c>
      <c r="M60" s="143" t="s">
        <v>41</v>
      </c>
      <c r="N60" s="28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spans="1:26" ht="14.4">
      <c r="A61" s="28" t="s">
        <v>4393</v>
      </c>
      <c r="B61" s="28" t="s">
        <v>4596</v>
      </c>
      <c r="C61" s="28" t="s">
        <v>4433</v>
      </c>
      <c r="D61" s="28" t="s">
        <v>86</v>
      </c>
      <c r="E61" s="29" t="s">
        <v>2969</v>
      </c>
      <c r="F61" s="28" t="s">
        <v>4650</v>
      </c>
      <c r="G61" s="28" t="s">
        <v>4651</v>
      </c>
      <c r="H61" s="28" t="s">
        <v>4652</v>
      </c>
      <c r="I61" s="28" t="s">
        <v>4653</v>
      </c>
      <c r="J61" s="28" t="s">
        <v>4654</v>
      </c>
      <c r="K61" s="28" t="s">
        <v>4652</v>
      </c>
      <c r="L61" s="28" t="s">
        <v>4602</v>
      </c>
      <c r="M61" s="143" t="s">
        <v>41</v>
      </c>
      <c r="N61" s="28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spans="1:26" ht="14.4">
      <c r="A62" s="28" t="s">
        <v>4393</v>
      </c>
      <c r="B62" s="28" t="s">
        <v>4400</v>
      </c>
      <c r="C62" s="28" t="s">
        <v>4433</v>
      </c>
      <c r="D62" s="28" t="s">
        <v>86</v>
      </c>
      <c r="E62" s="29" t="s">
        <v>2969</v>
      </c>
      <c r="F62" s="28" t="s">
        <v>4655</v>
      </c>
      <c r="G62" s="28" t="s">
        <v>4656</v>
      </c>
      <c r="H62" s="28" t="s">
        <v>4657</v>
      </c>
      <c r="I62" s="28" t="s">
        <v>4658</v>
      </c>
      <c r="J62" s="28" t="s">
        <v>4659</v>
      </c>
      <c r="K62" s="28" t="s">
        <v>4657</v>
      </c>
      <c r="L62" s="28" t="s">
        <v>4406</v>
      </c>
      <c r="M62" s="143" t="s">
        <v>41</v>
      </c>
      <c r="N62" s="28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spans="1:26" ht="14.4">
      <c r="A63" s="28" t="s">
        <v>4393</v>
      </c>
      <c r="B63" s="28" t="s">
        <v>4400</v>
      </c>
      <c r="C63" s="28" t="s">
        <v>4433</v>
      </c>
      <c r="D63" s="28" t="s">
        <v>86</v>
      </c>
      <c r="E63" s="29" t="s">
        <v>2969</v>
      </c>
      <c r="F63" s="28" t="s">
        <v>4660</v>
      </c>
      <c r="G63" s="28" t="s">
        <v>4661</v>
      </c>
      <c r="H63" s="28" t="s">
        <v>4662</v>
      </c>
      <c r="I63" s="28" t="s">
        <v>4663</v>
      </c>
      <c r="J63" s="28" t="s">
        <v>4664</v>
      </c>
      <c r="K63" s="28" t="s">
        <v>4665</v>
      </c>
      <c r="L63" s="28" t="s">
        <v>4406</v>
      </c>
      <c r="M63" s="143" t="s">
        <v>41</v>
      </c>
      <c r="N63" s="28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spans="1:26" ht="14.4">
      <c r="A64" s="28" t="s">
        <v>4393</v>
      </c>
      <c r="B64" s="28" t="s">
        <v>4400</v>
      </c>
      <c r="C64" s="28" t="s">
        <v>4433</v>
      </c>
      <c r="D64" s="28" t="s">
        <v>86</v>
      </c>
      <c r="E64" s="29" t="s">
        <v>2969</v>
      </c>
      <c r="F64" s="28" t="s">
        <v>4666</v>
      </c>
      <c r="G64" s="28" t="s">
        <v>4667</v>
      </c>
      <c r="H64" s="28" t="s">
        <v>4668</v>
      </c>
      <c r="I64" s="28" t="s">
        <v>4669</v>
      </c>
      <c r="J64" s="28" t="s">
        <v>4670</v>
      </c>
      <c r="K64" s="28" t="s">
        <v>4671</v>
      </c>
      <c r="L64" s="28" t="s">
        <v>4406</v>
      </c>
      <c r="M64" s="143" t="s">
        <v>41</v>
      </c>
      <c r="N64" s="28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spans="1:26" ht="14.4">
      <c r="A65" s="28" t="s">
        <v>4393</v>
      </c>
      <c r="B65" s="28" t="s">
        <v>4400</v>
      </c>
      <c r="C65" s="28" t="s">
        <v>4433</v>
      </c>
      <c r="D65" s="28" t="s">
        <v>86</v>
      </c>
      <c r="E65" s="29" t="s">
        <v>2969</v>
      </c>
      <c r="F65" s="28" t="s">
        <v>4672</v>
      </c>
      <c r="G65" s="28" t="s">
        <v>4673</v>
      </c>
      <c r="H65" s="28" t="s">
        <v>4674</v>
      </c>
      <c r="I65" s="28" t="s">
        <v>4675</v>
      </c>
      <c r="J65" s="28" t="s">
        <v>4676</v>
      </c>
      <c r="K65" s="28" t="s">
        <v>4677</v>
      </c>
      <c r="L65" s="28" t="s">
        <v>4406</v>
      </c>
      <c r="M65" s="143" t="s">
        <v>41</v>
      </c>
      <c r="N65" s="28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spans="1:26" ht="14.4">
      <c r="A66" s="28" t="s">
        <v>4393</v>
      </c>
      <c r="B66" s="28" t="s">
        <v>4400</v>
      </c>
      <c r="C66" s="28" t="s">
        <v>4433</v>
      </c>
      <c r="D66" s="28" t="s">
        <v>86</v>
      </c>
      <c r="E66" s="29" t="s">
        <v>2969</v>
      </c>
      <c r="F66" s="28" t="s">
        <v>4678</v>
      </c>
      <c r="G66" s="28" t="s">
        <v>4679</v>
      </c>
      <c r="H66" s="28" t="s">
        <v>4680</v>
      </c>
      <c r="I66" s="28" t="s">
        <v>4681</v>
      </c>
      <c r="J66" s="28" t="s">
        <v>4682</v>
      </c>
      <c r="K66" s="28" t="s">
        <v>4680</v>
      </c>
      <c r="L66" s="28" t="s">
        <v>4406</v>
      </c>
      <c r="M66" s="143" t="s">
        <v>41</v>
      </c>
      <c r="N66" s="28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spans="1:26" ht="14.4">
      <c r="A67" s="28" t="s">
        <v>4393</v>
      </c>
      <c r="B67" s="28" t="s">
        <v>4400</v>
      </c>
      <c r="C67" s="28" t="s">
        <v>4433</v>
      </c>
      <c r="D67" s="28" t="s">
        <v>86</v>
      </c>
      <c r="E67" s="29" t="s">
        <v>2969</v>
      </c>
      <c r="F67" s="28" t="s">
        <v>4683</v>
      </c>
      <c r="G67" s="28" t="s">
        <v>4684</v>
      </c>
      <c r="H67" s="28" t="s">
        <v>4685</v>
      </c>
      <c r="I67" s="28" t="s">
        <v>4686</v>
      </c>
      <c r="J67" s="28" t="s">
        <v>4687</v>
      </c>
      <c r="K67" s="28" t="s">
        <v>4685</v>
      </c>
      <c r="L67" s="28" t="s">
        <v>4406</v>
      </c>
      <c r="M67" s="143" t="s">
        <v>41</v>
      </c>
      <c r="N67" s="28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spans="1:26" ht="14.4">
      <c r="A68" s="28" t="s">
        <v>4393</v>
      </c>
      <c r="B68" s="28" t="s">
        <v>4400</v>
      </c>
      <c r="C68" s="28" t="s">
        <v>4433</v>
      </c>
      <c r="D68" s="28" t="s">
        <v>86</v>
      </c>
      <c r="E68" s="29" t="s">
        <v>2969</v>
      </c>
      <c r="F68" s="28" t="s">
        <v>4688</v>
      </c>
      <c r="G68" s="28" t="s">
        <v>4689</v>
      </c>
      <c r="H68" s="28" t="s">
        <v>4690</v>
      </c>
      <c r="I68" s="28" t="s">
        <v>4691</v>
      </c>
      <c r="J68" s="28" t="s">
        <v>4692</v>
      </c>
      <c r="K68" s="28" t="s">
        <v>4690</v>
      </c>
      <c r="L68" s="28" t="s">
        <v>4406</v>
      </c>
      <c r="M68" s="143" t="s">
        <v>41</v>
      </c>
      <c r="N68" s="28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spans="1:26" ht="14.4">
      <c r="A69" s="28" t="s">
        <v>4393</v>
      </c>
      <c r="B69" s="28" t="s">
        <v>4400</v>
      </c>
      <c r="C69" s="28" t="s">
        <v>4433</v>
      </c>
      <c r="D69" s="28" t="s">
        <v>86</v>
      </c>
      <c r="E69" s="29" t="s">
        <v>2969</v>
      </c>
      <c r="F69" s="28" t="s">
        <v>4693</v>
      </c>
      <c r="G69" s="28" t="s">
        <v>4694</v>
      </c>
      <c r="H69" s="28" t="s">
        <v>4695</v>
      </c>
      <c r="I69" s="28" t="s">
        <v>4696</v>
      </c>
      <c r="J69" s="28" t="s">
        <v>4697</v>
      </c>
      <c r="K69" s="28" t="s">
        <v>4695</v>
      </c>
      <c r="L69" s="28" t="s">
        <v>4406</v>
      </c>
      <c r="M69" s="143" t="s">
        <v>41</v>
      </c>
      <c r="N69" s="28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spans="1:26" ht="14.4">
      <c r="A70" s="28" t="s">
        <v>4393</v>
      </c>
      <c r="B70" s="28" t="s">
        <v>4400</v>
      </c>
      <c r="C70" s="28" t="s">
        <v>4433</v>
      </c>
      <c r="D70" s="28" t="s">
        <v>86</v>
      </c>
      <c r="E70" s="29" t="s">
        <v>2969</v>
      </c>
      <c r="F70" s="28" t="s">
        <v>4698</v>
      </c>
      <c r="G70" s="28" t="s">
        <v>4699</v>
      </c>
      <c r="H70" s="28" t="s">
        <v>4700</v>
      </c>
      <c r="I70" s="28" t="s">
        <v>4701</v>
      </c>
      <c r="J70" s="28" t="s">
        <v>4702</v>
      </c>
      <c r="K70" s="28" t="s">
        <v>4703</v>
      </c>
      <c r="L70" s="28" t="s">
        <v>4406</v>
      </c>
      <c r="M70" s="143" t="s">
        <v>41</v>
      </c>
      <c r="N70" s="28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spans="1:26" ht="14.4">
      <c r="A71" s="28" t="s">
        <v>4393</v>
      </c>
      <c r="B71" s="28" t="s">
        <v>4400</v>
      </c>
      <c r="C71" s="28" t="s">
        <v>4433</v>
      </c>
      <c r="D71" s="28" t="s">
        <v>86</v>
      </c>
      <c r="E71" s="29" t="s">
        <v>2969</v>
      </c>
      <c r="F71" s="28" t="s">
        <v>4704</v>
      </c>
      <c r="G71" s="28" t="s">
        <v>4705</v>
      </c>
      <c r="H71" s="28" t="s">
        <v>4706</v>
      </c>
      <c r="I71" s="28" t="s">
        <v>3029</v>
      </c>
      <c r="J71" s="28" t="s">
        <v>4707</v>
      </c>
      <c r="K71" s="28" t="s">
        <v>4706</v>
      </c>
      <c r="L71" s="28" t="s">
        <v>4406</v>
      </c>
      <c r="M71" s="143" t="s">
        <v>41</v>
      </c>
      <c r="N71" s="28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spans="1:26" ht="14.4">
      <c r="A72" s="28" t="s">
        <v>4393</v>
      </c>
      <c r="B72" s="28" t="s">
        <v>4400</v>
      </c>
      <c r="C72" s="28" t="s">
        <v>4433</v>
      </c>
      <c r="D72" s="28" t="s">
        <v>86</v>
      </c>
      <c r="E72" s="29" t="s">
        <v>2969</v>
      </c>
      <c r="F72" s="28" t="s">
        <v>4708</v>
      </c>
      <c r="G72" s="28" t="s">
        <v>4709</v>
      </c>
      <c r="H72" s="28" t="s">
        <v>4403</v>
      </c>
      <c r="I72" s="28" t="s">
        <v>4404</v>
      </c>
      <c r="J72" s="28" t="s">
        <v>4710</v>
      </c>
      <c r="K72" s="28" t="s">
        <v>4711</v>
      </c>
      <c r="L72" s="28" t="s">
        <v>4406</v>
      </c>
      <c r="M72" s="143" t="s">
        <v>41</v>
      </c>
      <c r="N72" s="28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spans="1:26" ht="14.4">
      <c r="A73" s="28" t="s">
        <v>4393</v>
      </c>
      <c r="B73" s="28" t="s">
        <v>4400</v>
      </c>
      <c r="C73" s="28" t="s">
        <v>4433</v>
      </c>
      <c r="D73" s="28" t="s">
        <v>86</v>
      </c>
      <c r="E73" s="29" t="s">
        <v>2969</v>
      </c>
      <c r="F73" s="28" t="s">
        <v>4712</v>
      </c>
      <c r="G73" s="28" t="s">
        <v>4713</v>
      </c>
      <c r="H73" s="28" t="s">
        <v>4714</v>
      </c>
      <c r="I73" s="28" t="s">
        <v>4715</v>
      </c>
      <c r="J73" s="28" t="s">
        <v>4716</v>
      </c>
      <c r="K73" s="28" t="s">
        <v>4714</v>
      </c>
      <c r="L73" s="28" t="s">
        <v>4406</v>
      </c>
      <c r="M73" s="143" t="s">
        <v>41</v>
      </c>
      <c r="N73" s="28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spans="1:26" ht="14.4">
      <c r="A74" s="28" t="s">
        <v>4393</v>
      </c>
      <c r="B74" s="28" t="s">
        <v>4407</v>
      </c>
      <c r="C74" s="28" t="s">
        <v>4433</v>
      </c>
      <c r="D74" s="28" t="s">
        <v>86</v>
      </c>
      <c r="E74" s="29" t="s">
        <v>2969</v>
      </c>
      <c r="F74" s="28" t="s">
        <v>4717</v>
      </c>
      <c r="G74" s="28" t="s">
        <v>4718</v>
      </c>
      <c r="H74" s="28" t="s">
        <v>4719</v>
      </c>
      <c r="I74" s="28" t="s">
        <v>2128</v>
      </c>
      <c r="J74" s="28" t="s">
        <v>4720</v>
      </c>
      <c r="K74" s="28" t="s">
        <v>4719</v>
      </c>
      <c r="L74" s="28" t="s">
        <v>2149</v>
      </c>
      <c r="M74" s="143" t="s">
        <v>41</v>
      </c>
      <c r="N74" s="28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spans="1:26" ht="14.4">
      <c r="A75" s="28" t="s">
        <v>4393</v>
      </c>
      <c r="B75" s="28" t="s">
        <v>4407</v>
      </c>
      <c r="C75" s="28" t="s">
        <v>4433</v>
      </c>
      <c r="D75" s="28" t="s">
        <v>86</v>
      </c>
      <c r="E75" s="29" t="s">
        <v>2969</v>
      </c>
      <c r="F75" s="28" t="s">
        <v>4721</v>
      </c>
      <c r="G75" s="28" t="s">
        <v>4722</v>
      </c>
      <c r="H75" s="28" t="s">
        <v>4723</v>
      </c>
      <c r="I75" s="28" t="s">
        <v>2919</v>
      </c>
      <c r="J75" s="28" t="s">
        <v>4724</v>
      </c>
      <c r="K75" s="28" t="s">
        <v>4725</v>
      </c>
      <c r="L75" s="28" t="s">
        <v>989</v>
      </c>
      <c r="M75" s="143" t="s">
        <v>41</v>
      </c>
      <c r="N75" s="28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spans="1:26" ht="14.4">
      <c r="A76" s="28" t="s">
        <v>4393</v>
      </c>
      <c r="B76" s="28" t="s">
        <v>4407</v>
      </c>
      <c r="C76" s="28" t="s">
        <v>4433</v>
      </c>
      <c r="D76" s="28" t="s">
        <v>86</v>
      </c>
      <c r="E76" s="29" t="s">
        <v>2969</v>
      </c>
      <c r="F76" s="28" t="s">
        <v>4726</v>
      </c>
      <c r="G76" s="28" t="s">
        <v>4727</v>
      </c>
      <c r="H76" s="28" t="s">
        <v>4728</v>
      </c>
      <c r="I76" s="28" t="s">
        <v>2106</v>
      </c>
      <c r="J76" s="28" t="s">
        <v>4729</v>
      </c>
      <c r="K76" s="28" t="s">
        <v>4728</v>
      </c>
      <c r="L76" s="28" t="s">
        <v>989</v>
      </c>
      <c r="M76" s="143" t="s">
        <v>41</v>
      </c>
      <c r="N76" s="28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spans="1:26" ht="14.4">
      <c r="A77" s="28" t="s">
        <v>4393</v>
      </c>
      <c r="B77" s="28" t="s">
        <v>4407</v>
      </c>
      <c r="C77" s="28" t="s">
        <v>4433</v>
      </c>
      <c r="D77" s="28" t="s">
        <v>86</v>
      </c>
      <c r="E77" s="29" t="s">
        <v>2969</v>
      </c>
      <c r="F77" s="28" t="s">
        <v>4730</v>
      </c>
      <c r="G77" s="28" t="s">
        <v>4731</v>
      </c>
      <c r="H77" s="28" t="s">
        <v>4732</v>
      </c>
      <c r="I77" s="28" t="s">
        <v>4733</v>
      </c>
      <c r="J77" s="28" t="s">
        <v>4734</v>
      </c>
      <c r="K77" s="28" t="s">
        <v>4732</v>
      </c>
      <c r="L77" s="28" t="s">
        <v>989</v>
      </c>
      <c r="M77" s="143" t="s">
        <v>41</v>
      </c>
      <c r="N77" s="28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spans="1:26" ht="14.4">
      <c r="A78" s="28" t="s">
        <v>4393</v>
      </c>
      <c r="B78" s="28" t="s">
        <v>4407</v>
      </c>
      <c r="C78" s="28" t="s">
        <v>4433</v>
      </c>
      <c r="D78" s="28" t="s">
        <v>86</v>
      </c>
      <c r="E78" s="29" t="s">
        <v>2969</v>
      </c>
      <c r="F78" s="28" t="s">
        <v>4735</v>
      </c>
      <c r="G78" s="28" t="s">
        <v>4736</v>
      </c>
      <c r="H78" s="28" t="s">
        <v>4737</v>
      </c>
      <c r="I78" s="28" t="s">
        <v>2120</v>
      </c>
      <c r="J78" s="28" t="s">
        <v>4738</v>
      </c>
      <c r="K78" s="28" t="s">
        <v>4739</v>
      </c>
      <c r="L78" s="28" t="s">
        <v>989</v>
      </c>
      <c r="M78" s="143" t="s">
        <v>41</v>
      </c>
      <c r="N78" s="28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spans="1:26" ht="14.4">
      <c r="A79" s="28" t="s">
        <v>4393</v>
      </c>
      <c r="B79" s="28" t="s">
        <v>4407</v>
      </c>
      <c r="C79" s="28" t="s">
        <v>4433</v>
      </c>
      <c r="D79" s="28" t="s">
        <v>86</v>
      </c>
      <c r="E79" s="29" t="s">
        <v>2969</v>
      </c>
      <c r="F79" s="28" t="s">
        <v>4740</v>
      </c>
      <c r="G79" s="28" t="s">
        <v>4741</v>
      </c>
      <c r="H79" s="28" t="s">
        <v>4742</v>
      </c>
      <c r="I79" s="28" t="s">
        <v>4743</v>
      </c>
      <c r="J79" s="28" t="s">
        <v>4744</v>
      </c>
      <c r="K79" s="28" t="s">
        <v>4745</v>
      </c>
      <c r="L79" s="28" t="s">
        <v>2166</v>
      </c>
      <c r="M79" s="143" t="s">
        <v>41</v>
      </c>
      <c r="N79" s="28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spans="1:26" ht="14.4">
      <c r="A80" s="28" t="s">
        <v>4393</v>
      </c>
      <c r="B80" s="28" t="s">
        <v>4407</v>
      </c>
      <c r="C80" s="28" t="s">
        <v>4433</v>
      </c>
      <c r="D80" s="28" t="s">
        <v>86</v>
      </c>
      <c r="E80" s="29" t="s">
        <v>2969</v>
      </c>
      <c r="F80" s="28" t="s">
        <v>4746</v>
      </c>
      <c r="G80" s="28" t="s">
        <v>4747</v>
      </c>
      <c r="H80" s="28" t="s">
        <v>4748</v>
      </c>
      <c r="I80" s="28" t="s">
        <v>2194</v>
      </c>
      <c r="J80" s="28" t="s">
        <v>4749</v>
      </c>
      <c r="K80" s="28" t="s">
        <v>4748</v>
      </c>
      <c r="L80" s="28" t="s">
        <v>2336</v>
      </c>
      <c r="M80" s="143" t="s">
        <v>41</v>
      </c>
      <c r="N80" s="28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spans="1:26" ht="14.4">
      <c r="A81" s="28" t="s">
        <v>4393</v>
      </c>
      <c r="B81" s="28" t="s">
        <v>4407</v>
      </c>
      <c r="C81" s="28" t="s">
        <v>4433</v>
      </c>
      <c r="D81" s="28" t="s">
        <v>86</v>
      </c>
      <c r="E81" s="29" t="s">
        <v>2969</v>
      </c>
      <c r="F81" s="28" t="s">
        <v>4750</v>
      </c>
      <c r="G81" s="28" t="s">
        <v>4751</v>
      </c>
      <c r="H81" s="28" t="s">
        <v>4752</v>
      </c>
      <c r="I81" s="28" t="s">
        <v>4753</v>
      </c>
      <c r="J81" s="28" t="s">
        <v>4754</v>
      </c>
      <c r="K81" s="28" t="s">
        <v>4752</v>
      </c>
      <c r="L81" s="28" t="s">
        <v>2149</v>
      </c>
      <c r="M81" s="143" t="s">
        <v>41</v>
      </c>
      <c r="N81" s="28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spans="1:26" ht="14.4">
      <c r="A82" s="28" t="s">
        <v>4393</v>
      </c>
      <c r="B82" s="28" t="s">
        <v>4407</v>
      </c>
      <c r="C82" s="28" t="s">
        <v>4433</v>
      </c>
      <c r="D82" s="28" t="s">
        <v>86</v>
      </c>
      <c r="E82" s="29" t="s">
        <v>2969</v>
      </c>
      <c r="F82" s="28" t="s">
        <v>4755</v>
      </c>
      <c r="G82" s="28" t="s">
        <v>4756</v>
      </c>
      <c r="H82" s="28" t="s">
        <v>4410</v>
      </c>
      <c r="I82" s="28" t="s">
        <v>4411</v>
      </c>
      <c r="J82" s="28" t="s">
        <v>4757</v>
      </c>
      <c r="K82" s="28" t="s">
        <v>4758</v>
      </c>
      <c r="L82" s="28" t="s">
        <v>2149</v>
      </c>
      <c r="M82" s="143" t="s">
        <v>41</v>
      </c>
      <c r="N82" s="28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spans="1:26" ht="14.4">
      <c r="A83" s="28" t="s">
        <v>4393</v>
      </c>
      <c r="B83" s="28" t="s">
        <v>4407</v>
      </c>
      <c r="C83" s="28" t="s">
        <v>4433</v>
      </c>
      <c r="D83" s="28" t="s">
        <v>86</v>
      </c>
      <c r="E83" s="29" t="s">
        <v>2969</v>
      </c>
      <c r="F83" s="28" t="s">
        <v>4759</v>
      </c>
      <c r="G83" s="28" t="s">
        <v>4760</v>
      </c>
      <c r="H83" s="28" t="s">
        <v>4761</v>
      </c>
      <c r="I83" s="28" t="s">
        <v>1914</v>
      </c>
      <c r="J83" s="28" t="s">
        <v>4762</v>
      </c>
      <c r="K83" s="28" t="s">
        <v>4763</v>
      </c>
      <c r="L83" s="28" t="s">
        <v>4764</v>
      </c>
      <c r="M83" s="143" t="s">
        <v>41</v>
      </c>
      <c r="N83" s="28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spans="1:26" ht="14.4">
      <c r="A84" s="28" t="s">
        <v>4393</v>
      </c>
      <c r="B84" s="28" t="s">
        <v>4407</v>
      </c>
      <c r="C84" s="28" t="s">
        <v>4433</v>
      </c>
      <c r="D84" s="28" t="s">
        <v>86</v>
      </c>
      <c r="E84" s="29" t="s">
        <v>2969</v>
      </c>
      <c r="F84" s="28" t="s">
        <v>4765</v>
      </c>
      <c r="G84" s="28" t="s">
        <v>4766</v>
      </c>
      <c r="H84" s="28" t="s">
        <v>4767</v>
      </c>
      <c r="I84" s="28" t="s">
        <v>2180</v>
      </c>
      <c r="J84" s="28" t="s">
        <v>4768</v>
      </c>
      <c r="K84" s="28" t="s">
        <v>4767</v>
      </c>
      <c r="L84" s="28" t="s">
        <v>2149</v>
      </c>
      <c r="M84" s="143" t="s">
        <v>41</v>
      </c>
      <c r="N84" s="28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spans="1:26" ht="14.4">
      <c r="A85" s="28" t="s">
        <v>4393</v>
      </c>
      <c r="B85" s="28" t="s">
        <v>4407</v>
      </c>
      <c r="C85" s="28" t="s">
        <v>4433</v>
      </c>
      <c r="D85" s="28" t="s">
        <v>86</v>
      </c>
      <c r="E85" s="29" t="s">
        <v>2969</v>
      </c>
      <c r="F85" s="28" t="s">
        <v>4769</v>
      </c>
      <c r="G85" s="28" t="s">
        <v>4770</v>
      </c>
      <c r="H85" s="28" t="s">
        <v>4771</v>
      </c>
      <c r="I85" s="28" t="s">
        <v>4465</v>
      </c>
      <c r="J85" s="28" t="s">
        <v>4772</v>
      </c>
      <c r="K85" s="28" t="s">
        <v>4771</v>
      </c>
      <c r="L85" s="28" t="s">
        <v>2149</v>
      </c>
      <c r="M85" s="143" t="s">
        <v>41</v>
      </c>
      <c r="N85" s="28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spans="1:26" ht="14.4">
      <c r="A86" s="28" t="s">
        <v>4393</v>
      </c>
      <c r="B86" s="28" t="s">
        <v>4412</v>
      </c>
      <c r="C86" s="28" t="s">
        <v>4433</v>
      </c>
      <c r="D86" s="28" t="s">
        <v>86</v>
      </c>
      <c r="E86" s="29" t="s">
        <v>2969</v>
      </c>
      <c r="F86" s="28" t="s">
        <v>4773</v>
      </c>
      <c r="G86" s="28" t="s">
        <v>4774</v>
      </c>
      <c r="H86" s="28" t="s">
        <v>4775</v>
      </c>
      <c r="I86" s="28" t="s">
        <v>4776</v>
      </c>
      <c r="J86" s="28" t="s">
        <v>4777</v>
      </c>
      <c r="K86" s="28" t="s">
        <v>4775</v>
      </c>
      <c r="L86" s="28" t="s">
        <v>4778</v>
      </c>
      <c r="M86" s="143" t="s">
        <v>41</v>
      </c>
      <c r="N86" s="28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spans="1:26" ht="14.4">
      <c r="A87" s="28" t="s">
        <v>4393</v>
      </c>
      <c r="B87" s="28" t="s">
        <v>4412</v>
      </c>
      <c r="C87" s="28" t="s">
        <v>4433</v>
      </c>
      <c r="D87" s="28" t="s">
        <v>86</v>
      </c>
      <c r="E87" s="29" t="s">
        <v>2969</v>
      </c>
      <c r="F87" s="28" t="s">
        <v>4779</v>
      </c>
      <c r="G87" s="28" t="s">
        <v>4780</v>
      </c>
      <c r="H87" s="28" t="s">
        <v>4781</v>
      </c>
      <c r="I87" s="28" t="s">
        <v>3498</v>
      </c>
      <c r="J87" s="28" t="s">
        <v>4782</v>
      </c>
      <c r="K87" s="28" t="s">
        <v>4781</v>
      </c>
      <c r="L87" s="28" t="s">
        <v>4778</v>
      </c>
      <c r="M87" s="143" t="s">
        <v>41</v>
      </c>
      <c r="N87" s="28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spans="1:26" ht="14.4">
      <c r="A88" s="28" t="s">
        <v>4393</v>
      </c>
      <c r="B88" s="28" t="s">
        <v>4412</v>
      </c>
      <c r="C88" s="28" t="s">
        <v>4433</v>
      </c>
      <c r="D88" s="28" t="s">
        <v>86</v>
      </c>
      <c r="E88" s="29" t="s">
        <v>2969</v>
      </c>
      <c r="F88" s="28" t="s">
        <v>4783</v>
      </c>
      <c r="G88" s="28" t="s">
        <v>4784</v>
      </c>
      <c r="H88" s="28" t="s">
        <v>4785</v>
      </c>
      <c r="I88" s="28" t="s">
        <v>4786</v>
      </c>
      <c r="J88" s="28" t="s">
        <v>4787</v>
      </c>
      <c r="K88" s="28" t="s">
        <v>4785</v>
      </c>
      <c r="L88" s="28" t="s">
        <v>4778</v>
      </c>
      <c r="M88" s="143" t="s">
        <v>41</v>
      </c>
      <c r="N88" s="28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spans="1:26" ht="14.4">
      <c r="A89" s="28" t="s">
        <v>4393</v>
      </c>
      <c r="B89" s="28" t="s">
        <v>4412</v>
      </c>
      <c r="C89" s="28" t="s">
        <v>4433</v>
      </c>
      <c r="D89" s="28" t="s">
        <v>86</v>
      </c>
      <c r="E89" s="29" t="s">
        <v>2969</v>
      </c>
      <c r="F89" s="28" t="s">
        <v>4788</v>
      </c>
      <c r="G89" s="28" t="s">
        <v>4789</v>
      </c>
      <c r="H89" s="28" t="s">
        <v>4790</v>
      </c>
      <c r="I89" s="28" t="s">
        <v>4791</v>
      </c>
      <c r="J89" s="28" t="s">
        <v>4792</v>
      </c>
      <c r="K89" s="28" t="s">
        <v>4790</v>
      </c>
      <c r="L89" s="28" t="s">
        <v>4778</v>
      </c>
      <c r="M89" s="143" t="s">
        <v>41</v>
      </c>
      <c r="N89" s="28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spans="1:26" ht="14.4">
      <c r="A90" s="28" t="s">
        <v>4393</v>
      </c>
      <c r="B90" s="28" t="s">
        <v>4412</v>
      </c>
      <c r="C90" s="28" t="s">
        <v>4433</v>
      </c>
      <c r="D90" s="28" t="s">
        <v>86</v>
      </c>
      <c r="E90" s="29" t="s">
        <v>2969</v>
      </c>
      <c r="F90" s="28" t="s">
        <v>4793</v>
      </c>
      <c r="G90" s="28" t="s">
        <v>4794</v>
      </c>
      <c r="H90" s="28" t="s">
        <v>4795</v>
      </c>
      <c r="I90" s="28" t="s">
        <v>4007</v>
      </c>
      <c r="J90" s="28" t="s">
        <v>4796</v>
      </c>
      <c r="K90" s="28" t="s">
        <v>4795</v>
      </c>
      <c r="L90" s="28" t="s">
        <v>2336</v>
      </c>
      <c r="M90" s="143" t="s">
        <v>41</v>
      </c>
      <c r="N90" s="28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spans="1:26" ht="14.4">
      <c r="A91" s="28" t="s">
        <v>4393</v>
      </c>
      <c r="B91" s="28" t="s">
        <v>4412</v>
      </c>
      <c r="C91" s="28" t="s">
        <v>4433</v>
      </c>
      <c r="D91" s="28" t="s">
        <v>86</v>
      </c>
      <c r="E91" s="29" t="s">
        <v>2969</v>
      </c>
      <c r="F91" s="28" t="s">
        <v>4797</v>
      </c>
      <c r="G91" s="28" t="s">
        <v>4798</v>
      </c>
      <c r="H91" s="28" t="s">
        <v>4799</v>
      </c>
      <c r="I91" s="28" t="s">
        <v>3243</v>
      </c>
      <c r="J91" s="28" t="s">
        <v>4800</v>
      </c>
      <c r="K91" s="28" t="s">
        <v>4799</v>
      </c>
      <c r="L91" s="28" t="s">
        <v>2895</v>
      </c>
      <c r="M91" s="143" t="s">
        <v>41</v>
      </c>
      <c r="N91" s="28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spans="1:26" ht="14.4">
      <c r="A92" s="28" t="s">
        <v>4393</v>
      </c>
      <c r="B92" s="28" t="s">
        <v>4412</v>
      </c>
      <c r="C92" s="28" t="s">
        <v>4433</v>
      </c>
      <c r="D92" s="28" t="s">
        <v>86</v>
      </c>
      <c r="E92" s="29" t="s">
        <v>2969</v>
      </c>
      <c r="F92" s="28" t="s">
        <v>4801</v>
      </c>
      <c r="G92" s="28" t="s">
        <v>4802</v>
      </c>
      <c r="H92" s="28" t="s">
        <v>4803</v>
      </c>
      <c r="I92" s="28" t="s">
        <v>3243</v>
      </c>
      <c r="J92" s="28" t="s">
        <v>4804</v>
      </c>
      <c r="K92" s="28" t="s">
        <v>4803</v>
      </c>
      <c r="L92" s="28" t="s">
        <v>4607</v>
      </c>
      <c r="M92" s="143" t="s">
        <v>41</v>
      </c>
      <c r="N92" s="28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spans="1:26" ht="14.4">
      <c r="A93" s="28" t="s">
        <v>4393</v>
      </c>
      <c r="B93" s="28" t="s">
        <v>4412</v>
      </c>
      <c r="C93" s="28" t="s">
        <v>4433</v>
      </c>
      <c r="D93" s="28" t="s">
        <v>86</v>
      </c>
      <c r="E93" s="29" t="s">
        <v>2969</v>
      </c>
      <c r="F93" s="28" t="s">
        <v>4805</v>
      </c>
      <c r="G93" s="28" t="s">
        <v>4806</v>
      </c>
      <c r="H93" s="28" t="s">
        <v>4807</v>
      </c>
      <c r="I93" s="28" t="s">
        <v>521</v>
      </c>
      <c r="J93" s="28" t="s">
        <v>4808</v>
      </c>
      <c r="K93" s="28" t="s">
        <v>4807</v>
      </c>
      <c r="L93" s="28" t="s">
        <v>4607</v>
      </c>
      <c r="M93" s="143" t="s">
        <v>41</v>
      </c>
      <c r="N93" s="28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spans="1:26" ht="14.4">
      <c r="A94" s="28" t="s">
        <v>4393</v>
      </c>
      <c r="B94" s="28" t="s">
        <v>4412</v>
      </c>
      <c r="C94" s="28" t="s">
        <v>4433</v>
      </c>
      <c r="D94" s="28" t="s">
        <v>86</v>
      </c>
      <c r="E94" s="29" t="s">
        <v>2969</v>
      </c>
      <c r="F94" s="28" t="s">
        <v>4809</v>
      </c>
      <c r="G94" s="28" t="s">
        <v>4810</v>
      </c>
      <c r="H94" s="28" t="s">
        <v>4811</v>
      </c>
      <c r="I94" s="28" t="s">
        <v>689</v>
      </c>
      <c r="J94" s="28" t="s">
        <v>4812</v>
      </c>
      <c r="K94" s="28" t="s">
        <v>4811</v>
      </c>
      <c r="L94" s="28" t="s">
        <v>4778</v>
      </c>
      <c r="M94" s="143" t="s">
        <v>41</v>
      </c>
      <c r="N94" s="28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spans="1:26" ht="14.4">
      <c r="A95" s="28" t="s">
        <v>4393</v>
      </c>
      <c r="B95" s="28" t="s">
        <v>4412</v>
      </c>
      <c r="C95" s="28" t="s">
        <v>4433</v>
      </c>
      <c r="D95" s="28" t="s">
        <v>86</v>
      </c>
      <c r="E95" s="29" t="s">
        <v>2969</v>
      </c>
      <c r="F95" s="28" t="s">
        <v>4814</v>
      </c>
      <c r="G95" s="28" t="s">
        <v>4815</v>
      </c>
      <c r="H95" s="28" t="s">
        <v>4817</v>
      </c>
      <c r="I95" s="28" t="s">
        <v>3573</v>
      </c>
      <c r="J95" s="28" t="s">
        <v>4818</v>
      </c>
      <c r="K95" s="28" t="s">
        <v>4817</v>
      </c>
      <c r="L95" s="28" t="s">
        <v>4778</v>
      </c>
      <c r="M95" s="143" t="s">
        <v>41</v>
      </c>
      <c r="N95" s="28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spans="1:26" ht="14.4">
      <c r="A96" s="28" t="s">
        <v>4393</v>
      </c>
      <c r="B96" s="28" t="s">
        <v>4412</v>
      </c>
      <c r="C96" s="28" t="s">
        <v>4433</v>
      </c>
      <c r="D96" s="28" t="s">
        <v>86</v>
      </c>
      <c r="E96" s="29" t="s">
        <v>2969</v>
      </c>
      <c r="F96" s="28" t="s">
        <v>4820</v>
      </c>
      <c r="G96" s="28" t="s">
        <v>4821</v>
      </c>
      <c r="H96" s="28" t="s">
        <v>4822</v>
      </c>
      <c r="I96" s="28" t="s">
        <v>4823</v>
      </c>
      <c r="J96" s="28" t="s">
        <v>4825</v>
      </c>
      <c r="K96" s="28" t="s">
        <v>4822</v>
      </c>
      <c r="L96" s="28" t="s">
        <v>2895</v>
      </c>
      <c r="M96" s="143" t="s">
        <v>41</v>
      </c>
      <c r="N96" s="28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spans="1:26" ht="14.4">
      <c r="A97" s="28" t="s">
        <v>4393</v>
      </c>
      <c r="B97" s="28" t="s">
        <v>4412</v>
      </c>
      <c r="C97" s="28" t="s">
        <v>4433</v>
      </c>
      <c r="D97" s="28" t="s">
        <v>86</v>
      </c>
      <c r="E97" s="29" t="s">
        <v>2969</v>
      </c>
      <c r="F97" s="28" t="s">
        <v>4828</v>
      </c>
      <c r="G97" s="28" t="s">
        <v>4829</v>
      </c>
      <c r="H97" s="28" t="s">
        <v>4830</v>
      </c>
      <c r="I97" s="28" t="s">
        <v>521</v>
      </c>
      <c r="J97" s="28" t="s">
        <v>4831</v>
      </c>
      <c r="K97" s="28" t="s">
        <v>4830</v>
      </c>
      <c r="L97" s="28" t="s">
        <v>2895</v>
      </c>
      <c r="M97" s="143" t="s">
        <v>41</v>
      </c>
      <c r="N97" s="28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spans="1:26" ht="14.4">
      <c r="A98" s="28" t="s">
        <v>4393</v>
      </c>
      <c r="B98" s="28" t="s">
        <v>1379</v>
      </c>
      <c r="C98" s="28" t="s">
        <v>4833</v>
      </c>
      <c r="D98" s="29" t="s">
        <v>234</v>
      </c>
      <c r="E98" s="29" t="s">
        <v>2969</v>
      </c>
      <c r="F98" s="28" t="s">
        <v>4834</v>
      </c>
      <c r="G98" s="28" t="s">
        <v>4835</v>
      </c>
      <c r="H98" s="28" t="s">
        <v>4836</v>
      </c>
      <c r="I98" s="28" t="s">
        <v>2180</v>
      </c>
      <c r="J98" s="28" t="s">
        <v>4838</v>
      </c>
      <c r="K98" s="28" t="s">
        <v>4839</v>
      </c>
      <c r="L98" s="28" t="s">
        <v>989</v>
      </c>
      <c r="M98" s="143" t="s">
        <v>41</v>
      </c>
      <c r="N98" s="28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spans="1:26" ht="14.4">
      <c r="A99" s="28" t="s">
        <v>4393</v>
      </c>
      <c r="B99" s="28" t="s">
        <v>1379</v>
      </c>
      <c r="C99" s="28" t="s">
        <v>4833</v>
      </c>
      <c r="D99" s="29" t="s">
        <v>234</v>
      </c>
      <c r="E99" s="29" t="s">
        <v>2969</v>
      </c>
      <c r="F99" s="28" t="s">
        <v>4843</v>
      </c>
      <c r="G99" s="28" t="s">
        <v>4845</v>
      </c>
      <c r="H99" s="28" t="s">
        <v>4464</v>
      </c>
      <c r="I99" s="28" t="s">
        <v>4465</v>
      </c>
      <c r="J99" s="28" t="s">
        <v>4849</v>
      </c>
      <c r="K99" s="28" t="s">
        <v>4850</v>
      </c>
      <c r="L99" s="28" t="s">
        <v>2996</v>
      </c>
      <c r="M99" s="143" t="s">
        <v>41</v>
      </c>
      <c r="N99" s="28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spans="1:26" ht="14.4">
      <c r="A100" s="28" t="s">
        <v>4393</v>
      </c>
      <c r="B100" s="28" t="s">
        <v>1379</v>
      </c>
      <c r="C100" s="28" t="s">
        <v>4833</v>
      </c>
      <c r="D100" s="29" t="s">
        <v>234</v>
      </c>
      <c r="E100" s="29" t="s">
        <v>2969</v>
      </c>
      <c r="F100" s="28" t="s">
        <v>4857</v>
      </c>
      <c r="G100" s="28" t="s">
        <v>4858</v>
      </c>
      <c r="H100" s="28" t="s">
        <v>4446</v>
      </c>
      <c r="I100" s="28" t="s">
        <v>1804</v>
      </c>
      <c r="J100" s="28" t="s">
        <v>4860</v>
      </c>
      <c r="K100" s="28" t="s">
        <v>4850</v>
      </c>
      <c r="L100" s="28" t="s">
        <v>2996</v>
      </c>
      <c r="M100" s="143" t="s">
        <v>41</v>
      </c>
      <c r="N100" s="28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spans="1:26" ht="14.4">
      <c r="A101" s="28" t="s">
        <v>4393</v>
      </c>
      <c r="B101" s="28" t="s">
        <v>1379</v>
      </c>
      <c r="C101" s="28" t="s">
        <v>4833</v>
      </c>
      <c r="D101" s="29" t="s">
        <v>234</v>
      </c>
      <c r="E101" s="29" t="s">
        <v>2969</v>
      </c>
      <c r="F101" s="28" t="s">
        <v>4865</v>
      </c>
      <c r="G101" s="28" t="s">
        <v>4866</v>
      </c>
      <c r="H101" s="28" t="s">
        <v>4867</v>
      </c>
      <c r="I101" s="28" t="s">
        <v>4868</v>
      </c>
      <c r="J101" s="28" t="s">
        <v>4869</v>
      </c>
      <c r="K101" s="28" t="s">
        <v>4870</v>
      </c>
      <c r="L101" s="28" t="s">
        <v>4480</v>
      </c>
      <c r="M101" s="143" t="s">
        <v>41</v>
      </c>
      <c r="N101" s="28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spans="1:26" ht="14.4">
      <c r="A102" s="28" t="s">
        <v>4393</v>
      </c>
      <c r="B102" s="28" t="s">
        <v>1379</v>
      </c>
      <c r="C102" s="28" t="s">
        <v>4833</v>
      </c>
      <c r="D102" s="29" t="s">
        <v>234</v>
      </c>
      <c r="E102" s="29" t="s">
        <v>2969</v>
      </c>
      <c r="F102" s="28" t="s">
        <v>4875</v>
      </c>
      <c r="G102" s="28" t="s">
        <v>4876</v>
      </c>
      <c r="H102" s="28" t="s">
        <v>4460</v>
      </c>
      <c r="I102" s="28" t="s">
        <v>2120</v>
      </c>
      <c r="J102" s="28" t="s">
        <v>4877</v>
      </c>
      <c r="K102" s="28" t="s">
        <v>4878</v>
      </c>
      <c r="L102" s="28" t="s">
        <v>526</v>
      </c>
      <c r="M102" s="143" t="s">
        <v>41</v>
      </c>
      <c r="N102" s="28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spans="1:26" ht="14.4">
      <c r="A103" s="28" t="s">
        <v>4393</v>
      </c>
      <c r="B103" s="28" t="s">
        <v>1379</v>
      </c>
      <c r="C103" s="28" t="s">
        <v>4833</v>
      </c>
      <c r="D103" s="29" t="s">
        <v>234</v>
      </c>
      <c r="E103" s="29" t="s">
        <v>2969</v>
      </c>
      <c r="F103" s="28" t="s">
        <v>4885</v>
      </c>
      <c r="G103" s="28" t="s">
        <v>4886</v>
      </c>
      <c r="H103" s="28" t="s">
        <v>4887</v>
      </c>
      <c r="I103" s="28" t="s">
        <v>4641</v>
      </c>
      <c r="J103" s="28" t="s">
        <v>4888</v>
      </c>
      <c r="K103" s="28" t="s">
        <v>4889</v>
      </c>
      <c r="L103" s="28" t="s">
        <v>989</v>
      </c>
      <c r="M103" s="143" t="s">
        <v>41</v>
      </c>
      <c r="N103" s="28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spans="1:26" ht="14.4">
      <c r="A104" s="28" t="s">
        <v>4393</v>
      </c>
      <c r="B104" s="28" t="s">
        <v>1379</v>
      </c>
      <c r="C104" s="28" t="s">
        <v>4833</v>
      </c>
      <c r="D104" s="29" t="s">
        <v>234</v>
      </c>
      <c r="E104" s="29" t="s">
        <v>2969</v>
      </c>
      <c r="F104" s="28" t="s">
        <v>4894</v>
      </c>
      <c r="G104" s="28" t="s">
        <v>4895</v>
      </c>
      <c r="H104" s="28" t="s">
        <v>4887</v>
      </c>
      <c r="I104" s="28" t="s">
        <v>4641</v>
      </c>
      <c r="J104" s="28" t="s">
        <v>4896</v>
      </c>
      <c r="K104" s="28" t="s">
        <v>4887</v>
      </c>
      <c r="L104" s="28" t="s">
        <v>989</v>
      </c>
      <c r="M104" s="143" t="s">
        <v>41</v>
      </c>
      <c r="N104" s="28" t="s">
        <v>4898</v>
      </c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spans="1:26" ht="14.4">
      <c r="A105" s="28" t="s">
        <v>4393</v>
      </c>
      <c r="B105" s="28" t="s">
        <v>4394</v>
      </c>
      <c r="C105" s="28" t="s">
        <v>4833</v>
      </c>
      <c r="D105" s="29" t="s">
        <v>234</v>
      </c>
      <c r="E105" s="29" t="s">
        <v>2969</v>
      </c>
      <c r="F105" s="28" t="s">
        <v>2266</v>
      </c>
      <c r="G105" s="28" t="s">
        <v>4903</v>
      </c>
      <c r="H105" s="28" t="s">
        <v>4904</v>
      </c>
      <c r="I105" s="28" t="s">
        <v>4905</v>
      </c>
      <c r="J105" s="28" t="s">
        <v>4906</v>
      </c>
      <c r="K105" s="28" t="s">
        <v>4904</v>
      </c>
      <c r="L105" s="28" t="s">
        <v>989</v>
      </c>
      <c r="M105" s="143" t="s">
        <v>41</v>
      </c>
      <c r="N105" s="28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spans="1:26" ht="14.4">
      <c r="A106" s="28" t="s">
        <v>4393</v>
      </c>
      <c r="B106" s="28" t="s">
        <v>4394</v>
      </c>
      <c r="C106" s="28" t="s">
        <v>4833</v>
      </c>
      <c r="D106" s="29" t="s">
        <v>234</v>
      </c>
      <c r="E106" s="29" t="s">
        <v>2969</v>
      </c>
      <c r="F106" s="28" t="s">
        <v>4911</v>
      </c>
      <c r="G106" s="28" t="s">
        <v>4912</v>
      </c>
      <c r="H106" s="28" t="s">
        <v>4492</v>
      </c>
      <c r="I106" s="28" t="s">
        <v>4493</v>
      </c>
      <c r="J106" s="28" t="s">
        <v>4913</v>
      </c>
      <c r="K106" s="28" t="s">
        <v>4492</v>
      </c>
      <c r="L106" s="28" t="s">
        <v>2149</v>
      </c>
      <c r="M106" s="143" t="s">
        <v>41</v>
      </c>
      <c r="N106" s="28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spans="1:26" ht="14.4">
      <c r="A107" s="28" t="s">
        <v>4393</v>
      </c>
      <c r="B107" s="28" t="s">
        <v>4394</v>
      </c>
      <c r="C107" s="28" t="s">
        <v>4833</v>
      </c>
      <c r="D107" s="29" t="s">
        <v>234</v>
      </c>
      <c r="E107" s="29" t="s">
        <v>2969</v>
      </c>
      <c r="F107" s="28" t="s">
        <v>4917</v>
      </c>
      <c r="G107" s="28" t="s">
        <v>4918</v>
      </c>
      <c r="H107" s="28" t="s">
        <v>4492</v>
      </c>
      <c r="I107" s="28" t="s">
        <v>4493</v>
      </c>
      <c r="J107" s="28" t="s">
        <v>4919</v>
      </c>
      <c r="K107" s="28" t="s">
        <v>4492</v>
      </c>
      <c r="L107" s="28" t="s">
        <v>2149</v>
      </c>
      <c r="M107" s="143" t="s">
        <v>41</v>
      </c>
      <c r="N107" s="28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spans="1:26" ht="14.4">
      <c r="A108" s="28" t="s">
        <v>4393</v>
      </c>
      <c r="B108" s="28" t="s">
        <v>4549</v>
      </c>
      <c r="C108" s="28" t="s">
        <v>4833</v>
      </c>
      <c r="D108" s="29" t="s">
        <v>234</v>
      </c>
      <c r="E108" s="29" t="s">
        <v>2969</v>
      </c>
      <c r="F108" s="28" t="s">
        <v>4924</v>
      </c>
      <c r="G108" s="28" t="s">
        <v>4925</v>
      </c>
      <c r="H108" s="28" t="s">
        <v>4926</v>
      </c>
      <c r="I108" s="28" t="s">
        <v>4927</v>
      </c>
      <c r="J108" s="28" t="s">
        <v>4928</v>
      </c>
      <c r="K108" s="28" t="s">
        <v>4926</v>
      </c>
      <c r="L108" s="28" t="s">
        <v>4931</v>
      </c>
      <c r="M108" s="143" t="s">
        <v>41</v>
      </c>
      <c r="N108" s="28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spans="1:26" ht="14.4">
      <c r="A109" s="28" t="s">
        <v>4393</v>
      </c>
      <c r="B109" s="28" t="s">
        <v>4549</v>
      </c>
      <c r="C109" s="28" t="s">
        <v>4833</v>
      </c>
      <c r="D109" s="29" t="s">
        <v>234</v>
      </c>
      <c r="E109" s="29" t="s">
        <v>2969</v>
      </c>
      <c r="F109" s="28" t="s">
        <v>2850</v>
      </c>
      <c r="G109" s="28" t="s">
        <v>4935</v>
      </c>
      <c r="H109" s="28" t="s">
        <v>4936</v>
      </c>
      <c r="I109" s="28" t="s">
        <v>4937</v>
      </c>
      <c r="J109" s="28" t="s">
        <v>4938</v>
      </c>
      <c r="K109" s="28" t="s">
        <v>4936</v>
      </c>
      <c r="L109" s="28" t="s">
        <v>2166</v>
      </c>
      <c r="M109" s="143" t="s">
        <v>41</v>
      </c>
      <c r="N109" s="28" t="s">
        <v>4898</v>
      </c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spans="1:26" ht="14.4">
      <c r="A110" s="28" t="s">
        <v>4393</v>
      </c>
      <c r="B110" s="28" t="s">
        <v>4596</v>
      </c>
      <c r="C110" s="28" t="s">
        <v>4833</v>
      </c>
      <c r="D110" s="29" t="s">
        <v>234</v>
      </c>
      <c r="E110" s="29" t="s">
        <v>2969</v>
      </c>
      <c r="F110" s="28" t="s">
        <v>4942</v>
      </c>
      <c r="G110" s="28" t="s">
        <v>4943</v>
      </c>
      <c r="H110" s="28" t="s">
        <v>4614</v>
      </c>
      <c r="I110" s="28" t="s">
        <v>4615</v>
      </c>
      <c r="J110" s="28" t="s">
        <v>4947</v>
      </c>
      <c r="K110" s="28" t="s">
        <v>4948</v>
      </c>
      <c r="L110" s="28" t="s">
        <v>4649</v>
      </c>
      <c r="M110" s="143" t="s">
        <v>41</v>
      </c>
      <c r="N110" s="28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spans="1:26" ht="14.4">
      <c r="A111" s="28" t="s">
        <v>4393</v>
      </c>
      <c r="B111" s="28" t="s">
        <v>4596</v>
      </c>
      <c r="C111" s="28" t="s">
        <v>4833</v>
      </c>
      <c r="D111" s="29" t="s">
        <v>234</v>
      </c>
      <c r="E111" s="29" t="s">
        <v>2969</v>
      </c>
      <c r="F111" s="28" t="s">
        <v>4951</v>
      </c>
      <c r="G111" s="28" t="s">
        <v>4953</v>
      </c>
      <c r="H111" s="28" t="s">
        <v>4630</v>
      </c>
      <c r="I111" s="28" t="s">
        <v>4631</v>
      </c>
      <c r="J111" s="28" t="s">
        <v>4957</v>
      </c>
      <c r="K111" s="28" t="s">
        <v>4958</v>
      </c>
      <c r="L111" s="28" t="s">
        <v>4649</v>
      </c>
      <c r="M111" s="143" t="s">
        <v>41</v>
      </c>
      <c r="N111" s="28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spans="1:26" ht="14.4">
      <c r="A112" s="28" t="s">
        <v>4393</v>
      </c>
      <c r="B112" s="28" t="s">
        <v>4596</v>
      </c>
      <c r="C112" s="28" t="s">
        <v>4833</v>
      </c>
      <c r="D112" s="29" t="s">
        <v>234</v>
      </c>
      <c r="E112" s="29" t="s">
        <v>2969</v>
      </c>
      <c r="F112" s="28" t="s">
        <v>4961</v>
      </c>
      <c r="G112" s="28" t="s">
        <v>4962</v>
      </c>
      <c r="H112" s="28" t="s">
        <v>4640</v>
      </c>
      <c r="I112" s="28" t="s">
        <v>4641</v>
      </c>
      <c r="J112" s="28" t="s">
        <v>4964</v>
      </c>
      <c r="K112" s="28" t="s">
        <v>4965</v>
      </c>
      <c r="L112" s="28" t="s">
        <v>4649</v>
      </c>
      <c r="M112" s="143" t="s">
        <v>41</v>
      </c>
      <c r="N112" s="28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spans="1:26" ht="14.4">
      <c r="A113" s="28" t="s">
        <v>4393</v>
      </c>
      <c r="B113" s="28" t="s">
        <v>4400</v>
      </c>
      <c r="C113" s="28" t="s">
        <v>4833</v>
      </c>
      <c r="D113" s="29" t="s">
        <v>234</v>
      </c>
      <c r="E113" s="29" t="s">
        <v>2969</v>
      </c>
      <c r="F113" s="28" t="s">
        <v>2612</v>
      </c>
      <c r="G113" s="28" t="s">
        <v>4970</v>
      </c>
      <c r="H113" s="28" t="s">
        <v>4662</v>
      </c>
      <c r="I113" s="28" t="s">
        <v>4663</v>
      </c>
      <c r="J113" s="28" t="s">
        <v>4972</v>
      </c>
      <c r="K113" s="28" t="s">
        <v>4662</v>
      </c>
      <c r="L113" s="28" t="s">
        <v>4406</v>
      </c>
      <c r="M113" s="143" t="s">
        <v>41</v>
      </c>
      <c r="N113" s="28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spans="1:26" ht="14.4">
      <c r="A114" s="28" t="s">
        <v>4393</v>
      </c>
      <c r="B114" s="28" t="s">
        <v>4400</v>
      </c>
      <c r="C114" s="28" t="s">
        <v>4833</v>
      </c>
      <c r="D114" s="29" t="s">
        <v>234</v>
      </c>
      <c r="E114" s="29" t="s">
        <v>2969</v>
      </c>
      <c r="F114" s="28" t="s">
        <v>3048</v>
      </c>
      <c r="G114" s="28" t="s">
        <v>4975</v>
      </c>
      <c r="H114" s="28" t="s">
        <v>4976</v>
      </c>
      <c r="I114" s="28" t="s">
        <v>4691</v>
      </c>
      <c r="J114" s="28" t="s">
        <v>4977</v>
      </c>
      <c r="K114" s="28" t="s">
        <v>4978</v>
      </c>
      <c r="L114" s="28" t="s">
        <v>4406</v>
      </c>
      <c r="M114" s="143" t="s">
        <v>41</v>
      </c>
      <c r="N114" s="28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spans="1:26" ht="14.4">
      <c r="A115" s="28" t="s">
        <v>4393</v>
      </c>
      <c r="B115" s="28" t="s">
        <v>4400</v>
      </c>
      <c r="C115" s="28" t="s">
        <v>4833</v>
      </c>
      <c r="D115" s="29" t="s">
        <v>234</v>
      </c>
      <c r="E115" s="29" t="s">
        <v>2969</v>
      </c>
      <c r="F115" s="28" t="s">
        <v>4984</v>
      </c>
      <c r="G115" s="28" t="s">
        <v>4985</v>
      </c>
      <c r="H115" s="28" t="s">
        <v>4662</v>
      </c>
      <c r="I115" s="28" t="s">
        <v>4663</v>
      </c>
      <c r="J115" s="28" t="s">
        <v>4986</v>
      </c>
      <c r="K115" s="28" t="s">
        <v>4662</v>
      </c>
      <c r="L115" s="28" t="s">
        <v>4406</v>
      </c>
      <c r="M115" s="143" t="s">
        <v>41</v>
      </c>
      <c r="N115" s="28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spans="1:26" ht="14.4">
      <c r="A116" s="28" t="s">
        <v>4393</v>
      </c>
      <c r="B116" s="28" t="s">
        <v>4407</v>
      </c>
      <c r="C116" s="28" t="s">
        <v>4833</v>
      </c>
      <c r="D116" s="29" t="s">
        <v>234</v>
      </c>
      <c r="E116" s="29" t="s">
        <v>2969</v>
      </c>
      <c r="F116" s="28" t="s">
        <v>4989</v>
      </c>
      <c r="G116" s="28" t="s">
        <v>4990</v>
      </c>
      <c r="H116" s="28" t="s">
        <v>4410</v>
      </c>
      <c r="I116" s="28" t="s">
        <v>4411</v>
      </c>
      <c r="J116" s="28" t="s">
        <v>4991</v>
      </c>
      <c r="K116" s="28" t="s">
        <v>4992</v>
      </c>
      <c r="L116" s="28" t="s">
        <v>4649</v>
      </c>
      <c r="M116" s="143" t="s">
        <v>41</v>
      </c>
      <c r="N116" s="28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spans="1:26" ht="14.4">
      <c r="A117" s="28" t="s">
        <v>4393</v>
      </c>
      <c r="B117" s="28" t="s">
        <v>4407</v>
      </c>
      <c r="C117" s="28" t="s">
        <v>4833</v>
      </c>
      <c r="D117" s="29" t="s">
        <v>234</v>
      </c>
      <c r="E117" s="29" t="s">
        <v>2969</v>
      </c>
      <c r="F117" s="28" t="s">
        <v>4993</v>
      </c>
      <c r="G117" s="28" t="s">
        <v>4994</v>
      </c>
      <c r="H117" s="28" t="s">
        <v>4761</v>
      </c>
      <c r="I117" s="28" t="s">
        <v>1914</v>
      </c>
      <c r="J117" s="28" t="s">
        <v>4995</v>
      </c>
      <c r="K117" s="28" t="s">
        <v>4761</v>
      </c>
      <c r="L117" s="28" t="s">
        <v>4764</v>
      </c>
      <c r="M117" s="143" t="s">
        <v>41</v>
      </c>
      <c r="N117" s="28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spans="1:26" ht="14.4">
      <c r="A118" s="28" t="s">
        <v>4393</v>
      </c>
      <c r="B118" s="28" t="s">
        <v>4407</v>
      </c>
      <c r="C118" s="28" t="s">
        <v>4833</v>
      </c>
      <c r="D118" s="29" t="s">
        <v>234</v>
      </c>
      <c r="E118" s="29" t="s">
        <v>2969</v>
      </c>
      <c r="F118" s="28" t="s">
        <v>5000</v>
      </c>
      <c r="G118" s="28" t="s">
        <v>5001</v>
      </c>
      <c r="H118" s="28" t="s">
        <v>4732</v>
      </c>
      <c r="I118" s="28" t="s">
        <v>4733</v>
      </c>
      <c r="J118" s="28" t="s">
        <v>5002</v>
      </c>
      <c r="K118" s="28" t="s">
        <v>5003</v>
      </c>
      <c r="L118" s="28" t="s">
        <v>4649</v>
      </c>
      <c r="M118" s="143" t="s">
        <v>41</v>
      </c>
      <c r="N118" s="28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spans="1:26" ht="14.4">
      <c r="A119" s="28" t="s">
        <v>4393</v>
      </c>
      <c r="B119" s="28" t="s">
        <v>4412</v>
      </c>
      <c r="C119" s="28" t="s">
        <v>4833</v>
      </c>
      <c r="D119" s="29" t="s">
        <v>234</v>
      </c>
      <c r="E119" s="29" t="s">
        <v>2969</v>
      </c>
      <c r="F119" s="28" t="s">
        <v>5008</v>
      </c>
      <c r="G119" s="28" t="s">
        <v>5010</v>
      </c>
      <c r="H119" s="28" t="s">
        <v>5011</v>
      </c>
      <c r="I119" s="28" t="s">
        <v>887</v>
      </c>
      <c r="J119" s="28" t="s">
        <v>5012</v>
      </c>
      <c r="K119" s="28" t="s">
        <v>5011</v>
      </c>
      <c r="L119" s="28" t="s">
        <v>2895</v>
      </c>
      <c r="M119" s="143" t="s">
        <v>41</v>
      </c>
      <c r="N119" s="28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spans="1:26" ht="14.4">
      <c r="A120" s="28" t="s">
        <v>4393</v>
      </c>
      <c r="B120" s="28" t="s">
        <v>4412</v>
      </c>
      <c r="C120" s="28" t="s">
        <v>4833</v>
      </c>
      <c r="D120" s="29" t="s">
        <v>234</v>
      </c>
      <c r="E120" s="29" t="s">
        <v>2969</v>
      </c>
      <c r="F120" s="28" t="s">
        <v>5013</v>
      </c>
      <c r="G120" s="28" t="s">
        <v>5014</v>
      </c>
      <c r="H120" s="28" t="s">
        <v>4817</v>
      </c>
      <c r="I120" s="28" t="s">
        <v>3573</v>
      </c>
      <c r="J120" s="28" t="s">
        <v>5016</v>
      </c>
      <c r="K120" s="28" t="s">
        <v>5018</v>
      </c>
      <c r="L120" s="28" t="s">
        <v>4778</v>
      </c>
      <c r="M120" s="143" t="s">
        <v>41</v>
      </c>
      <c r="N120" s="28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spans="1:26" ht="14.4">
      <c r="A121" s="28" t="s">
        <v>4393</v>
      </c>
      <c r="B121" s="28" t="s">
        <v>1379</v>
      </c>
      <c r="C121" s="28" t="s">
        <v>5021</v>
      </c>
      <c r="D121" s="29" t="s">
        <v>298</v>
      </c>
      <c r="E121" s="29" t="s">
        <v>2969</v>
      </c>
      <c r="F121" s="28" t="s">
        <v>5022</v>
      </c>
      <c r="G121" s="28" t="s">
        <v>5023</v>
      </c>
      <c r="H121" s="28" t="s">
        <v>4867</v>
      </c>
      <c r="I121" s="28" t="s">
        <v>4868</v>
      </c>
      <c r="J121" s="28" t="s">
        <v>5024</v>
      </c>
      <c r="K121" s="28" t="s">
        <v>4867</v>
      </c>
      <c r="L121" s="28" t="s">
        <v>4480</v>
      </c>
      <c r="M121" s="143" t="s">
        <v>41</v>
      </c>
      <c r="N121" s="28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spans="1:26" ht="14.4">
      <c r="A122" s="28" t="s">
        <v>4393</v>
      </c>
      <c r="B122" s="28" t="s">
        <v>1379</v>
      </c>
      <c r="C122" s="28" t="s">
        <v>5021</v>
      </c>
      <c r="D122" s="29" t="s">
        <v>298</v>
      </c>
      <c r="E122" s="29" t="s">
        <v>2969</v>
      </c>
      <c r="F122" s="28" t="s">
        <v>5027</v>
      </c>
      <c r="G122" s="28" t="s">
        <v>5029</v>
      </c>
      <c r="H122" s="28" t="s">
        <v>5030</v>
      </c>
      <c r="I122" s="28" t="s">
        <v>2171</v>
      </c>
      <c r="J122" s="28" t="s">
        <v>5032</v>
      </c>
      <c r="K122" s="28" t="s">
        <v>5030</v>
      </c>
      <c r="L122" s="28" t="s">
        <v>149</v>
      </c>
      <c r="M122" s="143" t="s">
        <v>41</v>
      </c>
      <c r="N122" s="28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spans="1:26" ht="14.4">
      <c r="A123" s="28" t="s">
        <v>4393</v>
      </c>
      <c r="B123" s="28" t="s">
        <v>1379</v>
      </c>
      <c r="C123" s="28" t="s">
        <v>5021</v>
      </c>
      <c r="D123" s="29" t="s">
        <v>298</v>
      </c>
      <c r="E123" s="29" t="s">
        <v>2969</v>
      </c>
      <c r="F123" s="28" t="s">
        <v>5033</v>
      </c>
      <c r="G123" s="28" t="s">
        <v>5034</v>
      </c>
      <c r="H123" s="28" t="s">
        <v>4483</v>
      </c>
      <c r="I123" s="28" t="s">
        <v>4484</v>
      </c>
      <c r="J123" s="28" t="s">
        <v>5036</v>
      </c>
      <c r="K123" s="28" t="s">
        <v>4483</v>
      </c>
      <c r="L123" s="28" t="s">
        <v>1840</v>
      </c>
      <c r="M123" s="143" t="s">
        <v>41</v>
      </c>
      <c r="N123" s="28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spans="1:26" ht="14.4">
      <c r="A124" s="28" t="s">
        <v>4393</v>
      </c>
      <c r="B124" s="28" t="s">
        <v>1379</v>
      </c>
      <c r="C124" s="28" t="s">
        <v>5021</v>
      </c>
      <c r="D124" s="29" t="s">
        <v>298</v>
      </c>
      <c r="E124" s="29" t="s">
        <v>2969</v>
      </c>
      <c r="F124" s="28" t="s">
        <v>5040</v>
      </c>
      <c r="G124" s="28" t="s">
        <v>5041</v>
      </c>
      <c r="H124" s="28" t="s">
        <v>5042</v>
      </c>
      <c r="I124" s="28" t="s">
        <v>3112</v>
      </c>
      <c r="J124" s="28" t="s">
        <v>5043</v>
      </c>
      <c r="K124" s="28" t="s">
        <v>5042</v>
      </c>
      <c r="L124" s="28" t="s">
        <v>4480</v>
      </c>
      <c r="M124" s="143" t="s">
        <v>41</v>
      </c>
      <c r="N124" s="28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spans="1:26" ht="14.4">
      <c r="A125" s="28" t="s">
        <v>4393</v>
      </c>
      <c r="B125" s="28" t="s">
        <v>4394</v>
      </c>
      <c r="C125" s="28" t="s">
        <v>5021</v>
      </c>
      <c r="D125" s="29" t="s">
        <v>298</v>
      </c>
      <c r="E125" s="29" t="s">
        <v>2969</v>
      </c>
      <c r="F125" s="28" t="s">
        <v>5045</v>
      </c>
      <c r="G125" s="28"/>
      <c r="H125" s="28" t="s">
        <v>5047</v>
      </c>
      <c r="I125" s="28" t="s">
        <v>521</v>
      </c>
      <c r="J125" s="28" t="s">
        <v>5048</v>
      </c>
      <c r="K125" s="28" t="s">
        <v>5047</v>
      </c>
      <c r="L125" s="28" t="s">
        <v>2166</v>
      </c>
      <c r="M125" s="143" t="s">
        <v>41</v>
      </c>
      <c r="N125" s="28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spans="1:26" ht="14.4">
      <c r="A126" s="28" t="s">
        <v>4393</v>
      </c>
      <c r="B126" s="28" t="s">
        <v>4394</v>
      </c>
      <c r="C126" s="28" t="s">
        <v>5021</v>
      </c>
      <c r="D126" s="29" t="s">
        <v>298</v>
      </c>
      <c r="E126" s="29" t="s">
        <v>2969</v>
      </c>
      <c r="F126" s="28" t="s">
        <v>5049</v>
      </c>
      <c r="G126" s="28" t="s">
        <v>5050</v>
      </c>
      <c r="H126" s="28" t="s">
        <v>4492</v>
      </c>
      <c r="I126" s="28" t="s">
        <v>4493</v>
      </c>
      <c r="J126" s="28" t="s">
        <v>5051</v>
      </c>
      <c r="K126" s="28" t="s">
        <v>4492</v>
      </c>
      <c r="L126" s="28" t="s">
        <v>2149</v>
      </c>
      <c r="M126" s="143" t="s">
        <v>41</v>
      </c>
      <c r="N126" s="28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spans="1:26" ht="14.4">
      <c r="A127" s="28" t="s">
        <v>4393</v>
      </c>
      <c r="B127" s="28" t="s">
        <v>4394</v>
      </c>
      <c r="C127" s="28" t="s">
        <v>5021</v>
      </c>
      <c r="D127" s="29" t="s">
        <v>298</v>
      </c>
      <c r="E127" s="29" t="s">
        <v>2969</v>
      </c>
      <c r="F127" s="28" t="s">
        <v>5054</v>
      </c>
      <c r="G127" s="28" t="s">
        <v>5055</v>
      </c>
      <c r="H127" s="28" t="s">
        <v>4507</v>
      </c>
      <c r="I127" s="28" t="s">
        <v>4508</v>
      </c>
      <c r="J127" s="28" t="s">
        <v>5056</v>
      </c>
      <c r="K127" s="28" t="s">
        <v>4507</v>
      </c>
      <c r="L127" s="28" t="s">
        <v>2149</v>
      </c>
      <c r="M127" s="143" t="s">
        <v>41</v>
      </c>
      <c r="N127" s="28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spans="1:26" ht="14.4">
      <c r="A128" s="28" t="s">
        <v>4393</v>
      </c>
      <c r="B128" s="28" t="s">
        <v>4549</v>
      </c>
      <c r="C128" s="28" t="s">
        <v>5021</v>
      </c>
      <c r="D128" s="29" t="s">
        <v>298</v>
      </c>
      <c r="E128" s="29" t="s">
        <v>2969</v>
      </c>
      <c r="F128" s="28" t="s">
        <v>5058</v>
      </c>
      <c r="G128" s="28"/>
      <c r="H128" s="28" t="s">
        <v>5060</v>
      </c>
      <c r="I128" s="28" t="s">
        <v>5061</v>
      </c>
      <c r="J128" s="28" t="s">
        <v>5062</v>
      </c>
      <c r="K128" s="28" t="s">
        <v>5060</v>
      </c>
      <c r="L128" s="28" t="s">
        <v>2166</v>
      </c>
      <c r="M128" s="143" t="s">
        <v>41</v>
      </c>
      <c r="N128" s="28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spans="1:26" ht="14.4">
      <c r="A129" s="28" t="s">
        <v>4393</v>
      </c>
      <c r="B129" s="28" t="s">
        <v>4549</v>
      </c>
      <c r="C129" s="28" t="s">
        <v>5021</v>
      </c>
      <c r="D129" s="29" t="s">
        <v>298</v>
      </c>
      <c r="E129" s="29" t="s">
        <v>2969</v>
      </c>
      <c r="F129" s="28" t="s">
        <v>5063</v>
      </c>
      <c r="G129" s="28" t="s">
        <v>5064</v>
      </c>
      <c r="H129" s="28" t="s">
        <v>4926</v>
      </c>
      <c r="I129" s="28" t="s">
        <v>4927</v>
      </c>
      <c r="J129" s="28" t="s">
        <v>4928</v>
      </c>
      <c r="K129" s="28" t="s">
        <v>4926</v>
      </c>
      <c r="L129" s="28" t="s">
        <v>5066</v>
      </c>
      <c r="M129" s="143" t="s">
        <v>41</v>
      </c>
      <c r="N129" s="28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spans="1:26" ht="14.4">
      <c r="A130" s="28" t="s">
        <v>4393</v>
      </c>
      <c r="B130" s="28" t="s">
        <v>4549</v>
      </c>
      <c r="C130" s="28" t="s">
        <v>5021</v>
      </c>
      <c r="D130" s="29" t="s">
        <v>298</v>
      </c>
      <c r="E130" s="29" t="s">
        <v>2969</v>
      </c>
      <c r="F130" s="28" t="s">
        <v>5067</v>
      </c>
      <c r="G130" s="28" t="s">
        <v>5068</v>
      </c>
      <c r="H130" s="28" t="s">
        <v>4564</v>
      </c>
      <c r="I130" s="28" t="s">
        <v>4565</v>
      </c>
      <c r="J130" s="28" t="s">
        <v>4566</v>
      </c>
      <c r="K130" s="28" t="s">
        <v>4564</v>
      </c>
      <c r="L130" s="28" t="s">
        <v>989</v>
      </c>
      <c r="M130" s="143" t="s">
        <v>41</v>
      </c>
      <c r="N130" s="28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spans="1:26" ht="14.4">
      <c r="A131" s="28" t="s">
        <v>4393</v>
      </c>
      <c r="B131" s="28" t="s">
        <v>4596</v>
      </c>
      <c r="C131" s="28" t="s">
        <v>5021</v>
      </c>
      <c r="D131" s="29" t="s">
        <v>298</v>
      </c>
      <c r="E131" s="29" t="s">
        <v>2969</v>
      </c>
      <c r="F131" s="28" t="s">
        <v>5074</v>
      </c>
      <c r="G131" s="28" t="s">
        <v>5075</v>
      </c>
      <c r="H131" s="28" t="s">
        <v>5076</v>
      </c>
      <c r="I131" s="28" t="s">
        <v>3112</v>
      </c>
      <c r="J131" s="28" t="s">
        <v>4995</v>
      </c>
      <c r="K131" s="28" t="s">
        <v>5076</v>
      </c>
      <c r="L131" s="28" t="s">
        <v>5078</v>
      </c>
      <c r="M131" s="143" t="s">
        <v>41</v>
      </c>
      <c r="N131" s="28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spans="1:26" ht="14.4">
      <c r="A132" s="28" t="s">
        <v>4393</v>
      </c>
      <c r="B132" s="28" t="s">
        <v>4596</v>
      </c>
      <c r="C132" s="28" t="s">
        <v>5021</v>
      </c>
      <c r="D132" s="29" t="s">
        <v>298</v>
      </c>
      <c r="E132" s="29" t="s">
        <v>2969</v>
      </c>
      <c r="F132" s="28" t="s">
        <v>5083</v>
      </c>
      <c r="G132" s="28" t="s">
        <v>5084</v>
      </c>
      <c r="H132" s="28" t="s">
        <v>5086</v>
      </c>
      <c r="I132" s="28" t="s">
        <v>5087</v>
      </c>
      <c r="J132" s="28" t="s">
        <v>5088</v>
      </c>
      <c r="K132" s="28" t="s">
        <v>5086</v>
      </c>
      <c r="L132" s="28" t="s">
        <v>5089</v>
      </c>
      <c r="M132" s="143" t="s">
        <v>41</v>
      </c>
      <c r="N132" s="28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spans="1:26" ht="14.4">
      <c r="A133" s="28" t="s">
        <v>4393</v>
      </c>
      <c r="B133" s="28" t="s">
        <v>4596</v>
      </c>
      <c r="C133" s="28" t="s">
        <v>5021</v>
      </c>
      <c r="D133" s="29" t="s">
        <v>298</v>
      </c>
      <c r="E133" s="29" t="s">
        <v>2969</v>
      </c>
      <c r="F133" s="28" t="s">
        <v>5094</v>
      </c>
      <c r="G133" s="28" t="s">
        <v>5096</v>
      </c>
      <c r="H133" s="28" t="s">
        <v>4635</v>
      </c>
      <c r="I133" s="28" t="s">
        <v>4636</v>
      </c>
      <c r="J133" s="28" t="s">
        <v>5097</v>
      </c>
      <c r="K133" s="28" t="s">
        <v>4635</v>
      </c>
      <c r="L133" s="28" t="s">
        <v>4602</v>
      </c>
      <c r="M133" s="143" t="s">
        <v>41</v>
      </c>
      <c r="N133" s="28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spans="1:26" ht="14.4">
      <c r="A134" s="28" t="s">
        <v>4393</v>
      </c>
      <c r="B134" s="28" t="s">
        <v>4400</v>
      </c>
      <c r="C134" s="28" t="s">
        <v>5021</v>
      </c>
      <c r="D134" s="29" t="s">
        <v>298</v>
      </c>
      <c r="E134" s="29" t="s">
        <v>2969</v>
      </c>
      <c r="F134" s="28" t="s">
        <v>5102</v>
      </c>
      <c r="G134" s="28"/>
      <c r="H134" s="28" t="s">
        <v>5103</v>
      </c>
      <c r="I134" s="28" t="s">
        <v>5104</v>
      </c>
      <c r="J134" s="28" t="s">
        <v>5105</v>
      </c>
      <c r="K134" s="28" t="s">
        <v>5103</v>
      </c>
      <c r="L134" s="28" t="s">
        <v>4406</v>
      </c>
      <c r="M134" s="143" t="s">
        <v>41</v>
      </c>
      <c r="N134" s="28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spans="1:26" ht="14.4">
      <c r="A135" s="28" t="s">
        <v>4393</v>
      </c>
      <c r="B135" s="28" t="s">
        <v>4400</v>
      </c>
      <c r="C135" s="28" t="s">
        <v>5021</v>
      </c>
      <c r="D135" s="29" t="s">
        <v>298</v>
      </c>
      <c r="E135" s="29" t="s">
        <v>2969</v>
      </c>
      <c r="F135" s="28" t="s">
        <v>5107</v>
      </c>
      <c r="G135" s="28" t="s">
        <v>5109</v>
      </c>
      <c r="H135" s="28" t="s">
        <v>5111</v>
      </c>
      <c r="I135" s="28" t="s">
        <v>5112</v>
      </c>
      <c r="J135" s="28" t="s">
        <v>5113</v>
      </c>
      <c r="K135" s="28" t="s">
        <v>5111</v>
      </c>
      <c r="L135" s="28" t="s">
        <v>4406</v>
      </c>
      <c r="M135" s="143" t="s">
        <v>41</v>
      </c>
      <c r="N135" s="28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spans="1:26" ht="14.4">
      <c r="A136" s="28" t="s">
        <v>4393</v>
      </c>
      <c r="B136" s="28" t="s">
        <v>4400</v>
      </c>
      <c r="C136" s="28" t="s">
        <v>5021</v>
      </c>
      <c r="D136" s="29" t="s">
        <v>298</v>
      </c>
      <c r="E136" s="29" t="s">
        <v>2969</v>
      </c>
      <c r="F136" s="28" t="s">
        <v>5117</v>
      </c>
      <c r="G136" s="28" t="s">
        <v>5118</v>
      </c>
      <c r="H136" s="28" t="s">
        <v>4657</v>
      </c>
      <c r="I136" s="28" t="s">
        <v>4658</v>
      </c>
      <c r="J136" s="28" t="s">
        <v>5120</v>
      </c>
      <c r="K136" s="28" t="s">
        <v>4657</v>
      </c>
      <c r="L136" s="28" t="s">
        <v>4406</v>
      </c>
      <c r="M136" s="143" t="s">
        <v>41</v>
      </c>
      <c r="N136" s="28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spans="1:26" ht="14.4">
      <c r="A137" s="28" t="s">
        <v>4393</v>
      </c>
      <c r="B137" s="28" t="s">
        <v>4407</v>
      </c>
      <c r="C137" s="28" t="s">
        <v>5021</v>
      </c>
      <c r="D137" s="29" t="s">
        <v>298</v>
      </c>
      <c r="E137" s="29" t="s">
        <v>2969</v>
      </c>
      <c r="F137" s="28" t="s">
        <v>5123</v>
      </c>
      <c r="G137" s="28" t="s">
        <v>5124</v>
      </c>
      <c r="H137" s="28" t="s">
        <v>5125</v>
      </c>
      <c r="I137" s="28" t="s">
        <v>3112</v>
      </c>
      <c r="J137" s="28" t="s">
        <v>2893</v>
      </c>
      <c r="K137" s="28" t="s">
        <v>5125</v>
      </c>
      <c r="L137" s="28" t="s">
        <v>2166</v>
      </c>
      <c r="M137" s="143" t="s">
        <v>41</v>
      </c>
      <c r="N137" s="28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spans="1:26" ht="14.4">
      <c r="A138" s="28" t="s">
        <v>4393</v>
      </c>
      <c r="B138" s="28" t="s">
        <v>4407</v>
      </c>
      <c r="C138" s="28" t="s">
        <v>5021</v>
      </c>
      <c r="D138" s="29" t="s">
        <v>298</v>
      </c>
      <c r="E138" s="29" t="s">
        <v>2969</v>
      </c>
      <c r="F138" s="28" t="s">
        <v>5131</v>
      </c>
      <c r="G138" s="28" t="s">
        <v>5132</v>
      </c>
      <c r="H138" s="28" t="s">
        <v>4737</v>
      </c>
      <c r="I138" s="28" t="s">
        <v>2120</v>
      </c>
      <c r="J138" s="28" t="s">
        <v>2848</v>
      </c>
      <c r="K138" s="28" t="s">
        <v>4737</v>
      </c>
      <c r="L138" s="28" t="s">
        <v>989</v>
      </c>
      <c r="M138" s="143" t="s">
        <v>41</v>
      </c>
      <c r="N138" s="28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spans="1:26" ht="14.4">
      <c r="A139" s="28" t="s">
        <v>4393</v>
      </c>
      <c r="B139" s="28" t="s">
        <v>4407</v>
      </c>
      <c r="C139" s="28" t="s">
        <v>5021</v>
      </c>
      <c r="D139" s="29" t="s">
        <v>298</v>
      </c>
      <c r="E139" s="29" t="s">
        <v>2969</v>
      </c>
      <c r="F139" s="28" t="s">
        <v>5136</v>
      </c>
      <c r="G139" s="28" t="s">
        <v>5138</v>
      </c>
      <c r="H139" s="28" t="s">
        <v>4732</v>
      </c>
      <c r="I139" s="28" t="s">
        <v>4733</v>
      </c>
      <c r="J139" s="28" t="s">
        <v>5139</v>
      </c>
      <c r="K139" s="28" t="s">
        <v>5141</v>
      </c>
      <c r="L139" s="28" t="s">
        <v>4649</v>
      </c>
      <c r="M139" s="143" t="s">
        <v>41</v>
      </c>
      <c r="N139" s="28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spans="1:26" ht="14.4">
      <c r="A140" s="28" t="s">
        <v>4393</v>
      </c>
      <c r="B140" s="28" t="s">
        <v>4412</v>
      </c>
      <c r="C140" s="28" t="s">
        <v>5021</v>
      </c>
      <c r="D140" s="29" t="s">
        <v>298</v>
      </c>
      <c r="E140" s="29" t="s">
        <v>2969</v>
      </c>
      <c r="F140" s="28" t="s">
        <v>5040</v>
      </c>
      <c r="G140" s="28" t="s">
        <v>5142</v>
      </c>
      <c r="H140" s="28" t="s">
        <v>5143</v>
      </c>
      <c r="I140" s="28" t="s">
        <v>898</v>
      </c>
      <c r="J140" s="28" t="s">
        <v>5146</v>
      </c>
      <c r="K140" s="28" t="s">
        <v>5143</v>
      </c>
      <c r="L140" s="28" t="s">
        <v>4504</v>
      </c>
      <c r="M140" s="143" t="s">
        <v>41</v>
      </c>
      <c r="N140" s="28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spans="1:26" ht="14.4">
      <c r="A141" s="28" t="s">
        <v>4393</v>
      </c>
      <c r="B141" s="28" t="s">
        <v>4412</v>
      </c>
      <c r="C141" s="28" t="s">
        <v>5021</v>
      </c>
      <c r="D141" s="29" t="s">
        <v>298</v>
      </c>
      <c r="E141" s="29" t="s">
        <v>2969</v>
      </c>
      <c r="F141" s="28" t="s">
        <v>5150</v>
      </c>
      <c r="G141" s="28" t="s">
        <v>5151</v>
      </c>
      <c r="H141" s="28" t="s">
        <v>5153</v>
      </c>
      <c r="I141" s="28" t="s">
        <v>1595</v>
      </c>
      <c r="J141" s="28" t="s">
        <v>5155</v>
      </c>
      <c r="K141" s="28" t="s">
        <v>5153</v>
      </c>
      <c r="L141" s="28" t="s">
        <v>4504</v>
      </c>
      <c r="M141" s="143" t="s">
        <v>41</v>
      </c>
      <c r="N141" s="28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spans="1:26" ht="14.4">
      <c r="A142" s="28" t="s">
        <v>4393</v>
      </c>
      <c r="B142" s="28" t="s">
        <v>4394</v>
      </c>
      <c r="C142" s="28" t="s">
        <v>275</v>
      </c>
      <c r="D142" s="28" t="s">
        <v>543</v>
      </c>
      <c r="E142" s="29" t="s">
        <v>2969</v>
      </c>
      <c r="F142" s="79" t="s">
        <v>5159</v>
      </c>
      <c r="G142" s="28" t="s">
        <v>5160</v>
      </c>
      <c r="H142" s="28" t="s">
        <v>4492</v>
      </c>
      <c r="I142" s="28" t="s">
        <v>4493</v>
      </c>
      <c r="J142" s="28" t="s">
        <v>5161</v>
      </c>
      <c r="K142" s="28" t="s">
        <v>5162</v>
      </c>
      <c r="L142" s="28" t="s">
        <v>2149</v>
      </c>
      <c r="M142" s="143" t="s">
        <v>41</v>
      </c>
      <c r="N142" s="28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spans="1:26" ht="14.4">
      <c r="A143" s="28" t="s">
        <v>4393</v>
      </c>
      <c r="B143" s="28" t="s">
        <v>4549</v>
      </c>
      <c r="C143" s="28" t="s">
        <v>275</v>
      </c>
      <c r="D143" s="28" t="s">
        <v>543</v>
      </c>
      <c r="E143" s="29" t="s">
        <v>2969</v>
      </c>
      <c r="F143" s="79" t="s">
        <v>5168</v>
      </c>
      <c r="G143" s="28" t="s">
        <v>5169</v>
      </c>
      <c r="H143" s="28" t="s">
        <v>4582</v>
      </c>
      <c r="I143" s="28" t="s">
        <v>4583</v>
      </c>
      <c r="J143" s="28" t="s">
        <v>4584</v>
      </c>
      <c r="K143" s="28" t="s">
        <v>4561</v>
      </c>
      <c r="L143" s="28" t="s">
        <v>2149</v>
      </c>
      <c r="M143" s="143" t="s">
        <v>41</v>
      </c>
      <c r="N143" s="28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spans="1:26" ht="14.4">
      <c r="A144" s="28" t="s">
        <v>4393</v>
      </c>
      <c r="B144" s="28" t="s">
        <v>4596</v>
      </c>
      <c r="C144" s="28" t="s">
        <v>275</v>
      </c>
      <c r="D144" s="28" t="s">
        <v>543</v>
      </c>
      <c r="E144" s="29" t="s">
        <v>2969</v>
      </c>
      <c r="F144" s="79" t="s">
        <v>5175</v>
      </c>
      <c r="G144" s="28" t="s">
        <v>5176</v>
      </c>
      <c r="H144" s="28" t="s">
        <v>4635</v>
      </c>
      <c r="I144" s="28" t="s">
        <v>4636</v>
      </c>
      <c r="J144" s="28" t="s">
        <v>3212</v>
      </c>
      <c r="K144" s="28" t="s">
        <v>4965</v>
      </c>
      <c r="L144" s="28" t="s">
        <v>5089</v>
      </c>
      <c r="M144" s="143" t="s">
        <v>41</v>
      </c>
      <c r="N144" s="28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spans="1:26" ht="14.4">
      <c r="A145" s="28" t="s">
        <v>4393</v>
      </c>
      <c r="B145" s="28" t="s">
        <v>4400</v>
      </c>
      <c r="C145" s="28" t="s">
        <v>275</v>
      </c>
      <c r="D145" s="28" t="s">
        <v>543</v>
      </c>
      <c r="E145" s="29" t="s">
        <v>2969</v>
      </c>
      <c r="F145" s="79" t="s">
        <v>5181</v>
      </c>
      <c r="G145" s="28" t="s">
        <v>5182</v>
      </c>
      <c r="H145" s="28" t="s">
        <v>4662</v>
      </c>
      <c r="I145" s="28" t="s">
        <v>4663</v>
      </c>
      <c r="J145" s="28" t="s">
        <v>5183</v>
      </c>
      <c r="K145" s="28" t="s">
        <v>4662</v>
      </c>
      <c r="L145" s="28" t="s">
        <v>4406</v>
      </c>
      <c r="M145" s="143" t="s">
        <v>41</v>
      </c>
      <c r="N145" s="28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spans="1:26" ht="14.4">
      <c r="A146" s="28" t="s">
        <v>4393</v>
      </c>
      <c r="B146" s="28" t="s">
        <v>4407</v>
      </c>
      <c r="C146" s="28" t="s">
        <v>275</v>
      </c>
      <c r="D146" s="28" t="s">
        <v>543</v>
      </c>
      <c r="E146" s="29" t="s">
        <v>2969</v>
      </c>
      <c r="F146" s="79" t="s">
        <v>5186</v>
      </c>
      <c r="G146" s="28" t="s">
        <v>5187</v>
      </c>
      <c r="H146" s="28" t="s">
        <v>4761</v>
      </c>
      <c r="I146" s="28" t="s">
        <v>1395</v>
      </c>
      <c r="J146" s="28" t="s">
        <v>5189</v>
      </c>
      <c r="K146" s="28" t="s">
        <v>5191</v>
      </c>
      <c r="L146" s="28" t="s">
        <v>4649</v>
      </c>
      <c r="M146" s="143" t="s">
        <v>41</v>
      </c>
      <c r="N146" s="28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spans="1:26" ht="14.4">
      <c r="A147" s="28" t="s">
        <v>4393</v>
      </c>
      <c r="B147" s="28" t="s">
        <v>4412</v>
      </c>
      <c r="C147" s="28" t="s">
        <v>275</v>
      </c>
      <c r="D147" s="28" t="s">
        <v>543</v>
      </c>
      <c r="E147" s="29" t="s">
        <v>2969</v>
      </c>
      <c r="F147" s="79" t="s">
        <v>5193</v>
      </c>
      <c r="G147" s="28" t="s">
        <v>5194</v>
      </c>
      <c r="H147" s="28" t="s">
        <v>4817</v>
      </c>
      <c r="I147" s="28" t="s">
        <v>4583</v>
      </c>
      <c r="J147" s="28" t="s">
        <v>5196</v>
      </c>
      <c r="K147" s="28" t="s">
        <v>4817</v>
      </c>
      <c r="L147" s="28" t="s">
        <v>4778</v>
      </c>
      <c r="M147" s="143" t="s">
        <v>41</v>
      </c>
      <c r="N147" s="28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spans="1:26" ht="14.4">
      <c r="A148" s="28" t="s">
        <v>4393</v>
      </c>
      <c r="B148" s="28" t="s">
        <v>4407</v>
      </c>
      <c r="C148" s="28" t="s">
        <v>287</v>
      </c>
      <c r="D148" s="28" t="s">
        <v>71</v>
      </c>
      <c r="E148" s="29" t="s">
        <v>2969</v>
      </c>
      <c r="F148" s="28" t="s">
        <v>5197</v>
      </c>
      <c r="G148" s="28" t="s">
        <v>5198</v>
      </c>
      <c r="H148" s="28" t="s">
        <v>5200</v>
      </c>
      <c r="I148" s="28" t="s">
        <v>5202</v>
      </c>
      <c r="J148" s="28" t="s">
        <v>5203</v>
      </c>
      <c r="K148" s="28" t="s">
        <v>4410</v>
      </c>
      <c r="L148" s="28" t="s">
        <v>2149</v>
      </c>
      <c r="M148" s="143" t="s">
        <v>41</v>
      </c>
      <c r="N148" s="28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spans="1:26" ht="14.4">
      <c r="A149" s="28" t="s">
        <v>4393</v>
      </c>
      <c r="B149" s="28" t="s">
        <v>1379</v>
      </c>
      <c r="C149" s="28" t="s">
        <v>296</v>
      </c>
      <c r="D149" s="28" t="s">
        <v>954</v>
      </c>
      <c r="E149" s="29" t="s">
        <v>2969</v>
      </c>
      <c r="F149" s="79" t="s">
        <v>5205</v>
      </c>
      <c r="G149" s="28" t="s">
        <v>5206</v>
      </c>
      <c r="H149" s="28" t="s">
        <v>4436</v>
      </c>
      <c r="I149" s="28" t="s">
        <v>2128</v>
      </c>
      <c r="J149" s="28" t="s">
        <v>5207</v>
      </c>
      <c r="K149" s="28" t="s">
        <v>4436</v>
      </c>
      <c r="L149" s="28" t="s">
        <v>4439</v>
      </c>
      <c r="M149" s="143" t="s">
        <v>41</v>
      </c>
      <c r="N149" s="28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spans="1:26" ht="14.4">
      <c r="A150" s="28" t="s">
        <v>4393</v>
      </c>
      <c r="B150" s="28" t="s">
        <v>4394</v>
      </c>
      <c r="C150" s="28" t="s">
        <v>296</v>
      </c>
      <c r="D150" s="28" t="s">
        <v>954</v>
      </c>
      <c r="E150" s="29" t="s">
        <v>2969</v>
      </c>
      <c r="F150" s="79" t="s">
        <v>5210</v>
      </c>
      <c r="G150" s="28" t="s">
        <v>5211</v>
      </c>
      <c r="H150" s="28" t="s">
        <v>5212</v>
      </c>
      <c r="I150" s="28" t="s">
        <v>1914</v>
      </c>
      <c r="J150" s="28" t="s">
        <v>5213</v>
      </c>
      <c r="K150" s="28" t="s">
        <v>5212</v>
      </c>
      <c r="L150" s="28" t="e">
        <v>#REF!</v>
      </c>
      <c r="M150" s="143" t="s">
        <v>41</v>
      </c>
      <c r="N150" s="28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spans="1:26" ht="14.4">
      <c r="A151" s="28" t="s">
        <v>4393</v>
      </c>
      <c r="B151" s="28" t="s">
        <v>4549</v>
      </c>
      <c r="C151" s="28" t="s">
        <v>296</v>
      </c>
      <c r="D151" s="28" t="s">
        <v>954</v>
      </c>
      <c r="E151" s="29" t="s">
        <v>2969</v>
      </c>
      <c r="F151" s="79" t="s">
        <v>5218</v>
      </c>
      <c r="G151" s="28" t="s">
        <v>5220</v>
      </c>
      <c r="H151" s="28" t="s">
        <v>4582</v>
      </c>
      <c r="I151" s="28" t="s">
        <v>5222</v>
      </c>
      <c r="J151" s="28" t="s">
        <v>5223</v>
      </c>
      <c r="K151" s="28" t="s">
        <v>4582</v>
      </c>
      <c r="L151" s="28" t="e">
        <v>#REF!</v>
      </c>
      <c r="M151" s="143" t="s">
        <v>41</v>
      </c>
      <c r="N151" s="28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spans="1:26" ht="14.4">
      <c r="A152" s="28" t="s">
        <v>4393</v>
      </c>
      <c r="B152" s="28" t="s">
        <v>4596</v>
      </c>
      <c r="C152" s="28" t="s">
        <v>296</v>
      </c>
      <c r="D152" s="28" t="s">
        <v>954</v>
      </c>
      <c r="E152" s="29" t="s">
        <v>2969</v>
      </c>
      <c r="F152" s="79" t="s">
        <v>5228</v>
      </c>
      <c r="G152" s="28" t="s">
        <v>5230</v>
      </c>
      <c r="H152" s="28" t="s">
        <v>4645</v>
      </c>
      <c r="I152" s="28" t="s">
        <v>5222</v>
      </c>
      <c r="J152" s="28" t="s">
        <v>5231</v>
      </c>
      <c r="K152" s="28" t="s">
        <v>5232</v>
      </c>
      <c r="L152" s="28" t="s">
        <v>4602</v>
      </c>
      <c r="M152" s="143" t="s">
        <v>41</v>
      </c>
      <c r="N152" s="28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spans="1:26" ht="14.4">
      <c r="A153" s="28" t="s">
        <v>4393</v>
      </c>
      <c r="B153" s="28" t="s">
        <v>4400</v>
      </c>
      <c r="C153" s="28" t="s">
        <v>296</v>
      </c>
      <c r="D153" s="28" t="s">
        <v>954</v>
      </c>
      <c r="E153" s="29" t="s">
        <v>2969</v>
      </c>
      <c r="F153" s="79" t="s">
        <v>5236</v>
      </c>
      <c r="G153" s="28" t="s">
        <v>5237</v>
      </c>
      <c r="H153" s="28" t="s">
        <v>4657</v>
      </c>
      <c r="I153" s="28" t="s">
        <v>5222</v>
      </c>
      <c r="J153" s="28" t="s">
        <v>5238</v>
      </c>
      <c r="K153" s="28" t="s">
        <v>4657</v>
      </c>
      <c r="L153" s="28" t="s">
        <v>4406</v>
      </c>
      <c r="M153" s="143" t="s">
        <v>41</v>
      </c>
      <c r="N153" s="28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spans="1:26" ht="14.4">
      <c r="A154" s="28" t="s">
        <v>4393</v>
      </c>
      <c r="B154" s="28" t="s">
        <v>4407</v>
      </c>
      <c r="C154" s="28" t="s">
        <v>296</v>
      </c>
      <c r="D154" s="28" t="s">
        <v>954</v>
      </c>
      <c r="E154" s="29" t="s">
        <v>2969</v>
      </c>
      <c r="F154" s="79" t="s">
        <v>5242</v>
      </c>
      <c r="G154" s="28" t="s">
        <v>5243</v>
      </c>
      <c r="H154" s="28" t="s">
        <v>4761</v>
      </c>
      <c r="I154" s="28" t="s">
        <v>1914</v>
      </c>
      <c r="J154" s="28" t="s">
        <v>4205</v>
      </c>
      <c r="K154" s="28" t="s">
        <v>5003</v>
      </c>
      <c r="L154" s="28" t="s">
        <v>4649</v>
      </c>
      <c r="M154" s="143" t="s">
        <v>41</v>
      </c>
      <c r="N154" s="28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spans="1:26" ht="14.4">
      <c r="A155" s="28" t="s">
        <v>4393</v>
      </c>
      <c r="B155" s="28" t="s">
        <v>4412</v>
      </c>
      <c r="C155" s="28" t="s">
        <v>296</v>
      </c>
      <c r="D155" s="28" t="s">
        <v>954</v>
      </c>
      <c r="E155" s="29" t="s">
        <v>2969</v>
      </c>
      <c r="F155" s="79" t="s">
        <v>5247</v>
      </c>
      <c r="G155" s="28" t="s">
        <v>5248</v>
      </c>
      <c r="H155" s="28" t="s">
        <v>4785</v>
      </c>
      <c r="I155" s="28" t="s">
        <v>2919</v>
      </c>
      <c r="J155" s="28" t="s">
        <v>5249</v>
      </c>
      <c r="K155" s="28" t="s">
        <v>4785</v>
      </c>
      <c r="L155" s="28" t="s">
        <v>989</v>
      </c>
      <c r="M155" s="143" t="s">
        <v>41</v>
      </c>
      <c r="N155" s="28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spans="1:26" ht="14.4">
      <c r="A156" s="155" t="s">
        <v>4393</v>
      </c>
      <c r="B156" s="155" t="s">
        <v>1379</v>
      </c>
      <c r="C156" s="155" t="s">
        <v>306</v>
      </c>
      <c r="D156" s="155" t="s">
        <v>341</v>
      </c>
      <c r="E156" s="225" t="s">
        <v>2969</v>
      </c>
      <c r="F156" s="155" t="s">
        <v>5255</v>
      </c>
      <c r="G156" s="155" t="s">
        <v>5256</v>
      </c>
      <c r="H156" s="155" t="s">
        <v>4446</v>
      </c>
      <c r="I156" s="155" t="s">
        <v>5260</v>
      </c>
      <c r="J156" s="155" t="s">
        <v>2472</v>
      </c>
      <c r="K156" s="155" t="s">
        <v>4446</v>
      </c>
      <c r="L156" s="155" t="s">
        <v>2996</v>
      </c>
      <c r="M156" s="153" t="s">
        <v>41</v>
      </c>
      <c r="N156" s="15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spans="1:26" ht="14.4">
      <c r="A157" s="28" t="s">
        <v>4393</v>
      </c>
      <c r="B157" s="28" t="s">
        <v>1379</v>
      </c>
      <c r="C157" s="107" t="s">
        <v>319</v>
      </c>
      <c r="D157" s="107" t="s">
        <v>796</v>
      </c>
      <c r="E157" s="107"/>
      <c r="F157" s="79" t="s">
        <v>5268</v>
      </c>
      <c r="G157" s="28"/>
      <c r="H157" s="28" t="s">
        <v>4662</v>
      </c>
      <c r="I157" s="28" t="s">
        <v>4663</v>
      </c>
      <c r="J157" s="28"/>
      <c r="K157" s="28" t="s">
        <v>4662</v>
      </c>
      <c r="L157" s="28"/>
      <c r="M157" s="28" t="s">
        <v>41</v>
      </c>
      <c r="N157" s="28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spans="1:26" ht="14.4">
      <c r="A158" s="28" t="s">
        <v>4393</v>
      </c>
      <c r="B158" s="28" t="s">
        <v>1379</v>
      </c>
      <c r="C158" s="107" t="s">
        <v>319</v>
      </c>
      <c r="D158" s="107" t="s">
        <v>796</v>
      </c>
      <c r="E158" s="107"/>
      <c r="F158" s="79" t="s">
        <v>5274</v>
      </c>
      <c r="G158" s="28"/>
      <c r="H158" s="28" t="s">
        <v>4662</v>
      </c>
      <c r="I158" s="28" t="s">
        <v>4663</v>
      </c>
      <c r="J158" s="28"/>
      <c r="K158" s="28" t="s">
        <v>4662</v>
      </c>
      <c r="L158" s="28"/>
      <c r="M158" s="28" t="s">
        <v>41</v>
      </c>
      <c r="N158" s="28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spans="1:26" ht="14.4">
      <c r="A159" s="28" t="s">
        <v>4393</v>
      </c>
      <c r="B159" s="28" t="s">
        <v>1379</v>
      </c>
      <c r="C159" s="107" t="s">
        <v>319</v>
      </c>
      <c r="D159" s="107" t="s">
        <v>796</v>
      </c>
      <c r="E159" s="107"/>
      <c r="F159" s="79" t="s">
        <v>5278</v>
      </c>
      <c r="G159" s="28"/>
      <c r="H159" s="28" t="s">
        <v>4662</v>
      </c>
      <c r="I159" s="28" t="s">
        <v>4663</v>
      </c>
      <c r="J159" s="28"/>
      <c r="K159" s="28" t="s">
        <v>4662</v>
      </c>
      <c r="L159" s="28"/>
      <c r="M159" s="28" t="s">
        <v>41</v>
      </c>
      <c r="N159" s="28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spans="1:26" ht="14.4">
      <c r="A160" s="28" t="s">
        <v>4393</v>
      </c>
      <c r="B160" s="28" t="s">
        <v>1379</v>
      </c>
      <c r="C160" s="107" t="s">
        <v>319</v>
      </c>
      <c r="D160" s="107" t="s">
        <v>796</v>
      </c>
      <c r="E160" s="107"/>
      <c r="F160" s="79" t="s">
        <v>5282</v>
      </c>
      <c r="G160" s="28"/>
      <c r="H160" s="28" t="s">
        <v>4662</v>
      </c>
      <c r="I160" s="28" t="s">
        <v>4663</v>
      </c>
      <c r="J160" s="28"/>
      <c r="K160" s="28" t="s">
        <v>4662</v>
      </c>
      <c r="L160" s="28"/>
      <c r="M160" s="28" t="s">
        <v>41</v>
      </c>
      <c r="N160" s="28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spans="1:26" ht="14.4">
      <c r="A161" s="28" t="s">
        <v>4393</v>
      </c>
      <c r="B161" s="28" t="s">
        <v>1379</v>
      </c>
      <c r="C161" s="107" t="s">
        <v>319</v>
      </c>
      <c r="D161" s="107" t="s">
        <v>796</v>
      </c>
      <c r="E161" s="107"/>
      <c r="F161" s="79" t="s">
        <v>5286</v>
      </c>
      <c r="G161" s="28"/>
      <c r="H161" s="28" t="s">
        <v>4662</v>
      </c>
      <c r="I161" s="28" t="s">
        <v>4663</v>
      </c>
      <c r="J161" s="28"/>
      <c r="K161" s="28" t="s">
        <v>4662</v>
      </c>
      <c r="L161" s="28"/>
      <c r="M161" s="28" t="s">
        <v>41</v>
      </c>
      <c r="N161" s="28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spans="1:26" ht="14.4">
      <c r="A162" s="28" t="s">
        <v>4393</v>
      </c>
      <c r="B162" s="28" t="s">
        <v>1379</v>
      </c>
      <c r="C162" s="107" t="s">
        <v>319</v>
      </c>
      <c r="D162" s="107" t="s">
        <v>796</v>
      </c>
      <c r="E162" s="107"/>
      <c r="F162" s="79" t="s">
        <v>5290</v>
      </c>
      <c r="G162" s="28"/>
      <c r="H162" s="28" t="s">
        <v>4662</v>
      </c>
      <c r="I162" s="28" t="s">
        <v>4663</v>
      </c>
      <c r="J162" s="28"/>
      <c r="K162" s="28" t="s">
        <v>4662</v>
      </c>
      <c r="L162" s="28"/>
      <c r="M162" s="28" t="s">
        <v>41</v>
      </c>
      <c r="N162" s="28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spans="1:26" ht="14.4">
      <c r="A163" s="28" t="s">
        <v>4393</v>
      </c>
      <c r="B163" s="28" t="s">
        <v>1379</v>
      </c>
      <c r="C163" s="107" t="s">
        <v>319</v>
      </c>
      <c r="D163" s="107" t="s">
        <v>796</v>
      </c>
      <c r="E163" s="107"/>
      <c r="F163" s="79" t="s">
        <v>5295</v>
      </c>
      <c r="G163" s="28"/>
      <c r="H163" s="28" t="s">
        <v>4662</v>
      </c>
      <c r="I163" s="28" t="s">
        <v>4663</v>
      </c>
      <c r="J163" s="28"/>
      <c r="K163" s="28" t="s">
        <v>4662</v>
      </c>
      <c r="L163" s="28"/>
      <c r="M163" s="28" t="s">
        <v>41</v>
      </c>
      <c r="N163" s="28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spans="1:26" ht="14.4">
      <c r="A164" s="28" t="s">
        <v>4393</v>
      </c>
      <c r="B164" s="28" t="s">
        <v>1379</v>
      </c>
      <c r="C164" s="107" t="s">
        <v>319</v>
      </c>
      <c r="D164" s="107" t="s">
        <v>796</v>
      </c>
      <c r="E164" s="107"/>
      <c r="F164" s="79" t="s">
        <v>5299</v>
      </c>
      <c r="G164" s="28"/>
      <c r="H164" s="28" t="s">
        <v>4662</v>
      </c>
      <c r="I164" s="28" t="s">
        <v>4663</v>
      </c>
      <c r="J164" s="28"/>
      <c r="K164" s="28" t="s">
        <v>4662</v>
      </c>
      <c r="L164" s="28"/>
      <c r="M164" s="28" t="s">
        <v>41</v>
      </c>
      <c r="N164" s="28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spans="1:26" ht="14.4">
      <c r="A165" s="28" t="s">
        <v>4393</v>
      </c>
      <c r="B165" s="28" t="s">
        <v>1379</v>
      </c>
      <c r="C165" s="107" t="s">
        <v>319</v>
      </c>
      <c r="D165" s="107" t="s">
        <v>796</v>
      </c>
      <c r="E165" s="107"/>
      <c r="F165" s="79" t="s">
        <v>5303</v>
      </c>
      <c r="G165" s="28"/>
      <c r="H165" s="28" t="s">
        <v>4662</v>
      </c>
      <c r="I165" s="28" t="s">
        <v>4663</v>
      </c>
      <c r="J165" s="28"/>
      <c r="K165" s="28" t="s">
        <v>4662</v>
      </c>
      <c r="L165" s="28"/>
      <c r="M165" s="28" t="s">
        <v>41</v>
      </c>
      <c r="N165" s="28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spans="1:26" ht="14.4">
      <c r="A166" s="28" t="s">
        <v>4393</v>
      </c>
      <c r="B166" s="28" t="s">
        <v>1379</v>
      </c>
      <c r="C166" s="107" t="s">
        <v>319</v>
      </c>
      <c r="D166" s="107" t="s">
        <v>796</v>
      </c>
      <c r="E166" s="107"/>
      <c r="F166" s="79" t="s">
        <v>5307</v>
      </c>
      <c r="G166" s="28"/>
      <c r="H166" s="28" t="s">
        <v>4662</v>
      </c>
      <c r="I166" s="28" t="s">
        <v>4663</v>
      </c>
      <c r="J166" s="28"/>
      <c r="K166" s="28" t="s">
        <v>4662</v>
      </c>
      <c r="L166" s="28"/>
      <c r="M166" s="28" t="s">
        <v>41</v>
      </c>
      <c r="N166" s="28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spans="1:26" ht="14.4">
      <c r="A167" s="28" t="s">
        <v>4393</v>
      </c>
      <c r="B167" s="28" t="s">
        <v>1379</v>
      </c>
      <c r="C167" s="107" t="s">
        <v>319</v>
      </c>
      <c r="D167" s="107" t="s">
        <v>796</v>
      </c>
      <c r="E167" s="107"/>
      <c r="F167" s="79" t="s">
        <v>5310</v>
      </c>
      <c r="G167" s="28"/>
      <c r="H167" s="28" t="s">
        <v>4662</v>
      </c>
      <c r="I167" s="28" t="s">
        <v>4663</v>
      </c>
      <c r="J167" s="28"/>
      <c r="K167" s="28" t="s">
        <v>4662</v>
      </c>
      <c r="L167" s="28"/>
      <c r="M167" s="28" t="s">
        <v>41</v>
      </c>
      <c r="N167" s="28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spans="1:26" ht="14.4">
      <c r="A168" s="28" t="s">
        <v>4393</v>
      </c>
      <c r="B168" s="28" t="s">
        <v>1379</v>
      </c>
      <c r="C168" s="107" t="s">
        <v>319</v>
      </c>
      <c r="D168" s="107" t="s">
        <v>796</v>
      </c>
      <c r="E168" s="107"/>
      <c r="F168" s="79" t="s">
        <v>5313</v>
      </c>
      <c r="G168" s="28"/>
      <c r="H168" s="28" t="s">
        <v>4662</v>
      </c>
      <c r="I168" s="28" t="s">
        <v>4663</v>
      </c>
      <c r="J168" s="28"/>
      <c r="K168" s="28" t="s">
        <v>4662</v>
      </c>
      <c r="L168" s="28"/>
      <c r="M168" s="28" t="s">
        <v>41</v>
      </c>
      <c r="N168" s="28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spans="1:26" ht="14.4">
      <c r="A169" s="28" t="s">
        <v>4393</v>
      </c>
      <c r="B169" s="28" t="s">
        <v>1379</v>
      </c>
      <c r="C169" s="107" t="s">
        <v>319</v>
      </c>
      <c r="D169" s="107" t="s">
        <v>796</v>
      </c>
      <c r="E169" s="107"/>
      <c r="F169" s="79" t="s">
        <v>5316</v>
      </c>
      <c r="G169" s="28"/>
      <c r="H169" s="28" t="s">
        <v>4662</v>
      </c>
      <c r="I169" s="28" t="s">
        <v>4663</v>
      </c>
      <c r="J169" s="28"/>
      <c r="K169" s="28" t="s">
        <v>4662</v>
      </c>
      <c r="L169" s="28"/>
      <c r="M169" s="28" t="s">
        <v>41</v>
      </c>
      <c r="N169" s="28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spans="1:26" ht="14.4">
      <c r="A170" s="28" t="s">
        <v>4393</v>
      </c>
      <c r="B170" s="28" t="s">
        <v>1379</v>
      </c>
      <c r="C170" s="107" t="s">
        <v>319</v>
      </c>
      <c r="D170" s="107" t="s">
        <v>796</v>
      </c>
      <c r="E170" s="107"/>
      <c r="F170" s="79" t="s">
        <v>5319</v>
      </c>
      <c r="G170" s="28"/>
      <c r="H170" s="28" t="s">
        <v>4662</v>
      </c>
      <c r="I170" s="28" t="s">
        <v>4663</v>
      </c>
      <c r="J170" s="28"/>
      <c r="K170" s="28" t="s">
        <v>4662</v>
      </c>
      <c r="L170" s="28"/>
      <c r="M170" s="28" t="s">
        <v>41</v>
      </c>
      <c r="N170" s="28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spans="1:26" ht="14.4">
      <c r="A171" s="28" t="s">
        <v>4393</v>
      </c>
      <c r="B171" s="28" t="s">
        <v>1379</v>
      </c>
      <c r="C171" s="107" t="s">
        <v>319</v>
      </c>
      <c r="D171" s="107" t="s">
        <v>796</v>
      </c>
      <c r="E171" s="107"/>
      <c r="F171" s="79" t="s">
        <v>5322</v>
      </c>
      <c r="G171" s="28"/>
      <c r="H171" s="28" t="s">
        <v>4662</v>
      </c>
      <c r="I171" s="28" t="s">
        <v>4663</v>
      </c>
      <c r="J171" s="28"/>
      <c r="K171" s="28" t="s">
        <v>4662</v>
      </c>
      <c r="L171" s="28"/>
      <c r="M171" s="28" t="s">
        <v>41</v>
      </c>
      <c r="N171" s="28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spans="1:26" ht="14.4">
      <c r="A172" s="28" t="s">
        <v>4393</v>
      </c>
      <c r="B172" s="28" t="s">
        <v>1379</v>
      </c>
      <c r="C172" s="107" t="s">
        <v>319</v>
      </c>
      <c r="D172" s="107" t="s">
        <v>796</v>
      </c>
      <c r="E172" s="107"/>
      <c r="F172" s="79" t="s">
        <v>5325</v>
      </c>
      <c r="G172" s="28"/>
      <c r="H172" s="28" t="s">
        <v>4662</v>
      </c>
      <c r="I172" s="28" t="s">
        <v>4663</v>
      </c>
      <c r="J172" s="28"/>
      <c r="K172" s="28" t="s">
        <v>4662</v>
      </c>
      <c r="L172" s="28"/>
      <c r="M172" s="28" t="s">
        <v>41</v>
      </c>
      <c r="N172" s="28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spans="1:26" ht="14.4">
      <c r="A173" s="28" t="s">
        <v>4393</v>
      </c>
      <c r="B173" s="28" t="s">
        <v>1379</v>
      </c>
      <c r="C173" s="107" t="s">
        <v>319</v>
      </c>
      <c r="D173" s="107" t="s">
        <v>796</v>
      </c>
      <c r="E173" s="107"/>
      <c r="F173" s="79" t="s">
        <v>5330</v>
      </c>
      <c r="G173" s="28"/>
      <c r="H173" s="28" t="s">
        <v>4662</v>
      </c>
      <c r="I173" s="28" t="s">
        <v>4663</v>
      </c>
      <c r="J173" s="28"/>
      <c r="K173" s="28" t="s">
        <v>4662</v>
      </c>
      <c r="L173" s="28"/>
      <c r="M173" s="28" t="s">
        <v>41</v>
      </c>
      <c r="N173" s="28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spans="1:26" ht="14.4">
      <c r="A174" s="28" t="s">
        <v>4393</v>
      </c>
      <c r="B174" s="28" t="s">
        <v>1379</v>
      </c>
      <c r="C174" s="107" t="s">
        <v>319</v>
      </c>
      <c r="D174" s="107" t="s">
        <v>796</v>
      </c>
      <c r="E174" s="107"/>
      <c r="F174" s="79" t="s">
        <v>5334</v>
      </c>
      <c r="G174" s="28"/>
      <c r="H174" s="28" t="s">
        <v>4662</v>
      </c>
      <c r="I174" s="28" t="s">
        <v>4663</v>
      </c>
      <c r="J174" s="28"/>
      <c r="K174" s="28" t="s">
        <v>4662</v>
      </c>
      <c r="L174" s="28"/>
      <c r="M174" s="28" t="s">
        <v>41</v>
      </c>
      <c r="N174" s="28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spans="1:26" ht="14.4">
      <c r="A175" s="28" t="s">
        <v>4393</v>
      </c>
      <c r="B175" s="28" t="s">
        <v>1379</v>
      </c>
      <c r="C175" s="107" t="s">
        <v>319</v>
      </c>
      <c r="D175" s="107" t="s">
        <v>796</v>
      </c>
      <c r="E175" s="107"/>
      <c r="F175" s="79" t="s">
        <v>5338</v>
      </c>
      <c r="G175" s="28"/>
      <c r="H175" s="28" t="s">
        <v>4662</v>
      </c>
      <c r="I175" s="28" t="s">
        <v>4663</v>
      </c>
      <c r="J175" s="28"/>
      <c r="K175" s="28" t="s">
        <v>4662</v>
      </c>
      <c r="L175" s="28"/>
      <c r="M175" s="28" t="s">
        <v>41</v>
      </c>
      <c r="N175" s="28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spans="1:26" ht="14.4">
      <c r="A176" s="28" t="s">
        <v>4393</v>
      </c>
      <c r="B176" s="28" t="s">
        <v>1379</v>
      </c>
      <c r="C176" s="107" t="s">
        <v>319</v>
      </c>
      <c r="D176" s="107" t="s">
        <v>796</v>
      </c>
      <c r="E176" s="107"/>
      <c r="F176" s="79" t="s">
        <v>5345</v>
      </c>
      <c r="G176" s="28"/>
      <c r="H176" s="28" t="s">
        <v>4662</v>
      </c>
      <c r="I176" s="28" t="s">
        <v>4663</v>
      </c>
      <c r="J176" s="28"/>
      <c r="K176" s="28" t="s">
        <v>4662</v>
      </c>
      <c r="L176" s="28"/>
      <c r="M176" s="28" t="s">
        <v>41</v>
      </c>
      <c r="N176" s="28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spans="1:26" ht="14.4">
      <c r="A177" s="28" t="s">
        <v>4393</v>
      </c>
      <c r="B177" s="28" t="s">
        <v>1379</v>
      </c>
      <c r="C177" s="107" t="s">
        <v>319</v>
      </c>
      <c r="D177" s="107" t="s">
        <v>796</v>
      </c>
      <c r="E177" s="107"/>
      <c r="F177" s="79" t="s">
        <v>5350</v>
      </c>
      <c r="G177" s="28"/>
      <c r="H177" s="28" t="s">
        <v>4662</v>
      </c>
      <c r="I177" s="28" t="s">
        <v>4663</v>
      </c>
      <c r="J177" s="28"/>
      <c r="K177" s="28" t="s">
        <v>4662</v>
      </c>
      <c r="L177" s="28"/>
      <c r="M177" s="28" t="s">
        <v>41</v>
      </c>
      <c r="N177" s="28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spans="1:26" ht="14.4">
      <c r="A178" s="28" t="s">
        <v>4393</v>
      </c>
      <c r="B178" s="28" t="s">
        <v>1379</v>
      </c>
      <c r="C178" s="107" t="s">
        <v>319</v>
      </c>
      <c r="D178" s="107" t="s">
        <v>796</v>
      </c>
      <c r="E178" s="107"/>
      <c r="F178" s="79" t="s">
        <v>5354</v>
      </c>
      <c r="G178" s="28"/>
      <c r="H178" s="28" t="s">
        <v>4662</v>
      </c>
      <c r="I178" s="28" t="s">
        <v>4663</v>
      </c>
      <c r="J178" s="28"/>
      <c r="K178" s="28" t="s">
        <v>4662</v>
      </c>
      <c r="L178" s="28"/>
      <c r="M178" s="28" t="s">
        <v>41</v>
      </c>
      <c r="N178" s="28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spans="1:26" ht="14.4">
      <c r="A179" s="28" t="s">
        <v>4393</v>
      </c>
      <c r="B179" s="28" t="s">
        <v>1379</v>
      </c>
      <c r="C179" s="107" t="s">
        <v>319</v>
      </c>
      <c r="D179" s="107" t="s">
        <v>796</v>
      </c>
      <c r="E179" s="107"/>
      <c r="F179" s="79" t="s">
        <v>5358</v>
      </c>
      <c r="G179" s="28"/>
      <c r="H179" s="28" t="s">
        <v>4662</v>
      </c>
      <c r="I179" s="28" t="s">
        <v>4663</v>
      </c>
      <c r="J179" s="28"/>
      <c r="K179" s="28" t="s">
        <v>4662</v>
      </c>
      <c r="L179" s="28"/>
      <c r="M179" s="28" t="s">
        <v>41</v>
      </c>
      <c r="N179" s="28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spans="1:26" ht="14.4">
      <c r="A180" s="28" t="s">
        <v>4393</v>
      </c>
      <c r="B180" s="28" t="s">
        <v>1379</v>
      </c>
      <c r="C180" s="107" t="s">
        <v>319</v>
      </c>
      <c r="D180" s="107" t="s">
        <v>796</v>
      </c>
      <c r="E180" s="107"/>
      <c r="F180" s="79" t="s">
        <v>5363</v>
      </c>
      <c r="G180" s="28"/>
      <c r="H180" s="28" t="s">
        <v>4662</v>
      </c>
      <c r="I180" s="28" t="s">
        <v>4663</v>
      </c>
      <c r="J180" s="28"/>
      <c r="K180" s="28" t="s">
        <v>4662</v>
      </c>
      <c r="L180" s="28"/>
      <c r="M180" s="28" t="s">
        <v>41</v>
      </c>
      <c r="N180" s="28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spans="1:26" ht="14.4">
      <c r="A181" s="28" t="s">
        <v>4393</v>
      </c>
      <c r="B181" s="28" t="s">
        <v>1379</v>
      </c>
      <c r="C181" s="28" t="s">
        <v>5365</v>
      </c>
      <c r="D181" s="28" t="s">
        <v>1305</v>
      </c>
      <c r="E181" s="214" t="s">
        <v>54</v>
      </c>
      <c r="F181" s="28" t="s">
        <v>5370</v>
      </c>
      <c r="G181" s="28" t="s">
        <v>5371</v>
      </c>
      <c r="H181" s="28" t="s">
        <v>5372</v>
      </c>
      <c r="I181" s="28" t="s">
        <v>5373</v>
      </c>
      <c r="J181" s="28" t="s">
        <v>5374</v>
      </c>
      <c r="K181" s="28" t="s">
        <v>5372</v>
      </c>
      <c r="L181" s="28" t="s">
        <v>62</v>
      </c>
      <c r="M181" s="28" t="s">
        <v>41</v>
      </c>
      <c r="N181" s="28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spans="1:26" ht="14.4">
      <c r="A182" s="28" t="s">
        <v>4393</v>
      </c>
      <c r="B182" s="28" t="s">
        <v>1379</v>
      </c>
      <c r="C182" s="28" t="s">
        <v>5365</v>
      </c>
      <c r="D182" s="28" t="s">
        <v>1305</v>
      </c>
      <c r="E182" s="214" t="s">
        <v>2969</v>
      </c>
      <c r="F182" s="28" t="s">
        <v>5377</v>
      </c>
      <c r="G182" s="28" t="s">
        <v>5378</v>
      </c>
      <c r="H182" s="28" t="s">
        <v>4483</v>
      </c>
      <c r="I182" s="28" t="s">
        <v>5381</v>
      </c>
      <c r="J182" s="28" t="s">
        <v>5383</v>
      </c>
      <c r="K182" s="28" t="s">
        <v>4483</v>
      </c>
      <c r="L182" s="28" t="s">
        <v>62</v>
      </c>
      <c r="M182" s="28" t="s">
        <v>41</v>
      </c>
      <c r="N182" s="28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spans="1:26" ht="14.4">
      <c r="A183" s="28" t="s">
        <v>4393</v>
      </c>
      <c r="B183" s="28" t="s">
        <v>4394</v>
      </c>
      <c r="C183" s="28" t="s">
        <v>5365</v>
      </c>
      <c r="D183" s="28" t="s">
        <v>1305</v>
      </c>
      <c r="E183" s="214" t="s">
        <v>2969</v>
      </c>
      <c r="F183" s="28" t="s">
        <v>5387</v>
      </c>
      <c r="G183" s="28" t="s">
        <v>5388</v>
      </c>
      <c r="H183" s="28" t="s">
        <v>5389</v>
      </c>
      <c r="I183" s="28" t="s">
        <v>933</v>
      </c>
      <c r="J183" s="28" t="s">
        <v>5390</v>
      </c>
      <c r="K183" s="28" t="s">
        <v>5389</v>
      </c>
      <c r="L183" s="28" t="e">
        <v>#REF!</v>
      </c>
      <c r="M183" s="28" t="s">
        <v>41</v>
      </c>
      <c r="N183" s="28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spans="1:26" ht="14.4">
      <c r="A184" s="28" t="s">
        <v>4393</v>
      </c>
      <c r="B184" s="28" t="s">
        <v>4549</v>
      </c>
      <c r="C184" s="28" t="s">
        <v>5365</v>
      </c>
      <c r="D184" s="28" t="s">
        <v>1305</v>
      </c>
      <c r="E184" s="214" t="s">
        <v>2969</v>
      </c>
      <c r="F184" s="28" t="s">
        <v>5397</v>
      </c>
      <c r="G184" s="28" t="s">
        <v>5398</v>
      </c>
      <c r="H184" s="28" t="s">
        <v>4926</v>
      </c>
      <c r="I184" s="28" t="s">
        <v>933</v>
      </c>
      <c r="J184" s="28" t="s">
        <v>4928</v>
      </c>
      <c r="K184" s="28" t="s">
        <v>4926</v>
      </c>
      <c r="L184" s="28" t="s">
        <v>5066</v>
      </c>
      <c r="M184" s="28" t="s">
        <v>41</v>
      </c>
      <c r="N184" s="28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spans="1:26" ht="14.4">
      <c r="A185" s="28" t="s">
        <v>4393</v>
      </c>
      <c r="B185" s="28" t="s">
        <v>4596</v>
      </c>
      <c r="C185" s="28" t="s">
        <v>5365</v>
      </c>
      <c r="D185" s="28" t="s">
        <v>1305</v>
      </c>
      <c r="E185" s="214" t="s">
        <v>2969</v>
      </c>
      <c r="F185" s="28" t="s">
        <v>5403</v>
      </c>
      <c r="G185" s="28" t="s">
        <v>5405</v>
      </c>
      <c r="H185" s="28" t="s">
        <v>5086</v>
      </c>
      <c r="I185" s="28" t="s">
        <v>933</v>
      </c>
      <c r="J185" s="28" t="s">
        <v>5406</v>
      </c>
      <c r="K185" s="28" t="s">
        <v>5086</v>
      </c>
      <c r="L185" s="28" t="s">
        <v>5089</v>
      </c>
      <c r="M185" s="28" t="s">
        <v>41</v>
      </c>
      <c r="N185" s="28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spans="1:26" ht="14.4">
      <c r="A186" s="28" t="s">
        <v>4393</v>
      </c>
      <c r="B186" s="28" t="s">
        <v>4400</v>
      </c>
      <c r="C186" s="28" t="s">
        <v>5365</v>
      </c>
      <c r="D186" s="28" t="s">
        <v>1305</v>
      </c>
      <c r="E186" s="214" t="s">
        <v>2969</v>
      </c>
      <c r="F186" s="28" t="s">
        <v>5409</v>
      </c>
      <c r="G186" s="28" t="s">
        <v>5411</v>
      </c>
      <c r="H186" s="28" t="s">
        <v>5111</v>
      </c>
      <c r="I186" s="28" t="s">
        <v>933</v>
      </c>
      <c r="J186" s="28" t="s">
        <v>5415</v>
      </c>
      <c r="K186" s="28" t="s">
        <v>5111</v>
      </c>
      <c r="L186" s="28" t="s">
        <v>4406</v>
      </c>
      <c r="M186" s="28" t="s">
        <v>41</v>
      </c>
      <c r="N186" s="28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spans="1:26" ht="14.4">
      <c r="A187" s="28" t="s">
        <v>4393</v>
      </c>
      <c r="B187" s="28" t="s">
        <v>4407</v>
      </c>
      <c r="C187" s="28" t="s">
        <v>5365</v>
      </c>
      <c r="D187" s="28" t="s">
        <v>1305</v>
      </c>
      <c r="E187" s="214" t="s">
        <v>2969</v>
      </c>
      <c r="F187" s="28" t="s">
        <v>5419</v>
      </c>
      <c r="G187" s="28" t="s">
        <v>5421</v>
      </c>
      <c r="H187" s="28" t="s">
        <v>5200</v>
      </c>
      <c r="I187" s="28" t="s">
        <v>933</v>
      </c>
      <c r="J187" s="28" t="s">
        <v>3053</v>
      </c>
      <c r="K187" s="28" t="s">
        <v>5200</v>
      </c>
      <c r="L187" s="28" t="s">
        <v>5423</v>
      </c>
      <c r="M187" s="28" t="s">
        <v>41</v>
      </c>
      <c r="N187" s="28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spans="1:26" ht="14.4">
      <c r="A188" s="28" t="s">
        <v>4393</v>
      </c>
      <c r="B188" s="28" t="s">
        <v>4412</v>
      </c>
      <c r="C188" s="28" t="s">
        <v>5365</v>
      </c>
      <c r="D188" s="28" t="s">
        <v>1305</v>
      </c>
      <c r="E188" s="214" t="s">
        <v>2969</v>
      </c>
      <c r="F188" s="28" t="s">
        <v>5426</v>
      </c>
      <c r="G188" s="28" t="s">
        <v>5427</v>
      </c>
      <c r="H188" s="28" t="s">
        <v>5153</v>
      </c>
      <c r="I188" s="28" t="s">
        <v>1595</v>
      </c>
      <c r="J188" s="28" t="s">
        <v>5431</v>
      </c>
      <c r="K188" s="28" t="s">
        <v>5153</v>
      </c>
      <c r="L188" s="28" t="s">
        <v>5432</v>
      </c>
      <c r="M188" s="28" t="s">
        <v>41</v>
      </c>
      <c r="N188" s="28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spans="1:26" ht="14.4">
      <c r="A189" s="211" t="s">
        <v>4393</v>
      </c>
      <c r="B189" s="28" t="s">
        <v>4394</v>
      </c>
      <c r="C189" s="28" t="s">
        <v>5439</v>
      </c>
      <c r="D189" s="107" t="s">
        <v>1337</v>
      </c>
      <c r="E189" s="214" t="s">
        <v>2969</v>
      </c>
      <c r="F189" s="28" t="s">
        <v>5441</v>
      </c>
      <c r="G189" s="28" t="s">
        <v>1342</v>
      </c>
      <c r="H189" s="28" t="s">
        <v>5442</v>
      </c>
      <c r="I189" s="28" t="s">
        <v>2714</v>
      </c>
      <c r="J189" s="28" t="s">
        <v>5443</v>
      </c>
      <c r="K189" s="28" t="s">
        <v>5445</v>
      </c>
      <c r="L189" s="28" t="s">
        <v>5447</v>
      </c>
      <c r="M189" s="28" t="s">
        <v>41</v>
      </c>
      <c r="N189" s="213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spans="1:26" ht="14.4">
      <c r="A190" s="28" t="s">
        <v>4393</v>
      </c>
      <c r="B190" s="28" t="s">
        <v>4394</v>
      </c>
      <c r="C190" s="28" t="s">
        <v>5439</v>
      </c>
      <c r="D190" s="107" t="s">
        <v>1337</v>
      </c>
      <c r="E190" s="214" t="s">
        <v>2969</v>
      </c>
      <c r="F190" s="28" t="s">
        <v>5453</v>
      </c>
      <c r="G190" s="28" t="s">
        <v>1342</v>
      </c>
      <c r="H190" s="28" t="s">
        <v>5455</v>
      </c>
      <c r="I190" s="28" t="s">
        <v>5456</v>
      </c>
      <c r="J190" s="28" t="s">
        <v>5457</v>
      </c>
      <c r="K190" s="28" t="s">
        <v>5458</v>
      </c>
      <c r="L190" s="28" t="s">
        <v>5459</v>
      </c>
      <c r="M190" s="28" t="s">
        <v>41</v>
      </c>
      <c r="N190" s="28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spans="1:26" ht="14.4">
      <c r="A191" s="28" t="s">
        <v>4393</v>
      </c>
      <c r="B191" s="28" t="s">
        <v>4394</v>
      </c>
      <c r="C191" s="28" t="s">
        <v>5439</v>
      </c>
      <c r="D191" s="107" t="s">
        <v>1337</v>
      </c>
      <c r="E191" s="214" t="s">
        <v>2969</v>
      </c>
      <c r="F191" s="28" t="s">
        <v>5464</v>
      </c>
      <c r="G191" s="28" t="s">
        <v>1342</v>
      </c>
      <c r="H191" s="28" t="s">
        <v>5465</v>
      </c>
      <c r="I191" s="28" t="s">
        <v>2400</v>
      </c>
      <c r="J191" s="28" t="s">
        <v>5466</v>
      </c>
      <c r="K191" s="28" t="s">
        <v>5465</v>
      </c>
      <c r="L191" s="28" t="s">
        <v>5467</v>
      </c>
      <c r="M191" s="28" t="s">
        <v>41</v>
      </c>
      <c r="N191" s="28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spans="1:26" ht="14.4">
      <c r="A192" s="28" t="s">
        <v>4393</v>
      </c>
      <c r="B192" s="28" t="s">
        <v>4549</v>
      </c>
      <c r="C192" s="28" t="s">
        <v>5439</v>
      </c>
      <c r="D192" s="107" t="s">
        <v>1337</v>
      </c>
      <c r="E192" s="214" t="s">
        <v>2969</v>
      </c>
      <c r="F192" s="28" t="s">
        <v>5471</v>
      </c>
      <c r="G192" s="28" t="s">
        <v>1342</v>
      </c>
      <c r="H192" s="28" t="s">
        <v>4570</v>
      </c>
      <c r="I192" s="28" t="s">
        <v>5472</v>
      </c>
      <c r="J192" s="28" t="s">
        <v>4572</v>
      </c>
      <c r="K192" s="28" t="s">
        <v>4570</v>
      </c>
      <c r="L192" s="28" t="s">
        <v>5066</v>
      </c>
      <c r="M192" s="28" t="s">
        <v>41</v>
      </c>
      <c r="N192" s="28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spans="1:26" ht="14.4">
      <c r="A193" s="28" t="s">
        <v>4393</v>
      </c>
      <c r="B193" s="28" t="s">
        <v>4549</v>
      </c>
      <c r="C193" s="28" t="s">
        <v>5439</v>
      </c>
      <c r="D193" s="107" t="s">
        <v>1337</v>
      </c>
      <c r="E193" s="214" t="s">
        <v>2969</v>
      </c>
      <c r="F193" s="28" t="s">
        <v>5478</v>
      </c>
      <c r="G193" s="28" t="s">
        <v>1342</v>
      </c>
      <c r="H193" s="28" t="s">
        <v>4570</v>
      </c>
      <c r="I193" s="28" t="s">
        <v>5472</v>
      </c>
      <c r="J193" s="28" t="s">
        <v>4572</v>
      </c>
      <c r="K193" s="28" t="s">
        <v>4570</v>
      </c>
      <c r="L193" s="28" t="s">
        <v>5066</v>
      </c>
      <c r="M193" s="28" t="s">
        <v>41</v>
      </c>
      <c r="N193" s="28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spans="1:26" ht="14.4">
      <c r="A194" s="28" t="s">
        <v>4393</v>
      </c>
      <c r="B194" s="28" t="s">
        <v>4596</v>
      </c>
      <c r="C194" s="28" t="s">
        <v>5439</v>
      </c>
      <c r="D194" s="107" t="s">
        <v>1337</v>
      </c>
      <c r="E194" s="214" t="s">
        <v>2969</v>
      </c>
      <c r="F194" s="28" t="s">
        <v>5482</v>
      </c>
      <c r="G194" s="28" t="s">
        <v>1342</v>
      </c>
      <c r="H194" s="28" t="s">
        <v>4640</v>
      </c>
      <c r="I194" s="28" t="s">
        <v>4641</v>
      </c>
      <c r="J194" s="28" t="s">
        <v>3202</v>
      </c>
      <c r="K194" s="28" t="s">
        <v>5483</v>
      </c>
      <c r="L194" s="28" t="s">
        <v>5089</v>
      </c>
      <c r="M194" s="28" t="s">
        <v>41</v>
      </c>
      <c r="N194" s="28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spans="1:26" ht="14.4">
      <c r="A195" s="28" t="s">
        <v>4393</v>
      </c>
      <c r="B195" s="28" t="s">
        <v>4596</v>
      </c>
      <c r="C195" s="28" t="s">
        <v>5439</v>
      </c>
      <c r="D195" s="107" t="s">
        <v>1337</v>
      </c>
      <c r="E195" s="214" t="s">
        <v>2969</v>
      </c>
      <c r="F195" s="28" t="s">
        <v>5486</v>
      </c>
      <c r="G195" s="28" t="s">
        <v>1342</v>
      </c>
      <c r="H195" s="28" t="s">
        <v>4640</v>
      </c>
      <c r="I195" s="28" t="s">
        <v>4641</v>
      </c>
      <c r="J195" s="28" t="s">
        <v>3212</v>
      </c>
      <c r="K195" s="28" t="s">
        <v>5487</v>
      </c>
      <c r="L195" s="28" t="s">
        <v>5089</v>
      </c>
      <c r="M195" s="28" t="s">
        <v>41</v>
      </c>
      <c r="N195" s="28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spans="1:26" ht="14.4">
      <c r="A196" s="28" t="s">
        <v>4393</v>
      </c>
      <c r="B196" s="28" t="s">
        <v>4596</v>
      </c>
      <c r="C196" s="28" t="s">
        <v>5439</v>
      </c>
      <c r="D196" s="107" t="s">
        <v>1337</v>
      </c>
      <c r="E196" s="214" t="s">
        <v>2969</v>
      </c>
      <c r="F196" s="28" t="s">
        <v>5489</v>
      </c>
      <c r="G196" s="28" t="s">
        <v>1342</v>
      </c>
      <c r="H196" s="28" t="s">
        <v>4640</v>
      </c>
      <c r="I196" s="28" t="s">
        <v>4641</v>
      </c>
      <c r="J196" s="28" t="s">
        <v>3223</v>
      </c>
      <c r="K196" s="28" t="s">
        <v>5490</v>
      </c>
      <c r="L196" s="28" t="s">
        <v>5089</v>
      </c>
      <c r="M196" s="28" t="s">
        <v>41</v>
      </c>
      <c r="N196" s="28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spans="1:26" ht="14.4">
      <c r="A197" s="28" t="s">
        <v>4393</v>
      </c>
      <c r="B197" s="28" t="s">
        <v>4400</v>
      </c>
      <c r="C197" s="28" t="s">
        <v>5439</v>
      </c>
      <c r="D197" s="107" t="s">
        <v>1337</v>
      </c>
      <c r="E197" s="214" t="s">
        <v>2969</v>
      </c>
      <c r="F197" s="28" t="s">
        <v>5492</v>
      </c>
      <c r="G197" s="28" t="s">
        <v>1342</v>
      </c>
      <c r="H197" s="28" t="s">
        <v>4662</v>
      </c>
      <c r="I197" s="28" t="s">
        <v>4663</v>
      </c>
      <c r="J197" s="28" t="s">
        <v>5493</v>
      </c>
      <c r="K197" s="28" t="s">
        <v>4662</v>
      </c>
      <c r="L197" s="28" t="s">
        <v>4406</v>
      </c>
      <c r="M197" s="28" t="s">
        <v>41</v>
      </c>
      <c r="N197" s="28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spans="1:26" ht="14.4">
      <c r="A198" s="28" t="s">
        <v>4393</v>
      </c>
      <c r="B198" s="28" t="s">
        <v>4400</v>
      </c>
      <c r="C198" s="28" t="s">
        <v>5439</v>
      </c>
      <c r="D198" s="107" t="s">
        <v>1337</v>
      </c>
      <c r="E198" s="214" t="s">
        <v>2969</v>
      </c>
      <c r="F198" s="28" t="s">
        <v>5495</v>
      </c>
      <c r="G198" s="28" t="s">
        <v>1342</v>
      </c>
      <c r="H198" s="28" t="s">
        <v>4662</v>
      </c>
      <c r="I198" s="28" t="s">
        <v>4663</v>
      </c>
      <c r="J198" s="28" t="s">
        <v>5496</v>
      </c>
      <c r="K198" s="28" t="s">
        <v>4662</v>
      </c>
      <c r="L198" s="28" t="s">
        <v>4406</v>
      </c>
      <c r="M198" s="28" t="s">
        <v>41</v>
      </c>
      <c r="N198" s="28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spans="1:26" ht="14.4">
      <c r="A199" s="28" t="s">
        <v>4393</v>
      </c>
      <c r="B199" s="28" t="s">
        <v>4400</v>
      </c>
      <c r="C199" s="28" t="s">
        <v>5439</v>
      </c>
      <c r="D199" s="107" t="s">
        <v>1337</v>
      </c>
      <c r="E199" s="214" t="s">
        <v>2969</v>
      </c>
      <c r="F199" s="28" t="s">
        <v>5501</v>
      </c>
      <c r="G199" s="28" t="s">
        <v>1342</v>
      </c>
      <c r="H199" s="28" t="s">
        <v>4662</v>
      </c>
      <c r="I199" s="28" t="s">
        <v>4663</v>
      </c>
      <c r="J199" s="28" t="s">
        <v>5502</v>
      </c>
      <c r="K199" s="28" t="s">
        <v>4662</v>
      </c>
      <c r="L199" s="28" t="s">
        <v>4406</v>
      </c>
      <c r="M199" s="28" t="s">
        <v>41</v>
      </c>
      <c r="N199" s="28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spans="1:26" ht="14.4">
      <c r="A200" s="28" t="s">
        <v>4393</v>
      </c>
      <c r="B200" s="28" t="s">
        <v>4407</v>
      </c>
      <c r="C200" s="28" t="s">
        <v>5439</v>
      </c>
      <c r="D200" s="107" t="s">
        <v>1337</v>
      </c>
      <c r="E200" s="214" t="s">
        <v>2969</v>
      </c>
      <c r="F200" s="28" t="s">
        <v>5505</v>
      </c>
      <c r="G200" s="28" t="s">
        <v>1342</v>
      </c>
      <c r="H200" s="28" t="s">
        <v>4761</v>
      </c>
      <c r="I200" s="28" t="s">
        <v>1914</v>
      </c>
      <c r="J200" s="28" t="s">
        <v>5507</v>
      </c>
      <c r="K200" s="28" t="s">
        <v>4992</v>
      </c>
      <c r="L200" s="28" t="s">
        <v>4649</v>
      </c>
      <c r="M200" s="28" t="s">
        <v>41</v>
      </c>
      <c r="N200" s="28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spans="1:26" ht="14.4">
      <c r="A201" s="28" t="s">
        <v>4393</v>
      </c>
      <c r="B201" s="28" t="s">
        <v>4407</v>
      </c>
      <c r="C201" s="28" t="s">
        <v>5439</v>
      </c>
      <c r="D201" s="107" t="s">
        <v>1337</v>
      </c>
      <c r="E201" s="214" t="s">
        <v>2969</v>
      </c>
      <c r="F201" s="28" t="s">
        <v>5509</v>
      </c>
      <c r="G201" s="28" t="s">
        <v>1342</v>
      </c>
      <c r="H201" s="28" t="s">
        <v>5511</v>
      </c>
      <c r="I201" s="28" t="s">
        <v>5512</v>
      </c>
      <c r="J201" s="28" t="s">
        <v>5507</v>
      </c>
      <c r="K201" s="28" t="s">
        <v>5511</v>
      </c>
      <c r="L201" s="28" t="s">
        <v>5514</v>
      </c>
      <c r="M201" s="28" t="s">
        <v>41</v>
      </c>
      <c r="N201" s="28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spans="1:26" ht="14.4">
      <c r="A202" s="28" t="s">
        <v>4393</v>
      </c>
      <c r="B202" s="28" t="s">
        <v>4407</v>
      </c>
      <c r="C202" s="28" t="s">
        <v>5439</v>
      </c>
      <c r="D202" s="107" t="s">
        <v>1337</v>
      </c>
      <c r="E202" s="214" t="s">
        <v>2969</v>
      </c>
      <c r="F202" s="28" t="s">
        <v>5517</v>
      </c>
      <c r="G202" s="28" t="s">
        <v>1342</v>
      </c>
      <c r="H202" s="28" t="s">
        <v>4761</v>
      </c>
      <c r="I202" s="28" t="s">
        <v>1914</v>
      </c>
      <c r="J202" s="28" t="s">
        <v>5507</v>
      </c>
      <c r="K202" s="28" t="s">
        <v>5520</v>
      </c>
      <c r="L202" s="28" t="s">
        <v>4649</v>
      </c>
      <c r="M202" s="28" t="s">
        <v>41</v>
      </c>
      <c r="N202" s="28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spans="1:26" ht="14.4">
      <c r="A203" s="28" t="s">
        <v>4393</v>
      </c>
      <c r="B203" s="28" t="s">
        <v>4407</v>
      </c>
      <c r="C203" s="28" t="s">
        <v>5439</v>
      </c>
      <c r="D203" s="107" t="s">
        <v>1337</v>
      </c>
      <c r="E203" s="214" t="s">
        <v>2969</v>
      </c>
      <c r="F203" s="28" t="s">
        <v>5522</v>
      </c>
      <c r="G203" s="28" t="s">
        <v>1342</v>
      </c>
      <c r="H203" s="28" t="s">
        <v>4761</v>
      </c>
      <c r="I203" s="28" t="s">
        <v>1914</v>
      </c>
      <c r="J203" s="28" t="s">
        <v>5507</v>
      </c>
      <c r="K203" s="28" t="s">
        <v>5523</v>
      </c>
      <c r="L203" s="28" t="s">
        <v>4649</v>
      </c>
      <c r="M203" s="28" t="s">
        <v>41</v>
      </c>
      <c r="N203" s="28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spans="1:26" ht="14.4">
      <c r="A204" s="28" t="s">
        <v>4393</v>
      </c>
      <c r="B204" s="28" t="s">
        <v>4407</v>
      </c>
      <c r="C204" s="28" t="s">
        <v>5439</v>
      </c>
      <c r="D204" s="107" t="s">
        <v>1337</v>
      </c>
      <c r="E204" s="214" t="s">
        <v>2969</v>
      </c>
      <c r="F204" s="28" t="s">
        <v>5525</v>
      </c>
      <c r="G204" s="28" t="s">
        <v>1342</v>
      </c>
      <c r="H204" s="28" t="s">
        <v>4761</v>
      </c>
      <c r="I204" s="28" t="s">
        <v>1914</v>
      </c>
      <c r="J204" s="28" t="s">
        <v>5507</v>
      </c>
      <c r="K204" s="28" t="s">
        <v>5526</v>
      </c>
      <c r="L204" s="28" t="s">
        <v>4649</v>
      </c>
      <c r="M204" s="28" t="s">
        <v>41</v>
      </c>
      <c r="N204" s="28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spans="1:26" ht="14.4">
      <c r="A205" s="28" t="s">
        <v>4393</v>
      </c>
      <c r="B205" s="28" t="s">
        <v>4412</v>
      </c>
      <c r="C205" s="28" t="s">
        <v>5439</v>
      </c>
      <c r="D205" s="107" t="s">
        <v>1337</v>
      </c>
      <c r="E205" s="214" t="s">
        <v>2969</v>
      </c>
      <c r="F205" s="28" t="s">
        <v>5529</v>
      </c>
      <c r="G205" s="28" t="s">
        <v>1342</v>
      </c>
      <c r="H205" s="28" t="s">
        <v>4799</v>
      </c>
      <c r="I205" s="28" t="s">
        <v>3243</v>
      </c>
      <c r="J205" s="28" t="s">
        <v>5530</v>
      </c>
      <c r="K205" s="28" t="s">
        <v>4799</v>
      </c>
      <c r="L205" s="28" t="s">
        <v>2895</v>
      </c>
      <c r="M205" s="28" t="s">
        <v>41</v>
      </c>
      <c r="N205" s="28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spans="1:26" ht="14.4">
      <c r="A206" s="28" t="s">
        <v>4393</v>
      </c>
      <c r="B206" s="71"/>
      <c r="C206" s="228" t="s">
        <v>337</v>
      </c>
      <c r="D206" s="229" t="s">
        <v>3635</v>
      </c>
      <c r="E206" s="229"/>
      <c r="F206" s="229" t="s">
        <v>5551</v>
      </c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 spans="1:26" ht="28.8">
      <c r="A207" s="28" t="s">
        <v>4393</v>
      </c>
      <c r="B207" s="125" t="s">
        <v>4549</v>
      </c>
      <c r="C207" s="127" t="s">
        <v>1588</v>
      </c>
      <c r="D207" s="230">
        <v>1498000</v>
      </c>
      <c r="E207" s="126"/>
      <c r="F207" s="127" t="s">
        <v>5557</v>
      </c>
      <c r="G207" s="119" t="s">
        <v>5558</v>
      </c>
      <c r="H207" s="231" t="s">
        <v>5559</v>
      </c>
      <c r="I207" s="231"/>
      <c r="J207" s="45"/>
      <c r="K207" s="45"/>
      <c r="L207" s="45"/>
      <c r="M207" s="28" t="s">
        <v>41</v>
      </c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spans="1:26" ht="28.8">
      <c r="A208" s="28" t="s">
        <v>4393</v>
      </c>
      <c r="B208" s="125" t="s">
        <v>4596</v>
      </c>
      <c r="C208" s="127" t="s">
        <v>1588</v>
      </c>
      <c r="D208" s="230">
        <v>1498000</v>
      </c>
      <c r="E208" s="126"/>
      <c r="F208" s="127" t="s">
        <v>5562</v>
      </c>
      <c r="G208" s="119" t="s">
        <v>5563</v>
      </c>
      <c r="H208" s="232" t="s">
        <v>5565</v>
      </c>
      <c r="I208" s="232" t="s">
        <v>933</v>
      </c>
      <c r="M208" s="28" t="s">
        <v>41</v>
      </c>
    </row>
    <row r="209" spans="1:13" ht="28.8">
      <c r="A209" s="28" t="s">
        <v>4393</v>
      </c>
      <c r="B209" s="125" t="s">
        <v>4394</v>
      </c>
      <c r="C209" s="127" t="s">
        <v>1588</v>
      </c>
      <c r="D209" s="230">
        <v>1498000</v>
      </c>
      <c r="E209" s="126"/>
      <c r="F209" s="127" t="s">
        <v>5566</v>
      </c>
      <c r="G209" s="119" t="s">
        <v>5567</v>
      </c>
      <c r="H209" s="232" t="s">
        <v>5568</v>
      </c>
      <c r="I209" s="232" t="s">
        <v>1610</v>
      </c>
      <c r="M209" s="28" t="s">
        <v>41</v>
      </c>
    </row>
    <row r="210" spans="1:13" ht="28.8">
      <c r="A210" s="28" t="s">
        <v>4393</v>
      </c>
      <c r="B210" s="125" t="s">
        <v>4412</v>
      </c>
      <c r="C210" s="127" t="s">
        <v>1588</v>
      </c>
      <c r="D210" s="230">
        <v>1498000</v>
      </c>
      <c r="E210" s="126"/>
      <c r="F210" s="127" t="s">
        <v>5570</v>
      </c>
      <c r="G210" s="119" t="s">
        <v>5571</v>
      </c>
      <c r="H210" s="232" t="s">
        <v>5572</v>
      </c>
      <c r="I210" s="232" t="s">
        <v>933</v>
      </c>
      <c r="M210" s="28" t="s">
        <v>41</v>
      </c>
    </row>
    <row r="211" spans="1:13" ht="28.8">
      <c r="A211" s="28" t="s">
        <v>4393</v>
      </c>
      <c r="B211" s="125" t="s">
        <v>4400</v>
      </c>
      <c r="C211" s="127" t="s">
        <v>1588</v>
      </c>
      <c r="D211" s="230">
        <v>1498000</v>
      </c>
      <c r="E211" s="126"/>
      <c r="F211" s="127" t="s">
        <v>5573</v>
      </c>
      <c r="G211" s="119" t="s">
        <v>5574</v>
      </c>
      <c r="H211" s="232" t="s">
        <v>5576</v>
      </c>
      <c r="I211" s="232" t="s">
        <v>933</v>
      </c>
      <c r="M211" s="28" t="s">
        <v>41</v>
      </c>
    </row>
    <row r="212" spans="1:13" ht="28.8">
      <c r="A212" s="28" t="s">
        <v>4393</v>
      </c>
      <c r="B212" s="125" t="s">
        <v>4407</v>
      </c>
      <c r="C212" s="127" t="s">
        <v>1588</v>
      </c>
      <c r="D212" s="230">
        <v>1498000</v>
      </c>
      <c r="E212" s="126"/>
      <c r="F212" s="127" t="s">
        <v>5577</v>
      </c>
      <c r="G212" s="119" t="s">
        <v>5578</v>
      </c>
      <c r="H212" s="232" t="s">
        <v>5579</v>
      </c>
      <c r="I212" s="232"/>
      <c r="M212" s="28" t="s">
        <v>41</v>
      </c>
    </row>
  </sheetData>
  <autoFilter ref="A2:Z212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E198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/>
  <cols>
    <col min="2" max="2" width="15.77734375" customWidth="1"/>
    <col min="3" max="3" width="40.6640625" customWidth="1"/>
    <col min="6" max="6" width="24.21875" customWidth="1"/>
  </cols>
  <sheetData>
    <row r="1" spans="1:20" ht="15.75" customHeight="1">
      <c r="A1" s="348" t="s">
        <v>0</v>
      </c>
      <c r="B1" s="349"/>
      <c r="C1" s="349"/>
      <c r="D1" s="349"/>
      <c r="E1" s="349"/>
      <c r="F1" s="224"/>
      <c r="G1" s="224"/>
      <c r="H1" s="224"/>
      <c r="I1" s="224"/>
      <c r="J1" s="224"/>
      <c r="K1" s="224"/>
      <c r="L1" s="224"/>
      <c r="M1" s="224"/>
      <c r="N1" s="224"/>
      <c r="O1" s="101"/>
      <c r="P1" s="101"/>
      <c r="Q1" s="101"/>
      <c r="R1" s="101"/>
      <c r="S1" s="101"/>
      <c r="T1" s="101"/>
    </row>
    <row r="2" spans="1:20" ht="15.75" customHeight="1">
      <c r="A2" s="8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8</v>
      </c>
      <c r="G2" s="8" t="s">
        <v>24</v>
      </c>
      <c r="H2" s="8" t="s">
        <v>10</v>
      </c>
      <c r="I2" s="8" t="s">
        <v>11</v>
      </c>
      <c r="J2" s="8" t="s">
        <v>12</v>
      </c>
      <c r="K2" s="8" t="s">
        <v>14</v>
      </c>
      <c r="L2" s="8" t="s">
        <v>15</v>
      </c>
      <c r="M2" s="8" t="s">
        <v>4813</v>
      </c>
      <c r="N2" s="8" t="s">
        <v>17</v>
      </c>
      <c r="O2" s="101"/>
      <c r="P2" s="101"/>
      <c r="Q2" s="101"/>
      <c r="R2" s="101"/>
      <c r="S2" s="101"/>
      <c r="T2" s="101"/>
    </row>
    <row r="3" spans="1:20" ht="15.75" customHeight="1">
      <c r="A3" s="28" t="s">
        <v>4816</v>
      </c>
      <c r="B3" s="28" t="s">
        <v>49</v>
      </c>
      <c r="C3" s="28" t="s">
        <v>220</v>
      </c>
      <c r="D3" s="29" t="s">
        <v>234</v>
      </c>
      <c r="E3" s="29" t="s">
        <v>54</v>
      </c>
      <c r="F3" s="28" t="s">
        <v>4819</v>
      </c>
      <c r="G3" s="28"/>
      <c r="H3" s="28" t="s">
        <v>4824</v>
      </c>
      <c r="I3" s="28" t="s">
        <v>130</v>
      </c>
      <c r="J3" s="28" t="s">
        <v>4826</v>
      </c>
      <c r="K3" s="28" t="s">
        <v>4827</v>
      </c>
      <c r="L3" s="28" t="s">
        <v>2996</v>
      </c>
      <c r="M3" s="143" t="s">
        <v>41</v>
      </c>
      <c r="N3" s="28"/>
      <c r="O3" s="101"/>
      <c r="P3" s="101"/>
      <c r="Q3" s="101"/>
      <c r="R3" s="101"/>
      <c r="S3" s="101"/>
      <c r="T3" s="101"/>
    </row>
    <row r="4" spans="1:20" ht="15.75" customHeight="1">
      <c r="A4" s="28" t="s">
        <v>4816</v>
      </c>
      <c r="B4" s="28" t="s">
        <v>49</v>
      </c>
      <c r="C4" s="28" t="s">
        <v>220</v>
      </c>
      <c r="D4" s="29" t="s">
        <v>234</v>
      </c>
      <c r="E4" s="29" t="s">
        <v>2969</v>
      </c>
      <c r="F4" s="28" t="s">
        <v>4832</v>
      </c>
      <c r="G4" s="28"/>
      <c r="H4" s="28" t="s">
        <v>4824</v>
      </c>
      <c r="I4" s="28" t="s">
        <v>130</v>
      </c>
      <c r="J4" s="28" t="s">
        <v>4826</v>
      </c>
      <c r="K4" s="28" t="s">
        <v>4827</v>
      </c>
      <c r="L4" s="28" t="s">
        <v>2996</v>
      </c>
      <c r="M4" s="143" t="s">
        <v>41</v>
      </c>
      <c r="N4" s="28"/>
      <c r="O4" s="101"/>
      <c r="P4" s="101"/>
      <c r="Q4" s="101"/>
      <c r="R4" s="101"/>
      <c r="S4" s="101"/>
      <c r="T4" s="101"/>
    </row>
    <row r="5" spans="1:20" ht="15.75" customHeight="1">
      <c r="A5" s="28" t="s">
        <v>4816</v>
      </c>
      <c r="B5" s="28" t="s">
        <v>49</v>
      </c>
      <c r="C5" s="28" t="s">
        <v>220</v>
      </c>
      <c r="D5" s="29" t="s">
        <v>234</v>
      </c>
      <c r="E5" s="29" t="s">
        <v>2969</v>
      </c>
      <c r="F5" s="28" t="s">
        <v>4837</v>
      </c>
      <c r="G5" s="28"/>
      <c r="H5" s="28" t="s">
        <v>4824</v>
      </c>
      <c r="I5" s="28" t="s">
        <v>130</v>
      </c>
      <c r="J5" s="28" t="s">
        <v>4840</v>
      </c>
      <c r="K5" s="28" t="s">
        <v>4841</v>
      </c>
      <c r="L5" s="28" t="s">
        <v>2996</v>
      </c>
      <c r="M5" s="143" t="s">
        <v>41</v>
      </c>
      <c r="N5" s="28"/>
      <c r="O5" s="101"/>
      <c r="P5" s="101"/>
      <c r="Q5" s="101"/>
      <c r="R5" s="101"/>
      <c r="S5" s="101"/>
      <c r="T5" s="101"/>
    </row>
    <row r="6" spans="1:20" ht="15.75" customHeight="1">
      <c r="A6" s="28" t="s">
        <v>4816</v>
      </c>
      <c r="B6" s="28" t="s">
        <v>49</v>
      </c>
      <c r="C6" s="28" t="s">
        <v>220</v>
      </c>
      <c r="D6" s="29" t="s">
        <v>234</v>
      </c>
      <c r="E6" s="29" t="s">
        <v>2969</v>
      </c>
      <c r="F6" s="28" t="s">
        <v>4842</v>
      </c>
      <c r="G6" s="28"/>
      <c r="H6" s="28" t="s">
        <v>4844</v>
      </c>
      <c r="I6" s="28" t="s">
        <v>4846</v>
      </c>
      <c r="J6" s="28" t="s">
        <v>4847</v>
      </c>
      <c r="K6" s="28" t="s">
        <v>4848</v>
      </c>
      <c r="L6" s="28" t="s">
        <v>989</v>
      </c>
      <c r="M6" s="143" t="s">
        <v>41</v>
      </c>
      <c r="N6" s="28"/>
      <c r="O6" s="101"/>
      <c r="P6" s="101"/>
      <c r="Q6" s="101"/>
      <c r="R6" s="101"/>
      <c r="S6" s="101"/>
      <c r="T6" s="101"/>
    </row>
    <row r="7" spans="1:20" ht="15.75" customHeight="1">
      <c r="A7" s="28" t="s">
        <v>4816</v>
      </c>
      <c r="B7" s="28" t="s">
        <v>49</v>
      </c>
      <c r="C7" s="28" t="s">
        <v>220</v>
      </c>
      <c r="D7" s="29" t="s">
        <v>234</v>
      </c>
      <c r="E7" s="29" t="s">
        <v>2969</v>
      </c>
      <c r="F7" s="28" t="s">
        <v>4851</v>
      </c>
      <c r="G7" s="28"/>
      <c r="H7" s="28" t="s">
        <v>4852</v>
      </c>
      <c r="I7" s="28" t="s">
        <v>4853</v>
      </c>
      <c r="J7" s="28" t="s">
        <v>4854</v>
      </c>
      <c r="K7" s="28" t="s">
        <v>4855</v>
      </c>
      <c r="L7" s="28" t="s">
        <v>989</v>
      </c>
      <c r="M7" s="143" t="s">
        <v>41</v>
      </c>
      <c r="N7" s="28"/>
      <c r="O7" s="101"/>
      <c r="P7" s="101"/>
      <c r="Q7" s="101"/>
      <c r="R7" s="101"/>
      <c r="S7" s="101"/>
      <c r="T7" s="101"/>
    </row>
    <row r="8" spans="1:20" ht="15.75" customHeight="1">
      <c r="A8" s="28" t="s">
        <v>4816</v>
      </c>
      <c r="B8" s="28" t="s">
        <v>49</v>
      </c>
      <c r="C8" s="28" t="s">
        <v>220</v>
      </c>
      <c r="D8" s="29" t="s">
        <v>234</v>
      </c>
      <c r="E8" s="29" t="s">
        <v>2969</v>
      </c>
      <c r="F8" s="28" t="s">
        <v>4856</v>
      </c>
      <c r="G8" s="28"/>
      <c r="H8" s="28" t="s">
        <v>4852</v>
      </c>
      <c r="I8" s="28" t="s">
        <v>4853</v>
      </c>
      <c r="J8" s="28" t="s">
        <v>4854</v>
      </c>
      <c r="K8" s="28" t="s">
        <v>4859</v>
      </c>
      <c r="L8" s="28" t="s">
        <v>989</v>
      </c>
      <c r="M8" s="143" t="s">
        <v>41</v>
      </c>
      <c r="N8" s="28"/>
      <c r="O8" s="101"/>
      <c r="P8" s="101"/>
      <c r="Q8" s="101"/>
      <c r="R8" s="101"/>
      <c r="S8" s="101"/>
      <c r="T8" s="101"/>
    </row>
    <row r="9" spans="1:20" ht="15.75" customHeight="1">
      <c r="A9" s="28" t="s">
        <v>4816</v>
      </c>
      <c r="B9" s="28" t="s">
        <v>49</v>
      </c>
      <c r="C9" s="28" t="s">
        <v>220</v>
      </c>
      <c r="D9" s="29" t="s">
        <v>234</v>
      </c>
      <c r="E9" s="29" t="s">
        <v>2969</v>
      </c>
      <c r="F9" s="28" t="s">
        <v>4861</v>
      </c>
      <c r="G9" s="28"/>
      <c r="H9" s="28" t="s">
        <v>4862</v>
      </c>
      <c r="I9" s="28" t="s">
        <v>4863</v>
      </c>
      <c r="J9" s="28" t="s">
        <v>4864</v>
      </c>
      <c r="K9" s="28" t="s">
        <v>4862</v>
      </c>
      <c r="L9" s="28" t="s">
        <v>2996</v>
      </c>
      <c r="M9" s="143" t="s">
        <v>41</v>
      </c>
      <c r="N9" s="28"/>
      <c r="O9" s="101"/>
      <c r="P9" s="101"/>
      <c r="Q9" s="101"/>
      <c r="R9" s="101"/>
      <c r="S9" s="101"/>
      <c r="T9" s="101"/>
    </row>
    <row r="10" spans="1:20" ht="15.75" customHeight="1">
      <c r="A10" s="28" t="s">
        <v>4816</v>
      </c>
      <c r="B10" s="28" t="s">
        <v>49</v>
      </c>
      <c r="C10" s="28" t="s">
        <v>85</v>
      </c>
      <c r="D10" s="28" t="s">
        <v>86</v>
      </c>
      <c r="E10" s="29" t="s">
        <v>2969</v>
      </c>
      <c r="F10" s="28" t="s">
        <v>4871</v>
      </c>
      <c r="G10" s="28" t="s">
        <v>4872</v>
      </c>
      <c r="H10" s="28" t="s">
        <v>4873</v>
      </c>
      <c r="I10" s="28" t="s">
        <v>916</v>
      </c>
      <c r="J10" s="28" t="s">
        <v>4874</v>
      </c>
      <c r="K10" s="28" t="s">
        <v>4873</v>
      </c>
      <c r="L10" s="28" t="s">
        <v>4480</v>
      </c>
      <c r="M10" s="143" t="s">
        <v>41</v>
      </c>
      <c r="N10" s="28"/>
      <c r="O10" s="101"/>
      <c r="P10" s="101"/>
      <c r="Q10" s="101"/>
      <c r="R10" s="101"/>
      <c r="S10" s="101"/>
      <c r="T10" s="101"/>
    </row>
    <row r="11" spans="1:20" ht="15.75" customHeight="1">
      <c r="A11" s="28" t="s">
        <v>4816</v>
      </c>
      <c r="B11" s="28" t="s">
        <v>49</v>
      </c>
      <c r="C11" s="28" t="s">
        <v>85</v>
      </c>
      <c r="D11" s="28" t="s">
        <v>86</v>
      </c>
      <c r="E11" s="29" t="s">
        <v>2969</v>
      </c>
      <c r="F11" s="28" t="s">
        <v>4879</v>
      </c>
      <c r="G11" s="28" t="s">
        <v>4880</v>
      </c>
      <c r="H11" s="28" t="s">
        <v>4881</v>
      </c>
      <c r="I11" s="28" t="s">
        <v>4882</v>
      </c>
      <c r="J11" s="28" t="s">
        <v>4883</v>
      </c>
      <c r="K11" s="28" t="s">
        <v>4884</v>
      </c>
      <c r="L11" s="28" t="s">
        <v>149</v>
      </c>
      <c r="M11" s="143" t="s">
        <v>41</v>
      </c>
      <c r="N11" s="28"/>
      <c r="O11" s="101"/>
      <c r="P11" s="101"/>
      <c r="Q11" s="101"/>
      <c r="R11" s="101"/>
      <c r="S11" s="101"/>
      <c r="T11" s="101"/>
    </row>
    <row r="12" spans="1:20" ht="15.75" customHeight="1">
      <c r="A12" s="28" t="s">
        <v>4816</v>
      </c>
      <c r="B12" s="28" t="s">
        <v>49</v>
      </c>
      <c r="C12" s="28" t="s">
        <v>85</v>
      </c>
      <c r="D12" s="28" t="s">
        <v>86</v>
      </c>
      <c r="E12" s="29" t="s">
        <v>2969</v>
      </c>
      <c r="F12" s="28" t="s">
        <v>4890</v>
      </c>
      <c r="G12" s="28" t="s">
        <v>4891</v>
      </c>
      <c r="H12" s="28" t="s">
        <v>4892</v>
      </c>
      <c r="I12" s="28" t="s">
        <v>3091</v>
      </c>
      <c r="J12" s="28" t="s">
        <v>4893</v>
      </c>
      <c r="K12" s="28" t="s">
        <v>4892</v>
      </c>
      <c r="L12" s="28" t="s">
        <v>989</v>
      </c>
      <c r="M12" s="143" t="s">
        <v>41</v>
      </c>
      <c r="N12" s="28"/>
      <c r="O12" s="101"/>
      <c r="P12" s="101"/>
      <c r="Q12" s="101"/>
      <c r="R12" s="101"/>
      <c r="S12" s="101"/>
      <c r="T12" s="101"/>
    </row>
    <row r="13" spans="1:20" ht="15.75" customHeight="1">
      <c r="A13" s="28" t="s">
        <v>4816</v>
      </c>
      <c r="B13" s="28" t="s">
        <v>49</v>
      </c>
      <c r="C13" s="28" t="s">
        <v>85</v>
      </c>
      <c r="D13" s="28" t="s">
        <v>86</v>
      </c>
      <c r="E13" s="29" t="s">
        <v>2969</v>
      </c>
      <c r="F13" s="28" t="s">
        <v>4897</v>
      </c>
      <c r="G13" s="28" t="s">
        <v>4899</v>
      </c>
      <c r="H13" s="28" t="s">
        <v>4900</v>
      </c>
      <c r="I13" s="28" t="s">
        <v>4901</v>
      </c>
      <c r="J13" s="28" t="s">
        <v>4902</v>
      </c>
      <c r="K13" s="28" t="s">
        <v>4900</v>
      </c>
      <c r="L13" s="28" t="s">
        <v>989</v>
      </c>
      <c r="M13" s="143" t="s">
        <v>41</v>
      </c>
      <c r="N13" s="28"/>
      <c r="O13" s="101"/>
      <c r="P13" s="101"/>
      <c r="Q13" s="101"/>
      <c r="R13" s="101"/>
      <c r="S13" s="101"/>
      <c r="T13" s="101"/>
    </row>
    <row r="14" spans="1:20" ht="15.75" customHeight="1">
      <c r="A14" s="28" t="s">
        <v>4816</v>
      </c>
      <c r="B14" s="28" t="s">
        <v>49</v>
      </c>
      <c r="C14" s="28" t="s">
        <v>85</v>
      </c>
      <c r="D14" s="28" t="s">
        <v>86</v>
      </c>
      <c r="E14" s="29" t="s">
        <v>2969</v>
      </c>
      <c r="F14" s="28" t="s">
        <v>4907</v>
      </c>
      <c r="G14" s="28" t="s">
        <v>4908</v>
      </c>
      <c r="H14" s="28" t="s">
        <v>4900</v>
      </c>
      <c r="I14" s="28" t="s">
        <v>4901</v>
      </c>
      <c r="J14" s="28" t="s">
        <v>4909</v>
      </c>
      <c r="K14" s="28" t="s">
        <v>4910</v>
      </c>
      <c r="L14" s="28" t="s">
        <v>989</v>
      </c>
      <c r="M14" s="143" t="s">
        <v>41</v>
      </c>
      <c r="N14" s="28"/>
      <c r="O14" s="101"/>
      <c r="P14" s="101"/>
      <c r="Q14" s="101"/>
      <c r="R14" s="101"/>
      <c r="S14" s="101"/>
      <c r="T14" s="101"/>
    </row>
    <row r="15" spans="1:20" ht="15.75" customHeight="1">
      <c r="A15" s="28" t="s">
        <v>4816</v>
      </c>
      <c r="B15" s="28" t="s">
        <v>49</v>
      </c>
      <c r="C15" s="28" t="s">
        <v>85</v>
      </c>
      <c r="D15" s="28" t="s">
        <v>86</v>
      </c>
      <c r="E15" s="29" t="s">
        <v>2969</v>
      </c>
      <c r="F15" s="28" t="s">
        <v>4914</v>
      </c>
      <c r="G15" s="28" t="s">
        <v>4915</v>
      </c>
      <c r="H15" s="28" t="s">
        <v>4824</v>
      </c>
      <c r="I15" s="28" t="s">
        <v>130</v>
      </c>
      <c r="J15" s="28" t="s">
        <v>4916</v>
      </c>
      <c r="K15" s="28" t="s">
        <v>4824</v>
      </c>
      <c r="L15" s="28" t="s">
        <v>2996</v>
      </c>
      <c r="M15" s="143" t="s">
        <v>41</v>
      </c>
      <c r="N15" s="28"/>
      <c r="O15" s="101"/>
      <c r="P15" s="101"/>
      <c r="Q15" s="101"/>
      <c r="R15" s="101"/>
      <c r="S15" s="101"/>
      <c r="T15" s="101"/>
    </row>
    <row r="16" spans="1:20" ht="15.75" customHeight="1">
      <c r="A16" s="28" t="s">
        <v>4816</v>
      </c>
      <c r="B16" s="28" t="s">
        <v>49</v>
      </c>
      <c r="C16" s="28" t="s">
        <v>85</v>
      </c>
      <c r="D16" s="28" t="s">
        <v>86</v>
      </c>
      <c r="E16" s="29" t="s">
        <v>2969</v>
      </c>
      <c r="F16" s="28" t="s">
        <v>4920</v>
      </c>
      <c r="G16" s="28" t="s">
        <v>4921</v>
      </c>
      <c r="H16" s="28" t="s">
        <v>4824</v>
      </c>
      <c r="I16" s="28" t="s">
        <v>130</v>
      </c>
      <c r="J16" s="28" t="s">
        <v>4922</v>
      </c>
      <c r="K16" s="28" t="s">
        <v>4923</v>
      </c>
      <c r="L16" s="28" t="s">
        <v>2996</v>
      </c>
      <c r="M16" s="143" t="s">
        <v>41</v>
      </c>
      <c r="N16" s="28"/>
      <c r="O16" s="101"/>
      <c r="P16" s="101"/>
      <c r="Q16" s="101"/>
      <c r="R16" s="101"/>
      <c r="S16" s="101"/>
      <c r="T16" s="101"/>
    </row>
    <row r="17" spans="1:20" ht="15.75" customHeight="1">
      <c r="A17" s="28" t="s">
        <v>4816</v>
      </c>
      <c r="B17" s="28" t="s">
        <v>49</v>
      </c>
      <c r="C17" s="28" t="s">
        <v>85</v>
      </c>
      <c r="D17" s="28" t="s">
        <v>86</v>
      </c>
      <c r="E17" s="29" t="s">
        <v>2969</v>
      </c>
      <c r="F17" s="28" t="s">
        <v>4929</v>
      </c>
      <c r="G17" s="28" t="s">
        <v>4930</v>
      </c>
      <c r="H17" s="28" t="s">
        <v>4932</v>
      </c>
      <c r="I17" s="28" t="s">
        <v>4933</v>
      </c>
      <c r="J17" s="28" t="s">
        <v>4934</v>
      </c>
      <c r="K17" s="28" t="s">
        <v>4932</v>
      </c>
      <c r="L17" s="28" t="s">
        <v>989</v>
      </c>
      <c r="M17" s="143" t="s">
        <v>41</v>
      </c>
      <c r="N17" s="28"/>
      <c r="O17" s="101"/>
      <c r="P17" s="101"/>
      <c r="Q17" s="101"/>
      <c r="R17" s="101"/>
      <c r="S17" s="101"/>
      <c r="T17" s="101"/>
    </row>
    <row r="18" spans="1:20" ht="14.4">
      <c r="A18" s="28" t="s">
        <v>4816</v>
      </c>
      <c r="B18" s="28" t="s">
        <v>49</v>
      </c>
      <c r="C18" s="28" t="s">
        <v>85</v>
      </c>
      <c r="D18" s="28" t="s">
        <v>86</v>
      </c>
      <c r="E18" s="29" t="s">
        <v>2969</v>
      </c>
      <c r="F18" s="28" t="s">
        <v>4939</v>
      </c>
      <c r="G18" s="28" t="s">
        <v>4940</v>
      </c>
      <c r="H18" s="28" t="s">
        <v>4844</v>
      </c>
      <c r="I18" s="28" t="s">
        <v>4846</v>
      </c>
      <c r="J18" s="28" t="s">
        <v>4941</v>
      </c>
      <c r="K18" s="28" t="s">
        <v>4844</v>
      </c>
      <c r="L18" s="28" t="s">
        <v>989</v>
      </c>
      <c r="M18" s="143" t="s">
        <v>41</v>
      </c>
      <c r="N18" s="28"/>
      <c r="O18" s="101"/>
      <c r="P18" s="101"/>
      <c r="Q18" s="101"/>
      <c r="R18" s="101"/>
      <c r="S18" s="101"/>
      <c r="T18" s="101"/>
    </row>
    <row r="19" spans="1:20" ht="14.4">
      <c r="A19" s="28" t="s">
        <v>4816</v>
      </c>
      <c r="B19" s="28" t="s">
        <v>49</v>
      </c>
      <c r="C19" s="28" t="s">
        <v>85</v>
      </c>
      <c r="D19" s="28" t="s">
        <v>86</v>
      </c>
      <c r="E19" s="29" t="s">
        <v>2969</v>
      </c>
      <c r="F19" s="28" t="s">
        <v>4944</v>
      </c>
      <c r="G19" s="28" t="s">
        <v>4945</v>
      </c>
      <c r="H19" s="28" t="s">
        <v>4946</v>
      </c>
      <c r="I19" s="28" t="s">
        <v>898</v>
      </c>
      <c r="J19" s="28" t="s">
        <v>4949</v>
      </c>
      <c r="K19" s="28" t="s">
        <v>4946</v>
      </c>
      <c r="L19" s="28" t="s">
        <v>989</v>
      </c>
      <c r="M19" s="143" t="s">
        <v>41</v>
      </c>
      <c r="N19" s="28"/>
      <c r="O19" s="101"/>
      <c r="P19" s="101"/>
      <c r="Q19" s="101"/>
      <c r="R19" s="101"/>
      <c r="S19" s="101"/>
      <c r="T19" s="101"/>
    </row>
    <row r="20" spans="1:20" ht="14.4">
      <c r="A20" s="28" t="s">
        <v>4816</v>
      </c>
      <c r="B20" s="28" t="s">
        <v>49</v>
      </c>
      <c r="C20" s="28" t="s">
        <v>85</v>
      </c>
      <c r="D20" s="28" t="s">
        <v>86</v>
      </c>
      <c r="E20" s="29" t="s">
        <v>2969</v>
      </c>
      <c r="F20" s="28" t="s">
        <v>4950</v>
      </c>
      <c r="G20" s="28" t="s">
        <v>4952</v>
      </c>
      <c r="H20" s="28" t="s">
        <v>4954</v>
      </c>
      <c r="I20" s="28" t="s">
        <v>4955</v>
      </c>
      <c r="J20" s="28" t="s">
        <v>4956</v>
      </c>
      <c r="K20" s="28" t="s">
        <v>4954</v>
      </c>
      <c r="L20" s="28" t="s">
        <v>2996</v>
      </c>
      <c r="M20" s="143" t="s">
        <v>41</v>
      </c>
      <c r="N20" s="28"/>
      <c r="O20" s="101"/>
      <c r="P20" s="101"/>
      <c r="Q20" s="101"/>
      <c r="R20" s="101"/>
      <c r="S20" s="101"/>
      <c r="T20" s="101"/>
    </row>
    <row r="21" spans="1:20" ht="14.4">
      <c r="A21" s="28" t="s">
        <v>4816</v>
      </c>
      <c r="B21" s="28" t="s">
        <v>49</v>
      </c>
      <c r="C21" s="28" t="s">
        <v>85</v>
      </c>
      <c r="D21" s="28" t="s">
        <v>86</v>
      </c>
      <c r="E21" s="29" t="s">
        <v>2969</v>
      </c>
      <c r="F21" s="28" t="s">
        <v>4959</v>
      </c>
      <c r="G21" s="28" t="s">
        <v>4960</v>
      </c>
      <c r="H21" s="28" t="s">
        <v>4954</v>
      </c>
      <c r="I21" s="28" t="s">
        <v>4955</v>
      </c>
      <c r="J21" s="28" t="s">
        <v>4956</v>
      </c>
      <c r="K21" s="28" t="s">
        <v>4963</v>
      </c>
      <c r="L21" s="28" t="s">
        <v>2996</v>
      </c>
      <c r="M21" s="143" t="s">
        <v>41</v>
      </c>
      <c r="N21" s="28"/>
      <c r="O21" s="101"/>
      <c r="P21" s="101"/>
      <c r="Q21" s="101"/>
      <c r="R21" s="101"/>
      <c r="S21" s="101"/>
      <c r="T21" s="101"/>
    </row>
    <row r="22" spans="1:20" ht="14.4">
      <c r="A22" s="28" t="s">
        <v>4816</v>
      </c>
      <c r="B22" s="28" t="s">
        <v>49</v>
      </c>
      <c r="C22" s="28" t="s">
        <v>85</v>
      </c>
      <c r="D22" s="28" t="s">
        <v>86</v>
      </c>
      <c r="E22" s="29" t="s">
        <v>2969</v>
      </c>
      <c r="F22" s="28" t="s">
        <v>4966</v>
      </c>
      <c r="G22" s="28" t="s">
        <v>4967</v>
      </c>
      <c r="H22" s="28" t="s">
        <v>4968</v>
      </c>
      <c r="I22" s="28" t="s">
        <v>966</v>
      </c>
      <c r="J22" s="28" t="s">
        <v>4969</v>
      </c>
      <c r="K22" s="28" t="s">
        <v>4971</v>
      </c>
      <c r="L22" s="28" t="s">
        <v>2996</v>
      </c>
      <c r="M22" s="143" t="s">
        <v>41</v>
      </c>
      <c r="N22" s="28"/>
      <c r="O22" s="101"/>
      <c r="P22" s="101"/>
      <c r="Q22" s="101"/>
      <c r="R22" s="101"/>
      <c r="S22" s="101"/>
      <c r="T22" s="101"/>
    </row>
    <row r="23" spans="1:20" ht="14.4">
      <c r="A23" s="28" t="s">
        <v>4816</v>
      </c>
      <c r="B23" s="28" t="s">
        <v>49</v>
      </c>
      <c r="C23" s="28" t="s">
        <v>85</v>
      </c>
      <c r="D23" s="28" t="s">
        <v>86</v>
      </c>
      <c r="E23" s="29" t="s">
        <v>2969</v>
      </c>
      <c r="F23" s="28" t="s">
        <v>4973</v>
      </c>
      <c r="G23" s="28" t="s">
        <v>4974</v>
      </c>
      <c r="H23" s="28" t="s">
        <v>4968</v>
      </c>
      <c r="I23" s="28" t="s">
        <v>966</v>
      </c>
      <c r="J23" s="28" t="s">
        <v>4969</v>
      </c>
      <c r="K23" s="28" t="s">
        <v>4971</v>
      </c>
      <c r="L23" s="28" t="s">
        <v>2996</v>
      </c>
      <c r="M23" s="143" t="s">
        <v>41</v>
      </c>
      <c r="N23" s="28"/>
      <c r="O23" s="101"/>
      <c r="P23" s="101"/>
      <c r="Q23" s="101"/>
      <c r="R23" s="101"/>
      <c r="S23" s="101"/>
      <c r="T23" s="101"/>
    </row>
    <row r="24" spans="1:20" ht="14.4">
      <c r="A24" s="28" t="s">
        <v>4816</v>
      </c>
      <c r="B24" s="28" t="s">
        <v>49</v>
      </c>
      <c r="C24" s="28" t="s">
        <v>85</v>
      </c>
      <c r="D24" s="28" t="s">
        <v>86</v>
      </c>
      <c r="E24" s="29" t="s">
        <v>2969</v>
      </c>
      <c r="F24" s="28" t="s">
        <v>4979</v>
      </c>
      <c r="G24" s="28" t="s">
        <v>4980</v>
      </c>
      <c r="H24" s="28" t="s">
        <v>4981</v>
      </c>
      <c r="I24" s="28" t="s">
        <v>966</v>
      </c>
      <c r="J24" s="28" t="s">
        <v>4982</v>
      </c>
      <c r="K24" s="28" t="s">
        <v>4983</v>
      </c>
      <c r="L24" s="28" t="s">
        <v>2996</v>
      </c>
      <c r="M24" s="143" t="s">
        <v>41</v>
      </c>
      <c r="N24" s="28"/>
      <c r="O24" s="101"/>
      <c r="P24" s="101"/>
      <c r="Q24" s="101"/>
      <c r="R24" s="101"/>
      <c r="S24" s="101"/>
      <c r="T24" s="101"/>
    </row>
    <row r="25" spans="1:20" ht="14.4">
      <c r="A25" s="28" t="s">
        <v>4816</v>
      </c>
      <c r="B25" s="28" t="s">
        <v>49</v>
      </c>
      <c r="C25" s="28" t="s">
        <v>85</v>
      </c>
      <c r="D25" s="28" t="s">
        <v>86</v>
      </c>
      <c r="E25" s="29" t="s">
        <v>2969</v>
      </c>
      <c r="F25" s="28" t="s">
        <v>4987</v>
      </c>
      <c r="G25" s="28" t="s">
        <v>4988</v>
      </c>
      <c r="H25" s="28" t="s">
        <v>4981</v>
      </c>
      <c r="I25" s="28" t="s">
        <v>966</v>
      </c>
      <c r="J25" s="28" t="s">
        <v>4982</v>
      </c>
      <c r="K25" s="28" t="s">
        <v>4981</v>
      </c>
      <c r="L25" s="28" t="s">
        <v>2996</v>
      </c>
      <c r="M25" s="143" t="s">
        <v>41</v>
      </c>
      <c r="N25" s="28"/>
      <c r="O25" s="101"/>
      <c r="P25" s="101"/>
      <c r="Q25" s="101"/>
      <c r="R25" s="101"/>
      <c r="S25" s="101"/>
      <c r="T25" s="101"/>
    </row>
    <row r="26" spans="1:20" ht="14.4">
      <c r="A26" s="28" t="s">
        <v>4816</v>
      </c>
      <c r="B26" s="28" t="s">
        <v>49</v>
      </c>
      <c r="C26" s="28" t="s">
        <v>85</v>
      </c>
      <c r="D26" s="28" t="s">
        <v>86</v>
      </c>
      <c r="E26" s="29" t="s">
        <v>2969</v>
      </c>
      <c r="F26" s="28" t="s">
        <v>4996</v>
      </c>
      <c r="G26" s="28" t="s">
        <v>4997</v>
      </c>
      <c r="H26" s="28" t="s">
        <v>4852</v>
      </c>
      <c r="I26" s="28" t="s">
        <v>4853</v>
      </c>
      <c r="J26" s="28" t="s">
        <v>4998</v>
      </c>
      <c r="K26" s="28" t="s">
        <v>4999</v>
      </c>
      <c r="L26" s="28" t="s">
        <v>989</v>
      </c>
      <c r="M26" s="143" t="s">
        <v>41</v>
      </c>
      <c r="N26" s="28"/>
      <c r="O26" s="101"/>
      <c r="P26" s="101"/>
      <c r="Q26" s="101"/>
      <c r="R26" s="101"/>
      <c r="S26" s="101"/>
      <c r="T26" s="101"/>
    </row>
    <row r="27" spans="1:20" ht="14.4">
      <c r="A27" s="28" t="s">
        <v>4816</v>
      </c>
      <c r="B27" s="28" t="s">
        <v>49</v>
      </c>
      <c r="C27" s="28" t="s">
        <v>85</v>
      </c>
      <c r="D27" s="28" t="s">
        <v>86</v>
      </c>
      <c r="E27" s="29" t="s">
        <v>2969</v>
      </c>
      <c r="F27" s="28" t="s">
        <v>5004</v>
      </c>
      <c r="G27" s="28" t="s">
        <v>5005</v>
      </c>
      <c r="H27" s="28" t="s">
        <v>5006</v>
      </c>
      <c r="I27" s="28" t="s">
        <v>5007</v>
      </c>
      <c r="J27" s="28" t="s">
        <v>5009</v>
      </c>
      <c r="K27" s="28" t="s">
        <v>5006</v>
      </c>
      <c r="L27" s="28" t="s">
        <v>989</v>
      </c>
      <c r="M27" s="143" t="s">
        <v>41</v>
      </c>
      <c r="N27" s="28"/>
      <c r="O27" s="101"/>
      <c r="P27" s="101"/>
      <c r="Q27" s="101"/>
      <c r="R27" s="101"/>
      <c r="S27" s="101"/>
      <c r="T27" s="101"/>
    </row>
    <row r="28" spans="1:20" ht="14.4">
      <c r="A28" s="28" t="s">
        <v>4816</v>
      </c>
      <c r="B28" s="28" t="s">
        <v>49</v>
      </c>
      <c r="C28" s="28" t="s">
        <v>85</v>
      </c>
      <c r="D28" s="28" t="s">
        <v>86</v>
      </c>
      <c r="E28" s="29" t="s">
        <v>2969</v>
      </c>
      <c r="F28" s="28" t="s">
        <v>5015</v>
      </c>
      <c r="G28" s="28" t="s">
        <v>5017</v>
      </c>
      <c r="H28" s="28" t="s">
        <v>5019</v>
      </c>
      <c r="I28" s="28" t="s">
        <v>898</v>
      </c>
      <c r="J28" s="28" t="s">
        <v>5020</v>
      </c>
      <c r="K28" s="28" t="s">
        <v>5019</v>
      </c>
      <c r="L28" s="28" t="s">
        <v>2230</v>
      </c>
      <c r="M28" s="143" t="s">
        <v>41</v>
      </c>
      <c r="N28" s="28"/>
      <c r="O28" s="101"/>
      <c r="P28" s="101"/>
      <c r="Q28" s="101"/>
      <c r="R28" s="101"/>
      <c r="S28" s="101"/>
      <c r="T28" s="101"/>
    </row>
    <row r="29" spans="1:20" ht="14.4">
      <c r="A29" s="28" t="s">
        <v>4816</v>
      </c>
      <c r="B29" s="28" t="s">
        <v>49</v>
      </c>
      <c r="C29" s="28" t="s">
        <v>85</v>
      </c>
      <c r="D29" s="28" t="s">
        <v>86</v>
      </c>
      <c r="E29" s="29" t="s">
        <v>2969</v>
      </c>
      <c r="F29" s="28" t="s">
        <v>5025</v>
      </c>
      <c r="G29" s="28" t="s">
        <v>5026</v>
      </c>
      <c r="H29" s="28" t="s">
        <v>5028</v>
      </c>
      <c r="I29" s="28" t="s">
        <v>898</v>
      </c>
      <c r="J29" s="28" t="s">
        <v>5031</v>
      </c>
      <c r="K29" s="28" t="s">
        <v>5028</v>
      </c>
      <c r="L29" s="28" t="s">
        <v>2230</v>
      </c>
      <c r="M29" s="143" t="s">
        <v>41</v>
      </c>
      <c r="N29" s="28"/>
      <c r="O29" s="101"/>
      <c r="P29" s="101"/>
      <c r="Q29" s="101"/>
      <c r="R29" s="101"/>
      <c r="S29" s="101"/>
      <c r="T29" s="101"/>
    </row>
    <row r="30" spans="1:20" ht="14.4">
      <c r="A30" s="28" t="s">
        <v>4816</v>
      </c>
      <c r="B30" s="28" t="s">
        <v>49</v>
      </c>
      <c r="C30" s="28" t="s">
        <v>287</v>
      </c>
      <c r="D30" s="28" t="s">
        <v>71</v>
      </c>
      <c r="E30" s="29" t="s">
        <v>2969</v>
      </c>
      <c r="F30" s="28" t="s">
        <v>5035</v>
      </c>
      <c r="G30" s="28"/>
      <c r="H30" s="28" t="s">
        <v>5037</v>
      </c>
      <c r="I30" s="28" t="s">
        <v>916</v>
      </c>
      <c r="J30" s="28" t="s">
        <v>5038</v>
      </c>
      <c r="K30" s="28" t="s">
        <v>5037</v>
      </c>
      <c r="L30" s="28" t="s">
        <v>5039</v>
      </c>
      <c r="M30" s="143" t="s">
        <v>41</v>
      </c>
      <c r="N30" s="28"/>
      <c r="O30" s="101"/>
      <c r="P30" s="101"/>
      <c r="Q30" s="101"/>
      <c r="R30" s="101"/>
      <c r="S30" s="101"/>
      <c r="T30" s="101"/>
    </row>
    <row r="31" spans="1:20" ht="14.4">
      <c r="A31" s="28" t="s">
        <v>4816</v>
      </c>
      <c r="B31" s="28" t="s">
        <v>49</v>
      </c>
      <c r="C31" s="28" t="s">
        <v>296</v>
      </c>
      <c r="D31" s="28" t="s">
        <v>954</v>
      </c>
      <c r="E31" s="29" t="s">
        <v>2969</v>
      </c>
      <c r="F31" s="79" t="s">
        <v>5044</v>
      </c>
      <c r="G31" s="28"/>
      <c r="H31" s="28" t="s">
        <v>5037</v>
      </c>
      <c r="I31" s="28" t="s">
        <v>335</v>
      </c>
      <c r="J31" s="28" t="s">
        <v>5046</v>
      </c>
      <c r="K31" s="28"/>
      <c r="L31" s="28" t="s">
        <v>5039</v>
      </c>
      <c r="M31" s="143" t="s">
        <v>41</v>
      </c>
      <c r="N31" s="28"/>
      <c r="O31" s="101"/>
      <c r="P31" s="101"/>
      <c r="Q31" s="101"/>
      <c r="R31" s="101"/>
      <c r="S31" s="101"/>
      <c r="T31" s="101"/>
    </row>
    <row r="32" spans="1:20" ht="14.4">
      <c r="A32" s="28" t="s">
        <v>4816</v>
      </c>
      <c r="B32" s="28" t="s">
        <v>49</v>
      </c>
      <c r="C32" s="28" t="s">
        <v>306</v>
      </c>
      <c r="D32" s="155" t="s">
        <v>341</v>
      </c>
      <c r="E32" s="29" t="s">
        <v>2969</v>
      </c>
      <c r="F32" s="28" t="s">
        <v>5052</v>
      </c>
      <c r="G32" s="28"/>
      <c r="H32" s="28" t="s">
        <v>5053</v>
      </c>
      <c r="I32" s="28" t="s">
        <v>1800</v>
      </c>
      <c r="J32" s="28"/>
      <c r="K32" s="28" t="s">
        <v>5053</v>
      </c>
      <c r="L32" s="28" t="s">
        <v>5039</v>
      </c>
      <c r="M32" s="143" t="s">
        <v>41</v>
      </c>
      <c r="N32" s="28"/>
      <c r="O32" s="101"/>
      <c r="P32" s="101"/>
      <c r="Q32" s="101"/>
      <c r="R32" s="101"/>
      <c r="S32" s="101"/>
      <c r="T32" s="101"/>
    </row>
    <row r="33" spans="1:20" ht="14.4">
      <c r="A33" s="28" t="s">
        <v>4816</v>
      </c>
      <c r="B33" s="28" t="s">
        <v>49</v>
      </c>
      <c r="C33" s="28" t="s">
        <v>306</v>
      </c>
      <c r="D33" s="155" t="s">
        <v>341</v>
      </c>
      <c r="E33" s="29" t="s">
        <v>2969</v>
      </c>
      <c r="F33" s="28" t="s">
        <v>5057</v>
      </c>
      <c r="G33" s="28"/>
      <c r="H33" s="28" t="s">
        <v>5059</v>
      </c>
      <c r="I33" s="28" t="s">
        <v>1804</v>
      </c>
      <c r="J33" s="28"/>
      <c r="K33" s="28" t="s">
        <v>5059</v>
      </c>
      <c r="L33" s="28" t="s">
        <v>5039</v>
      </c>
      <c r="M33" s="143" t="s">
        <v>41</v>
      </c>
      <c r="N33" s="28"/>
      <c r="O33" s="101"/>
      <c r="P33" s="101"/>
      <c r="Q33" s="101"/>
      <c r="R33" s="101"/>
      <c r="S33" s="101"/>
      <c r="T33" s="101"/>
    </row>
    <row r="34" spans="1:20" ht="14.4">
      <c r="A34" s="28" t="s">
        <v>4816</v>
      </c>
      <c r="B34" s="28" t="s">
        <v>49</v>
      </c>
      <c r="C34" s="28" t="s">
        <v>306</v>
      </c>
      <c r="D34" s="155" t="s">
        <v>341</v>
      </c>
      <c r="E34" s="29" t="s">
        <v>2969</v>
      </c>
      <c r="F34" s="28" t="s">
        <v>5065</v>
      </c>
      <c r="G34" s="28"/>
      <c r="H34" s="28" t="s">
        <v>5059</v>
      </c>
      <c r="I34" s="28" t="s">
        <v>1804</v>
      </c>
      <c r="J34" s="28"/>
      <c r="K34" s="28" t="s">
        <v>5059</v>
      </c>
      <c r="L34" s="28" t="s">
        <v>5039</v>
      </c>
      <c r="M34" s="143" t="s">
        <v>41</v>
      </c>
      <c r="N34" s="28"/>
      <c r="O34" s="101"/>
      <c r="P34" s="101"/>
      <c r="Q34" s="101"/>
      <c r="R34" s="101"/>
      <c r="S34" s="101"/>
      <c r="T34" s="101"/>
    </row>
    <row r="35" spans="1:20" ht="14.4">
      <c r="A35" s="28" t="s">
        <v>4816</v>
      </c>
      <c r="B35" s="28" t="s">
        <v>5069</v>
      </c>
      <c r="C35" s="28" t="s">
        <v>85</v>
      </c>
      <c r="D35" s="28" t="s">
        <v>86</v>
      </c>
      <c r="E35" s="29" t="s">
        <v>2969</v>
      </c>
      <c r="F35" s="28" t="s">
        <v>5070</v>
      </c>
      <c r="G35" s="28" t="s">
        <v>5071</v>
      </c>
      <c r="H35" s="28" t="s">
        <v>5072</v>
      </c>
      <c r="I35" s="28" t="s">
        <v>5073</v>
      </c>
      <c r="J35" s="28" t="s">
        <v>2939</v>
      </c>
      <c r="K35" s="28" t="s">
        <v>5072</v>
      </c>
      <c r="L35" s="28" t="s">
        <v>5077</v>
      </c>
      <c r="M35" s="143" t="s">
        <v>41</v>
      </c>
      <c r="N35" s="28"/>
      <c r="O35" s="101"/>
      <c r="P35" s="101"/>
      <c r="Q35" s="101"/>
      <c r="R35" s="101"/>
      <c r="S35" s="101"/>
      <c r="T35" s="101"/>
    </row>
    <row r="36" spans="1:20" ht="14.4">
      <c r="A36" s="28" t="s">
        <v>4816</v>
      </c>
      <c r="B36" s="28" t="s">
        <v>5069</v>
      </c>
      <c r="C36" s="28" t="s">
        <v>85</v>
      </c>
      <c r="D36" s="28" t="s">
        <v>86</v>
      </c>
      <c r="E36" s="29" t="s">
        <v>2969</v>
      </c>
      <c r="F36" s="28" t="s">
        <v>5079</v>
      </c>
      <c r="G36" s="28" t="s">
        <v>5080</v>
      </c>
      <c r="H36" s="28" t="s">
        <v>5081</v>
      </c>
      <c r="I36" s="28" t="s">
        <v>5082</v>
      </c>
      <c r="J36" s="28" t="s">
        <v>2934</v>
      </c>
      <c r="K36" s="28" t="s">
        <v>5085</v>
      </c>
      <c r="L36" s="28" t="s">
        <v>5077</v>
      </c>
      <c r="M36" s="143" t="s">
        <v>41</v>
      </c>
      <c r="N36" s="28"/>
      <c r="O36" s="101"/>
      <c r="P36" s="101"/>
      <c r="Q36" s="101"/>
      <c r="R36" s="101"/>
      <c r="S36" s="101"/>
      <c r="T36" s="101"/>
    </row>
    <row r="37" spans="1:20" ht="14.4">
      <c r="A37" s="28" t="s">
        <v>4816</v>
      </c>
      <c r="B37" s="28" t="s">
        <v>5069</v>
      </c>
      <c r="C37" s="28" t="s">
        <v>85</v>
      </c>
      <c r="D37" s="28" t="s">
        <v>86</v>
      </c>
      <c r="E37" s="29" t="s">
        <v>2969</v>
      </c>
      <c r="F37" s="28" t="s">
        <v>5090</v>
      </c>
      <c r="G37" s="28" t="s">
        <v>5091</v>
      </c>
      <c r="H37" s="28" t="s">
        <v>5092</v>
      </c>
      <c r="I37" s="28" t="s">
        <v>5093</v>
      </c>
      <c r="J37" s="28" t="s">
        <v>2893</v>
      </c>
      <c r="K37" s="28" t="s">
        <v>5095</v>
      </c>
      <c r="L37" s="28" t="s">
        <v>989</v>
      </c>
      <c r="M37" s="143" t="s">
        <v>41</v>
      </c>
      <c r="N37" s="28"/>
      <c r="O37" s="101"/>
      <c r="P37" s="101"/>
      <c r="Q37" s="101"/>
      <c r="R37" s="101"/>
      <c r="S37" s="101"/>
      <c r="T37" s="101"/>
    </row>
    <row r="38" spans="1:20" ht="14.4">
      <c r="A38" s="28" t="s">
        <v>4816</v>
      </c>
      <c r="B38" s="28" t="s">
        <v>5069</v>
      </c>
      <c r="C38" s="28" t="s">
        <v>85</v>
      </c>
      <c r="D38" s="28" t="s">
        <v>86</v>
      </c>
      <c r="E38" s="29" t="s">
        <v>2969</v>
      </c>
      <c r="F38" s="28" t="s">
        <v>5098</v>
      </c>
      <c r="G38" s="28" t="s">
        <v>5099</v>
      </c>
      <c r="H38" s="28" t="s">
        <v>5100</v>
      </c>
      <c r="I38" s="28" t="s">
        <v>5101</v>
      </c>
      <c r="J38" s="28" t="s">
        <v>2945</v>
      </c>
      <c r="K38" s="28" t="s">
        <v>5100</v>
      </c>
      <c r="L38" s="28" t="s">
        <v>2166</v>
      </c>
      <c r="M38" s="143" t="s">
        <v>41</v>
      </c>
      <c r="N38" s="28"/>
      <c r="O38" s="101"/>
      <c r="P38" s="101"/>
      <c r="Q38" s="101"/>
      <c r="R38" s="101"/>
      <c r="S38" s="101"/>
      <c r="T38" s="101"/>
    </row>
    <row r="39" spans="1:20" ht="14.4">
      <c r="A39" s="28" t="s">
        <v>4816</v>
      </c>
      <c r="B39" s="28" t="s">
        <v>5069</v>
      </c>
      <c r="C39" s="28" t="s">
        <v>85</v>
      </c>
      <c r="D39" s="28" t="s">
        <v>86</v>
      </c>
      <c r="E39" s="29" t="s">
        <v>2969</v>
      </c>
      <c r="F39" s="28" t="s">
        <v>5106</v>
      </c>
      <c r="G39" s="28" t="s">
        <v>5108</v>
      </c>
      <c r="H39" s="28" t="s">
        <v>5110</v>
      </c>
      <c r="I39" s="28" t="s">
        <v>4663</v>
      </c>
      <c r="J39" s="28" t="s">
        <v>2909</v>
      </c>
      <c r="K39" s="28" t="s">
        <v>5114</v>
      </c>
      <c r="L39" s="28" t="s">
        <v>989</v>
      </c>
      <c r="M39" s="143" t="s">
        <v>41</v>
      </c>
      <c r="N39" s="28"/>
      <c r="O39" s="101"/>
      <c r="P39" s="101"/>
      <c r="Q39" s="101"/>
      <c r="R39" s="101"/>
      <c r="S39" s="101"/>
      <c r="T39" s="101"/>
    </row>
    <row r="40" spans="1:20" ht="14.4">
      <c r="A40" s="28" t="s">
        <v>4816</v>
      </c>
      <c r="B40" s="28" t="s">
        <v>5069</v>
      </c>
      <c r="C40" s="28" t="s">
        <v>85</v>
      </c>
      <c r="D40" s="28" t="s">
        <v>86</v>
      </c>
      <c r="E40" s="29" t="s">
        <v>2969</v>
      </c>
      <c r="F40" s="28" t="s">
        <v>5115</v>
      </c>
      <c r="G40" s="28" t="s">
        <v>5116</v>
      </c>
      <c r="H40" s="28" t="s">
        <v>5100</v>
      </c>
      <c r="I40" s="28" t="s">
        <v>5101</v>
      </c>
      <c r="J40" s="28" t="s">
        <v>2945</v>
      </c>
      <c r="K40" s="28" t="s">
        <v>5119</v>
      </c>
      <c r="L40" s="28" t="s">
        <v>2166</v>
      </c>
      <c r="M40" s="143" t="s">
        <v>41</v>
      </c>
      <c r="N40" s="28"/>
      <c r="O40" s="101"/>
      <c r="P40" s="101"/>
      <c r="Q40" s="101"/>
      <c r="R40" s="101"/>
      <c r="S40" s="101"/>
      <c r="T40" s="101"/>
    </row>
    <row r="41" spans="1:20" ht="14.4">
      <c r="A41" s="28" t="s">
        <v>4816</v>
      </c>
      <c r="B41" s="28" t="s">
        <v>5069</v>
      </c>
      <c r="C41" s="28" t="s">
        <v>85</v>
      </c>
      <c r="D41" s="28" t="s">
        <v>86</v>
      </c>
      <c r="E41" s="29" t="s">
        <v>2969</v>
      </c>
      <c r="F41" s="28" t="s">
        <v>5121</v>
      </c>
      <c r="G41" s="28" t="s">
        <v>5122</v>
      </c>
      <c r="H41" s="28" t="s">
        <v>5092</v>
      </c>
      <c r="I41" s="28" t="s">
        <v>5093</v>
      </c>
      <c r="J41" s="28" t="s">
        <v>2893</v>
      </c>
      <c r="K41" s="28" t="s">
        <v>5126</v>
      </c>
      <c r="L41" s="28" t="s">
        <v>989</v>
      </c>
      <c r="M41" s="143" t="s">
        <v>41</v>
      </c>
      <c r="N41" s="28"/>
      <c r="O41" s="101"/>
      <c r="P41" s="101"/>
      <c r="Q41" s="101"/>
      <c r="R41" s="101"/>
      <c r="S41" s="101"/>
      <c r="T41" s="101"/>
    </row>
    <row r="42" spans="1:20" ht="14.4">
      <c r="A42" s="28" t="s">
        <v>4816</v>
      </c>
      <c r="B42" s="28" t="s">
        <v>5069</v>
      </c>
      <c r="C42" s="28" t="s">
        <v>85</v>
      </c>
      <c r="D42" s="28" t="s">
        <v>86</v>
      </c>
      <c r="E42" s="29" t="s">
        <v>2969</v>
      </c>
      <c r="F42" s="28" t="s">
        <v>5127</v>
      </c>
      <c r="G42" s="28" t="s">
        <v>5128</v>
      </c>
      <c r="H42" s="28" t="s">
        <v>5129</v>
      </c>
      <c r="I42" s="28" t="s">
        <v>5130</v>
      </c>
      <c r="J42" s="28" t="s">
        <v>2928</v>
      </c>
      <c r="K42" s="28" t="s">
        <v>5129</v>
      </c>
      <c r="L42" s="28" t="s">
        <v>5077</v>
      </c>
      <c r="M42" s="143" t="s">
        <v>41</v>
      </c>
      <c r="N42" s="28"/>
      <c r="O42" s="101"/>
      <c r="P42" s="101"/>
      <c r="Q42" s="101"/>
      <c r="R42" s="101"/>
      <c r="S42" s="101"/>
      <c r="T42" s="101"/>
    </row>
    <row r="43" spans="1:20" ht="14.4">
      <c r="A43" s="28" t="s">
        <v>4816</v>
      </c>
      <c r="B43" s="28" t="s">
        <v>5069</v>
      </c>
      <c r="C43" s="28" t="s">
        <v>85</v>
      </c>
      <c r="D43" s="28" t="s">
        <v>86</v>
      </c>
      <c r="E43" s="29" t="s">
        <v>2969</v>
      </c>
      <c r="F43" s="28" t="s">
        <v>5133</v>
      </c>
      <c r="G43" s="28" t="s">
        <v>5134</v>
      </c>
      <c r="H43" s="28" t="s">
        <v>5135</v>
      </c>
      <c r="I43" s="28" t="s">
        <v>5137</v>
      </c>
      <c r="J43" s="28" t="s">
        <v>2903</v>
      </c>
      <c r="K43" s="28" t="s">
        <v>5140</v>
      </c>
      <c r="L43" s="28" t="s">
        <v>989</v>
      </c>
      <c r="M43" s="143" t="s">
        <v>41</v>
      </c>
      <c r="N43" s="28"/>
      <c r="O43" s="101"/>
      <c r="P43" s="101"/>
      <c r="Q43" s="101"/>
      <c r="R43" s="101"/>
      <c r="S43" s="101"/>
      <c r="T43" s="101"/>
    </row>
    <row r="44" spans="1:20" ht="14.4">
      <c r="A44" s="28" t="s">
        <v>4816</v>
      </c>
      <c r="B44" s="28" t="s">
        <v>5069</v>
      </c>
      <c r="C44" s="28" t="s">
        <v>85</v>
      </c>
      <c r="D44" s="28" t="s">
        <v>86</v>
      </c>
      <c r="E44" s="29" t="s">
        <v>2969</v>
      </c>
      <c r="F44" s="28" t="s">
        <v>5144</v>
      </c>
      <c r="G44" s="28" t="s">
        <v>5145</v>
      </c>
      <c r="H44" s="28" t="s">
        <v>5147</v>
      </c>
      <c r="I44" s="28" t="s">
        <v>5148</v>
      </c>
      <c r="J44" s="28" t="s">
        <v>2920</v>
      </c>
      <c r="K44" s="28" t="s">
        <v>5149</v>
      </c>
      <c r="L44" s="28" t="s">
        <v>989</v>
      </c>
      <c r="M44" s="143" t="s">
        <v>41</v>
      </c>
      <c r="N44" s="28"/>
      <c r="O44" s="101"/>
      <c r="P44" s="101"/>
      <c r="Q44" s="101"/>
      <c r="R44" s="101"/>
      <c r="S44" s="101"/>
      <c r="T44" s="101"/>
    </row>
    <row r="45" spans="1:20" ht="14.4">
      <c r="A45" s="28" t="s">
        <v>4816</v>
      </c>
      <c r="B45" s="28" t="s">
        <v>5069</v>
      </c>
      <c r="C45" s="28" t="s">
        <v>85</v>
      </c>
      <c r="D45" s="28" t="s">
        <v>86</v>
      </c>
      <c r="E45" s="29" t="s">
        <v>2969</v>
      </c>
      <c r="F45" s="28" t="s">
        <v>5152</v>
      </c>
      <c r="G45" s="28" t="s">
        <v>5154</v>
      </c>
      <c r="H45" s="28" t="s">
        <v>5129</v>
      </c>
      <c r="I45" s="28" t="s">
        <v>5130</v>
      </c>
      <c r="J45" s="28" t="s">
        <v>3239</v>
      </c>
      <c r="K45" s="28" t="s">
        <v>5156</v>
      </c>
      <c r="L45" s="28" t="s">
        <v>5077</v>
      </c>
      <c r="M45" s="143" t="s">
        <v>41</v>
      </c>
      <c r="N45" s="28"/>
      <c r="O45" s="101"/>
      <c r="P45" s="101"/>
      <c r="Q45" s="101"/>
      <c r="R45" s="101"/>
      <c r="S45" s="101"/>
      <c r="T45" s="101"/>
    </row>
    <row r="46" spans="1:20" ht="14.4">
      <c r="A46" s="28" t="s">
        <v>4816</v>
      </c>
      <c r="B46" s="28" t="s">
        <v>5069</v>
      </c>
      <c r="C46" s="28" t="s">
        <v>85</v>
      </c>
      <c r="D46" s="28" t="s">
        <v>86</v>
      </c>
      <c r="E46" s="29" t="s">
        <v>2969</v>
      </c>
      <c r="F46" s="28" t="s">
        <v>5157</v>
      </c>
      <c r="G46" s="28" t="s">
        <v>5158</v>
      </c>
      <c r="H46" s="28" t="s">
        <v>5081</v>
      </c>
      <c r="I46" s="28" t="s">
        <v>5082</v>
      </c>
      <c r="J46" s="28" t="s">
        <v>2934</v>
      </c>
      <c r="K46" s="28" t="s">
        <v>5156</v>
      </c>
      <c r="L46" s="28" t="s">
        <v>5077</v>
      </c>
      <c r="M46" s="143" t="s">
        <v>41</v>
      </c>
      <c r="N46" s="28"/>
      <c r="O46" s="101"/>
      <c r="P46" s="101"/>
      <c r="Q46" s="101"/>
      <c r="R46" s="101"/>
      <c r="S46" s="101"/>
      <c r="T46" s="101"/>
    </row>
    <row r="47" spans="1:20" ht="14.4">
      <c r="A47" s="28" t="s">
        <v>4816</v>
      </c>
      <c r="B47" s="28" t="s">
        <v>5069</v>
      </c>
      <c r="C47" s="28" t="s">
        <v>85</v>
      </c>
      <c r="D47" s="28" t="s">
        <v>86</v>
      </c>
      <c r="E47" s="29" t="s">
        <v>2969</v>
      </c>
      <c r="F47" s="28" t="s">
        <v>5163</v>
      </c>
      <c r="G47" s="28" t="s">
        <v>5164</v>
      </c>
      <c r="H47" s="28" t="s">
        <v>5165</v>
      </c>
      <c r="I47" s="28" t="s">
        <v>5166</v>
      </c>
      <c r="J47" s="28" t="s">
        <v>2909</v>
      </c>
      <c r="K47" s="28" t="s">
        <v>5167</v>
      </c>
      <c r="L47" s="28" t="s">
        <v>989</v>
      </c>
      <c r="M47" s="143" t="s">
        <v>41</v>
      </c>
      <c r="N47" s="28"/>
      <c r="O47" s="101"/>
      <c r="P47" s="101"/>
      <c r="Q47" s="101"/>
      <c r="R47" s="101"/>
      <c r="S47" s="101"/>
      <c r="T47" s="101"/>
    </row>
    <row r="48" spans="1:20" ht="14.4">
      <c r="A48" s="28" t="s">
        <v>4816</v>
      </c>
      <c r="B48" s="28" t="s">
        <v>5069</v>
      </c>
      <c r="C48" s="28" t="s">
        <v>85</v>
      </c>
      <c r="D48" s="28" t="s">
        <v>86</v>
      </c>
      <c r="E48" s="29" t="s">
        <v>2969</v>
      </c>
      <c r="F48" s="28" t="s">
        <v>5170</v>
      </c>
      <c r="G48" s="28" t="s">
        <v>5171</v>
      </c>
      <c r="H48" s="28" t="s">
        <v>5172</v>
      </c>
      <c r="I48" s="28" t="s">
        <v>5173</v>
      </c>
      <c r="J48" s="28" t="s">
        <v>2939</v>
      </c>
      <c r="K48" s="28" t="s">
        <v>5174</v>
      </c>
      <c r="L48" s="28" t="s">
        <v>5077</v>
      </c>
      <c r="M48" s="143" t="s">
        <v>41</v>
      </c>
      <c r="N48" s="28"/>
      <c r="O48" s="101"/>
      <c r="P48" s="101"/>
      <c r="Q48" s="101"/>
      <c r="R48" s="101"/>
      <c r="S48" s="101"/>
      <c r="T48" s="101"/>
    </row>
    <row r="49" spans="1:20" ht="14.4">
      <c r="A49" s="28" t="s">
        <v>4816</v>
      </c>
      <c r="B49" s="28" t="s">
        <v>5069</v>
      </c>
      <c r="C49" s="28" t="s">
        <v>85</v>
      </c>
      <c r="D49" s="28" t="s">
        <v>86</v>
      </c>
      <c r="E49" s="29" t="s">
        <v>2969</v>
      </c>
      <c r="F49" s="28" t="s">
        <v>5177</v>
      </c>
      <c r="G49" s="28" t="s">
        <v>5178</v>
      </c>
      <c r="H49" s="28" t="s">
        <v>5179</v>
      </c>
      <c r="I49" s="28" t="s">
        <v>3350</v>
      </c>
      <c r="J49" s="28" t="s">
        <v>2915</v>
      </c>
      <c r="K49" s="28" t="s">
        <v>5174</v>
      </c>
      <c r="L49" s="28" t="s">
        <v>5180</v>
      </c>
      <c r="M49" s="143" t="s">
        <v>41</v>
      </c>
      <c r="N49" s="28"/>
      <c r="O49" s="101"/>
      <c r="P49" s="101"/>
      <c r="Q49" s="101"/>
      <c r="R49" s="101"/>
      <c r="S49" s="101"/>
      <c r="T49" s="101"/>
    </row>
    <row r="50" spans="1:20" ht="14.4">
      <c r="A50" s="28" t="s">
        <v>4816</v>
      </c>
      <c r="B50" s="28" t="s">
        <v>5069</v>
      </c>
      <c r="C50" s="28" t="s">
        <v>85</v>
      </c>
      <c r="D50" s="28" t="s">
        <v>86</v>
      </c>
      <c r="E50" s="29" t="s">
        <v>2969</v>
      </c>
      <c r="F50" s="28" t="s">
        <v>5184</v>
      </c>
      <c r="G50" s="28" t="s">
        <v>5185</v>
      </c>
      <c r="H50" s="28" t="s">
        <v>5179</v>
      </c>
      <c r="I50" s="28" t="s">
        <v>3350</v>
      </c>
      <c r="J50" s="28" t="s">
        <v>2915</v>
      </c>
      <c r="K50" s="28" t="s">
        <v>5179</v>
      </c>
      <c r="L50" s="28" t="s">
        <v>5180</v>
      </c>
      <c r="M50" s="143" t="s">
        <v>41</v>
      </c>
      <c r="N50" s="28"/>
      <c r="O50" s="101"/>
      <c r="P50" s="101"/>
      <c r="Q50" s="101"/>
      <c r="R50" s="101"/>
      <c r="S50" s="101"/>
      <c r="T50" s="101"/>
    </row>
    <row r="51" spans="1:20" ht="14.4">
      <c r="A51" s="28" t="s">
        <v>4816</v>
      </c>
      <c r="B51" s="28" t="s">
        <v>5069</v>
      </c>
      <c r="C51" s="28" t="s">
        <v>220</v>
      </c>
      <c r="D51" s="29" t="s">
        <v>234</v>
      </c>
      <c r="E51" s="29" t="s">
        <v>2969</v>
      </c>
      <c r="F51" s="28" t="s">
        <v>5188</v>
      </c>
      <c r="G51" s="28"/>
      <c r="H51" s="28" t="s">
        <v>5190</v>
      </c>
      <c r="I51" s="28" t="s">
        <v>5192</v>
      </c>
      <c r="J51" s="28" t="s">
        <v>3053</v>
      </c>
      <c r="K51" s="28" t="s">
        <v>5190</v>
      </c>
      <c r="L51" s="28" t="s">
        <v>2336</v>
      </c>
      <c r="M51" s="143" t="s">
        <v>41</v>
      </c>
      <c r="N51" s="28"/>
      <c r="O51" s="101"/>
      <c r="P51" s="101"/>
      <c r="Q51" s="101"/>
      <c r="R51" s="101"/>
      <c r="S51" s="101"/>
      <c r="T51" s="101"/>
    </row>
    <row r="52" spans="1:20" ht="14.4">
      <c r="A52" s="28" t="s">
        <v>4816</v>
      </c>
      <c r="B52" s="28" t="s">
        <v>5069</v>
      </c>
      <c r="C52" s="28" t="s">
        <v>220</v>
      </c>
      <c r="D52" s="29" t="s">
        <v>234</v>
      </c>
      <c r="E52" s="29" t="s">
        <v>2969</v>
      </c>
      <c r="F52" s="28" t="s">
        <v>5195</v>
      </c>
      <c r="G52" s="28"/>
      <c r="H52" s="28" t="s">
        <v>5092</v>
      </c>
      <c r="I52" s="28" t="s">
        <v>5093</v>
      </c>
      <c r="J52" s="28" t="s">
        <v>3066</v>
      </c>
      <c r="K52" s="28" t="s">
        <v>5092</v>
      </c>
      <c r="L52" s="28" t="s">
        <v>989</v>
      </c>
      <c r="M52" s="143" t="s">
        <v>41</v>
      </c>
      <c r="N52" s="28"/>
      <c r="O52" s="101"/>
      <c r="P52" s="101"/>
      <c r="Q52" s="101"/>
      <c r="R52" s="101"/>
      <c r="S52" s="101"/>
      <c r="T52" s="101"/>
    </row>
    <row r="53" spans="1:20" ht="14.4">
      <c r="A53" s="28" t="s">
        <v>4816</v>
      </c>
      <c r="B53" s="28" t="s">
        <v>5069</v>
      </c>
      <c r="C53" s="28" t="s">
        <v>220</v>
      </c>
      <c r="D53" s="29" t="s">
        <v>234</v>
      </c>
      <c r="E53" s="29" t="s">
        <v>2969</v>
      </c>
      <c r="F53" s="28" t="s">
        <v>5199</v>
      </c>
      <c r="G53" s="28"/>
      <c r="H53" s="28" t="s">
        <v>5201</v>
      </c>
      <c r="I53" s="28" t="s">
        <v>5173</v>
      </c>
      <c r="J53" s="28" t="s">
        <v>3097</v>
      </c>
      <c r="K53" s="28" t="s">
        <v>5201</v>
      </c>
      <c r="L53" s="28" t="s">
        <v>5077</v>
      </c>
      <c r="M53" s="143" t="s">
        <v>41</v>
      </c>
      <c r="N53" s="28"/>
      <c r="O53" s="101"/>
      <c r="P53" s="101"/>
      <c r="Q53" s="101"/>
      <c r="R53" s="101"/>
      <c r="S53" s="101"/>
      <c r="T53" s="101"/>
    </row>
    <row r="54" spans="1:20" ht="14.4">
      <c r="A54" s="28" t="s">
        <v>4816</v>
      </c>
      <c r="B54" s="28" t="s">
        <v>5069</v>
      </c>
      <c r="C54" s="28" t="s">
        <v>220</v>
      </c>
      <c r="D54" s="29" t="s">
        <v>234</v>
      </c>
      <c r="E54" s="29" t="s">
        <v>2969</v>
      </c>
      <c r="F54" s="28" t="s">
        <v>5204</v>
      </c>
      <c r="G54" s="28"/>
      <c r="H54" s="28" t="s">
        <v>5110</v>
      </c>
      <c r="I54" s="28" t="s">
        <v>4663</v>
      </c>
      <c r="J54" s="28" t="s">
        <v>2987</v>
      </c>
      <c r="K54" s="28" t="s">
        <v>5110</v>
      </c>
      <c r="L54" s="28" t="s">
        <v>989</v>
      </c>
      <c r="M54" s="143" t="s">
        <v>41</v>
      </c>
      <c r="N54" s="28"/>
      <c r="O54" s="101"/>
      <c r="P54" s="101"/>
      <c r="Q54" s="101"/>
      <c r="R54" s="101"/>
      <c r="S54" s="101"/>
      <c r="T54" s="101"/>
    </row>
    <row r="55" spans="1:20" ht="14.4">
      <c r="A55" s="28" t="s">
        <v>4816</v>
      </c>
      <c r="B55" s="28" t="s">
        <v>5069</v>
      </c>
      <c r="C55" s="28" t="s">
        <v>220</v>
      </c>
      <c r="D55" s="29" t="s">
        <v>234</v>
      </c>
      <c r="E55" s="29" t="s">
        <v>2969</v>
      </c>
      <c r="F55" s="28" t="s">
        <v>5208</v>
      </c>
      <c r="G55" s="28"/>
      <c r="H55" s="28" t="s">
        <v>5209</v>
      </c>
      <c r="I55" s="28" t="s">
        <v>5073</v>
      </c>
      <c r="J55" s="28" t="s">
        <v>2993</v>
      </c>
      <c r="K55" s="28" t="s">
        <v>5209</v>
      </c>
      <c r="L55" s="28" t="s">
        <v>5077</v>
      </c>
      <c r="M55" s="143" t="s">
        <v>41</v>
      </c>
      <c r="N55" s="28"/>
      <c r="O55" s="101"/>
      <c r="P55" s="101"/>
      <c r="Q55" s="101"/>
      <c r="R55" s="101"/>
      <c r="S55" s="101"/>
      <c r="T55" s="101"/>
    </row>
    <row r="56" spans="1:20" ht="14.4">
      <c r="A56" s="28" t="s">
        <v>4816</v>
      </c>
      <c r="B56" s="28" t="s">
        <v>5214</v>
      </c>
      <c r="C56" s="28" t="s">
        <v>85</v>
      </c>
      <c r="D56" s="28" t="s">
        <v>86</v>
      </c>
      <c r="E56" s="29" t="s">
        <v>2969</v>
      </c>
      <c r="F56" s="28" t="s">
        <v>5215</v>
      </c>
      <c r="G56" s="28" t="s">
        <v>5216</v>
      </c>
      <c r="H56" s="28" t="s">
        <v>5217</v>
      </c>
      <c r="I56" s="28" t="s">
        <v>933</v>
      </c>
      <c r="J56" s="28" t="s">
        <v>3202</v>
      </c>
      <c r="K56" s="28" t="s">
        <v>5217</v>
      </c>
      <c r="L56" s="28" t="s">
        <v>5180</v>
      </c>
      <c r="M56" s="143" t="s">
        <v>41</v>
      </c>
      <c r="N56" s="28"/>
      <c r="O56" s="101"/>
      <c r="P56" s="101"/>
      <c r="Q56" s="101"/>
      <c r="R56" s="101"/>
      <c r="S56" s="101"/>
      <c r="T56" s="101"/>
    </row>
    <row r="57" spans="1:20" ht="14.4">
      <c r="A57" s="28" t="s">
        <v>4816</v>
      </c>
      <c r="B57" s="28" t="s">
        <v>5214</v>
      </c>
      <c r="C57" s="28" t="s">
        <v>85</v>
      </c>
      <c r="D57" s="28" t="s">
        <v>86</v>
      </c>
      <c r="E57" s="29" t="s">
        <v>2969</v>
      </c>
      <c r="F57" s="28" t="s">
        <v>5219</v>
      </c>
      <c r="G57" s="28" t="s">
        <v>5221</v>
      </c>
      <c r="H57" s="28" t="s">
        <v>5217</v>
      </c>
      <c r="I57" s="28" t="s">
        <v>933</v>
      </c>
      <c r="J57" s="28" t="s">
        <v>3202</v>
      </c>
      <c r="K57" s="28" t="s">
        <v>5224</v>
      </c>
      <c r="L57" s="28" t="s">
        <v>5180</v>
      </c>
      <c r="M57" s="143" t="s">
        <v>41</v>
      </c>
      <c r="N57" s="28"/>
      <c r="O57" s="101"/>
      <c r="P57" s="101"/>
      <c r="Q57" s="101"/>
      <c r="R57" s="101"/>
      <c r="S57" s="101"/>
      <c r="T57" s="101"/>
    </row>
    <row r="58" spans="1:20" ht="14.4">
      <c r="A58" s="28" t="s">
        <v>4816</v>
      </c>
      <c r="B58" s="28" t="s">
        <v>5214</v>
      </c>
      <c r="C58" s="28" t="s">
        <v>85</v>
      </c>
      <c r="D58" s="28" t="s">
        <v>86</v>
      </c>
      <c r="E58" s="29" t="s">
        <v>2969</v>
      </c>
      <c r="F58" s="28" t="s">
        <v>5225</v>
      </c>
      <c r="G58" s="28" t="s">
        <v>5226</v>
      </c>
      <c r="H58" s="28" t="s">
        <v>5227</v>
      </c>
      <c r="I58" s="28" t="s">
        <v>5229</v>
      </c>
      <c r="J58" s="28" t="s">
        <v>3212</v>
      </c>
      <c r="K58" s="28" t="s">
        <v>5227</v>
      </c>
      <c r="L58" s="28" t="s">
        <v>2230</v>
      </c>
      <c r="M58" s="143" t="s">
        <v>41</v>
      </c>
      <c r="N58" s="28"/>
      <c r="O58" s="101"/>
      <c r="P58" s="101"/>
      <c r="Q58" s="101"/>
      <c r="R58" s="101"/>
      <c r="S58" s="101"/>
      <c r="T58" s="101"/>
    </row>
    <row r="59" spans="1:20" ht="14.4">
      <c r="A59" s="28" t="s">
        <v>4816</v>
      </c>
      <c r="B59" s="28" t="s">
        <v>5214</v>
      </c>
      <c r="C59" s="28" t="s">
        <v>85</v>
      </c>
      <c r="D59" s="28" t="s">
        <v>86</v>
      </c>
      <c r="E59" s="29" t="s">
        <v>2969</v>
      </c>
      <c r="F59" s="28" t="s">
        <v>5233</v>
      </c>
      <c r="G59" s="28" t="s">
        <v>5234</v>
      </c>
      <c r="H59" s="28" t="s">
        <v>5235</v>
      </c>
      <c r="I59" s="28" t="s">
        <v>4243</v>
      </c>
      <c r="J59" s="28" t="s">
        <v>3223</v>
      </c>
      <c r="K59" s="28" t="s">
        <v>5235</v>
      </c>
      <c r="L59" s="28" t="s">
        <v>989</v>
      </c>
      <c r="M59" s="143" t="s">
        <v>41</v>
      </c>
      <c r="N59" s="28"/>
      <c r="O59" s="101"/>
      <c r="P59" s="101"/>
      <c r="Q59" s="101"/>
      <c r="R59" s="101"/>
      <c r="S59" s="101"/>
      <c r="T59" s="101"/>
    </row>
    <row r="60" spans="1:20" ht="14.4">
      <c r="A60" s="28" t="s">
        <v>4816</v>
      </c>
      <c r="B60" s="28" t="s">
        <v>5214</v>
      </c>
      <c r="C60" s="28" t="s">
        <v>85</v>
      </c>
      <c r="D60" s="28" t="s">
        <v>86</v>
      </c>
      <c r="E60" s="29" t="s">
        <v>2969</v>
      </c>
      <c r="F60" s="28" t="s">
        <v>5239</v>
      </c>
      <c r="G60" s="28" t="s">
        <v>5240</v>
      </c>
      <c r="H60" s="28" t="s">
        <v>5241</v>
      </c>
      <c r="I60" s="28" t="s">
        <v>4955</v>
      </c>
      <c r="J60" s="28" t="s">
        <v>3231</v>
      </c>
      <c r="K60" s="28" t="s">
        <v>5162</v>
      </c>
      <c r="L60" s="28" t="s">
        <v>5077</v>
      </c>
      <c r="M60" s="143" t="s">
        <v>41</v>
      </c>
      <c r="N60" s="28"/>
      <c r="O60" s="101"/>
      <c r="P60" s="101"/>
      <c r="Q60" s="101"/>
      <c r="R60" s="101"/>
      <c r="S60" s="101"/>
      <c r="T60" s="101"/>
    </row>
    <row r="61" spans="1:20" ht="14.4">
      <c r="A61" s="28" t="s">
        <v>4816</v>
      </c>
      <c r="B61" s="28" t="s">
        <v>5214</v>
      </c>
      <c r="C61" s="28" t="s">
        <v>85</v>
      </c>
      <c r="D61" s="28" t="s">
        <v>86</v>
      </c>
      <c r="E61" s="29" t="s">
        <v>2969</v>
      </c>
      <c r="F61" s="28" t="s">
        <v>5244</v>
      </c>
      <c r="G61" s="28" t="s">
        <v>5245</v>
      </c>
      <c r="H61" s="28" t="s">
        <v>5246</v>
      </c>
      <c r="I61" s="28" t="s">
        <v>2714</v>
      </c>
      <c r="J61" s="28" t="s">
        <v>3239</v>
      </c>
      <c r="K61" s="28" t="s">
        <v>5162</v>
      </c>
      <c r="L61" s="28" t="s">
        <v>5077</v>
      </c>
      <c r="M61" s="143" t="s">
        <v>41</v>
      </c>
      <c r="N61" s="28"/>
      <c r="O61" s="101"/>
      <c r="P61" s="101"/>
      <c r="Q61" s="101"/>
      <c r="R61" s="101"/>
      <c r="S61" s="101"/>
      <c r="T61" s="101"/>
    </row>
    <row r="62" spans="1:20" ht="14.4">
      <c r="A62" s="28" t="s">
        <v>4816</v>
      </c>
      <c r="B62" s="28" t="s">
        <v>5214</v>
      </c>
      <c r="C62" s="28" t="s">
        <v>220</v>
      </c>
      <c r="D62" s="29" t="s">
        <v>234</v>
      </c>
      <c r="E62" s="29" t="s">
        <v>2969</v>
      </c>
      <c r="F62" s="28" t="s">
        <v>2253</v>
      </c>
      <c r="G62" s="28"/>
      <c r="H62" s="28" t="s">
        <v>5250</v>
      </c>
      <c r="I62" s="28" t="s">
        <v>550</v>
      </c>
      <c r="J62" s="28" t="s">
        <v>2791</v>
      </c>
      <c r="K62" s="28" t="s">
        <v>5250</v>
      </c>
      <c r="L62" s="28" t="s">
        <v>550</v>
      </c>
      <c r="M62" s="143" t="s">
        <v>41</v>
      </c>
      <c r="N62" s="28" t="s">
        <v>5251</v>
      </c>
      <c r="O62" s="101"/>
      <c r="P62" s="101"/>
      <c r="Q62" s="101"/>
      <c r="R62" s="101"/>
      <c r="S62" s="101"/>
      <c r="T62" s="101"/>
    </row>
    <row r="63" spans="1:20" ht="14.4">
      <c r="A63" s="28" t="s">
        <v>4816</v>
      </c>
      <c r="B63" s="28" t="s">
        <v>5214</v>
      </c>
      <c r="C63" s="28" t="s">
        <v>220</v>
      </c>
      <c r="D63" s="29" t="s">
        <v>234</v>
      </c>
      <c r="E63" s="29" t="s">
        <v>2969</v>
      </c>
      <c r="F63" s="28" t="s">
        <v>2259</v>
      </c>
      <c r="G63" s="28"/>
      <c r="H63" s="28" t="s">
        <v>5252</v>
      </c>
      <c r="I63" s="28" t="s">
        <v>5253</v>
      </c>
      <c r="J63" s="28" t="s">
        <v>2784</v>
      </c>
      <c r="K63" s="28" t="s">
        <v>5252</v>
      </c>
      <c r="L63" s="28" t="s">
        <v>2166</v>
      </c>
      <c r="M63" s="143" t="s">
        <v>41</v>
      </c>
      <c r="N63" s="28"/>
      <c r="O63" s="101"/>
      <c r="P63" s="101"/>
      <c r="Q63" s="101"/>
      <c r="R63" s="101"/>
      <c r="S63" s="101"/>
      <c r="T63" s="101"/>
    </row>
    <row r="64" spans="1:20" ht="14.4">
      <c r="A64" s="28" t="s">
        <v>4816</v>
      </c>
      <c r="B64" s="28" t="s">
        <v>5254</v>
      </c>
      <c r="C64" s="28" t="s">
        <v>85</v>
      </c>
      <c r="D64" s="28" t="s">
        <v>86</v>
      </c>
      <c r="E64" s="29" t="s">
        <v>2969</v>
      </c>
      <c r="F64" s="28" t="s">
        <v>5257</v>
      </c>
      <c r="G64" s="28" t="s">
        <v>5258</v>
      </c>
      <c r="H64" s="28" t="s">
        <v>5259</v>
      </c>
      <c r="I64" s="28" t="s">
        <v>3243</v>
      </c>
      <c r="J64" s="226">
        <v>45018</v>
      </c>
      <c r="K64" s="28" t="s">
        <v>5261</v>
      </c>
      <c r="L64" s="28" t="s">
        <v>5077</v>
      </c>
      <c r="M64" s="143" t="s">
        <v>41</v>
      </c>
      <c r="N64" s="28"/>
      <c r="O64" s="101"/>
      <c r="P64" s="101"/>
      <c r="Q64" s="101"/>
      <c r="R64" s="101"/>
      <c r="S64" s="101"/>
      <c r="T64" s="101"/>
    </row>
    <row r="65" spans="1:20" ht="14.4">
      <c r="A65" s="28" t="s">
        <v>4816</v>
      </c>
      <c r="B65" s="28" t="s">
        <v>5254</v>
      </c>
      <c r="C65" s="28" t="s">
        <v>85</v>
      </c>
      <c r="D65" s="28" t="s">
        <v>86</v>
      </c>
      <c r="E65" s="29" t="s">
        <v>2969</v>
      </c>
      <c r="F65" s="28" t="s">
        <v>5262</v>
      </c>
      <c r="G65" s="28" t="s">
        <v>5263</v>
      </c>
      <c r="H65" s="28" t="s">
        <v>5264</v>
      </c>
      <c r="I65" s="28" t="s">
        <v>5265</v>
      </c>
      <c r="J65" s="226">
        <v>45019</v>
      </c>
      <c r="K65" s="28" t="s">
        <v>5264</v>
      </c>
      <c r="L65" s="28" t="s">
        <v>5077</v>
      </c>
      <c r="M65" s="143" t="s">
        <v>41</v>
      </c>
      <c r="N65" s="28"/>
      <c r="O65" s="101"/>
      <c r="P65" s="101"/>
      <c r="Q65" s="101"/>
      <c r="R65" s="101"/>
      <c r="S65" s="101"/>
      <c r="T65" s="101"/>
    </row>
    <row r="66" spans="1:20" ht="14.4">
      <c r="A66" s="28" t="s">
        <v>4816</v>
      </c>
      <c r="B66" s="28" t="s">
        <v>5254</v>
      </c>
      <c r="C66" s="28" t="s">
        <v>85</v>
      </c>
      <c r="D66" s="28" t="s">
        <v>86</v>
      </c>
      <c r="E66" s="29" t="s">
        <v>2969</v>
      </c>
      <c r="F66" s="28" t="s">
        <v>5266</v>
      </c>
      <c r="G66" s="28" t="s">
        <v>5267</v>
      </c>
      <c r="H66" s="28" t="s">
        <v>5269</v>
      </c>
      <c r="I66" s="28" t="s">
        <v>5270</v>
      </c>
      <c r="J66" s="226">
        <v>45020</v>
      </c>
      <c r="K66" s="28" t="s">
        <v>5269</v>
      </c>
      <c r="L66" s="28" t="s">
        <v>5077</v>
      </c>
      <c r="M66" s="143" t="s">
        <v>41</v>
      </c>
      <c r="N66" s="28"/>
      <c r="O66" s="101"/>
      <c r="P66" s="101"/>
      <c r="Q66" s="101"/>
      <c r="R66" s="101"/>
      <c r="S66" s="101"/>
      <c r="T66" s="101"/>
    </row>
    <row r="67" spans="1:20" ht="14.4">
      <c r="A67" s="28" t="s">
        <v>4816</v>
      </c>
      <c r="B67" s="28" t="s">
        <v>5254</v>
      </c>
      <c r="C67" s="28" t="s">
        <v>85</v>
      </c>
      <c r="D67" s="28" t="s">
        <v>86</v>
      </c>
      <c r="E67" s="29" t="s">
        <v>2969</v>
      </c>
      <c r="F67" s="28" t="s">
        <v>5271</v>
      </c>
      <c r="G67" s="28" t="s">
        <v>5272</v>
      </c>
      <c r="H67" s="28" t="s">
        <v>5273</v>
      </c>
      <c r="I67" s="28" t="s">
        <v>887</v>
      </c>
      <c r="J67" s="226">
        <v>45021</v>
      </c>
      <c r="K67" s="28" t="s">
        <v>5273</v>
      </c>
      <c r="L67" s="28" t="s">
        <v>5077</v>
      </c>
      <c r="M67" s="143" t="s">
        <v>41</v>
      </c>
      <c r="N67" s="28"/>
      <c r="O67" s="101"/>
      <c r="P67" s="101"/>
      <c r="Q67" s="101"/>
      <c r="R67" s="101"/>
      <c r="S67" s="101"/>
      <c r="T67" s="101"/>
    </row>
    <row r="68" spans="1:20" ht="14.4">
      <c r="A68" s="28" t="s">
        <v>4816</v>
      </c>
      <c r="B68" s="28" t="s">
        <v>5254</v>
      </c>
      <c r="C68" s="28" t="s">
        <v>85</v>
      </c>
      <c r="D68" s="28" t="s">
        <v>86</v>
      </c>
      <c r="E68" s="29" t="s">
        <v>2969</v>
      </c>
      <c r="F68" s="28" t="s">
        <v>5275</v>
      </c>
      <c r="G68" s="28" t="s">
        <v>5276</v>
      </c>
      <c r="H68" s="28" t="s">
        <v>5259</v>
      </c>
      <c r="I68" s="28" t="s">
        <v>3243</v>
      </c>
      <c r="J68" s="226">
        <v>45022</v>
      </c>
      <c r="K68" s="28" t="s">
        <v>5277</v>
      </c>
      <c r="L68" s="28" t="s">
        <v>5077</v>
      </c>
      <c r="M68" s="143" t="s">
        <v>41</v>
      </c>
      <c r="N68" s="28"/>
      <c r="O68" s="101"/>
      <c r="P68" s="101"/>
      <c r="Q68" s="101"/>
      <c r="R68" s="101"/>
      <c r="S68" s="101"/>
      <c r="T68" s="101"/>
    </row>
    <row r="69" spans="1:20" ht="14.4">
      <c r="A69" s="28" t="s">
        <v>4816</v>
      </c>
      <c r="B69" s="28" t="s">
        <v>5254</v>
      </c>
      <c r="C69" s="28" t="s">
        <v>85</v>
      </c>
      <c r="D69" s="28" t="s">
        <v>86</v>
      </c>
      <c r="E69" s="29" t="s">
        <v>2969</v>
      </c>
      <c r="F69" s="28" t="s">
        <v>5279</v>
      </c>
      <c r="G69" s="28" t="s">
        <v>5280</v>
      </c>
      <c r="H69" s="28" t="s">
        <v>5281</v>
      </c>
      <c r="I69" s="28" t="s">
        <v>3498</v>
      </c>
      <c r="J69" s="226">
        <v>45023</v>
      </c>
      <c r="K69" s="28" t="s">
        <v>5281</v>
      </c>
      <c r="L69" s="28" t="s">
        <v>989</v>
      </c>
      <c r="M69" s="143" t="s">
        <v>41</v>
      </c>
      <c r="N69" s="28"/>
      <c r="O69" s="101"/>
      <c r="P69" s="101"/>
      <c r="Q69" s="101"/>
      <c r="R69" s="101"/>
      <c r="S69" s="101"/>
      <c r="T69" s="101"/>
    </row>
    <row r="70" spans="1:20" ht="14.4">
      <c r="A70" s="28" t="s">
        <v>4816</v>
      </c>
      <c r="B70" s="28" t="s">
        <v>5254</v>
      </c>
      <c r="C70" s="28" t="s">
        <v>85</v>
      </c>
      <c r="D70" s="28" t="s">
        <v>86</v>
      </c>
      <c r="E70" s="29" t="s">
        <v>2969</v>
      </c>
      <c r="F70" s="28" t="s">
        <v>5283</v>
      </c>
      <c r="G70" s="28" t="s">
        <v>5284</v>
      </c>
      <c r="H70" s="28" t="s">
        <v>5259</v>
      </c>
      <c r="I70" s="28" t="s">
        <v>3243</v>
      </c>
      <c r="J70" s="226">
        <v>45024</v>
      </c>
      <c r="K70" s="28" t="s">
        <v>5285</v>
      </c>
      <c r="L70" s="28" t="s">
        <v>5077</v>
      </c>
      <c r="M70" s="143" t="s">
        <v>41</v>
      </c>
      <c r="N70" s="28"/>
      <c r="O70" s="101"/>
      <c r="P70" s="101"/>
      <c r="Q70" s="101"/>
      <c r="R70" s="101"/>
      <c r="S70" s="101"/>
      <c r="T70" s="101"/>
    </row>
    <row r="71" spans="1:20" ht="14.4">
      <c r="A71" s="28" t="s">
        <v>4816</v>
      </c>
      <c r="B71" s="28" t="s">
        <v>5254</v>
      </c>
      <c r="C71" s="28" t="s">
        <v>85</v>
      </c>
      <c r="D71" s="28" t="s">
        <v>86</v>
      </c>
      <c r="E71" s="29" t="s">
        <v>2969</v>
      </c>
      <c r="F71" s="28" t="s">
        <v>5287</v>
      </c>
      <c r="G71" s="28" t="s">
        <v>5288</v>
      </c>
      <c r="H71" s="28" t="s">
        <v>5289</v>
      </c>
      <c r="I71" s="28" t="s">
        <v>966</v>
      </c>
      <c r="J71" s="226">
        <v>45025</v>
      </c>
      <c r="K71" s="28" t="s">
        <v>5289</v>
      </c>
      <c r="L71" s="28" t="s">
        <v>2336</v>
      </c>
      <c r="M71" s="143" t="s">
        <v>41</v>
      </c>
      <c r="N71" s="28"/>
      <c r="O71" s="101"/>
      <c r="P71" s="101"/>
      <c r="Q71" s="101"/>
      <c r="R71" s="101"/>
      <c r="S71" s="101"/>
      <c r="T71" s="101"/>
    </row>
    <row r="72" spans="1:20" ht="14.4">
      <c r="A72" s="28" t="s">
        <v>4816</v>
      </c>
      <c r="B72" s="28" t="s">
        <v>5254</v>
      </c>
      <c r="C72" s="28" t="s">
        <v>85</v>
      </c>
      <c r="D72" s="28" t="s">
        <v>86</v>
      </c>
      <c r="E72" s="29" t="s">
        <v>2969</v>
      </c>
      <c r="F72" s="28" t="s">
        <v>5291</v>
      </c>
      <c r="G72" s="28" t="s">
        <v>5292</v>
      </c>
      <c r="H72" s="28" t="s">
        <v>5293</v>
      </c>
      <c r="I72" s="28" t="s">
        <v>5294</v>
      </c>
      <c r="J72" s="226">
        <v>45026</v>
      </c>
      <c r="K72" s="28" t="s">
        <v>5293</v>
      </c>
      <c r="L72" s="28" t="s">
        <v>989</v>
      </c>
      <c r="M72" s="143" t="s">
        <v>41</v>
      </c>
      <c r="N72" s="28"/>
      <c r="O72" s="101"/>
      <c r="P72" s="101"/>
      <c r="Q72" s="101"/>
      <c r="R72" s="101"/>
      <c r="S72" s="101"/>
      <c r="T72" s="101"/>
    </row>
    <row r="73" spans="1:20" ht="14.4">
      <c r="A73" s="28" t="s">
        <v>4816</v>
      </c>
      <c r="B73" s="28" t="s">
        <v>5254</v>
      </c>
      <c r="C73" s="28" t="s">
        <v>85</v>
      </c>
      <c r="D73" s="28" t="s">
        <v>86</v>
      </c>
      <c r="E73" s="29" t="s">
        <v>2969</v>
      </c>
      <c r="F73" s="28" t="s">
        <v>5296</v>
      </c>
      <c r="G73" s="28" t="s">
        <v>5297</v>
      </c>
      <c r="H73" s="28" t="s">
        <v>5298</v>
      </c>
      <c r="I73" s="28" t="s">
        <v>3243</v>
      </c>
      <c r="J73" s="226">
        <v>45027</v>
      </c>
      <c r="K73" s="28" t="s">
        <v>5298</v>
      </c>
      <c r="L73" s="28" t="s">
        <v>2166</v>
      </c>
      <c r="M73" s="143" t="s">
        <v>41</v>
      </c>
      <c r="N73" s="28"/>
      <c r="O73" s="101"/>
      <c r="P73" s="101"/>
      <c r="Q73" s="101"/>
      <c r="R73" s="101"/>
      <c r="S73" s="101"/>
      <c r="T73" s="101"/>
    </row>
    <row r="74" spans="1:20" ht="14.4">
      <c r="A74" s="28" t="s">
        <v>4816</v>
      </c>
      <c r="B74" s="28" t="s">
        <v>5254</v>
      </c>
      <c r="C74" s="28" t="s">
        <v>85</v>
      </c>
      <c r="D74" s="28" t="s">
        <v>86</v>
      </c>
      <c r="E74" s="29" t="s">
        <v>2969</v>
      </c>
      <c r="F74" s="28" t="s">
        <v>5300</v>
      </c>
      <c r="G74" s="28" t="s">
        <v>5301</v>
      </c>
      <c r="H74" s="28" t="s">
        <v>5259</v>
      </c>
      <c r="I74" s="28" t="s">
        <v>3243</v>
      </c>
      <c r="J74" s="226">
        <v>45028</v>
      </c>
      <c r="K74" s="28" t="s">
        <v>5302</v>
      </c>
      <c r="L74" s="28" t="s">
        <v>5077</v>
      </c>
      <c r="M74" s="143" t="s">
        <v>41</v>
      </c>
      <c r="N74" s="28"/>
      <c r="O74" s="101"/>
      <c r="P74" s="101"/>
      <c r="Q74" s="101"/>
      <c r="R74" s="101"/>
      <c r="S74" s="101"/>
      <c r="T74" s="101"/>
    </row>
    <row r="75" spans="1:20" ht="14.4">
      <c r="A75" s="28" t="s">
        <v>4816</v>
      </c>
      <c r="B75" s="28" t="s">
        <v>5254</v>
      </c>
      <c r="C75" s="28" t="s">
        <v>85</v>
      </c>
      <c r="D75" s="28" t="s">
        <v>86</v>
      </c>
      <c r="E75" s="29" t="s">
        <v>2969</v>
      </c>
      <c r="F75" s="28" t="s">
        <v>5304</v>
      </c>
      <c r="G75" s="28" t="s">
        <v>5305</v>
      </c>
      <c r="H75" s="28" t="s">
        <v>5306</v>
      </c>
      <c r="I75" s="28" t="s">
        <v>887</v>
      </c>
      <c r="J75" s="226">
        <v>45018</v>
      </c>
      <c r="K75" s="28" t="s">
        <v>5306</v>
      </c>
      <c r="L75" s="28" t="s">
        <v>5077</v>
      </c>
      <c r="M75" s="143" t="s">
        <v>41</v>
      </c>
      <c r="N75" s="28"/>
      <c r="O75" s="101"/>
      <c r="P75" s="101"/>
      <c r="Q75" s="101"/>
      <c r="R75" s="101"/>
      <c r="S75" s="101"/>
      <c r="T75" s="101"/>
    </row>
    <row r="76" spans="1:20" ht="14.4">
      <c r="A76" s="28" t="s">
        <v>4816</v>
      </c>
      <c r="B76" s="28" t="s">
        <v>5254</v>
      </c>
      <c r="C76" s="28" t="s">
        <v>220</v>
      </c>
      <c r="D76" s="29" t="s">
        <v>234</v>
      </c>
      <c r="E76" s="29" t="s">
        <v>2969</v>
      </c>
      <c r="F76" s="28" t="s">
        <v>5308</v>
      </c>
      <c r="G76" s="28"/>
      <c r="H76" s="28" t="s">
        <v>5259</v>
      </c>
      <c r="I76" s="28" t="s">
        <v>3243</v>
      </c>
      <c r="J76" s="226">
        <v>45139</v>
      </c>
      <c r="K76" s="28" t="s">
        <v>5309</v>
      </c>
      <c r="L76" s="28" t="s">
        <v>5077</v>
      </c>
      <c r="M76" s="143" t="s">
        <v>41</v>
      </c>
      <c r="N76" s="28"/>
      <c r="O76" s="101"/>
      <c r="P76" s="101"/>
      <c r="Q76" s="101"/>
      <c r="R76" s="101"/>
      <c r="S76" s="101"/>
      <c r="T76" s="101"/>
    </row>
    <row r="77" spans="1:20" ht="14.4">
      <c r="A77" s="28" t="s">
        <v>4816</v>
      </c>
      <c r="B77" s="28" t="s">
        <v>5254</v>
      </c>
      <c r="C77" s="28" t="s">
        <v>220</v>
      </c>
      <c r="D77" s="29" t="s">
        <v>234</v>
      </c>
      <c r="E77" s="29" t="s">
        <v>2969</v>
      </c>
      <c r="F77" s="28" t="s">
        <v>5311</v>
      </c>
      <c r="G77" s="28"/>
      <c r="H77" s="28" t="s">
        <v>5259</v>
      </c>
      <c r="I77" s="28" t="s">
        <v>3243</v>
      </c>
      <c r="J77" s="226">
        <v>45140</v>
      </c>
      <c r="K77" s="28" t="s">
        <v>5312</v>
      </c>
      <c r="L77" s="28" t="s">
        <v>5077</v>
      </c>
      <c r="M77" s="143" t="s">
        <v>41</v>
      </c>
      <c r="N77" s="28"/>
      <c r="O77" s="101"/>
      <c r="P77" s="101"/>
      <c r="Q77" s="101"/>
      <c r="R77" s="101"/>
      <c r="S77" s="101"/>
      <c r="T77" s="101"/>
    </row>
    <row r="78" spans="1:20" ht="14.4">
      <c r="A78" s="28" t="s">
        <v>4816</v>
      </c>
      <c r="B78" s="28" t="s">
        <v>5254</v>
      </c>
      <c r="C78" s="28" t="s">
        <v>220</v>
      </c>
      <c r="D78" s="29" t="s">
        <v>234</v>
      </c>
      <c r="E78" s="29" t="s">
        <v>2969</v>
      </c>
      <c r="F78" s="28" t="s">
        <v>5314</v>
      </c>
      <c r="G78" s="28"/>
      <c r="H78" s="28" t="s">
        <v>5259</v>
      </c>
      <c r="I78" s="28" t="s">
        <v>3243</v>
      </c>
      <c r="J78" s="226">
        <v>45141</v>
      </c>
      <c r="K78" s="28" t="s">
        <v>5315</v>
      </c>
      <c r="L78" s="28" t="s">
        <v>5077</v>
      </c>
      <c r="M78" s="143" t="s">
        <v>41</v>
      </c>
      <c r="N78" s="28"/>
      <c r="O78" s="101"/>
      <c r="P78" s="101"/>
      <c r="Q78" s="101"/>
      <c r="R78" s="101"/>
      <c r="S78" s="101"/>
      <c r="T78" s="101"/>
    </row>
    <row r="79" spans="1:20" ht="14.4">
      <c r="A79" s="28" t="s">
        <v>4816</v>
      </c>
      <c r="B79" s="28" t="s">
        <v>5254</v>
      </c>
      <c r="C79" s="28" t="s">
        <v>220</v>
      </c>
      <c r="D79" s="29" t="s">
        <v>234</v>
      </c>
      <c r="E79" s="29" t="s">
        <v>2969</v>
      </c>
      <c r="F79" s="28" t="s">
        <v>5317</v>
      </c>
      <c r="G79" s="28"/>
      <c r="H79" s="28" t="s">
        <v>5318</v>
      </c>
      <c r="I79" s="28" t="s">
        <v>1252</v>
      </c>
      <c r="J79" s="226">
        <v>45142</v>
      </c>
      <c r="K79" s="28" t="s">
        <v>5318</v>
      </c>
      <c r="L79" s="28" t="s">
        <v>989</v>
      </c>
      <c r="M79" s="143" t="s">
        <v>41</v>
      </c>
      <c r="N79" s="28"/>
      <c r="O79" s="101"/>
      <c r="P79" s="101"/>
      <c r="Q79" s="101"/>
      <c r="R79" s="101"/>
      <c r="S79" s="101"/>
      <c r="T79" s="101"/>
    </row>
    <row r="80" spans="1:20" ht="14.4">
      <c r="A80" s="28" t="s">
        <v>4816</v>
      </c>
      <c r="B80" s="28" t="s">
        <v>5254</v>
      </c>
      <c r="C80" s="28" t="s">
        <v>220</v>
      </c>
      <c r="D80" s="29" t="s">
        <v>234</v>
      </c>
      <c r="E80" s="29" t="s">
        <v>2969</v>
      </c>
      <c r="F80" s="28" t="s">
        <v>5320</v>
      </c>
      <c r="G80" s="28"/>
      <c r="H80" s="28" t="s">
        <v>5298</v>
      </c>
      <c r="I80" s="28" t="s">
        <v>3243</v>
      </c>
      <c r="J80" s="226">
        <v>45143</v>
      </c>
      <c r="K80" s="28" t="s">
        <v>5321</v>
      </c>
      <c r="L80" s="28" t="s">
        <v>2166</v>
      </c>
      <c r="M80" s="143" t="s">
        <v>41</v>
      </c>
      <c r="N80" s="28"/>
      <c r="O80" s="101"/>
      <c r="P80" s="101"/>
      <c r="Q80" s="101"/>
      <c r="R80" s="101"/>
      <c r="S80" s="101"/>
      <c r="T80" s="101"/>
    </row>
    <row r="81" spans="1:20" ht="14.4">
      <c r="A81" s="28" t="s">
        <v>4816</v>
      </c>
      <c r="B81" s="28" t="s">
        <v>5254</v>
      </c>
      <c r="C81" s="28" t="s">
        <v>296</v>
      </c>
      <c r="D81" s="28" t="s">
        <v>954</v>
      </c>
      <c r="E81" s="29" t="s">
        <v>2969</v>
      </c>
      <c r="F81" s="79" t="s">
        <v>5323</v>
      </c>
      <c r="G81" s="28"/>
      <c r="H81" s="28" t="s">
        <v>5037</v>
      </c>
      <c r="I81" s="28" t="s">
        <v>335</v>
      </c>
      <c r="J81" s="28" t="s">
        <v>5046</v>
      </c>
      <c r="K81" s="28"/>
      <c r="L81" s="28" t="s">
        <v>5324</v>
      </c>
      <c r="M81" s="143" t="s">
        <v>41</v>
      </c>
      <c r="N81" s="28"/>
      <c r="O81" s="101"/>
      <c r="P81" s="101"/>
      <c r="Q81" s="101"/>
      <c r="R81" s="101"/>
      <c r="S81" s="101"/>
      <c r="T81" s="101"/>
    </row>
    <row r="82" spans="1:20" ht="14.4">
      <c r="A82" s="28" t="s">
        <v>4816</v>
      </c>
      <c r="B82" s="28" t="s">
        <v>5326</v>
      </c>
      <c r="C82" s="28" t="s">
        <v>85</v>
      </c>
      <c r="D82" s="28" t="s">
        <v>86</v>
      </c>
      <c r="E82" s="29" t="s">
        <v>2969</v>
      </c>
      <c r="F82" s="28" t="s">
        <v>5327</v>
      </c>
      <c r="G82" s="28" t="s">
        <v>5328</v>
      </c>
      <c r="H82" s="28" t="s">
        <v>5329</v>
      </c>
      <c r="I82" s="28" t="s">
        <v>5331</v>
      </c>
      <c r="J82" s="28" t="s">
        <v>5332</v>
      </c>
      <c r="K82" s="28" t="s">
        <v>5329</v>
      </c>
      <c r="L82" s="28" t="s">
        <v>5333</v>
      </c>
      <c r="M82" s="143" t="s">
        <v>41</v>
      </c>
      <c r="N82" s="28"/>
      <c r="O82" s="101"/>
      <c r="P82" s="101"/>
      <c r="Q82" s="101"/>
      <c r="R82" s="101"/>
      <c r="S82" s="101"/>
      <c r="T82" s="101"/>
    </row>
    <row r="83" spans="1:20" ht="14.4">
      <c r="A83" s="28" t="s">
        <v>4816</v>
      </c>
      <c r="B83" s="28" t="s">
        <v>5326</v>
      </c>
      <c r="C83" s="28" t="s">
        <v>85</v>
      </c>
      <c r="D83" s="28" t="s">
        <v>86</v>
      </c>
      <c r="E83" s="29" t="s">
        <v>2969</v>
      </c>
      <c r="F83" s="28" t="s">
        <v>5335</v>
      </c>
      <c r="G83" s="28" t="s">
        <v>5336</v>
      </c>
      <c r="H83" s="227" t="s">
        <v>5337</v>
      </c>
      <c r="I83" s="28" t="s">
        <v>898</v>
      </c>
      <c r="J83" s="28" t="s">
        <v>5339</v>
      </c>
      <c r="K83" s="28" t="s">
        <v>5337</v>
      </c>
      <c r="L83" s="28" t="s">
        <v>2996</v>
      </c>
      <c r="M83" s="143" t="s">
        <v>41</v>
      </c>
      <c r="N83" s="28"/>
      <c r="O83" s="101"/>
      <c r="P83" s="101"/>
      <c r="Q83" s="101"/>
      <c r="R83" s="101"/>
      <c r="S83" s="101"/>
      <c r="T83" s="101"/>
    </row>
    <row r="84" spans="1:20" ht="14.4">
      <c r="A84" s="28" t="s">
        <v>4816</v>
      </c>
      <c r="B84" s="28" t="s">
        <v>5326</v>
      </c>
      <c r="C84" s="28" t="s">
        <v>85</v>
      </c>
      <c r="D84" s="28" t="s">
        <v>86</v>
      </c>
      <c r="E84" s="29" t="s">
        <v>2969</v>
      </c>
      <c r="F84" s="28" t="s">
        <v>5340</v>
      </c>
      <c r="G84" s="28" t="s">
        <v>5341</v>
      </c>
      <c r="H84" s="28" t="s">
        <v>5342</v>
      </c>
      <c r="I84" s="28" t="s">
        <v>5343</v>
      </c>
      <c r="J84" s="28" t="s">
        <v>5344</v>
      </c>
      <c r="K84" s="28" t="s">
        <v>5342</v>
      </c>
      <c r="L84" s="28" t="s">
        <v>2336</v>
      </c>
      <c r="M84" s="143" t="s">
        <v>41</v>
      </c>
      <c r="N84" s="28"/>
      <c r="O84" s="101"/>
      <c r="P84" s="101"/>
      <c r="Q84" s="101"/>
      <c r="R84" s="101"/>
      <c r="S84" s="101"/>
      <c r="T84" s="101"/>
    </row>
    <row r="85" spans="1:20" ht="14.4">
      <c r="A85" s="28" t="s">
        <v>4816</v>
      </c>
      <c r="B85" s="28" t="s">
        <v>5326</v>
      </c>
      <c r="C85" s="28" t="s">
        <v>85</v>
      </c>
      <c r="D85" s="28" t="s">
        <v>86</v>
      </c>
      <c r="E85" s="29" t="s">
        <v>2969</v>
      </c>
      <c r="F85" s="28" t="s">
        <v>5346</v>
      </c>
      <c r="G85" s="28" t="s">
        <v>5347</v>
      </c>
      <c r="H85" s="28" t="s">
        <v>5348</v>
      </c>
      <c r="I85" s="28" t="s">
        <v>898</v>
      </c>
      <c r="J85" s="28" t="s">
        <v>5349</v>
      </c>
      <c r="K85" s="28" t="s">
        <v>5348</v>
      </c>
      <c r="L85" s="28" t="s">
        <v>2996</v>
      </c>
      <c r="M85" s="143" t="s">
        <v>41</v>
      </c>
      <c r="N85" s="28"/>
      <c r="O85" s="101"/>
      <c r="P85" s="101"/>
      <c r="Q85" s="101"/>
      <c r="R85" s="101"/>
      <c r="S85" s="101"/>
      <c r="T85" s="101"/>
    </row>
    <row r="86" spans="1:20" ht="14.4">
      <c r="A86" s="28" t="s">
        <v>4816</v>
      </c>
      <c r="B86" s="28" t="s">
        <v>5326</v>
      </c>
      <c r="C86" s="28" t="s">
        <v>85</v>
      </c>
      <c r="D86" s="28" t="s">
        <v>86</v>
      </c>
      <c r="E86" s="29" t="s">
        <v>2969</v>
      </c>
      <c r="F86" s="28" t="s">
        <v>5351</v>
      </c>
      <c r="G86" s="28" t="s">
        <v>5352</v>
      </c>
      <c r="H86" s="28" t="s">
        <v>5348</v>
      </c>
      <c r="I86" s="28" t="s">
        <v>898</v>
      </c>
      <c r="J86" s="28" t="s">
        <v>5353</v>
      </c>
      <c r="K86" s="28" t="s">
        <v>5348</v>
      </c>
      <c r="L86" s="28" t="s">
        <v>2996</v>
      </c>
      <c r="M86" s="143" t="s">
        <v>41</v>
      </c>
      <c r="N86" s="28"/>
      <c r="O86" s="101"/>
      <c r="P86" s="101"/>
      <c r="Q86" s="101"/>
      <c r="R86" s="101"/>
      <c r="S86" s="101"/>
      <c r="T86" s="101"/>
    </row>
    <row r="87" spans="1:20" ht="14.4">
      <c r="A87" s="28" t="s">
        <v>4816</v>
      </c>
      <c r="B87" s="28" t="s">
        <v>5326</v>
      </c>
      <c r="C87" s="28" t="s">
        <v>85</v>
      </c>
      <c r="D87" s="28" t="s">
        <v>86</v>
      </c>
      <c r="E87" s="29" t="s">
        <v>2969</v>
      </c>
      <c r="F87" s="28" t="s">
        <v>5355</v>
      </c>
      <c r="G87" s="28" t="s">
        <v>5356</v>
      </c>
      <c r="H87" s="227" t="s">
        <v>5357</v>
      </c>
      <c r="I87" s="28" t="s">
        <v>887</v>
      </c>
      <c r="J87" s="28" t="s">
        <v>5359</v>
      </c>
      <c r="K87" s="28" t="s">
        <v>5357</v>
      </c>
      <c r="L87" s="28" t="s">
        <v>2996</v>
      </c>
      <c r="M87" s="143" t="s">
        <v>41</v>
      </c>
      <c r="N87" s="28"/>
      <c r="O87" s="101"/>
      <c r="P87" s="101"/>
      <c r="Q87" s="101"/>
      <c r="R87" s="101"/>
      <c r="S87" s="101"/>
      <c r="T87" s="101"/>
    </row>
    <row r="88" spans="1:20" ht="14.4">
      <c r="A88" s="28" t="s">
        <v>4816</v>
      </c>
      <c r="B88" s="28" t="s">
        <v>5326</v>
      </c>
      <c r="C88" s="28" t="s">
        <v>85</v>
      </c>
      <c r="D88" s="28" t="s">
        <v>86</v>
      </c>
      <c r="E88" s="29" t="s">
        <v>2969</v>
      </c>
      <c r="F88" s="28" t="s">
        <v>5360</v>
      </c>
      <c r="G88" s="28" t="s">
        <v>5361</v>
      </c>
      <c r="H88" s="28" t="s">
        <v>5362</v>
      </c>
      <c r="I88" s="28" t="s">
        <v>1610</v>
      </c>
      <c r="J88" s="28" t="s">
        <v>5364</v>
      </c>
      <c r="K88" s="28" t="s">
        <v>5362</v>
      </c>
      <c r="L88" s="28" t="s">
        <v>5333</v>
      </c>
      <c r="M88" s="143" t="s">
        <v>41</v>
      </c>
      <c r="N88" s="28"/>
      <c r="O88" s="101"/>
      <c r="P88" s="101"/>
      <c r="Q88" s="101"/>
      <c r="R88" s="101"/>
      <c r="S88" s="101"/>
      <c r="T88" s="101"/>
    </row>
    <row r="89" spans="1:20" ht="14.4">
      <c r="A89" s="28" t="s">
        <v>4816</v>
      </c>
      <c r="B89" s="28" t="s">
        <v>5326</v>
      </c>
      <c r="C89" s="28" t="s">
        <v>85</v>
      </c>
      <c r="D89" s="28" t="s">
        <v>86</v>
      </c>
      <c r="E89" s="29" t="s">
        <v>2969</v>
      </c>
      <c r="F89" s="28" t="s">
        <v>5366</v>
      </c>
      <c r="G89" s="28" t="s">
        <v>5367</v>
      </c>
      <c r="H89" s="28" t="s">
        <v>5368</v>
      </c>
      <c r="I89" s="28" t="s">
        <v>4057</v>
      </c>
      <c r="J89" s="28" t="s">
        <v>5369</v>
      </c>
      <c r="K89" s="28" t="s">
        <v>5368</v>
      </c>
      <c r="L89" s="28" t="s">
        <v>5333</v>
      </c>
      <c r="M89" s="143" t="s">
        <v>41</v>
      </c>
      <c r="N89" s="28"/>
      <c r="O89" s="101"/>
      <c r="P89" s="101"/>
      <c r="Q89" s="101"/>
      <c r="R89" s="101"/>
      <c r="S89" s="101"/>
      <c r="T89" s="101"/>
    </row>
    <row r="90" spans="1:20" ht="14.4">
      <c r="A90" s="28" t="s">
        <v>4816</v>
      </c>
      <c r="B90" s="28" t="s">
        <v>5326</v>
      </c>
      <c r="C90" s="28" t="s">
        <v>220</v>
      </c>
      <c r="D90" s="29" t="s">
        <v>234</v>
      </c>
      <c r="E90" s="29" t="s">
        <v>2969</v>
      </c>
      <c r="F90" s="28" t="s">
        <v>5375</v>
      </c>
      <c r="G90" s="28"/>
      <c r="H90" s="28" t="s">
        <v>5348</v>
      </c>
      <c r="I90" s="28" t="s">
        <v>898</v>
      </c>
      <c r="J90" s="28" t="s">
        <v>5376</v>
      </c>
      <c r="K90" s="28" t="s">
        <v>5348</v>
      </c>
      <c r="L90" s="28" t="s">
        <v>2996</v>
      </c>
      <c r="M90" s="143" t="s">
        <v>41</v>
      </c>
      <c r="N90" s="28"/>
      <c r="O90" s="101"/>
      <c r="P90" s="101"/>
      <c r="Q90" s="101"/>
      <c r="R90" s="101"/>
      <c r="S90" s="101"/>
      <c r="T90" s="101"/>
    </row>
    <row r="91" spans="1:20" ht="14.4">
      <c r="A91" s="28" t="s">
        <v>4816</v>
      </c>
      <c r="B91" s="28" t="s">
        <v>5326</v>
      </c>
      <c r="C91" s="28" t="s">
        <v>220</v>
      </c>
      <c r="D91" s="29" t="s">
        <v>234</v>
      </c>
      <c r="E91" s="29" t="s">
        <v>2969</v>
      </c>
      <c r="F91" s="28" t="s">
        <v>5379</v>
      </c>
      <c r="G91" s="28"/>
      <c r="H91" s="28" t="s">
        <v>5380</v>
      </c>
      <c r="I91" s="28" t="s">
        <v>5382</v>
      </c>
      <c r="J91" s="28" t="s">
        <v>5384</v>
      </c>
      <c r="K91" s="28" t="s">
        <v>5385</v>
      </c>
      <c r="L91" s="28" t="s">
        <v>5333</v>
      </c>
      <c r="M91" s="143" t="s">
        <v>41</v>
      </c>
      <c r="N91" s="28"/>
      <c r="O91" s="101"/>
      <c r="P91" s="101"/>
      <c r="Q91" s="101"/>
      <c r="R91" s="101"/>
      <c r="S91" s="101"/>
      <c r="T91" s="101"/>
    </row>
    <row r="92" spans="1:20" ht="14.4">
      <c r="A92" s="28" t="s">
        <v>4816</v>
      </c>
      <c r="B92" s="28" t="s">
        <v>5326</v>
      </c>
      <c r="C92" s="28" t="s">
        <v>296</v>
      </c>
      <c r="D92" s="28" t="s">
        <v>954</v>
      </c>
      <c r="E92" s="29" t="s">
        <v>2969</v>
      </c>
      <c r="F92" s="79" t="s">
        <v>5386</v>
      </c>
      <c r="G92" s="28"/>
      <c r="H92" s="28" t="s">
        <v>5037</v>
      </c>
      <c r="I92" s="28" t="s">
        <v>335</v>
      </c>
      <c r="J92" s="28" t="s">
        <v>5046</v>
      </c>
      <c r="K92" s="28"/>
      <c r="L92" s="28" t="s">
        <v>2996</v>
      </c>
      <c r="M92" s="143" t="s">
        <v>41</v>
      </c>
      <c r="N92" s="28" t="s">
        <v>5391</v>
      </c>
      <c r="O92" s="101"/>
      <c r="P92" s="101"/>
      <c r="Q92" s="101"/>
      <c r="R92" s="101"/>
      <c r="S92" s="101"/>
      <c r="T92" s="101"/>
    </row>
    <row r="93" spans="1:20" ht="14.4">
      <c r="A93" s="28" t="s">
        <v>4816</v>
      </c>
      <c r="B93" s="28" t="s">
        <v>5392</v>
      </c>
      <c r="C93" s="28" t="s">
        <v>85</v>
      </c>
      <c r="D93" s="28" t="s">
        <v>86</v>
      </c>
      <c r="E93" s="29" t="s">
        <v>2969</v>
      </c>
      <c r="F93" s="28" t="s">
        <v>5393</v>
      </c>
      <c r="G93" s="28" t="s">
        <v>5394</v>
      </c>
      <c r="H93" s="28" t="s">
        <v>5395</v>
      </c>
      <c r="I93" s="28" t="s">
        <v>898</v>
      </c>
      <c r="J93" s="28" t="s">
        <v>5396</v>
      </c>
      <c r="K93" s="28" t="s">
        <v>5395</v>
      </c>
      <c r="L93" s="28" t="s">
        <v>989</v>
      </c>
      <c r="M93" s="143" t="s">
        <v>41</v>
      </c>
      <c r="N93" s="28"/>
      <c r="O93" s="101"/>
      <c r="P93" s="101"/>
      <c r="Q93" s="101"/>
      <c r="R93" s="101"/>
      <c r="S93" s="101"/>
      <c r="T93" s="101"/>
    </row>
    <row r="94" spans="1:20" ht="14.4">
      <c r="A94" s="28" t="s">
        <v>4816</v>
      </c>
      <c r="B94" s="28" t="s">
        <v>5392</v>
      </c>
      <c r="C94" s="28" t="s">
        <v>85</v>
      </c>
      <c r="D94" s="28" t="s">
        <v>86</v>
      </c>
      <c r="E94" s="29" t="s">
        <v>2969</v>
      </c>
      <c r="F94" s="28" t="s">
        <v>5399</v>
      </c>
      <c r="G94" s="28" t="s">
        <v>5400</v>
      </c>
      <c r="H94" s="28" t="s">
        <v>5401</v>
      </c>
      <c r="I94" s="28" t="s">
        <v>1252</v>
      </c>
      <c r="J94" s="28" t="s">
        <v>5402</v>
      </c>
      <c r="K94" s="28" t="s">
        <v>5404</v>
      </c>
      <c r="L94" s="28" t="s">
        <v>989</v>
      </c>
      <c r="M94" s="143" t="s">
        <v>41</v>
      </c>
      <c r="N94" s="28"/>
      <c r="O94" s="101"/>
      <c r="P94" s="101"/>
      <c r="Q94" s="101"/>
      <c r="R94" s="101"/>
      <c r="S94" s="101"/>
      <c r="T94" s="101"/>
    </row>
    <row r="95" spans="1:20" ht="14.4">
      <c r="A95" s="28" t="s">
        <v>4816</v>
      </c>
      <c r="B95" s="28" t="s">
        <v>5392</v>
      </c>
      <c r="C95" s="28" t="s">
        <v>85</v>
      </c>
      <c r="D95" s="28" t="s">
        <v>86</v>
      </c>
      <c r="E95" s="29" t="s">
        <v>2969</v>
      </c>
      <c r="F95" s="28" t="s">
        <v>5407</v>
      </c>
      <c r="G95" s="28" t="s">
        <v>5408</v>
      </c>
      <c r="H95" s="28" t="s">
        <v>5410</v>
      </c>
      <c r="I95" s="28" t="s">
        <v>5412</v>
      </c>
      <c r="J95" s="28" t="s">
        <v>5413</v>
      </c>
      <c r="K95" s="28" t="s">
        <v>5414</v>
      </c>
      <c r="L95" s="28" t="s">
        <v>989</v>
      </c>
      <c r="M95" s="143" t="s">
        <v>41</v>
      </c>
      <c r="N95" s="28"/>
      <c r="O95" s="101"/>
      <c r="P95" s="101"/>
      <c r="Q95" s="101"/>
      <c r="R95" s="101"/>
      <c r="S95" s="101"/>
      <c r="T95" s="101"/>
    </row>
    <row r="96" spans="1:20" ht="14.4">
      <c r="A96" s="28" t="s">
        <v>4816</v>
      </c>
      <c r="B96" s="28" t="s">
        <v>5392</v>
      </c>
      <c r="C96" s="28" t="s">
        <v>85</v>
      </c>
      <c r="D96" s="28" t="s">
        <v>86</v>
      </c>
      <c r="E96" s="29" t="s">
        <v>2969</v>
      </c>
      <c r="F96" s="28" t="s">
        <v>5416</v>
      </c>
      <c r="G96" s="28" t="s">
        <v>5417</v>
      </c>
      <c r="H96" s="28" t="s">
        <v>5418</v>
      </c>
      <c r="I96" s="28" t="s">
        <v>521</v>
      </c>
      <c r="J96" s="28" t="s">
        <v>5420</v>
      </c>
      <c r="K96" s="28" t="s">
        <v>5422</v>
      </c>
      <c r="L96" s="28" t="s">
        <v>5077</v>
      </c>
      <c r="M96" s="143" t="s">
        <v>41</v>
      </c>
      <c r="N96" s="28"/>
      <c r="O96" s="101"/>
      <c r="P96" s="101"/>
      <c r="Q96" s="101"/>
      <c r="R96" s="101"/>
      <c r="S96" s="101"/>
      <c r="T96" s="101"/>
    </row>
    <row r="97" spans="1:20" ht="14.4">
      <c r="A97" s="28" t="s">
        <v>4816</v>
      </c>
      <c r="B97" s="28" t="s">
        <v>5392</v>
      </c>
      <c r="C97" s="28" t="s">
        <v>85</v>
      </c>
      <c r="D97" s="28" t="s">
        <v>86</v>
      </c>
      <c r="E97" s="29" t="s">
        <v>2969</v>
      </c>
      <c r="F97" s="28" t="s">
        <v>5424</v>
      </c>
      <c r="G97" s="28" t="s">
        <v>5425</v>
      </c>
      <c r="H97" s="28" t="s">
        <v>5217</v>
      </c>
      <c r="I97" s="28" t="s">
        <v>5428</v>
      </c>
      <c r="J97" s="28" t="s">
        <v>5429</v>
      </c>
      <c r="K97" s="28" t="s">
        <v>5430</v>
      </c>
      <c r="L97" s="28" t="s">
        <v>5077</v>
      </c>
      <c r="M97" s="143" t="s">
        <v>41</v>
      </c>
      <c r="N97" s="28"/>
      <c r="O97" s="101"/>
      <c r="P97" s="101"/>
      <c r="Q97" s="101"/>
      <c r="R97" s="101"/>
      <c r="S97" s="101"/>
      <c r="T97" s="101"/>
    </row>
    <row r="98" spans="1:20" ht="14.4">
      <c r="A98" s="28" t="s">
        <v>4816</v>
      </c>
      <c r="B98" s="28" t="s">
        <v>5392</v>
      </c>
      <c r="C98" s="28" t="s">
        <v>85</v>
      </c>
      <c r="D98" s="28" t="s">
        <v>86</v>
      </c>
      <c r="E98" s="29" t="s">
        <v>2969</v>
      </c>
      <c r="F98" s="28" t="s">
        <v>5433</v>
      </c>
      <c r="G98" s="28" t="s">
        <v>5434</v>
      </c>
      <c r="H98" s="28" t="s">
        <v>5435</v>
      </c>
      <c r="I98" s="28" t="s">
        <v>5436</v>
      </c>
      <c r="J98" s="28" t="s">
        <v>5437</v>
      </c>
      <c r="K98" s="28" t="s">
        <v>5438</v>
      </c>
      <c r="L98" s="28" t="s">
        <v>5077</v>
      </c>
      <c r="M98" s="143" t="s">
        <v>41</v>
      </c>
      <c r="N98" s="28" t="s">
        <v>5440</v>
      </c>
      <c r="O98" s="101"/>
      <c r="P98" s="101"/>
      <c r="Q98" s="101"/>
      <c r="R98" s="101"/>
      <c r="S98" s="101"/>
      <c r="T98" s="101"/>
    </row>
    <row r="99" spans="1:20" ht="14.4">
      <c r="A99" s="28" t="s">
        <v>4816</v>
      </c>
      <c r="B99" s="28" t="s">
        <v>5392</v>
      </c>
      <c r="C99" s="28" t="s">
        <v>85</v>
      </c>
      <c r="D99" s="28" t="s">
        <v>86</v>
      </c>
      <c r="E99" s="29" t="s">
        <v>2969</v>
      </c>
      <c r="F99" s="28" t="s">
        <v>5444</v>
      </c>
      <c r="G99" s="28" t="s">
        <v>5446</v>
      </c>
      <c r="H99" s="28" t="s">
        <v>5217</v>
      </c>
      <c r="I99" s="28" t="s">
        <v>5428</v>
      </c>
      <c r="J99" s="28" t="s">
        <v>5448</v>
      </c>
      <c r="K99" s="28" t="s">
        <v>5449</v>
      </c>
      <c r="L99" s="28" t="s">
        <v>5077</v>
      </c>
      <c r="M99" s="143" t="s">
        <v>41</v>
      </c>
      <c r="N99" s="28" t="s">
        <v>5440</v>
      </c>
      <c r="O99" s="101"/>
      <c r="P99" s="101"/>
      <c r="Q99" s="101"/>
      <c r="R99" s="101"/>
      <c r="S99" s="101"/>
      <c r="T99" s="101"/>
    </row>
    <row r="100" spans="1:20" ht="14.4">
      <c r="A100" s="28" t="s">
        <v>4816</v>
      </c>
      <c r="B100" s="28" t="s">
        <v>5392</v>
      </c>
      <c r="C100" s="28" t="s">
        <v>85</v>
      </c>
      <c r="D100" s="28" t="s">
        <v>86</v>
      </c>
      <c r="E100" s="29" t="s">
        <v>2969</v>
      </c>
      <c r="F100" s="28" t="s">
        <v>5450</v>
      </c>
      <c r="G100" s="28" t="s">
        <v>5451</v>
      </c>
      <c r="H100" s="28" t="s">
        <v>5452</v>
      </c>
      <c r="I100" s="28" t="s">
        <v>898</v>
      </c>
      <c r="J100" s="28" t="s">
        <v>5454</v>
      </c>
      <c r="K100" s="28" t="s">
        <v>5452</v>
      </c>
      <c r="L100" s="28" t="s">
        <v>2166</v>
      </c>
      <c r="M100" s="143" t="s">
        <v>41</v>
      </c>
      <c r="N100" s="28"/>
      <c r="O100" s="101"/>
      <c r="P100" s="101"/>
      <c r="Q100" s="101"/>
      <c r="R100" s="101"/>
      <c r="S100" s="101"/>
      <c r="T100" s="101"/>
    </row>
    <row r="101" spans="1:20" ht="14.4">
      <c r="A101" s="28" t="s">
        <v>4816</v>
      </c>
      <c r="B101" s="28" t="s">
        <v>5392</v>
      </c>
      <c r="C101" s="28" t="s">
        <v>220</v>
      </c>
      <c r="D101" s="29" t="s">
        <v>234</v>
      </c>
      <c r="E101" s="29" t="s">
        <v>2969</v>
      </c>
      <c r="F101" s="28" t="s">
        <v>5460</v>
      </c>
      <c r="G101" s="28"/>
      <c r="H101" s="28" t="s">
        <v>5461</v>
      </c>
      <c r="I101" s="28" t="s">
        <v>3573</v>
      </c>
      <c r="J101" s="28" t="s">
        <v>5462</v>
      </c>
      <c r="K101" s="28" t="s">
        <v>5463</v>
      </c>
      <c r="L101" s="28" t="s">
        <v>989</v>
      </c>
      <c r="M101" s="143" t="s">
        <v>41</v>
      </c>
      <c r="N101" s="28"/>
      <c r="O101" s="101"/>
      <c r="P101" s="101"/>
      <c r="Q101" s="101"/>
      <c r="R101" s="101"/>
      <c r="S101" s="101"/>
      <c r="T101" s="101"/>
    </row>
    <row r="102" spans="1:20" ht="14.4">
      <c r="A102" s="28" t="s">
        <v>4816</v>
      </c>
      <c r="B102" s="28" t="s">
        <v>5392</v>
      </c>
      <c r="C102" s="28" t="s">
        <v>220</v>
      </c>
      <c r="D102" s="29" t="s">
        <v>234</v>
      </c>
      <c r="E102" s="29" t="s">
        <v>2969</v>
      </c>
      <c r="F102" s="28" t="s">
        <v>5468</v>
      </c>
      <c r="G102" s="28"/>
      <c r="H102" s="28" t="s">
        <v>5469</v>
      </c>
      <c r="I102" s="28" t="s">
        <v>5294</v>
      </c>
      <c r="J102" s="28" t="s">
        <v>5470</v>
      </c>
      <c r="K102" s="28" t="s">
        <v>5469</v>
      </c>
      <c r="L102" s="28" t="s">
        <v>989</v>
      </c>
      <c r="M102" s="143" t="s">
        <v>41</v>
      </c>
      <c r="N102" s="28"/>
      <c r="O102" s="101"/>
      <c r="P102" s="101"/>
      <c r="Q102" s="101"/>
      <c r="R102" s="101"/>
      <c r="S102" s="101"/>
      <c r="T102" s="101"/>
    </row>
    <row r="103" spans="1:20" ht="14.4">
      <c r="A103" s="28" t="s">
        <v>4816</v>
      </c>
      <c r="B103" s="28" t="s">
        <v>5392</v>
      </c>
      <c r="C103" s="28" t="s">
        <v>220</v>
      </c>
      <c r="D103" s="29" t="s">
        <v>234</v>
      </c>
      <c r="E103" s="29" t="s">
        <v>2969</v>
      </c>
      <c r="F103" s="28" t="s">
        <v>5473</v>
      </c>
      <c r="G103" s="28"/>
      <c r="H103" s="28" t="s">
        <v>5474</v>
      </c>
      <c r="I103" s="28" t="s">
        <v>5475</v>
      </c>
      <c r="J103" s="28" t="s">
        <v>5476</v>
      </c>
      <c r="K103" s="28" t="s">
        <v>5477</v>
      </c>
      <c r="L103" s="28" t="s">
        <v>2230</v>
      </c>
      <c r="M103" s="143" t="s">
        <v>41</v>
      </c>
      <c r="N103" s="28"/>
      <c r="O103" s="101"/>
      <c r="P103" s="101"/>
      <c r="Q103" s="101"/>
      <c r="R103" s="101"/>
      <c r="S103" s="101"/>
      <c r="T103" s="101"/>
    </row>
    <row r="104" spans="1:20" ht="14.4">
      <c r="A104" s="28" t="s">
        <v>4816</v>
      </c>
      <c r="B104" s="28" t="s">
        <v>5392</v>
      </c>
      <c r="C104" s="28" t="s">
        <v>296</v>
      </c>
      <c r="D104" s="28" t="s">
        <v>954</v>
      </c>
      <c r="E104" s="29" t="s">
        <v>2969</v>
      </c>
      <c r="F104" s="79" t="s">
        <v>5479</v>
      </c>
      <c r="G104" s="28"/>
      <c r="H104" s="28" t="s">
        <v>5217</v>
      </c>
      <c r="I104" s="28" t="s">
        <v>5428</v>
      </c>
      <c r="J104" s="28" t="s">
        <v>5046</v>
      </c>
      <c r="K104" s="28" t="s">
        <v>5480</v>
      </c>
      <c r="L104" s="28" t="s">
        <v>5481</v>
      </c>
      <c r="M104" s="143" t="s">
        <v>41</v>
      </c>
      <c r="N104" s="28"/>
      <c r="O104" s="101"/>
      <c r="P104" s="101"/>
      <c r="Q104" s="101"/>
      <c r="R104" s="101"/>
      <c r="S104" s="101"/>
      <c r="T104" s="101"/>
    </row>
    <row r="105" spans="1:20" ht="14.4">
      <c r="A105" s="28" t="s">
        <v>4816</v>
      </c>
      <c r="B105" s="28" t="s">
        <v>5069</v>
      </c>
      <c r="C105" s="107" t="s">
        <v>296</v>
      </c>
      <c r="D105" s="107" t="s">
        <v>954</v>
      </c>
      <c r="E105" s="29" t="s">
        <v>2969</v>
      </c>
      <c r="F105" s="79" t="s">
        <v>5484</v>
      </c>
      <c r="G105" s="28"/>
      <c r="H105" s="28" t="s">
        <v>5037</v>
      </c>
      <c r="I105" s="28" t="s">
        <v>335</v>
      </c>
      <c r="J105" s="28" t="s">
        <v>5046</v>
      </c>
      <c r="K105" s="28"/>
      <c r="L105" s="28" t="s">
        <v>5485</v>
      </c>
      <c r="M105" s="143" t="s">
        <v>41</v>
      </c>
      <c r="N105" s="28"/>
      <c r="O105" s="101"/>
      <c r="P105" s="101"/>
      <c r="Q105" s="101"/>
      <c r="R105" s="101"/>
      <c r="S105" s="101"/>
      <c r="T105" s="101"/>
    </row>
    <row r="106" spans="1:20" ht="14.4">
      <c r="A106" s="28" t="s">
        <v>4816</v>
      </c>
      <c r="B106" s="28" t="s">
        <v>49</v>
      </c>
      <c r="C106" s="28" t="s">
        <v>233</v>
      </c>
      <c r="D106" s="29" t="s">
        <v>298</v>
      </c>
      <c r="E106" s="29" t="s">
        <v>2969</v>
      </c>
      <c r="F106" s="28" t="s">
        <v>5488</v>
      </c>
      <c r="G106" s="28"/>
      <c r="H106" s="28" t="s">
        <v>4954</v>
      </c>
      <c r="I106" s="28" t="s">
        <v>4955</v>
      </c>
      <c r="J106" s="28" t="s">
        <v>4840</v>
      </c>
      <c r="K106" s="28" t="s">
        <v>4954</v>
      </c>
      <c r="L106" s="28" t="s">
        <v>2996</v>
      </c>
      <c r="M106" s="143" t="s">
        <v>41</v>
      </c>
      <c r="N106" s="28"/>
      <c r="O106" s="101"/>
      <c r="P106" s="101"/>
      <c r="Q106" s="101"/>
      <c r="R106" s="101"/>
      <c r="S106" s="101"/>
      <c r="T106" s="101"/>
    </row>
    <row r="107" spans="1:20" ht="14.4">
      <c r="A107" s="28" t="s">
        <v>4816</v>
      </c>
      <c r="B107" s="28" t="s">
        <v>49</v>
      </c>
      <c r="C107" s="28" t="s">
        <v>233</v>
      </c>
      <c r="D107" s="29" t="s">
        <v>298</v>
      </c>
      <c r="E107" s="29" t="s">
        <v>2969</v>
      </c>
      <c r="F107" s="28" t="s">
        <v>5491</v>
      </c>
      <c r="G107" s="28"/>
      <c r="H107" s="28" t="s">
        <v>4824</v>
      </c>
      <c r="I107" s="28" t="s">
        <v>130</v>
      </c>
      <c r="J107" s="28" t="s">
        <v>4840</v>
      </c>
      <c r="K107" s="28" t="s">
        <v>4824</v>
      </c>
      <c r="L107" s="28" t="s">
        <v>2996</v>
      </c>
      <c r="M107" s="143" t="s">
        <v>41</v>
      </c>
      <c r="N107" s="28"/>
      <c r="O107" s="101"/>
      <c r="P107" s="101"/>
      <c r="Q107" s="101"/>
      <c r="R107" s="101"/>
      <c r="S107" s="101"/>
      <c r="T107" s="101"/>
    </row>
    <row r="108" spans="1:20" ht="14.4">
      <c r="A108" s="28" t="s">
        <v>4816</v>
      </c>
      <c r="B108" s="28" t="s">
        <v>49</v>
      </c>
      <c r="C108" s="28" t="s">
        <v>233</v>
      </c>
      <c r="D108" s="29" t="s">
        <v>298</v>
      </c>
      <c r="E108" s="29" t="s">
        <v>2969</v>
      </c>
      <c r="F108" s="28" t="s">
        <v>5494</v>
      </c>
      <c r="G108" s="28"/>
      <c r="H108" s="28" t="s">
        <v>4852</v>
      </c>
      <c r="I108" s="28" t="s">
        <v>4853</v>
      </c>
      <c r="J108" s="28" t="s">
        <v>4854</v>
      </c>
      <c r="K108" s="28" t="s">
        <v>4852</v>
      </c>
      <c r="L108" s="28" t="s">
        <v>989</v>
      </c>
      <c r="M108" s="143" t="s">
        <v>41</v>
      </c>
      <c r="N108" s="28"/>
      <c r="O108" s="101"/>
      <c r="P108" s="101"/>
      <c r="Q108" s="101"/>
      <c r="R108" s="101"/>
      <c r="S108" s="101"/>
      <c r="T108" s="101"/>
    </row>
    <row r="109" spans="1:20" ht="14.4">
      <c r="A109" s="28" t="s">
        <v>4816</v>
      </c>
      <c r="B109" s="28" t="s">
        <v>49</v>
      </c>
      <c r="C109" s="28" t="s">
        <v>233</v>
      </c>
      <c r="D109" s="29" t="s">
        <v>298</v>
      </c>
      <c r="E109" s="29" t="s">
        <v>2969</v>
      </c>
      <c r="F109" s="28" t="s">
        <v>5497</v>
      </c>
      <c r="G109" s="28"/>
      <c r="H109" s="28" t="s">
        <v>5498</v>
      </c>
      <c r="I109" s="28" t="s">
        <v>5499</v>
      </c>
      <c r="J109" s="28" t="s">
        <v>5500</v>
      </c>
      <c r="K109" s="28" t="s">
        <v>5498</v>
      </c>
      <c r="L109" s="28" t="s">
        <v>4480</v>
      </c>
      <c r="M109" s="143" t="s">
        <v>41</v>
      </c>
      <c r="N109" s="28"/>
      <c r="O109" s="101"/>
      <c r="P109" s="101"/>
      <c r="Q109" s="101"/>
      <c r="R109" s="101"/>
      <c r="S109" s="101"/>
      <c r="T109" s="101"/>
    </row>
    <row r="110" spans="1:20" ht="14.4">
      <c r="A110" s="28" t="s">
        <v>4816</v>
      </c>
      <c r="B110" s="28" t="s">
        <v>5069</v>
      </c>
      <c r="C110" s="28" t="s">
        <v>233</v>
      </c>
      <c r="D110" s="29" t="s">
        <v>298</v>
      </c>
      <c r="E110" s="29" t="s">
        <v>2969</v>
      </c>
      <c r="F110" s="28" t="s">
        <v>5503</v>
      </c>
      <c r="G110" s="28"/>
      <c r="H110" s="28" t="s">
        <v>5209</v>
      </c>
      <c r="I110" s="28" t="s">
        <v>5504</v>
      </c>
      <c r="J110" s="28" t="s">
        <v>2784</v>
      </c>
      <c r="K110" s="28" t="s">
        <v>5209</v>
      </c>
      <c r="L110" s="28" t="s">
        <v>5077</v>
      </c>
      <c r="M110" s="143" t="s">
        <v>41</v>
      </c>
      <c r="N110" s="28"/>
      <c r="O110" s="101"/>
      <c r="P110" s="101"/>
      <c r="Q110" s="101"/>
      <c r="R110" s="101"/>
      <c r="S110" s="101"/>
      <c r="T110" s="101"/>
    </row>
    <row r="111" spans="1:20" ht="14.4">
      <c r="A111" s="28" t="s">
        <v>4816</v>
      </c>
      <c r="B111" s="28" t="s">
        <v>5069</v>
      </c>
      <c r="C111" s="28" t="s">
        <v>233</v>
      </c>
      <c r="D111" s="29" t="s">
        <v>298</v>
      </c>
      <c r="E111" s="29" t="s">
        <v>2969</v>
      </c>
      <c r="F111" s="28" t="s">
        <v>5506</v>
      </c>
      <c r="G111" s="28"/>
      <c r="H111" s="28" t="s">
        <v>5129</v>
      </c>
      <c r="I111" s="28" t="s">
        <v>5508</v>
      </c>
      <c r="J111" s="28" t="s">
        <v>2784</v>
      </c>
      <c r="K111" s="28" t="s">
        <v>5081</v>
      </c>
      <c r="L111" s="28" t="s">
        <v>5077</v>
      </c>
      <c r="M111" s="143" t="s">
        <v>41</v>
      </c>
      <c r="N111" s="28"/>
      <c r="O111" s="101"/>
      <c r="P111" s="101"/>
      <c r="Q111" s="101"/>
      <c r="R111" s="101"/>
      <c r="S111" s="101"/>
      <c r="T111" s="101"/>
    </row>
    <row r="112" spans="1:20" ht="14.4">
      <c r="A112" s="28" t="s">
        <v>4816</v>
      </c>
      <c r="B112" s="28" t="s">
        <v>5069</v>
      </c>
      <c r="C112" s="28" t="s">
        <v>233</v>
      </c>
      <c r="D112" s="29" t="s">
        <v>298</v>
      </c>
      <c r="E112" s="29" t="s">
        <v>2969</v>
      </c>
      <c r="F112" s="28" t="s">
        <v>5510</v>
      </c>
      <c r="G112" s="28"/>
      <c r="H112" s="28" t="s">
        <v>5100</v>
      </c>
      <c r="I112" s="28" t="s">
        <v>5513</v>
      </c>
      <c r="J112" s="28" t="s">
        <v>2784</v>
      </c>
      <c r="K112" s="28" t="s">
        <v>5515</v>
      </c>
      <c r="L112" s="28" t="s">
        <v>2166</v>
      </c>
      <c r="M112" s="143" t="s">
        <v>41</v>
      </c>
      <c r="N112" s="28"/>
      <c r="O112" s="101"/>
      <c r="P112" s="101"/>
      <c r="Q112" s="101"/>
      <c r="R112" s="101"/>
      <c r="S112" s="101"/>
      <c r="T112" s="101"/>
    </row>
    <row r="113" spans="1:31" ht="14.4">
      <c r="A113" s="28" t="s">
        <v>4816</v>
      </c>
      <c r="B113" s="28" t="s">
        <v>5214</v>
      </c>
      <c r="C113" s="28" t="s">
        <v>233</v>
      </c>
      <c r="D113" s="29" t="s">
        <v>298</v>
      </c>
      <c r="E113" s="29" t="s">
        <v>2969</v>
      </c>
      <c r="F113" s="28" t="s">
        <v>5516</v>
      </c>
      <c r="G113" s="28"/>
      <c r="H113" s="28" t="s">
        <v>5518</v>
      </c>
      <c r="I113" s="28" t="s">
        <v>5519</v>
      </c>
      <c r="J113" s="28" t="s">
        <v>2804</v>
      </c>
      <c r="K113" s="28" t="s">
        <v>5518</v>
      </c>
      <c r="L113" s="28" t="s">
        <v>2166</v>
      </c>
      <c r="M113" s="143" t="s">
        <v>41</v>
      </c>
      <c r="N113" s="28"/>
      <c r="O113" s="101"/>
      <c r="P113" s="101"/>
      <c r="Q113" s="101"/>
      <c r="R113" s="101"/>
      <c r="S113" s="101"/>
      <c r="T113" s="101"/>
    </row>
    <row r="114" spans="1:31" ht="14.4">
      <c r="A114" s="28" t="s">
        <v>4816</v>
      </c>
      <c r="B114" s="28" t="s">
        <v>5214</v>
      </c>
      <c r="C114" s="28" t="s">
        <v>233</v>
      </c>
      <c r="D114" s="29" t="s">
        <v>298</v>
      </c>
      <c r="E114" s="29" t="s">
        <v>2969</v>
      </c>
      <c r="F114" s="28" t="s">
        <v>5521</v>
      </c>
      <c r="G114" s="28"/>
      <c r="H114" s="28" t="s">
        <v>5241</v>
      </c>
      <c r="I114" s="28" t="s">
        <v>4955</v>
      </c>
      <c r="J114" s="28" t="s">
        <v>2784</v>
      </c>
      <c r="K114" s="28" t="s">
        <v>5162</v>
      </c>
      <c r="L114" s="28" t="s">
        <v>5077</v>
      </c>
      <c r="M114" s="143" t="s">
        <v>41</v>
      </c>
      <c r="N114" s="28"/>
      <c r="O114" s="101"/>
      <c r="P114" s="101"/>
      <c r="Q114" s="101"/>
      <c r="R114" s="101"/>
      <c r="S114" s="101"/>
      <c r="T114" s="101"/>
    </row>
    <row r="115" spans="1:31" ht="14.4">
      <c r="A115" s="28" t="s">
        <v>4816</v>
      </c>
      <c r="B115" s="28" t="s">
        <v>5254</v>
      </c>
      <c r="C115" s="28" t="s">
        <v>233</v>
      </c>
      <c r="D115" s="29" t="s">
        <v>298</v>
      </c>
      <c r="E115" s="29" t="s">
        <v>2969</v>
      </c>
      <c r="F115" s="28" t="s">
        <v>5524</v>
      </c>
      <c r="G115" s="28"/>
      <c r="H115" s="28" t="s">
        <v>5259</v>
      </c>
      <c r="I115" s="28" t="s">
        <v>3243</v>
      </c>
      <c r="J115" s="226">
        <v>45150</v>
      </c>
      <c r="K115" s="28" t="s">
        <v>5261</v>
      </c>
      <c r="L115" s="28" t="s">
        <v>5077</v>
      </c>
      <c r="M115" s="143" t="s">
        <v>41</v>
      </c>
      <c r="N115" s="28"/>
      <c r="O115" s="101"/>
      <c r="P115" s="101"/>
      <c r="Q115" s="101"/>
      <c r="R115" s="101"/>
      <c r="S115" s="101"/>
      <c r="T115" s="101"/>
    </row>
    <row r="116" spans="1:31" ht="14.4">
      <c r="A116" s="28" t="s">
        <v>4816</v>
      </c>
      <c r="B116" s="28" t="s">
        <v>5254</v>
      </c>
      <c r="C116" s="28" t="s">
        <v>233</v>
      </c>
      <c r="D116" s="29" t="s">
        <v>298</v>
      </c>
      <c r="E116" s="29" t="s">
        <v>2969</v>
      </c>
      <c r="F116" s="28" t="s">
        <v>5527</v>
      </c>
      <c r="G116" s="28"/>
      <c r="H116" s="28" t="s">
        <v>5528</v>
      </c>
      <c r="I116" s="28" t="s">
        <v>1595</v>
      </c>
      <c r="J116" s="226">
        <v>45151</v>
      </c>
      <c r="K116" s="28" t="s">
        <v>5528</v>
      </c>
      <c r="L116" s="28" t="s">
        <v>5180</v>
      </c>
      <c r="M116" s="143" t="s">
        <v>41</v>
      </c>
      <c r="N116" s="28"/>
      <c r="O116" s="101"/>
      <c r="P116" s="101"/>
      <c r="Q116" s="101"/>
      <c r="R116" s="101"/>
      <c r="S116" s="101"/>
      <c r="T116" s="101"/>
    </row>
    <row r="117" spans="1:31" ht="14.4">
      <c r="A117" s="28" t="s">
        <v>4816</v>
      </c>
      <c r="B117" s="28" t="s">
        <v>5254</v>
      </c>
      <c r="C117" s="28" t="s">
        <v>233</v>
      </c>
      <c r="D117" s="29" t="s">
        <v>298</v>
      </c>
      <c r="E117" s="29" t="s">
        <v>2969</v>
      </c>
      <c r="F117" s="28" t="s">
        <v>5531</v>
      </c>
      <c r="G117" s="28"/>
      <c r="H117" s="28" t="s">
        <v>5532</v>
      </c>
      <c r="I117" s="28" t="s">
        <v>1633</v>
      </c>
      <c r="J117" s="226">
        <v>45152</v>
      </c>
      <c r="K117" s="28" t="s">
        <v>5533</v>
      </c>
      <c r="L117" s="28" t="s">
        <v>989</v>
      </c>
      <c r="M117" s="143" t="s">
        <v>41</v>
      </c>
      <c r="N117" s="28"/>
      <c r="O117" s="101"/>
      <c r="P117" s="101"/>
      <c r="Q117" s="101"/>
      <c r="R117" s="101"/>
      <c r="S117" s="101"/>
      <c r="T117" s="101"/>
    </row>
    <row r="118" spans="1:31" ht="14.4">
      <c r="A118" s="28" t="s">
        <v>4816</v>
      </c>
      <c r="B118" s="28" t="s">
        <v>5254</v>
      </c>
      <c r="C118" s="28" t="s">
        <v>233</v>
      </c>
      <c r="D118" s="29" t="s">
        <v>298</v>
      </c>
      <c r="E118" s="29" t="s">
        <v>2969</v>
      </c>
      <c r="F118" s="28" t="s">
        <v>5534</v>
      </c>
      <c r="G118" s="28"/>
      <c r="H118" s="28" t="s">
        <v>5535</v>
      </c>
      <c r="I118" s="28" t="s">
        <v>521</v>
      </c>
      <c r="J118" s="226">
        <v>45088</v>
      </c>
      <c r="K118" s="28" t="s">
        <v>5536</v>
      </c>
      <c r="L118" s="28" t="s">
        <v>5077</v>
      </c>
      <c r="M118" s="143" t="s">
        <v>41</v>
      </c>
      <c r="N118" s="28"/>
      <c r="O118" s="101"/>
      <c r="P118" s="101"/>
      <c r="Q118" s="101"/>
      <c r="R118" s="101"/>
      <c r="S118" s="101"/>
      <c r="T118" s="101"/>
    </row>
    <row r="119" spans="1:31" ht="14.4">
      <c r="A119" s="28" t="s">
        <v>4816</v>
      </c>
      <c r="B119" s="28" t="s">
        <v>5326</v>
      </c>
      <c r="C119" s="28" t="s">
        <v>233</v>
      </c>
      <c r="D119" s="29" t="s">
        <v>298</v>
      </c>
      <c r="E119" s="29" t="s">
        <v>2969</v>
      </c>
      <c r="F119" s="28" t="s">
        <v>5537</v>
      </c>
      <c r="G119" s="28"/>
      <c r="H119" s="28" t="s">
        <v>5538</v>
      </c>
      <c r="I119" s="28" t="s">
        <v>887</v>
      </c>
      <c r="J119" s="28" t="s">
        <v>5539</v>
      </c>
      <c r="K119" s="28" t="s">
        <v>5540</v>
      </c>
      <c r="L119" s="28" t="s">
        <v>5180</v>
      </c>
      <c r="M119" s="143" t="s">
        <v>41</v>
      </c>
      <c r="N119" s="28"/>
      <c r="O119" s="101"/>
      <c r="P119" s="101"/>
      <c r="Q119" s="101"/>
      <c r="R119" s="101"/>
      <c r="S119" s="101"/>
      <c r="T119" s="101"/>
    </row>
    <row r="120" spans="1:31" ht="14.4">
      <c r="A120" s="28" t="s">
        <v>4816</v>
      </c>
      <c r="B120" s="28" t="s">
        <v>5326</v>
      </c>
      <c r="C120" s="28" t="s">
        <v>233</v>
      </c>
      <c r="D120" s="29" t="s">
        <v>298</v>
      </c>
      <c r="E120" s="29" t="s">
        <v>2969</v>
      </c>
      <c r="F120" s="28" t="s">
        <v>5541</v>
      </c>
      <c r="G120" s="28"/>
      <c r="H120" s="28" t="s">
        <v>5542</v>
      </c>
      <c r="I120" s="28" t="s">
        <v>5519</v>
      </c>
      <c r="J120" s="28" t="s">
        <v>5543</v>
      </c>
      <c r="K120" s="28" t="s">
        <v>5544</v>
      </c>
      <c r="L120" s="28" t="s">
        <v>2166</v>
      </c>
      <c r="M120" s="143" t="s">
        <v>41</v>
      </c>
      <c r="N120" s="28"/>
      <c r="O120" s="101"/>
      <c r="P120" s="101"/>
      <c r="Q120" s="101"/>
      <c r="R120" s="101"/>
      <c r="S120" s="101"/>
      <c r="T120" s="101"/>
    </row>
    <row r="121" spans="1:31" ht="14.4">
      <c r="A121" s="28" t="s">
        <v>4816</v>
      </c>
      <c r="B121" s="28" t="s">
        <v>5392</v>
      </c>
      <c r="C121" s="28" t="s">
        <v>233</v>
      </c>
      <c r="D121" s="29" t="s">
        <v>298</v>
      </c>
      <c r="E121" s="29" t="s">
        <v>2969</v>
      </c>
      <c r="F121" s="28" t="s">
        <v>5545</v>
      </c>
      <c r="G121" s="28"/>
      <c r="H121" s="28" t="s">
        <v>5546</v>
      </c>
      <c r="I121" s="28" t="s">
        <v>966</v>
      </c>
      <c r="J121" s="28" t="s">
        <v>5547</v>
      </c>
      <c r="K121" s="28" t="s">
        <v>5546</v>
      </c>
      <c r="L121" s="28" t="s">
        <v>2166</v>
      </c>
      <c r="M121" s="143" t="s">
        <v>41</v>
      </c>
      <c r="N121" s="28"/>
      <c r="O121" s="101"/>
      <c r="P121" s="101"/>
      <c r="Q121" s="101"/>
      <c r="R121" s="101"/>
      <c r="S121" s="101"/>
      <c r="T121" s="101"/>
    </row>
    <row r="122" spans="1:31" ht="14.4">
      <c r="A122" s="28" t="s">
        <v>4816</v>
      </c>
      <c r="B122" s="28" t="s">
        <v>5392</v>
      </c>
      <c r="C122" s="28" t="s">
        <v>233</v>
      </c>
      <c r="D122" s="29" t="s">
        <v>298</v>
      </c>
      <c r="E122" s="29" t="s">
        <v>2969</v>
      </c>
      <c r="F122" s="28" t="s">
        <v>5548</v>
      </c>
      <c r="G122" s="28"/>
      <c r="H122" s="28" t="s">
        <v>5549</v>
      </c>
      <c r="I122" s="28" t="s">
        <v>521</v>
      </c>
      <c r="J122" s="28" t="s">
        <v>5550</v>
      </c>
      <c r="K122" s="28" t="s">
        <v>5549</v>
      </c>
      <c r="L122" s="28" t="s">
        <v>5077</v>
      </c>
      <c r="M122" s="143" t="s">
        <v>41</v>
      </c>
      <c r="N122" s="28"/>
      <c r="O122" s="101"/>
      <c r="P122" s="101"/>
      <c r="Q122" s="101"/>
      <c r="R122" s="101"/>
      <c r="S122" s="101"/>
      <c r="T122" s="101"/>
    </row>
    <row r="123" spans="1:31" ht="14.4">
      <c r="A123" s="28" t="s">
        <v>4816</v>
      </c>
      <c r="B123" s="28" t="s">
        <v>5392</v>
      </c>
      <c r="C123" s="28" t="s">
        <v>233</v>
      </c>
      <c r="D123" s="29" t="s">
        <v>298</v>
      </c>
      <c r="E123" s="29" t="s">
        <v>2969</v>
      </c>
      <c r="F123" s="28" t="s">
        <v>5552</v>
      </c>
      <c r="G123" s="28"/>
      <c r="H123" s="28" t="s">
        <v>5217</v>
      </c>
      <c r="I123" s="28" t="s">
        <v>3243</v>
      </c>
      <c r="J123" s="28" t="s">
        <v>5553</v>
      </c>
      <c r="K123" s="28" t="s">
        <v>5217</v>
      </c>
      <c r="L123" s="28" t="s">
        <v>933</v>
      </c>
      <c r="M123" s="143" t="s">
        <v>41</v>
      </c>
      <c r="N123" s="28"/>
      <c r="O123" s="101"/>
      <c r="P123" s="101"/>
      <c r="Q123" s="101"/>
      <c r="R123" s="101"/>
      <c r="S123" s="101"/>
      <c r="T123" s="101"/>
    </row>
    <row r="124" spans="1:31" ht="14.4">
      <c r="A124" s="28" t="s">
        <v>4816</v>
      </c>
      <c r="B124" s="28" t="s">
        <v>5069</v>
      </c>
      <c r="C124" s="28" t="s">
        <v>275</v>
      </c>
      <c r="D124" s="28" t="s">
        <v>543</v>
      </c>
      <c r="E124" s="29" t="s">
        <v>2969</v>
      </c>
      <c r="F124" s="79" t="s">
        <v>5554</v>
      </c>
      <c r="G124" s="28"/>
      <c r="H124" s="28" t="s">
        <v>5129</v>
      </c>
      <c r="I124" s="28" t="s">
        <v>130</v>
      </c>
      <c r="J124" s="28" t="s">
        <v>5555</v>
      </c>
      <c r="K124" s="28" t="s">
        <v>5556</v>
      </c>
      <c r="L124" s="28" t="s">
        <v>5077</v>
      </c>
      <c r="M124" s="143" t="s">
        <v>41</v>
      </c>
      <c r="N124" s="28"/>
      <c r="O124" s="106"/>
      <c r="P124" s="106"/>
      <c r="Q124" s="106"/>
      <c r="R124" s="106"/>
      <c r="S124" s="106"/>
      <c r="T124" s="106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</row>
    <row r="125" spans="1:31" ht="14.4">
      <c r="A125" s="28" t="s">
        <v>4816</v>
      </c>
      <c r="B125" s="28" t="s">
        <v>5214</v>
      </c>
      <c r="C125" s="28" t="s">
        <v>319</v>
      </c>
      <c r="D125" s="28" t="s">
        <v>796</v>
      </c>
      <c r="E125" s="28"/>
      <c r="F125" s="79" t="s">
        <v>5560</v>
      </c>
      <c r="G125" s="28"/>
      <c r="H125" s="28" t="s">
        <v>5241</v>
      </c>
      <c r="I125" s="28" t="s">
        <v>5561</v>
      </c>
      <c r="J125" s="28"/>
      <c r="K125" s="28" t="s">
        <v>5241</v>
      </c>
      <c r="L125" s="28" t="s">
        <v>5077</v>
      </c>
      <c r="M125" s="143" t="s">
        <v>41</v>
      </c>
      <c r="N125" s="28"/>
      <c r="O125" s="101"/>
      <c r="P125" s="101"/>
      <c r="Q125" s="101"/>
      <c r="R125" s="101"/>
      <c r="S125" s="101"/>
      <c r="T125" s="101"/>
    </row>
    <row r="126" spans="1:31" ht="14.4">
      <c r="A126" s="28" t="s">
        <v>4816</v>
      </c>
      <c r="B126" s="28" t="s">
        <v>5214</v>
      </c>
      <c r="C126" s="28" t="s">
        <v>319</v>
      </c>
      <c r="D126" s="28" t="s">
        <v>796</v>
      </c>
      <c r="E126" s="28"/>
      <c r="F126" s="79" t="s">
        <v>5564</v>
      </c>
      <c r="G126" s="28"/>
      <c r="H126" s="28" t="s">
        <v>5227</v>
      </c>
      <c r="I126" s="28" t="s">
        <v>5229</v>
      </c>
      <c r="J126" s="28"/>
      <c r="K126" s="28" t="s">
        <v>5227</v>
      </c>
      <c r="L126" s="28" t="s">
        <v>2336</v>
      </c>
      <c r="M126" s="143" t="s">
        <v>41</v>
      </c>
      <c r="N126" s="28"/>
      <c r="O126" s="101"/>
      <c r="P126" s="101"/>
      <c r="Q126" s="101"/>
      <c r="R126" s="101"/>
      <c r="S126" s="101"/>
      <c r="T126" s="101"/>
    </row>
    <row r="127" spans="1:31" ht="14.4">
      <c r="A127" s="28" t="s">
        <v>4816</v>
      </c>
      <c r="B127" s="28" t="s">
        <v>5214</v>
      </c>
      <c r="C127" s="28" t="s">
        <v>275</v>
      </c>
      <c r="D127" s="28" t="s">
        <v>543</v>
      </c>
      <c r="E127" s="29" t="s">
        <v>2969</v>
      </c>
      <c r="F127" s="79" t="s">
        <v>5569</v>
      </c>
      <c r="G127" s="28"/>
      <c r="H127" s="28" t="s">
        <v>5241</v>
      </c>
      <c r="I127" s="28" t="s">
        <v>5561</v>
      </c>
      <c r="J127" s="28" t="s">
        <v>2863</v>
      </c>
      <c r="K127" s="28" t="s">
        <v>5241</v>
      </c>
      <c r="L127" s="28" t="s">
        <v>5077</v>
      </c>
      <c r="M127" s="143" t="s">
        <v>41</v>
      </c>
      <c r="N127" s="28"/>
      <c r="O127" s="106"/>
      <c r="P127" s="106"/>
      <c r="Q127" s="106"/>
      <c r="R127" s="106"/>
      <c r="S127" s="106"/>
      <c r="T127" s="106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</row>
    <row r="128" spans="1:31" ht="14.4">
      <c r="A128" s="28" t="s">
        <v>4816</v>
      </c>
      <c r="B128" s="28" t="s">
        <v>5254</v>
      </c>
      <c r="C128" s="28" t="s">
        <v>275</v>
      </c>
      <c r="D128" s="28" t="s">
        <v>543</v>
      </c>
      <c r="E128" s="29" t="s">
        <v>2969</v>
      </c>
      <c r="F128" s="79" t="s">
        <v>5575</v>
      </c>
      <c r="G128" s="28"/>
      <c r="H128" s="28" t="s">
        <v>5259</v>
      </c>
      <c r="I128" s="28" t="s">
        <v>3243</v>
      </c>
      <c r="J128" s="226">
        <v>44713</v>
      </c>
      <c r="K128" s="28" t="s">
        <v>5261</v>
      </c>
      <c r="L128" s="28" t="s">
        <v>5077</v>
      </c>
      <c r="M128" s="143" t="s">
        <v>41</v>
      </c>
      <c r="N128" s="28"/>
      <c r="O128" s="106"/>
      <c r="P128" s="106"/>
      <c r="Q128" s="106"/>
      <c r="R128" s="106"/>
      <c r="S128" s="106"/>
      <c r="T128" s="106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</row>
    <row r="129" spans="1:31" ht="14.4">
      <c r="A129" s="28" t="s">
        <v>4816</v>
      </c>
      <c r="B129" s="28" t="s">
        <v>5326</v>
      </c>
      <c r="C129" s="28" t="s">
        <v>275</v>
      </c>
      <c r="D129" s="28" t="s">
        <v>543</v>
      </c>
      <c r="E129" s="29" t="s">
        <v>2969</v>
      </c>
      <c r="F129" s="79" t="s">
        <v>5580</v>
      </c>
      <c r="G129" s="28"/>
      <c r="H129" s="28" t="s">
        <v>5362</v>
      </c>
      <c r="I129" s="28" t="s">
        <v>1610</v>
      </c>
      <c r="J129" s="28" t="s">
        <v>2491</v>
      </c>
      <c r="K129" s="28" t="s">
        <v>5362</v>
      </c>
      <c r="L129" s="28" t="s">
        <v>5180</v>
      </c>
      <c r="M129" s="143" t="s">
        <v>41</v>
      </c>
      <c r="N129" s="28"/>
      <c r="O129" s="106"/>
      <c r="P129" s="106"/>
      <c r="Q129" s="106"/>
      <c r="R129" s="106"/>
      <c r="S129" s="106"/>
      <c r="T129" s="106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</row>
    <row r="130" spans="1:31" ht="14.4">
      <c r="A130" s="155" t="s">
        <v>4816</v>
      </c>
      <c r="B130" s="155" t="s">
        <v>5392</v>
      </c>
      <c r="C130" s="155" t="s">
        <v>275</v>
      </c>
      <c r="D130" s="28" t="s">
        <v>543</v>
      </c>
      <c r="E130" s="225" t="s">
        <v>2969</v>
      </c>
      <c r="F130" s="233" t="s">
        <v>5581</v>
      </c>
      <c r="G130" s="155"/>
      <c r="H130" s="155" t="s">
        <v>5217</v>
      </c>
      <c r="I130" s="155" t="s">
        <v>5428</v>
      </c>
      <c r="J130" s="155" t="s">
        <v>5582</v>
      </c>
      <c r="K130" s="155" t="s">
        <v>5217</v>
      </c>
      <c r="L130" s="155" t="s">
        <v>5077</v>
      </c>
      <c r="M130" s="153" t="s">
        <v>41</v>
      </c>
      <c r="N130" s="155"/>
      <c r="O130" s="106"/>
      <c r="P130" s="106"/>
      <c r="Q130" s="106"/>
      <c r="R130" s="106"/>
      <c r="S130" s="106"/>
      <c r="T130" s="106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</row>
    <row r="131" spans="1:31" ht="14.4">
      <c r="A131" s="28" t="s">
        <v>4816</v>
      </c>
      <c r="B131" s="28" t="s">
        <v>5326</v>
      </c>
      <c r="C131" s="28" t="s">
        <v>319</v>
      </c>
      <c r="D131" s="28" t="s">
        <v>796</v>
      </c>
      <c r="E131" s="28"/>
      <c r="F131" s="79" t="s">
        <v>5583</v>
      </c>
      <c r="G131" s="28"/>
      <c r="H131" s="28" t="s">
        <v>5584</v>
      </c>
      <c r="I131" s="28" t="s">
        <v>887</v>
      </c>
      <c r="J131" s="28"/>
      <c r="K131" s="28" t="s">
        <v>5584</v>
      </c>
      <c r="L131" s="28" t="s">
        <v>2996</v>
      </c>
      <c r="M131" s="143" t="s">
        <v>41</v>
      </c>
      <c r="N131" s="28"/>
      <c r="O131" s="101"/>
      <c r="P131" s="101"/>
      <c r="Q131" s="101"/>
      <c r="R131" s="101"/>
      <c r="S131" s="101"/>
      <c r="T131" s="101"/>
    </row>
    <row r="132" spans="1:31" ht="14.4">
      <c r="A132" s="155" t="s">
        <v>4816</v>
      </c>
      <c r="B132" s="28" t="s">
        <v>5326</v>
      </c>
      <c r="C132" s="155" t="s">
        <v>319</v>
      </c>
      <c r="D132" s="28" t="s">
        <v>796</v>
      </c>
      <c r="E132" s="155"/>
      <c r="F132" s="79" t="s">
        <v>5585</v>
      </c>
      <c r="G132" s="155"/>
      <c r="H132" s="155" t="s">
        <v>5586</v>
      </c>
      <c r="I132" s="155" t="s">
        <v>887</v>
      </c>
      <c r="J132" s="155"/>
      <c r="K132" s="155" t="s">
        <v>5586</v>
      </c>
      <c r="L132" s="155" t="s">
        <v>2996</v>
      </c>
      <c r="M132" s="143" t="s">
        <v>41</v>
      </c>
      <c r="N132" s="155"/>
      <c r="O132" s="101"/>
      <c r="P132" s="101"/>
      <c r="Q132" s="101"/>
      <c r="R132" s="101"/>
      <c r="S132" s="101"/>
      <c r="T132" s="101"/>
    </row>
    <row r="133" spans="1:31" ht="14.4">
      <c r="A133" s="155" t="s">
        <v>4816</v>
      </c>
      <c r="B133" s="28" t="s">
        <v>49</v>
      </c>
      <c r="C133" s="155" t="s">
        <v>319</v>
      </c>
      <c r="D133" s="28" t="s">
        <v>796</v>
      </c>
      <c r="E133" s="28"/>
      <c r="F133" s="79" t="s">
        <v>5587</v>
      </c>
      <c r="G133" s="28"/>
      <c r="H133" s="28"/>
      <c r="I133" s="28"/>
      <c r="J133" s="28"/>
      <c r="K133" s="28"/>
      <c r="L133" s="28"/>
      <c r="M133" s="28"/>
      <c r="N133" s="28"/>
      <c r="O133" s="101"/>
      <c r="P133" s="101"/>
      <c r="Q133" s="101"/>
      <c r="R133" s="101"/>
      <c r="S133" s="101"/>
      <c r="T133" s="101"/>
    </row>
    <row r="134" spans="1:31" ht="14.4">
      <c r="A134" s="155" t="s">
        <v>4816</v>
      </c>
      <c r="B134" s="28" t="s">
        <v>49</v>
      </c>
      <c r="C134" s="155" t="s">
        <v>319</v>
      </c>
      <c r="D134" s="28" t="s">
        <v>796</v>
      </c>
      <c r="E134" s="28"/>
      <c r="F134" s="79" t="s">
        <v>5588</v>
      </c>
      <c r="G134" s="28"/>
      <c r="H134" s="28"/>
      <c r="I134" s="28"/>
      <c r="J134" s="28"/>
      <c r="K134" s="28"/>
      <c r="L134" s="28"/>
      <c r="M134" s="28"/>
      <c r="N134" s="28"/>
      <c r="O134" s="101"/>
      <c r="P134" s="101"/>
      <c r="Q134" s="101"/>
      <c r="R134" s="101"/>
      <c r="S134" s="101"/>
      <c r="T134" s="101"/>
    </row>
    <row r="135" spans="1:31" ht="14.4">
      <c r="A135" s="155" t="s">
        <v>4816</v>
      </c>
      <c r="B135" s="28" t="s">
        <v>49</v>
      </c>
      <c r="C135" s="155" t="s">
        <v>319</v>
      </c>
      <c r="D135" s="28" t="s">
        <v>796</v>
      </c>
      <c r="E135" s="28"/>
      <c r="F135" s="79" t="s">
        <v>5589</v>
      </c>
      <c r="G135" s="28"/>
      <c r="H135" s="28"/>
      <c r="I135" s="28"/>
      <c r="J135" s="28"/>
      <c r="K135" s="28"/>
      <c r="L135" s="28"/>
      <c r="M135" s="28"/>
      <c r="N135" s="28"/>
      <c r="O135" s="101"/>
      <c r="P135" s="101"/>
      <c r="Q135" s="101"/>
      <c r="R135" s="101"/>
      <c r="S135" s="101"/>
      <c r="T135" s="101"/>
    </row>
    <row r="136" spans="1:31" ht="14.4">
      <c r="A136" s="155" t="s">
        <v>4816</v>
      </c>
      <c r="B136" s="28" t="s">
        <v>49</v>
      </c>
      <c r="C136" s="155" t="s">
        <v>319</v>
      </c>
      <c r="D136" s="28" t="s">
        <v>796</v>
      </c>
      <c r="E136" s="28"/>
      <c r="F136" s="79" t="s">
        <v>5590</v>
      </c>
      <c r="G136" s="28"/>
      <c r="H136" s="28"/>
      <c r="I136" s="28"/>
      <c r="J136" s="28"/>
      <c r="K136" s="28"/>
      <c r="L136" s="28"/>
      <c r="M136" s="28"/>
      <c r="N136" s="28"/>
      <c r="O136" s="101"/>
      <c r="P136" s="101"/>
      <c r="Q136" s="101"/>
      <c r="R136" s="101"/>
      <c r="S136" s="101"/>
      <c r="T136" s="101"/>
    </row>
    <row r="137" spans="1:31" ht="14.4">
      <c r="A137" s="155" t="s">
        <v>4816</v>
      </c>
      <c r="B137" s="28" t="s">
        <v>49</v>
      </c>
      <c r="C137" s="155" t="s">
        <v>319</v>
      </c>
      <c r="D137" s="28" t="s">
        <v>796</v>
      </c>
      <c r="E137" s="28"/>
      <c r="F137" s="79" t="s">
        <v>5591</v>
      </c>
      <c r="G137" s="28"/>
      <c r="H137" s="28"/>
      <c r="I137" s="28"/>
      <c r="J137" s="28"/>
      <c r="K137" s="28"/>
      <c r="L137" s="28"/>
      <c r="M137" s="28"/>
      <c r="N137" s="28"/>
      <c r="O137" s="101"/>
      <c r="P137" s="101"/>
      <c r="Q137" s="101"/>
      <c r="R137" s="101"/>
      <c r="S137" s="101"/>
      <c r="T137" s="101"/>
    </row>
    <row r="138" spans="1:31" ht="14.4">
      <c r="A138" s="155" t="s">
        <v>4816</v>
      </c>
      <c r="B138" s="28" t="s">
        <v>49</v>
      </c>
      <c r="C138" s="155" t="s">
        <v>319</v>
      </c>
      <c r="D138" s="28" t="s">
        <v>796</v>
      </c>
      <c r="E138" s="28"/>
      <c r="F138" s="79" t="s">
        <v>5592</v>
      </c>
      <c r="G138" s="28"/>
      <c r="H138" s="28"/>
      <c r="I138" s="28"/>
      <c r="J138" s="28"/>
      <c r="K138" s="28"/>
      <c r="L138" s="28"/>
      <c r="M138" s="28"/>
      <c r="N138" s="28"/>
      <c r="O138" s="101"/>
      <c r="P138" s="101"/>
      <c r="Q138" s="101"/>
      <c r="R138" s="101"/>
      <c r="S138" s="101"/>
      <c r="T138" s="101"/>
    </row>
    <row r="139" spans="1:31" ht="14.4">
      <c r="A139" s="155" t="s">
        <v>4816</v>
      </c>
      <c r="B139" s="28" t="s">
        <v>49</v>
      </c>
      <c r="C139" s="155" t="s">
        <v>319</v>
      </c>
      <c r="D139" s="28" t="s">
        <v>796</v>
      </c>
      <c r="E139" s="28"/>
      <c r="F139" s="79" t="s">
        <v>5593</v>
      </c>
      <c r="G139" s="28"/>
      <c r="H139" s="28"/>
      <c r="I139" s="28"/>
      <c r="J139" s="28"/>
      <c r="K139" s="28"/>
      <c r="L139" s="28"/>
      <c r="M139" s="28"/>
      <c r="N139" s="28"/>
      <c r="O139" s="101"/>
      <c r="P139" s="101"/>
      <c r="Q139" s="101"/>
      <c r="R139" s="101"/>
      <c r="S139" s="101"/>
      <c r="T139" s="101"/>
    </row>
    <row r="140" spans="1:31" ht="14.4">
      <c r="A140" s="155" t="s">
        <v>4816</v>
      </c>
      <c r="B140" s="28" t="s">
        <v>49</v>
      </c>
      <c r="C140" s="155" t="s">
        <v>319</v>
      </c>
      <c r="D140" s="28" t="s">
        <v>796</v>
      </c>
      <c r="E140" s="28"/>
      <c r="F140" s="79" t="s">
        <v>5594</v>
      </c>
      <c r="G140" s="28"/>
      <c r="H140" s="28"/>
      <c r="I140" s="28"/>
      <c r="J140" s="28"/>
      <c r="K140" s="28"/>
      <c r="L140" s="28"/>
      <c r="M140" s="28"/>
      <c r="N140" s="28"/>
      <c r="O140" s="101"/>
      <c r="P140" s="101"/>
      <c r="Q140" s="101"/>
      <c r="R140" s="101"/>
      <c r="S140" s="101"/>
      <c r="T140" s="101"/>
    </row>
    <row r="141" spans="1:31" ht="14.4">
      <c r="A141" s="155" t="s">
        <v>4816</v>
      </c>
      <c r="B141" s="28" t="s">
        <v>49</v>
      </c>
      <c r="C141" s="155" t="s">
        <v>319</v>
      </c>
      <c r="D141" s="28" t="s">
        <v>796</v>
      </c>
      <c r="E141" s="28"/>
      <c r="F141" s="79" t="s">
        <v>5595</v>
      </c>
      <c r="G141" s="28"/>
      <c r="H141" s="28"/>
      <c r="I141" s="28"/>
      <c r="J141" s="28"/>
      <c r="K141" s="28"/>
      <c r="L141" s="28"/>
      <c r="M141" s="28"/>
      <c r="N141" s="28"/>
      <c r="O141" s="101"/>
      <c r="P141" s="101"/>
      <c r="Q141" s="101"/>
      <c r="R141" s="101"/>
      <c r="S141" s="101"/>
      <c r="T141" s="101"/>
    </row>
    <row r="142" spans="1:31" ht="14.4">
      <c r="A142" s="155" t="s">
        <v>4816</v>
      </c>
      <c r="B142" s="28" t="s">
        <v>49</v>
      </c>
      <c r="C142" s="155" t="s">
        <v>319</v>
      </c>
      <c r="D142" s="28" t="s">
        <v>796</v>
      </c>
      <c r="E142" s="28"/>
      <c r="F142" s="79" t="s">
        <v>5596</v>
      </c>
      <c r="G142" s="28"/>
      <c r="H142" s="28"/>
      <c r="I142" s="28"/>
      <c r="J142" s="28"/>
      <c r="K142" s="28"/>
      <c r="L142" s="28"/>
      <c r="M142" s="28"/>
      <c r="N142" s="28"/>
      <c r="O142" s="101"/>
      <c r="P142" s="101"/>
      <c r="Q142" s="101"/>
      <c r="R142" s="101"/>
      <c r="S142" s="101"/>
      <c r="T142" s="101"/>
    </row>
    <row r="143" spans="1:31" ht="14.4">
      <c r="A143" s="155" t="s">
        <v>4816</v>
      </c>
      <c r="B143" s="28" t="s">
        <v>49</v>
      </c>
      <c r="C143" s="155" t="s">
        <v>319</v>
      </c>
      <c r="D143" s="28" t="s">
        <v>796</v>
      </c>
      <c r="E143" s="28"/>
      <c r="F143" s="79" t="s">
        <v>5597</v>
      </c>
      <c r="G143" s="28"/>
      <c r="H143" s="28"/>
      <c r="I143" s="28"/>
      <c r="J143" s="28"/>
      <c r="K143" s="28"/>
      <c r="L143" s="28"/>
      <c r="M143" s="28"/>
      <c r="N143" s="28"/>
      <c r="S143" s="126"/>
      <c r="T143" s="126"/>
    </row>
    <row r="144" spans="1:31" ht="14.4">
      <c r="A144" s="155" t="s">
        <v>4816</v>
      </c>
      <c r="B144" s="28" t="s">
        <v>49</v>
      </c>
      <c r="C144" s="155" t="s">
        <v>319</v>
      </c>
      <c r="D144" s="28" t="s">
        <v>796</v>
      </c>
      <c r="E144" s="28"/>
      <c r="F144" s="79" t="s">
        <v>5598</v>
      </c>
      <c r="G144" s="28"/>
      <c r="H144" s="28"/>
      <c r="I144" s="28"/>
      <c r="J144" s="28"/>
      <c r="K144" s="28"/>
      <c r="L144" s="28"/>
      <c r="M144" s="28"/>
      <c r="N144" s="28"/>
      <c r="S144" s="234"/>
      <c r="T144" s="119"/>
    </row>
    <row r="145" spans="1:20" ht="14.4">
      <c r="A145" s="155" t="s">
        <v>4816</v>
      </c>
      <c r="B145" s="28" t="s">
        <v>49</v>
      </c>
      <c r="C145" s="155" t="s">
        <v>319</v>
      </c>
      <c r="D145" s="28" t="s">
        <v>796</v>
      </c>
      <c r="E145" s="28"/>
      <c r="F145" s="79" t="s">
        <v>5599</v>
      </c>
      <c r="G145" s="28"/>
      <c r="H145" s="28"/>
      <c r="I145" s="28"/>
      <c r="J145" s="28"/>
      <c r="K145" s="28"/>
      <c r="L145" s="28"/>
      <c r="M145" s="28"/>
      <c r="N145" s="28"/>
      <c r="S145" s="234"/>
      <c r="T145" s="119"/>
    </row>
    <row r="146" spans="1:20" ht="14.4">
      <c r="A146" s="155" t="s">
        <v>4816</v>
      </c>
      <c r="B146" s="28" t="s">
        <v>5392</v>
      </c>
      <c r="C146" s="28" t="s">
        <v>319</v>
      </c>
      <c r="D146" s="28" t="s">
        <v>796</v>
      </c>
      <c r="E146" s="155"/>
      <c r="F146" s="233" t="s">
        <v>5600</v>
      </c>
      <c r="G146" s="155"/>
      <c r="H146" s="155" t="s">
        <v>5410</v>
      </c>
      <c r="I146" s="155" t="s">
        <v>5412</v>
      </c>
      <c r="J146" s="155"/>
      <c r="K146" s="155" t="s">
        <v>5410</v>
      </c>
      <c r="L146" s="155" t="s">
        <v>5333</v>
      </c>
      <c r="M146" s="143" t="s">
        <v>41</v>
      </c>
      <c r="N146" s="155"/>
      <c r="S146" s="234"/>
      <c r="T146" s="119"/>
    </row>
    <row r="147" spans="1:20" ht="14.4">
      <c r="A147" s="28" t="s">
        <v>4816</v>
      </c>
      <c r="B147" s="28" t="s">
        <v>5392</v>
      </c>
      <c r="C147" s="28" t="s">
        <v>319</v>
      </c>
      <c r="D147" s="28" t="s">
        <v>796</v>
      </c>
      <c r="E147" s="28"/>
      <c r="F147" s="79" t="s">
        <v>5601</v>
      </c>
      <c r="G147" s="28"/>
      <c r="H147" s="28" t="s">
        <v>5602</v>
      </c>
      <c r="I147" s="28" t="s">
        <v>5343</v>
      </c>
      <c r="J147" s="28"/>
      <c r="K147" s="28" t="s">
        <v>5602</v>
      </c>
      <c r="L147" s="28" t="s">
        <v>2336</v>
      </c>
      <c r="M147" s="143" t="s">
        <v>41</v>
      </c>
      <c r="N147" s="28"/>
      <c r="S147" s="101"/>
      <c r="T147" s="101"/>
    </row>
    <row r="148" spans="1:20" ht="43.2">
      <c r="A148" s="28" t="s">
        <v>4816</v>
      </c>
      <c r="B148" s="28" t="s">
        <v>49</v>
      </c>
      <c r="C148" s="28" t="s">
        <v>20</v>
      </c>
      <c r="D148" s="28" t="s">
        <v>1305</v>
      </c>
      <c r="E148" s="28" t="s">
        <v>54</v>
      </c>
      <c r="F148" s="28" t="s">
        <v>5603</v>
      </c>
      <c r="G148" s="235" t="s">
        <v>5604</v>
      </c>
      <c r="H148" s="28" t="s">
        <v>4873</v>
      </c>
      <c r="I148" s="28" t="s">
        <v>335</v>
      </c>
      <c r="J148" s="28" t="s">
        <v>5605</v>
      </c>
      <c r="K148" s="28" t="s">
        <v>4873</v>
      </c>
      <c r="L148" s="28" t="s">
        <v>4480</v>
      </c>
      <c r="M148" s="143" t="s">
        <v>41</v>
      </c>
      <c r="N148" s="28"/>
      <c r="O148" s="101"/>
      <c r="P148" s="101"/>
      <c r="Q148" s="101"/>
      <c r="R148" s="101"/>
      <c r="S148" s="101"/>
      <c r="T148" s="101"/>
    </row>
    <row r="149" spans="1:20" ht="14.4">
      <c r="A149" s="28" t="s">
        <v>4816</v>
      </c>
      <c r="B149" s="28" t="s">
        <v>49</v>
      </c>
      <c r="C149" s="28" t="s">
        <v>20</v>
      </c>
      <c r="D149" s="28" t="s">
        <v>1305</v>
      </c>
      <c r="E149" s="28" t="s">
        <v>54</v>
      </c>
      <c r="F149" s="28" t="s">
        <v>5606</v>
      </c>
      <c r="G149" s="28" t="s">
        <v>5607</v>
      </c>
      <c r="H149" s="28" t="s">
        <v>5006</v>
      </c>
      <c r="I149" s="28" t="s">
        <v>5007</v>
      </c>
      <c r="J149" s="28" t="s">
        <v>5608</v>
      </c>
      <c r="K149" s="28" t="s">
        <v>5006</v>
      </c>
      <c r="L149" s="28" t="s">
        <v>989</v>
      </c>
      <c r="M149" s="143" t="s">
        <v>41</v>
      </c>
      <c r="N149" s="28"/>
      <c r="O149" s="101"/>
      <c r="P149" s="101"/>
      <c r="Q149" s="101"/>
      <c r="R149" s="101"/>
      <c r="S149" s="101"/>
      <c r="T149" s="101"/>
    </row>
    <row r="150" spans="1:20" ht="14.4">
      <c r="A150" s="28" t="s">
        <v>4816</v>
      </c>
      <c r="B150" s="28" t="s">
        <v>5069</v>
      </c>
      <c r="C150" s="28" t="s">
        <v>20</v>
      </c>
      <c r="D150" s="28" t="s">
        <v>1305</v>
      </c>
      <c r="E150" s="28" t="s">
        <v>54</v>
      </c>
      <c r="F150" s="28" t="s">
        <v>5609</v>
      </c>
      <c r="G150" s="28" t="s">
        <v>5610</v>
      </c>
      <c r="H150" s="28" t="s">
        <v>5179</v>
      </c>
      <c r="I150" s="28" t="s">
        <v>933</v>
      </c>
      <c r="J150" s="28" t="s">
        <v>5611</v>
      </c>
      <c r="K150" s="28" t="s">
        <v>5179</v>
      </c>
      <c r="L150" s="28" t="s">
        <v>5180</v>
      </c>
      <c r="M150" s="143" t="s">
        <v>41</v>
      </c>
      <c r="N150" s="28"/>
      <c r="O150" s="101"/>
      <c r="P150" s="101"/>
      <c r="Q150" s="101"/>
      <c r="R150" s="101"/>
      <c r="S150" s="101"/>
      <c r="T150" s="101"/>
    </row>
    <row r="151" spans="1:20" ht="14.4">
      <c r="A151" s="28" t="s">
        <v>4816</v>
      </c>
      <c r="B151" s="28" t="s">
        <v>5214</v>
      </c>
      <c r="C151" s="28" t="s">
        <v>20</v>
      </c>
      <c r="D151" s="28" t="s">
        <v>1305</v>
      </c>
      <c r="E151" s="28" t="s">
        <v>54</v>
      </c>
      <c r="F151" s="28" t="s">
        <v>5612</v>
      </c>
      <c r="G151" s="28" t="s">
        <v>5613</v>
      </c>
      <c r="H151" s="28" t="s">
        <v>5217</v>
      </c>
      <c r="I151" s="28" t="s">
        <v>933</v>
      </c>
      <c r="J151" s="28" t="s">
        <v>328</v>
      </c>
      <c r="K151" s="28" t="s">
        <v>5614</v>
      </c>
      <c r="L151" s="28" t="s">
        <v>5180</v>
      </c>
      <c r="M151" s="143" t="s">
        <v>41</v>
      </c>
      <c r="N151" s="28" t="s">
        <v>5615</v>
      </c>
      <c r="O151" s="101"/>
      <c r="P151" s="101"/>
      <c r="Q151" s="101"/>
      <c r="R151" s="101"/>
      <c r="S151" s="101"/>
      <c r="T151" s="101"/>
    </row>
    <row r="152" spans="1:20" ht="14.4">
      <c r="A152" s="28" t="s">
        <v>4816</v>
      </c>
      <c r="B152" s="28" t="s">
        <v>5254</v>
      </c>
      <c r="C152" s="28" t="s">
        <v>20</v>
      </c>
      <c r="D152" s="28" t="s">
        <v>1305</v>
      </c>
      <c r="E152" s="28" t="s">
        <v>54</v>
      </c>
      <c r="F152" s="28" t="s">
        <v>5616</v>
      </c>
      <c r="G152" s="28" t="s">
        <v>5617</v>
      </c>
      <c r="H152" s="28" t="s">
        <v>5618</v>
      </c>
      <c r="I152" s="28" t="s">
        <v>1610</v>
      </c>
      <c r="J152" s="28" t="s">
        <v>5619</v>
      </c>
      <c r="K152" s="28" t="s">
        <v>5618</v>
      </c>
      <c r="L152" s="28" t="s">
        <v>989</v>
      </c>
      <c r="M152" s="143" t="s">
        <v>41</v>
      </c>
      <c r="N152" s="28"/>
      <c r="O152" s="101"/>
      <c r="P152" s="101"/>
      <c r="Q152" s="101"/>
      <c r="R152" s="101"/>
      <c r="S152" s="101"/>
      <c r="T152" s="101"/>
    </row>
    <row r="153" spans="1:20" ht="14.4">
      <c r="A153" s="28" t="s">
        <v>4816</v>
      </c>
      <c r="B153" s="28" t="s">
        <v>5326</v>
      </c>
      <c r="C153" s="28" t="s">
        <v>20</v>
      </c>
      <c r="D153" s="28" t="s">
        <v>1305</v>
      </c>
      <c r="E153" s="28" t="s">
        <v>54</v>
      </c>
      <c r="F153" s="28" t="s">
        <v>5620</v>
      </c>
      <c r="G153" s="28" t="s">
        <v>5621</v>
      </c>
      <c r="H153" s="28" t="s">
        <v>5622</v>
      </c>
      <c r="I153" s="28" t="s">
        <v>5623</v>
      </c>
      <c r="J153" s="28" t="s">
        <v>5624</v>
      </c>
      <c r="K153" s="28" t="s">
        <v>5622</v>
      </c>
      <c r="L153" s="28" t="s">
        <v>5180</v>
      </c>
      <c r="M153" s="143" t="s">
        <v>41</v>
      </c>
      <c r="N153" s="28" t="s">
        <v>5625</v>
      </c>
      <c r="O153" s="101"/>
      <c r="P153" s="101"/>
      <c r="Q153" s="101"/>
      <c r="R153" s="101"/>
      <c r="S153" s="101"/>
      <c r="T153" s="101"/>
    </row>
    <row r="154" spans="1:20" ht="14.4">
      <c r="A154" s="28" t="s">
        <v>4816</v>
      </c>
      <c r="B154" s="28" t="s">
        <v>5392</v>
      </c>
      <c r="C154" s="28" t="s">
        <v>20</v>
      </c>
      <c r="D154" s="28" t="s">
        <v>1305</v>
      </c>
      <c r="E154" s="28" t="s">
        <v>54</v>
      </c>
      <c r="F154" s="28" t="s">
        <v>5626</v>
      </c>
      <c r="G154" s="28" t="s">
        <v>5627</v>
      </c>
      <c r="H154" s="28" t="s">
        <v>5410</v>
      </c>
      <c r="I154" s="28" t="s">
        <v>5412</v>
      </c>
      <c r="J154" s="28" t="s">
        <v>5628</v>
      </c>
      <c r="K154" s="28" t="s">
        <v>5629</v>
      </c>
      <c r="L154" s="28" t="s">
        <v>989</v>
      </c>
      <c r="M154" s="143" t="s">
        <v>41</v>
      </c>
      <c r="N154" s="28" t="s">
        <v>5625</v>
      </c>
      <c r="O154" s="101"/>
      <c r="P154" s="101"/>
      <c r="Q154" s="101"/>
      <c r="R154" s="101"/>
      <c r="S154" s="101"/>
      <c r="T154" s="101"/>
    </row>
    <row r="155" spans="1:20" ht="14.4">
      <c r="A155" s="28" t="s">
        <v>4816</v>
      </c>
      <c r="B155" s="28" t="s">
        <v>5069</v>
      </c>
      <c r="C155" s="107" t="s">
        <v>260</v>
      </c>
      <c r="D155" s="107" t="s">
        <v>1337</v>
      </c>
      <c r="E155" s="28" t="s">
        <v>54</v>
      </c>
      <c r="F155" s="28" t="s">
        <v>5630</v>
      </c>
      <c r="G155" s="28" t="s">
        <v>1342</v>
      </c>
      <c r="H155" s="28" t="s">
        <v>5147</v>
      </c>
      <c r="I155" s="28" t="s">
        <v>5631</v>
      </c>
      <c r="J155" s="28" t="s">
        <v>5632</v>
      </c>
      <c r="K155" s="28" t="s">
        <v>5633</v>
      </c>
      <c r="L155" s="28" t="s">
        <v>989</v>
      </c>
      <c r="M155" s="143" t="s">
        <v>41</v>
      </c>
      <c r="N155" s="28"/>
      <c r="O155" s="101"/>
      <c r="P155" s="101"/>
      <c r="Q155" s="101"/>
      <c r="R155" s="101"/>
      <c r="S155" s="101"/>
      <c r="T155" s="101"/>
    </row>
    <row r="156" spans="1:20" ht="14.4">
      <c r="A156" s="28" t="s">
        <v>4816</v>
      </c>
      <c r="B156" s="28" t="s">
        <v>5069</v>
      </c>
      <c r="C156" s="107" t="s">
        <v>260</v>
      </c>
      <c r="D156" s="107" t="s">
        <v>1337</v>
      </c>
      <c r="E156" s="28" t="s">
        <v>54</v>
      </c>
      <c r="F156" s="28" t="s">
        <v>5634</v>
      </c>
      <c r="G156" s="28" t="s">
        <v>1342</v>
      </c>
      <c r="H156" s="28" t="s">
        <v>5135</v>
      </c>
      <c r="I156" s="28" t="s">
        <v>5137</v>
      </c>
      <c r="J156" s="28" t="s">
        <v>2955</v>
      </c>
      <c r="K156" s="28" t="s">
        <v>5635</v>
      </c>
      <c r="L156" s="28" t="s">
        <v>989</v>
      </c>
      <c r="M156" s="143" t="s">
        <v>41</v>
      </c>
      <c r="N156" s="28"/>
      <c r="O156" s="101"/>
      <c r="P156" s="101"/>
      <c r="Q156" s="101"/>
      <c r="R156" s="101"/>
      <c r="S156" s="101"/>
      <c r="T156" s="101"/>
    </row>
    <row r="157" spans="1:20" ht="14.4">
      <c r="A157" s="28" t="s">
        <v>4816</v>
      </c>
      <c r="B157" s="28" t="s">
        <v>5069</v>
      </c>
      <c r="C157" s="107" t="s">
        <v>260</v>
      </c>
      <c r="D157" s="107" t="s">
        <v>1337</v>
      </c>
      <c r="E157" s="28" t="s">
        <v>54</v>
      </c>
      <c r="F157" s="236" t="s">
        <v>5636</v>
      </c>
      <c r="G157" s="28" t="s">
        <v>1342</v>
      </c>
      <c r="H157" s="28" t="s">
        <v>5637</v>
      </c>
      <c r="I157" s="28" t="s">
        <v>5638</v>
      </c>
      <c r="J157" s="28" t="s">
        <v>5639</v>
      </c>
      <c r="K157" s="28" t="s">
        <v>5640</v>
      </c>
      <c r="L157" s="28" t="s">
        <v>989</v>
      </c>
      <c r="M157" s="143" t="s">
        <v>41</v>
      </c>
      <c r="N157" s="28"/>
      <c r="O157" s="101"/>
      <c r="P157" s="101"/>
      <c r="Q157" s="101"/>
      <c r="R157" s="101"/>
      <c r="S157" s="101"/>
      <c r="T157" s="101"/>
    </row>
    <row r="158" spans="1:20" ht="14.4">
      <c r="A158" s="28" t="s">
        <v>4816</v>
      </c>
      <c r="B158" s="28" t="s">
        <v>5069</v>
      </c>
      <c r="C158" s="107" t="s">
        <v>260</v>
      </c>
      <c r="D158" s="107" t="s">
        <v>1337</v>
      </c>
      <c r="E158" s="28" t="s">
        <v>54</v>
      </c>
      <c r="F158" s="28" t="s">
        <v>5641</v>
      </c>
      <c r="G158" s="28" t="s">
        <v>1342</v>
      </c>
      <c r="H158" s="28" t="s">
        <v>5172</v>
      </c>
      <c r="I158" s="28" t="s">
        <v>5173</v>
      </c>
      <c r="J158" s="28" t="s">
        <v>3633</v>
      </c>
      <c r="K158" s="28" t="s">
        <v>5635</v>
      </c>
      <c r="L158" s="28" t="s">
        <v>5077</v>
      </c>
      <c r="M158" s="143" t="s">
        <v>41</v>
      </c>
      <c r="N158" s="28"/>
      <c r="O158" s="101"/>
      <c r="P158" s="101"/>
      <c r="Q158" s="101"/>
      <c r="R158" s="101"/>
      <c r="S158" s="101"/>
      <c r="T158" s="101"/>
    </row>
    <row r="159" spans="1:20" ht="14.4">
      <c r="A159" s="28" t="s">
        <v>4816</v>
      </c>
      <c r="B159" s="28" t="s">
        <v>5069</v>
      </c>
      <c r="C159" s="107" t="s">
        <v>260</v>
      </c>
      <c r="D159" s="107" t="s">
        <v>1337</v>
      </c>
      <c r="E159" s="28" t="s">
        <v>54</v>
      </c>
      <c r="F159" s="28" t="s">
        <v>5642</v>
      </c>
      <c r="G159" s="28" t="s">
        <v>1342</v>
      </c>
      <c r="H159" s="28" t="s">
        <v>5172</v>
      </c>
      <c r="I159" s="28" t="s">
        <v>5173</v>
      </c>
      <c r="J159" s="28" t="s">
        <v>3641</v>
      </c>
      <c r="K159" s="28" t="s">
        <v>5635</v>
      </c>
      <c r="L159" s="28" t="s">
        <v>5077</v>
      </c>
      <c r="M159" s="143" t="s">
        <v>41</v>
      </c>
      <c r="N159" s="28"/>
      <c r="O159" s="101"/>
      <c r="P159" s="101"/>
      <c r="Q159" s="101"/>
      <c r="R159" s="101"/>
      <c r="S159" s="101"/>
      <c r="T159" s="101"/>
    </row>
    <row r="160" spans="1:20" ht="14.4">
      <c r="A160" s="28" t="s">
        <v>4816</v>
      </c>
      <c r="B160" s="28" t="s">
        <v>5069</v>
      </c>
      <c r="C160" s="107" t="s">
        <v>260</v>
      </c>
      <c r="D160" s="107" t="s">
        <v>1337</v>
      </c>
      <c r="E160" s="28" t="s">
        <v>54</v>
      </c>
      <c r="F160" s="28" t="s">
        <v>5643</v>
      </c>
      <c r="G160" s="28" t="s">
        <v>1342</v>
      </c>
      <c r="H160" s="28" t="s">
        <v>5165</v>
      </c>
      <c r="I160" s="28" t="s">
        <v>5166</v>
      </c>
      <c r="J160" s="28" t="s">
        <v>3013</v>
      </c>
      <c r="K160" s="28" t="s">
        <v>5635</v>
      </c>
      <c r="L160" s="28" t="s">
        <v>989</v>
      </c>
      <c r="M160" s="143" t="s">
        <v>41</v>
      </c>
      <c r="N160" s="28"/>
      <c r="O160" s="101"/>
      <c r="P160" s="101"/>
      <c r="Q160" s="101"/>
      <c r="R160" s="101"/>
      <c r="S160" s="101"/>
      <c r="T160" s="101"/>
    </row>
    <row r="161" spans="1:20" ht="14.4">
      <c r="A161" s="28" t="s">
        <v>4816</v>
      </c>
      <c r="B161" s="28" t="s">
        <v>5069</v>
      </c>
      <c r="C161" s="107" t="s">
        <v>260</v>
      </c>
      <c r="D161" s="107" t="s">
        <v>1337</v>
      </c>
      <c r="E161" s="28" t="s">
        <v>54</v>
      </c>
      <c r="F161" s="28" t="s">
        <v>5644</v>
      </c>
      <c r="G161" s="28" t="s">
        <v>1342</v>
      </c>
      <c r="H161" s="28" t="s">
        <v>5165</v>
      </c>
      <c r="I161" s="28" t="s">
        <v>5166</v>
      </c>
      <c r="J161" s="28" t="s">
        <v>3092</v>
      </c>
      <c r="K161" s="28" t="s">
        <v>5635</v>
      </c>
      <c r="L161" s="28" t="s">
        <v>989</v>
      </c>
      <c r="M161" s="143" t="s">
        <v>41</v>
      </c>
      <c r="N161" s="28"/>
      <c r="O161" s="101"/>
      <c r="P161" s="101"/>
      <c r="Q161" s="101"/>
      <c r="R161" s="101"/>
      <c r="S161" s="101"/>
      <c r="T161" s="101"/>
    </row>
    <row r="162" spans="1:20" ht="14.4">
      <c r="A162" s="28" t="s">
        <v>4816</v>
      </c>
      <c r="B162" s="28" t="s">
        <v>5069</v>
      </c>
      <c r="C162" s="107" t="s">
        <v>260</v>
      </c>
      <c r="D162" s="107" t="s">
        <v>1337</v>
      </c>
      <c r="E162" s="28" t="s">
        <v>54</v>
      </c>
      <c r="F162" s="28" t="s">
        <v>5645</v>
      </c>
      <c r="G162" s="28" t="s">
        <v>1342</v>
      </c>
      <c r="H162" s="28" t="s">
        <v>5209</v>
      </c>
      <c r="I162" s="28" t="s">
        <v>5073</v>
      </c>
      <c r="J162" s="28" t="s">
        <v>3912</v>
      </c>
      <c r="K162" s="28" t="s">
        <v>5646</v>
      </c>
      <c r="L162" s="28" t="s">
        <v>5077</v>
      </c>
      <c r="M162" s="143" t="s">
        <v>41</v>
      </c>
      <c r="N162" s="28"/>
      <c r="O162" s="101"/>
      <c r="P162" s="101"/>
      <c r="Q162" s="101"/>
      <c r="R162" s="101"/>
      <c r="S162" s="101"/>
      <c r="T162" s="101"/>
    </row>
    <row r="163" spans="1:20" ht="14.4">
      <c r="A163" s="28" t="s">
        <v>4816</v>
      </c>
      <c r="B163" s="28" t="s">
        <v>5069</v>
      </c>
      <c r="C163" s="107" t="s">
        <v>260</v>
      </c>
      <c r="D163" s="107" t="s">
        <v>1337</v>
      </c>
      <c r="E163" s="28" t="s">
        <v>54</v>
      </c>
      <c r="F163" s="28" t="s">
        <v>5647</v>
      </c>
      <c r="G163" s="28" t="s">
        <v>1342</v>
      </c>
      <c r="H163" s="28" t="s">
        <v>5110</v>
      </c>
      <c r="I163" s="28" t="s">
        <v>4663</v>
      </c>
      <c r="J163" s="28" t="s">
        <v>3939</v>
      </c>
      <c r="K163" s="28" t="s">
        <v>5648</v>
      </c>
      <c r="L163" s="28" t="s">
        <v>989</v>
      </c>
      <c r="M163" s="143" t="s">
        <v>41</v>
      </c>
      <c r="N163" s="28"/>
      <c r="O163" s="101"/>
      <c r="P163" s="101"/>
      <c r="Q163" s="101"/>
      <c r="R163" s="101"/>
      <c r="S163" s="101"/>
      <c r="T163" s="101"/>
    </row>
    <row r="164" spans="1:20" ht="14.4">
      <c r="A164" s="28" t="s">
        <v>4816</v>
      </c>
      <c r="B164" s="28" t="s">
        <v>5069</v>
      </c>
      <c r="C164" s="107" t="s">
        <v>260</v>
      </c>
      <c r="D164" s="107" t="s">
        <v>1337</v>
      </c>
      <c r="E164" s="28" t="s">
        <v>54</v>
      </c>
      <c r="F164" s="28" t="s">
        <v>5649</v>
      </c>
      <c r="G164" s="28" t="s">
        <v>1342</v>
      </c>
      <c r="H164" s="28" t="s">
        <v>5081</v>
      </c>
      <c r="I164" s="28" t="s">
        <v>5082</v>
      </c>
      <c r="J164" s="28" t="s">
        <v>3753</v>
      </c>
      <c r="K164" s="28" t="s">
        <v>5119</v>
      </c>
      <c r="L164" s="28" t="s">
        <v>5077</v>
      </c>
      <c r="M164" s="143" t="s">
        <v>41</v>
      </c>
      <c r="N164" s="28"/>
      <c r="O164" s="101"/>
      <c r="P164" s="101"/>
      <c r="Q164" s="101"/>
      <c r="R164" s="101"/>
      <c r="S164" s="101"/>
      <c r="T164" s="101"/>
    </row>
    <row r="165" spans="1:20" ht="14.4">
      <c r="A165" s="28" t="s">
        <v>4816</v>
      </c>
      <c r="B165" s="28" t="s">
        <v>5214</v>
      </c>
      <c r="C165" s="107" t="s">
        <v>260</v>
      </c>
      <c r="D165" s="107" t="s">
        <v>1337</v>
      </c>
      <c r="E165" s="28" t="s">
        <v>54</v>
      </c>
      <c r="F165" s="28" t="s">
        <v>5650</v>
      </c>
      <c r="G165" s="28" t="s">
        <v>5651</v>
      </c>
      <c r="H165" s="28" t="s">
        <v>5246</v>
      </c>
      <c r="I165" s="28" t="s">
        <v>2714</v>
      </c>
      <c r="J165" s="28" t="s">
        <v>5652</v>
      </c>
      <c r="K165" s="28" t="s">
        <v>5246</v>
      </c>
      <c r="L165" s="28" t="s">
        <v>5077</v>
      </c>
      <c r="M165" s="143" t="s">
        <v>41</v>
      </c>
      <c r="N165" s="28"/>
      <c r="O165" s="101"/>
      <c r="P165" s="101"/>
      <c r="Q165" s="101"/>
      <c r="R165" s="101"/>
      <c r="S165" s="101"/>
      <c r="T165" s="101"/>
    </row>
    <row r="166" spans="1:20" ht="14.4">
      <c r="A166" s="28" t="s">
        <v>4816</v>
      </c>
      <c r="B166" s="28" t="s">
        <v>5254</v>
      </c>
      <c r="C166" s="107" t="s">
        <v>260</v>
      </c>
      <c r="D166" s="107" t="s">
        <v>1305</v>
      </c>
      <c r="E166" s="28" t="s">
        <v>54</v>
      </c>
      <c r="F166" s="28" t="s">
        <v>5653</v>
      </c>
      <c r="G166" s="28"/>
      <c r="H166" s="28" t="s">
        <v>5654</v>
      </c>
      <c r="I166" s="28" t="s">
        <v>887</v>
      </c>
      <c r="J166" s="226">
        <v>45083</v>
      </c>
      <c r="K166" s="28" t="s">
        <v>5654</v>
      </c>
      <c r="L166" s="28" t="s">
        <v>5655</v>
      </c>
      <c r="M166" s="143" t="s">
        <v>41</v>
      </c>
      <c r="N166" s="28"/>
      <c r="O166" s="101"/>
      <c r="P166" s="101"/>
      <c r="Q166" s="101"/>
      <c r="R166" s="101"/>
      <c r="S166" s="101"/>
      <c r="T166" s="101"/>
    </row>
    <row r="167" spans="1:20" ht="14.4">
      <c r="A167" s="28" t="s">
        <v>4816</v>
      </c>
      <c r="B167" s="28" t="s">
        <v>5254</v>
      </c>
      <c r="C167" s="107" t="s">
        <v>260</v>
      </c>
      <c r="D167" s="107" t="s">
        <v>1305</v>
      </c>
      <c r="E167" s="28" t="s">
        <v>54</v>
      </c>
      <c r="F167" s="28" t="s">
        <v>5656</v>
      </c>
      <c r="G167" s="28"/>
      <c r="H167" s="28" t="s">
        <v>5657</v>
      </c>
      <c r="I167" s="28" t="s">
        <v>521</v>
      </c>
      <c r="J167" s="226">
        <v>44987</v>
      </c>
      <c r="K167" s="28" t="s">
        <v>5657</v>
      </c>
      <c r="L167" s="28" t="s">
        <v>5655</v>
      </c>
      <c r="M167" s="143" t="s">
        <v>41</v>
      </c>
      <c r="N167" s="28"/>
      <c r="O167" s="101"/>
      <c r="P167" s="101"/>
      <c r="Q167" s="101"/>
      <c r="R167" s="101"/>
      <c r="S167" s="101"/>
      <c r="T167" s="101"/>
    </row>
    <row r="168" spans="1:20" ht="14.4">
      <c r="A168" s="28" t="s">
        <v>4816</v>
      </c>
      <c r="B168" s="28" t="s">
        <v>5254</v>
      </c>
      <c r="C168" s="107" t="s">
        <v>260</v>
      </c>
      <c r="D168" s="107" t="s">
        <v>1305</v>
      </c>
      <c r="E168" s="28" t="s">
        <v>54</v>
      </c>
      <c r="F168" s="28" t="s">
        <v>5658</v>
      </c>
      <c r="G168" s="28"/>
      <c r="H168" s="28" t="s">
        <v>5659</v>
      </c>
      <c r="I168" s="28" t="s">
        <v>887</v>
      </c>
      <c r="J168" s="226">
        <v>45080</v>
      </c>
      <c r="K168" s="28" t="s">
        <v>5659</v>
      </c>
      <c r="L168" s="28" t="s">
        <v>5660</v>
      </c>
      <c r="M168" s="143" t="s">
        <v>41</v>
      </c>
      <c r="N168" s="28"/>
      <c r="O168" s="101"/>
      <c r="P168" s="101"/>
      <c r="Q168" s="101"/>
      <c r="R168" s="101"/>
      <c r="S168" s="101"/>
      <c r="T168" s="101"/>
    </row>
    <row r="169" spans="1:20" ht="14.4">
      <c r="A169" s="28" t="s">
        <v>4816</v>
      </c>
      <c r="B169" s="28" t="s">
        <v>5254</v>
      </c>
      <c r="C169" s="107" t="s">
        <v>260</v>
      </c>
      <c r="D169" s="107" t="s">
        <v>1305</v>
      </c>
      <c r="E169" s="28" t="s">
        <v>54</v>
      </c>
      <c r="F169" s="28" t="s">
        <v>5661</v>
      </c>
      <c r="G169" s="28"/>
      <c r="H169" s="28" t="s">
        <v>5662</v>
      </c>
      <c r="I169" s="28" t="s">
        <v>887</v>
      </c>
      <c r="J169" s="226">
        <v>45078</v>
      </c>
      <c r="K169" s="28" t="s">
        <v>5663</v>
      </c>
      <c r="L169" s="28" t="s">
        <v>5664</v>
      </c>
      <c r="M169" s="143" t="s">
        <v>41</v>
      </c>
      <c r="N169" s="28"/>
      <c r="O169" s="101"/>
      <c r="P169" s="101"/>
      <c r="Q169" s="101"/>
      <c r="R169" s="101"/>
      <c r="S169" s="101"/>
      <c r="T169" s="101"/>
    </row>
    <row r="170" spans="1:20" ht="14.4">
      <c r="A170" s="28" t="s">
        <v>4816</v>
      </c>
      <c r="B170" s="28" t="s">
        <v>5254</v>
      </c>
      <c r="C170" s="107" t="s">
        <v>260</v>
      </c>
      <c r="D170" s="107" t="s">
        <v>1305</v>
      </c>
      <c r="E170" s="28" t="s">
        <v>54</v>
      </c>
      <c r="F170" s="28" t="s">
        <v>5665</v>
      </c>
      <c r="G170" s="28"/>
      <c r="H170" s="28" t="s">
        <v>5264</v>
      </c>
      <c r="I170" s="28" t="s">
        <v>5265</v>
      </c>
      <c r="J170" s="226">
        <v>45277</v>
      </c>
      <c r="K170" s="28" t="s">
        <v>5324</v>
      </c>
      <c r="L170" s="28" t="s">
        <v>5077</v>
      </c>
      <c r="M170" s="143" t="s">
        <v>41</v>
      </c>
      <c r="N170" s="28"/>
      <c r="O170" s="101"/>
      <c r="P170" s="101"/>
      <c r="Q170" s="101"/>
      <c r="R170" s="101"/>
      <c r="S170" s="101"/>
      <c r="T170" s="101"/>
    </row>
    <row r="171" spans="1:20" ht="14.4">
      <c r="A171" s="28" t="s">
        <v>4816</v>
      </c>
      <c r="B171" s="28" t="s">
        <v>5254</v>
      </c>
      <c r="C171" s="107" t="s">
        <v>260</v>
      </c>
      <c r="D171" s="107" t="s">
        <v>1305</v>
      </c>
      <c r="E171" s="28" t="s">
        <v>54</v>
      </c>
      <c r="F171" s="28" t="s">
        <v>5666</v>
      </c>
      <c r="G171" s="28"/>
      <c r="H171" s="28" t="s">
        <v>5667</v>
      </c>
      <c r="I171" s="28" t="s">
        <v>5270</v>
      </c>
      <c r="J171" s="226">
        <v>45278</v>
      </c>
      <c r="K171" s="28" t="s">
        <v>5324</v>
      </c>
      <c r="L171" s="28" t="s">
        <v>5077</v>
      </c>
      <c r="M171" s="143" t="s">
        <v>41</v>
      </c>
      <c r="N171" s="28"/>
      <c r="O171" s="101"/>
      <c r="P171" s="101"/>
      <c r="Q171" s="101"/>
      <c r="R171" s="101"/>
      <c r="S171" s="101"/>
      <c r="T171" s="101"/>
    </row>
    <row r="172" spans="1:20" ht="14.4">
      <c r="A172" s="28" t="s">
        <v>4816</v>
      </c>
      <c r="B172" s="28" t="s">
        <v>5326</v>
      </c>
      <c r="C172" s="107" t="s">
        <v>260</v>
      </c>
      <c r="D172" s="107" t="s">
        <v>1305</v>
      </c>
      <c r="E172" s="28" t="s">
        <v>54</v>
      </c>
      <c r="F172" s="28" t="s">
        <v>5668</v>
      </c>
      <c r="G172" s="28"/>
      <c r="H172" s="28" t="s">
        <v>5622</v>
      </c>
      <c r="I172" s="28" t="s">
        <v>5623</v>
      </c>
      <c r="J172" s="28" t="s">
        <v>5624</v>
      </c>
      <c r="K172" s="28" t="s">
        <v>5669</v>
      </c>
      <c r="L172" s="28" t="s">
        <v>5180</v>
      </c>
      <c r="M172" s="143" t="s">
        <v>41</v>
      </c>
      <c r="N172" s="28"/>
      <c r="O172" s="101"/>
      <c r="P172" s="101"/>
      <c r="Q172" s="101"/>
      <c r="R172" s="101"/>
      <c r="S172" s="101"/>
      <c r="T172" s="101"/>
    </row>
    <row r="173" spans="1:20" ht="14.4">
      <c r="A173" s="28" t="s">
        <v>4816</v>
      </c>
      <c r="B173" s="28" t="s">
        <v>5326</v>
      </c>
      <c r="C173" s="107" t="s">
        <v>260</v>
      </c>
      <c r="D173" s="107" t="s">
        <v>1305</v>
      </c>
      <c r="E173" s="28" t="s">
        <v>54</v>
      </c>
      <c r="F173" s="28" t="s">
        <v>5670</v>
      </c>
      <c r="G173" s="28"/>
      <c r="H173" s="28" t="s">
        <v>5622</v>
      </c>
      <c r="I173" s="28" t="s">
        <v>5623</v>
      </c>
      <c r="J173" s="28" t="s">
        <v>5624</v>
      </c>
      <c r="K173" s="28" t="s">
        <v>5669</v>
      </c>
      <c r="L173" s="28" t="s">
        <v>5180</v>
      </c>
      <c r="M173" s="143" t="s">
        <v>41</v>
      </c>
      <c r="N173" s="28"/>
      <c r="O173" s="101"/>
      <c r="P173" s="101"/>
      <c r="Q173" s="101"/>
      <c r="R173" s="101"/>
      <c r="S173" s="101"/>
      <c r="T173" s="101"/>
    </row>
    <row r="174" spans="1:20" ht="14.4">
      <c r="A174" s="28" t="s">
        <v>4816</v>
      </c>
      <c r="B174" s="28" t="s">
        <v>5392</v>
      </c>
      <c r="C174" s="107" t="s">
        <v>260</v>
      </c>
      <c r="D174" s="107" t="s">
        <v>1305</v>
      </c>
      <c r="E174" s="28" t="s">
        <v>54</v>
      </c>
      <c r="F174" s="28" t="s">
        <v>5671</v>
      </c>
      <c r="G174" s="28"/>
      <c r="H174" s="28" t="s">
        <v>5672</v>
      </c>
      <c r="I174" s="28" t="s">
        <v>521</v>
      </c>
      <c r="J174" s="28" t="s">
        <v>5673</v>
      </c>
      <c r="K174" s="28" t="s">
        <v>5674</v>
      </c>
      <c r="L174" s="28" t="s">
        <v>5675</v>
      </c>
      <c r="M174" s="143" t="s">
        <v>41</v>
      </c>
      <c r="N174" s="28"/>
      <c r="O174" s="101"/>
      <c r="P174" s="101"/>
      <c r="Q174" s="101"/>
      <c r="R174" s="101"/>
      <c r="S174" s="101"/>
      <c r="T174" s="101"/>
    </row>
    <row r="175" spans="1:20" ht="14.4">
      <c r="A175" s="28" t="s">
        <v>4816</v>
      </c>
      <c r="B175" s="28" t="s">
        <v>5392</v>
      </c>
      <c r="C175" s="107" t="s">
        <v>260</v>
      </c>
      <c r="D175" s="107" t="s">
        <v>1305</v>
      </c>
      <c r="E175" s="28" t="s">
        <v>54</v>
      </c>
      <c r="F175" s="28" t="s">
        <v>5676</v>
      </c>
      <c r="G175" s="28"/>
      <c r="H175" s="28" t="s">
        <v>5410</v>
      </c>
      <c r="I175" s="28" t="s">
        <v>5412</v>
      </c>
      <c r="J175" s="28" t="s">
        <v>5677</v>
      </c>
      <c r="K175" s="28" t="s">
        <v>5678</v>
      </c>
      <c r="L175" s="28" t="s">
        <v>989</v>
      </c>
      <c r="M175" s="143" t="s">
        <v>41</v>
      </c>
      <c r="N175" s="28"/>
      <c r="O175" s="101"/>
      <c r="P175" s="101"/>
      <c r="Q175" s="101"/>
      <c r="R175" s="101"/>
      <c r="S175" s="101"/>
      <c r="T175" s="101"/>
    </row>
    <row r="176" spans="1:20" ht="14.4">
      <c r="A176" s="28" t="s">
        <v>4816</v>
      </c>
      <c r="B176" s="28" t="s">
        <v>5392</v>
      </c>
      <c r="C176" s="107" t="s">
        <v>260</v>
      </c>
      <c r="D176" s="107" t="s">
        <v>1305</v>
      </c>
      <c r="E176" s="28" t="s">
        <v>54</v>
      </c>
      <c r="F176" s="28" t="s">
        <v>5679</v>
      </c>
      <c r="G176" s="28"/>
      <c r="H176" s="28" t="s">
        <v>5680</v>
      </c>
      <c r="I176" s="28" t="s">
        <v>887</v>
      </c>
      <c r="J176" s="28" t="s">
        <v>5681</v>
      </c>
      <c r="K176" s="28" t="s">
        <v>5680</v>
      </c>
      <c r="L176" s="28" t="s">
        <v>5682</v>
      </c>
      <c r="M176" s="143" t="s">
        <v>41</v>
      </c>
      <c r="N176" s="28"/>
      <c r="O176" s="101"/>
      <c r="P176" s="101"/>
      <c r="Q176" s="101"/>
      <c r="R176" s="101"/>
      <c r="S176" s="101"/>
      <c r="T176" s="101"/>
    </row>
    <row r="177" spans="1:30" ht="43.2">
      <c r="A177" s="28" t="s">
        <v>4816</v>
      </c>
      <c r="B177" s="28" t="s">
        <v>49</v>
      </c>
      <c r="C177" s="28" t="s">
        <v>20</v>
      </c>
      <c r="D177" s="28" t="s">
        <v>1305</v>
      </c>
      <c r="E177" s="28"/>
      <c r="F177" s="28" t="s">
        <v>5683</v>
      </c>
      <c r="G177" s="208" t="s">
        <v>5684</v>
      </c>
      <c r="H177" s="28" t="s">
        <v>5685</v>
      </c>
      <c r="I177" s="28" t="s">
        <v>119</v>
      </c>
      <c r="J177" s="28" t="s">
        <v>5686</v>
      </c>
      <c r="K177" s="28"/>
      <c r="L177" s="28" t="s">
        <v>790</v>
      </c>
      <c r="M177" s="24" t="s">
        <v>41</v>
      </c>
      <c r="N177" s="28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 spans="1:30" ht="28.8">
      <c r="A178" s="28" t="s">
        <v>4816</v>
      </c>
      <c r="B178" s="28" t="s">
        <v>5326</v>
      </c>
      <c r="C178" s="127" t="s">
        <v>1588</v>
      </c>
      <c r="D178" s="237">
        <v>1498000</v>
      </c>
      <c r="F178" s="127" t="s">
        <v>5687</v>
      </c>
      <c r="G178" s="119" t="s">
        <v>5688</v>
      </c>
      <c r="H178" s="92" t="s">
        <v>4873</v>
      </c>
      <c r="I178" s="92" t="s">
        <v>916</v>
      </c>
    </row>
    <row r="179" spans="1:30" ht="28.8">
      <c r="A179" s="28" t="s">
        <v>4816</v>
      </c>
      <c r="B179" s="28" t="s">
        <v>5254</v>
      </c>
      <c r="C179" s="127" t="s">
        <v>1588</v>
      </c>
      <c r="D179" s="237">
        <v>1498000</v>
      </c>
      <c r="F179" s="127" t="s">
        <v>5689</v>
      </c>
      <c r="G179" s="119" t="s">
        <v>5690</v>
      </c>
      <c r="H179" s="92" t="s">
        <v>4873</v>
      </c>
      <c r="I179" s="92" t="s">
        <v>916</v>
      </c>
    </row>
    <row r="180" spans="1:30" ht="28.8">
      <c r="A180" s="28" t="s">
        <v>4816</v>
      </c>
      <c r="B180" s="28" t="s">
        <v>5392</v>
      </c>
      <c r="C180" s="127" t="s">
        <v>1588</v>
      </c>
      <c r="D180" s="237">
        <v>1498000</v>
      </c>
      <c r="F180" s="127" t="s">
        <v>5691</v>
      </c>
      <c r="G180" s="119" t="s">
        <v>5692</v>
      </c>
      <c r="H180" s="92" t="s">
        <v>4873</v>
      </c>
      <c r="I180" s="92" t="s">
        <v>916</v>
      </c>
    </row>
    <row r="181" spans="1:30" ht="28.8">
      <c r="A181" s="28" t="s">
        <v>4816</v>
      </c>
      <c r="B181" s="28" t="s">
        <v>5214</v>
      </c>
      <c r="C181" s="127" t="s">
        <v>1588</v>
      </c>
      <c r="D181" s="237">
        <v>1498000</v>
      </c>
      <c r="F181" s="127" t="s">
        <v>5693</v>
      </c>
      <c r="G181" s="119" t="s">
        <v>5694</v>
      </c>
      <c r="H181" s="92" t="s">
        <v>4873</v>
      </c>
      <c r="I181" s="92" t="s">
        <v>916</v>
      </c>
    </row>
    <row r="182" spans="1:30" ht="28.8">
      <c r="A182" s="28" t="s">
        <v>4816</v>
      </c>
      <c r="B182" s="28" t="s">
        <v>5069</v>
      </c>
      <c r="C182" s="127" t="s">
        <v>1588</v>
      </c>
      <c r="D182" s="237">
        <v>1498000</v>
      </c>
      <c r="F182" s="127" t="s">
        <v>5695</v>
      </c>
      <c r="G182" s="119" t="s">
        <v>5696</v>
      </c>
      <c r="H182" s="92" t="s">
        <v>4873</v>
      </c>
      <c r="I182" s="92" t="s">
        <v>916</v>
      </c>
    </row>
    <row r="194" spans="1:4" ht="14.4">
      <c r="A194" s="126" t="s">
        <v>5697</v>
      </c>
      <c r="B194" s="126"/>
      <c r="C194" s="126"/>
      <c r="D194" s="126"/>
    </row>
    <row r="195" spans="1:4" ht="14.4">
      <c r="A195" s="126" t="s">
        <v>1646</v>
      </c>
      <c r="B195" s="126"/>
      <c r="C195" s="126"/>
      <c r="D195" s="126"/>
    </row>
    <row r="196" spans="1:4" ht="14.4">
      <c r="A196" s="126" t="s">
        <v>5698</v>
      </c>
      <c r="B196" s="126"/>
      <c r="C196" s="126"/>
      <c r="D196" s="126"/>
    </row>
    <row r="197" spans="1:4" ht="14.4">
      <c r="A197" s="358" t="s">
        <v>5699</v>
      </c>
      <c r="B197" s="354"/>
      <c r="C197" s="354"/>
      <c r="D197" s="354"/>
    </row>
    <row r="198" spans="1:4" ht="13.8">
      <c r="A198" s="101"/>
      <c r="B198" s="101"/>
      <c r="C198" s="101"/>
      <c r="D198" s="101"/>
    </row>
  </sheetData>
  <autoFilter ref="A2:N176" xr:uid="{00000000-0009-0000-0000-000008000000}"/>
  <mergeCells count="2">
    <mergeCell ref="A1:E1"/>
    <mergeCell ref="A197:D19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E925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/>
  <cols>
    <col min="1" max="1" width="9.21875" customWidth="1"/>
    <col min="2" max="2" width="15.6640625" customWidth="1"/>
    <col min="3" max="3" width="41" customWidth="1"/>
    <col min="6" max="6" width="25" customWidth="1"/>
  </cols>
  <sheetData>
    <row r="1" spans="1:14" ht="15.75" customHeight="1">
      <c r="A1" s="2" t="s">
        <v>0</v>
      </c>
      <c r="B1" s="2"/>
      <c r="C1" s="2"/>
      <c r="D1" s="2"/>
      <c r="E1" s="2"/>
      <c r="F1" s="238"/>
      <c r="G1" s="238"/>
      <c r="H1" s="238"/>
      <c r="I1" s="238"/>
      <c r="J1" s="238"/>
      <c r="K1" s="238"/>
      <c r="L1" s="238"/>
      <c r="M1" s="238"/>
      <c r="N1" s="238"/>
    </row>
    <row r="2" spans="1:14" ht="15.75" customHeight="1">
      <c r="A2" s="239" t="s">
        <v>2</v>
      </c>
      <c r="B2" s="239" t="s">
        <v>3</v>
      </c>
      <c r="C2" s="239" t="s">
        <v>4</v>
      </c>
      <c r="D2" s="239" t="s">
        <v>5</v>
      </c>
      <c r="E2" s="239" t="s">
        <v>6</v>
      </c>
      <c r="F2" s="239" t="s">
        <v>8</v>
      </c>
      <c r="G2" s="239" t="s">
        <v>24</v>
      </c>
      <c r="H2" s="239" t="s">
        <v>10</v>
      </c>
      <c r="I2" s="239" t="s">
        <v>11</v>
      </c>
      <c r="J2" s="239" t="s">
        <v>12</v>
      </c>
      <c r="K2" s="239" t="s">
        <v>14</v>
      </c>
      <c r="L2" s="239" t="s">
        <v>15</v>
      </c>
      <c r="M2" s="239" t="s">
        <v>4813</v>
      </c>
      <c r="N2" s="240" t="s">
        <v>17</v>
      </c>
    </row>
    <row r="3" spans="1:14" ht="15.75" customHeight="1">
      <c r="A3" s="140" t="s">
        <v>5700</v>
      </c>
      <c r="B3" s="140" t="s">
        <v>5701</v>
      </c>
      <c r="C3" s="140" t="s">
        <v>51</v>
      </c>
      <c r="D3" s="140" t="s">
        <v>52</v>
      </c>
      <c r="E3" s="140" t="s">
        <v>54</v>
      </c>
      <c r="F3" s="140" t="s">
        <v>5702</v>
      </c>
      <c r="G3" s="140" t="s">
        <v>5703</v>
      </c>
      <c r="H3" s="140" t="s">
        <v>5704</v>
      </c>
      <c r="I3" s="140" t="s">
        <v>5705</v>
      </c>
      <c r="J3" s="140" t="s">
        <v>5706</v>
      </c>
      <c r="K3" s="140" t="s">
        <v>5704</v>
      </c>
      <c r="L3" s="140" t="s">
        <v>2149</v>
      </c>
      <c r="M3" s="140" t="s">
        <v>2660</v>
      </c>
      <c r="N3" s="155"/>
    </row>
    <row r="4" spans="1:14" ht="15.75" customHeight="1">
      <c r="A4" s="140" t="s">
        <v>5700</v>
      </c>
      <c r="B4" s="140" t="s">
        <v>5701</v>
      </c>
      <c r="C4" s="140" t="s">
        <v>70</v>
      </c>
      <c r="D4" s="140" t="s">
        <v>71</v>
      </c>
      <c r="E4" s="140" t="s">
        <v>54</v>
      </c>
      <c r="F4" s="162" t="s">
        <v>5702</v>
      </c>
      <c r="G4" s="140" t="s">
        <v>5707</v>
      </c>
      <c r="H4" s="140" t="s">
        <v>5704</v>
      </c>
      <c r="I4" s="140" t="s">
        <v>5705</v>
      </c>
      <c r="J4" s="140" t="s">
        <v>5706</v>
      </c>
      <c r="K4" s="140" t="s">
        <v>5704</v>
      </c>
      <c r="L4" s="140" t="s">
        <v>2149</v>
      </c>
      <c r="M4" s="140" t="s">
        <v>2660</v>
      </c>
      <c r="N4" s="155"/>
    </row>
    <row r="5" spans="1:14" ht="15.75" customHeight="1">
      <c r="A5" s="140" t="s">
        <v>5700</v>
      </c>
      <c r="B5" s="140" t="s">
        <v>5701</v>
      </c>
      <c r="C5" s="140" t="s">
        <v>79</v>
      </c>
      <c r="D5" s="140" t="s">
        <v>80</v>
      </c>
      <c r="E5" s="140" t="s">
        <v>54</v>
      </c>
      <c r="F5" s="140" t="s">
        <v>5702</v>
      </c>
      <c r="G5" s="140" t="s">
        <v>5708</v>
      </c>
      <c r="H5" s="140" t="s">
        <v>5704</v>
      </c>
      <c r="I5" s="140" t="s">
        <v>5705</v>
      </c>
      <c r="J5" s="140" t="s">
        <v>5706</v>
      </c>
      <c r="K5" s="140" t="s">
        <v>5704</v>
      </c>
      <c r="L5" s="140" t="s">
        <v>2149</v>
      </c>
      <c r="M5" s="140" t="s">
        <v>2660</v>
      </c>
      <c r="N5" s="155"/>
    </row>
    <row r="6" spans="1:14" ht="15.75" customHeight="1">
      <c r="A6" s="140" t="s">
        <v>5700</v>
      </c>
      <c r="B6" s="140" t="s">
        <v>5701</v>
      </c>
      <c r="C6" s="140" t="s">
        <v>85</v>
      </c>
      <c r="D6" s="140" t="s">
        <v>86</v>
      </c>
      <c r="E6" s="140" t="s">
        <v>54</v>
      </c>
      <c r="F6" s="140" t="s">
        <v>5709</v>
      </c>
      <c r="G6" s="140" t="s">
        <v>5710</v>
      </c>
      <c r="H6" s="140" t="s">
        <v>5711</v>
      </c>
      <c r="I6" s="140" t="s">
        <v>5712</v>
      </c>
      <c r="J6" s="140" t="s">
        <v>5713</v>
      </c>
      <c r="K6" s="140" t="s">
        <v>5714</v>
      </c>
      <c r="L6" s="140" t="s">
        <v>2149</v>
      </c>
      <c r="M6" s="140" t="s">
        <v>2660</v>
      </c>
      <c r="N6" s="155"/>
    </row>
    <row r="7" spans="1:14" ht="15.75" customHeight="1">
      <c r="A7" s="140" t="s">
        <v>5700</v>
      </c>
      <c r="B7" s="140" t="s">
        <v>5701</v>
      </c>
      <c r="C7" s="140" t="s">
        <v>85</v>
      </c>
      <c r="D7" s="140" t="s">
        <v>86</v>
      </c>
      <c r="E7" s="140" t="s">
        <v>54</v>
      </c>
      <c r="F7" s="140" t="s">
        <v>5715</v>
      </c>
      <c r="G7" s="140" t="s">
        <v>5716</v>
      </c>
      <c r="H7" s="140" t="s">
        <v>5711</v>
      </c>
      <c r="I7" s="140" t="s">
        <v>5712</v>
      </c>
      <c r="J7" s="140" t="s">
        <v>5713</v>
      </c>
      <c r="K7" s="140" t="s">
        <v>5717</v>
      </c>
      <c r="L7" s="140" t="s">
        <v>2149</v>
      </c>
      <c r="M7" s="140" t="s">
        <v>2660</v>
      </c>
      <c r="N7" s="155"/>
    </row>
    <row r="8" spans="1:14" ht="15.75" customHeight="1">
      <c r="A8" s="140" t="s">
        <v>5700</v>
      </c>
      <c r="B8" s="140" t="s">
        <v>5701</v>
      </c>
      <c r="C8" s="140" t="s">
        <v>85</v>
      </c>
      <c r="D8" s="140" t="s">
        <v>86</v>
      </c>
      <c r="E8" s="140" t="s">
        <v>54</v>
      </c>
      <c r="F8" s="140" t="s">
        <v>5718</v>
      </c>
      <c r="G8" s="140" t="s">
        <v>5719</v>
      </c>
      <c r="H8" s="140" t="s">
        <v>5711</v>
      </c>
      <c r="I8" s="140" t="s">
        <v>5712</v>
      </c>
      <c r="J8" s="140" t="s">
        <v>5713</v>
      </c>
      <c r="K8" s="140" t="s">
        <v>5720</v>
      </c>
      <c r="L8" s="140" t="s">
        <v>2149</v>
      </c>
      <c r="M8" s="140" t="s">
        <v>5721</v>
      </c>
      <c r="N8" s="155" t="s">
        <v>5722</v>
      </c>
    </row>
    <row r="9" spans="1:14" ht="15.75" customHeight="1">
      <c r="A9" s="140" t="s">
        <v>5700</v>
      </c>
      <c r="B9" s="140" t="s">
        <v>5701</v>
      </c>
      <c r="C9" s="140" t="s">
        <v>85</v>
      </c>
      <c r="D9" s="140" t="s">
        <v>86</v>
      </c>
      <c r="E9" s="140" t="s">
        <v>54</v>
      </c>
      <c r="F9" s="140" t="s">
        <v>5723</v>
      </c>
      <c r="G9" s="140" t="s">
        <v>5724</v>
      </c>
      <c r="H9" s="140" t="s">
        <v>5725</v>
      </c>
      <c r="I9" s="140" t="s">
        <v>5726</v>
      </c>
      <c r="J9" s="140" t="s">
        <v>5713</v>
      </c>
      <c r="K9" s="140" t="s">
        <v>5727</v>
      </c>
      <c r="L9" s="140" t="s">
        <v>2336</v>
      </c>
      <c r="M9" s="140" t="s">
        <v>2660</v>
      </c>
      <c r="N9" s="155"/>
    </row>
    <row r="10" spans="1:14" ht="15.75" customHeight="1">
      <c r="A10" s="140" t="s">
        <v>5700</v>
      </c>
      <c r="B10" s="140" t="s">
        <v>5701</v>
      </c>
      <c r="C10" s="140" t="s">
        <v>85</v>
      </c>
      <c r="D10" s="140" t="s">
        <v>86</v>
      </c>
      <c r="E10" s="140" t="s">
        <v>54</v>
      </c>
      <c r="F10" s="140" t="s">
        <v>5728</v>
      </c>
      <c r="G10" s="140" t="s">
        <v>5729</v>
      </c>
      <c r="H10" s="140" t="s">
        <v>5730</v>
      </c>
      <c r="I10" s="140" t="s">
        <v>130</v>
      </c>
      <c r="J10" s="140" t="s">
        <v>5713</v>
      </c>
      <c r="K10" s="140" t="s">
        <v>5731</v>
      </c>
      <c r="L10" s="140" t="s">
        <v>5732</v>
      </c>
      <c r="M10" s="140" t="s">
        <v>2660</v>
      </c>
      <c r="N10" s="155"/>
    </row>
    <row r="11" spans="1:14" ht="15.75" customHeight="1">
      <c r="A11" s="140" t="s">
        <v>5700</v>
      </c>
      <c r="B11" s="140" t="s">
        <v>5701</v>
      </c>
      <c r="C11" s="140" t="s">
        <v>85</v>
      </c>
      <c r="D11" s="140" t="s">
        <v>86</v>
      </c>
      <c r="E11" s="140" t="s">
        <v>54</v>
      </c>
      <c r="F11" s="140" t="s">
        <v>5733</v>
      </c>
      <c r="G11" s="140" t="s">
        <v>5734</v>
      </c>
      <c r="H11" s="140" t="s">
        <v>5735</v>
      </c>
      <c r="I11" s="140" t="s">
        <v>5736</v>
      </c>
      <c r="J11" s="140" t="s">
        <v>5713</v>
      </c>
      <c r="K11" s="140" t="s">
        <v>5737</v>
      </c>
      <c r="L11" s="140" t="s">
        <v>2149</v>
      </c>
      <c r="M11" s="140" t="s">
        <v>2660</v>
      </c>
      <c r="N11" s="155"/>
    </row>
    <row r="12" spans="1:14" ht="15.75" customHeight="1">
      <c r="A12" s="140" t="s">
        <v>5700</v>
      </c>
      <c r="B12" s="140" t="s">
        <v>5701</v>
      </c>
      <c r="C12" s="140" t="s">
        <v>85</v>
      </c>
      <c r="D12" s="140" t="s">
        <v>86</v>
      </c>
      <c r="E12" s="140" t="s">
        <v>54</v>
      </c>
      <c r="F12" s="140" t="s">
        <v>5738</v>
      </c>
      <c r="G12" s="140" t="s">
        <v>5739</v>
      </c>
      <c r="H12" s="140" t="s">
        <v>5740</v>
      </c>
      <c r="I12" s="140" t="s">
        <v>5741</v>
      </c>
      <c r="J12" s="140" t="s">
        <v>5713</v>
      </c>
      <c r="K12" s="140" t="s">
        <v>5742</v>
      </c>
      <c r="L12" s="140" t="s">
        <v>989</v>
      </c>
      <c r="M12" s="140" t="s">
        <v>2660</v>
      </c>
      <c r="N12" s="155"/>
    </row>
    <row r="13" spans="1:14" ht="15.75" customHeight="1">
      <c r="A13" s="140" t="s">
        <v>5700</v>
      </c>
      <c r="B13" s="140" t="s">
        <v>5701</v>
      </c>
      <c r="C13" s="140" t="s">
        <v>85</v>
      </c>
      <c r="D13" s="140" t="s">
        <v>86</v>
      </c>
      <c r="E13" s="140" t="s">
        <v>54</v>
      </c>
      <c r="F13" s="140" t="s">
        <v>5743</v>
      </c>
      <c r="G13" s="140" t="s">
        <v>5744</v>
      </c>
      <c r="H13" s="140" t="s">
        <v>5740</v>
      </c>
      <c r="I13" s="140" t="s">
        <v>5741</v>
      </c>
      <c r="J13" s="140" t="s">
        <v>5713</v>
      </c>
      <c r="K13" s="140" t="s">
        <v>5745</v>
      </c>
      <c r="L13" s="140" t="s">
        <v>989</v>
      </c>
      <c r="M13" s="140" t="s">
        <v>2660</v>
      </c>
      <c r="N13" s="155"/>
    </row>
    <row r="14" spans="1:14" ht="15.75" customHeight="1">
      <c r="A14" s="140" t="s">
        <v>5700</v>
      </c>
      <c r="B14" s="140" t="s">
        <v>5701</v>
      </c>
      <c r="C14" s="140" t="s">
        <v>85</v>
      </c>
      <c r="D14" s="140" t="s">
        <v>86</v>
      </c>
      <c r="E14" s="140" t="s">
        <v>54</v>
      </c>
      <c r="F14" s="140" t="s">
        <v>5746</v>
      </c>
      <c r="G14" s="140" t="s">
        <v>5747</v>
      </c>
      <c r="H14" s="140" t="s">
        <v>5748</v>
      </c>
      <c r="I14" s="140" t="s">
        <v>5749</v>
      </c>
      <c r="J14" s="140" t="s">
        <v>5713</v>
      </c>
      <c r="K14" s="140" t="s">
        <v>5750</v>
      </c>
      <c r="L14" s="140" t="s">
        <v>989</v>
      </c>
      <c r="M14" s="140" t="s">
        <v>2660</v>
      </c>
      <c r="N14" s="155"/>
    </row>
    <row r="15" spans="1:14" ht="15.75" customHeight="1">
      <c r="A15" s="140" t="s">
        <v>5700</v>
      </c>
      <c r="B15" s="140" t="s">
        <v>5701</v>
      </c>
      <c r="C15" s="140" t="s">
        <v>85</v>
      </c>
      <c r="D15" s="140" t="s">
        <v>86</v>
      </c>
      <c r="E15" s="140" t="s">
        <v>54</v>
      </c>
      <c r="F15" s="140" t="s">
        <v>5751</v>
      </c>
      <c r="G15" s="140" t="s">
        <v>5752</v>
      </c>
      <c r="H15" s="140" t="s">
        <v>5753</v>
      </c>
      <c r="I15" s="140" t="s">
        <v>5754</v>
      </c>
      <c r="J15" s="140" t="s">
        <v>5713</v>
      </c>
      <c r="K15" s="140" t="s">
        <v>5755</v>
      </c>
      <c r="L15" s="140" t="s">
        <v>989</v>
      </c>
      <c r="M15" s="140" t="s">
        <v>2660</v>
      </c>
      <c r="N15" s="155"/>
    </row>
    <row r="16" spans="1:14" ht="15.75" customHeight="1">
      <c r="A16" s="140" t="s">
        <v>5700</v>
      </c>
      <c r="B16" s="140" t="s">
        <v>5701</v>
      </c>
      <c r="C16" s="140" t="s">
        <v>85</v>
      </c>
      <c r="D16" s="140" t="s">
        <v>86</v>
      </c>
      <c r="E16" s="140" t="s">
        <v>54</v>
      </c>
      <c r="F16" s="140" t="s">
        <v>5756</v>
      </c>
      <c r="G16" s="140" t="s">
        <v>5757</v>
      </c>
      <c r="H16" s="140" t="s">
        <v>5758</v>
      </c>
      <c r="I16" s="140" t="s">
        <v>966</v>
      </c>
      <c r="J16" s="140" t="s">
        <v>5713</v>
      </c>
      <c r="K16" s="140" t="s">
        <v>5759</v>
      </c>
      <c r="L16" s="140" t="s">
        <v>5759</v>
      </c>
      <c r="M16" s="140" t="s">
        <v>2660</v>
      </c>
      <c r="N16" s="155"/>
    </row>
    <row r="17" spans="1:14" ht="15.75" customHeight="1">
      <c r="A17" s="140" t="s">
        <v>5700</v>
      </c>
      <c r="B17" s="140" t="s">
        <v>5701</v>
      </c>
      <c r="C17" s="140" t="s">
        <v>220</v>
      </c>
      <c r="D17" s="140" t="s">
        <v>234</v>
      </c>
      <c r="E17" s="140" t="s">
        <v>54</v>
      </c>
      <c r="F17" s="140" t="s">
        <v>5760</v>
      </c>
      <c r="G17" s="140" t="s">
        <v>5761</v>
      </c>
      <c r="H17" s="140" t="s">
        <v>5725</v>
      </c>
      <c r="I17" s="140" t="s">
        <v>5726</v>
      </c>
      <c r="J17" s="140" t="s">
        <v>5713</v>
      </c>
      <c r="K17" s="140" t="s">
        <v>5762</v>
      </c>
      <c r="L17" s="140" t="s">
        <v>2336</v>
      </c>
      <c r="M17" s="140" t="s">
        <v>2660</v>
      </c>
      <c r="N17" s="155" t="s">
        <v>5763</v>
      </c>
    </row>
    <row r="18" spans="1:14" ht="14.4">
      <c r="A18" s="140" t="s">
        <v>5700</v>
      </c>
      <c r="B18" s="140" t="s">
        <v>5701</v>
      </c>
      <c r="C18" s="140" t="s">
        <v>220</v>
      </c>
      <c r="D18" s="140" t="s">
        <v>234</v>
      </c>
      <c r="E18" s="140" t="s">
        <v>54</v>
      </c>
      <c r="F18" s="140" t="s">
        <v>5764</v>
      </c>
      <c r="G18" s="140" t="s">
        <v>5765</v>
      </c>
      <c r="H18" s="140" t="s">
        <v>5725</v>
      </c>
      <c r="I18" s="140" t="s">
        <v>5726</v>
      </c>
      <c r="J18" s="140" t="s">
        <v>5713</v>
      </c>
      <c r="K18" s="140" t="s">
        <v>5766</v>
      </c>
      <c r="L18" s="140" t="s">
        <v>2336</v>
      </c>
      <c r="M18" s="140" t="s">
        <v>2660</v>
      </c>
      <c r="N18" s="155"/>
    </row>
    <row r="19" spans="1:14" ht="14.4">
      <c r="A19" s="140" t="s">
        <v>5700</v>
      </c>
      <c r="B19" s="140" t="s">
        <v>5701</v>
      </c>
      <c r="C19" s="140" t="s">
        <v>220</v>
      </c>
      <c r="D19" s="140" t="s">
        <v>234</v>
      </c>
      <c r="E19" s="140" t="s">
        <v>54</v>
      </c>
      <c r="F19" s="140" t="s">
        <v>5767</v>
      </c>
      <c r="G19" s="140" t="s">
        <v>5768</v>
      </c>
      <c r="H19" s="140" t="s">
        <v>5769</v>
      </c>
      <c r="I19" s="140" t="s">
        <v>1252</v>
      </c>
      <c r="J19" s="140" t="s">
        <v>5713</v>
      </c>
      <c r="K19" s="140" t="s">
        <v>5770</v>
      </c>
      <c r="L19" s="140" t="s">
        <v>989</v>
      </c>
      <c r="M19" s="140" t="s">
        <v>2660</v>
      </c>
      <c r="N19" s="155"/>
    </row>
    <row r="20" spans="1:14" ht="14.4">
      <c r="A20" s="140" t="s">
        <v>5700</v>
      </c>
      <c r="B20" s="140" t="s">
        <v>5701</v>
      </c>
      <c r="C20" s="140" t="s">
        <v>220</v>
      </c>
      <c r="D20" s="140" t="s">
        <v>234</v>
      </c>
      <c r="E20" s="140" t="s">
        <v>54</v>
      </c>
      <c r="F20" s="140" t="s">
        <v>5771</v>
      </c>
      <c r="G20" s="140" t="s">
        <v>5772</v>
      </c>
      <c r="H20" s="140" t="s">
        <v>5725</v>
      </c>
      <c r="I20" s="140" t="s">
        <v>5726</v>
      </c>
      <c r="J20" s="140" t="s">
        <v>5713</v>
      </c>
      <c r="K20" s="140" t="s">
        <v>5773</v>
      </c>
      <c r="L20" s="140" t="s">
        <v>2336</v>
      </c>
      <c r="M20" s="140" t="s">
        <v>2660</v>
      </c>
      <c r="N20" s="155"/>
    </row>
    <row r="21" spans="1:14" ht="14.4">
      <c r="A21" s="140" t="s">
        <v>5700</v>
      </c>
      <c r="B21" s="140" t="s">
        <v>5701</v>
      </c>
      <c r="C21" s="140" t="s">
        <v>220</v>
      </c>
      <c r="D21" s="140" t="s">
        <v>234</v>
      </c>
      <c r="E21" s="140" t="s">
        <v>54</v>
      </c>
      <c r="F21" s="140" t="s">
        <v>5774</v>
      </c>
      <c r="G21" s="140" t="s">
        <v>5775</v>
      </c>
      <c r="H21" s="140" t="s">
        <v>5725</v>
      </c>
      <c r="I21" s="140" t="s">
        <v>5726</v>
      </c>
      <c r="J21" s="140" t="s">
        <v>5713</v>
      </c>
      <c r="K21" s="140" t="s">
        <v>5776</v>
      </c>
      <c r="L21" s="140" t="s">
        <v>2336</v>
      </c>
      <c r="M21" s="140" t="s">
        <v>2660</v>
      </c>
      <c r="N21" s="155"/>
    </row>
    <row r="22" spans="1:14" ht="14.4">
      <c r="A22" s="140" t="s">
        <v>5700</v>
      </c>
      <c r="B22" s="140" t="s">
        <v>5701</v>
      </c>
      <c r="C22" s="140" t="s">
        <v>233</v>
      </c>
      <c r="D22" s="140" t="s">
        <v>298</v>
      </c>
      <c r="E22" s="140" t="s">
        <v>54</v>
      </c>
      <c r="F22" s="140" t="s">
        <v>5777</v>
      </c>
      <c r="G22" s="140" t="s">
        <v>5778</v>
      </c>
      <c r="H22" s="140" t="s">
        <v>5753</v>
      </c>
      <c r="I22" s="140" t="s">
        <v>5754</v>
      </c>
      <c r="J22" s="140" t="s">
        <v>5713</v>
      </c>
      <c r="K22" s="140" t="s">
        <v>5753</v>
      </c>
      <c r="L22" s="140" t="s">
        <v>2788</v>
      </c>
      <c r="M22" s="140" t="s">
        <v>2660</v>
      </c>
      <c r="N22" s="155"/>
    </row>
    <row r="23" spans="1:14" ht="14.4">
      <c r="A23" s="140" t="s">
        <v>5700</v>
      </c>
      <c r="B23" s="140" t="s">
        <v>5701</v>
      </c>
      <c r="C23" s="140" t="s">
        <v>233</v>
      </c>
      <c r="D23" s="140" t="s">
        <v>298</v>
      </c>
      <c r="E23" s="140" t="s">
        <v>54</v>
      </c>
      <c r="F23" s="140" t="s">
        <v>5779</v>
      </c>
      <c r="G23" s="140" t="s">
        <v>5780</v>
      </c>
      <c r="H23" s="140" t="s">
        <v>5781</v>
      </c>
      <c r="I23" s="140" t="s">
        <v>119</v>
      </c>
      <c r="J23" s="140" t="s">
        <v>5713</v>
      </c>
      <c r="K23" s="140" t="s">
        <v>5781</v>
      </c>
      <c r="L23" s="140" t="s">
        <v>5782</v>
      </c>
      <c r="M23" s="140" t="s">
        <v>2660</v>
      </c>
      <c r="N23" s="155"/>
    </row>
    <row r="24" spans="1:14" ht="14.4">
      <c r="A24" s="140" t="s">
        <v>5700</v>
      </c>
      <c r="B24" s="140" t="s">
        <v>5701</v>
      </c>
      <c r="C24" s="140" t="s">
        <v>233</v>
      </c>
      <c r="D24" s="140" t="s">
        <v>298</v>
      </c>
      <c r="E24" s="140" t="s">
        <v>54</v>
      </c>
      <c r="F24" s="140" t="s">
        <v>5783</v>
      </c>
      <c r="G24" s="140" t="s">
        <v>5784</v>
      </c>
      <c r="H24" s="140" t="s">
        <v>5735</v>
      </c>
      <c r="I24" s="140" t="s">
        <v>5736</v>
      </c>
      <c r="J24" s="140" t="s">
        <v>5713</v>
      </c>
      <c r="K24" s="140" t="s">
        <v>5735</v>
      </c>
      <c r="L24" s="140" t="s">
        <v>989</v>
      </c>
      <c r="M24" s="140" t="s">
        <v>2660</v>
      </c>
      <c r="N24" s="155"/>
    </row>
    <row r="25" spans="1:14" ht="14.4">
      <c r="A25" s="140" t="s">
        <v>5700</v>
      </c>
      <c r="B25" s="140" t="s">
        <v>5701</v>
      </c>
      <c r="C25" s="140" t="s">
        <v>233</v>
      </c>
      <c r="D25" s="140" t="s">
        <v>298</v>
      </c>
      <c r="E25" s="140" t="s">
        <v>54</v>
      </c>
      <c r="F25" s="140" t="s">
        <v>5785</v>
      </c>
      <c r="G25" s="140" t="s">
        <v>5786</v>
      </c>
      <c r="H25" s="140" t="s">
        <v>5787</v>
      </c>
      <c r="I25" s="140" t="s">
        <v>5788</v>
      </c>
      <c r="J25" s="140" t="s">
        <v>5713</v>
      </c>
      <c r="K25" s="140" t="s">
        <v>5787</v>
      </c>
      <c r="L25" s="140" t="s">
        <v>5788</v>
      </c>
      <c r="M25" s="140" t="s">
        <v>2660</v>
      </c>
      <c r="N25" s="155"/>
    </row>
    <row r="26" spans="1:14" ht="14.4">
      <c r="A26" s="140" t="s">
        <v>5700</v>
      </c>
      <c r="B26" s="140" t="s">
        <v>5701</v>
      </c>
      <c r="C26" s="140" t="s">
        <v>306</v>
      </c>
      <c r="D26" s="140" t="s">
        <v>341</v>
      </c>
      <c r="E26" s="140" t="s">
        <v>54</v>
      </c>
      <c r="F26" s="140" t="s">
        <v>5789</v>
      </c>
      <c r="G26" s="140" t="s">
        <v>5790</v>
      </c>
      <c r="H26" s="140" t="s">
        <v>5730</v>
      </c>
      <c r="I26" s="140" t="s">
        <v>130</v>
      </c>
      <c r="J26" s="140" t="s">
        <v>5791</v>
      </c>
      <c r="K26" s="140" t="s">
        <v>5792</v>
      </c>
      <c r="L26" s="140" t="s">
        <v>5732</v>
      </c>
      <c r="M26" s="140" t="s">
        <v>2660</v>
      </c>
      <c r="N26" s="155"/>
    </row>
    <row r="27" spans="1:14" ht="14.4">
      <c r="A27" s="140" t="s">
        <v>5700</v>
      </c>
      <c r="B27" s="140" t="s">
        <v>5701</v>
      </c>
      <c r="C27" s="140" t="s">
        <v>287</v>
      </c>
      <c r="D27" s="140" t="s">
        <v>71</v>
      </c>
      <c r="E27" s="140" t="s">
        <v>54</v>
      </c>
      <c r="F27" s="140" t="s">
        <v>5793</v>
      </c>
      <c r="G27" s="140" t="s">
        <v>5794</v>
      </c>
      <c r="H27" s="140" t="s">
        <v>5704</v>
      </c>
      <c r="I27" s="140" t="s">
        <v>5705</v>
      </c>
      <c r="J27" s="140" t="s">
        <v>5795</v>
      </c>
      <c r="K27" s="140" t="s">
        <v>5704</v>
      </c>
      <c r="L27" s="140" t="s">
        <v>2149</v>
      </c>
      <c r="M27" s="140" t="s">
        <v>2660</v>
      </c>
      <c r="N27" s="155"/>
    </row>
    <row r="28" spans="1:14" ht="14.4">
      <c r="A28" s="140" t="s">
        <v>5700</v>
      </c>
      <c r="B28" s="140" t="s">
        <v>5701</v>
      </c>
      <c r="C28" s="140" t="s">
        <v>306</v>
      </c>
      <c r="D28" s="140" t="s">
        <v>341</v>
      </c>
      <c r="E28" s="140" t="s">
        <v>54</v>
      </c>
      <c r="F28" s="140" t="s">
        <v>5796</v>
      </c>
      <c r="G28" s="140"/>
      <c r="H28" s="140" t="s">
        <v>5797</v>
      </c>
      <c r="I28" s="140" t="s">
        <v>1800</v>
      </c>
      <c r="J28" s="140"/>
      <c r="K28" s="140" t="s">
        <v>5797</v>
      </c>
      <c r="L28" s="140" t="s">
        <v>5798</v>
      </c>
      <c r="M28" s="140" t="s">
        <v>2660</v>
      </c>
      <c r="N28" s="155"/>
    </row>
    <row r="29" spans="1:14" ht="14.4">
      <c r="A29" s="140" t="s">
        <v>5700</v>
      </c>
      <c r="B29" s="140" t="s">
        <v>5701</v>
      </c>
      <c r="C29" s="140" t="s">
        <v>306</v>
      </c>
      <c r="D29" s="140" t="s">
        <v>341</v>
      </c>
      <c r="E29" s="140" t="s">
        <v>54</v>
      </c>
      <c r="F29" s="140" t="s">
        <v>5799</v>
      </c>
      <c r="G29" s="140"/>
      <c r="H29" s="140" t="s">
        <v>5800</v>
      </c>
      <c r="I29" s="140" t="s">
        <v>130</v>
      </c>
      <c r="J29" s="140" t="s">
        <v>5801</v>
      </c>
      <c r="K29" s="140" t="s">
        <v>5802</v>
      </c>
      <c r="L29" s="140" t="s">
        <v>5732</v>
      </c>
      <c r="M29" s="140" t="s">
        <v>2660</v>
      </c>
      <c r="N29" s="155"/>
    </row>
    <row r="30" spans="1:14" ht="14.4">
      <c r="A30" s="140" t="s">
        <v>5700</v>
      </c>
      <c r="B30" s="140" t="s">
        <v>5701</v>
      </c>
      <c r="C30" s="140" t="s">
        <v>296</v>
      </c>
      <c r="D30" s="140" t="s">
        <v>954</v>
      </c>
      <c r="E30" s="140" t="s">
        <v>54</v>
      </c>
      <c r="F30" s="162" t="s">
        <v>5803</v>
      </c>
      <c r="G30" s="140" t="s">
        <v>5804</v>
      </c>
      <c r="H30" s="140" t="s">
        <v>5711</v>
      </c>
      <c r="I30" s="140" t="s">
        <v>5712</v>
      </c>
      <c r="J30" s="140" t="s">
        <v>5805</v>
      </c>
      <c r="K30" s="140" t="s">
        <v>5711</v>
      </c>
      <c r="L30" s="140" t="s">
        <v>2149</v>
      </c>
      <c r="M30" s="140" t="s">
        <v>2660</v>
      </c>
      <c r="N30" s="155"/>
    </row>
    <row r="31" spans="1:14" ht="14.4">
      <c r="A31" s="140" t="s">
        <v>5700</v>
      </c>
      <c r="B31" s="140" t="s">
        <v>5806</v>
      </c>
      <c r="C31" s="140" t="s">
        <v>51</v>
      </c>
      <c r="D31" s="140" t="s">
        <v>52</v>
      </c>
      <c r="E31" s="140" t="s">
        <v>54</v>
      </c>
      <c r="F31" s="140" t="s">
        <v>5807</v>
      </c>
      <c r="G31" s="140" t="s">
        <v>5808</v>
      </c>
      <c r="H31" s="140" t="s">
        <v>5809</v>
      </c>
      <c r="I31" s="140" t="s">
        <v>5810</v>
      </c>
      <c r="J31" s="140" t="s">
        <v>5811</v>
      </c>
      <c r="K31" s="140" t="s">
        <v>5812</v>
      </c>
      <c r="L31" s="140" t="s">
        <v>729</v>
      </c>
      <c r="M31" s="140" t="s">
        <v>41</v>
      </c>
      <c r="N31" s="155"/>
    </row>
    <row r="32" spans="1:14" ht="14.4">
      <c r="A32" s="140" t="s">
        <v>5700</v>
      </c>
      <c r="B32" s="140" t="s">
        <v>5806</v>
      </c>
      <c r="C32" s="140" t="s">
        <v>70</v>
      </c>
      <c r="D32" s="140" t="s">
        <v>71</v>
      </c>
      <c r="E32" s="140" t="s">
        <v>54</v>
      </c>
      <c r="F32" s="162" t="s">
        <v>5813</v>
      </c>
      <c r="G32" s="140" t="s">
        <v>5814</v>
      </c>
      <c r="H32" s="140" t="s">
        <v>5809</v>
      </c>
      <c r="I32" s="140" t="s">
        <v>5810</v>
      </c>
      <c r="J32" s="140" t="s">
        <v>5811</v>
      </c>
      <c r="K32" s="140" t="s">
        <v>5812</v>
      </c>
      <c r="L32" s="140" t="s">
        <v>729</v>
      </c>
      <c r="M32" s="140" t="s">
        <v>41</v>
      </c>
      <c r="N32" s="155"/>
    </row>
    <row r="33" spans="1:14" ht="14.4">
      <c r="A33" s="140" t="s">
        <v>5700</v>
      </c>
      <c r="B33" s="140" t="s">
        <v>5806</v>
      </c>
      <c r="C33" s="140" t="s">
        <v>79</v>
      </c>
      <c r="D33" s="140" t="s">
        <v>80</v>
      </c>
      <c r="E33" s="140" t="s">
        <v>54</v>
      </c>
      <c r="F33" s="140" t="s">
        <v>5815</v>
      </c>
      <c r="G33" s="140" t="s">
        <v>5816</v>
      </c>
      <c r="H33" s="140" t="s">
        <v>5809</v>
      </c>
      <c r="I33" s="140" t="s">
        <v>5810</v>
      </c>
      <c r="J33" s="140" t="s">
        <v>5811</v>
      </c>
      <c r="K33" s="140" t="s">
        <v>5812</v>
      </c>
      <c r="L33" s="140" t="s">
        <v>729</v>
      </c>
      <c r="M33" s="140" t="s">
        <v>41</v>
      </c>
      <c r="N33" s="155"/>
    </row>
    <row r="34" spans="1:14" ht="14.4">
      <c r="A34" s="140" t="s">
        <v>5700</v>
      </c>
      <c r="B34" s="140" t="s">
        <v>5806</v>
      </c>
      <c r="C34" s="173" t="s">
        <v>85</v>
      </c>
      <c r="D34" s="140" t="s">
        <v>86</v>
      </c>
      <c r="E34" s="140" t="s">
        <v>54</v>
      </c>
      <c r="F34" s="140" t="s">
        <v>5817</v>
      </c>
      <c r="G34" s="140" t="s">
        <v>5818</v>
      </c>
      <c r="H34" s="140" t="s">
        <v>5809</v>
      </c>
      <c r="I34" s="140" t="s">
        <v>5810</v>
      </c>
      <c r="J34" s="140" t="s">
        <v>5819</v>
      </c>
      <c r="K34" s="140" t="s">
        <v>5820</v>
      </c>
      <c r="L34" s="140" t="s">
        <v>729</v>
      </c>
      <c r="M34" s="140" t="s">
        <v>41</v>
      </c>
      <c r="N34" s="155" t="s">
        <v>5821</v>
      </c>
    </row>
    <row r="35" spans="1:14" ht="14.4">
      <c r="A35" s="140" t="s">
        <v>5700</v>
      </c>
      <c r="B35" s="140" t="s">
        <v>5806</v>
      </c>
      <c r="C35" s="173" t="s">
        <v>85</v>
      </c>
      <c r="D35" s="140" t="s">
        <v>86</v>
      </c>
      <c r="E35" s="140" t="s">
        <v>54</v>
      </c>
      <c r="F35" s="140" t="s">
        <v>5822</v>
      </c>
      <c r="G35" s="140" t="s">
        <v>5823</v>
      </c>
      <c r="H35" s="140" t="s">
        <v>5809</v>
      </c>
      <c r="I35" s="140" t="s">
        <v>5810</v>
      </c>
      <c r="J35" s="140" t="s">
        <v>5824</v>
      </c>
      <c r="K35" s="140" t="s">
        <v>5825</v>
      </c>
      <c r="L35" s="140" t="s">
        <v>729</v>
      </c>
      <c r="M35" s="140" t="s">
        <v>41</v>
      </c>
      <c r="N35" s="155" t="s">
        <v>5826</v>
      </c>
    </row>
    <row r="36" spans="1:14" ht="14.4">
      <c r="A36" s="140" t="s">
        <v>5700</v>
      </c>
      <c r="B36" s="140" t="s">
        <v>5806</v>
      </c>
      <c r="C36" s="173" t="s">
        <v>85</v>
      </c>
      <c r="D36" s="140" t="s">
        <v>86</v>
      </c>
      <c r="E36" s="140" t="s">
        <v>54</v>
      </c>
      <c r="F36" s="140" t="s">
        <v>5827</v>
      </c>
      <c r="G36" s="140" t="s">
        <v>5828</v>
      </c>
      <c r="H36" s="140" t="s">
        <v>5809</v>
      </c>
      <c r="I36" s="140" t="s">
        <v>5810</v>
      </c>
      <c r="J36" s="140" t="s">
        <v>5829</v>
      </c>
      <c r="K36" s="140" t="s">
        <v>5830</v>
      </c>
      <c r="L36" s="140" t="s">
        <v>729</v>
      </c>
      <c r="M36" s="140" t="s">
        <v>41</v>
      </c>
      <c r="N36" s="155"/>
    </row>
    <row r="37" spans="1:14" ht="14.4">
      <c r="A37" s="140" t="s">
        <v>5700</v>
      </c>
      <c r="B37" s="140" t="s">
        <v>5806</v>
      </c>
      <c r="C37" s="173" t="s">
        <v>85</v>
      </c>
      <c r="D37" s="140" t="s">
        <v>86</v>
      </c>
      <c r="E37" s="140" t="s">
        <v>54</v>
      </c>
      <c r="F37" s="140" t="s">
        <v>5831</v>
      </c>
      <c r="G37" s="140" t="s">
        <v>5832</v>
      </c>
      <c r="H37" s="140" t="s">
        <v>5809</v>
      </c>
      <c r="I37" s="140" t="s">
        <v>5810</v>
      </c>
      <c r="J37" s="140" t="s">
        <v>5833</v>
      </c>
      <c r="K37" s="140" t="s">
        <v>5834</v>
      </c>
      <c r="L37" s="140" t="s">
        <v>729</v>
      </c>
      <c r="M37" s="140" t="s">
        <v>41</v>
      </c>
      <c r="N37" s="155"/>
    </row>
    <row r="38" spans="1:14" ht="14.4">
      <c r="A38" s="140" t="s">
        <v>5700</v>
      </c>
      <c r="B38" s="140" t="s">
        <v>5806</v>
      </c>
      <c r="C38" s="173" t="s">
        <v>85</v>
      </c>
      <c r="D38" s="140" t="s">
        <v>86</v>
      </c>
      <c r="E38" s="140" t="s">
        <v>54</v>
      </c>
      <c r="F38" s="140" t="s">
        <v>5835</v>
      </c>
      <c r="G38" s="140" t="s">
        <v>5836</v>
      </c>
      <c r="H38" s="140" t="s">
        <v>5809</v>
      </c>
      <c r="I38" s="140" t="s">
        <v>5810</v>
      </c>
      <c r="J38" s="140" t="s">
        <v>5837</v>
      </c>
      <c r="K38" s="140" t="s">
        <v>5838</v>
      </c>
      <c r="L38" s="140" t="s">
        <v>729</v>
      </c>
      <c r="M38" s="140" t="s">
        <v>41</v>
      </c>
      <c r="N38" s="155" t="s">
        <v>5839</v>
      </c>
    </row>
    <row r="39" spans="1:14" ht="14.4">
      <c r="A39" s="140" t="s">
        <v>5700</v>
      </c>
      <c r="B39" s="140" t="s">
        <v>5806</v>
      </c>
      <c r="C39" s="173" t="s">
        <v>85</v>
      </c>
      <c r="D39" s="140" t="s">
        <v>86</v>
      </c>
      <c r="E39" s="140" t="s">
        <v>54</v>
      </c>
      <c r="F39" s="140" t="s">
        <v>5840</v>
      </c>
      <c r="G39" s="140" t="s">
        <v>5841</v>
      </c>
      <c r="H39" s="140" t="s">
        <v>5809</v>
      </c>
      <c r="I39" s="140" t="s">
        <v>5810</v>
      </c>
      <c r="J39" s="140" t="s">
        <v>5837</v>
      </c>
      <c r="K39" s="140" t="s">
        <v>5842</v>
      </c>
      <c r="L39" s="140" t="s">
        <v>729</v>
      </c>
      <c r="M39" s="140" t="s">
        <v>41</v>
      </c>
      <c r="N39" s="155" t="s">
        <v>5821</v>
      </c>
    </row>
    <row r="40" spans="1:14" ht="14.4">
      <c r="A40" s="140" t="s">
        <v>5700</v>
      </c>
      <c r="B40" s="140" t="s">
        <v>5806</v>
      </c>
      <c r="C40" s="173" t="s">
        <v>85</v>
      </c>
      <c r="D40" s="140" t="s">
        <v>86</v>
      </c>
      <c r="E40" s="140" t="s">
        <v>54</v>
      </c>
      <c r="F40" s="140" t="s">
        <v>5843</v>
      </c>
      <c r="G40" s="140" t="s">
        <v>5844</v>
      </c>
      <c r="H40" s="140" t="s">
        <v>5809</v>
      </c>
      <c r="I40" s="140" t="s">
        <v>5810</v>
      </c>
      <c r="J40" s="140" t="s">
        <v>5845</v>
      </c>
      <c r="K40" s="140" t="s">
        <v>5846</v>
      </c>
      <c r="L40" s="140" t="s">
        <v>729</v>
      </c>
      <c r="M40" s="140" t="s">
        <v>41</v>
      </c>
      <c r="N40" s="155"/>
    </row>
    <row r="41" spans="1:14" ht="14.4">
      <c r="A41" s="140" t="s">
        <v>5700</v>
      </c>
      <c r="B41" s="140" t="s">
        <v>5806</v>
      </c>
      <c r="C41" s="173" t="s">
        <v>85</v>
      </c>
      <c r="D41" s="140" t="s">
        <v>86</v>
      </c>
      <c r="E41" s="140" t="s">
        <v>54</v>
      </c>
      <c r="F41" s="140" t="s">
        <v>5847</v>
      </c>
      <c r="G41" s="140" t="s">
        <v>5848</v>
      </c>
      <c r="H41" s="140" t="s">
        <v>5809</v>
      </c>
      <c r="I41" s="140" t="s">
        <v>5810</v>
      </c>
      <c r="J41" s="140" t="s">
        <v>5849</v>
      </c>
      <c r="K41" s="140" t="s">
        <v>5850</v>
      </c>
      <c r="L41" s="140" t="s">
        <v>729</v>
      </c>
      <c r="M41" s="140" t="s">
        <v>41</v>
      </c>
      <c r="N41" s="155"/>
    </row>
    <row r="42" spans="1:14" ht="14.4">
      <c r="A42" s="140" t="s">
        <v>5700</v>
      </c>
      <c r="B42" s="140" t="s">
        <v>5806</v>
      </c>
      <c r="C42" s="173" t="s">
        <v>85</v>
      </c>
      <c r="D42" s="140" t="s">
        <v>86</v>
      </c>
      <c r="E42" s="140" t="s">
        <v>54</v>
      </c>
      <c r="F42" s="140" t="s">
        <v>5851</v>
      </c>
      <c r="G42" s="140" t="s">
        <v>5852</v>
      </c>
      <c r="H42" s="140" t="s">
        <v>5809</v>
      </c>
      <c r="I42" s="140" t="s">
        <v>5810</v>
      </c>
      <c r="J42" s="140" t="s">
        <v>5853</v>
      </c>
      <c r="K42" s="140" t="s">
        <v>5854</v>
      </c>
      <c r="L42" s="140" t="s">
        <v>729</v>
      </c>
      <c r="M42" s="140" t="s">
        <v>41</v>
      </c>
      <c r="N42" s="155"/>
    </row>
    <row r="43" spans="1:14" ht="14.4">
      <c r="A43" s="140" t="s">
        <v>5700</v>
      </c>
      <c r="B43" s="140" t="s">
        <v>5806</v>
      </c>
      <c r="C43" s="173" t="s">
        <v>85</v>
      </c>
      <c r="D43" s="140" t="s">
        <v>86</v>
      </c>
      <c r="E43" s="140" t="s">
        <v>54</v>
      </c>
      <c r="F43" s="140" t="s">
        <v>5855</v>
      </c>
      <c r="G43" s="140" t="s">
        <v>5856</v>
      </c>
      <c r="H43" s="140" t="s">
        <v>5809</v>
      </c>
      <c r="I43" s="140" t="s">
        <v>5810</v>
      </c>
      <c r="J43" s="140" t="s">
        <v>5857</v>
      </c>
      <c r="K43" s="140" t="s">
        <v>5858</v>
      </c>
      <c r="L43" s="140" t="s">
        <v>729</v>
      </c>
      <c r="M43" s="140" t="s">
        <v>41</v>
      </c>
      <c r="N43" s="155" t="s">
        <v>5859</v>
      </c>
    </row>
    <row r="44" spans="1:14" ht="14.4">
      <c r="A44" s="140" t="s">
        <v>5700</v>
      </c>
      <c r="B44" s="140" t="s">
        <v>5806</v>
      </c>
      <c r="C44" s="173" t="s">
        <v>85</v>
      </c>
      <c r="D44" s="140" t="s">
        <v>86</v>
      </c>
      <c r="E44" s="140" t="s">
        <v>54</v>
      </c>
      <c r="F44" s="140" t="s">
        <v>5860</v>
      </c>
      <c r="G44" s="140" t="s">
        <v>5861</v>
      </c>
      <c r="H44" s="140" t="s">
        <v>5809</v>
      </c>
      <c r="I44" s="140" t="s">
        <v>5810</v>
      </c>
      <c r="J44" s="140" t="s">
        <v>5862</v>
      </c>
      <c r="K44" s="140" t="s">
        <v>5863</v>
      </c>
      <c r="L44" s="140" t="s">
        <v>729</v>
      </c>
      <c r="M44" s="140" t="s">
        <v>41</v>
      </c>
      <c r="N44" s="155"/>
    </row>
    <row r="45" spans="1:14" ht="14.4">
      <c r="A45" s="140" t="s">
        <v>5700</v>
      </c>
      <c r="B45" s="140" t="s">
        <v>5806</v>
      </c>
      <c r="C45" s="173" t="s">
        <v>85</v>
      </c>
      <c r="D45" s="140" t="s">
        <v>86</v>
      </c>
      <c r="E45" s="140" t="s">
        <v>54</v>
      </c>
      <c r="F45" s="140" t="s">
        <v>5864</v>
      </c>
      <c r="G45" s="140" t="s">
        <v>5865</v>
      </c>
      <c r="H45" s="140" t="s">
        <v>5809</v>
      </c>
      <c r="I45" s="140" t="s">
        <v>5810</v>
      </c>
      <c r="J45" s="140" t="s">
        <v>5866</v>
      </c>
      <c r="K45" s="140" t="s">
        <v>5867</v>
      </c>
      <c r="L45" s="140" t="s">
        <v>729</v>
      </c>
      <c r="M45" s="140" t="s">
        <v>41</v>
      </c>
      <c r="N45" s="155" t="s">
        <v>5868</v>
      </c>
    </row>
    <row r="46" spans="1:14" ht="14.4">
      <c r="A46" s="140" t="s">
        <v>5700</v>
      </c>
      <c r="B46" s="140" t="s">
        <v>5806</v>
      </c>
      <c r="C46" s="140" t="s">
        <v>85</v>
      </c>
      <c r="D46" s="140" t="s">
        <v>86</v>
      </c>
      <c r="E46" s="140" t="s">
        <v>54</v>
      </c>
      <c r="F46" s="140" t="s">
        <v>5869</v>
      </c>
      <c r="G46" s="140" t="s">
        <v>5870</v>
      </c>
      <c r="H46" s="140" t="s">
        <v>5809</v>
      </c>
      <c r="I46" s="140" t="s">
        <v>5810</v>
      </c>
      <c r="J46" s="140" t="s">
        <v>4447</v>
      </c>
      <c r="K46" s="140" t="s">
        <v>5871</v>
      </c>
      <c r="L46" s="140" t="s">
        <v>729</v>
      </c>
      <c r="M46" s="140" t="s">
        <v>41</v>
      </c>
      <c r="N46" s="155" t="s">
        <v>5868</v>
      </c>
    </row>
    <row r="47" spans="1:14" ht="14.4">
      <c r="A47" s="140" t="s">
        <v>5700</v>
      </c>
      <c r="B47" s="140" t="s">
        <v>5806</v>
      </c>
      <c r="C47" s="140" t="s">
        <v>85</v>
      </c>
      <c r="D47" s="140" t="s">
        <v>86</v>
      </c>
      <c r="E47" s="140" t="s">
        <v>54</v>
      </c>
      <c r="F47" s="140" t="s">
        <v>5872</v>
      </c>
      <c r="G47" s="140" t="s">
        <v>5873</v>
      </c>
      <c r="H47" s="140" t="s">
        <v>5809</v>
      </c>
      <c r="I47" s="140" t="s">
        <v>5810</v>
      </c>
      <c r="J47" s="140" t="s">
        <v>5845</v>
      </c>
      <c r="K47" s="140" t="s">
        <v>5874</v>
      </c>
      <c r="L47" s="140" t="s">
        <v>729</v>
      </c>
      <c r="M47" s="140" t="s">
        <v>41</v>
      </c>
      <c r="N47" s="155" t="s">
        <v>5859</v>
      </c>
    </row>
    <row r="48" spans="1:14" ht="14.4">
      <c r="A48" s="140" t="s">
        <v>5700</v>
      </c>
      <c r="B48" s="140" t="s">
        <v>5806</v>
      </c>
      <c r="C48" s="140" t="s">
        <v>220</v>
      </c>
      <c r="D48" s="140" t="s">
        <v>234</v>
      </c>
      <c r="E48" s="140" t="s">
        <v>54</v>
      </c>
      <c r="F48" s="140" t="s">
        <v>424</v>
      </c>
      <c r="G48" s="140" t="s">
        <v>5875</v>
      </c>
      <c r="H48" s="140" t="s">
        <v>5809</v>
      </c>
      <c r="I48" s="140" t="s">
        <v>5810</v>
      </c>
      <c r="J48" s="140" t="s">
        <v>5876</v>
      </c>
      <c r="K48" s="140" t="s">
        <v>5877</v>
      </c>
      <c r="L48" s="140" t="s">
        <v>2403</v>
      </c>
      <c r="M48" s="140" t="s">
        <v>41</v>
      </c>
      <c r="N48" s="155"/>
    </row>
    <row r="49" spans="1:31" ht="14.4">
      <c r="A49" s="140" t="s">
        <v>5700</v>
      </c>
      <c r="B49" s="140" t="s">
        <v>5806</v>
      </c>
      <c r="C49" s="140" t="s">
        <v>220</v>
      </c>
      <c r="D49" s="140" t="s">
        <v>234</v>
      </c>
      <c r="E49" s="140" t="s">
        <v>54</v>
      </c>
      <c r="F49" s="140" t="s">
        <v>432</v>
      </c>
      <c r="G49" s="140" t="s">
        <v>5878</v>
      </c>
      <c r="H49" s="140" t="s">
        <v>5809</v>
      </c>
      <c r="I49" s="140" t="s">
        <v>5810</v>
      </c>
      <c r="J49" s="140" t="s">
        <v>5879</v>
      </c>
      <c r="K49" s="140" t="s">
        <v>5880</v>
      </c>
      <c r="L49" s="140" t="s">
        <v>729</v>
      </c>
      <c r="M49" s="140" t="s">
        <v>41</v>
      </c>
      <c r="N49" s="155"/>
    </row>
    <row r="50" spans="1:31" ht="14.4">
      <c r="A50" s="140" t="s">
        <v>5700</v>
      </c>
      <c r="B50" s="140" t="s">
        <v>5806</v>
      </c>
      <c r="C50" s="140" t="s">
        <v>220</v>
      </c>
      <c r="D50" s="140" t="s">
        <v>234</v>
      </c>
      <c r="E50" s="140" t="s">
        <v>54</v>
      </c>
      <c r="F50" s="140" t="s">
        <v>442</v>
      </c>
      <c r="G50" s="140" t="s">
        <v>5881</v>
      </c>
      <c r="H50" s="140" t="s">
        <v>5809</v>
      </c>
      <c r="I50" s="140" t="s">
        <v>5810</v>
      </c>
      <c r="J50" s="140" t="s">
        <v>5882</v>
      </c>
      <c r="K50" s="140" t="s">
        <v>5883</v>
      </c>
      <c r="L50" s="140" t="s">
        <v>729</v>
      </c>
      <c r="M50" s="140" t="s">
        <v>41</v>
      </c>
      <c r="N50" s="155"/>
    </row>
    <row r="51" spans="1:31" ht="14.4">
      <c r="A51" s="140" t="s">
        <v>5700</v>
      </c>
      <c r="B51" s="140" t="s">
        <v>5806</v>
      </c>
      <c r="C51" s="140" t="s">
        <v>220</v>
      </c>
      <c r="D51" s="140" t="s">
        <v>234</v>
      </c>
      <c r="E51" s="140" t="s">
        <v>54</v>
      </c>
      <c r="F51" s="140" t="s">
        <v>451</v>
      </c>
      <c r="G51" s="140" t="s">
        <v>5884</v>
      </c>
      <c r="H51" s="140" t="s">
        <v>5809</v>
      </c>
      <c r="I51" s="140" t="s">
        <v>5810</v>
      </c>
      <c r="J51" s="140" t="s">
        <v>5885</v>
      </c>
      <c r="K51" s="140" t="s">
        <v>5886</v>
      </c>
      <c r="L51" s="140" t="s">
        <v>729</v>
      </c>
      <c r="M51" s="140" t="s">
        <v>41</v>
      </c>
      <c r="N51" s="155"/>
    </row>
    <row r="52" spans="1:31" ht="14.4">
      <c r="A52" s="140" t="s">
        <v>5700</v>
      </c>
      <c r="B52" s="140" t="s">
        <v>5806</v>
      </c>
      <c r="C52" s="140" t="s">
        <v>220</v>
      </c>
      <c r="D52" s="140" t="s">
        <v>234</v>
      </c>
      <c r="E52" s="140" t="s">
        <v>54</v>
      </c>
      <c r="F52" s="140" t="s">
        <v>460</v>
      </c>
      <c r="G52" s="140" t="s">
        <v>5887</v>
      </c>
      <c r="H52" s="140" t="s">
        <v>5809</v>
      </c>
      <c r="I52" s="140" t="s">
        <v>5810</v>
      </c>
      <c r="J52" s="140" t="s">
        <v>5885</v>
      </c>
      <c r="K52" s="140" t="s">
        <v>5888</v>
      </c>
      <c r="L52" s="140" t="s">
        <v>729</v>
      </c>
      <c r="M52" s="140" t="s">
        <v>41</v>
      </c>
      <c r="N52" s="155"/>
    </row>
    <row r="53" spans="1:31" ht="14.4">
      <c r="A53" s="140" t="s">
        <v>5700</v>
      </c>
      <c r="B53" s="140" t="s">
        <v>5806</v>
      </c>
      <c r="C53" s="140" t="s">
        <v>233</v>
      </c>
      <c r="D53" s="140" t="s">
        <v>298</v>
      </c>
      <c r="E53" s="140" t="s">
        <v>54</v>
      </c>
      <c r="F53" s="140" t="s">
        <v>5889</v>
      </c>
      <c r="G53" s="140" t="s">
        <v>5890</v>
      </c>
      <c r="H53" s="140" t="s">
        <v>5809</v>
      </c>
      <c r="I53" s="140" t="s">
        <v>5810</v>
      </c>
      <c r="J53" s="140" t="s">
        <v>5891</v>
      </c>
      <c r="K53" s="140" t="s">
        <v>5892</v>
      </c>
      <c r="L53" s="140" t="s">
        <v>2403</v>
      </c>
      <c r="M53" s="140" t="s">
        <v>41</v>
      </c>
      <c r="N53" s="155"/>
    </row>
    <row r="54" spans="1:31" ht="14.4">
      <c r="A54" s="140" t="s">
        <v>5700</v>
      </c>
      <c r="B54" s="140" t="s">
        <v>5806</v>
      </c>
      <c r="C54" s="140" t="s">
        <v>233</v>
      </c>
      <c r="D54" s="140" t="s">
        <v>298</v>
      </c>
      <c r="E54" s="140" t="s">
        <v>54</v>
      </c>
      <c r="F54" s="140" t="s">
        <v>5893</v>
      </c>
      <c r="G54" s="140" t="s">
        <v>5894</v>
      </c>
      <c r="H54" s="140" t="s">
        <v>5809</v>
      </c>
      <c r="I54" s="140" t="s">
        <v>5810</v>
      </c>
      <c r="J54" s="140" t="s">
        <v>5895</v>
      </c>
      <c r="K54" s="140" t="s">
        <v>5896</v>
      </c>
      <c r="L54" s="140" t="s">
        <v>729</v>
      </c>
      <c r="M54" s="140" t="s">
        <v>41</v>
      </c>
      <c r="N54" s="155"/>
    </row>
    <row r="55" spans="1:31" ht="14.4">
      <c r="A55" s="140" t="s">
        <v>5700</v>
      </c>
      <c r="B55" s="140" t="s">
        <v>5806</v>
      </c>
      <c r="C55" s="140" t="s">
        <v>233</v>
      </c>
      <c r="D55" s="140" t="s">
        <v>298</v>
      </c>
      <c r="E55" s="140" t="s">
        <v>54</v>
      </c>
      <c r="F55" s="140" t="s">
        <v>5897</v>
      </c>
      <c r="G55" s="140" t="s">
        <v>5898</v>
      </c>
      <c r="H55" s="140" t="s">
        <v>5809</v>
      </c>
      <c r="I55" s="140" t="s">
        <v>5810</v>
      </c>
      <c r="J55" s="140" t="s">
        <v>5899</v>
      </c>
      <c r="K55" s="140" t="s">
        <v>5900</v>
      </c>
      <c r="L55" s="140" t="s">
        <v>729</v>
      </c>
      <c r="M55" s="140" t="s">
        <v>41</v>
      </c>
      <c r="N55" s="155"/>
    </row>
    <row r="56" spans="1:31" ht="14.4">
      <c r="A56" s="140" t="s">
        <v>5700</v>
      </c>
      <c r="B56" s="140" t="s">
        <v>5806</v>
      </c>
      <c r="C56" s="140" t="s">
        <v>233</v>
      </c>
      <c r="D56" s="140" t="s">
        <v>298</v>
      </c>
      <c r="E56" s="140" t="s">
        <v>54</v>
      </c>
      <c r="F56" s="140" t="s">
        <v>5901</v>
      </c>
      <c r="G56" s="140" t="s">
        <v>5902</v>
      </c>
      <c r="H56" s="140" t="s">
        <v>5809</v>
      </c>
      <c r="I56" s="140" t="s">
        <v>5810</v>
      </c>
      <c r="J56" s="140" t="s">
        <v>5903</v>
      </c>
      <c r="K56" s="140" t="s">
        <v>5904</v>
      </c>
      <c r="L56" s="140" t="s">
        <v>729</v>
      </c>
      <c r="M56" s="140" t="s">
        <v>41</v>
      </c>
      <c r="N56" s="155"/>
    </row>
    <row r="57" spans="1:31" ht="14.4">
      <c r="A57" s="140" t="s">
        <v>5700</v>
      </c>
      <c r="B57" s="140" t="s">
        <v>5806</v>
      </c>
      <c r="C57" s="140" t="s">
        <v>275</v>
      </c>
      <c r="D57" s="140" t="s">
        <v>543</v>
      </c>
      <c r="E57" s="140" t="s">
        <v>54</v>
      </c>
      <c r="F57" s="162" t="s">
        <v>5905</v>
      </c>
      <c r="G57" s="140" t="s">
        <v>5906</v>
      </c>
      <c r="H57" s="140" t="s">
        <v>5809</v>
      </c>
      <c r="I57" s="140" t="s">
        <v>2790</v>
      </c>
      <c r="J57" s="140" t="s">
        <v>3957</v>
      </c>
      <c r="K57" s="140" t="s">
        <v>5907</v>
      </c>
      <c r="L57" s="140" t="s">
        <v>729</v>
      </c>
      <c r="M57" s="140" t="s">
        <v>41</v>
      </c>
      <c r="N57" s="15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</row>
    <row r="58" spans="1:31" ht="14.4">
      <c r="A58" s="140" t="s">
        <v>5700</v>
      </c>
      <c r="B58" s="140" t="s">
        <v>5806</v>
      </c>
      <c r="C58" s="140" t="s">
        <v>296</v>
      </c>
      <c r="D58" s="140" t="s">
        <v>954</v>
      </c>
      <c r="E58" s="140" t="s">
        <v>54</v>
      </c>
      <c r="F58" s="162" t="s">
        <v>5908</v>
      </c>
      <c r="G58" s="140" t="s">
        <v>5909</v>
      </c>
      <c r="H58" s="140" t="s">
        <v>5910</v>
      </c>
      <c r="I58" s="140" t="s">
        <v>933</v>
      </c>
      <c r="J58" s="140" t="s">
        <v>5911</v>
      </c>
      <c r="K58" s="140" t="s">
        <v>5910</v>
      </c>
      <c r="L58" s="140" t="s">
        <v>729</v>
      </c>
      <c r="M58" s="140" t="s">
        <v>41</v>
      </c>
      <c r="N58" s="155"/>
    </row>
    <row r="59" spans="1:31" ht="14.4">
      <c r="A59" s="140" t="s">
        <v>5700</v>
      </c>
      <c r="B59" s="140" t="s">
        <v>5912</v>
      </c>
      <c r="C59" s="140" t="s">
        <v>51</v>
      </c>
      <c r="D59" s="140" t="s">
        <v>52</v>
      </c>
      <c r="E59" s="140" t="s">
        <v>54</v>
      </c>
      <c r="F59" s="140" t="s">
        <v>5913</v>
      </c>
      <c r="G59" s="140" t="s">
        <v>5914</v>
      </c>
      <c r="H59" s="140" t="s">
        <v>5915</v>
      </c>
      <c r="I59" s="140" t="s">
        <v>966</v>
      </c>
      <c r="J59" s="140" t="s">
        <v>5916</v>
      </c>
      <c r="K59" s="140" t="s">
        <v>5915</v>
      </c>
      <c r="L59" s="140" t="s">
        <v>966</v>
      </c>
      <c r="M59" s="140" t="s">
        <v>41</v>
      </c>
      <c r="N59" s="155"/>
    </row>
    <row r="60" spans="1:31" ht="14.4">
      <c r="A60" s="140" t="s">
        <v>5700</v>
      </c>
      <c r="B60" s="140" t="s">
        <v>5912</v>
      </c>
      <c r="C60" s="140" t="s">
        <v>70</v>
      </c>
      <c r="D60" s="140" t="s">
        <v>71</v>
      </c>
      <c r="E60" s="140" t="s">
        <v>54</v>
      </c>
      <c r="F60" s="162" t="s">
        <v>5913</v>
      </c>
      <c r="G60" s="140" t="s">
        <v>5917</v>
      </c>
      <c r="H60" s="140" t="s">
        <v>5918</v>
      </c>
      <c r="I60" s="140" t="s">
        <v>5919</v>
      </c>
      <c r="J60" s="140" t="s">
        <v>5920</v>
      </c>
      <c r="K60" s="140" t="s">
        <v>5918</v>
      </c>
      <c r="L60" s="140" t="s">
        <v>5919</v>
      </c>
      <c r="M60" s="140" t="s">
        <v>41</v>
      </c>
      <c r="N60" s="155"/>
    </row>
    <row r="61" spans="1:31" ht="14.4">
      <c r="A61" s="140" t="s">
        <v>5700</v>
      </c>
      <c r="B61" s="140" t="s">
        <v>5912</v>
      </c>
      <c r="C61" s="140" t="s">
        <v>79</v>
      </c>
      <c r="D61" s="140" t="s">
        <v>80</v>
      </c>
      <c r="E61" s="140" t="s">
        <v>54</v>
      </c>
      <c r="F61" s="140" t="s">
        <v>5921</v>
      </c>
      <c r="G61" s="140" t="s">
        <v>5922</v>
      </c>
      <c r="H61" s="140" t="s">
        <v>5915</v>
      </c>
      <c r="I61" s="140" t="s">
        <v>966</v>
      </c>
      <c r="J61" s="140" t="s">
        <v>5923</v>
      </c>
      <c r="K61" s="140" t="s">
        <v>5915</v>
      </c>
      <c r="L61" s="140" t="s">
        <v>966</v>
      </c>
      <c r="M61" s="140" t="s">
        <v>41</v>
      </c>
      <c r="N61" s="155"/>
    </row>
    <row r="62" spans="1:31" ht="14.4">
      <c r="A62" s="140" t="s">
        <v>5700</v>
      </c>
      <c r="B62" s="140" t="s">
        <v>5912</v>
      </c>
      <c r="C62" s="140" t="s">
        <v>85</v>
      </c>
      <c r="D62" s="140" t="s">
        <v>86</v>
      </c>
      <c r="E62" s="140" t="s">
        <v>54</v>
      </c>
      <c r="F62" s="140" t="s">
        <v>5924</v>
      </c>
      <c r="G62" s="140" t="s">
        <v>5925</v>
      </c>
      <c r="H62" s="140" t="s">
        <v>5926</v>
      </c>
      <c r="I62" s="140" t="s">
        <v>5927</v>
      </c>
      <c r="J62" s="140" t="s">
        <v>5928</v>
      </c>
      <c r="K62" s="140" t="s">
        <v>5929</v>
      </c>
      <c r="L62" s="140" t="s">
        <v>5930</v>
      </c>
      <c r="M62" s="140" t="s">
        <v>41</v>
      </c>
      <c r="N62" s="155"/>
    </row>
    <row r="63" spans="1:31" ht="14.4">
      <c r="A63" s="140" t="s">
        <v>5700</v>
      </c>
      <c r="B63" s="140" t="s">
        <v>5912</v>
      </c>
      <c r="C63" s="140" t="s">
        <v>85</v>
      </c>
      <c r="D63" s="140" t="s">
        <v>86</v>
      </c>
      <c r="E63" s="140" t="s">
        <v>54</v>
      </c>
      <c r="F63" s="140" t="s">
        <v>5931</v>
      </c>
      <c r="G63" s="140" t="s">
        <v>5932</v>
      </c>
      <c r="H63" s="140" t="s">
        <v>5926</v>
      </c>
      <c r="I63" s="140" t="s">
        <v>5927</v>
      </c>
      <c r="J63" s="140" t="s">
        <v>5928</v>
      </c>
      <c r="K63" s="140" t="s">
        <v>5933</v>
      </c>
      <c r="L63" s="140" t="s">
        <v>5930</v>
      </c>
      <c r="M63" s="140" t="s">
        <v>41</v>
      </c>
      <c r="N63" s="155"/>
    </row>
    <row r="64" spans="1:31" ht="14.4">
      <c r="A64" s="140" t="s">
        <v>5700</v>
      </c>
      <c r="B64" s="140" t="s">
        <v>5912</v>
      </c>
      <c r="C64" s="140" t="s">
        <v>85</v>
      </c>
      <c r="D64" s="140" t="s">
        <v>86</v>
      </c>
      <c r="E64" s="140" t="s">
        <v>54</v>
      </c>
      <c r="F64" s="140" t="s">
        <v>5934</v>
      </c>
      <c r="G64" s="140" t="s">
        <v>5935</v>
      </c>
      <c r="H64" s="140" t="s">
        <v>5926</v>
      </c>
      <c r="I64" s="140" t="s">
        <v>5927</v>
      </c>
      <c r="J64" s="140" t="s">
        <v>5928</v>
      </c>
      <c r="K64" s="140" t="s">
        <v>5936</v>
      </c>
      <c r="L64" s="140" t="s">
        <v>5930</v>
      </c>
      <c r="M64" s="140" t="s">
        <v>41</v>
      </c>
      <c r="N64" s="155"/>
    </row>
    <row r="65" spans="1:14" ht="14.4">
      <c r="A65" s="140" t="s">
        <v>5700</v>
      </c>
      <c r="B65" s="140" t="s">
        <v>5912</v>
      </c>
      <c r="C65" s="140" t="s">
        <v>85</v>
      </c>
      <c r="D65" s="140" t="s">
        <v>86</v>
      </c>
      <c r="E65" s="140" t="s">
        <v>54</v>
      </c>
      <c r="F65" s="140" t="s">
        <v>5937</v>
      </c>
      <c r="G65" s="140" t="s">
        <v>5938</v>
      </c>
      <c r="H65" s="140" t="s">
        <v>5926</v>
      </c>
      <c r="I65" s="140" t="s">
        <v>5927</v>
      </c>
      <c r="J65" s="140" t="s">
        <v>5928</v>
      </c>
      <c r="K65" s="140" t="s">
        <v>5939</v>
      </c>
      <c r="L65" s="140" t="s">
        <v>5930</v>
      </c>
      <c r="M65" s="140" t="s">
        <v>41</v>
      </c>
      <c r="N65" s="155"/>
    </row>
    <row r="66" spans="1:14" ht="14.4">
      <c r="A66" s="140" t="s">
        <v>5700</v>
      </c>
      <c r="B66" s="140" t="s">
        <v>5912</v>
      </c>
      <c r="C66" s="140" t="s">
        <v>85</v>
      </c>
      <c r="D66" s="140" t="s">
        <v>86</v>
      </c>
      <c r="E66" s="140" t="s">
        <v>54</v>
      </c>
      <c r="F66" s="140" t="s">
        <v>5940</v>
      </c>
      <c r="G66" s="140" t="s">
        <v>5941</v>
      </c>
      <c r="H66" s="140" t="s">
        <v>5926</v>
      </c>
      <c r="I66" s="140" t="s">
        <v>5927</v>
      </c>
      <c r="J66" s="140" t="s">
        <v>5928</v>
      </c>
      <c r="K66" s="140" t="s">
        <v>5942</v>
      </c>
      <c r="L66" s="140" t="s">
        <v>5930</v>
      </c>
      <c r="M66" s="140" t="s">
        <v>41</v>
      </c>
      <c r="N66" s="155"/>
    </row>
    <row r="67" spans="1:14" ht="14.4">
      <c r="A67" s="140" t="s">
        <v>5700</v>
      </c>
      <c r="B67" s="140" t="s">
        <v>5912</v>
      </c>
      <c r="C67" s="140" t="s">
        <v>85</v>
      </c>
      <c r="D67" s="140" t="s">
        <v>86</v>
      </c>
      <c r="E67" s="140" t="s">
        <v>54</v>
      </c>
      <c r="F67" s="140" t="s">
        <v>5943</v>
      </c>
      <c r="G67" s="140" t="s">
        <v>5944</v>
      </c>
      <c r="H67" s="140" t="s">
        <v>5926</v>
      </c>
      <c r="I67" s="140" t="s">
        <v>5927</v>
      </c>
      <c r="J67" s="140" t="s">
        <v>5928</v>
      </c>
      <c r="K67" s="140" t="s">
        <v>5945</v>
      </c>
      <c r="L67" s="140" t="s">
        <v>5930</v>
      </c>
      <c r="M67" s="140" t="s">
        <v>41</v>
      </c>
      <c r="N67" s="155"/>
    </row>
    <row r="68" spans="1:14" ht="14.4">
      <c r="A68" s="140" t="s">
        <v>5700</v>
      </c>
      <c r="B68" s="140" t="s">
        <v>5912</v>
      </c>
      <c r="C68" s="140" t="s">
        <v>85</v>
      </c>
      <c r="D68" s="140" t="s">
        <v>86</v>
      </c>
      <c r="E68" s="140" t="s">
        <v>54</v>
      </c>
      <c r="F68" s="140" t="s">
        <v>5946</v>
      </c>
      <c r="G68" s="140" t="s">
        <v>5947</v>
      </c>
      <c r="H68" s="140" t="s">
        <v>5926</v>
      </c>
      <c r="I68" s="140" t="s">
        <v>5927</v>
      </c>
      <c r="J68" s="140" t="s">
        <v>5928</v>
      </c>
      <c r="K68" s="140" t="s">
        <v>5949</v>
      </c>
      <c r="L68" s="140" t="s">
        <v>5930</v>
      </c>
      <c r="M68" s="140" t="s">
        <v>41</v>
      </c>
      <c r="N68" s="155"/>
    </row>
    <row r="69" spans="1:14" ht="14.4">
      <c r="A69" s="140" t="s">
        <v>5700</v>
      </c>
      <c r="B69" s="140" t="s">
        <v>5912</v>
      </c>
      <c r="C69" s="140" t="s">
        <v>85</v>
      </c>
      <c r="D69" s="140" t="s">
        <v>86</v>
      </c>
      <c r="E69" s="140" t="s">
        <v>54</v>
      </c>
      <c r="F69" s="140" t="s">
        <v>5950</v>
      </c>
      <c r="G69" s="140" t="s">
        <v>5951</v>
      </c>
      <c r="H69" s="140" t="s">
        <v>5926</v>
      </c>
      <c r="I69" s="140" t="s">
        <v>5927</v>
      </c>
      <c r="J69" s="140" t="s">
        <v>5928</v>
      </c>
      <c r="K69" s="140" t="s">
        <v>5952</v>
      </c>
      <c r="L69" s="140" t="s">
        <v>5930</v>
      </c>
      <c r="M69" s="140" t="s">
        <v>41</v>
      </c>
      <c r="N69" s="155"/>
    </row>
    <row r="70" spans="1:14" ht="14.4">
      <c r="A70" s="140" t="s">
        <v>5700</v>
      </c>
      <c r="B70" s="140" t="s">
        <v>5912</v>
      </c>
      <c r="C70" s="140" t="s">
        <v>85</v>
      </c>
      <c r="D70" s="140" t="s">
        <v>86</v>
      </c>
      <c r="E70" s="140" t="s">
        <v>54</v>
      </c>
      <c r="F70" s="140" t="s">
        <v>5954</v>
      </c>
      <c r="G70" s="140" t="s">
        <v>5955</v>
      </c>
      <c r="H70" s="140" t="s">
        <v>5926</v>
      </c>
      <c r="I70" s="140" t="s">
        <v>5927</v>
      </c>
      <c r="J70" s="140" t="s">
        <v>5928</v>
      </c>
      <c r="K70" s="140" t="s">
        <v>5958</v>
      </c>
      <c r="L70" s="140" t="s">
        <v>5930</v>
      </c>
      <c r="M70" s="140" t="s">
        <v>41</v>
      </c>
      <c r="N70" s="155"/>
    </row>
    <row r="71" spans="1:14" ht="14.4">
      <c r="A71" s="140" t="s">
        <v>5700</v>
      </c>
      <c r="B71" s="140" t="s">
        <v>5912</v>
      </c>
      <c r="C71" s="140" t="s">
        <v>85</v>
      </c>
      <c r="D71" s="140" t="s">
        <v>86</v>
      </c>
      <c r="E71" s="140" t="s">
        <v>54</v>
      </c>
      <c r="F71" s="140" t="s">
        <v>5961</v>
      </c>
      <c r="G71" s="140" t="s">
        <v>5963</v>
      </c>
      <c r="H71" s="140" t="s">
        <v>5926</v>
      </c>
      <c r="I71" s="140" t="s">
        <v>5927</v>
      </c>
      <c r="J71" s="140" t="s">
        <v>5928</v>
      </c>
      <c r="K71" s="140" t="s">
        <v>5964</v>
      </c>
      <c r="L71" s="140" t="s">
        <v>5930</v>
      </c>
      <c r="M71" s="140" t="s">
        <v>41</v>
      </c>
      <c r="N71" s="155"/>
    </row>
    <row r="72" spans="1:14" ht="14.4">
      <c r="A72" s="140" t="s">
        <v>5700</v>
      </c>
      <c r="B72" s="140" t="s">
        <v>5912</v>
      </c>
      <c r="C72" s="140" t="s">
        <v>85</v>
      </c>
      <c r="D72" s="140" t="s">
        <v>86</v>
      </c>
      <c r="E72" s="140" t="s">
        <v>54</v>
      </c>
      <c r="F72" s="140" t="s">
        <v>5969</v>
      </c>
      <c r="G72" s="140" t="s">
        <v>5970</v>
      </c>
      <c r="H72" s="140" t="s">
        <v>5926</v>
      </c>
      <c r="I72" s="140" t="s">
        <v>5927</v>
      </c>
      <c r="J72" s="140" t="s">
        <v>5928</v>
      </c>
      <c r="K72" s="140" t="s">
        <v>5971</v>
      </c>
      <c r="L72" s="140" t="s">
        <v>5930</v>
      </c>
      <c r="M72" s="140" t="s">
        <v>41</v>
      </c>
      <c r="N72" s="155"/>
    </row>
    <row r="73" spans="1:14" ht="14.4">
      <c r="A73" s="140" t="s">
        <v>5700</v>
      </c>
      <c r="B73" s="140" t="s">
        <v>5912</v>
      </c>
      <c r="C73" s="140" t="s">
        <v>85</v>
      </c>
      <c r="D73" s="140" t="s">
        <v>86</v>
      </c>
      <c r="E73" s="140" t="s">
        <v>54</v>
      </c>
      <c r="F73" s="140" t="s">
        <v>5976</v>
      </c>
      <c r="G73" s="140" t="s">
        <v>5977</v>
      </c>
      <c r="H73" s="140" t="s">
        <v>5926</v>
      </c>
      <c r="I73" s="140" t="s">
        <v>5927</v>
      </c>
      <c r="J73" s="140" t="s">
        <v>5928</v>
      </c>
      <c r="K73" s="140" t="s">
        <v>5978</v>
      </c>
      <c r="L73" s="140" t="s">
        <v>5930</v>
      </c>
      <c r="M73" s="140" t="s">
        <v>41</v>
      </c>
      <c r="N73" s="155"/>
    </row>
    <row r="74" spans="1:14" ht="14.4">
      <c r="A74" s="140" t="s">
        <v>5700</v>
      </c>
      <c r="B74" s="140" t="s">
        <v>5912</v>
      </c>
      <c r="C74" s="140" t="s">
        <v>85</v>
      </c>
      <c r="D74" s="140" t="s">
        <v>86</v>
      </c>
      <c r="E74" s="140" t="s">
        <v>54</v>
      </c>
      <c r="F74" s="140" t="s">
        <v>5980</v>
      </c>
      <c r="G74" s="140" t="s">
        <v>5981</v>
      </c>
      <c r="H74" s="140" t="s">
        <v>5926</v>
      </c>
      <c r="I74" s="140" t="s">
        <v>5927</v>
      </c>
      <c r="J74" s="140" t="s">
        <v>5928</v>
      </c>
      <c r="K74" s="140" t="s">
        <v>5983</v>
      </c>
      <c r="L74" s="140" t="s">
        <v>5930</v>
      </c>
      <c r="M74" s="140" t="s">
        <v>41</v>
      </c>
      <c r="N74" s="155"/>
    </row>
    <row r="75" spans="1:14" ht="14.4">
      <c r="A75" s="140" t="s">
        <v>5700</v>
      </c>
      <c r="B75" s="140" t="s">
        <v>5912</v>
      </c>
      <c r="C75" s="140" t="s">
        <v>85</v>
      </c>
      <c r="D75" s="140"/>
      <c r="E75" s="140" t="s">
        <v>54</v>
      </c>
      <c r="F75" s="140" t="s">
        <v>5984</v>
      </c>
      <c r="G75" s="140" t="s">
        <v>5985</v>
      </c>
      <c r="H75" s="140" t="s">
        <v>5926</v>
      </c>
      <c r="I75" s="140" t="s">
        <v>5927</v>
      </c>
      <c r="J75" s="140" t="s">
        <v>5928</v>
      </c>
      <c r="K75" s="140" t="s">
        <v>5988</v>
      </c>
      <c r="L75" s="140" t="s">
        <v>5930</v>
      </c>
      <c r="M75" s="140" t="s">
        <v>41</v>
      </c>
      <c r="N75" s="155"/>
    </row>
    <row r="76" spans="1:14" ht="14.4">
      <c r="A76" s="140" t="s">
        <v>5700</v>
      </c>
      <c r="B76" s="140" t="s">
        <v>5912</v>
      </c>
      <c r="C76" s="140" t="s">
        <v>220</v>
      </c>
      <c r="D76" s="140" t="s">
        <v>234</v>
      </c>
      <c r="E76" s="140" t="s">
        <v>54</v>
      </c>
      <c r="F76" s="140" t="s">
        <v>5990</v>
      </c>
      <c r="G76" s="140" t="s">
        <v>5991</v>
      </c>
      <c r="H76" s="140" t="s">
        <v>5992</v>
      </c>
      <c r="I76" s="140" t="s">
        <v>5994</v>
      </c>
      <c r="J76" s="140" t="s">
        <v>5995</v>
      </c>
      <c r="K76" s="140" t="s">
        <v>5996</v>
      </c>
      <c r="L76" s="140" t="s">
        <v>5997</v>
      </c>
      <c r="M76" s="140" t="s">
        <v>41</v>
      </c>
      <c r="N76" s="155"/>
    </row>
    <row r="77" spans="1:14" ht="14.4">
      <c r="A77" s="140" t="s">
        <v>5700</v>
      </c>
      <c r="B77" s="140" t="s">
        <v>5912</v>
      </c>
      <c r="C77" s="140" t="s">
        <v>220</v>
      </c>
      <c r="D77" s="140" t="s">
        <v>234</v>
      </c>
      <c r="E77" s="140" t="s">
        <v>54</v>
      </c>
      <c r="F77" s="140" t="s">
        <v>5998</v>
      </c>
      <c r="G77" s="140" t="s">
        <v>6000</v>
      </c>
      <c r="H77" s="140" t="s">
        <v>5992</v>
      </c>
      <c r="I77" s="140" t="s">
        <v>5994</v>
      </c>
      <c r="J77" s="140" t="s">
        <v>5995</v>
      </c>
      <c r="K77" s="140" t="s">
        <v>6004</v>
      </c>
      <c r="L77" s="140" t="s">
        <v>5997</v>
      </c>
      <c r="M77" s="140" t="s">
        <v>41</v>
      </c>
      <c r="N77" s="155"/>
    </row>
    <row r="78" spans="1:14" ht="14.4">
      <c r="A78" s="140" t="s">
        <v>5700</v>
      </c>
      <c r="B78" s="140" t="s">
        <v>5912</v>
      </c>
      <c r="C78" s="140" t="s">
        <v>220</v>
      </c>
      <c r="D78" s="140" t="s">
        <v>234</v>
      </c>
      <c r="E78" s="140" t="s">
        <v>54</v>
      </c>
      <c r="F78" s="140" t="s">
        <v>6006</v>
      </c>
      <c r="G78" s="140" t="s">
        <v>6007</v>
      </c>
      <c r="H78" s="140" t="s">
        <v>5992</v>
      </c>
      <c r="I78" s="140" t="s">
        <v>5994</v>
      </c>
      <c r="J78" s="140" t="s">
        <v>5995</v>
      </c>
      <c r="K78" s="140" t="s">
        <v>6010</v>
      </c>
      <c r="L78" s="140" t="s">
        <v>5997</v>
      </c>
      <c r="M78" s="140" t="s">
        <v>41</v>
      </c>
      <c r="N78" s="155"/>
    </row>
    <row r="79" spans="1:14" ht="14.4">
      <c r="A79" s="140" t="s">
        <v>5700</v>
      </c>
      <c r="B79" s="140" t="s">
        <v>5912</v>
      </c>
      <c r="C79" s="140" t="s">
        <v>220</v>
      </c>
      <c r="D79" s="140" t="s">
        <v>234</v>
      </c>
      <c r="E79" s="140" t="s">
        <v>54</v>
      </c>
      <c r="F79" s="140" t="s">
        <v>6014</v>
      </c>
      <c r="G79" s="140" t="s">
        <v>6015</v>
      </c>
      <c r="H79" s="140" t="s">
        <v>5992</v>
      </c>
      <c r="I79" s="140" t="s">
        <v>5994</v>
      </c>
      <c r="J79" s="140" t="s">
        <v>5995</v>
      </c>
      <c r="K79" s="140" t="s">
        <v>6016</v>
      </c>
      <c r="L79" s="140" t="s">
        <v>5997</v>
      </c>
      <c r="M79" s="140" t="s">
        <v>41</v>
      </c>
      <c r="N79" s="155"/>
    </row>
    <row r="80" spans="1:14" ht="14.4">
      <c r="A80" s="140" t="s">
        <v>5700</v>
      </c>
      <c r="B80" s="140" t="s">
        <v>5912</v>
      </c>
      <c r="C80" s="140" t="s">
        <v>233</v>
      </c>
      <c r="D80" s="140" t="s">
        <v>298</v>
      </c>
      <c r="E80" s="140" t="s">
        <v>54</v>
      </c>
      <c r="F80" s="140" t="s">
        <v>6022</v>
      </c>
      <c r="G80" s="140" t="s">
        <v>6023</v>
      </c>
      <c r="H80" s="140" t="s">
        <v>5918</v>
      </c>
      <c r="I80" s="140" t="s">
        <v>6024</v>
      </c>
      <c r="J80" s="140" t="s">
        <v>6025</v>
      </c>
      <c r="K80" s="140" t="s">
        <v>6026</v>
      </c>
      <c r="L80" s="140" t="s">
        <v>2149</v>
      </c>
      <c r="M80" s="140" t="s">
        <v>41</v>
      </c>
      <c r="N80" s="155"/>
    </row>
    <row r="81" spans="1:31" ht="14.4">
      <c r="A81" s="140" t="s">
        <v>5700</v>
      </c>
      <c r="B81" s="140" t="s">
        <v>5912</v>
      </c>
      <c r="C81" s="140" t="s">
        <v>233</v>
      </c>
      <c r="D81" s="140" t="s">
        <v>298</v>
      </c>
      <c r="E81" s="140" t="s">
        <v>54</v>
      </c>
      <c r="F81" s="140" t="s">
        <v>6031</v>
      </c>
      <c r="G81" s="140" t="s">
        <v>6033</v>
      </c>
      <c r="H81" s="140" t="s">
        <v>5992</v>
      </c>
      <c r="I81" s="140" t="s">
        <v>6024</v>
      </c>
      <c r="J81" s="140" t="s">
        <v>6025</v>
      </c>
      <c r="K81" s="140" t="s">
        <v>6026</v>
      </c>
      <c r="L81" s="140" t="s">
        <v>2149</v>
      </c>
      <c r="M81" s="140" t="s">
        <v>41</v>
      </c>
      <c r="N81" s="155"/>
    </row>
    <row r="82" spans="1:31" ht="14.4">
      <c r="A82" s="140" t="s">
        <v>5700</v>
      </c>
      <c r="B82" s="140" t="s">
        <v>5912</v>
      </c>
      <c r="C82" s="140" t="s">
        <v>275</v>
      </c>
      <c r="D82" s="140" t="s">
        <v>543</v>
      </c>
      <c r="E82" s="140" t="s">
        <v>54</v>
      </c>
      <c r="F82" s="162" t="s">
        <v>6035</v>
      </c>
      <c r="G82" s="140" t="s">
        <v>6036</v>
      </c>
      <c r="H82" s="140" t="s">
        <v>5992</v>
      </c>
      <c r="I82" s="140" t="s">
        <v>5994</v>
      </c>
      <c r="J82" s="140" t="s">
        <v>6038</v>
      </c>
      <c r="K82" s="140" t="s">
        <v>5992</v>
      </c>
      <c r="L82" s="140" t="s">
        <v>5994</v>
      </c>
      <c r="M82" s="140" t="s">
        <v>41</v>
      </c>
      <c r="N82" s="15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</row>
    <row r="83" spans="1:31" ht="14.4">
      <c r="A83" s="140" t="s">
        <v>5700</v>
      </c>
      <c r="B83" s="140" t="s">
        <v>5912</v>
      </c>
      <c r="C83" s="107" t="s">
        <v>319</v>
      </c>
      <c r="D83" s="140" t="s">
        <v>796</v>
      </c>
      <c r="E83" s="140" t="s">
        <v>54</v>
      </c>
      <c r="F83" s="162" t="s">
        <v>6044</v>
      </c>
      <c r="G83" s="140"/>
      <c r="H83" s="140" t="s">
        <v>6045</v>
      </c>
      <c r="I83" s="140" t="s">
        <v>521</v>
      </c>
      <c r="J83" s="140"/>
      <c r="K83" s="140" t="s">
        <v>6045</v>
      </c>
      <c r="L83" s="140" t="s">
        <v>2149</v>
      </c>
      <c r="M83" s="140" t="s">
        <v>41</v>
      </c>
      <c r="N83" s="155"/>
    </row>
    <row r="84" spans="1:31" ht="14.4">
      <c r="A84" s="140" t="s">
        <v>5700</v>
      </c>
      <c r="B84" s="140" t="s">
        <v>5912</v>
      </c>
      <c r="C84" s="107" t="s">
        <v>319</v>
      </c>
      <c r="D84" s="140" t="s">
        <v>796</v>
      </c>
      <c r="E84" s="140" t="s">
        <v>54</v>
      </c>
      <c r="F84" s="162" t="s">
        <v>6050</v>
      </c>
      <c r="G84" s="140"/>
      <c r="H84" s="140" t="s">
        <v>6051</v>
      </c>
      <c r="I84" s="140" t="s">
        <v>4108</v>
      </c>
      <c r="J84" s="140"/>
      <c r="K84" s="140"/>
      <c r="L84" s="140" t="s">
        <v>4504</v>
      </c>
      <c r="M84" s="140" t="s">
        <v>41</v>
      </c>
      <c r="N84" s="155"/>
    </row>
    <row r="85" spans="1:31" ht="14.4">
      <c r="A85" s="140" t="s">
        <v>5700</v>
      </c>
      <c r="B85" s="140" t="s">
        <v>5912</v>
      </c>
      <c r="C85" s="107" t="s">
        <v>319</v>
      </c>
      <c r="D85" s="140" t="s">
        <v>796</v>
      </c>
      <c r="E85" s="140" t="s">
        <v>54</v>
      </c>
      <c r="F85" s="162" t="s">
        <v>6053</v>
      </c>
      <c r="G85" s="140"/>
      <c r="H85" s="140" t="s">
        <v>6054</v>
      </c>
      <c r="I85" s="140" t="s">
        <v>887</v>
      </c>
      <c r="J85" s="140"/>
      <c r="K85" s="140"/>
      <c r="L85" s="140" t="s">
        <v>2149</v>
      </c>
      <c r="M85" s="140" t="s">
        <v>41</v>
      </c>
      <c r="N85" s="155"/>
    </row>
    <row r="86" spans="1:31" ht="14.4">
      <c r="A86" s="140" t="s">
        <v>5700</v>
      </c>
      <c r="B86" s="140" t="s">
        <v>5912</v>
      </c>
      <c r="C86" s="140" t="s">
        <v>296</v>
      </c>
      <c r="D86" s="140" t="s">
        <v>954</v>
      </c>
      <c r="E86" s="140" t="s">
        <v>54</v>
      </c>
      <c r="F86" s="162" t="s">
        <v>6057</v>
      </c>
      <c r="G86" s="140" t="s">
        <v>6059</v>
      </c>
      <c r="H86" s="140" t="s">
        <v>5992</v>
      </c>
      <c r="I86" s="140" t="s">
        <v>5994</v>
      </c>
      <c r="J86" s="140" t="s">
        <v>6060</v>
      </c>
      <c r="K86" s="140" t="s">
        <v>5992</v>
      </c>
      <c r="L86" s="140" t="s">
        <v>5994</v>
      </c>
      <c r="M86" s="140" t="s">
        <v>41</v>
      </c>
      <c r="N86" s="155"/>
    </row>
    <row r="87" spans="1:31" ht="14.4">
      <c r="A87" s="140" t="s">
        <v>5700</v>
      </c>
      <c r="B87" s="140" t="s">
        <v>6061</v>
      </c>
      <c r="C87" s="140" t="s">
        <v>233</v>
      </c>
      <c r="D87" s="140" t="s">
        <v>298</v>
      </c>
      <c r="E87" s="140" t="s">
        <v>54</v>
      </c>
      <c r="F87" s="140" t="s">
        <v>6064</v>
      </c>
      <c r="G87" s="140" t="s">
        <v>6066</v>
      </c>
      <c r="H87" s="140" t="s">
        <v>6068</v>
      </c>
      <c r="I87" s="140" t="s">
        <v>6069</v>
      </c>
      <c r="J87" s="140" t="s">
        <v>6070</v>
      </c>
      <c r="K87" s="140" t="s">
        <v>6068</v>
      </c>
      <c r="L87" s="140" t="s">
        <v>6069</v>
      </c>
      <c r="M87" s="140" t="s">
        <v>41</v>
      </c>
      <c r="N87" s="155" t="s">
        <v>6071</v>
      </c>
    </row>
    <row r="88" spans="1:31" ht="14.4">
      <c r="A88" s="140" t="s">
        <v>5700</v>
      </c>
      <c r="B88" s="140" t="s">
        <v>6061</v>
      </c>
      <c r="C88" s="140" t="s">
        <v>85</v>
      </c>
      <c r="D88" s="140" t="s">
        <v>86</v>
      </c>
      <c r="E88" s="140" t="s">
        <v>54</v>
      </c>
      <c r="F88" s="140" t="s">
        <v>6073</v>
      </c>
      <c r="G88" s="140" t="s">
        <v>6074</v>
      </c>
      <c r="H88" s="140" t="s">
        <v>6076</v>
      </c>
      <c r="I88" s="140" t="s">
        <v>6077</v>
      </c>
      <c r="J88" s="140" t="s">
        <v>6078</v>
      </c>
      <c r="K88" s="140" t="s">
        <v>6079</v>
      </c>
      <c r="L88" s="140" t="s">
        <v>6080</v>
      </c>
      <c r="M88" s="140" t="s">
        <v>41</v>
      </c>
      <c r="N88" s="155"/>
    </row>
    <row r="89" spans="1:31" ht="14.4">
      <c r="A89" s="140" t="s">
        <v>5700</v>
      </c>
      <c r="B89" s="140" t="s">
        <v>6061</v>
      </c>
      <c r="C89" s="140" t="s">
        <v>85</v>
      </c>
      <c r="D89" s="140" t="s">
        <v>86</v>
      </c>
      <c r="E89" s="140" t="s">
        <v>54</v>
      </c>
      <c r="F89" s="140" t="s">
        <v>6083</v>
      </c>
      <c r="G89" s="140" t="s">
        <v>6084</v>
      </c>
      <c r="H89" s="140" t="s">
        <v>6076</v>
      </c>
      <c r="I89" s="140" t="s">
        <v>6077</v>
      </c>
      <c r="J89" s="140" t="s">
        <v>6085</v>
      </c>
      <c r="K89" s="140" t="s">
        <v>6086</v>
      </c>
      <c r="L89" s="140" t="s">
        <v>6087</v>
      </c>
      <c r="M89" s="140" t="s">
        <v>41</v>
      </c>
      <c r="N89" s="155"/>
    </row>
    <row r="90" spans="1:31" ht="14.4">
      <c r="A90" s="140" t="s">
        <v>5700</v>
      </c>
      <c r="B90" s="140" t="s">
        <v>6061</v>
      </c>
      <c r="C90" s="140" t="s">
        <v>85</v>
      </c>
      <c r="D90" s="140" t="s">
        <v>86</v>
      </c>
      <c r="E90" s="140" t="s">
        <v>54</v>
      </c>
      <c r="F90" s="140" t="s">
        <v>6089</v>
      </c>
      <c r="G90" s="140" t="s">
        <v>6090</v>
      </c>
      <c r="H90" s="140" t="s">
        <v>6091</v>
      </c>
      <c r="I90" s="140" t="s">
        <v>5927</v>
      </c>
      <c r="J90" s="140" t="s">
        <v>6092</v>
      </c>
      <c r="K90" s="140" t="s">
        <v>6091</v>
      </c>
      <c r="L90" s="140" t="s">
        <v>989</v>
      </c>
      <c r="M90" s="140" t="s">
        <v>41</v>
      </c>
      <c r="N90" s="155" t="s">
        <v>6093</v>
      </c>
    </row>
    <row r="91" spans="1:31" ht="14.4">
      <c r="A91" s="140" t="s">
        <v>5700</v>
      </c>
      <c r="B91" s="140" t="s">
        <v>6061</v>
      </c>
      <c r="C91" s="140" t="s">
        <v>85</v>
      </c>
      <c r="D91" s="140" t="s">
        <v>86</v>
      </c>
      <c r="E91" s="140" t="s">
        <v>54</v>
      </c>
      <c r="F91" s="140" t="s">
        <v>6095</v>
      </c>
      <c r="G91" s="140" t="s">
        <v>6097</v>
      </c>
      <c r="H91" s="140" t="s">
        <v>6076</v>
      </c>
      <c r="I91" s="140" t="s">
        <v>6077</v>
      </c>
      <c r="J91" s="140" t="s">
        <v>6099</v>
      </c>
      <c r="K91" s="140" t="s">
        <v>6100</v>
      </c>
      <c r="L91" s="140" t="s">
        <v>6101</v>
      </c>
      <c r="M91" s="140" t="s">
        <v>41</v>
      </c>
      <c r="N91" s="155"/>
    </row>
    <row r="92" spans="1:31" ht="14.4">
      <c r="A92" s="140" t="s">
        <v>5700</v>
      </c>
      <c r="B92" s="140" t="s">
        <v>6061</v>
      </c>
      <c r="C92" s="140" t="s">
        <v>85</v>
      </c>
      <c r="D92" s="140" t="s">
        <v>86</v>
      </c>
      <c r="E92" s="140" t="s">
        <v>54</v>
      </c>
      <c r="F92" s="140" t="s">
        <v>6102</v>
      </c>
      <c r="G92" s="140" t="s">
        <v>6104</v>
      </c>
      <c r="H92" s="140" t="s">
        <v>6076</v>
      </c>
      <c r="I92" s="140" t="s">
        <v>6077</v>
      </c>
      <c r="J92" s="140" t="s">
        <v>6108</v>
      </c>
      <c r="K92" s="140" t="s">
        <v>6109</v>
      </c>
      <c r="L92" s="140" t="s">
        <v>887</v>
      </c>
      <c r="M92" s="140" t="s">
        <v>41</v>
      </c>
      <c r="N92" s="155"/>
    </row>
    <row r="93" spans="1:31" ht="14.4">
      <c r="A93" s="140" t="s">
        <v>5700</v>
      </c>
      <c r="B93" s="140" t="s">
        <v>6061</v>
      </c>
      <c r="C93" s="173" t="s">
        <v>85</v>
      </c>
      <c r="D93" s="140" t="s">
        <v>86</v>
      </c>
      <c r="E93" s="140" t="s">
        <v>54</v>
      </c>
      <c r="F93" s="140" t="s">
        <v>6111</v>
      </c>
      <c r="G93" s="140" t="s">
        <v>6112</v>
      </c>
      <c r="H93" s="140" t="s">
        <v>6076</v>
      </c>
      <c r="I93" s="140" t="s">
        <v>6077</v>
      </c>
      <c r="J93" s="140" t="s">
        <v>6115</v>
      </c>
      <c r="K93" s="140" t="s">
        <v>6117</v>
      </c>
      <c r="L93" s="140" t="s">
        <v>887</v>
      </c>
      <c r="M93" s="140" t="s">
        <v>41</v>
      </c>
      <c r="N93" s="155" t="s">
        <v>5868</v>
      </c>
    </row>
    <row r="94" spans="1:31" ht="14.4">
      <c r="A94" s="140" t="s">
        <v>5700</v>
      </c>
      <c r="B94" s="140" t="s">
        <v>6061</v>
      </c>
      <c r="C94" s="140" t="s">
        <v>85</v>
      </c>
      <c r="D94" s="140" t="s">
        <v>86</v>
      </c>
      <c r="E94" s="140" t="s">
        <v>54</v>
      </c>
      <c r="F94" s="140" t="s">
        <v>6119</v>
      </c>
      <c r="G94" s="140" t="s">
        <v>6120</v>
      </c>
      <c r="H94" s="140" t="s">
        <v>6076</v>
      </c>
      <c r="I94" s="140" t="s">
        <v>6077</v>
      </c>
      <c r="J94" s="140" t="s">
        <v>6121</v>
      </c>
      <c r="K94" s="140" t="s">
        <v>6123</v>
      </c>
      <c r="L94" s="140" t="s">
        <v>6125</v>
      </c>
      <c r="M94" s="140" t="s">
        <v>41</v>
      </c>
      <c r="N94" s="155"/>
    </row>
    <row r="95" spans="1:31" ht="14.4">
      <c r="A95" s="140" t="s">
        <v>5700</v>
      </c>
      <c r="B95" s="140" t="s">
        <v>6061</v>
      </c>
      <c r="C95" s="140" t="s">
        <v>85</v>
      </c>
      <c r="D95" s="140" t="s">
        <v>86</v>
      </c>
      <c r="E95" s="140" t="s">
        <v>54</v>
      </c>
      <c r="F95" s="140" t="s">
        <v>6131</v>
      </c>
      <c r="G95" s="140" t="s">
        <v>6132</v>
      </c>
      <c r="H95" s="140" t="s">
        <v>6076</v>
      </c>
      <c r="I95" s="140" t="s">
        <v>6077</v>
      </c>
      <c r="J95" s="140" t="s">
        <v>6133</v>
      </c>
      <c r="K95" s="140" t="s">
        <v>6134</v>
      </c>
      <c r="L95" s="140" t="s">
        <v>6135</v>
      </c>
      <c r="M95" s="140" t="s">
        <v>41</v>
      </c>
      <c r="N95" s="155"/>
    </row>
    <row r="96" spans="1:31" ht="14.4">
      <c r="A96" s="140" t="s">
        <v>5700</v>
      </c>
      <c r="B96" s="140" t="s">
        <v>6061</v>
      </c>
      <c r="C96" s="140" t="s">
        <v>85</v>
      </c>
      <c r="D96" s="140" t="s">
        <v>86</v>
      </c>
      <c r="E96" s="140" t="s">
        <v>54</v>
      </c>
      <c r="F96" s="140" t="s">
        <v>6138</v>
      </c>
      <c r="G96" s="140" t="s">
        <v>6139</v>
      </c>
      <c r="H96" s="140" t="s">
        <v>6076</v>
      </c>
      <c r="I96" s="140" t="s">
        <v>6077</v>
      </c>
      <c r="J96" s="140" t="s">
        <v>6140</v>
      </c>
      <c r="K96" s="140" t="s">
        <v>6141</v>
      </c>
      <c r="L96" s="140" t="s">
        <v>6142</v>
      </c>
      <c r="M96" s="140" t="s">
        <v>41</v>
      </c>
      <c r="N96" s="155"/>
    </row>
    <row r="97" spans="1:31" ht="14.4">
      <c r="A97" s="140" t="s">
        <v>5700</v>
      </c>
      <c r="B97" s="140" t="s">
        <v>6061</v>
      </c>
      <c r="C97" s="140" t="s">
        <v>85</v>
      </c>
      <c r="D97" s="140" t="s">
        <v>86</v>
      </c>
      <c r="E97" s="140" t="s">
        <v>54</v>
      </c>
      <c r="F97" s="140" t="s">
        <v>6145</v>
      </c>
      <c r="G97" s="140" t="s">
        <v>6146</v>
      </c>
      <c r="H97" s="140" t="s">
        <v>6076</v>
      </c>
      <c r="I97" s="140" t="s">
        <v>6077</v>
      </c>
      <c r="J97" s="140" t="s">
        <v>6147</v>
      </c>
      <c r="K97" s="140" t="s">
        <v>6148</v>
      </c>
      <c r="L97" s="140" t="s">
        <v>6149</v>
      </c>
      <c r="M97" s="140" t="s">
        <v>41</v>
      </c>
      <c r="N97" s="155"/>
    </row>
    <row r="98" spans="1:31" ht="14.4">
      <c r="A98" s="140" t="s">
        <v>5700</v>
      </c>
      <c r="B98" s="140" t="s">
        <v>6061</v>
      </c>
      <c r="C98" s="140" t="s">
        <v>85</v>
      </c>
      <c r="D98" s="140" t="s">
        <v>86</v>
      </c>
      <c r="E98" s="140" t="s">
        <v>54</v>
      </c>
      <c r="F98" s="140" t="s">
        <v>6151</v>
      </c>
      <c r="G98" s="140" t="s">
        <v>6152</v>
      </c>
      <c r="H98" s="140" t="s">
        <v>6076</v>
      </c>
      <c r="I98" s="140" t="s">
        <v>6077</v>
      </c>
      <c r="J98" s="140" t="s">
        <v>6153</v>
      </c>
      <c r="K98" s="140" t="s">
        <v>6076</v>
      </c>
      <c r="L98" s="140" t="s">
        <v>6077</v>
      </c>
      <c r="M98" s="140" t="s">
        <v>41</v>
      </c>
      <c r="N98" s="155"/>
    </row>
    <row r="99" spans="1:31" ht="14.4">
      <c r="A99" s="140" t="s">
        <v>5700</v>
      </c>
      <c r="B99" s="140" t="s">
        <v>6061</v>
      </c>
      <c r="C99" s="140" t="s">
        <v>85</v>
      </c>
      <c r="D99" s="140" t="s">
        <v>86</v>
      </c>
      <c r="E99" s="140" t="s">
        <v>54</v>
      </c>
      <c r="F99" s="140" t="s">
        <v>6156</v>
      </c>
      <c r="G99" s="140" t="s">
        <v>6157</v>
      </c>
      <c r="H99" s="140" t="s">
        <v>6158</v>
      </c>
      <c r="I99" s="140" t="s">
        <v>6159</v>
      </c>
      <c r="J99" s="140" t="s">
        <v>6160</v>
      </c>
      <c r="K99" s="140" t="s">
        <v>6158</v>
      </c>
      <c r="L99" s="140" t="s">
        <v>6161</v>
      </c>
      <c r="M99" s="140" t="s">
        <v>41</v>
      </c>
      <c r="N99" s="155"/>
    </row>
    <row r="100" spans="1:31" ht="14.4">
      <c r="A100" s="140" t="s">
        <v>5700</v>
      </c>
      <c r="B100" s="140" t="s">
        <v>6061</v>
      </c>
      <c r="C100" s="140" t="s">
        <v>85</v>
      </c>
      <c r="D100" s="140" t="s">
        <v>86</v>
      </c>
      <c r="E100" s="140" t="s">
        <v>54</v>
      </c>
      <c r="F100" s="140" t="s">
        <v>6165</v>
      </c>
      <c r="G100" s="140" t="s">
        <v>6166</v>
      </c>
      <c r="H100" s="140" t="s">
        <v>6167</v>
      </c>
      <c r="I100" s="140" t="s">
        <v>521</v>
      </c>
      <c r="J100" s="140" t="s">
        <v>6168</v>
      </c>
      <c r="K100" s="140" t="s">
        <v>6167</v>
      </c>
      <c r="L100" s="140" t="s">
        <v>521</v>
      </c>
      <c r="M100" s="140" t="s">
        <v>41</v>
      </c>
      <c r="N100" s="155"/>
    </row>
    <row r="101" spans="1:31" ht="14.4">
      <c r="A101" s="140" t="s">
        <v>5700</v>
      </c>
      <c r="B101" s="140" t="s">
        <v>6061</v>
      </c>
      <c r="C101" s="140" t="s">
        <v>85</v>
      </c>
      <c r="D101" s="140" t="s">
        <v>86</v>
      </c>
      <c r="E101" s="140" t="s">
        <v>54</v>
      </c>
      <c r="F101" s="140" t="s">
        <v>6173</v>
      </c>
      <c r="G101" s="140" t="s">
        <v>6175</v>
      </c>
      <c r="H101" s="140" t="s">
        <v>6176</v>
      </c>
      <c r="I101" s="140" t="s">
        <v>887</v>
      </c>
      <c r="J101" s="140" t="s">
        <v>6177</v>
      </c>
      <c r="K101" s="140" t="s">
        <v>6176</v>
      </c>
      <c r="L101" s="140" t="s">
        <v>887</v>
      </c>
      <c r="M101" s="140" t="s">
        <v>41</v>
      </c>
      <c r="N101" s="155" t="s">
        <v>5868</v>
      </c>
    </row>
    <row r="102" spans="1:31" ht="14.4">
      <c r="A102" s="140" t="s">
        <v>5700</v>
      </c>
      <c r="B102" s="140" t="s">
        <v>6061</v>
      </c>
      <c r="C102" s="140" t="s">
        <v>233</v>
      </c>
      <c r="D102" s="140" t="s">
        <v>298</v>
      </c>
      <c r="E102" s="140" t="s">
        <v>54</v>
      </c>
      <c r="F102" s="140" t="s">
        <v>6181</v>
      </c>
      <c r="G102" s="140" t="s">
        <v>6183</v>
      </c>
      <c r="H102" s="140" t="s">
        <v>6076</v>
      </c>
      <c r="I102" s="140" t="s">
        <v>6077</v>
      </c>
      <c r="J102" s="140" t="s">
        <v>6184</v>
      </c>
      <c r="K102" s="140" t="s">
        <v>6185</v>
      </c>
      <c r="L102" s="140" t="s">
        <v>6186</v>
      </c>
      <c r="M102" s="140" t="s">
        <v>41</v>
      </c>
      <c r="N102" s="155"/>
    </row>
    <row r="103" spans="1:31" ht="14.4">
      <c r="A103" s="140" t="s">
        <v>5700</v>
      </c>
      <c r="B103" s="140" t="s">
        <v>6061</v>
      </c>
      <c r="C103" s="140" t="s">
        <v>233</v>
      </c>
      <c r="D103" s="140" t="s">
        <v>298</v>
      </c>
      <c r="E103" s="140" t="s">
        <v>54</v>
      </c>
      <c r="F103" s="140" t="s">
        <v>6187</v>
      </c>
      <c r="G103" s="140" t="s">
        <v>6189</v>
      </c>
      <c r="H103" s="140" t="s">
        <v>6091</v>
      </c>
      <c r="I103" s="140" t="s">
        <v>5927</v>
      </c>
      <c r="J103" s="140" t="s">
        <v>6191</v>
      </c>
      <c r="K103" s="140" t="s">
        <v>6193</v>
      </c>
      <c r="L103" s="140" t="s">
        <v>6195</v>
      </c>
      <c r="M103" s="140" t="s">
        <v>41</v>
      </c>
      <c r="N103" s="155"/>
    </row>
    <row r="104" spans="1:31" ht="14.4">
      <c r="A104" s="140" t="s">
        <v>5700</v>
      </c>
      <c r="B104" s="140" t="s">
        <v>6061</v>
      </c>
      <c r="C104" s="140" t="s">
        <v>233</v>
      </c>
      <c r="D104" s="140" t="s">
        <v>298</v>
      </c>
      <c r="E104" s="140" t="s">
        <v>54</v>
      </c>
      <c r="F104" s="140" t="s">
        <v>6196</v>
      </c>
      <c r="G104" s="140" t="s">
        <v>6197</v>
      </c>
      <c r="H104" s="140" t="s">
        <v>6076</v>
      </c>
      <c r="I104" s="140" t="s">
        <v>6077</v>
      </c>
      <c r="J104" s="140" t="s">
        <v>6200</v>
      </c>
      <c r="K104" s="140" t="s">
        <v>6100</v>
      </c>
      <c r="L104" s="140" t="s">
        <v>6101</v>
      </c>
      <c r="M104" s="140" t="s">
        <v>41</v>
      </c>
      <c r="N104" s="155"/>
    </row>
    <row r="105" spans="1:31" ht="14.4">
      <c r="A105" s="140" t="s">
        <v>5700</v>
      </c>
      <c r="B105" s="140" t="s">
        <v>6061</v>
      </c>
      <c r="C105" s="140" t="s">
        <v>220</v>
      </c>
      <c r="D105" s="140" t="s">
        <v>234</v>
      </c>
      <c r="E105" s="140" t="s">
        <v>54</v>
      </c>
      <c r="F105" s="140" t="s">
        <v>6201</v>
      </c>
      <c r="G105" s="140" t="s">
        <v>6202</v>
      </c>
      <c r="H105" s="140" t="s">
        <v>6076</v>
      </c>
      <c r="I105" s="140" t="s">
        <v>6077</v>
      </c>
      <c r="J105" s="140" t="s">
        <v>6204</v>
      </c>
      <c r="K105" s="140" t="s">
        <v>6206</v>
      </c>
      <c r="L105" s="140" t="s">
        <v>6207</v>
      </c>
      <c r="M105" s="140" t="s">
        <v>41</v>
      </c>
      <c r="N105" s="155"/>
    </row>
    <row r="106" spans="1:31" ht="14.4">
      <c r="A106" s="140" t="s">
        <v>5700</v>
      </c>
      <c r="B106" s="140" t="s">
        <v>6061</v>
      </c>
      <c r="C106" s="140" t="s">
        <v>220</v>
      </c>
      <c r="D106" s="140" t="s">
        <v>234</v>
      </c>
      <c r="E106" s="140" t="s">
        <v>54</v>
      </c>
      <c r="F106" s="140" t="s">
        <v>6208</v>
      </c>
      <c r="G106" s="140" t="s">
        <v>6209</v>
      </c>
      <c r="H106" s="140" t="s">
        <v>6076</v>
      </c>
      <c r="I106" s="140" t="s">
        <v>6077</v>
      </c>
      <c r="J106" s="140" t="s">
        <v>6210</v>
      </c>
      <c r="K106" s="140" t="s">
        <v>6211</v>
      </c>
      <c r="L106" s="140" t="s">
        <v>6142</v>
      </c>
      <c r="M106" s="140" t="s">
        <v>41</v>
      </c>
      <c r="N106" s="155"/>
    </row>
    <row r="107" spans="1:31" ht="14.4">
      <c r="A107" s="140" t="s">
        <v>5700</v>
      </c>
      <c r="B107" s="140" t="s">
        <v>6061</v>
      </c>
      <c r="C107" s="140" t="s">
        <v>220</v>
      </c>
      <c r="D107" s="140" t="s">
        <v>234</v>
      </c>
      <c r="E107" s="140" t="s">
        <v>54</v>
      </c>
      <c r="F107" s="140" t="s">
        <v>6214</v>
      </c>
      <c r="G107" s="140" t="s">
        <v>6215</v>
      </c>
      <c r="H107" s="140" t="s">
        <v>6076</v>
      </c>
      <c r="I107" s="140" t="s">
        <v>6077</v>
      </c>
      <c r="J107" s="140" t="s">
        <v>6216</v>
      </c>
      <c r="K107" s="140" t="s">
        <v>6217</v>
      </c>
      <c r="L107" s="140" t="s">
        <v>6142</v>
      </c>
      <c r="M107" s="140" t="s">
        <v>41</v>
      </c>
      <c r="N107" s="155"/>
    </row>
    <row r="108" spans="1:31" ht="14.4">
      <c r="A108" s="140" t="s">
        <v>5700</v>
      </c>
      <c r="B108" s="140" t="s">
        <v>6061</v>
      </c>
      <c r="C108" s="140" t="s">
        <v>220</v>
      </c>
      <c r="D108" s="140" t="s">
        <v>234</v>
      </c>
      <c r="E108" s="140" t="s">
        <v>54</v>
      </c>
      <c r="F108" s="140" t="s">
        <v>6222</v>
      </c>
      <c r="G108" s="140" t="s">
        <v>6224</v>
      </c>
      <c r="H108" s="140" t="s">
        <v>6076</v>
      </c>
      <c r="I108" s="140" t="s">
        <v>6077</v>
      </c>
      <c r="J108" s="140" t="s">
        <v>6225</v>
      </c>
      <c r="K108" s="140" t="s">
        <v>6226</v>
      </c>
      <c r="L108" s="140" t="s">
        <v>6142</v>
      </c>
      <c r="M108" s="140" t="s">
        <v>41</v>
      </c>
      <c r="N108" s="155"/>
    </row>
    <row r="109" spans="1:31" ht="14.4">
      <c r="A109" s="140" t="s">
        <v>5700</v>
      </c>
      <c r="B109" s="140" t="s">
        <v>6061</v>
      </c>
      <c r="C109" s="140" t="s">
        <v>220</v>
      </c>
      <c r="D109" s="140" t="s">
        <v>234</v>
      </c>
      <c r="E109" s="140" t="s">
        <v>54</v>
      </c>
      <c r="F109" s="140" t="s">
        <v>6227</v>
      </c>
      <c r="G109" s="140" t="s">
        <v>6229</v>
      </c>
      <c r="H109" s="140" t="s">
        <v>6076</v>
      </c>
      <c r="I109" s="140" t="s">
        <v>6077</v>
      </c>
      <c r="J109" s="140" t="s">
        <v>6232</v>
      </c>
      <c r="K109" s="140" t="s">
        <v>6234</v>
      </c>
      <c r="L109" s="140" t="s">
        <v>6207</v>
      </c>
      <c r="M109" s="140" t="s">
        <v>41</v>
      </c>
      <c r="N109" s="155"/>
    </row>
    <row r="110" spans="1:31" ht="14.4">
      <c r="A110" s="140" t="s">
        <v>5700</v>
      </c>
      <c r="B110" s="140" t="s">
        <v>6061</v>
      </c>
      <c r="C110" s="140" t="s">
        <v>296</v>
      </c>
      <c r="D110" s="140" t="s">
        <v>954</v>
      </c>
      <c r="E110" s="140" t="s">
        <v>54</v>
      </c>
      <c r="F110" s="162" t="s">
        <v>6235</v>
      </c>
      <c r="G110" s="140" t="s">
        <v>6237</v>
      </c>
      <c r="H110" s="140" t="s">
        <v>6076</v>
      </c>
      <c r="I110" s="140" t="s">
        <v>6077</v>
      </c>
      <c r="J110" s="140" t="s">
        <v>6241</v>
      </c>
      <c r="K110" s="140" t="s">
        <v>6243</v>
      </c>
      <c r="L110" s="140" t="s">
        <v>6244</v>
      </c>
      <c r="M110" s="140" t="s">
        <v>41</v>
      </c>
      <c r="N110" s="155"/>
    </row>
    <row r="111" spans="1:31" ht="14.4">
      <c r="A111" s="140" t="s">
        <v>5700</v>
      </c>
      <c r="B111" s="140" t="s">
        <v>6061</v>
      </c>
      <c r="C111" s="140" t="s">
        <v>275</v>
      </c>
      <c r="D111" s="140" t="s">
        <v>543</v>
      </c>
      <c r="E111" s="140" t="s">
        <v>54</v>
      </c>
      <c r="F111" s="162" t="s">
        <v>6245</v>
      </c>
      <c r="G111" s="140" t="s">
        <v>6246</v>
      </c>
      <c r="H111" s="140" t="s">
        <v>6076</v>
      </c>
      <c r="I111" s="140" t="s">
        <v>6077</v>
      </c>
      <c r="J111" s="140" t="s">
        <v>6248</v>
      </c>
      <c r="K111" s="140" t="s">
        <v>6076</v>
      </c>
      <c r="L111" s="140" t="s">
        <v>6077</v>
      </c>
      <c r="M111" s="140" t="s">
        <v>41</v>
      </c>
      <c r="N111" s="15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</row>
    <row r="112" spans="1:31" ht="14.4">
      <c r="A112" s="140" t="s">
        <v>5700</v>
      </c>
      <c r="B112" s="140" t="s">
        <v>6061</v>
      </c>
      <c r="C112" s="140" t="s">
        <v>79</v>
      </c>
      <c r="D112" s="140" t="s">
        <v>80</v>
      </c>
      <c r="E112" s="140" t="s">
        <v>54</v>
      </c>
      <c r="F112" s="140" t="s">
        <v>6253</v>
      </c>
      <c r="G112" s="140" t="s">
        <v>6255</v>
      </c>
      <c r="H112" s="140" t="s">
        <v>6256</v>
      </c>
      <c r="I112" s="140" t="s">
        <v>6258</v>
      </c>
      <c r="J112" s="140" t="s">
        <v>6260</v>
      </c>
      <c r="K112" s="140" t="s">
        <v>6256</v>
      </c>
      <c r="L112" s="140" t="s">
        <v>6258</v>
      </c>
      <c r="M112" s="140" t="s">
        <v>41</v>
      </c>
      <c r="N112" s="155"/>
    </row>
    <row r="113" spans="1:14" ht="14.4">
      <c r="A113" s="140" t="s">
        <v>5700</v>
      </c>
      <c r="B113" s="140" t="s">
        <v>6061</v>
      </c>
      <c r="C113" s="140" t="s">
        <v>70</v>
      </c>
      <c r="D113" s="140" t="s">
        <v>71</v>
      </c>
      <c r="E113" s="140" t="s">
        <v>54</v>
      </c>
      <c r="F113" s="162" t="s">
        <v>6262</v>
      </c>
      <c r="G113" s="140" t="s">
        <v>6264</v>
      </c>
      <c r="H113" s="140" t="s">
        <v>6256</v>
      </c>
      <c r="I113" s="140" t="s">
        <v>6258</v>
      </c>
      <c r="J113" s="140" t="s">
        <v>6267</v>
      </c>
      <c r="K113" s="140" t="s">
        <v>6256</v>
      </c>
      <c r="L113" s="140" t="s">
        <v>6258</v>
      </c>
      <c r="M113" s="140" t="s">
        <v>41</v>
      </c>
      <c r="N113" s="155"/>
    </row>
    <row r="114" spans="1:14" ht="14.4">
      <c r="A114" s="140" t="s">
        <v>5700</v>
      </c>
      <c r="B114" s="140" t="s">
        <v>6061</v>
      </c>
      <c r="C114" s="140" t="s">
        <v>51</v>
      </c>
      <c r="D114" s="140" t="s">
        <v>52</v>
      </c>
      <c r="E114" s="140" t="s">
        <v>54</v>
      </c>
      <c r="F114" s="140" t="s">
        <v>6269</v>
      </c>
      <c r="G114" s="140" t="s">
        <v>6270</v>
      </c>
      <c r="H114" s="140" t="s">
        <v>6256</v>
      </c>
      <c r="I114" s="140" t="s">
        <v>6258</v>
      </c>
      <c r="J114" s="140" t="s">
        <v>6272</v>
      </c>
      <c r="K114" s="140" t="s">
        <v>6256</v>
      </c>
      <c r="L114" s="140" t="s">
        <v>6258</v>
      </c>
      <c r="M114" s="140" t="s">
        <v>41</v>
      </c>
      <c r="N114" s="155"/>
    </row>
    <row r="115" spans="1:14" ht="14.4">
      <c r="A115" s="140" t="s">
        <v>5700</v>
      </c>
      <c r="B115" s="140" t="s">
        <v>6276</v>
      </c>
      <c r="C115" s="140" t="s">
        <v>51</v>
      </c>
      <c r="D115" s="140" t="s">
        <v>52</v>
      </c>
      <c r="E115" s="140" t="s">
        <v>54</v>
      </c>
      <c r="F115" s="140" t="s">
        <v>6277</v>
      </c>
      <c r="G115" s="140" t="s">
        <v>6278</v>
      </c>
      <c r="H115" s="140" t="s">
        <v>6279</v>
      </c>
      <c r="I115" s="140" t="s">
        <v>933</v>
      </c>
      <c r="J115" s="140" t="s">
        <v>6281</v>
      </c>
      <c r="K115" s="140" t="s">
        <v>6282</v>
      </c>
      <c r="L115" s="140" t="s">
        <v>6283</v>
      </c>
      <c r="M115" s="140" t="s">
        <v>41</v>
      </c>
      <c r="N115" s="155"/>
    </row>
    <row r="116" spans="1:14" ht="14.4">
      <c r="A116" s="140" t="s">
        <v>5700</v>
      </c>
      <c r="B116" s="140" t="s">
        <v>6276</v>
      </c>
      <c r="C116" s="140" t="s">
        <v>70</v>
      </c>
      <c r="D116" s="140" t="s">
        <v>71</v>
      </c>
      <c r="E116" s="140" t="s">
        <v>54</v>
      </c>
      <c r="F116" s="162" t="s">
        <v>6277</v>
      </c>
      <c r="G116" s="140" t="s">
        <v>6285</v>
      </c>
      <c r="H116" s="140" t="s">
        <v>6279</v>
      </c>
      <c r="I116" s="140" t="s">
        <v>933</v>
      </c>
      <c r="J116" s="140" t="s">
        <v>6286</v>
      </c>
      <c r="K116" s="140" t="s">
        <v>6282</v>
      </c>
      <c r="L116" s="140" t="s">
        <v>6283</v>
      </c>
      <c r="M116" s="140" t="s">
        <v>41</v>
      </c>
      <c r="N116" s="155"/>
    </row>
    <row r="117" spans="1:14" ht="14.4">
      <c r="A117" s="140" t="s">
        <v>5700</v>
      </c>
      <c r="B117" s="140" t="s">
        <v>6276</v>
      </c>
      <c r="C117" s="140" t="s">
        <v>79</v>
      </c>
      <c r="D117" s="140" t="s">
        <v>80</v>
      </c>
      <c r="E117" s="140" t="s">
        <v>54</v>
      </c>
      <c r="F117" s="140" t="s">
        <v>6277</v>
      </c>
      <c r="G117" s="140" t="s">
        <v>6292</v>
      </c>
      <c r="H117" s="140" t="s">
        <v>6279</v>
      </c>
      <c r="I117" s="140" t="s">
        <v>933</v>
      </c>
      <c r="J117" s="140" t="s">
        <v>6294</v>
      </c>
      <c r="K117" s="140" t="s">
        <v>6282</v>
      </c>
      <c r="L117" s="140" t="s">
        <v>6283</v>
      </c>
      <c r="M117" s="140" t="s">
        <v>41</v>
      </c>
      <c r="N117" s="155"/>
    </row>
    <row r="118" spans="1:14" ht="14.4">
      <c r="A118" s="140" t="s">
        <v>5700</v>
      </c>
      <c r="B118" s="140" t="s">
        <v>6276</v>
      </c>
      <c r="C118" s="140" t="s">
        <v>85</v>
      </c>
      <c r="D118" s="140" t="s">
        <v>86</v>
      </c>
      <c r="E118" s="140" t="s">
        <v>54</v>
      </c>
      <c r="F118" s="140" t="s">
        <v>6301</v>
      </c>
      <c r="G118" s="140" t="s">
        <v>6302</v>
      </c>
      <c r="H118" s="140" t="s">
        <v>6091</v>
      </c>
      <c r="I118" s="140" t="s">
        <v>6303</v>
      </c>
      <c r="J118" s="140" t="s">
        <v>6304</v>
      </c>
      <c r="K118" s="140" t="s">
        <v>6305</v>
      </c>
      <c r="L118" s="140" t="s">
        <v>6306</v>
      </c>
      <c r="M118" s="140" t="s">
        <v>41</v>
      </c>
      <c r="N118" s="155"/>
    </row>
    <row r="119" spans="1:14" ht="14.4">
      <c r="A119" s="140" t="s">
        <v>5700</v>
      </c>
      <c r="B119" s="140" t="s">
        <v>6276</v>
      </c>
      <c r="C119" s="140" t="s">
        <v>85</v>
      </c>
      <c r="D119" s="140" t="s">
        <v>86</v>
      </c>
      <c r="E119" s="140" t="s">
        <v>54</v>
      </c>
      <c r="F119" s="140" t="s">
        <v>6310</v>
      </c>
      <c r="G119" s="140" t="s">
        <v>6311</v>
      </c>
      <c r="H119" s="140" t="s">
        <v>6091</v>
      </c>
      <c r="I119" s="140" t="s">
        <v>6303</v>
      </c>
      <c r="J119" s="140" t="s">
        <v>6304</v>
      </c>
      <c r="K119" s="140" t="s">
        <v>6312</v>
      </c>
      <c r="L119" s="140" t="s">
        <v>6306</v>
      </c>
      <c r="M119" s="140" t="s">
        <v>41</v>
      </c>
      <c r="N119" s="155"/>
    </row>
    <row r="120" spans="1:14" ht="14.4">
      <c r="A120" s="140" t="s">
        <v>5700</v>
      </c>
      <c r="B120" s="140" t="s">
        <v>6276</v>
      </c>
      <c r="C120" s="140" t="s">
        <v>85</v>
      </c>
      <c r="D120" s="140" t="s">
        <v>86</v>
      </c>
      <c r="E120" s="140" t="s">
        <v>54</v>
      </c>
      <c r="F120" s="140" t="s">
        <v>6321</v>
      </c>
      <c r="G120" s="140" t="s">
        <v>6323</v>
      </c>
      <c r="H120" s="140" t="s">
        <v>6091</v>
      </c>
      <c r="I120" s="140" t="s">
        <v>6303</v>
      </c>
      <c r="J120" s="140" t="s">
        <v>6304</v>
      </c>
      <c r="K120" s="140" t="s">
        <v>6324</v>
      </c>
      <c r="L120" s="140" t="s">
        <v>6306</v>
      </c>
      <c r="M120" s="140" t="s">
        <v>41</v>
      </c>
      <c r="N120" s="155" t="s">
        <v>5859</v>
      </c>
    </row>
    <row r="121" spans="1:14" ht="14.4">
      <c r="A121" s="140" t="s">
        <v>5700</v>
      </c>
      <c r="B121" s="140" t="s">
        <v>6276</v>
      </c>
      <c r="C121" s="140" t="s">
        <v>85</v>
      </c>
      <c r="D121" s="140" t="s">
        <v>86</v>
      </c>
      <c r="E121" s="140" t="s">
        <v>54</v>
      </c>
      <c r="F121" s="140" t="s">
        <v>6330</v>
      </c>
      <c r="G121" s="140" t="s">
        <v>6332</v>
      </c>
      <c r="H121" s="140" t="s">
        <v>6334</v>
      </c>
      <c r="I121" s="140" t="s">
        <v>2400</v>
      </c>
      <c r="J121" s="140" t="s">
        <v>6304</v>
      </c>
      <c r="K121" s="140" t="s">
        <v>6336</v>
      </c>
      <c r="L121" s="140" t="s">
        <v>6337</v>
      </c>
      <c r="M121" s="140" t="s">
        <v>41</v>
      </c>
      <c r="N121" s="155"/>
    </row>
    <row r="122" spans="1:14" ht="14.4">
      <c r="A122" s="140" t="s">
        <v>5700</v>
      </c>
      <c r="B122" s="140" t="s">
        <v>6276</v>
      </c>
      <c r="C122" s="140" t="s">
        <v>85</v>
      </c>
      <c r="D122" s="140" t="s">
        <v>86</v>
      </c>
      <c r="E122" s="140" t="s">
        <v>54</v>
      </c>
      <c r="F122" s="140" t="s">
        <v>6342</v>
      </c>
      <c r="G122" s="140" t="s">
        <v>6344</v>
      </c>
      <c r="H122" s="140" t="s">
        <v>6091</v>
      </c>
      <c r="I122" s="140" t="s">
        <v>6303</v>
      </c>
      <c r="J122" s="140" t="s">
        <v>6304</v>
      </c>
      <c r="K122" s="140" t="s">
        <v>6347</v>
      </c>
      <c r="L122" s="140" t="s">
        <v>6306</v>
      </c>
      <c r="M122" s="140" t="s">
        <v>41</v>
      </c>
      <c r="N122" s="155"/>
    </row>
    <row r="123" spans="1:14" ht="14.4">
      <c r="A123" s="140" t="s">
        <v>5700</v>
      </c>
      <c r="B123" s="140" t="s">
        <v>6276</v>
      </c>
      <c r="C123" s="140" t="s">
        <v>85</v>
      </c>
      <c r="D123" s="140" t="s">
        <v>86</v>
      </c>
      <c r="E123" s="140" t="s">
        <v>54</v>
      </c>
      <c r="F123" s="140" t="s">
        <v>6355</v>
      </c>
      <c r="G123" s="140" t="s">
        <v>6357</v>
      </c>
      <c r="H123" s="140" t="s">
        <v>6358</v>
      </c>
      <c r="I123" s="140" t="s">
        <v>2714</v>
      </c>
      <c r="J123" s="140" t="s">
        <v>6304</v>
      </c>
      <c r="K123" s="140" t="s">
        <v>6361</v>
      </c>
      <c r="L123" s="140" t="s">
        <v>6361</v>
      </c>
      <c r="M123" s="140" t="s">
        <v>41</v>
      </c>
      <c r="N123" s="155" t="s">
        <v>5868</v>
      </c>
    </row>
    <row r="124" spans="1:14" ht="14.4">
      <c r="A124" s="140" t="s">
        <v>5700</v>
      </c>
      <c r="B124" s="140" t="s">
        <v>6276</v>
      </c>
      <c r="C124" s="140" t="s">
        <v>85</v>
      </c>
      <c r="D124" s="140" t="s">
        <v>86</v>
      </c>
      <c r="E124" s="140" t="s">
        <v>54</v>
      </c>
      <c r="F124" s="140" t="s">
        <v>6368</v>
      </c>
      <c r="G124" s="140" t="s">
        <v>6369</v>
      </c>
      <c r="H124" s="140" t="s">
        <v>6370</v>
      </c>
      <c r="I124" s="140" t="s">
        <v>2714</v>
      </c>
      <c r="J124" s="140" t="s">
        <v>6304</v>
      </c>
      <c r="K124" s="140" t="s">
        <v>6370</v>
      </c>
      <c r="L124" s="140" t="s">
        <v>6372</v>
      </c>
      <c r="M124" s="140" t="s">
        <v>41</v>
      </c>
      <c r="N124" s="155"/>
    </row>
    <row r="125" spans="1:14" ht="14.4">
      <c r="A125" s="140" t="s">
        <v>5700</v>
      </c>
      <c r="B125" s="140" t="s">
        <v>6276</v>
      </c>
      <c r="C125" s="140" t="s">
        <v>85</v>
      </c>
      <c r="D125" s="140" t="s">
        <v>86</v>
      </c>
      <c r="E125" s="140" t="s">
        <v>54</v>
      </c>
      <c r="F125" s="140" t="s">
        <v>6377</v>
      </c>
      <c r="G125" s="140" t="s">
        <v>6378</v>
      </c>
      <c r="H125" s="140" t="s">
        <v>6091</v>
      </c>
      <c r="I125" s="140" t="s">
        <v>6303</v>
      </c>
      <c r="J125" s="140" t="s">
        <v>6304</v>
      </c>
      <c r="K125" s="140" t="s">
        <v>6380</v>
      </c>
      <c r="L125" s="140" t="s">
        <v>6306</v>
      </c>
      <c r="M125" s="140" t="s">
        <v>41</v>
      </c>
      <c r="N125" s="155"/>
    </row>
    <row r="126" spans="1:14" ht="14.4">
      <c r="A126" s="140" t="s">
        <v>5700</v>
      </c>
      <c r="B126" s="140" t="s">
        <v>6276</v>
      </c>
      <c r="C126" s="140" t="s">
        <v>85</v>
      </c>
      <c r="D126" s="140" t="s">
        <v>86</v>
      </c>
      <c r="E126" s="140" t="s">
        <v>54</v>
      </c>
      <c r="F126" s="140" t="s">
        <v>6393</v>
      </c>
      <c r="G126" s="140" t="s">
        <v>6394</v>
      </c>
      <c r="H126" s="140" t="s">
        <v>6396</v>
      </c>
      <c r="I126" s="140" t="s">
        <v>2400</v>
      </c>
      <c r="J126" s="140" t="s">
        <v>6304</v>
      </c>
      <c r="K126" s="140" t="s">
        <v>6398</v>
      </c>
      <c r="L126" s="140" t="s">
        <v>6398</v>
      </c>
      <c r="M126" s="140" t="s">
        <v>41</v>
      </c>
      <c r="N126" s="155" t="s">
        <v>5859</v>
      </c>
    </row>
    <row r="127" spans="1:14" ht="14.4">
      <c r="A127" s="140" t="s">
        <v>5700</v>
      </c>
      <c r="B127" s="140" t="s">
        <v>6276</v>
      </c>
      <c r="C127" s="140" t="s">
        <v>85</v>
      </c>
      <c r="D127" s="140" t="s">
        <v>86</v>
      </c>
      <c r="E127" s="140" t="s">
        <v>54</v>
      </c>
      <c r="F127" s="140" t="s">
        <v>6402</v>
      </c>
      <c r="G127" s="140" t="s">
        <v>6404</v>
      </c>
      <c r="H127" s="140" t="s">
        <v>6406</v>
      </c>
      <c r="I127" s="140" t="s">
        <v>2400</v>
      </c>
      <c r="J127" s="140" t="s">
        <v>6304</v>
      </c>
      <c r="K127" s="140" t="s">
        <v>6409</v>
      </c>
      <c r="L127" s="140" t="s">
        <v>6409</v>
      </c>
      <c r="M127" s="140" t="s">
        <v>41</v>
      </c>
      <c r="N127" s="155"/>
    </row>
    <row r="128" spans="1:14" ht="14.4">
      <c r="A128" s="140" t="s">
        <v>5700</v>
      </c>
      <c r="B128" s="140" t="s">
        <v>6276</v>
      </c>
      <c r="C128" s="140" t="s">
        <v>85</v>
      </c>
      <c r="D128" s="140" t="s">
        <v>86</v>
      </c>
      <c r="E128" s="140" t="s">
        <v>54</v>
      </c>
      <c r="F128" s="140" t="s">
        <v>6413</v>
      </c>
      <c r="G128" s="140" t="s">
        <v>6414</v>
      </c>
      <c r="H128" s="140" t="s">
        <v>6415</v>
      </c>
      <c r="I128" s="140" t="s">
        <v>2400</v>
      </c>
      <c r="J128" s="140" t="s">
        <v>6304</v>
      </c>
      <c r="K128" s="140" t="s">
        <v>6417</v>
      </c>
      <c r="L128" s="140" t="s">
        <v>6417</v>
      </c>
      <c r="M128" s="140" t="s">
        <v>41</v>
      </c>
      <c r="N128" s="155"/>
    </row>
    <row r="129" spans="1:31" ht="14.4">
      <c r="A129" s="140" t="s">
        <v>5700</v>
      </c>
      <c r="B129" s="140" t="s">
        <v>6276</v>
      </c>
      <c r="C129" s="140" t="s">
        <v>85</v>
      </c>
      <c r="D129" s="140" t="s">
        <v>86</v>
      </c>
      <c r="E129" s="140" t="s">
        <v>54</v>
      </c>
      <c r="F129" s="140" t="s">
        <v>6424</v>
      </c>
      <c r="G129" s="140" t="s">
        <v>6426</v>
      </c>
      <c r="H129" s="140" t="s">
        <v>6428</v>
      </c>
      <c r="I129" s="140" t="s">
        <v>2714</v>
      </c>
      <c r="J129" s="140" t="s">
        <v>6304</v>
      </c>
      <c r="K129" s="140" t="s">
        <v>6429</v>
      </c>
      <c r="L129" s="140" t="s">
        <v>6429</v>
      </c>
      <c r="M129" s="140" t="s">
        <v>41</v>
      </c>
      <c r="N129" s="155"/>
    </row>
    <row r="130" spans="1:31" ht="14.4">
      <c r="A130" s="140" t="s">
        <v>5700</v>
      </c>
      <c r="B130" s="140" t="s">
        <v>6276</v>
      </c>
      <c r="C130" s="140" t="s">
        <v>85</v>
      </c>
      <c r="D130" s="140" t="s">
        <v>86</v>
      </c>
      <c r="E130" s="140" t="s">
        <v>54</v>
      </c>
      <c r="F130" s="140" t="s">
        <v>6432</v>
      </c>
      <c r="G130" s="140" t="s">
        <v>6434</v>
      </c>
      <c r="H130" s="140" t="s">
        <v>6436</v>
      </c>
      <c r="I130" s="140" t="s">
        <v>2400</v>
      </c>
      <c r="J130" s="140" t="s">
        <v>6304</v>
      </c>
      <c r="K130" s="140" t="s">
        <v>6440</v>
      </c>
      <c r="L130" s="140" t="s">
        <v>6440</v>
      </c>
      <c r="M130" s="140" t="s">
        <v>41</v>
      </c>
      <c r="N130" s="155"/>
    </row>
    <row r="131" spans="1:31" ht="14.4">
      <c r="A131" s="140" t="s">
        <v>5700</v>
      </c>
      <c r="B131" s="140" t="s">
        <v>6276</v>
      </c>
      <c r="C131" s="140" t="s">
        <v>85</v>
      </c>
      <c r="D131" s="140" t="s">
        <v>86</v>
      </c>
      <c r="E131" s="140" t="s">
        <v>54</v>
      </c>
      <c r="F131" s="140" t="s">
        <v>6441</v>
      </c>
      <c r="G131" s="140" t="s">
        <v>6443</v>
      </c>
      <c r="H131" s="140" t="s">
        <v>6445</v>
      </c>
      <c r="I131" s="140" t="s">
        <v>2400</v>
      </c>
      <c r="J131" s="140" t="s">
        <v>6304</v>
      </c>
      <c r="K131" s="140" t="s">
        <v>6447</v>
      </c>
      <c r="L131" s="140" t="s">
        <v>6447</v>
      </c>
      <c r="M131" s="140" t="s">
        <v>41</v>
      </c>
      <c r="N131" s="155"/>
    </row>
    <row r="132" spans="1:31" ht="14.4">
      <c r="A132" s="140" t="s">
        <v>5700</v>
      </c>
      <c r="B132" s="140" t="s">
        <v>6276</v>
      </c>
      <c r="C132" s="140" t="s">
        <v>220</v>
      </c>
      <c r="D132" s="140" t="s">
        <v>234</v>
      </c>
      <c r="E132" s="140" t="s">
        <v>54</v>
      </c>
      <c r="F132" s="140" t="s">
        <v>561</v>
      </c>
      <c r="G132" s="140" t="s">
        <v>6452</v>
      </c>
      <c r="H132" s="140" t="s">
        <v>6091</v>
      </c>
      <c r="I132" s="140" t="s">
        <v>6303</v>
      </c>
      <c r="J132" s="140" t="s">
        <v>6454</v>
      </c>
      <c r="K132" s="140" t="s">
        <v>6456</v>
      </c>
      <c r="L132" s="140" t="s">
        <v>6457</v>
      </c>
      <c r="M132" s="140" t="s">
        <v>41</v>
      </c>
      <c r="N132" s="155"/>
    </row>
    <row r="133" spans="1:31" ht="14.4">
      <c r="A133" s="140" t="s">
        <v>5700</v>
      </c>
      <c r="B133" s="140" t="s">
        <v>6276</v>
      </c>
      <c r="C133" s="140" t="s">
        <v>220</v>
      </c>
      <c r="D133" s="140" t="s">
        <v>234</v>
      </c>
      <c r="E133" s="140" t="s">
        <v>54</v>
      </c>
      <c r="F133" s="140" t="s">
        <v>570</v>
      </c>
      <c r="G133" s="140" t="s">
        <v>6464</v>
      </c>
      <c r="H133" s="140" t="s">
        <v>6091</v>
      </c>
      <c r="I133" s="140" t="s">
        <v>6303</v>
      </c>
      <c r="J133" s="140" t="s">
        <v>6454</v>
      </c>
      <c r="K133" s="140" t="s">
        <v>6466</v>
      </c>
      <c r="L133" s="140" t="s">
        <v>6457</v>
      </c>
      <c r="M133" s="140" t="s">
        <v>41</v>
      </c>
      <c r="N133" s="155"/>
    </row>
    <row r="134" spans="1:31" ht="14.4">
      <c r="A134" s="140" t="s">
        <v>5700</v>
      </c>
      <c r="B134" s="140" t="s">
        <v>6276</v>
      </c>
      <c r="C134" s="140" t="s">
        <v>220</v>
      </c>
      <c r="D134" s="140" t="s">
        <v>234</v>
      </c>
      <c r="E134" s="140" t="s">
        <v>54</v>
      </c>
      <c r="F134" s="140" t="s">
        <v>6470</v>
      </c>
      <c r="G134" s="140" t="s">
        <v>6472</v>
      </c>
      <c r="H134" s="140" t="s">
        <v>6091</v>
      </c>
      <c r="I134" s="140" t="s">
        <v>6303</v>
      </c>
      <c r="J134" s="140" t="s">
        <v>6454</v>
      </c>
      <c r="K134" s="140" t="s">
        <v>6474</v>
      </c>
      <c r="L134" s="140" t="s">
        <v>6457</v>
      </c>
      <c r="M134" s="140" t="s">
        <v>41</v>
      </c>
      <c r="N134" s="155"/>
    </row>
    <row r="135" spans="1:31" ht="14.4">
      <c r="A135" s="140" t="s">
        <v>5700</v>
      </c>
      <c r="B135" s="140" t="s">
        <v>6276</v>
      </c>
      <c r="C135" s="140" t="s">
        <v>220</v>
      </c>
      <c r="D135" s="140" t="s">
        <v>234</v>
      </c>
      <c r="E135" s="140" t="s">
        <v>54</v>
      </c>
      <c r="F135" s="140" t="s">
        <v>6478</v>
      </c>
      <c r="G135" s="140" t="s">
        <v>6480</v>
      </c>
      <c r="H135" s="140" t="s">
        <v>6091</v>
      </c>
      <c r="I135" s="140" t="s">
        <v>6303</v>
      </c>
      <c r="J135" s="140" t="s">
        <v>6454</v>
      </c>
      <c r="K135" s="140" t="s">
        <v>6481</v>
      </c>
      <c r="L135" s="140" t="s">
        <v>6457</v>
      </c>
      <c r="M135" s="140" t="s">
        <v>41</v>
      </c>
      <c r="N135" s="155"/>
    </row>
    <row r="136" spans="1:31" ht="14.4">
      <c r="A136" s="140" t="s">
        <v>5700</v>
      </c>
      <c r="B136" s="140" t="s">
        <v>6276</v>
      </c>
      <c r="C136" s="140" t="s">
        <v>220</v>
      </c>
      <c r="D136" s="140" t="s">
        <v>234</v>
      </c>
      <c r="E136" s="140" t="s">
        <v>54</v>
      </c>
      <c r="F136" s="140" t="s">
        <v>6486</v>
      </c>
      <c r="G136" s="140" t="s">
        <v>6488</v>
      </c>
      <c r="H136" s="140" t="s">
        <v>6091</v>
      </c>
      <c r="I136" s="140" t="s">
        <v>6303</v>
      </c>
      <c r="J136" s="140" t="s">
        <v>6454</v>
      </c>
      <c r="K136" s="140" t="s">
        <v>6491</v>
      </c>
      <c r="L136" s="140" t="s">
        <v>2149</v>
      </c>
      <c r="M136" s="140" t="s">
        <v>41</v>
      </c>
      <c r="N136" s="155"/>
    </row>
    <row r="137" spans="1:31" ht="14.4">
      <c r="A137" s="140" t="s">
        <v>5700</v>
      </c>
      <c r="B137" s="140" t="s">
        <v>6276</v>
      </c>
      <c r="C137" s="140" t="s">
        <v>233</v>
      </c>
      <c r="D137" s="140" t="s">
        <v>298</v>
      </c>
      <c r="E137" s="140" t="s">
        <v>54</v>
      </c>
      <c r="F137" s="140" t="s">
        <v>6494</v>
      </c>
      <c r="G137" s="140" t="s">
        <v>6496</v>
      </c>
      <c r="H137" s="140" t="s">
        <v>6091</v>
      </c>
      <c r="I137" s="140" t="s">
        <v>6303</v>
      </c>
      <c r="J137" s="140" t="s">
        <v>6454</v>
      </c>
      <c r="K137" s="140" t="s">
        <v>6499</v>
      </c>
      <c r="L137" s="140" t="s">
        <v>2149</v>
      </c>
      <c r="M137" s="140" t="s">
        <v>41</v>
      </c>
      <c r="N137" s="155"/>
    </row>
    <row r="138" spans="1:31" ht="14.4">
      <c r="A138" s="140" t="s">
        <v>5700</v>
      </c>
      <c r="B138" s="140" t="s">
        <v>6276</v>
      </c>
      <c r="C138" s="140" t="s">
        <v>233</v>
      </c>
      <c r="D138" s="140" t="s">
        <v>298</v>
      </c>
      <c r="E138" s="140" t="s">
        <v>54</v>
      </c>
      <c r="F138" s="140" t="s">
        <v>6505</v>
      </c>
      <c r="G138" s="140" t="s">
        <v>6506</v>
      </c>
      <c r="H138" s="140" t="s">
        <v>6091</v>
      </c>
      <c r="I138" s="140" t="s">
        <v>6303</v>
      </c>
      <c r="J138" s="140" t="s">
        <v>6454</v>
      </c>
      <c r="K138" s="140" t="s">
        <v>6091</v>
      </c>
      <c r="L138" s="140" t="s">
        <v>6457</v>
      </c>
      <c r="M138" s="140" t="s">
        <v>41</v>
      </c>
      <c r="N138" s="155"/>
    </row>
    <row r="139" spans="1:31" ht="14.4">
      <c r="A139" s="140" t="s">
        <v>5700</v>
      </c>
      <c r="B139" s="140" t="s">
        <v>6276</v>
      </c>
      <c r="C139" s="140" t="s">
        <v>233</v>
      </c>
      <c r="D139" s="140" t="s">
        <v>298</v>
      </c>
      <c r="E139" s="140" t="s">
        <v>54</v>
      </c>
      <c r="F139" s="140" t="s">
        <v>6513</v>
      </c>
      <c r="G139" s="140" t="s">
        <v>6515</v>
      </c>
      <c r="H139" s="140" t="s">
        <v>6091</v>
      </c>
      <c r="I139" s="140" t="s">
        <v>6303</v>
      </c>
      <c r="J139" s="140" t="s">
        <v>6454</v>
      </c>
      <c r="K139" s="140" t="s">
        <v>6396</v>
      </c>
      <c r="L139" s="140" t="s">
        <v>6457</v>
      </c>
      <c r="M139" s="140" t="s">
        <v>41</v>
      </c>
      <c r="N139" s="155"/>
    </row>
    <row r="140" spans="1:31" ht="14.4">
      <c r="A140" s="140" t="s">
        <v>5700</v>
      </c>
      <c r="B140" s="140" t="s">
        <v>6276</v>
      </c>
      <c r="C140" s="173" t="s">
        <v>275</v>
      </c>
      <c r="D140" s="140" t="s">
        <v>543</v>
      </c>
      <c r="E140" s="140" t="s">
        <v>54</v>
      </c>
      <c r="F140" s="162" t="s">
        <v>6521</v>
      </c>
      <c r="G140" s="140" t="s">
        <v>6523</v>
      </c>
      <c r="H140" s="140" t="s">
        <v>6279</v>
      </c>
      <c r="I140" s="140" t="s">
        <v>933</v>
      </c>
      <c r="J140" s="140" t="s">
        <v>6526</v>
      </c>
      <c r="K140" s="140" t="s">
        <v>6457</v>
      </c>
      <c r="L140" s="140" t="s">
        <v>6457</v>
      </c>
      <c r="M140" s="140" t="s">
        <v>41</v>
      </c>
      <c r="N140" s="15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</row>
    <row r="141" spans="1:31" ht="14.4">
      <c r="A141" s="140" t="s">
        <v>5700</v>
      </c>
      <c r="B141" s="140" t="s">
        <v>6531</v>
      </c>
      <c r="C141" s="173" t="s">
        <v>85</v>
      </c>
      <c r="D141" s="140" t="s">
        <v>86</v>
      </c>
      <c r="E141" s="140" t="s">
        <v>54</v>
      </c>
      <c r="F141" s="140" t="s">
        <v>6534</v>
      </c>
      <c r="G141" s="140" t="s">
        <v>6536</v>
      </c>
      <c r="H141" s="140" t="s">
        <v>6537</v>
      </c>
      <c r="I141" s="140" t="s">
        <v>1595</v>
      </c>
      <c r="J141" s="140" t="s">
        <v>6538</v>
      </c>
      <c r="K141" s="140" t="s">
        <v>6537</v>
      </c>
      <c r="L141" s="140" t="s">
        <v>6539</v>
      </c>
      <c r="M141" s="140" t="s">
        <v>41</v>
      </c>
      <c r="N141" s="155"/>
    </row>
    <row r="142" spans="1:31" ht="14.4">
      <c r="A142" s="140" t="s">
        <v>5700</v>
      </c>
      <c r="B142" s="140" t="s">
        <v>6531</v>
      </c>
      <c r="C142" s="140" t="s">
        <v>85</v>
      </c>
      <c r="D142" s="140" t="s">
        <v>86</v>
      </c>
      <c r="E142" s="140" t="s">
        <v>54</v>
      </c>
      <c r="F142" s="140" t="s">
        <v>6545</v>
      </c>
      <c r="G142" s="140" t="s">
        <v>6547</v>
      </c>
      <c r="H142" s="140" t="s">
        <v>6548</v>
      </c>
      <c r="I142" s="140" t="s">
        <v>6550</v>
      </c>
      <c r="J142" s="140" t="s">
        <v>6551</v>
      </c>
      <c r="K142" s="140" t="s">
        <v>6552</v>
      </c>
      <c r="L142" s="140" t="s">
        <v>6553</v>
      </c>
      <c r="M142" s="140" t="s">
        <v>41</v>
      </c>
      <c r="N142" s="155"/>
    </row>
    <row r="143" spans="1:31" ht="14.4">
      <c r="A143" s="140" t="s">
        <v>5700</v>
      </c>
      <c r="B143" s="140" t="s">
        <v>6531</v>
      </c>
      <c r="C143" s="140" t="s">
        <v>85</v>
      </c>
      <c r="D143" s="140" t="s">
        <v>86</v>
      </c>
      <c r="E143" s="140" t="s">
        <v>54</v>
      </c>
      <c r="F143" s="140" t="s">
        <v>6561</v>
      </c>
      <c r="G143" s="140" t="s">
        <v>6562</v>
      </c>
      <c r="H143" s="140" t="s">
        <v>6563</v>
      </c>
      <c r="I143" s="140" t="s">
        <v>898</v>
      </c>
      <c r="J143" s="140" t="s">
        <v>6564</v>
      </c>
      <c r="K143" s="140" t="s">
        <v>6563</v>
      </c>
      <c r="L143" s="140" t="s">
        <v>6565</v>
      </c>
      <c r="M143" s="140" t="s">
        <v>41</v>
      </c>
      <c r="N143" s="155"/>
    </row>
    <row r="144" spans="1:31" ht="14.4">
      <c r="A144" s="140" t="s">
        <v>5700</v>
      </c>
      <c r="B144" s="140" t="s">
        <v>6531</v>
      </c>
      <c r="C144" s="140" t="s">
        <v>85</v>
      </c>
      <c r="D144" s="140" t="s">
        <v>86</v>
      </c>
      <c r="E144" s="140" t="s">
        <v>54</v>
      </c>
      <c r="F144" s="140" t="s">
        <v>6573</v>
      </c>
      <c r="G144" s="140" t="s">
        <v>6574</v>
      </c>
      <c r="H144" s="140" t="s">
        <v>6563</v>
      </c>
      <c r="I144" s="140" t="s">
        <v>898</v>
      </c>
      <c r="J144" s="140" t="s">
        <v>6575</v>
      </c>
      <c r="K144" s="140" t="s">
        <v>6576</v>
      </c>
      <c r="L144" s="140" t="s">
        <v>6565</v>
      </c>
      <c r="M144" s="140" t="s">
        <v>41</v>
      </c>
      <c r="N144" s="155"/>
    </row>
    <row r="145" spans="1:31" ht="14.4">
      <c r="A145" s="140" t="s">
        <v>5700</v>
      </c>
      <c r="B145" s="140" t="s">
        <v>6531</v>
      </c>
      <c r="C145" s="140" t="s">
        <v>85</v>
      </c>
      <c r="D145" s="140" t="s">
        <v>86</v>
      </c>
      <c r="E145" s="140" t="s">
        <v>54</v>
      </c>
      <c r="F145" s="140" t="s">
        <v>6582</v>
      </c>
      <c r="G145" s="140" t="s">
        <v>6584</v>
      </c>
      <c r="H145" s="140" t="s">
        <v>6586</v>
      </c>
      <c r="I145" s="140" t="s">
        <v>3573</v>
      </c>
      <c r="J145" s="140" t="s">
        <v>6587</v>
      </c>
      <c r="K145" s="140" t="s">
        <v>6588</v>
      </c>
      <c r="L145" s="140" t="s">
        <v>989</v>
      </c>
      <c r="M145" s="140" t="s">
        <v>41</v>
      </c>
      <c r="N145" s="155"/>
    </row>
    <row r="146" spans="1:31" ht="14.4">
      <c r="A146" s="140" t="s">
        <v>5700</v>
      </c>
      <c r="B146" s="140" t="s">
        <v>6531</v>
      </c>
      <c r="C146" s="140" t="s">
        <v>85</v>
      </c>
      <c r="D146" s="140" t="s">
        <v>86</v>
      </c>
      <c r="E146" s="140" t="s">
        <v>54</v>
      </c>
      <c r="F146" s="140" t="s">
        <v>6594</v>
      </c>
      <c r="G146" s="140" t="s">
        <v>6596</v>
      </c>
      <c r="H146" s="140" t="s">
        <v>6586</v>
      </c>
      <c r="I146" s="140" t="s">
        <v>3573</v>
      </c>
      <c r="J146" s="140" t="s">
        <v>6598</v>
      </c>
      <c r="K146" s="140" t="s">
        <v>6599</v>
      </c>
      <c r="L146" s="140" t="s">
        <v>989</v>
      </c>
      <c r="M146" s="140" t="s">
        <v>41</v>
      </c>
      <c r="N146" s="155"/>
    </row>
    <row r="147" spans="1:31" ht="14.4">
      <c r="A147" s="140" t="s">
        <v>5700</v>
      </c>
      <c r="B147" s="140" t="s">
        <v>6531</v>
      </c>
      <c r="C147" s="140" t="s">
        <v>85</v>
      </c>
      <c r="D147" s="140" t="s">
        <v>86</v>
      </c>
      <c r="E147" s="140" t="s">
        <v>54</v>
      </c>
      <c r="F147" s="140" t="s">
        <v>6601</v>
      </c>
      <c r="G147" s="140" t="s">
        <v>6603</v>
      </c>
      <c r="H147" s="140" t="s">
        <v>6605</v>
      </c>
      <c r="I147" s="140" t="s">
        <v>3243</v>
      </c>
      <c r="J147" s="140" t="s">
        <v>6607</v>
      </c>
      <c r="K147" s="140" t="s">
        <v>6608</v>
      </c>
      <c r="L147" s="140" t="s">
        <v>2166</v>
      </c>
      <c r="M147" s="140" t="s">
        <v>41</v>
      </c>
      <c r="N147" s="155"/>
    </row>
    <row r="148" spans="1:31" ht="14.4">
      <c r="A148" s="140" t="s">
        <v>5700</v>
      </c>
      <c r="B148" s="140" t="s">
        <v>6531</v>
      </c>
      <c r="C148" s="140" t="s">
        <v>85</v>
      </c>
      <c r="D148" s="140" t="s">
        <v>86</v>
      </c>
      <c r="E148" s="140" t="s">
        <v>54</v>
      </c>
      <c r="F148" s="140" t="s">
        <v>6614</v>
      </c>
      <c r="G148" s="140" t="s">
        <v>6616</v>
      </c>
      <c r="H148" s="140" t="s">
        <v>6618</v>
      </c>
      <c r="I148" s="140" t="s">
        <v>2400</v>
      </c>
      <c r="J148" s="140" t="s">
        <v>6620</v>
      </c>
      <c r="K148" s="140" t="s">
        <v>6618</v>
      </c>
      <c r="L148" s="140" t="s">
        <v>6565</v>
      </c>
      <c r="M148" s="140" t="s">
        <v>41</v>
      </c>
      <c r="N148" s="155"/>
    </row>
    <row r="149" spans="1:31" ht="14.4">
      <c r="A149" s="140" t="s">
        <v>5700</v>
      </c>
      <c r="B149" s="140" t="s">
        <v>6531</v>
      </c>
      <c r="C149" s="140" t="s">
        <v>85</v>
      </c>
      <c r="D149" s="140" t="s">
        <v>86</v>
      </c>
      <c r="E149" s="140" t="s">
        <v>54</v>
      </c>
      <c r="F149" s="140" t="s">
        <v>6622</v>
      </c>
      <c r="G149" s="140" t="s">
        <v>6623</v>
      </c>
      <c r="H149" s="140" t="s">
        <v>6618</v>
      </c>
      <c r="I149" s="140" t="s">
        <v>2400</v>
      </c>
      <c r="J149" s="140" t="s">
        <v>6624</v>
      </c>
      <c r="K149" s="140" t="s">
        <v>6626</v>
      </c>
      <c r="L149" s="140" t="s">
        <v>6565</v>
      </c>
      <c r="M149" s="140" t="s">
        <v>41</v>
      </c>
      <c r="N149" s="155"/>
    </row>
    <row r="150" spans="1:31" ht="14.4">
      <c r="A150" s="140" t="s">
        <v>5700</v>
      </c>
      <c r="B150" s="140" t="s">
        <v>6531</v>
      </c>
      <c r="C150" s="140" t="s">
        <v>85</v>
      </c>
      <c r="D150" s="140" t="s">
        <v>86</v>
      </c>
      <c r="E150" s="140" t="s">
        <v>54</v>
      </c>
      <c r="F150" s="140" t="s">
        <v>6632</v>
      </c>
      <c r="G150" s="140" t="s">
        <v>6633</v>
      </c>
      <c r="H150" s="140" t="s">
        <v>6635</v>
      </c>
      <c r="I150" s="140" t="s">
        <v>6636</v>
      </c>
      <c r="J150" s="140" t="s">
        <v>6638</v>
      </c>
      <c r="K150" s="140" t="s">
        <v>6639</v>
      </c>
      <c r="L150" s="140" t="s">
        <v>989</v>
      </c>
      <c r="M150" s="140" t="s">
        <v>41</v>
      </c>
      <c r="N150" s="155"/>
    </row>
    <row r="151" spans="1:31" ht="14.4">
      <c r="A151" s="140" t="s">
        <v>5700</v>
      </c>
      <c r="B151" s="140" t="s">
        <v>6531</v>
      </c>
      <c r="C151" s="140" t="s">
        <v>85</v>
      </c>
      <c r="D151" s="140" t="s">
        <v>86</v>
      </c>
      <c r="E151" s="140" t="s">
        <v>54</v>
      </c>
      <c r="F151" s="140" t="s">
        <v>6646</v>
      </c>
      <c r="G151" s="140" t="s">
        <v>6647</v>
      </c>
      <c r="H151" s="140" t="s">
        <v>6648</v>
      </c>
      <c r="I151" s="140" t="s">
        <v>898</v>
      </c>
      <c r="J151" s="140" t="s">
        <v>6650</v>
      </c>
      <c r="K151" s="140" t="s">
        <v>6652</v>
      </c>
      <c r="L151" s="140" t="s">
        <v>6565</v>
      </c>
      <c r="M151" s="140" t="s">
        <v>41</v>
      </c>
      <c r="N151" s="155"/>
    </row>
    <row r="152" spans="1:31" ht="14.4">
      <c r="A152" s="140" t="s">
        <v>5700</v>
      </c>
      <c r="B152" s="140" t="s">
        <v>6531</v>
      </c>
      <c r="C152" s="140" t="s">
        <v>85</v>
      </c>
      <c r="D152" s="140" t="s">
        <v>86</v>
      </c>
      <c r="E152" s="140" t="s">
        <v>54</v>
      </c>
      <c r="F152" s="140" t="s">
        <v>6656</v>
      </c>
      <c r="G152" s="140" t="s">
        <v>6657</v>
      </c>
      <c r="H152" s="140" t="s">
        <v>6658</v>
      </c>
      <c r="I152" s="140" t="s">
        <v>6659</v>
      </c>
      <c r="J152" s="140" t="s">
        <v>6660</v>
      </c>
      <c r="K152" s="140" t="s">
        <v>6661</v>
      </c>
      <c r="L152" s="140" t="s">
        <v>989</v>
      </c>
      <c r="M152" s="140" t="s">
        <v>41</v>
      </c>
      <c r="N152" s="155"/>
    </row>
    <row r="153" spans="1:31" ht="14.4">
      <c r="A153" s="140" t="s">
        <v>5700</v>
      </c>
      <c r="B153" s="140" t="s">
        <v>6531</v>
      </c>
      <c r="C153" s="140" t="s">
        <v>85</v>
      </c>
      <c r="D153" s="140" t="s">
        <v>86</v>
      </c>
      <c r="E153" s="140" t="s">
        <v>54</v>
      </c>
      <c r="F153" s="140" t="s">
        <v>6667</v>
      </c>
      <c r="G153" s="140" t="s">
        <v>6669</v>
      </c>
      <c r="H153" s="140" t="s">
        <v>6671</v>
      </c>
      <c r="I153" s="140" t="s">
        <v>3093</v>
      </c>
      <c r="J153" s="140" t="s">
        <v>6672</v>
      </c>
      <c r="K153" s="140" t="s">
        <v>6671</v>
      </c>
      <c r="L153" s="140" t="s">
        <v>989</v>
      </c>
      <c r="M153" s="140" t="s">
        <v>41</v>
      </c>
      <c r="N153" s="155"/>
    </row>
    <row r="154" spans="1:31" ht="14.4">
      <c r="A154" s="140" t="s">
        <v>5700</v>
      </c>
      <c r="B154" s="140" t="s">
        <v>6531</v>
      </c>
      <c r="C154" s="140" t="s">
        <v>85</v>
      </c>
      <c r="D154" s="140" t="s">
        <v>86</v>
      </c>
      <c r="E154" s="140" t="s">
        <v>54</v>
      </c>
      <c r="F154" s="140" t="s">
        <v>6678</v>
      </c>
      <c r="G154" s="140" t="s">
        <v>6679</v>
      </c>
      <c r="H154" s="140" t="s">
        <v>6681</v>
      </c>
      <c r="I154" s="140" t="s">
        <v>521</v>
      </c>
      <c r="J154" s="140" t="s">
        <v>6682</v>
      </c>
      <c r="K154" s="140" t="s">
        <v>6683</v>
      </c>
      <c r="L154" s="140" t="s">
        <v>2166</v>
      </c>
      <c r="M154" s="140" t="s">
        <v>41</v>
      </c>
      <c r="N154" s="155"/>
    </row>
    <row r="155" spans="1:31" ht="14.4">
      <c r="A155" s="140" t="s">
        <v>5700</v>
      </c>
      <c r="B155" s="140" t="s">
        <v>6531</v>
      </c>
      <c r="C155" s="140" t="s">
        <v>220</v>
      </c>
      <c r="D155" s="140" t="s">
        <v>234</v>
      </c>
      <c r="E155" s="140" t="s">
        <v>54</v>
      </c>
      <c r="F155" s="140" t="s">
        <v>6686</v>
      </c>
      <c r="G155" s="140" t="s">
        <v>6688</v>
      </c>
      <c r="H155" s="140" t="s">
        <v>6648</v>
      </c>
      <c r="I155" s="140" t="s">
        <v>898</v>
      </c>
      <c r="J155" s="140" t="s">
        <v>6689</v>
      </c>
      <c r="K155" s="140" t="s">
        <v>6691</v>
      </c>
      <c r="L155" s="140" t="s">
        <v>6565</v>
      </c>
      <c r="M155" s="140" t="s">
        <v>41</v>
      </c>
      <c r="N155" s="155"/>
    </row>
    <row r="156" spans="1:31" ht="14.4">
      <c r="A156" s="140" t="s">
        <v>5700</v>
      </c>
      <c r="B156" s="140" t="s">
        <v>6531</v>
      </c>
      <c r="C156" s="140" t="s">
        <v>220</v>
      </c>
      <c r="D156" s="140" t="s">
        <v>234</v>
      </c>
      <c r="E156" s="140" t="s">
        <v>54</v>
      </c>
      <c r="F156" s="140" t="s">
        <v>6696</v>
      </c>
      <c r="G156" s="140" t="s">
        <v>6697</v>
      </c>
      <c r="H156" s="140" t="s">
        <v>6648</v>
      </c>
      <c r="I156" s="140" t="s">
        <v>898</v>
      </c>
      <c r="J156" s="140" t="s">
        <v>6698</v>
      </c>
      <c r="K156" s="140" t="s">
        <v>6700</v>
      </c>
      <c r="L156" s="140" t="s">
        <v>6565</v>
      </c>
      <c r="M156" s="140" t="s">
        <v>41</v>
      </c>
      <c r="N156" s="155"/>
    </row>
    <row r="157" spans="1:31" ht="14.4">
      <c r="A157" s="140" t="s">
        <v>5700</v>
      </c>
      <c r="B157" s="140" t="s">
        <v>6531</v>
      </c>
      <c r="C157" s="140" t="s">
        <v>220</v>
      </c>
      <c r="D157" s="140" t="s">
        <v>234</v>
      </c>
      <c r="E157" s="140" t="s">
        <v>54</v>
      </c>
      <c r="F157" s="140" t="s">
        <v>6705</v>
      </c>
      <c r="G157" s="140" t="s">
        <v>6706</v>
      </c>
      <c r="H157" s="140" t="s">
        <v>6707</v>
      </c>
      <c r="I157" s="140" t="s">
        <v>887</v>
      </c>
      <c r="J157" s="140" t="s">
        <v>6708</v>
      </c>
      <c r="K157" s="140" t="s">
        <v>6707</v>
      </c>
      <c r="L157" s="140" t="s">
        <v>6565</v>
      </c>
      <c r="M157" s="140" t="s">
        <v>41</v>
      </c>
      <c r="N157" s="155"/>
    </row>
    <row r="158" spans="1:31" ht="14.4">
      <c r="A158" s="140" t="s">
        <v>5700</v>
      </c>
      <c r="B158" s="140" t="s">
        <v>6531</v>
      </c>
      <c r="C158" s="140" t="s">
        <v>233</v>
      </c>
      <c r="D158" s="140" t="s">
        <v>298</v>
      </c>
      <c r="E158" s="140" t="s">
        <v>54</v>
      </c>
      <c r="F158" s="140" t="s">
        <v>6715</v>
      </c>
      <c r="G158" s="140" t="s">
        <v>6717</v>
      </c>
      <c r="H158" s="140" t="s">
        <v>6548</v>
      </c>
      <c r="I158" s="140" t="s">
        <v>6550</v>
      </c>
      <c r="J158" s="140" t="s">
        <v>6718</v>
      </c>
      <c r="K158" s="140" t="s">
        <v>6548</v>
      </c>
      <c r="L158" s="140" t="s">
        <v>6553</v>
      </c>
      <c r="M158" s="140" t="s">
        <v>41</v>
      </c>
      <c r="N158" s="155"/>
    </row>
    <row r="159" spans="1:31" ht="14.4">
      <c r="A159" s="140" t="s">
        <v>5700</v>
      </c>
      <c r="B159" s="140" t="s">
        <v>6531</v>
      </c>
      <c r="C159" s="140" t="s">
        <v>233</v>
      </c>
      <c r="D159" s="140" t="s">
        <v>298</v>
      </c>
      <c r="E159" s="140" t="s">
        <v>54</v>
      </c>
      <c r="F159" s="140" t="s">
        <v>6721</v>
      </c>
      <c r="G159" s="140" t="s">
        <v>6722</v>
      </c>
      <c r="H159" s="140" t="s">
        <v>6586</v>
      </c>
      <c r="I159" s="140" t="s">
        <v>3573</v>
      </c>
      <c r="J159" s="140" t="s">
        <v>6721</v>
      </c>
      <c r="K159" s="140" t="s">
        <v>6586</v>
      </c>
      <c r="L159" s="140" t="s">
        <v>989</v>
      </c>
      <c r="M159" s="140" t="s">
        <v>41</v>
      </c>
      <c r="N159" s="155"/>
    </row>
    <row r="160" spans="1:31" ht="14.4">
      <c r="A160" s="140" t="s">
        <v>5700</v>
      </c>
      <c r="B160" s="140" t="s">
        <v>6531</v>
      </c>
      <c r="C160" s="140" t="s">
        <v>275</v>
      </c>
      <c r="D160" s="140" t="s">
        <v>543</v>
      </c>
      <c r="E160" s="140" t="s">
        <v>54</v>
      </c>
      <c r="F160" s="162" t="s">
        <v>6731</v>
      </c>
      <c r="G160" s="140" t="s">
        <v>6732</v>
      </c>
      <c r="H160" s="140" t="s">
        <v>6586</v>
      </c>
      <c r="I160" s="140" t="s">
        <v>3573</v>
      </c>
      <c r="J160" s="140" t="s">
        <v>3670</v>
      </c>
      <c r="K160" s="140" t="s">
        <v>6586</v>
      </c>
      <c r="L160" s="140" t="s">
        <v>6736</v>
      </c>
      <c r="M160" s="140" t="s">
        <v>41</v>
      </c>
      <c r="N160" s="15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</row>
    <row r="161" spans="1:14" ht="14.4">
      <c r="A161" s="140" t="s">
        <v>5700</v>
      </c>
      <c r="B161" s="140" t="s">
        <v>6531</v>
      </c>
      <c r="C161" s="140" t="s">
        <v>296</v>
      </c>
      <c r="D161" s="140" t="s">
        <v>954</v>
      </c>
      <c r="E161" s="140" t="s">
        <v>54</v>
      </c>
      <c r="F161" s="162" t="s">
        <v>6743</v>
      </c>
      <c r="G161" s="140" t="s">
        <v>6745</v>
      </c>
      <c r="H161" s="140" t="s">
        <v>6537</v>
      </c>
      <c r="I161" s="140" t="s">
        <v>1595</v>
      </c>
      <c r="J161" s="140" t="s">
        <v>6748</v>
      </c>
      <c r="K161" s="140" t="s">
        <v>6537</v>
      </c>
      <c r="L161" s="140" t="s">
        <v>6539</v>
      </c>
      <c r="M161" s="140" t="s">
        <v>41</v>
      </c>
      <c r="N161" s="155"/>
    </row>
    <row r="162" spans="1:14" ht="14.4">
      <c r="A162" s="140" t="s">
        <v>5700</v>
      </c>
      <c r="B162" s="140" t="s">
        <v>6753</v>
      </c>
      <c r="C162" s="140" t="s">
        <v>51</v>
      </c>
      <c r="D162" s="140" t="s">
        <v>52</v>
      </c>
      <c r="E162" s="140" t="s">
        <v>54</v>
      </c>
      <c r="F162" s="140" t="s">
        <v>6755</v>
      </c>
      <c r="G162" s="140" t="s">
        <v>6756</v>
      </c>
      <c r="H162" s="140" t="s">
        <v>6757</v>
      </c>
      <c r="I162" s="140" t="s">
        <v>1595</v>
      </c>
      <c r="J162" s="140" t="s">
        <v>6759</v>
      </c>
      <c r="K162" s="140" t="s">
        <v>6763</v>
      </c>
      <c r="L162" s="140" t="s">
        <v>6766</v>
      </c>
      <c r="M162" s="140" t="s">
        <v>41</v>
      </c>
      <c r="N162" s="155"/>
    </row>
    <row r="163" spans="1:14" ht="14.4">
      <c r="A163" s="140" t="s">
        <v>5700</v>
      </c>
      <c r="B163" s="140" t="s">
        <v>6753</v>
      </c>
      <c r="C163" s="173" t="s">
        <v>70</v>
      </c>
      <c r="D163" s="140" t="s">
        <v>71</v>
      </c>
      <c r="E163" s="140" t="s">
        <v>54</v>
      </c>
      <c r="F163" s="162" t="s">
        <v>6770</v>
      </c>
      <c r="G163" s="140" t="s">
        <v>6771</v>
      </c>
      <c r="H163" s="140" t="s">
        <v>6757</v>
      </c>
      <c r="I163" s="140" t="s">
        <v>1595</v>
      </c>
      <c r="J163" s="140" t="s">
        <v>6774</v>
      </c>
      <c r="K163" s="140" t="s">
        <v>6763</v>
      </c>
      <c r="L163" s="140" t="s">
        <v>6766</v>
      </c>
      <c r="M163" s="140" t="s">
        <v>41</v>
      </c>
      <c r="N163" s="155"/>
    </row>
    <row r="164" spans="1:14" ht="14.4">
      <c r="A164" s="140" t="s">
        <v>5700</v>
      </c>
      <c r="B164" s="140" t="s">
        <v>6753</v>
      </c>
      <c r="C164" s="173" t="s">
        <v>79</v>
      </c>
      <c r="D164" s="140" t="s">
        <v>80</v>
      </c>
      <c r="E164" s="140" t="s">
        <v>54</v>
      </c>
      <c r="F164" s="140" t="s">
        <v>6770</v>
      </c>
      <c r="G164" s="140">
        <v>10730070</v>
      </c>
      <c r="H164" s="140" t="s">
        <v>6757</v>
      </c>
      <c r="I164" s="140" t="s">
        <v>1595</v>
      </c>
      <c r="J164" s="140" t="s">
        <v>6759</v>
      </c>
      <c r="K164" s="140" t="s">
        <v>6763</v>
      </c>
      <c r="L164" s="140" t="s">
        <v>729</v>
      </c>
      <c r="M164" s="140" t="s">
        <v>41</v>
      </c>
      <c r="N164" s="155"/>
    </row>
    <row r="165" spans="1:14" ht="14.4">
      <c r="A165" s="140" t="s">
        <v>5700</v>
      </c>
      <c r="B165" s="140" t="s">
        <v>6753</v>
      </c>
      <c r="C165" s="173" t="s">
        <v>85</v>
      </c>
      <c r="D165" s="140" t="s">
        <v>86</v>
      </c>
      <c r="E165" s="140" t="s">
        <v>54</v>
      </c>
      <c r="F165" s="140" t="s">
        <v>6786</v>
      </c>
      <c r="G165" s="140" t="s">
        <v>6788</v>
      </c>
      <c r="H165" s="140" t="s">
        <v>6757</v>
      </c>
      <c r="I165" s="140" t="s">
        <v>933</v>
      </c>
      <c r="J165" s="140" t="s">
        <v>6793</v>
      </c>
      <c r="K165" s="167" t="s">
        <v>6795</v>
      </c>
      <c r="L165" s="140" t="s">
        <v>2149</v>
      </c>
      <c r="M165" s="140" t="s">
        <v>41</v>
      </c>
      <c r="N165" s="155"/>
    </row>
    <row r="166" spans="1:14" ht="14.4">
      <c r="A166" s="140" t="s">
        <v>5700</v>
      </c>
      <c r="B166" s="140" t="s">
        <v>6753</v>
      </c>
      <c r="C166" s="173" t="s">
        <v>85</v>
      </c>
      <c r="D166" s="140" t="s">
        <v>86</v>
      </c>
      <c r="E166" s="140" t="s">
        <v>54</v>
      </c>
      <c r="F166" s="140" t="s">
        <v>6805</v>
      </c>
      <c r="G166" s="140" t="s">
        <v>6806</v>
      </c>
      <c r="H166" s="140" t="s">
        <v>6757</v>
      </c>
      <c r="I166" s="140" t="s">
        <v>933</v>
      </c>
      <c r="J166" s="140" t="s">
        <v>6814</v>
      </c>
      <c r="K166" s="167" t="s">
        <v>6815</v>
      </c>
      <c r="L166" s="140" t="s">
        <v>2149</v>
      </c>
      <c r="M166" s="140" t="s">
        <v>41</v>
      </c>
      <c r="N166" s="155"/>
    </row>
    <row r="167" spans="1:14" ht="14.4">
      <c r="A167" s="140" t="s">
        <v>5700</v>
      </c>
      <c r="B167" s="140" t="s">
        <v>6753</v>
      </c>
      <c r="C167" s="173" t="s">
        <v>85</v>
      </c>
      <c r="D167" s="140" t="s">
        <v>86</v>
      </c>
      <c r="E167" s="140" t="s">
        <v>54</v>
      </c>
      <c r="F167" s="140" t="s">
        <v>6820</v>
      </c>
      <c r="G167" s="140" t="s">
        <v>6822</v>
      </c>
      <c r="H167" s="140" t="s">
        <v>6757</v>
      </c>
      <c r="I167" s="140" t="s">
        <v>933</v>
      </c>
      <c r="J167" s="140" t="s">
        <v>6825</v>
      </c>
      <c r="K167" s="140" t="s">
        <v>6827</v>
      </c>
      <c r="L167" s="140" t="s">
        <v>2149</v>
      </c>
      <c r="M167" s="140" t="s">
        <v>41</v>
      </c>
      <c r="N167" s="155"/>
    </row>
    <row r="168" spans="1:14" ht="14.4">
      <c r="A168" s="140" t="s">
        <v>5700</v>
      </c>
      <c r="B168" s="140" t="s">
        <v>6753</v>
      </c>
      <c r="C168" s="173" t="s">
        <v>85</v>
      </c>
      <c r="D168" s="140" t="s">
        <v>86</v>
      </c>
      <c r="E168" s="140" t="s">
        <v>54</v>
      </c>
      <c r="F168" s="140" t="s">
        <v>6830</v>
      </c>
      <c r="G168" s="140" t="s">
        <v>6832</v>
      </c>
      <c r="H168" s="140" t="s">
        <v>6757</v>
      </c>
      <c r="I168" s="140" t="s">
        <v>933</v>
      </c>
      <c r="J168" s="140" t="s">
        <v>6836</v>
      </c>
      <c r="K168" s="140" t="s">
        <v>6827</v>
      </c>
      <c r="L168" s="140" t="s">
        <v>438</v>
      </c>
      <c r="M168" s="140" t="s">
        <v>41</v>
      </c>
      <c r="N168" s="155"/>
    </row>
    <row r="169" spans="1:14" ht="14.4">
      <c r="A169" s="140" t="s">
        <v>5700</v>
      </c>
      <c r="B169" s="140" t="s">
        <v>6753</v>
      </c>
      <c r="C169" s="173" t="s">
        <v>85</v>
      </c>
      <c r="D169" s="140" t="s">
        <v>86</v>
      </c>
      <c r="E169" s="140" t="s">
        <v>54</v>
      </c>
      <c r="F169" s="140" t="s">
        <v>6840</v>
      </c>
      <c r="G169" s="140" t="s">
        <v>6841</v>
      </c>
      <c r="H169" s="140" t="s">
        <v>6757</v>
      </c>
      <c r="I169" s="140" t="s">
        <v>933</v>
      </c>
      <c r="J169" s="140" t="s">
        <v>6842</v>
      </c>
      <c r="K169" s="167" t="s">
        <v>6844</v>
      </c>
      <c r="L169" s="140" t="s">
        <v>4439</v>
      </c>
      <c r="M169" s="140" t="s">
        <v>41</v>
      </c>
      <c r="N169" s="155"/>
    </row>
    <row r="170" spans="1:14" ht="14.4">
      <c r="A170" s="140" t="s">
        <v>5700</v>
      </c>
      <c r="B170" s="140" t="s">
        <v>6753</v>
      </c>
      <c r="C170" s="173" t="s">
        <v>85</v>
      </c>
      <c r="D170" s="140" t="s">
        <v>86</v>
      </c>
      <c r="E170" s="140" t="s">
        <v>54</v>
      </c>
      <c r="F170" s="140" t="s">
        <v>6853</v>
      </c>
      <c r="G170" s="140" t="s">
        <v>6841</v>
      </c>
      <c r="H170" s="140" t="s">
        <v>6757</v>
      </c>
      <c r="I170" s="140" t="s">
        <v>933</v>
      </c>
      <c r="J170" s="140" t="s">
        <v>6854</v>
      </c>
      <c r="K170" s="167" t="s">
        <v>6763</v>
      </c>
      <c r="L170" s="140" t="s">
        <v>3836</v>
      </c>
      <c r="M170" s="140" t="s">
        <v>41</v>
      </c>
      <c r="N170" s="155" t="s">
        <v>5839</v>
      </c>
    </row>
    <row r="171" spans="1:14" ht="14.4">
      <c r="A171" s="140" t="s">
        <v>5700</v>
      </c>
      <c r="B171" s="140" t="s">
        <v>6753</v>
      </c>
      <c r="C171" s="173" t="s">
        <v>85</v>
      </c>
      <c r="D171" s="140" t="s">
        <v>86</v>
      </c>
      <c r="E171" s="140" t="s">
        <v>54</v>
      </c>
      <c r="F171" s="140" t="s">
        <v>6859</v>
      </c>
      <c r="G171" s="140" t="s">
        <v>6861</v>
      </c>
      <c r="H171" s="140" t="s">
        <v>6757</v>
      </c>
      <c r="I171" s="140" t="s">
        <v>933</v>
      </c>
      <c r="J171" s="140" t="s">
        <v>6864</v>
      </c>
      <c r="K171" s="167" t="s">
        <v>6865</v>
      </c>
      <c r="L171" s="140" t="s">
        <v>3619</v>
      </c>
      <c r="M171" s="140" t="s">
        <v>41</v>
      </c>
      <c r="N171" s="155"/>
    </row>
    <row r="172" spans="1:14" ht="14.4">
      <c r="A172" s="140" t="s">
        <v>5700</v>
      </c>
      <c r="B172" s="140" t="s">
        <v>6753</v>
      </c>
      <c r="C172" s="173" t="s">
        <v>85</v>
      </c>
      <c r="D172" s="140" t="s">
        <v>86</v>
      </c>
      <c r="E172" s="140" t="s">
        <v>54</v>
      </c>
      <c r="F172" s="140" t="s">
        <v>6870</v>
      </c>
      <c r="G172" s="140" t="s">
        <v>6871</v>
      </c>
      <c r="H172" s="140" t="s">
        <v>6757</v>
      </c>
      <c r="I172" s="140" t="s">
        <v>933</v>
      </c>
      <c r="J172" s="140" t="s">
        <v>6874</v>
      </c>
      <c r="K172" s="167" t="s">
        <v>6865</v>
      </c>
      <c r="L172" s="140" t="s">
        <v>3619</v>
      </c>
      <c r="M172" s="140" t="s">
        <v>41</v>
      </c>
      <c r="N172" s="155"/>
    </row>
    <row r="173" spans="1:14" ht="14.4">
      <c r="A173" s="140" t="s">
        <v>5700</v>
      </c>
      <c r="B173" s="140" t="s">
        <v>6753</v>
      </c>
      <c r="C173" s="173" t="s">
        <v>85</v>
      </c>
      <c r="D173" s="140" t="s">
        <v>86</v>
      </c>
      <c r="E173" s="140" t="s">
        <v>54</v>
      </c>
      <c r="F173" s="140" t="s">
        <v>6879</v>
      </c>
      <c r="G173" s="140" t="s">
        <v>6880</v>
      </c>
      <c r="H173" s="140" t="s">
        <v>6757</v>
      </c>
      <c r="I173" s="140" t="s">
        <v>933</v>
      </c>
      <c r="J173" s="140" t="s">
        <v>6882</v>
      </c>
      <c r="K173" s="140" t="s">
        <v>6827</v>
      </c>
      <c r="L173" s="140" t="s">
        <v>438</v>
      </c>
      <c r="M173" s="140" t="s">
        <v>41</v>
      </c>
      <c r="N173" s="155" t="s">
        <v>6888</v>
      </c>
    </row>
    <row r="174" spans="1:14" ht="14.4">
      <c r="A174" s="140" t="s">
        <v>5700</v>
      </c>
      <c r="B174" s="140" t="s">
        <v>6753</v>
      </c>
      <c r="C174" s="173" t="s">
        <v>85</v>
      </c>
      <c r="D174" s="140" t="s">
        <v>86</v>
      </c>
      <c r="E174" s="140" t="s">
        <v>54</v>
      </c>
      <c r="F174" s="140" t="s">
        <v>6893</v>
      </c>
      <c r="G174" s="140" t="s">
        <v>6895</v>
      </c>
      <c r="H174" s="140" t="s">
        <v>6757</v>
      </c>
      <c r="I174" s="140" t="s">
        <v>933</v>
      </c>
      <c r="J174" s="140" t="s">
        <v>6898</v>
      </c>
      <c r="K174" s="140" t="s">
        <v>6827</v>
      </c>
      <c r="L174" s="140" t="s">
        <v>438</v>
      </c>
      <c r="M174" s="140" t="s">
        <v>41</v>
      </c>
      <c r="N174" s="155"/>
    </row>
    <row r="175" spans="1:14" ht="14.4">
      <c r="A175" s="140" t="s">
        <v>5700</v>
      </c>
      <c r="B175" s="140" t="s">
        <v>6753</v>
      </c>
      <c r="C175" s="173" t="s">
        <v>85</v>
      </c>
      <c r="D175" s="140" t="s">
        <v>86</v>
      </c>
      <c r="E175" s="140" t="s">
        <v>54</v>
      </c>
      <c r="F175" s="140" t="s">
        <v>6905</v>
      </c>
      <c r="G175" s="140" t="s">
        <v>6906</v>
      </c>
      <c r="H175" s="140" t="s">
        <v>6757</v>
      </c>
      <c r="I175" s="140" t="s">
        <v>933</v>
      </c>
      <c r="J175" s="140" t="s">
        <v>6909</v>
      </c>
      <c r="K175" s="140" t="s">
        <v>6827</v>
      </c>
      <c r="L175" s="140" t="s">
        <v>438</v>
      </c>
      <c r="M175" s="140" t="s">
        <v>41</v>
      </c>
      <c r="N175" s="155"/>
    </row>
    <row r="176" spans="1:14" ht="14.4">
      <c r="A176" s="140" t="s">
        <v>5700</v>
      </c>
      <c r="B176" s="140" t="s">
        <v>6753</v>
      </c>
      <c r="C176" s="173" t="s">
        <v>85</v>
      </c>
      <c r="D176" s="140" t="s">
        <v>86</v>
      </c>
      <c r="E176" s="140" t="s">
        <v>54</v>
      </c>
      <c r="F176" s="140" t="s">
        <v>6915</v>
      </c>
      <c r="G176" s="140" t="s">
        <v>6919</v>
      </c>
      <c r="H176" s="140" t="s">
        <v>6757</v>
      </c>
      <c r="I176" s="140" t="s">
        <v>933</v>
      </c>
      <c r="J176" s="140" t="s">
        <v>6923</v>
      </c>
      <c r="K176" s="140" t="s">
        <v>6827</v>
      </c>
      <c r="L176" s="140" t="s">
        <v>438</v>
      </c>
      <c r="M176" s="140" t="s">
        <v>41</v>
      </c>
      <c r="N176" s="155"/>
    </row>
    <row r="177" spans="1:31" ht="14.4">
      <c r="A177" s="140" t="s">
        <v>5700</v>
      </c>
      <c r="B177" s="140" t="s">
        <v>6753</v>
      </c>
      <c r="C177" s="173" t="s">
        <v>85</v>
      </c>
      <c r="D177" s="140" t="s">
        <v>86</v>
      </c>
      <c r="E177" s="140" t="s">
        <v>54</v>
      </c>
      <c r="F177" s="140" t="s">
        <v>6932</v>
      </c>
      <c r="G177" s="140" t="s">
        <v>6934</v>
      </c>
      <c r="H177" s="140" t="s">
        <v>6757</v>
      </c>
      <c r="I177" s="140" t="s">
        <v>933</v>
      </c>
      <c r="J177" s="140" t="s">
        <v>6935</v>
      </c>
      <c r="K177" s="140" t="s">
        <v>6827</v>
      </c>
      <c r="L177" s="140" t="s">
        <v>438</v>
      </c>
      <c r="M177" s="140" t="s">
        <v>41</v>
      </c>
      <c r="N177" s="155" t="s">
        <v>6938</v>
      </c>
    </row>
    <row r="178" spans="1:31" ht="14.4">
      <c r="A178" s="140" t="s">
        <v>5700</v>
      </c>
      <c r="B178" s="140" t="s">
        <v>6753</v>
      </c>
      <c r="C178" s="140" t="s">
        <v>85</v>
      </c>
      <c r="D178" s="140"/>
      <c r="E178" s="140" t="s">
        <v>54</v>
      </c>
      <c r="F178" s="140" t="s">
        <v>6949</v>
      </c>
      <c r="G178" s="140" t="s">
        <v>6950</v>
      </c>
      <c r="H178" s="140" t="s">
        <v>6757</v>
      </c>
      <c r="I178" s="140" t="s">
        <v>933</v>
      </c>
      <c r="J178" s="140" t="s">
        <v>6952</v>
      </c>
      <c r="K178" s="140" t="s">
        <v>6827</v>
      </c>
      <c r="L178" s="140" t="s">
        <v>438</v>
      </c>
      <c r="M178" s="140" t="s">
        <v>41</v>
      </c>
      <c r="N178" s="155"/>
    </row>
    <row r="179" spans="1:31" ht="14.4">
      <c r="A179" s="140" t="s">
        <v>5700</v>
      </c>
      <c r="B179" s="140" t="s">
        <v>6753</v>
      </c>
      <c r="C179" s="140" t="s">
        <v>220</v>
      </c>
      <c r="D179" s="140" t="s">
        <v>234</v>
      </c>
      <c r="E179" s="140" t="s">
        <v>54</v>
      </c>
      <c r="F179" s="140" t="s">
        <v>6962</v>
      </c>
      <c r="G179" s="140" t="s">
        <v>6964</v>
      </c>
      <c r="H179" s="140" t="s">
        <v>6757</v>
      </c>
      <c r="I179" s="140" t="s">
        <v>933</v>
      </c>
      <c r="J179" s="140" t="s">
        <v>6968</v>
      </c>
      <c r="K179" s="140" t="s">
        <v>6827</v>
      </c>
      <c r="L179" s="140" t="s">
        <v>6972</v>
      </c>
      <c r="M179" s="140" t="s">
        <v>41</v>
      </c>
      <c r="N179" s="155"/>
    </row>
    <row r="180" spans="1:31" ht="14.4">
      <c r="A180" s="140" t="s">
        <v>5700</v>
      </c>
      <c r="B180" s="140" t="s">
        <v>6753</v>
      </c>
      <c r="C180" s="140" t="s">
        <v>220</v>
      </c>
      <c r="D180" s="140" t="s">
        <v>234</v>
      </c>
      <c r="E180" s="140" t="s">
        <v>54</v>
      </c>
      <c r="F180" s="140" t="s">
        <v>6976</v>
      </c>
      <c r="G180" s="140" t="s">
        <v>6977</v>
      </c>
      <c r="H180" s="140" t="s">
        <v>6757</v>
      </c>
      <c r="I180" s="140" t="s">
        <v>933</v>
      </c>
      <c r="J180" s="140" t="s">
        <v>6983</v>
      </c>
      <c r="K180" s="140" t="s">
        <v>6763</v>
      </c>
      <c r="L180" s="140" t="s">
        <v>6985</v>
      </c>
      <c r="M180" s="140" t="s">
        <v>41</v>
      </c>
      <c r="N180" s="155"/>
    </row>
    <row r="181" spans="1:31" ht="14.4">
      <c r="A181" s="140" t="s">
        <v>5700</v>
      </c>
      <c r="B181" s="140" t="s">
        <v>6753</v>
      </c>
      <c r="C181" s="140" t="s">
        <v>220</v>
      </c>
      <c r="D181" s="140" t="s">
        <v>234</v>
      </c>
      <c r="E181" s="140" t="s">
        <v>54</v>
      </c>
      <c r="F181" s="140" t="s">
        <v>6990</v>
      </c>
      <c r="G181" s="140" t="s">
        <v>6992</v>
      </c>
      <c r="H181" s="140" t="s">
        <v>6757</v>
      </c>
      <c r="I181" s="140" t="s">
        <v>933</v>
      </c>
      <c r="J181" s="140" t="s">
        <v>6994</v>
      </c>
      <c r="K181" s="140" t="s">
        <v>6827</v>
      </c>
      <c r="L181" s="140" t="s">
        <v>6972</v>
      </c>
      <c r="M181" s="140" t="s">
        <v>41</v>
      </c>
      <c r="N181" s="155" t="s">
        <v>6888</v>
      </c>
    </row>
    <row r="182" spans="1:31" ht="14.4">
      <c r="A182" s="140" t="s">
        <v>5700</v>
      </c>
      <c r="B182" s="140" t="s">
        <v>6753</v>
      </c>
      <c r="C182" s="140" t="s">
        <v>220</v>
      </c>
      <c r="D182" s="140" t="s">
        <v>234</v>
      </c>
      <c r="E182" s="140" t="s">
        <v>54</v>
      </c>
      <c r="F182" s="140" t="s">
        <v>7000</v>
      </c>
      <c r="G182" s="140" t="s">
        <v>7002</v>
      </c>
      <c r="H182" s="140" t="s">
        <v>6757</v>
      </c>
      <c r="I182" s="140" t="s">
        <v>933</v>
      </c>
      <c r="J182" s="140" t="s">
        <v>7004</v>
      </c>
      <c r="K182" s="140" t="s">
        <v>6795</v>
      </c>
      <c r="L182" s="140" t="s">
        <v>6972</v>
      </c>
      <c r="M182" s="140" t="s">
        <v>41</v>
      </c>
      <c r="N182" s="155" t="s">
        <v>6888</v>
      </c>
    </row>
    <row r="183" spans="1:31" ht="14.4">
      <c r="A183" s="140" t="s">
        <v>5700</v>
      </c>
      <c r="B183" s="140" t="s">
        <v>6753</v>
      </c>
      <c r="C183" s="140" t="s">
        <v>220</v>
      </c>
      <c r="D183" s="140" t="s">
        <v>234</v>
      </c>
      <c r="E183" s="140" t="s">
        <v>54</v>
      </c>
      <c r="F183" s="140" t="s">
        <v>7010</v>
      </c>
      <c r="G183" s="140" t="s">
        <v>7011</v>
      </c>
      <c r="H183" s="140" t="s">
        <v>6757</v>
      </c>
      <c r="I183" s="140" t="s">
        <v>933</v>
      </c>
      <c r="J183" s="140" t="s">
        <v>7016</v>
      </c>
      <c r="K183" s="140" t="s">
        <v>6763</v>
      </c>
      <c r="L183" s="140" t="s">
        <v>7018</v>
      </c>
      <c r="M183" s="140" t="s">
        <v>41</v>
      </c>
      <c r="N183" s="155"/>
    </row>
    <row r="184" spans="1:31" ht="14.4">
      <c r="A184" s="140" t="s">
        <v>5700</v>
      </c>
      <c r="B184" s="140" t="s">
        <v>6753</v>
      </c>
      <c r="C184" s="140" t="s">
        <v>233</v>
      </c>
      <c r="D184" s="140" t="s">
        <v>298</v>
      </c>
      <c r="E184" s="140" t="s">
        <v>54</v>
      </c>
      <c r="F184" s="140" t="s">
        <v>7022</v>
      </c>
      <c r="G184" s="140" t="s">
        <v>7023</v>
      </c>
      <c r="H184" s="140" t="s">
        <v>6757</v>
      </c>
      <c r="I184" s="140" t="s">
        <v>933</v>
      </c>
      <c r="J184" s="140" t="s">
        <v>7025</v>
      </c>
      <c r="K184" s="167" t="s">
        <v>6757</v>
      </c>
      <c r="L184" s="140" t="s">
        <v>729</v>
      </c>
      <c r="M184" s="140" t="s">
        <v>41</v>
      </c>
      <c r="N184" s="155"/>
    </row>
    <row r="185" spans="1:31" ht="14.4">
      <c r="A185" s="140" t="s">
        <v>5700</v>
      </c>
      <c r="B185" s="140" t="s">
        <v>6753</v>
      </c>
      <c r="C185" s="140" t="s">
        <v>233</v>
      </c>
      <c r="D185" s="140" t="s">
        <v>298</v>
      </c>
      <c r="E185" s="140" t="s">
        <v>54</v>
      </c>
      <c r="F185" s="140" t="s">
        <v>7030</v>
      </c>
      <c r="G185" s="140" t="s">
        <v>7033</v>
      </c>
      <c r="H185" s="140" t="s">
        <v>6757</v>
      </c>
      <c r="I185" s="140" t="s">
        <v>933</v>
      </c>
      <c r="J185" s="140" t="s">
        <v>7034</v>
      </c>
      <c r="K185" s="167" t="s">
        <v>7035</v>
      </c>
      <c r="L185" s="140" t="s">
        <v>729</v>
      </c>
      <c r="M185" s="140" t="s">
        <v>41</v>
      </c>
      <c r="N185" s="155"/>
    </row>
    <row r="186" spans="1:31" ht="14.4">
      <c r="A186" s="140" t="s">
        <v>5700</v>
      </c>
      <c r="B186" s="140" t="s">
        <v>6753</v>
      </c>
      <c r="C186" s="140" t="s">
        <v>233</v>
      </c>
      <c r="D186" s="140" t="s">
        <v>298</v>
      </c>
      <c r="E186" s="140" t="s">
        <v>54</v>
      </c>
      <c r="F186" s="140" t="s">
        <v>7040</v>
      </c>
      <c r="G186" s="140" t="s">
        <v>7042</v>
      </c>
      <c r="H186" s="140" t="s">
        <v>6757</v>
      </c>
      <c r="I186" s="140" t="s">
        <v>933</v>
      </c>
      <c r="J186" s="140" t="s">
        <v>7043</v>
      </c>
      <c r="K186" s="167" t="s">
        <v>6844</v>
      </c>
      <c r="L186" s="140" t="s">
        <v>729</v>
      </c>
      <c r="M186" s="140" t="s">
        <v>41</v>
      </c>
      <c r="N186" s="155"/>
    </row>
    <row r="187" spans="1:31" ht="14.4">
      <c r="A187" s="140" t="s">
        <v>5700</v>
      </c>
      <c r="B187" s="140" t="s">
        <v>6753</v>
      </c>
      <c r="C187" s="140" t="s">
        <v>233</v>
      </c>
      <c r="D187" s="140" t="s">
        <v>298</v>
      </c>
      <c r="E187" s="140" t="s">
        <v>54</v>
      </c>
      <c r="F187" s="140" t="s">
        <v>7048</v>
      </c>
      <c r="G187" s="140" t="s">
        <v>7049</v>
      </c>
      <c r="H187" s="140" t="s">
        <v>6757</v>
      </c>
      <c r="I187" s="140" t="s">
        <v>933</v>
      </c>
      <c r="J187" s="140" t="s">
        <v>7050</v>
      </c>
      <c r="K187" s="140" t="s">
        <v>6827</v>
      </c>
      <c r="L187" s="140" t="s">
        <v>729</v>
      </c>
      <c r="M187" s="140" t="s">
        <v>41</v>
      </c>
      <c r="N187" s="155"/>
    </row>
    <row r="188" spans="1:31" ht="14.4">
      <c r="A188" s="140" t="s">
        <v>5700</v>
      </c>
      <c r="B188" s="140" t="s">
        <v>6753</v>
      </c>
      <c r="C188" s="140" t="s">
        <v>233</v>
      </c>
      <c r="D188" s="140" t="s">
        <v>298</v>
      </c>
      <c r="E188" s="140" t="s">
        <v>54</v>
      </c>
      <c r="F188" s="140" t="s">
        <v>7055</v>
      </c>
      <c r="G188" s="140" t="s">
        <v>7049</v>
      </c>
      <c r="H188" s="140" t="s">
        <v>7056</v>
      </c>
      <c r="I188" s="140"/>
      <c r="J188" s="140" t="s">
        <v>7050</v>
      </c>
      <c r="K188" s="140" t="s">
        <v>7056</v>
      </c>
      <c r="L188" s="140" t="s">
        <v>729</v>
      </c>
      <c r="M188" s="140" t="s">
        <v>41</v>
      </c>
      <c r="N188" s="155"/>
    </row>
    <row r="189" spans="1:31" ht="14.4">
      <c r="A189" s="140" t="s">
        <v>5700</v>
      </c>
      <c r="B189" s="140" t="s">
        <v>6753</v>
      </c>
      <c r="C189" s="140" t="s">
        <v>275</v>
      </c>
      <c r="D189" s="140" t="s">
        <v>543</v>
      </c>
      <c r="E189" s="140" t="s">
        <v>54</v>
      </c>
      <c r="F189" s="162" t="s">
        <v>7064</v>
      </c>
      <c r="G189" s="140" t="s">
        <v>7066</v>
      </c>
      <c r="H189" s="140" t="s">
        <v>6757</v>
      </c>
      <c r="I189" s="140" t="s">
        <v>933</v>
      </c>
      <c r="J189" s="140" t="s">
        <v>7069</v>
      </c>
      <c r="K189" s="140" t="s">
        <v>6827</v>
      </c>
      <c r="L189" s="140" t="s">
        <v>729</v>
      </c>
      <c r="M189" s="140" t="s">
        <v>41</v>
      </c>
      <c r="N189" s="15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</row>
    <row r="190" spans="1:31" ht="14.4">
      <c r="A190" s="140" t="s">
        <v>5700</v>
      </c>
      <c r="B190" s="140" t="s">
        <v>6753</v>
      </c>
      <c r="C190" s="140" t="s">
        <v>296</v>
      </c>
      <c r="D190" s="140" t="s">
        <v>954</v>
      </c>
      <c r="E190" s="140" t="s">
        <v>54</v>
      </c>
      <c r="F190" s="162" t="s">
        <v>7077</v>
      </c>
      <c r="G190" s="140" t="s">
        <v>7079</v>
      </c>
      <c r="H190" s="140" t="s">
        <v>6757</v>
      </c>
      <c r="I190" s="140" t="s">
        <v>933</v>
      </c>
      <c r="J190" s="140" t="s">
        <v>7081</v>
      </c>
      <c r="K190" s="140" t="s">
        <v>6757</v>
      </c>
      <c r="L190" s="140" t="s">
        <v>729</v>
      </c>
      <c r="M190" s="140" t="s">
        <v>41</v>
      </c>
      <c r="N190" s="155"/>
    </row>
    <row r="191" spans="1:31" ht="14.4">
      <c r="A191" s="140" t="s">
        <v>5700</v>
      </c>
      <c r="B191" s="140" t="s">
        <v>7083</v>
      </c>
      <c r="C191" s="140" t="s">
        <v>51</v>
      </c>
      <c r="D191" s="140" t="s">
        <v>52</v>
      </c>
      <c r="E191" s="140" t="s">
        <v>54</v>
      </c>
      <c r="F191" s="140" t="s">
        <v>7086</v>
      </c>
      <c r="G191" s="140" t="s">
        <v>7088</v>
      </c>
      <c r="H191" s="140" t="s">
        <v>7090</v>
      </c>
      <c r="I191" s="140"/>
      <c r="J191" s="140" t="s">
        <v>7092</v>
      </c>
      <c r="K191" s="140" t="s">
        <v>7090</v>
      </c>
      <c r="L191" s="140" t="s">
        <v>7094</v>
      </c>
      <c r="M191" s="140" t="s">
        <v>41</v>
      </c>
      <c r="N191" s="155"/>
    </row>
    <row r="192" spans="1:31" ht="14.4">
      <c r="A192" s="140" t="s">
        <v>5700</v>
      </c>
      <c r="B192" s="140" t="s">
        <v>7083</v>
      </c>
      <c r="C192" s="140" t="s">
        <v>70</v>
      </c>
      <c r="D192" s="140" t="s">
        <v>71</v>
      </c>
      <c r="E192" s="140" t="s">
        <v>54</v>
      </c>
      <c r="F192" s="162" t="s">
        <v>7086</v>
      </c>
      <c r="G192" s="140" t="s">
        <v>7099</v>
      </c>
      <c r="H192" s="140" t="s">
        <v>7090</v>
      </c>
      <c r="I192" s="140"/>
      <c r="J192" s="140" t="s">
        <v>7092</v>
      </c>
      <c r="K192" s="140" t="s">
        <v>7090</v>
      </c>
      <c r="L192" s="140" t="s">
        <v>7094</v>
      </c>
      <c r="M192" s="140" t="s">
        <v>41</v>
      </c>
      <c r="N192" s="155"/>
    </row>
    <row r="193" spans="1:14" ht="14.4">
      <c r="A193" s="140" t="s">
        <v>5700</v>
      </c>
      <c r="B193" s="140" t="s">
        <v>7083</v>
      </c>
      <c r="C193" s="140" t="s">
        <v>79</v>
      </c>
      <c r="D193" s="140" t="s">
        <v>80</v>
      </c>
      <c r="E193" s="140" t="s">
        <v>54</v>
      </c>
      <c r="F193" s="140" t="s">
        <v>7086</v>
      </c>
      <c r="G193" s="140" t="s">
        <v>7106</v>
      </c>
      <c r="H193" s="140" t="s">
        <v>7090</v>
      </c>
      <c r="I193" s="140"/>
      <c r="J193" s="140" t="s">
        <v>7092</v>
      </c>
      <c r="K193" s="140" t="s">
        <v>7090</v>
      </c>
      <c r="L193" s="140" t="s">
        <v>7094</v>
      </c>
      <c r="M193" s="140" t="s">
        <v>41</v>
      </c>
      <c r="N193" s="155"/>
    </row>
    <row r="194" spans="1:14" ht="14.4">
      <c r="A194" s="140" t="s">
        <v>5700</v>
      </c>
      <c r="B194" s="140" t="s">
        <v>7083</v>
      </c>
      <c r="C194" s="140" t="s">
        <v>85</v>
      </c>
      <c r="D194" s="140" t="s">
        <v>86</v>
      </c>
      <c r="E194" s="140" t="s">
        <v>54</v>
      </c>
      <c r="F194" s="140" t="s">
        <v>7115</v>
      </c>
      <c r="G194" s="140" t="s">
        <v>7116</v>
      </c>
      <c r="H194" s="140" t="s">
        <v>7117</v>
      </c>
      <c r="I194" s="140"/>
      <c r="J194" s="140" t="s">
        <v>7092</v>
      </c>
      <c r="K194" s="140" t="s">
        <v>7117</v>
      </c>
      <c r="L194" s="140" t="s">
        <v>7120</v>
      </c>
      <c r="M194" s="140" t="s">
        <v>41</v>
      </c>
      <c r="N194" s="155"/>
    </row>
    <row r="195" spans="1:14" ht="14.4">
      <c r="A195" s="140" t="s">
        <v>5700</v>
      </c>
      <c r="B195" s="140" t="s">
        <v>7083</v>
      </c>
      <c r="C195" s="140" t="s">
        <v>85</v>
      </c>
      <c r="D195" s="140" t="s">
        <v>86</v>
      </c>
      <c r="E195" s="140" t="s">
        <v>54</v>
      </c>
      <c r="F195" s="140" t="s">
        <v>7126</v>
      </c>
      <c r="G195" s="140" t="s">
        <v>7127</v>
      </c>
      <c r="H195" s="140" t="s">
        <v>7128</v>
      </c>
      <c r="I195" s="140"/>
      <c r="J195" s="140" t="s">
        <v>7130</v>
      </c>
      <c r="K195" s="140" t="s">
        <v>7132</v>
      </c>
      <c r="L195" s="140" t="s">
        <v>7133</v>
      </c>
      <c r="M195" s="140" t="s">
        <v>41</v>
      </c>
      <c r="N195" s="155"/>
    </row>
    <row r="196" spans="1:14" ht="14.4">
      <c r="A196" s="140" t="s">
        <v>5700</v>
      </c>
      <c r="B196" s="140" t="s">
        <v>7083</v>
      </c>
      <c r="C196" s="140" t="s">
        <v>85</v>
      </c>
      <c r="D196" s="140" t="s">
        <v>86</v>
      </c>
      <c r="E196" s="140" t="s">
        <v>54</v>
      </c>
      <c r="F196" s="140" t="s">
        <v>7138</v>
      </c>
      <c r="G196" s="140" t="s">
        <v>7140</v>
      </c>
      <c r="H196" s="140" t="s">
        <v>7142</v>
      </c>
      <c r="I196" s="140"/>
      <c r="J196" s="140" t="s">
        <v>7144</v>
      </c>
      <c r="K196" s="140" t="s">
        <v>7142</v>
      </c>
      <c r="L196" s="140" t="s">
        <v>7120</v>
      </c>
      <c r="M196" s="140" t="s">
        <v>41</v>
      </c>
      <c r="N196" s="155"/>
    </row>
    <row r="197" spans="1:14" ht="14.4">
      <c r="A197" s="140" t="s">
        <v>5700</v>
      </c>
      <c r="B197" s="140" t="s">
        <v>7083</v>
      </c>
      <c r="C197" s="140" t="s">
        <v>85</v>
      </c>
      <c r="D197" s="140" t="s">
        <v>86</v>
      </c>
      <c r="E197" s="140" t="s">
        <v>54</v>
      </c>
      <c r="F197" s="140" t="s">
        <v>7151</v>
      </c>
      <c r="G197" s="140" t="s">
        <v>7153</v>
      </c>
      <c r="H197" s="140" t="s">
        <v>7090</v>
      </c>
      <c r="I197" s="140"/>
      <c r="J197" s="140" t="s">
        <v>7092</v>
      </c>
      <c r="K197" s="140" t="s">
        <v>7156</v>
      </c>
      <c r="L197" s="140" t="s">
        <v>7120</v>
      </c>
      <c r="M197" s="140" t="s">
        <v>41</v>
      </c>
      <c r="N197" s="155"/>
    </row>
    <row r="198" spans="1:14" ht="14.4">
      <c r="A198" s="140" t="s">
        <v>5700</v>
      </c>
      <c r="B198" s="140" t="s">
        <v>7083</v>
      </c>
      <c r="C198" s="140" t="s">
        <v>85</v>
      </c>
      <c r="D198" s="140" t="s">
        <v>86</v>
      </c>
      <c r="E198" s="140" t="s">
        <v>54</v>
      </c>
      <c r="F198" s="140" t="s">
        <v>7164</v>
      </c>
      <c r="G198" s="140" t="s">
        <v>7165</v>
      </c>
      <c r="H198" s="140" t="s">
        <v>7166</v>
      </c>
      <c r="I198" s="140"/>
      <c r="J198" s="140" t="s">
        <v>7169</v>
      </c>
      <c r="K198" s="140" t="s">
        <v>7171</v>
      </c>
      <c r="L198" s="140" t="s">
        <v>7172</v>
      </c>
      <c r="M198" s="140" t="s">
        <v>41</v>
      </c>
      <c r="N198" s="155"/>
    </row>
    <row r="199" spans="1:14" ht="14.4">
      <c r="A199" s="140" t="s">
        <v>5700</v>
      </c>
      <c r="B199" s="140" t="s">
        <v>7083</v>
      </c>
      <c r="C199" s="140" t="s">
        <v>85</v>
      </c>
      <c r="D199" s="140" t="s">
        <v>86</v>
      </c>
      <c r="E199" s="140" t="s">
        <v>54</v>
      </c>
      <c r="F199" s="140" t="s">
        <v>7180</v>
      </c>
      <c r="G199" s="140" t="s">
        <v>7183</v>
      </c>
      <c r="H199" s="140" t="s">
        <v>7184</v>
      </c>
      <c r="I199" s="140"/>
      <c r="J199" s="140" t="s">
        <v>7185</v>
      </c>
      <c r="K199" s="140" t="s">
        <v>7186</v>
      </c>
      <c r="L199" s="140" t="s">
        <v>2230</v>
      </c>
      <c r="M199" s="140" t="s">
        <v>41</v>
      </c>
      <c r="N199" s="155"/>
    </row>
    <row r="200" spans="1:14" ht="14.4">
      <c r="A200" s="140" t="s">
        <v>5700</v>
      </c>
      <c r="B200" s="140" t="s">
        <v>7083</v>
      </c>
      <c r="C200" s="140" t="s">
        <v>85</v>
      </c>
      <c r="D200" s="140" t="s">
        <v>86</v>
      </c>
      <c r="E200" s="140" t="s">
        <v>54</v>
      </c>
      <c r="F200" s="140" t="s">
        <v>7194</v>
      </c>
      <c r="G200" s="140" t="s">
        <v>7195</v>
      </c>
      <c r="H200" s="140" t="s">
        <v>7196</v>
      </c>
      <c r="I200" s="140" t="s">
        <v>7199</v>
      </c>
      <c r="J200" s="140" t="s">
        <v>7202</v>
      </c>
      <c r="K200" s="140" t="s">
        <v>7204</v>
      </c>
      <c r="L200" s="140" t="s">
        <v>7205</v>
      </c>
      <c r="M200" s="140" t="s">
        <v>41</v>
      </c>
      <c r="N200" s="155"/>
    </row>
    <row r="201" spans="1:14" ht="14.4">
      <c r="A201" s="140" t="s">
        <v>5700</v>
      </c>
      <c r="B201" s="140" t="s">
        <v>7083</v>
      </c>
      <c r="C201" s="140" t="s">
        <v>85</v>
      </c>
      <c r="D201" s="140" t="s">
        <v>86</v>
      </c>
      <c r="E201" s="140" t="s">
        <v>54</v>
      </c>
      <c r="F201" s="140" t="s">
        <v>7211</v>
      </c>
      <c r="G201" s="140" t="s">
        <v>7215</v>
      </c>
      <c r="H201" s="140" t="s">
        <v>7216</v>
      </c>
      <c r="I201" s="140" t="s">
        <v>7217</v>
      </c>
      <c r="J201" s="140" t="s">
        <v>7218</v>
      </c>
      <c r="K201" s="140" t="s">
        <v>7220</v>
      </c>
      <c r="L201" s="140" t="s">
        <v>7221</v>
      </c>
      <c r="M201" s="140" t="s">
        <v>41</v>
      </c>
      <c r="N201" s="155"/>
    </row>
    <row r="202" spans="1:14" ht="14.4">
      <c r="A202" s="140" t="s">
        <v>5700</v>
      </c>
      <c r="B202" s="140" t="s">
        <v>7083</v>
      </c>
      <c r="C202" s="140" t="s">
        <v>85</v>
      </c>
      <c r="D202" s="140" t="s">
        <v>86</v>
      </c>
      <c r="E202" s="140" t="s">
        <v>54</v>
      </c>
      <c r="F202" s="140" t="s">
        <v>7226</v>
      </c>
      <c r="G202" s="140" t="s">
        <v>7227</v>
      </c>
      <c r="H202" s="140" t="s">
        <v>7090</v>
      </c>
      <c r="I202" s="140"/>
      <c r="J202" s="140" t="s">
        <v>7231</v>
      </c>
      <c r="K202" s="140" t="s">
        <v>7233</v>
      </c>
      <c r="L202" s="140" t="s">
        <v>7120</v>
      </c>
      <c r="M202" s="140" t="s">
        <v>41</v>
      </c>
      <c r="N202" s="155"/>
    </row>
    <row r="203" spans="1:14" ht="14.4">
      <c r="A203" s="140" t="s">
        <v>5700</v>
      </c>
      <c r="B203" s="140" t="s">
        <v>7083</v>
      </c>
      <c r="C203" s="140" t="s">
        <v>85</v>
      </c>
      <c r="D203" s="140" t="s">
        <v>86</v>
      </c>
      <c r="E203" s="140" t="s">
        <v>54</v>
      </c>
      <c r="F203" s="140" t="s">
        <v>7237</v>
      </c>
      <c r="G203" s="140" t="s">
        <v>7238</v>
      </c>
      <c r="H203" s="140" t="s">
        <v>7240</v>
      </c>
      <c r="I203" s="140" t="s">
        <v>7241</v>
      </c>
      <c r="J203" s="140" t="s">
        <v>7242</v>
      </c>
      <c r="K203" s="140" t="s">
        <v>7240</v>
      </c>
      <c r="L203" s="140" t="s">
        <v>2149</v>
      </c>
      <c r="M203" s="140" t="s">
        <v>41</v>
      </c>
      <c r="N203" s="155"/>
    </row>
    <row r="204" spans="1:14" ht="14.4">
      <c r="A204" s="140" t="s">
        <v>5700</v>
      </c>
      <c r="B204" s="140" t="s">
        <v>7083</v>
      </c>
      <c r="C204" s="140" t="s">
        <v>85</v>
      </c>
      <c r="D204" s="140" t="s">
        <v>86</v>
      </c>
      <c r="E204" s="140" t="s">
        <v>54</v>
      </c>
      <c r="F204" s="140" t="s">
        <v>7249</v>
      </c>
      <c r="G204" s="140" t="s">
        <v>7250</v>
      </c>
      <c r="H204" s="140" t="s">
        <v>7251</v>
      </c>
      <c r="I204" s="140"/>
      <c r="J204" s="140" t="s">
        <v>7252</v>
      </c>
      <c r="K204" s="140" t="s">
        <v>7253</v>
      </c>
      <c r="L204" s="140" t="s">
        <v>7120</v>
      </c>
      <c r="M204" s="140" t="s">
        <v>41</v>
      </c>
      <c r="N204" s="155"/>
    </row>
    <row r="205" spans="1:14" ht="14.4">
      <c r="A205" s="140" t="s">
        <v>5700</v>
      </c>
      <c r="B205" s="140" t="s">
        <v>7083</v>
      </c>
      <c r="C205" s="140" t="s">
        <v>85</v>
      </c>
      <c r="D205" s="140" t="s">
        <v>86</v>
      </c>
      <c r="E205" s="140" t="s">
        <v>54</v>
      </c>
      <c r="F205" s="140" t="s">
        <v>7261</v>
      </c>
      <c r="G205" s="140" t="s">
        <v>7262</v>
      </c>
      <c r="H205" s="140" t="s">
        <v>7263</v>
      </c>
      <c r="I205" s="140"/>
      <c r="J205" s="140" t="s">
        <v>7265</v>
      </c>
      <c r="K205" s="140" t="s">
        <v>7268</v>
      </c>
      <c r="L205" s="140" t="s">
        <v>933</v>
      </c>
      <c r="M205" s="140" t="s">
        <v>41</v>
      </c>
      <c r="N205" s="155"/>
    </row>
    <row r="206" spans="1:14" ht="14.4">
      <c r="A206" s="140" t="s">
        <v>5700</v>
      </c>
      <c r="B206" s="140" t="s">
        <v>7083</v>
      </c>
      <c r="C206" s="140" t="s">
        <v>85</v>
      </c>
      <c r="D206" s="140" t="s">
        <v>86</v>
      </c>
      <c r="E206" s="140" t="s">
        <v>54</v>
      </c>
      <c r="F206" s="140" t="s">
        <v>7276</v>
      </c>
      <c r="G206" s="140" t="s">
        <v>7278</v>
      </c>
      <c r="H206" s="140" t="s">
        <v>7280</v>
      </c>
      <c r="I206" s="140"/>
      <c r="J206" s="140" t="s">
        <v>7282</v>
      </c>
      <c r="K206" s="140" t="s">
        <v>7284</v>
      </c>
      <c r="L206" s="140" t="s">
        <v>7285</v>
      </c>
      <c r="M206" s="140" t="s">
        <v>41</v>
      </c>
      <c r="N206" s="155"/>
    </row>
    <row r="207" spans="1:14" ht="14.4">
      <c r="A207" s="140" t="s">
        <v>5700</v>
      </c>
      <c r="B207" s="140" t="s">
        <v>7083</v>
      </c>
      <c r="C207" s="140" t="s">
        <v>85</v>
      </c>
      <c r="D207" s="140" t="s">
        <v>86</v>
      </c>
      <c r="E207" s="140" t="s">
        <v>54</v>
      </c>
      <c r="F207" s="140" t="s">
        <v>7292</v>
      </c>
      <c r="G207" s="140" t="s">
        <v>7294</v>
      </c>
      <c r="H207" s="140" t="s">
        <v>7296</v>
      </c>
      <c r="I207" s="140"/>
      <c r="J207" s="140" t="s">
        <v>7298</v>
      </c>
      <c r="K207" s="140" t="s">
        <v>7300</v>
      </c>
      <c r="L207" s="140" t="s">
        <v>7301</v>
      </c>
      <c r="M207" s="140" t="s">
        <v>41</v>
      </c>
      <c r="N207" s="155"/>
    </row>
    <row r="208" spans="1:14" ht="14.4">
      <c r="A208" s="140" t="s">
        <v>5700</v>
      </c>
      <c r="B208" s="140" t="s">
        <v>7083</v>
      </c>
      <c r="C208" s="140" t="s">
        <v>220</v>
      </c>
      <c r="D208" s="140" t="s">
        <v>234</v>
      </c>
      <c r="E208" s="140" t="s">
        <v>54</v>
      </c>
      <c r="F208" s="140" t="s">
        <v>6399</v>
      </c>
      <c r="G208" s="140" t="s">
        <v>7310</v>
      </c>
      <c r="H208" s="140" t="s">
        <v>7090</v>
      </c>
      <c r="I208" s="140"/>
      <c r="J208" s="140" t="s">
        <v>7092</v>
      </c>
      <c r="K208" s="140" t="s">
        <v>7314</v>
      </c>
      <c r="L208" s="140" t="s">
        <v>7120</v>
      </c>
      <c r="M208" s="140" t="s">
        <v>41</v>
      </c>
      <c r="N208" s="155"/>
    </row>
    <row r="209" spans="1:31" ht="14.4">
      <c r="A209" s="140" t="s">
        <v>5700</v>
      </c>
      <c r="B209" s="140" t="s">
        <v>7083</v>
      </c>
      <c r="C209" s="140" t="s">
        <v>220</v>
      </c>
      <c r="D209" s="140" t="s">
        <v>234</v>
      </c>
      <c r="E209" s="140" t="s">
        <v>54</v>
      </c>
      <c r="F209" s="140" t="s">
        <v>6389</v>
      </c>
      <c r="G209" s="140" t="s">
        <v>7322</v>
      </c>
      <c r="H209" s="140" t="s">
        <v>7184</v>
      </c>
      <c r="I209" s="140"/>
      <c r="J209" s="140">
        <v>2024.039</v>
      </c>
      <c r="K209" s="140" t="s">
        <v>7325</v>
      </c>
      <c r="L209" s="140" t="s">
        <v>2230</v>
      </c>
      <c r="M209" s="140" t="s">
        <v>41</v>
      </c>
      <c r="N209" s="155"/>
    </row>
    <row r="210" spans="1:31" ht="14.4">
      <c r="A210" s="140" t="s">
        <v>5700</v>
      </c>
      <c r="B210" s="140" t="s">
        <v>7083</v>
      </c>
      <c r="C210" s="140" t="s">
        <v>220</v>
      </c>
      <c r="D210" s="140" t="s">
        <v>234</v>
      </c>
      <c r="E210" s="140" t="s">
        <v>54</v>
      </c>
      <c r="F210" s="140" t="s">
        <v>6386</v>
      </c>
      <c r="G210" s="140" t="s">
        <v>7333</v>
      </c>
      <c r="H210" s="140" t="s">
        <v>7090</v>
      </c>
      <c r="I210" s="140"/>
      <c r="J210" s="140" t="s">
        <v>7185</v>
      </c>
      <c r="K210" s="140" t="s">
        <v>7338</v>
      </c>
      <c r="L210" s="140" t="s">
        <v>7120</v>
      </c>
      <c r="M210" s="140" t="s">
        <v>41</v>
      </c>
      <c r="N210" s="155"/>
    </row>
    <row r="211" spans="1:31" ht="14.4">
      <c r="A211" s="140" t="s">
        <v>5700</v>
      </c>
      <c r="B211" s="140" t="s">
        <v>7083</v>
      </c>
      <c r="C211" s="140" t="s">
        <v>220</v>
      </c>
      <c r="D211" s="140" t="s">
        <v>234</v>
      </c>
      <c r="E211" s="140" t="s">
        <v>54</v>
      </c>
      <c r="F211" s="140" t="s">
        <v>7341</v>
      </c>
      <c r="G211" s="140" t="s">
        <v>7345</v>
      </c>
      <c r="H211" s="140" t="s">
        <v>7090</v>
      </c>
      <c r="I211" s="140"/>
      <c r="J211" s="140" t="s">
        <v>7185</v>
      </c>
      <c r="K211" s="140" t="s">
        <v>7348</v>
      </c>
      <c r="L211" s="140" t="s">
        <v>7120</v>
      </c>
      <c r="M211" s="140" t="s">
        <v>41</v>
      </c>
      <c r="N211" s="155"/>
    </row>
    <row r="212" spans="1:31" ht="14.4">
      <c r="A212" s="140" t="s">
        <v>5700</v>
      </c>
      <c r="B212" s="140" t="s">
        <v>7083</v>
      </c>
      <c r="C212" s="140" t="s">
        <v>233</v>
      </c>
      <c r="D212" s="140" t="s">
        <v>298</v>
      </c>
      <c r="E212" s="140" t="s">
        <v>54</v>
      </c>
      <c r="F212" s="140" t="s">
        <v>7355</v>
      </c>
      <c r="G212" s="140" t="s">
        <v>7357</v>
      </c>
      <c r="H212" s="140" t="s">
        <v>7296</v>
      </c>
      <c r="I212" s="140"/>
      <c r="J212" s="140" t="s">
        <v>7298</v>
      </c>
      <c r="K212" s="140" t="s">
        <v>7360</v>
      </c>
      <c r="L212" s="140" t="s">
        <v>7361</v>
      </c>
      <c r="M212" s="140" t="s">
        <v>41</v>
      </c>
      <c r="N212" s="155"/>
    </row>
    <row r="213" spans="1:31" ht="14.4">
      <c r="A213" s="140" t="s">
        <v>5700</v>
      </c>
      <c r="B213" s="140" t="s">
        <v>7083</v>
      </c>
      <c r="C213" s="140" t="s">
        <v>233</v>
      </c>
      <c r="D213" s="140" t="s">
        <v>298</v>
      </c>
      <c r="E213" s="140" t="s">
        <v>54</v>
      </c>
      <c r="F213" s="140" t="s">
        <v>7366</v>
      </c>
      <c r="G213" s="140" t="s">
        <v>7368</v>
      </c>
      <c r="H213" s="140" t="s">
        <v>7251</v>
      </c>
      <c r="I213" s="140"/>
      <c r="J213" s="140" t="s">
        <v>7092</v>
      </c>
      <c r="K213" s="140" t="s">
        <v>7251</v>
      </c>
      <c r="L213" s="140" t="s">
        <v>7120</v>
      </c>
      <c r="M213" s="140" t="s">
        <v>41</v>
      </c>
      <c r="N213" s="155"/>
    </row>
    <row r="214" spans="1:31" ht="14.4">
      <c r="A214" s="140" t="s">
        <v>5700</v>
      </c>
      <c r="B214" s="140" t="s">
        <v>7083</v>
      </c>
      <c r="C214" s="140" t="s">
        <v>275</v>
      </c>
      <c r="D214" s="140" t="s">
        <v>543</v>
      </c>
      <c r="E214" s="140" t="s">
        <v>54</v>
      </c>
      <c r="F214" s="162" t="s">
        <v>7376</v>
      </c>
      <c r="G214" s="140" t="s">
        <v>7378</v>
      </c>
      <c r="H214" s="140" t="s">
        <v>7090</v>
      </c>
      <c r="I214" s="140" t="s">
        <v>7382</v>
      </c>
      <c r="J214" s="140" t="s">
        <v>7092</v>
      </c>
      <c r="K214" s="140" t="s">
        <v>7385</v>
      </c>
      <c r="L214" s="140" t="s">
        <v>2149</v>
      </c>
      <c r="M214" s="140" t="s">
        <v>41</v>
      </c>
      <c r="N214" s="15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</row>
    <row r="215" spans="1:31" ht="14.4">
      <c r="A215" s="140" t="s">
        <v>5700</v>
      </c>
      <c r="B215" s="140" t="s">
        <v>7083</v>
      </c>
      <c r="C215" s="140" t="s">
        <v>296</v>
      </c>
      <c r="D215" s="140" t="s">
        <v>954</v>
      </c>
      <c r="E215" s="140" t="s">
        <v>54</v>
      </c>
      <c r="F215" s="162" t="s">
        <v>7395</v>
      </c>
      <c r="G215" s="140">
        <v>21145</v>
      </c>
      <c r="H215" s="140" t="s">
        <v>7090</v>
      </c>
      <c r="I215" s="140" t="s">
        <v>7397</v>
      </c>
      <c r="J215" s="140" t="s">
        <v>1740</v>
      </c>
      <c r="K215" s="140" t="s">
        <v>5162</v>
      </c>
      <c r="L215" s="140" t="s">
        <v>2149</v>
      </c>
      <c r="M215" s="140" t="s">
        <v>41</v>
      </c>
      <c r="N215" s="155"/>
    </row>
    <row r="216" spans="1:31" ht="14.4">
      <c r="A216" s="140" t="s">
        <v>5700</v>
      </c>
      <c r="B216" s="140" t="s">
        <v>7083</v>
      </c>
      <c r="C216" s="140" t="s">
        <v>296</v>
      </c>
      <c r="D216" s="140" t="s">
        <v>954</v>
      </c>
      <c r="E216" s="140" t="s">
        <v>54</v>
      </c>
      <c r="F216" s="162" t="s">
        <v>7406</v>
      </c>
      <c r="G216" s="140" t="s">
        <v>7407</v>
      </c>
      <c r="H216" s="140" t="s">
        <v>7409</v>
      </c>
      <c r="I216" s="140" t="s">
        <v>7411</v>
      </c>
      <c r="J216" s="140" t="s">
        <v>7169</v>
      </c>
      <c r="K216" s="140" t="s">
        <v>7414</v>
      </c>
      <c r="L216" s="140" t="s">
        <v>729</v>
      </c>
      <c r="M216" s="140" t="s">
        <v>41</v>
      </c>
      <c r="N216" s="155"/>
    </row>
    <row r="217" spans="1:31" ht="14.4">
      <c r="A217" s="140" t="s">
        <v>5700</v>
      </c>
      <c r="B217" s="140" t="s">
        <v>5806</v>
      </c>
      <c r="C217" s="140" t="s">
        <v>233</v>
      </c>
      <c r="D217" s="140" t="s">
        <v>298</v>
      </c>
      <c r="E217" s="140" t="s">
        <v>54</v>
      </c>
      <c r="F217" s="140" t="s">
        <v>7421</v>
      </c>
      <c r="G217" s="140" t="s">
        <v>5902</v>
      </c>
      <c r="H217" s="140" t="s">
        <v>5809</v>
      </c>
      <c r="I217" s="140" t="s">
        <v>5810</v>
      </c>
      <c r="J217" s="140" t="s">
        <v>5903</v>
      </c>
      <c r="K217" s="140" t="s">
        <v>7424</v>
      </c>
      <c r="L217" s="140" t="s">
        <v>729</v>
      </c>
      <c r="M217" s="243" t="s">
        <v>41</v>
      </c>
      <c r="N217" s="155"/>
    </row>
    <row r="218" spans="1:31" ht="14.4">
      <c r="A218" s="140" t="s">
        <v>5700</v>
      </c>
      <c r="B218" s="140" t="s">
        <v>6753</v>
      </c>
      <c r="C218" s="107" t="s">
        <v>319</v>
      </c>
      <c r="D218" s="140" t="s">
        <v>796</v>
      </c>
      <c r="E218" s="140" t="s">
        <v>54</v>
      </c>
      <c r="F218" s="244" t="s">
        <v>7441</v>
      </c>
      <c r="G218" s="140" t="s">
        <v>7443</v>
      </c>
      <c r="H218" s="140" t="s">
        <v>6757</v>
      </c>
      <c r="I218" s="140" t="s">
        <v>933</v>
      </c>
      <c r="J218" s="140" t="s">
        <v>7444</v>
      </c>
      <c r="K218" s="140" t="s">
        <v>6827</v>
      </c>
      <c r="L218" s="140" t="s">
        <v>2149</v>
      </c>
      <c r="M218" s="140" t="s">
        <v>41</v>
      </c>
      <c r="N218" s="155"/>
    </row>
    <row r="219" spans="1:31" ht="14.4">
      <c r="A219" s="140" t="s">
        <v>5700</v>
      </c>
      <c r="B219" s="140" t="s">
        <v>6753</v>
      </c>
      <c r="C219" s="107" t="s">
        <v>319</v>
      </c>
      <c r="D219" s="140" t="s">
        <v>796</v>
      </c>
      <c r="E219" s="140" t="s">
        <v>54</v>
      </c>
      <c r="F219" s="244" t="s">
        <v>7452</v>
      </c>
      <c r="G219" s="140" t="s">
        <v>7453</v>
      </c>
      <c r="H219" s="140" t="s">
        <v>6757</v>
      </c>
      <c r="I219" s="140" t="s">
        <v>933</v>
      </c>
      <c r="J219" s="140" t="s">
        <v>7457</v>
      </c>
      <c r="K219" s="140" t="s">
        <v>6827</v>
      </c>
      <c r="L219" s="140" t="s">
        <v>2149</v>
      </c>
      <c r="M219" s="140" t="s">
        <v>41</v>
      </c>
      <c r="N219" s="155"/>
    </row>
    <row r="220" spans="1:31" ht="14.4">
      <c r="A220" s="140" t="s">
        <v>5700</v>
      </c>
      <c r="B220" s="140" t="s">
        <v>6753</v>
      </c>
      <c r="C220" s="107" t="s">
        <v>319</v>
      </c>
      <c r="D220" s="140" t="s">
        <v>796</v>
      </c>
      <c r="E220" s="140" t="s">
        <v>54</v>
      </c>
      <c r="F220" s="162" t="s">
        <v>7462</v>
      </c>
      <c r="G220" s="140" t="s">
        <v>7464</v>
      </c>
      <c r="H220" s="140" t="s">
        <v>6757</v>
      </c>
      <c r="I220" s="140" t="s">
        <v>933</v>
      </c>
      <c r="J220" s="140" t="s">
        <v>7466</v>
      </c>
      <c r="K220" s="140" t="s">
        <v>6827</v>
      </c>
      <c r="L220" s="140" t="s">
        <v>2149</v>
      </c>
      <c r="M220" s="140" t="s">
        <v>41</v>
      </c>
      <c r="N220" s="155"/>
    </row>
    <row r="221" spans="1:31" ht="14.4">
      <c r="A221" s="140" t="s">
        <v>5700</v>
      </c>
      <c r="B221" s="140" t="s">
        <v>7083</v>
      </c>
      <c r="C221" s="140" t="s">
        <v>233</v>
      </c>
      <c r="D221" s="140" t="s">
        <v>298</v>
      </c>
      <c r="E221" s="140" t="s">
        <v>54</v>
      </c>
      <c r="F221" s="140" t="s">
        <v>7476</v>
      </c>
      <c r="G221" s="140" t="s">
        <v>7368</v>
      </c>
      <c r="H221" s="140" t="s">
        <v>7479</v>
      </c>
      <c r="I221" s="140"/>
      <c r="J221" s="140" t="s">
        <v>7092</v>
      </c>
      <c r="K221" s="140" t="s">
        <v>7479</v>
      </c>
      <c r="L221" s="140" t="s">
        <v>7120</v>
      </c>
      <c r="M221" s="140" t="s">
        <v>41</v>
      </c>
      <c r="N221" s="155" t="s">
        <v>7483</v>
      </c>
    </row>
    <row r="222" spans="1:31" ht="14.4">
      <c r="A222" s="140" t="s">
        <v>5700</v>
      </c>
      <c r="B222" s="140" t="s">
        <v>6276</v>
      </c>
      <c r="C222" s="140" t="s">
        <v>233</v>
      </c>
      <c r="D222" s="140" t="s">
        <v>298</v>
      </c>
      <c r="E222" s="140" t="s">
        <v>54</v>
      </c>
      <c r="F222" s="140" t="s">
        <v>7486</v>
      </c>
      <c r="G222" s="140" t="s">
        <v>6515</v>
      </c>
      <c r="H222" s="140" t="s">
        <v>6091</v>
      </c>
      <c r="I222" s="140" t="s">
        <v>6303</v>
      </c>
      <c r="J222" s="140" t="s">
        <v>6454</v>
      </c>
      <c r="K222" s="140" t="s">
        <v>6491</v>
      </c>
      <c r="L222" s="140" t="s">
        <v>6457</v>
      </c>
      <c r="M222" s="243" t="s">
        <v>41</v>
      </c>
      <c r="N222" s="155"/>
    </row>
    <row r="223" spans="1:31" ht="14.4">
      <c r="A223" s="140" t="s">
        <v>5700</v>
      </c>
      <c r="B223" s="140" t="s">
        <v>5701</v>
      </c>
      <c r="C223" s="107" t="s">
        <v>319</v>
      </c>
      <c r="D223" s="140" t="s">
        <v>796</v>
      </c>
      <c r="E223" s="140" t="s">
        <v>54</v>
      </c>
      <c r="F223" s="245" t="s">
        <v>7494</v>
      </c>
      <c r="G223" s="140"/>
      <c r="H223" s="140" t="s">
        <v>7500</v>
      </c>
      <c r="I223" s="140" t="s">
        <v>6149</v>
      </c>
      <c r="J223" s="140"/>
      <c r="K223" s="140" t="s">
        <v>7500</v>
      </c>
      <c r="L223" s="140" t="s">
        <v>989</v>
      </c>
      <c r="M223" s="140" t="s">
        <v>41</v>
      </c>
      <c r="N223" s="155"/>
    </row>
    <row r="224" spans="1:31" ht="14.4">
      <c r="A224" s="140" t="s">
        <v>5700</v>
      </c>
      <c r="B224" s="140" t="s">
        <v>5701</v>
      </c>
      <c r="C224" s="107" t="s">
        <v>319</v>
      </c>
      <c r="D224" s="140" t="s">
        <v>796</v>
      </c>
      <c r="E224" s="140" t="s">
        <v>54</v>
      </c>
      <c r="F224" s="162" t="s">
        <v>7507</v>
      </c>
      <c r="G224" s="140"/>
      <c r="H224" s="140" t="s">
        <v>7508</v>
      </c>
      <c r="I224" s="140" t="s">
        <v>2919</v>
      </c>
      <c r="J224" s="140"/>
      <c r="K224" s="140" t="s">
        <v>7508</v>
      </c>
      <c r="L224" s="140" t="s">
        <v>989</v>
      </c>
      <c r="M224" s="140" t="s">
        <v>41</v>
      </c>
      <c r="N224" s="155"/>
    </row>
    <row r="225" spans="1:14" ht="14.4">
      <c r="A225" s="140" t="s">
        <v>5700</v>
      </c>
      <c r="B225" s="140" t="s">
        <v>5701</v>
      </c>
      <c r="C225" s="107" t="s">
        <v>319</v>
      </c>
      <c r="D225" s="140" t="s">
        <v>796</v>
      </c>
      <c r="E225" s="140" t="s">
        <v>54</v>
      </c>
      <c r="F225" s="162" t="s">
        <v>7514</v>
      </c>
      <c r="G225" s="140"/>
      <c r="H225" s="140" t="s">
        <v>5711</v>
      </c>
      <c r="I225" s="140" t="s">
        <v>7516</v>
      </c>
      <c r="J225" s="140"/>
      <c r="K225" s="140" t="s">
        <v>5711</v>
      </c>
      <c r="L225" s="140" t="s">
        <v>2149</v>
      </c>
      <c r="M225" s="140" t="s">
        <v>41</v>
      </c>
      <c r="N225" s="155"/>
    </row>
    <row r="226" spans="1:14" ht="14.4">
      <c r="A226" s="140" t="s">
        <v>5700</v>
      </c>
      <c r="B226" s="140" t="s">
        <v>5701</v>
      </c>
      <c r="C226" s="107" t="s">
        <v>319</v>
      </c>
      <c r="D226" s="140" t="s">
        <v>796</v>
      </c>
      <c r="E226" s="140" t="s">
        <v>54</v>
      </c>
      <c r="F226" s="162" t="s">
        <v>7520</v>
      </c>
      <c r="G226" s="140"/>
      <c r="H226" s="140" t="s">
        <v>7521</v>
      </c>
      <c r="I226" s="140" t="s">
        <v>2155</v>
      </c>
      <c r="J226" s="140"/>
      <c r="K226" s="140" t="s">
        <v>7521</v>
      </c>
      <c r="L226" s="140" t="s">
        <v>7523</v>
      </c>
      <c r="M226" s="140" t="s">
        <v>41</v>
      </c>
      <c r="N226" s="155"/>
    </row>
    <row r="227" spans="1:14" ht="14.4">
      <c r="A227" s="140" t="s">
        <v>5700</v>
      </c>
      <c r="B227" s="140" t="s">
        <v>5701</v>
      </c>
      <c r="C227" s="107" t="s">
        <v>319</v>
      </c>
      <c r="D227" s="140" t="s">
        <v>796</v>
      </c>
      <c r="E227" s="140" t="s">
        <v>54</v>
      </c>
      <c r="F227" s="162" t="s">
        <v>7525</v>
      </c>
      <c r="G227" s="140"/>
      <c r="H227" s="140" t="s">
        <v>7526</v>
      </c>
      <c r="I227" s="140"/>
      <c r="J227" s="140"/>
      <c r="K227" s="140" t="s">
        <v>7526</v>
      </c>
      <c r="L227" s="140" t="s">
        <v>550</v>
      </c>
      <c r="M227" s="140" t="s">
        <v>41</v>
      </c>
      <c r="N227" s="155"/>
    </row>
    <row r="228" spans="1:14" ht="14.4">
      <c r="A228" s="140" t="s">
        <v>5700</v>
      </c>
      <c r="B228" s="140" t="s">
        <v>5701</v>
      </c>
      <c r="C228" s="107" t="s">
        <v>319</v>
      </c>
      <c r="D228" s="140" t="s">
        <v>796</v>
      </c>
      <c r="E228" s="140" t="s">
        <v>54</v>
      </c>
      <c r="F228" s="162" t="s">
        <v>7530</v>
      </c>
      <c r="G228" s="140"/>
      <c r="H228" s="140" t="s">
        <v>7532</v>
      </c>
      <c r="I228" s="140"/>
      <c r="J228" s="140"/>
      <c r="K228" s="140" t="s">
        <v>7532</v>
      </c>
      <c r="L228" s="140" t="s">
        <v>2444</v>
      </c>
      <c r="M228" s="140" t="s">
        <v>41</v>
      </c>
      <c r="N228" s="155"/>
    </row>
    <row r="229" spans="1:14" ht="14.4">
      <c r="A229" s="140" t="s">
        <v>5700</v>
      </c>
      <c r="B229" s="140" t="s">
        <v>5701</v>
      </c>
      <c r="C229" s="107" t="s">
        <v>319</v>
      </c>
      <c r="D229" s="140" t="s">
        <v>796</v>
      </c>
      <c r="E229" s="140" t="s">
        <v>54</v>
      </c>
      <c r="F229" s="162" t="s">
        <v>7536</v>
      </c>
      <c r="G229" s="140"/>
      <c r="H229" s="140" t="s">
        <v>7538</v>
      </c>
      <c r="I229" s="140" t="s">
        <v>7540</v>
      </c>
      <c r="J229" s="140"/>
      <c r="K229" s="140" t="s">
        <v>7538</v>
      </c>
      <c r="L229" s="140" t="s">
        <v>989</v>
      </c>
      <c r="M229" s="140" t="s">
        <v>41</v>
      </c>
      <c r="N229" s="155"/>
    </row>
    <row r="230" spans="1:14" ht="14.4">
      <c r="A230" s="140" t="s">
        <v>5700</v>
      </c>
      <c r="B230" s="140" t="s">
        <v>5701</v>
      </c>
      <c r="C230" s="140" t="s">
        <v>337</v>
      </c>
      <c r="D230" s="140" t="s">
        <v>3635</v>
      </c>
      <c r="E230" s="140" t="s">
        <v>54</v>
      </c>
      <c r="F230" s="140" t="s">
        <v>7544</v>
      </c>
      <c r="G230" s="140"/>
      <c r="H230" s="140" t="s">
        <v>7545</v>
      </c>
      <c r="I230" s="140" t="s">
        <v>7546</v>
      </c>
      <c r="J230" s="140"/>
      <c r="K230" s="140" t="s">
        <v>7545</v>
      </c>
      <c r="L230" s="140" t="s">
        <v>989</v>
      </c>
      <c r="M230" s="140" t="s">
        <v>2660</v>
      </c>
      <c r="N230" s="155"/>
    </row>
    <row r="231" spans="1:14" ht="14.4">
      <c r="A231" s="140" t="s">
        <v>5700</v>
      </c>
      <c r="B231" s="140" t="s">
        <v>5701</v>
      </c>
      <c r="C231" s="140" t="s">
        <v>337</v>
      </c>
      <c r="D231" s="140" t="s">
        <v>3635</v>
      </c>
      <c r="E231" s="140" t="s">
        <v>54</v>
      </c>
      <c r="F231" s="140" t="s">
        <v>7550</v>
      </c>
      <c r="G231" s="140"/>
      <c r="H231" s="140" t="s">
        <v>7500</v>
      </c>
      <c r="I231" s="140" t="s">
        <v>4057</v>
      </c>
      <c r="J231" s="140"/>
      <c r="K231" s="140" t="s">
        <v>7500</v>
      </c>
      <c r="L231" s="140" t="s">
        <v>989</v>
      </c>
      <c r="M231" s="140" t="s">
        <v>2660</v>
      </c>
      <c r="N231" s="155"/>
    </row>
    <row r="232" spans="1:14" ht="14.4">
      <c r="A232" s="140" t="s">
        <v>5700</v>
      </c>
      <c r="B232" s="140" t="s">
        <v>5701</v>
      </c>
      <c r="C232" s="140" t="s">
        <v>337</v>
      </c>
      <c r="D232" s="140" t="s">
        <v>3635</v>
      </c>
      <c r="E232" s="140" t="s">
        <v>54</v>
      </c>
      <c r="F232" s="140" t="s">
        <v>7554</v>
      </c>
      <c r="G232" s="140"/>
      <c r="H232" s="140" t="s">
        <v>7555</v>
      </c>
      <c r="I232" s="140" t="s">
        <v>887</v>
      </c>
      <c r="J232" s="140"/>
      <c r="K232" s="140" t="s">
        <v>7555</v>
      </c>
      <c r="L232" s="140" t="s">
        <v>989</v>
      </c>
      <c r="M232" s="140" t="s">
        <v>2660</v>
      </c>
      <c r="N232" s="155"/>
    </row>
    <row r="233" spans="1:14" ht="14.4">
      <c r="A233" s="140" t="s">
        <v>5700</v>
      </c>
      <c r="B233" s="140" t="s">
        <v>5701</v>
      </c>
      <c r="C233" s="140" t="s">
        <v>337</v>
      </c>
      <c r="D233" s="140" t="s">
        <v>3635</v>
      </c>
      <c r="E233" s="140" t="s">
        <v>54</v>
      </c>
      <c r="F233" s="140" t="s">
        <v>7559</v>
      </c>
      <c r="G233" s="140"/>
      <c r="H233" s="140" t="s">
        <v>7560</v>
      </c>
      <c r="I233" s="140" t="s">
        <v>5007</v>
      </c>
      <c r="J233" s="140"/>
      <c r="K233" s="140" t="s">
        <v>7563</v>
      </c>
      <c r="L233" s="140" t="s">
        <v>5759</v>
      </c>
      <c r="M233" s="140" t="s">
        <v>41</v>
      </c>
      <c r="N233" s="155"/>
    </row>
    <row r="234" spans="1:14" ht="14.4">
      <c r="A234" s="140" t="s">
        <v>5700</v>
      </c>
      <c r="B234" s="140" t="s">
        <v>6061</v>
      </c>
      <c r="C234" s="107" t="s">
        <v>319</v>
      </c>
      <c r="D234" s="140" t="s">
        <v>796</v>
      </c>
      <c r="E234" s="140" t="s">
        <v>54</v>
      </c>
      <c r="F234" s="162" t="s">
        <v>7567</v>
      </c>
      <c r="G234" s="140"/>
      <c r="H234" s="140" t="s">
        <v>7568</v>
      </c>
      <c r="I234" s="140" t="s">
        <v>7569</v>
      </c>
      <c r="J234" s="140"/>
      <c r="K234" s="140" t="s">
        <v>7568</v>
      </c>
      <c r="L234" s="140" t="s">
        <v>7569</v>
      </c>
      <c r="M234" s="140" t="s">
        <v>41</v>
      </c>
      <c r="N234" s="155"/>
    </row>
    <row r="235" spans="1:14" ht="14.4">
      <c r="A235" s="140" t="s">
        <v>5700</v>
      </c>
      <c r="B235" s="140" t="s">
        <v>6061</v>
      </c>
      <c r="C235" s="107" t="s">
        <v>319</v>
      </c>
      <c r="D235" s="140" t="s">
        <v>796</v>
      </c>
      <c r="E235" s="140" t="s">
        <v>54</v>
      </c>
      <c r="F235" s="162" t="s">
        <v>7575</v>
      </c>
      <c r="G235" s="140"/>
      <c r="H235" s="140" t="s">
        <v>7568</v>
      </c>
      <c r="I235" s="140" t="s">
        <v>7569</v>
      </c>
      <c r="J235" s="140"/>
      <c r="K235" s="140" t="s">
        <v>7568</v>
      </c>
      <c r="L235" s="140" t="s">
        <v>7569</v>
      </c>
      <c r="M235" s="140" t="s">
        <v>41</v>
      </c>
      <c r="N235" s="155"/>
    </row>
    <row r="236" spans="1:14" ht="14.4">
      <c r="A236" s="140" t="s">
        <v>5700</v>
      </c>
      <c r="B236" s="140" t="s">
        <v>6061</v>
      </c>
      <c r="C236" s="107" t="s">
        <v>319</v>
      </c>
      <c r="D236" s="140" t="s">
        <v>796</v>
      </c>
      <c r="E236" s="140" t="s">
        <v>54</v>
      </c>
      <c r="F236" s="162" t="s">
        <v>7579</v>
      </c>
      <c r="G236" s="140"/>
      <c r="H236" s="140" t="s">
        <v>7582</v>
      </c>
      <c r="I236" s="140" t="s">
        <v>7583</v>
      </c>
      <c r="J236" s="140"/>
      <c r="K236" s="140" t="s">
        <v>7582</v>
      </c>
      <c r="L236" s="140" t="s">
        <v>7583</v>
      </c>
      <c r="M236" s="140" t="s">
        <v>41</v>
      </c>
      <c r="N236" s="155"/>
    </row>
    <row r="237" spans="1:14" ht="14.4">
      <c r="A237" s="140" t="s">
        <v>5700</v>
      </c>
      <c r="B237" s="140" t="s">
        <v>6531</v>
      </c>
      <c r="C237" s="107" t="s">
        <v>319</v>
      </c>
      <c r="D237" s="140" t="s">
        <v>796</v>
      </c>
      <c r="E237" s="140" t="s">
        <v>54</v>
      </c>
      <c r="F237" s="162" t="s">
        <v>7587</v>
      </c>
      <c r="G237" s="140"/>
      <c r="H237" s="140" t="s">
        <v>6681</v>
      </c>
      <c r="I237" s="140" t="s">
        <v>521</v>
      </c>
      <c r="J237" s="140"/>
      <c r="K237" s="140" t="s">
        <v>6681</v>
      </c>
      <c r="L237" s="140" t="s">
        <v>2166</v>
      </c>
      <c r="M237" s="140" t="s">
        <v>41</v>
      </c>
      <c r="N237" s="155"/>
    </row>
    <row r="238" spans="1:14" ht="14.4">
      <c r="A238" s="140" t="s">
        <v>5700</v>
      </c>
      <c r="B238" s="140" t="s">
        <v>6531</v>
      </c>
      <c r="C238" s="107" t="s">
        <v>319</v>
      </c>
      <c r="D238" s="140" t="s">
        <v>796</v>
      </c>
      <c r="E238" s="140" t="s">
        <v>54</v>
      </c>
      <c r="F238" s="162" t="s">
        <v>7593</v>
      </c>
      <c r="G238" s="140"/>
      <c r="H238" s="140" t="s">
        <v>6635</v>
      </c>
      <c r="I238" s="140" t="s">
        <v>2400</v>
      </c>
      <c r="J238" s="140"/>
      <c r="K238" s="140" t="s">
        <v>6635</v>
      </c>
      <c r="L238" s="140" t="s">
        <v>2149</v>
      </c>
      <c r="M238" s="140" t="s">
        <v>41</v>
      </c>
      <c r="N238" s="155"/>
    </row>
    <row r="239" spans="1:14" ht="14.4">
      <c r="A239" s="140" t="s">
        <v>5700</v>
      </c>
      <c r="B239" s="140" t="s">
        <v>6531</v>
      </c>
      <c r="C239" s="107" t="s">
        <v>319</v>
      </c>
      <c r="D239" s="140" t="s">
        <v>796</v>
      </c>
      <c r="E239" s="140" t="s">
        <v>54</v>
      </c>
      <c r="F239" s="162" t="s">
        <v>7599</v>
      </c>
      <c r="G239" s="140"/>
      <c r="H239" s="140" t="s">
        <v>7601</v>
      </c>
      <c r="I239" s="140" t="s">
        <v>3573</v>
      </c>
      <c r="J239" s="140"/>
      <c r="K239" s="140" t="s">
        <v>7601</v>
      </c>
      <c r="L239" s="140" t="s">
        <v>989</v>
      </c>
      <c r="M239" s="140" t="s">
        <v>41</v>
      </c>
      <c r="N239" s="155"/>
    </row>
    <row r="240" spans="1:14" ht="14.4">
      <c r="A240" s="140" t="s">
        <v>7605</v>
      </c>
      <c r="B240" s="140" t="s">
        <v>47</v>
      </c>
      <c r="C240" s="140" t="s">
        <v>220</v>
      </c>
      <c r="D240" s="140" t="s">
        <v>234</v>
      </c>
      <c r="E240" s="140" t="s">
        <v>54</v>
      </c>
      <c r="F240" s="140" t="s">
        <v>6517</v>
      </c>
      <c r="G240" s="140"/>
      <c r="H240" s="140" t="s">
        <v>47</v>
      </c>
      <c r="I240" s="140" t="s">
        <v>47</v>
      </c>
      <c r="J240" s="140" t="s">
        <v>47</v>
      </c>
      <c r="K240" s="140" t="s">
        <v>47</v>
      </c>
      <c r="L240" s="140" t="s">
        <v>47</v>
      </c>
      <c r="M240" s="140" t="s">
        <v>41</v>
      </c>
      <c r="N240" s="155" t="s">
        <v>7614</v>
      </c>
    </row>
    <row r="241" spans="1:14" ht="14.4">
      <c r="A241" s="110" t="s">
        <v>7605</v>
      </c>
      <c r="B241" s="110" t="s">
        <v>47</v>
      </c>
      <c r="C241" s="110" t="s">
        <v>220</v>
      </c>
      <c r="D241" s="110" t="s">
        <v>234</v>
      </c>
      <c r="E241" s="110" t="s">
        <v>54</v>
      </c>
      <c r="F241" s="110" t="s">
        <v>6507</v>
      </c>
      <c r="G241" s="110"/>
      <c r="H241" s="110" t="s">
        <v>47</v>
      </c>
      <c r="I241" s="110" t="s">
        <v>47</v>
      </c>
      <c r="J241" s="110" t="s">
        <v>47</v>
      </c>
      <c r="K241" s="110" t="s">
        <v>47</v>
      </c>
      <c r="L241" s="110" t="s">
        <v>47</v>
      </c>
      <c r="M241" s="110" t="s">
        <v>41</v>
      </c>
      <c r="N241" s="28" t="s">
        <v>7614</v>
      </c>
    </row>
    <row r="242" spans="1:14" ht="14.4">
      <c r="A242" s="140" t="s">
        <v>5700</v>
      </c>
      <c r="B242" s="140" t="s">
        <v>6276</v>
      </c>
      <c r="C242" s="140" t="s">
        <v>51</v>
      </c>
      <c r="D242" s="140" t="s">
        <v>52</v>
      </c>
      <c r="E242" s="140" t="s">
        <v>54</v>
      </c>
      <c r="F242" s="140" t="s">
        <v>5702</v>
      </c>
      <c r="G242" s="140" t="s">
        <v>6278</v>
      </c>
      <c r="H242" s="140" t="s">
        <v>6279</v>
      </c>
      <c r="I242" s="140" t="s">
        <v>933</v>
      </c>
      <c r="J242" s="140" t="s">
        <v>6281</v>
      </c>
      <c r="K242" s="140" t="s">
        <v>6282</v>
      </c>
      <c r="L242" s="140" t="s">
        <v>6283</v>
      </c>
      <c r="M242" s="140" t="s">
        <v>41</v>
      </c>
      <c r="N242" s="155"/>
    </row>
    <row r="243" spans="1:14" ht="14.4">
      <c r="A243" s="140" t="s">
        <v>5700</v>
      </c>
      <c r="B243" s="140" t="s">
        <v>5701</v>
      </c>
      <c r="C243" s="107" t="s">
        <v>319</v>
      </c>
      <c r="D243" s="173" t="s">
        <v>796</v>
      </c>
      <c r="E243" s="140" t="s">
        <v>54</v>
      </c>
      <c r="F243" s="162" t="s">
        <v>7640</v>
      </c>
      <c r="G243" s="140"/>
      <c r="H243" s="140" t="s">
        <v>7500</v>
      </c>
      <c r="I243" s="140" t="s">
        <v>6149</v>
      </c>
      <c r="J243" s="140"/>
      <c r="K243" s="140" t="s">
        <v>7500</v>
      </c>
      <c r="L243" s="140" t="s">
        <v>989</v>
      </c>
      <c r="M243" s="140" t="s">
        <v>41</v>
      </c>
      <c r="N243" s="155"/>
    </row>
    <row r="244" spans="1:14" ht="14.4">
      <c r="A244" s="140" t="s">
        <v>5700</v>
      </c>
      <c r="B244" s="140" t="s">
        <v>5701</v>
      </c>
      <c r="C244" s="107" t="s">
        <v>319</v>
      </c>
      <c r="D244" s="173" t="s">
        <v>796</v>
      </c>
      <c r="E244" s="140" t="s">
        <v>54</v>
      </c>
      <c r="F244" s="162" t="s">
        <v>7646</v>
      </c>
      <c r="G244" s="243"/>
      <c r="H244" s="140" t="s">
        <v>7508</v>
      </c>
      <c r="I244" s="140" t="s">
        <v>2919</v>
      </c>
      <c r="J244" s="140"/>
      <c r="K244" s="140" t="s">
        <v>7508</v>
      </c>
      <c r="L244" s="140" t="s">
        <v>989</v>
      </c>
      <c r="M244" s="140" t="s">
        <v>41</v>
      </c>
      <c r="N244" s="153"/>
    </row>
    <row r="245" spans="1:14" ht="14.4">
      <c r="A245" s="140" t="s">
        <v>5700</v>
      </c>
      <c r="B245" s="140" t="s">
        <v>5701</v>
      </c>
      <c r="C245" s="107" t="s">
        <v>319</v>
      </c>
      <c r="D245" s="173" t="s">
        <v>796</v>
      </c>
      <c r="E245" s="140" t="s">
        <v>54</v>
      </c>
      <c r="F245" s="162" t="s">
        <v>7655</v>
      </c>
      <c r="G245" s="243"/>
      <c r="H245" s="140" t="s">
        <v>5711</v>
      </c>
      <c r="I245" s="140" t="s">
        <v>7516</v>
      </c>
      <c r="J245" s="140"/>
      <c r="K245" s="140" t="s">
        <v>5711</v>
      </c>
      <c r="L245" s="140" t="s">
        <v>2149</v>
      </c>
      <c r="M245" s="140" t="s">
        <v>41</v>
      </c>
      <c r="N245" s="153"/>
    </row>
    <row r="246" spans="1:14" ht="14.4">
      <c r="A246" s="140" t="s">
        <v>5700</v>
      </c>
      <c r="B246" s="140" t="s">
        <v>5701</v>
      </c>
      <c r="C246" s="107" t="s">
        <v>319</v>
      </c>
      <c r="D246" s="173" t="s">
        <v>796</v>
      </c>
      <c r="E246" s="140" t="s">
        <v>54</v>
      </c>
      <c r="F246" s="162" t="s">
        <v>7662</v>
      </c>
      <c r="G246" s="243"/>
      <c r="H246" s="140" t="s">
        <v>7521</v>
      </c>
      <c r="I246" s="140" t="s">
        <v>2155</v>
      </c>
      <c r="J246" s="140"/>
      <c r="K246" s="140" t="s">
        <v>7521</v>
      </c>
      <c r="L246" s="140" t="s">
        <v>7523</v>
      </c>
      <c r="M246" s="140" t="s">
        <v>41</v>
      </c>
      <c r="N246" s="153"/>
    </row>
    <row r="247" spans="1:14" ht="14.4">
      <c r="A247" s="140" t="s">
        <v>5700</v>
      </c>
      <c r="B247" s="140" t="s">
        <v>5701</v>
      </c>
      <c r="C247" s="107" t="s">
        <v>319</v>
      </c>
      <c r="D247" s="173" t="s">
        <v>796</v>
      </c>
      <c r="E247" s="140" t="s">
        <v>54</v>
      </c>
      <c r="F247" s="162" t="s">
        <v>7669</v>
      </c>
      <c r="G247" s="243"/>
      <c r="H247" s="140" t="s">
        <v>7526</v>
      </c>
      <c r="I247" s="140"/>
      <c r="J247" s="140"/>
      <c r="K247" s="140" t="s">
        <v>7526</v>
      </c>
      <c r="L247" s="140" t="s">
        <v>550</v>
      </c>
      <c r="M247" s="140" t="s">
        <v>41</v>
      </c>
      <c r="N247" s="153"/>
    </row>
    <row r="248" spans="1:14" ht="14.4">
      <c r="A248" s="140" t="s">
        <v>5700</v>
      </c>
      <c r="B248" s="140" t="s">
        <v>5701</v>
      </c>
      <c r="C248" s="107" t="s">
        <v>319</v>
      </c>
      <c r="D248" s="173" t="s">
        <v>796</v>
      </c>
      <c r="E248" s="140" t="s">
        <v>54</v>
      </c>
      <c r="F248" s="162" t="s">
        <v>7675</v>
      </c>
      <c r="G248" s="243"/>
      <c r="H248" s="140" t="s">
        <v>7532</v>
      </c>
      <c r="I248" s="140"/>
      <c r="J248" s="140"/>
      <c r="K248" s="140" t="s">
        <v>7532</v>
      </c>
      <c r="L248" s="140" t="s">
        <v>2444</v>
      </c>
      <c r="M248" s="140" t="s">
        <v>41</v>
      </c>
      <c r="N248" s="153"/>
    </row>
    <row r="249" spans="1:14" ht="14.4">
      <c r="A249" s="140" t="s">
        <v>5700</v>
      </c>
      <c r="B249" s="140" t="s">
        <v>5701</v>
      </c>
      <c r="C249" s="107" t="s">
        <v>319</v>
      </c>
      <c r="D249" s="173" t="s">
        <v>796</v>
      </c>
      <c r="E249" s="140" t="s">
        <v>54</v>
      </c>
      <c r="F249" s="162" t="s">
        <v>7682</v>
      </c>
      <c r="G249" s="243"/>
      <c r="H249" s="140" t="s">
        <v>7538</v>
      </c>
      <c r="I249" s="140" t="s">
        <v>7540</v>
      </c>
      <c r="J249" s="140"/>
      <c r="K249" s="140" t="s">
        <v>7538</v>
      </c>
      <c r="L249" s="140" t="s">
        <v>989</v>
      </c>
      <c r="M249" s="140" t="s">
        <v>41</v>
      </c>
      <c r="N249" s="153"/>
    </row>
    <row r="250" spans="1:14" ht="14.4">
      <c r="A250" s="140" t="s">
        <v>5700</v>
      </c>
      <c r="B250" s="140" t="s">
        <v>5701</v>
      </c>
      <c r="C250" s="107" t="s">
        <v>319</v>
      </c>
      <c r="D250" s="173" t="s">
        <v>796</v>
      </c>
      <c r="E250" s="140" t="s">
        <v>54</v>
      </c>
      <c r="F250" s="162" t="s">
        <v>7688</v>
      </c>
      <c r="G250" s="243"/>
      <c r="H250" s="140" t="s">
        <v>5704</v>
      </c>
      <c r="I250" s="140" t="s">
        <v>5705</v>
      </c>
      <c r="J250" s="140"/>
      <c r="K250" s="140" t="s">
        <v>5704</v>
      </c>
      <c r="L250" s="140" t="s">
        <v>2149</v>
      </c>
      <c r="M250" s="140" t="s">
        <v>41</v>
      </c>
      <c r="N250" s="153"/>
    </row>
    <row r="251" spans="1:14" ht="14.4">
      <c r="A251" s="140" t="s">
        <v>5700</v>
      </c>
      <c r="B251" s="140" t="s">
        <v>5701</v>
      </c>
      <c r="C251" s="107" t="s">
        <v>319</v>
      </c>
      <c r="D251" s="173" t="s">
        <v>796</v>
      </c>
      <c r="E251" s="140" t="s">
        <v>54</v>
      </c>
      <c r="F251" s="162" t="s">
        <v>7696</v>
      </c>
      <c r="G251" s="243"/>
      <c r="H251" s="140" t="s">
        <v>5711</v>
      </c>
      <c r="I251" s="140" t="s">
        <v>5712</v>
      </c>
      <c r="J251" s="140"/>
      <c r="K251" s="140" t="s">
        <v>5714</v>
      </c>
      <c r="L251" s="140" t="s">
        <v>2149</v>
      </c>
      <c r="M251" s="140" t="s">
        <v>41</v>
      </c>
      <c r="N251" s="153"/>
    </row>
    <row r="252" spans="1:14" ht="14.4">
      <c r="A252" s="140" t="s">
        <v>5700</v>
      </c>
      <c r="B252" s="140" t="s">
        <v>5701</v>
      </c>
      <c r="C252" s="107" t="s">
        <v>319</v>
      </c>
      <c r="D252" s="173" t="s">
        <v>796</v>
      </c>
      <c r="E252" s="140" t="s">
        <v>54</v>
      </c>
      <c r="F252" s="162" t="s">
        <v>7703</v>
      </c>
      <c r="G252" s="243"/>
      <c r="H252" s="140" t="s">
        <v>5711</v>
      </c>
      <c r="I252" s="140" t="s">
        <v>5712</v>
      </c>
      <c r="J252" s="140"/>
      <c r="K252" s="140" t="s">
        <v>5717</v>
      </c>
      <c r="L252" s="140" t="s">
        <v>2149</v>
      </c>
      <c r="M252" s="140" t="s">
        <v>41</v>
      </c>
      <c r="N252" s="153"/>
    </row>
    <row r="253" spans="1:14" ht="14.4">
      <c r="A253" s="140" t="s">
        <v>5700</v>
      </c>
      <c r="B253" s="140" t="s">
        <v>5701</v>
      </c>
      <c r="C253" s="140" t="s">
        <v>20</v>
      </c>
      <c r="D253" s="140" t="s">
        <v>1305</v>
      </c>
      <c r="E253" s="140"/>
      <c r="F253" s="140" t="s">
        <v>7711</v>
      </c>
      <c r="G253" s="140" t="s">
        <v>7712</v>
      </c>
      <c r="H253" s="140" t="s">
        <v>7714</v>
      </c>
      <c r="I253" s="140" t="s">
        <v>7716</v>
      </c>
      <c r="J253" s="140" t="s">
        <v>7717</v>
      </c>
      <c r="K253" s="140" t="s">
        <v>7714</v>
      </c>
      <c r="L253" s="140" t="s">
        <v>7719</v>
      </c>
      <c r="M253" s="140" t="s">
        <v>2660</v>
      </c>
      <c r="N253" s="155"/>
    </row>
    <row r="254" spans="1:14" ht="14.4">
      <c r="A254" s="140" t="s">
        <v>5700</v>
      </c>
      <c r="B254" s="140" t="s">
        <v>5701</v>
      </c>
      <c r="C254" s="140" t="s">
        <v>20</v>
      </c>
      <c r="D254" s="140" t="s">
        <v>1305</v>
      </c>
      <c r="E254" s="140"/>
      <c r="F254" s="140" t="s">
        <v>7724</v>
      </c>
      <c r="G254" s="140" t="s">
        <v>7726</v>
      </c>
      <c r="H254" s="140" t="s">
        <v>7728</v>
      </c>
      <c r="I254" s="140" t="s">
        <v>7729</v>
      </c>
      <c r="J254" s="140" t="s">
        <v>7730</v>
      </c>
      <c r="K254" s="140" t="s">
        <v>7728</v>
      </c>
      <c r="L254" s="140" t="s">
        <v>4480</v>
      </c>
      <c r="M254" s="140" t="s">
        <v>2660</v>
      </c>
      <c r="N254" s="155"/>
    </row>
    <row r="255" spans="1:14" ht="14.4">
      <c r="A255" s="140" t="s">
        <v>5700</v>
      </c>
      <c r="B255" s="140" t="s">
        <v>5701</v>
      </c>
      <c r="C255" s="140" t="s">
        <v>260</v>
      </c>
      <c r="D255" s="173" t="s">
        <v>1337</v>
      </c>
      <c r="E255" s="173"/>
      <c r="F255" s="140" t="s">
        <v>7735</v>
      </c>
      <c r="G255" s="140" t="s">
        <v>1342</v>
      </c>
      <c r="H255" s="140" t="s">
        <v>7738</v>
      </c>
      <c r="I255" s="140" t="s">
        <v>7741</v>
      </c>
      <c r="J255" s="140" t="s">
        <v>5713</v>
      </c>
      <c r="K255" s="140" t="s">
        <v>7744</v>
      </c>
      <c r="L255" s="140" t="s">
        <v>989</v>
      </c>
      <c r="M255" s="140" t="s">
        <v>2660</v>
      </c>
      <c r="N255" s="155"/>
    </row>
    <row r="256" spans="1:14" ht="14.4">
      <c r="A256" s="140" t="s">
        <v>5700</v>
      </c>
      <c r="B256" s="140" t="s">
        <v>5806</v>
      </c>
      <c r="C256" s="140" t="s">
        <v>20</v>
      </c>
      <c r="D256" s="140" t="s">
        <v>1305</v>
      </c>
      <c r="E256" s="140"/>
      <c r="F256" s="140" t="s">
        <v>7749</v>
      </c>
      <c r="G256" s="140" t="s">
        <v>7750</v>
      </c>
      <c r="H256" s="140" t="s">
        <v>7752</v>
      </c>
      <c r="I256" s="140" t="s">
        <v>5810</v>
      </c>
      <c r="J256" s="140" t="s">
        <v>7761</v>
      </c>
      <c r="K256" s="140" t="s">
        <v>7762</v>
      </c>
      <c r="L256" s="140" t="s">
        <v>729</v>
      </c>
      <c r="M256" s="243" t="s">
        <v>41</v>
      </c>
      <c r="N256" s="155"/>
    </row>
    <row r="257" spans="1:14" ht="14.4">
      <c r="A257" s="140" t="s">
        <v>5700</v>
      </c>
      <c r="B257" s="140" t="s">
        <v>5806</v>
      </c>
      <c r="C257" s="140" t="s">
        <v>260</v>
      </c>
      <c r="D257" s="173" t="s">
        <v>1337</v>
      </c>
      <c r="E257" s="173"/>
      <c r="F257" s="140" t="s">
        <v>7774</v>
      </c>
      <c r="G257" s="140" t="s">
        <v>1342</v>
      </c>
      <c r="H257" s="140" t="s">
        <v>7752</v>
      </c>
      <c r="I257" s="140" t="s">
        <v>5810</v>
      </c>
      <c r="J257" s="140" t="s">
        <v>7781</v>
      </c>
      <c r="K257" s="140"/>
      <c r="L257" s="140"/>
      <c r="M257" s="140" t="s">
        <v>41</v>
      </c>
      <c r="N257" s="155" t="s">
        <v>7782</v>
      </c>
    </row>
    <row r="258" spans="1:14" ht="14.4">
      <c r="A258" s="140" t="s">
        <v>5700</v>
      </c>
      <c r="B258" s="140" t="s">
        <v>5806</v>
      </c>
      <c r="C258" s="140" t="s">
        <v>260</v>
      </c>
      <c r="D258" s="173" t="s">
        <v>1337</v>
      </c>
      <c r="E258" s="173"/>
      <c r="F258" s="140" t="s">
        <v>7787</v>
      </c>
      <c r="G258" s="140" t="s">
        <v>1342</v>
      </c>
      <c r="H258" s="140" t="s">
        <v>7752</v>
      </c>
      <c r="I258" s="140" t="s">
        <v>5810</v>
      </c>
      <c r="J258" s="140" t="s">
        <v>7788</v>
      </c>
      <c r="K258" s="140"/>
      <c r="L258" s="140"/>
      <c r="M258" s="140" t="s">
        <v>41</v>
      </c>
      <c r="N258" s="155" t="s">
        <v>7782</v>
      </c>
    </row>
    <row r="259" spans="1:14" ht="14.4">
      <c r="A259" s="140" t="s">
        <v>5700</v>
      </c>
      <c r="B259" s="140" t="s">
        <v>5806</v>
      </c>
      <c r="C259" s="140" t="s">
        <v>260</v>
      </c>
      <c r="D259" s="173" t="s">
        <v>1337</v>
      </c>
      <c r="E259" s="173"/>
      <c r="F259" s="140" t="s">
        <v>7794</v>
      </c>
      <c r="G259" s="140" t="s">
        <v>7795</v>
      </c>
      <c r="H259" s="140" t="s">
        <v>7752</v>
      </c>
      <c r="I259" s="140" t="s">
        <v>5810</v>
      </c>
      <c r="J259" s="140" t="s">
        <v>7796</v>
      </c>
      <c r="K259" s="140" t="s">
        <v>7797</v>
      </c>
      <c r="L259" s="140" t="s">
        <v>729</v>
      </c>
      <c r="M259" s="140" t="s">
        <v>41</v>
      </c>
      <c r="N259" s="155"/>
    </row>
    <row r="260" spans="1:14" ht="14.4">
      <c r="A260" s="140" t="s">
        <v>5700</v>
      </c>
      <c r="B260" s="140" t="s">
        <v>5806</v>
      </c>
      <c r="C260" s="140" t="s">
        <v>260</v>
      </c>
      <c r="D260" s="173" t="s">
        <v>1337</v>
      </c>
      <c r="E260" s="173"/>
      <c r="F260" s="140" t="s">
        <v>7803</v>
      </c>
      <c r="G260" s="140" t="s">
        <v>1342</v>
      </c>
      <c r="H260" s="140" t="s">
        <v>7752</v>
      </c>
      <c r="I260" s="140" t="s">
        <v>5810</v>
      </c>
      <c r="J260" s="140" t="s">
        <v>7804</v>
      </c>
      <c r="K260" s="140" t="s">
        <v>7805</v>
      </c>
      <c r="L260" s="140" t="s">
        <v>2403</v>
      </c>
      <c r="M260" s="140" t="s">
        <v>41</v>
      </c>
      <c r="N260" s="155"/>
    </row>
    <row r="261" spans="1:14" ht="14.4">
      <c r="A261" s="140" t="s">
        <v>5700</v>
      </c>
      <c r="B261" s="140" t="s">
        <v>5806</v>
      </c>
      <c r="C261" s="140" t="s">
        <v>260</v>
      </c>
      <c r="D261" s="173" t="s">
        <v>1337</v>
      </c>
      <c r="E261" s="173"/>
      <c r="F261" s="140" t="s">
        <v>7811</v>
      </c>
      <c r="G261" s="140" t="s">
        <v>1342</v>
      </c>
      <c r="H261" s="140" t="s">
        <v>7752</v>
      </c>
      <c r="I261" s="140" t="s">
        <v>5810</v>
      </c>
      <c r="J261" s="140" t="s">
        <v>7812</v>
      </c>
      <c r="K261" s="140" t="s">
        <v>7813</v>
      </c>
      <c r="L261" s="140" t="s">
        <v>2403</v>
      </c>
      <c r="M261" s="140" t="s">
        <v>41</v>
      </c>
      <c r="N261" s="155"/>
    </row>
    <row r="262" spans="1:14" ht="14.4">
      <c r="A262" s="140" t="s">
        <v>5700</v>
      </c>
      <c r="B262" s="140" t="s">
        <v>5806</v>
      </c>
      <c r="C262" s="140" t="s">
        <v>260</v>
      </c>
      <c r="D262" s="173" t="s">
        <v>1337</v>
      </c>
      <c r="E262" s="173"/>
      <c r="F262" s="140" t="s">
        <v>7819</v>
      </c>
      <c r="G262" s="140" t="s">
        <v>1342</v>
      </c>
      <c r="H262" s="140" t="s">
        <v>7752</v>
      </c>
      <c r="I262" s="140" t="s">
        <v>5810</v>
      </c>
      <c r="J262" s="140" t="s">
        <v>7820</v>
      </c>
      <c r="K262" s="140" t="s">
        <v>7822</v>
      </c>
      <c r="L262" s="140" t="s">
        <v>2403</v>
      </c>
      <c r="M262" s="140" t="s">
        <v>41</v>
      </c>
      <c r="N262" s="155"/>
    </row>
    <row r="263" spans="1:14" ht="14.4">
      <c r="A263" s="140" t="s">
        <v>5700</v>
      </c>
      <c r="B263" s="140" t="s">
        <v>5806</v>
      </c>
      <c r="C263" s="140" t="s">
        <v>260</v>
      </c>
      <c r="D263" s="173" t="s">
        <v>1337</v>
      </c>
      <c r="E263" s="173"/>
      <c r="F263" s="140" t="s">
        <v>7827</v>
      </c>
      <c r="G263" s="140" t="s">
        <v>1342</v>
      </c>
      <c r="H263" s="140" t="s">
        <v>7752</v>
      </c>
      <c r="I263" s="140" t="s">
        <v>5810</v>
      </c>
      <c r="J263" s="140" t="s">
        <v>7828</v>
      </c>
      <c r="K263" s="140" t="s">
        <v>7829</v>
      </c>
      <c r="L263" s="140" t="s">
        <v>729</v>
      </c>
      <c r="M263" s="140" t="s">
        <v>41</v>
      </c>
      <c r="N263" s="155"/>
    </row>
    <row r="264" spans="1:14" ht="14.4">
      <c r="A264" s="140" t="s">
        <v>5700</v>
      </c>
      <c r="B264" s="140" t="s">
        <v>5806</v>
      </c>
      <c r="C264" s="140" t="s">
        <v>260</v>
      </c>
      <c r="D264" s="173" t="s">
        <v>1337</v>
      </c>
      <c r="E264" s="173"/>
      <c r="F264" s="140" t="s">
        <v>7837</v>
      </c>
      <c r="G264" s="140" t="s">
        <v>1342</v>
      </c>
      <c r="H264" s="140" t="s">
        <v>7752</v>
      </c>
      <c r="I264" s="140" t="s">
        <v>5810</v>
      </c>
      <c r="J264" s="140" t="s">
        <v>7838</v>
      </c>
      <c r="K264" s="140" t="s">
        <v>7839</v>
      </c>
      <c r="L264" s="140" t="s">
        <v>729</v>
      </c>
      <c r="M264" s="140" t="s">
        <v>41</v>
      </c>
      <c r="N264" s="155"/>
    </row>
    <row r="265" spans="1:14" ht="14.4">
      <c r="A265" s="140" t="s">
        <v>5700</v>
      </c>
      <c r="B265" s="140" t="s">
        <v>5806</v>
      </c>
      <c r="C265" s="140" t="s">
        <v>260</v>
      </c>
      <c r="D265" s="173" t="s">
        <v>1337</v>
      </c>
      <c r="E265" s="173"/>
      <c r="F265" s="140" t="s">
        <v>7843</v>
      </c>
      <c r="G265" s="140" t="s">
        <v>1342</v>
      </c>
      <c r="H265" s="140" t="s">
        <v>7752</v>
      </c>
      <c r="I265" s="140" t="s">
        <v>5810</v>
      </c>
      <c r="J265" s="140" t="s">
        <v>7846</v>
      </c>
      <c r="K265" s="140" t="s">
        <v>7847</v>
      </c>
      <c r="L265" s="140" t="s">
        <v>729</v>
      </c>
      <c r="M265" s="140" t="s">
        <v>41</v>
      </c>
      <c r="N265" s="155"/>
    </row>
    <row r="266" spans="1:14" ht="14.4">
      <c r="A266" s="140" t="s">
        <v>5700</v>
      </c>
      <c r="B266" s="140" t="s">
        <v>5806</v>
      </c>
      <c r="C266" s="140" t="s">
        <v>260</v>
      </c>
      <c r="D266" s="173" t="s">
        <v>1337</v>
      </c>
      <c r="E266" s="173"/>
      <c r="F266" s="140" t="s">
        <v>7852</v>
      </c>
      <c r="G266" s="140" t="s">
        <v>1342</v>
      </c>
      <c r="H266" s="140" t="s">
        <v>7752</v>
      </c>
      <c r="I266" s="140" t="s">
        <v>5810</v>
      </c>
      <c r="J266" s="140" t="s">
        <v>7854</v>
      </c>
      <c r="K266" s="140" t="s">
        <v>7855</v>
      </c>
      <c r="L266" s="140" t="s">
        <v>729</v>
      </c>
      <c r="M266" s="140" t="s">
        <v>41</v>
      </c>
      <c r="N266" s="155"/>
    </row>
    <row r="267" spans="1:14" ht="14.4">
      <c r="A267" s="140" t="s">
        <v>5700</v>
      </c>
      <c r="B267" s="140" t="s">
        <v>5806</v>
      </c>
      <c r="C267" s="140" t="s">
        <v>260</v>
      </c>
      <c r="D267" s="173" t="s">
        <v>1337</v>
      </c>
      <c r="E267" s="173"/>
      <c r="F267" s="140" t="s">
        <v>7859</v>
      </c>
      <c r="G267" s="140" t="s">
        <v>1342</v>
      </c>
      <c r="H267" s="140" t="s">
        <v>7752</v>
      </c>
      <c r="I267" s="140" t="s">
        <v>5810</v>
      </c>
      <c r="J267" s="140" t="s">
        <v>7862</v>
      </c>
      <c r="K267" s="140" t="s">
        <v>7863</v>
      </c>
      <c r="L267" s="140" t="s">
        <v>729</v>
      </c>
      <c r="M267" s="140" t="s">
        <v>41</v>
      </c>
      <c r="N267" s="155"/>
    </row>
    <row r="268" spans="1:14" ht="14.4">
      <c r="A268" s="140" t="s">
        <v>5700</v>
      </c>
      <c r="B268" s="140" t="s">
        <v>5806</v>
      </c>
      <c r="C268" s="140" t="s">
        <v>260</v>
      </c>
      <c r="D268" s="173" t="s">
        <v>1337</v>
      </c>
      <c r="E268" s="173"/>
      <c r="F268" s="140" t="s">
        <v>7865</v>
      </c>
      <c r="G268" s="140" t="s">
        <v>1342</v>
      </c>
      <c r="H268" s="140" t="s">
        <v>7752</v>
      </c>
      <c r="I268" s="140" t="s">
        <v>5810</v>
      </c>
      <c r="J268" s="140" t="s">
        <v>7868</v>
      </c>
      <c r="K268" s="140" t="s">
        <v>7870</v>
      </c>
      <c r="L268" s="140" t="s">
        <v>2403</v>
      </c>
      <c r="M268" s="140" t="s">
        <v>41</v>
      </c>
      <c r="N268" s="155"/>
    </row>
    <row r="269" spans="1:14" ht="14.4">
      <c r="A269" s="140" t="s">
        <v>5700</v>
      </c>
      <c r="B269" s="140" t="s">
        <v>5912</v>
      </c>
      <c r="C269" s="140" t="s">
        <v>20</v>
      </c>
      <c r="D269" s="140" t="s">
        <v>1305</v>
      </c>
      <c r="E269" s="140"/>
      <c r="F269" s="140" t="s">
        <v>7874</v>
      </c>
      <c r="G269" s="140" t="s">
        <v>7876</v>
      </c>
      <c r="H269" s="140" t="s">
        <v>5992</v>
      </c>
      <c r="I269" s="140" t="s">
        <v>5994</v>
      </c>
      <c r="J269" s="140" t="s">
        <v>7879</v>
      </c>
      <c r="K269" s="140" t="s">
        <v>5992</v>
      </c>
      <c r="L269" s="140" t="s">
        <v>5994</v>
      </c>
      <c r="M269" s="140" t="s">
        <v>41</v>
      </c>
      <c r="N269" s="155"/>
    </row>
    <row r="270" spans="1:14" ht="14.4">
      <c r="A270" s="140" t="s">
        <v>5700</v>
      </c>
      <c r="B270" s="140" t="s">
        <v>5912</v>
      </c>
      <c r="C270" s="140" t="s">
        <v>260</v>
      </c>
      <c r="D270" s="173" t="s">
        <v>1337</v>
      </c>
      <c r="E270" s="173"/>
      <c r="F270" s="140" t="s">
        <v>7882</v>
      </c>
      <c r="G270" s="140" t="s">
        <v>7884</v>
      </c>
      <c r="H270" s="140" t="s">
        <v>5992</v>
      </c>
      <c r="I270" s="140" t="s">
        <v>5994</v>
      </c>
      <c r="J270" s="140" t="s">
        <v>7886</v>
      </c>
      <c r="K270" s="140" t="s">
        <v>5992</v>
      </c>
      <c r="L270" s="140" t="s">
        <v>5994</v>
      </c>
      <c r="M270" s="140" t="s">
        <v>41</v>
      </c>
      <c r="N270" s="155"/>
    </row>
    <row r="271" spans="1:14" ht="14.4">
      <c r="A271" s="140" t="s">
        <v>5700</v>
      </c>
      <c r="B271" s="140" t="s">
        <v>5912</v>
      </c>
      <c r="C271" s="140" t="s">
        <v>260</v>
      </c>
      <c r="D271" s="173" t="s">
        <v>1337</v>
      </c>
      <c r="E271" s="173"/>
      <c r="F271" s="140" t="s">
        <v>7890</v>
      </c>
      <c r="G271" s="140" t="s">
        <v>7891</v>
      </c>
      <c r="H271" s="140" t="s">
        <v>5992</v>
      </c>
      <c r="I271" s="140" t="s">
        <v>5994</v>
      </c>
      <c r="J271" s="140" t="s">
        <v>7886</v>
      </c>
      <c r="K271" s="140" t="s">
        <v>5992</v>
      </c>
      <c r="L271" s="140" t="s">
        <v>5994</v>
      </c>
      <c r="M271" s="140" t="s">
        <v>41</v>
      </c>
      <c r="N271" s="155"/>
    </row>
    <row r="272" spans="1:14" ht="14.4">
      <c r="A272" s="140" t="s">
        <v>5700</v>
      </c>
      <c r="B272" s="140" t="s">
        <v>5912</v>
      </c>
      <c r="C272" s="140" t="s">
        <v>260</v>
      </c>
      <c r="D272" s="173" t="s">
        <v>1337</v>
      </c>
      <c r="E272" s="173"/>
      <c r="F272" s="140" t="s">
        <v>7898</v>
      </c>
      <c r="G272" s="140" t="s">
        <v>7900</v>
      </c>
      <c r="H272" s="140" t="s">
        <v>5992</v>
      </c>
      <c r="I272" s="140" t="s">
        <v>5994</v>
      </c>
      <c r="J272" s="140" t="s">
        <v>7886</v>
      </c>
      <c r="K272" s="140" t="s">
        <v>5992</v>
      </c>
      <c r="L272" s="140" t="s">
        <v>5994</v>
      </c>
      <c r="M272" s="140" t="s">
        <v>41</v>
      </c>
      <c r="N272" s="155"/>
    </row>
    <row r="273" spans="1:14" ht="14.4">
      <c r="A273" s="140" t="s">
        <v>5700</v>
      </c>
      <c r="B273" s="140" t="s">
        <v>5912</v>
      </c>
      <c r="C273" s="140" t="s">
        <v>260</v>
      </c>
      <c r="D273" s="173" t="s">
        <v>1337</v>
      </c>
      <c r="E273" s="173"/>
      <c r="F273" s="140" t="s">
        <v>7906</v>
      </c>
      <c r="G273" s="140" t="s">
        <v>1342</v>
      </c>
      <c r="H273" s="140" t="s">
        <v>5992</v>
      </c>
      <c r="I273" s="140" t="s">
        <v>5994</v>
      </c>
      <c r="J273" s="140" t="s">
        <v>7886</v>
      </c>
      <c r="K273" s="140" t="s">
        <v>5992</v>
      </c>
      <c r="L273" s="140" t="s">
        <v>5994</v>
      </c>
      <c r="M273" s="140" t="s">
        <v>41</v>
      </c>
      <c r="N273" s="155"/>
    </row>
    <row r="274" spans="1:14" ht="14.4">
      <c r="A274" s="140" t="s">
        <v>5700</v>
      </c>
      <c r="B274" s="140" t="s">
        <v>5912</v>
      </c>
      <c r="C274" s="140" t="s">
        <v>260</v>
      </c>
      <c r="D274" s="173" t="s">
        <v>1337</v>
      </c>
      <c r="E274" s="173"/>
      <c r="F274" s="140" t="s">
        <v>7912</v>
      </c>
      <c r="G274" s="140" t="s">
        <v>7914</v>
      </c>
      <c r="H274" s="140" t="s">
        <v>5992</v>
      </c>
      <c r="I274" s="140" t="s">
        <v>5994</v>
      </c>
      <c r="J274" s="140" t="s">
        <v>7886</v>
      </c>
      <c r="K274" s="140" t="s">
        <v>5992</v>
      </c>
      <c r="L274" s="140" t="s">
        <v>5994</v>
      </c>
      <c r="M274" s="140" t="s">
        <v>41</v>
      </c>
      <c r="N274" s="155"/>
    </row>
    <row r="275" spans="1:14" ht="14.4">
      <c r="A275" s="140" t="s">
        <v>5700</v>
      </c>
      <c r="B275" s="140" t="s">
        <v>6061</v>
      </c>
      <c r="C275" s="140" t="s">
        <v>20</v>
      </c>
      <c r="D275" s="140" t="s">
        <v>1305</v>
      </c>
      <c r="E275" s="140"/>
      <c r="F275" s="140" t="s">
        <v>7918</v>
      </c>
      <c r="G275" s="140" t="s">
        <v>7920</v>
      </c>
      <c r="H275" s="140" t="s">
        <v>6091</v>
      </c>
      <c r="I275" s="140" t="s">
        <v>7922</v>
      </c>
      <c r="J275" s="140" t="s">
        <v>7923</v>
      </c>
      <c r="K275" s="140" t="s">
        <v>6091</v>
      </c>
      <c r="L275" s="140" t="s">
        <v>7922</v>
      </c>
      <c r="M275" s="140" t="s">
        <v>41</v>
      </c>
      <c r="N275" s="155"/>
    </row>
    <row r="276" spans="1:14" ht="14.4">
      <c r="A276" s="140" t="s">
        <v>5700</v>
      </c>
      <c r="B276" s="140" t="s">
        <v>6061</v>
      </c>
      <c r="C276" s="140" t="s">
        <v>260</v>
      </c>
      <c r="D276" s="173" t="s">
        <v>1337</v>
      </c>
      <c r="E276" s="173"/>
      <c r="F276" s="140" t="s">
        <v>7928</v>
      </c>
      <c r="G276" s="140" t="s">
        <v>1342</v>
      </c>
      <c r="H276" s="140" t="s">
        <v>6076</v>
      </c>
      <c r="I276" s="140" t="s">
        <v>6077</v>
      </c>
      <c r="J276" s="140" t="s">
        <v>7930</v>
      </c>
      <c r="K276" s="140" t="s">
        <v>6243</v>
      </c>
      <c r="L276" s="140" t="s">
        <v>6244</v>
      </c>
      <c r="M276" s="140" t="s">
        <v>41</v>
      </c>
      <c r="N276" s="155"/>
    </row>
    <row r="277" spans="1:14" ht="14.4">
      <c r="A277" s="140" t="s">
        <v>5700</v>
      </c>
      <c r="B277" s="140" t="s">
        <v>6061</v>
      </c>
      <c r="C277" s="140" t="s">
        <v>260</v>
      </c>
      <c r="D277" s="173" t="s">
        <v>1337</v>
      </c>
      <c r="E277" s="173"/>
      <c r="F277" s="140" t="s">
        <v>7933</v>
      </c>
      <c r="G277" s="140" t="s">
        <v>1342</v>
      </c>
      <c r="H277" s="140" t="s">
        <v>7935</v>
      </c>
      <c r="I277" s="140" t="s">
        <v>2714</v>
      </c>
      <c r="J277" s="140" t="s">
        <v>7937</v>
      </c>
      <c r="K277" s="140" t="s">
        <v>7935</v>
      </c>
      <c r="L277" s="140" t="s">
        <v>7938</v>
      </c>
      <c r="M277" s="140" t="s">
        <v>41</v>
      </c>
      <c r="N277" s="155"/>
    </row>
    <row r="278" spans="1:14" ht="14.4">
      <c r="A278" s="140" t="s">
        <v>5700</v>
      </c>
      <c r="B278" s="140" t="s">
        <v>6061</v>
      </c>
      <c r="C278" s="140" t="s">
        <v>260</v>
      </c>
      <c r="D278" s="173" t="s">
        <v>1337</v>
      </c>
      <c r="E278" s="173"/>
      <c r="F278" s="140" t="s">
        <v>7942</v>
      </c>
      <c r="G278" s="140" t="s">
        <v>1342</v>
      </c>
      <c r="H278" s="140" t="s">
        <v>7944</v>
      </c>
      <c r="I278" s="140" t="s">
        <v>2714</v>
      </c>
      <c r="J278" s="140" t="s">
        <v>7946</v>
      </c>
      <c r="K278" s="140" t="s">
        <v>7944</v>
      </c>
      <c r="L278" s="140" t="s">
        <v>7947</v>
      </c>
      <c r="M278" s="140" t="s">
        <v>41</v>
      </c>
      <c r="N278" s="155"/>
    </row>
    <row r="279" spans="1:14" ht="14.4">
      <c r="A279" s="140" t="s">
        <v>5700</v>
      </c>
      <c r="B279" s="140" t="s">
        <v>6061</v>
      </c>
      <c r="C279" s="140" t="s">
        <v>260</v>
      </c>
      <c r="D279" s="173" t="s">
        <v>1337</v>
      </c>
      <c r="E279" s="173"/>
      <c r="F279" s="140" t="s">
        <v>7949</v>
      </c>
      <c r="G279" s="140" t="s">
        <v>1342</v>
      </c>
      <c r="H279" s="140" t="s">
        <v>7951</v>
      </c>
      <c r="I279" s="140" t="s">
        <v>2714</v>
      </c>
      <c r="J279" s="140" t="s">
        <v>7953</v>
      </c>
      <c r="K279" s="140" t="s">
        <v>7951</v>
      </c>
      <c r="L279" s="140" t="s">
        <v>7955</v>
      </c>
      <c r="M279" s="140" t="s">
        <v>41</v>
      </c>
      <c r="N279" s="155"/>
    </row>
    <row r="280" spans="1:14" ht="14.4">
      <c r="A280" s="140" t="s">
        <v>5700</v>
      </c>
      <c r="B280" s="140" t="s">
        <v>6061</v>
      </c>
      <c r="C280" s="140" t="s">
        <v>260</v>
      </c>
      <c r="D280" s="173" t="s">
        <v>1337</v>
      </c>
      <c r="E280" s="173"/>
      <c r="F280" s="140" t="s">
        <v>7956</v>
      </c>
      <c r="G280" s="140" t="s">
        <v>1342</v>
      </c>
      <c r="H280" s="140" t="s">
        <v>7957</v>
      </c>
      <c r="I280" s="140" t="s">
        <v>887</v>
      </c>
      <c r="J280" s="140" t="s">
        <v>7961</v>
      </c>
      <c r="K280" s="140" t="s">
        <v>7957</v>
      </c>
      <c r="L280" s="140" t="s">
        <v>7963</v>
      </c>
      <c r="M280" s="140" t="s">
        <v>41</v>
      </c>
      <c r="N280" s="155"/>
    </row>
    <row r="281" spans="1:14" ht="14.4">
      <c r="A281" s="140" t="s">
        <v>5700</v>
      </c>
      <c r="B281" s="140" t="s">
        <v>6061</v>
      </c>
      <c r="C281" s="140" t="s">
        <v>260</v>
      </c>
      <c r="D281" s="173" t="s">
        <v>1337</v>
      </c>
      <c r="E281" s="173"/>
      <c r="F281" s="140" t="s">
        <v>7965</v>
      </c>
      <c r="G281" s="140" t="s">
        <v>1342</v>
      </c>
      <c r="H281" s="140" t="s">
        <v>7968</v>
      </c>
      <c r="I281" s="140" t="s">
        <v>887</v>
      </c>
      <c r="J281" s="140" t="s">
        <v>7970</v>
      </c>
      <c r="K281" s="140" t="s">
        <v>7968</v>
      </c>
      <c r="L281" s="140" t="s">
        <v>7971</v>
      </c>
      <c r="M281" s="140" t="s">
        <v>41</v>
      </c>
      <c r="N281" s="155"/>
    </row>
    <row r="282" spans="1:14" ht="14.4">
      <c r="A282" s="140" t="s">
        <v>5700</v>
      </c>
      <c r="B282" s="140" t="s">
        <v>6061</v>
      </c>
      <c r="C282" s="140" t="s">
        <v>260</v>
      </c>
      <c r="D282" s="173" t="s">
        <v>1337</v>
      </c>
      <c r="E282" s="173"/>
      <c r="F282" s="140" t="s">
        <v>7976</v>
      </c>
      <c r="G282" s="140" t="s">
        <v>1342</v>
      </c>
      <c r="H282" s="140" t="s">
        <v>7977</v>
      </c>
      <c r="I282" s="140" t="s">
        <v>2714</v>
      </c>
      <c r="J282" s="140" t="s">
        <v>7978</v>
      </c>
      <c r="K282" s="140" t="s">
        <v>7977</v>
      </c>
      <c r="L282" s="140" t="s">
        <v>7981</v>
      </c>
      <c r="M282" s="140" t="s">
        <v>41</v>
      </c>
      <c r="N282" s="155"/>
    </row>
    <row r="283" spans="1:14" ht="14.4">
      <c r="A283" s="140" t="s">
        <v>5700</v>
      </c>
      <c r="B283" s="140" t="s">
        <v>6061</v>
      </c>
      <c r="C283" s="140" t="s">
        <v>260</v>
      </c>
      <c r="D283" s="173" t="s">
        <v>1337</v>
      </c>
      <c r="E283" s="173"/>
      <c r="F283" s="140" t="s">
        <v>7985</v>
      </c>
      <c r="G283" s="140" t="s">
        <v>1342</v>
      </c>
      <c r="H283" s="140" t="s">
        <v>6076</v>
      </c>
      <c r="I283" s="140" t="s">
        <v>6077</v>
      </c>
      <c r="J283" s="140" t="s">
        <v>7988</v>
      </c>
      <c r="K283" s="140" t="s">
        <v>7989</v>
      </c>
      <c r="L283" s="140" t="s">
        <v>6244</v>
      </c>
      <c r="M283" s="140" t="s">
        <v>41</v>
      </c>
      <c r="N283" s="155"/>
    </row>
    <row r="284" spans="1:14" ht="14.4">
      <c r="A284" s="140" t="s">
        <v>5700</v>
      </c>
      <c r="B284" s="140" t="s">
        <v>6061</v>
      </c>
      <c r="C284" s="140" t="s">
        <v>260</v>
      </c>
      <c r="D284" s="173" t="s">
        <v>1337</v>
      </c>
      <c r="E284" s="173"/>
      <c r="F284" s="140" t="s">
        <v>7994</v>
      </c>
      <c r="G284" s="140" t="s">
        <v>1342</v>
      </c>
      <c r="H284" s="140" t="s">
        <v>7996</v>
      </c>
      <c r="I284" s="140" t="s">
        <v>887</v>
      </c>
      <c r="J284" s="140" t="s">
        <v>7999</v>
      </c>
      <c r="K284" s="140" t="s">
        <v>7996</v>
      </c>
      <c r="L284" s="140" t="s">
        <v>8000</v>
      </c>
      <c r="M284" s="140" t="s">
        <v>41</v>
      </c>
      <c r="N284" s="155"/>
    </row>
    <row r="285" spans="1:14" ht="14.4">
      <c r="A285" s="140" t="s">
        <v>5700</v>
      </c>
      <c r="B285" s="140" t="s">
        <v>6061</v>
      </c>
      <c r="C285" s="140" t="s">
        <v>260</v>
      </c>
      <c r="D285" s="173" t="s">
        <v>1337</v>
      </c>
      <c r="E285" s="173"/>
      <c r="F285" s="140" t="s">
        <v>8004</v>
      </c>
      <c r="G285" s="140" t="s">
        <v>1342</v>
      </c>
      <c r="H285" s="140" t="s">
        <v>8005</v>
      </c>
      <c r="I285" s="140" t="s">
        <v>521</v>
      </c>
      <c r="J285" s="140" t="s">
        <v>8007</v>
      </c>
      <c r="K285" s="140" t="s">
        <v>8005</v>
      </c>
      <c r="L285" s="140" t="s">
        <v>3389</v>
      </c>
      <c r="M285" s="140" t="s">
        <v>41</v>
      </c>
      <c r="N285" s="155"/>
    </row>
    <row r="286" spans="1:14" ht="14.4">
      <c r="A286" s="140" t="s">
        <v>5700</v>
      </c>
      <c r="B286" s="140" t="s">
        <v>6276</v>
      </c>
      <c r="C286" s="140" t="s">
        <v>20</v>
      </c>
      <c r="D286" s="140" t="s">
        <v>1305</v>
      </c>
      <c r="E286" s="140"/>
      <c r="F286" s="140" t="s">
        <v>8012</v>
      </c>
      <c r="G286" s="140" t="s">
        <v>8013</v>
      </c>
      <c r="H286" s="140" t="s">
        <v>8016</v>
      </c>
      <c r="I286" s="140" t="s">
        <v>1595</v>
      </c>
      <c r="J286" s="140" t="s">
        <v>6294</v>
      </c>
      <c r="K286" s="140" t="s">
        <v>6279</v>
      </c>
      <c r="L286" s="140" t="s">
        <v>5180</v>
      </c>
      <c r="M286" s="140" t="s">
        <v>41</v>
      </c>
      <c r="N286" s="155"/>
    </row>
    <row r="287" spans="1:14" ht="14.4">
      <c r="A287" s="140" t="s">
        <v>5700</v>
      </c>
      <c r="B287" s="140" t="s">
        <v>6276</v>
      </c>
      <c r="C287" s="140" t="s">
        <v>260</v>
      </c>
      <c r="D287" s="173" t="s">
        <v>1337</v>
      </c>
      <c r="E287" s="173"/>
      <c r="F287" s="140" t="s">
        <v>8021</v>
      </c>
      <c r="G287" s="140" t="s">
        <v>1342</v>
      </c>
      <c r="H287" s="140" t="s">
        <v>8016</v>
      </c>
      <c r="I287" s="140" t="s">
        <v>1595</v>
      </c>
      <c r="J287" s="140" t="s">
        <v>8024</v>
      </c>
      <c r="K287" s="140" t="s">
        <v>8026</v>
      </c>
      <c r="L287" s="140" t="s">
        <v>8027</v>
      </c>
      <c r="M287" s="140" t="s">
        <v>41</v>
      </c>
      <c r="N287" s="155"/>
    </row>
    <row r="288" spans="1:14" ht="14.4">
      <c r="A288" s="140" t="s">
        <v>5700</v>
      </c>
      <c r="B288" s="140" t="s">
        <v>6276</v>
      </c>
      <c r="C288" s="140" t="s">
        <v>260</v>
      </c>
      <c r="D288" s="173" t="s">
        <v>1337</v>
      </c>
      <c r="E288" s="173"/>
      <c r="F288" s="140" t="s">
        <v>8031</v>
      </c>
      <c r="G288" s="140" t="s">
        <v>1342</v>
      </c>
      <c r="H288" s="140" t="s">
        <v>8016</v>
      </c>
      <c r="I288" s="140" t="s">
        <v>1595</v>
      </c>
      <c r="J288" s="140" t="s">
        <v>8032</v>
      </c>
      <c r="K288" s="140" t="s">
        <v>8033</v>
      </c>
      <c r="L288" s="140" t="s">
        <v>8034</v>
      </c>
      <c r="M288" s="140" t="s">
        <v>41</v>
      </c>
      <c r="N288" s="155"/>
    </row>
    <row r="289" spans="1:14" ht="14.4">
      <c r="A289" s="140" t="s">
        <v>5700</v>
      </c>
      <c r="B289" s="140" t="s">
        <v>6276</v>
      </c>
      <c r="C289" s="140" t="s">
        <v>260</v>
      </c>
      <c r="D289" s="173" t="s">
        <v>1337</v>
      </c>
      <c r="E289" s="173"/>
      <c r="F289" s="140" t="s">
        <v>8039</v>
      </c>
      <c r="G289" s="140" t="s">
        <v>1342</v>
      </c>
      <c r="H289" s="140" t="s">
        <v>8016</v>
      </c>
      <c r="I289" s="140" t="s">
        <v>1595</v>
      </c>
      <c r="J289" s="140" t="s">
        <v>8042</v>
      </c>
      <c r="K289" s="140" t="s">
        <v>8044</v>
      </c>
      <c r="L289" s="140" t="s">
        <v>8045</v>
      </c>
      <c r="M289" s="140" t="s">
        <v>41</v>
      </c>
      <c r="N289" s="155"/>
    </row>
    <row r="290" spans="1:14" ht="14.4">
      <c r="A290" s="140" t="s">
        <v>5700</v>
      </c>
      <c r="B290" s="140" t="s">
        <v>6276</v>
      </c>
      <c r="C290" s="140" t="s">
        <v>260</v>
      </c>
      <c r="D290" s="173" t="s">
        <v>1337</v>
      </c>
      <c r="E290" s="173"/>
      <c r="F290" s="140" t="s">
        <v>8048</v>
      </c>
      <c r="G290" s="140" t="s">
        <v>1342</v>
      </c>
      <c r="H290" s="140" t="s">
        <v>8016</v>
      </c>
      <c r="I290" s="140" t="s">
        <v>1595</v>
      </c>
      <c r="J290" s="140" t="s">
        <v>8050</v>
      </c>
      <c r="K290" s="140" t="s">
        <v>8051</v>
      </c>
      <c r="L290" s="140" t="s">
        <v>8052</v>
      </c>
      <c r="M290" s="140" t="s">
        <v>41</v>
      </c>
      <c r="N290" s="155"/>
    </row>
    <row r="291" spans="1:14" ht="14.4">
      <c r="A291" s="140" t="s">
        <v>5700</v>
      </c>
      <c r="B291" s="140" t="s">
        <v>6276</v>
      </c>
      <c r="C291" s="140" t="s">
        <v>260</v>
      </c>
      <c r="D291" s="173" t="s">
        <v>1337</v>
      </c>
      <c r="E291" s="173"/>
      <c r="F291" s="140" t="s">
        <v>8057</v>
      </c>
      <c r="G291" s="140" t="s">
        <v>1342</v>
      </c>
      <c r="H291" s="140" t="s">
        <v>8016</v>
      </c>
      <c r="I291" s="140" t="s">
        <v>1595</v>
      </c>
      <c r="J291" s="140" t="s">
        <v>8059</v>
      </c>
      <c r="K291" s="140" t="s">
        <v>8061</v>
      </c>
      <c r="L291" s="140" t="s">
        <v>8063</v>
      </c>
      <c r="M291" s="140" t="s">
        <v>41</v>
      </c>
      <c r="N291" s="155"/>
    </row>
    <row r="292" spans="1:14" ht="14.4">
      <c r="A292" s="140" t="s">
        <v>5700</v>
      </c>
      <c r="B292" s="140" t="s">
        <v>6276</v>
      </c>
      <c r="C292" s="140" t="s">
        <v>260</v>
      </c>
      <c r="D292" s="173" t="s">
        <v>1337</v>
      </c>
      <c r="E292" s="173"/>
      <c r="F292" s="140" t="s">
        <v>8066</v>
      </c>
      <c r="G292" s="140" t="s">
        <v>1342</v>
      </c>
      <c r="H292" s="140" t="s">
        <v>8016</v>
      </c>
      <c r="I292" s="140" t="s">
        <v>1595</v>
      </c>
      <c r="J292" s="140" t="s">
        <v>8071</v>
      </c>
      <c r="K292" s="140" t="s">
        <v>8072</v>
      </c>
      <c r="L292" s="140" t="s">
        <v>8073</v>
      </c>
      <c r="M292" s="140" t="s">
        <v>41</v>
      </c>
      <c r="N292" s="155"/>
    </row>
    <row r="293" spans="1:14" ht="14.4">
      <c r="A293" s="140" t="s">
        <v>5700</v>
      </c>
      <c r="B293" s="140" t="s">
        <v>6276</v>
      </c>
      <c r="C293" s="140" t="s">
        <v>260</v>
      </c>
      <c r="D293" s="173" t="s">
        <v>1337</v>
      </c>
      <c r="E293" s="173"/>
      <c r="F293" s="140" t="s">
        <v>8077</v>
      </c>
      <c r="G293" s="140" t="s">
        <v>1342</v>
      </c>
      <c r="H293" s="140" t="s">
        <v>8016</v>
      </c>
      <c r="I293" s="140" t="s">
        <v>1595</v>
      </c>
      <c r="J293" s="140" t="s">
        <v>8078</v>
      </c>
      <c r="K293" s="140" t="s">
        <v>8080</v>
      </c>
      <c r="L293" s="140" t="s">
        <v>8082</v>
      </c>
      <c r="M293" s="140" t="s">
        <v>41</v>
      </c>
      <c r="N293" s="155"/>
    </row>
    <row r="294" spans="1:14" ht="14.4">
      <c r="A294" s="140" t="s">
        <v>5700</v>
      </c>
      <c r="B294" s="140" t="s">
        <v>6276</v>
      </c>
      <c r="C294" s="140" t="s">
        <v>260</v>
      </c>
      <c r="D294" s="173" t="s">
        <v>1337</v>
      </c>
      <c r="E294" s="173"/>
      <c r="F294" s="140" t="s">
        <v>8085</v>
      </c>
      <c r="G294" s="140" t="s">
        <v>1342</v>
      </c>
      <c r="H294" s="140" t="s">
        <v>8016</v>
      </c>
      <c r="I294" s="140" t="s">
        <v>1595</v>
      </c>
      <c r="J294" s="140" t="s">
        <v>8088</v>
      </c>
      <c r="K294" s="140" t="s">
        <v>6279</v>
      </c>
      <c r="L294" s="140" t="s">
        <v>8045</v>
      </c>
      <c r="M294" s="140" t="s">
        <v>41</v>
      </c>
      <c r="N294" s="155"/>
    </row>
    <row r="295" spans="1:14" ht="14.4">
      <c r="A295" s="140" t="s">
        <v>5700</v>
      </c>
      <c r="B295" s="140" t="s">
        <v>6276</v>
      </c>
      <c r="C295" s="140" t="s">
        <v>260</v>
      </c>
      <c r="D295" s="173" t="s">
        <v>1337</v>
      </c>
      <c r="E295" s="173"/>
      <c r="F295" s="140" t="s">
        <v>8091</v>
      </c>
      <c r="G295" s="140" t="s">
        <v>1342</v>
      </c>
      <c r="H295" s="140" t="s">
        <v>8016</v>
      </c>
      <c r="I295" s="140" t="s">
        <v>1595</v>
      </c>
      <c r="J295" s="140" t="s">
        <v>8092</v>
      </c>
      <c r="K295" s="140" t="s">
        <v>6370</v>
      </c>
      <c r="L295" s="140" t="s">
        <v>6372</v>
      </c>
      <c r="M295" s="140" t="s">
        <v>41</v>
      </c>
      <c r="N295" s="155"/>
    </row>
    <row r="296" spans="1:14" ht="14.4">
      <c r="A296" s="140" t="s">
        <v>5700</v>
      </c>
      <c r="B296" s="140" t="s">
        <v>6276</v>
      </c>
      <c r="C296" s="140" t="s">
        <v>260</v>
      </c>
      <c r="D296" s="173" t="s">
        <v>1337</v>
      </c>
      <c r="E296" s="173"/>
      <c r="F296" s="140" t="s">
        <v>8095</v>
      </c>
      <c r="G296" s="140" t="s">
        <v>1342</v>
      </c>
      <c r="H296" s="140" t="s">
        <v>8016</v>
      </c>
      <c r="I296" s="140" t="s">
        <v>1595</v>
      </c>
      <c r="J296" s="140" t="s">
        <v>8099</v>
      </c>
      <c r="K296" s="140" t="s">
        <v>8100</v>
      </c>
      <c r="L296" s="140" t="s">
        <v>8101</v>
      </c>
      <c r="M296" s="140" t="s">
        <v>41</v>
      </c>
      <c r="N296" s="155"/>
    </row>
    <row r="297" spans="1:14" ht="14.4">
      <c r="A297" s="140" t="s">
        <v>5700</v>
      </c>
      <c r="B297" s="140" t="s">
        <v>6531</v>
      </c>
      <c r="C297" s="140" t="s">
        <v>20</v>
      </c>
      <c r="D297" s="140" t="s">
        <v>1305</v>
      </c>
      <c r="E297" s="140"/>
      <c r="F297" s="140" t="s">
        <v>8105</v>
      </c>
      <c r="G297" s="140" t="s">
        <v>8107</v>
      </c>
      <c r="H297" s="140" t="s">
        <v>6681</v>
      </c>
      <c r="I297" s="140" t="s">
        <v>521</v>
      </c>
      <c r="J297" s="140" t="s">
        <v>8109</v>
      </c>
      <c r="K297" s="140" t="s">
        <v>6681</v>
      </c>
      <c r="L297" s="140" t="s">
        <v>729</v>
      </c>
      <c r="M297" s="140" t="s">
        <v>41</v>
      </c>
      <c r="N297" s="155"/>
    </row>
    <row r="298" spans="1:14" ht="14.4">
      <c r="A298" s="140" t="s">
        <v>5700</v>
      </c>
      <c r="B298" s="140" t="s">
        <v>6531</v>
      </c>
      <c r="C298" s="140" t="s">
        <v>260</v>
      </c>
      <c r="D298" s="173" t="s">
        <v>1337</v>
      </c>
      <c r="E298" s="173"/>
      <c r="F298" s="140" t="s">
        <v>8112</v>
      </c>
      <c r="G298" s="140" t="s">
        <v>1342</v>
      </c>
      <c r="H298" s="140" t="s">
        <v>6681</v>
      </c>
      <c r="I298" s="140" t="s">
        <v>521</v>
      </c>
      <c r="J298" s="140" t="s">
        <v>8113</v>
      </c>
      <c r="K298" s="140" t="s">
        <v>6681</v>
      </c>
      <c r="L298" s="140" t="s">
        <v>729</v>
      </c>
      <c r="M298" s="140" t="s">
        <v>41</v>
      </c>
      <c r="N298" s="155"/>
    </row>
    <row r="299" spans="1:14" ht="14.4">
      <c r="A299" s="140" t="s">
        <v>5700</v>
      </c>
      <c r="B299" s="140" t="s">
        <v>6531</v>
      </c>
      <c r="C299" s="140" t="s">
        <v>260</v>
      </c>
      <c r="D299" s="173" t="s">
        <v>1337</v>
      </c>
      <c r="E299" s="173"/>
      <c r="F299" s="140" t="s">
        <v>8116</v>
      </c>
      <c r="G299" s="140" t="s">
        <v>1342</v>
      </c>
      <c r="H299" s="140" t="s">
        <v>6681</v>
      </c>
      <c r="I299" s="140" t="s">
        <v>521</v>
      </c>
      <c r="J299" s="140" t="s">
        <v>8118</v>
      </c>
      <c r="K299" s="140" t="s">
        <v>6681</v>
      </c>
      <c r="L299" s="140" t="s">
        <v>729</v>
      </c>
      <c r="M299" s="140" t="s">
        <v>41</v>
      </c>
      <c r="N299" s="155"/>
    </row>
    <row r="300" spans="1:14" ht="14.4">
      <c r="A300" s="140" t="s">
        <v>5700</v>
      </c>
      <c r="B300" s="140" t="s">
        <v>6753</v>
      </c>
      <c r="C300" s="140" t="s">
        <v>20</v>
      </c>
      <c r="D300" s="140" t="s">
        <v>1305</v>
      </c>
      <c r="E300" s="140"/>
      <c r="F300" s="140" t="s">
        <v>8120</v>
      </c>
      <c r="G300" s="140" t="s">
        <v>8122</v>
      </c>
      <c r="H300" s="140" t="s">
        <v>6757</v>
      </c>
      <c r="I300" s="140" t="s">
        <v>933</v>
      </c>
      <c r="J300" s="140" t="s">
        <v>8124</v>
      </c>
      <c r="K300" s="140" t="s">
        <v>8125</v>
      </c>
      <c r="L300" s="140" t="s">
        <v>729</v>
      </c>
      <c r="M300" s="140" t="s">
        <v>41</v>
      </c>
      <c r="N300" s="155"/>
    </row>
    <row r="301" spans="1:14" ht="14.4">
      <c r="A301" s="140" t="s">
        <v>5700</v>
      </c>
      <c r="B301" s="140" t="s">
        <v>6753</v>
      </c>
      <c r="C301" s="140" t="s">
        <v>260</v>
      </c>
      <c r="D301" s="173" t="s">
        <v>1337</v>
      </c>
      <c r="E301" s="173"/>
      <c r="F301" s="140" t="s">
        <v>8127</v>
      </c>
      <c r="G301" s="140" t="s">
        <v>8128</v>
      </c>
      <c r="H301" s="140" t="s">
        <v>6757</v>
      </c>
      <c r="I301" s="140" t="s">
        <v>933</v>
      </c>
      <c r="J301" s="140" t="s">
        <v>8129</v>
      </c>
      <c r="K301" s="140" t="s">
        <v>6763</v>
      </c>
      <c r="L301" s="140" t="s">
        <v>729</v>
      </c>
      <c r="M301" s="140" t="s">
        <v>41</v>
      </c>
      <c r="N301" s="155"/>
    </row>
    <row r="302" spans="1:14" ht="14.4">
      <c r="A302" s="140" t="s">
        <v>5700</v>
      </c>
      <c r="B302" s="140" t="s">
        <v>6753</v>
      </c>
      <c r="C302" s="140" t="s">
        <v>260</v>
      </c>
      <c r="D302" s="173" t="s">
        <v>1337</v>
      </c>
      <c r="E302" s="173"/>
      <c r="F302" s="140" t="s">
        <v>8131</v>
      </c>
      <c r="G302" s="140" t="s">
        <v>8132</v>
      </c>
      <c r="H302" s="140" t="s">
        <v>6757</v>
      </c>
      <c r="I302" s="140" t="s">
        <v>933</v>
      </c>
      <c r="J302" s="140" t="s">
        <v>8133</v>
      </c>
      <c r="K302" s="140" t="s">
        <v>6827</v>
      </c>
      <c r="L302" s="140" t="s">
        <v>729</v>
      </c>
      <c r="M302" s="140" t="s">
        <v>41</v>
      </c>
      <c r="N302" s="155"/>
    </row>
    <row r="303" spans="1:14" ht="14.4">
      <c r="A303" s="140" t="s">
        <v>5700</v>
      </c>
      <c r="B303" s="140" t="s">
        <v>6753</v>
      </c>
      <c r="C303" s="140" t="s">
        <v>260</v>
      </c>
      <c r="D303" s="173" t="s">
        <v>1337</v>
      </c>
      <c r="E303" s="173"/>
      <c r="F303" s="140" t="s">
        <v>8134</v>
      </c>
      <c r="G303" s="140" t="s">
        <v>8135</v>
      </c>
      <c r="H303" s="140" t="s">
        <v>6757</v>
      </c>
      <c r="I303" s="140" t="s">
        <v>933</v>
      </c>
      <c r="J303" s="140" t="s">
        <v>8136</v>
      </c>
      <c r="K303" s="140" t="s">
        <v>6827</v>
      </c>
      <c r="L303" s="140" t="s">
        <v>729</v>
      </c>
      <c r="M303" s="140" t="s">
        <v>41</v>
      </c>
      <c r="N303" s="155"/>
    </row>
    <row r="304" spans="1:14" ht="14.4">
      <c r="A304" s="140" t="s">
        <v>5700</v>
      </c>
      <c r="B304" s="140" t="s">
        <v>6753</v>
      </c>
      <c r="C304" s="140" t="s">
        <v>260</v>
      </c>
      <c r="D304" s="173" t="s">
        <v>1337</v>
      </c>
      <c r="E304" s="173"/>
      <c r="F304" s="140" t="s">
        <v>8137</v>
      </c>
      <c r="G304" s="140" t="s">
        <v>8138</v>
      </c>
      <c r="H304" s="140" t="s">
        <v>6757</v>
      </c>
      <c r="I304" s="140" t="s">
        <v>933</v>
      </c>
      <c r="J304" s="140" t="s">
        <v>8139</v>
      </c>
      <c r="K304" s="140" t="s">
        <v>6827</v>
      </c>
      <c r="L304" s="140" t="s">
        <v>729</v>
      </c>
      <c r="M304" s="140" t="s">
        <v>41</v>
      </c>
      <c r="N304" s="155"/>
    </row>
    <row r="305" spans="1:14" ht="14.4">
      <c r="A305" s="140" t="s">
        <v>5700</v>
      </c>
      <c r="B305" s="140" t="s">
        <v>6753</v>
      </c>
      <c r="C305" s="140" t="s">
        <v>260</v>
      </c>
      <c r="D305" s="173" t="s">
        <v>1337</v>
      </c>
      <c r="E305" s="173"/>
      <c r="F305" s="140" t="s">
        <v>8140</v>
      </c>
      <c r="G305" s="140" t="s">
        <v>8141</v>
      </c>
      <c r="H305" s="140" t="s">
        <v>6757</v>
      </c>
      <c r="I305" s="140" t="s">
        <v>933</v>
      </c>
      <c r="J305" s="140" t="s">
        <v>8142</v>
      </c>
      <c r="K305" s="140" t="s">
        <v>6827</v>
      </c>
      <c r="L305" s="140" t="s">
        <v>729</v>
      </c>
      <c r="M305" s="140" t="s">
        <v>41</v>
      </c>
      <c r="N305" s="155"/>
    </row>
    <row r="306" spans="1:14" ht="14.4">
      <c r="A306" s="140" t="s">
        <v>5700</v>
      </c>
      <c r="B306" s="140" t="s">
        <v>6753</v>
      </c>
      <c r="C306" s="140" t="s">
        <v>260</v>
      </c>
      <c r="D306" s="173" t="s">
        <v>1337</v>
      </c>
      <c r="E306" s="173"/>
      <c r="F306" s="140" t="s">
        <v>8143</v>
      </c>
      <c r="G306" s="140" t="s">
        <v>8144</v>
      </c>
      <c r="H306" s="140" t="s">
        <v>6757</v>
      </c>
      <c r="I306" s="140" t="s">
        <v>933</v>
      </c>
      <c r="J306" s="140" t="s">
        <v>8145</v>
      </c>
      <c r="K306" s="140" t="s">
        <v>6827</v>
      </c>
      <c r="L306" s="140" t="s">
        <v>729</v>
      </c>
      <c r="M306" s="140" t="s">
        <v>41</v>
      </c>
      <c r="N306" s="155"/>
    </row>
    <row r="307" spans="1:14" ht="14.4">
      <c r="A307" s="140" t="s">
        <v>5700</v>
      </c>
      <c r="B307" s="140" t="s">
        <v>6753</v>
      </c>
      <c r="C307" s="140" t="s">
        <v>260</v>
      </c>
      <c r="D307" s="173" t="s">
        <v>1337</v>
      </c>
      <c r="E307" s="173"/>
      <c r="F307" s="140" t="s">
        <v>8146</v>
      </c>
      <c r="G307" s="140" t="s">
        <v>8147</v>
      </c>
      <c r="H307" s="140" t="s">
        <v>6757</v>
      </c>
      <c r="I307" s="140" t="s">
        <v>933</v>
      </c>
      <c r="J307" s="140" t="s">
        <v>8148</v>
      </c>
      <c r="K307" s="140" t="s">
        <v>6827</v>
      </c>
      <c r="L307" s="140" t="s">
        <v>729</v>
      </c>
      <c r="M307" s="140" t="s">
        <v>41</v>
      </c>
      <c r="N307" s="155"/>
    </row>
    <row r="308" spans="1:14" ht="14.4">
      <c r="A308" s="140" t="s">
        <v>5700</v>
      </c>
      <c r="B308" s="140" t="s">
        <v>6753</v>
      </c>
      <c r="C308" s="140" t="s">
        <v>260</v>
      </c>
      <c r="D308" s="173" t="s">
        <v>1337</v>
      </c>
      <c r="E308" s="173"/>
      <c r="F308" s="140" t="s">
        <v>8149</v>
      </c>
      <c r="G308" s="140" t="s">
        <v>8150</v>
      </c>
      <c r="H308" s="140" t="s">
        <v>6757</v>
      </c>
      <c r="I308" s="140" t="s">
        <v>933</v>
      </c>
      <c r="J308" s="140" t="s">
        <v>8151</v>
      </c>
      <c r="K308" s="140" t="s">
        <v>6827</v>
      </c>
      <c r="L308" s="140" t="s">
        <v>729</v>
      </c>
      <c r="M308" s="140" t="s">
        <v>41</v>
      </c>
      <c r="N308" s="155"/>
    </row>
    <row r="309" spans="1:14" ht="14.4">
      <c r="A309" s="140" t="s">
        <v>5700</v>
      </c>
      <c r="B309" s="140" t="s">
        <v>6753</v>
      </c>
      <c r="C309" s="173" t="s">
        <v>260</v>
      </c>
      <c r="D309" s="173" t="s">
        <v>1337</v>
      </c>
      <c r="E309" s="173"/>
      <c r="F309" s="140" t="s">
        <v>8152</v>
      </c>
      <c r="G309" s="140" t="s">
        <v>8153</v>
      </c>
      <c r="H309" s="140" t="s">
        <v>6757</v>
      </c>
      <c r="I309" s="140" t="s">
        <v>933</v>
      </c>
      <c r="J309" s="140" t="s">
        <v>8154</v>
      </c>
      <c r="K309" s="140" t="s">
        <v>6827</v>
      </c>
      <c r="L309" s="140" t="s">
        <v>729</v>
      </c>
      <c r="M309" s="140" t="s">
        <v>41</v>
      </c>
      <c r="N309" s="155"/>
    </row>
    <row r="310" spans="1:14" ht="14.4">
      <c r="A310" s="140" t="s">
        <v>5700</v>
      </c>
      <c r="B310" s="140" t="s">
        <v>6753</v>
      </c>
      <c r="C310" s="173" t="s">
        <v>260</v>
      </c>
      <c r="D310" s="173" t="s">
        <v>1337</v>
      </c>
      <c r="E310" s="173"/>
      <c r="F310" s="140" t="s">
        <v>8155</v>
      </c>
      <c r="G310" s="140" t="s">
        <v>8156</v>
      </c>
      <c r="H310" s="140" t="s">
        <v>6757</v>
      </c>
      <c r="I310" s="140" t="s">
        <v>933</v>
      </c>
      <c r="J310" s="140" t="s">
        <v>8157</v>
      </c>
      <c r="K310" s="140" t="s">
        <v>6827</v>
      </c>
      <c r="L310" s="140" t="s">
        <v>729</v>
      </c>
      <c r="M310" s="140" t="s">
        <v>41</v>
      </c>
      <c r="N310" s="155"/>
    </row>
    <row r="311" spans="1:14" ht="14.4">
      <c r="A311" s="140" t="s">
        <v>5700</v>
      </c>
      <c r="B311" s="140" t="s">
        <v>6753</v>
      </c>
      <c r="C311" s="173" t="s">
        <v>260</v>
      </c>
      <c r="D311" s="173" t="s">
        <v>1337</v>
      </c>
      <c r="E311" s="173"/>
      <c r="F311" s="140" t="s">
        <v>8158</v>
      </c>
      <c r="G311" s="140" t="s">
        <v>8159</v>
      </c>
      <c r="H311" s="140" t="s">
        <v>6757</v>
      </c>
      <c r="I311" s="140" t="s">
        <v>933</v>
      </c>
      <c r="J311" s="140" t="s">
        <v>8160</v>
      </c>
      <c r="K311" s="140" t="s">
        <v>6827</v>
      </c>
      <c r="L311" s="140" t="s">
        <v>729</v>
      </c>
      <c r="M311" s="140" t="s">
        <v>41</v>
      </c>
      <c r="N311" s="155"/>
    </row>
    <row r="312" spans="1:14" ht="14.4">
      <c r="A312" s="140" t="s">
        <v>5700</v>
      </c>
      <c r="B312" s="140" t="s">
        <v>6753</v>
      </c>
      <c r="C312" s="173" t="s">
        <v>260</v>
      </c>
      <c r="D312" s="173" t="s">
        <v>1337</v>
      </c>
      <c r="E312" s="173"/>
      <c r="F312" s="140" t="s">
        <v>8161</v>
      </c>
      <c r="G312" s="140" t="s">
        <v>8162</v>
      </c>
      <c r="H312" s="140" t="s">
        <v>6757</v>
      </c>
      <c r="I312" s="140" t="s">
        <v>933</v>
      </c>
      <c r="J312" s="140" t="s">
        <v>8163</v>
      </c>
      <c r="K312" s="140" t="s">
        <v>6827</v>
      </c>
      <c r="L312" s="140" t="s">
        <v>729</v>
      </c>
      <c r="M312" s="140" t="s">
        <v>41</v>
      </c>
      <c r="N312" s="155"/>
    </row>
    <row r="313" spans="1:14" ht="14.4">
      <c r="A313" s="140" t="s">
        <v>5700</v>
      </c>
      <c r="B313" s="140" t="s">
        <v>6753</v>
      </c>
      <c r="C313" s="173" t="s">
        <v>260</v>
      </c>
      <c r="D313" s="173" t="s">
        <v>1337</v>
      </c>
      <c r="E313" s="173"/>
      <c r="F313" s="140" t="s">
        <v>8164</v>
      </c>
      <c r="G313" s="140" t="s">
        <v>8165</v>
      </c>
      <c r="H313" s="140" t="s">
        <v>6757</v>
      </c>
      <c r="I313" s="140" t="s">
        <v>933</v>
      </c>
      <c r="J313" s="140" t="s">
        <v>8166</v>
      </c>
      <c r="K313" s="140" t="s">
        <v>6827</v>
      </c>
      <c r="L313" s="140" t="s">
        <v>729</v>
      </c>
      <c r="M313" s="140" t="s">
        <v>41</v>
      </c>
      <c r="N313" s="155"/>
    </row>
    <row r="314" spans="1:14" ht="14.4">
      <c r="A314" s="140" t="s">
        <v>5700</v>
      </c>
      <c r="B314" s="140" t="s">
        <v>6753</v>
      </c>
      <c r="C314" s="140" t="s">
        <v>260</v>
      </c>
      <c r="D314" s="173" t="s">
        <v>1337</v>
      </c>
      <c r="E314" s="173"/>
      <c r="F314" s="140" t="s">
        <v>8167</v>
      </c>
      <c r="G314" s="140" t="s">
        <v>8168</v>
      </c>
      <c r="H314" s="140" t="s">
        <v>6757</v>
      </c>
      <c r="I314" s="140" t="s">
        <v>933</v>
      </c>
      <c r="J314" s="140" t="s">
        <v>8169</v>
      </c>
      <c r="K314" s="140" t="s">
        <v>6827</v>
      </c>
      <c r="L314" s="140" t="s">
        <v>729</v>
      </c>
      <c r="M314" s="140" t="s">
        <v>41</v>
      </c>
      <c r="N314" s="155"/>
    </row>
    <row r="315" spans="1:14" ht="14.4">
      <c r="A315" s="140" t="s">
        <v>5700</v>
      </c>
      <c r="B315" s="140" t="s">
        <v>6753</v>
      </c>
      <c r="C315" s="140" t="s">
        <v>260</v>
      </c>
      <c r="D315" s="173" t="s">
        <v>1337</v>
      </c>
      <c r="E315" s="173"/>
      <c r="F315" s="140" t="s">
        <v>8170</v>
      </c>
      <c r="G315" s="140" t="s">
        <v>8168</v>
      </c>
      <c r="H315" s="140" t="s">
        <v>6757</v>
      </c>
      <c r="I315" s="140" t="s">
        <v>933</v>
      </c>
      <c r="J315" s="140" t="s">
        <v>8171</v>
      </c>
      <c r="K315" s="140" t="s">
        <v>6827</v>
      </c>
      <c r="L315" s="140" t="s">
        <v>729</v>
      </c>
      <c r="M315" s="140" t="s">
        <v>41</v>
      </c>
      <c r="N315" s="155"/>
    </row>
    <row r="316" spans="1:14" ht="14.4">
      <c r="A316" s="140" t="s">
        <v>5700</v>
      </c>
      <c r="B316" s="140" t="s">
        <v>7083</v>
      </c>
      <c r="C316" s="140" t="s">
        <v>20</v>
      </c>
      <c r="D316" s="140" t="s">
        <v>1305</v>
      </c>
      <c r="E316" s="140"/>
      <c r="F316" s="140" t="s">
        <v>8172</v>
      </c>
      <c r="G316" s="140" t="s">
        <v>8173</v>
      </c>
      <c r="H316" s="140" t="s">
        <v>8174</v>
      </c>
      <c r="I316" s="140"/>
      <c r="J316" s="140" t="s">
        <v>7265</v>
      </c>
      <c r="K316" s="140" t="s">
        <v>8175</v>
      </c>
      <c r="L316" s="140" t="s">
        <v>8176</v>
      </c>
      <c r="M316" s="140" t="s">
        <v>41</v>
      </c>
      <c r="N316" s="155"/>
    </row>
    <row r="317" spans="1:14" ht="14.4">
      <c r="A317" s="140" t="s">
        <v>5700</v>
      </c>
      <c r="B317" s="140" t="s">
        <v>7083</v>
      </c>
      <c r="C317" s="140" t="s">
        <v>260</v>
      </c>
      <c r="D317" s="173" t="s">
        <v>1337</v>
      </c>
      <c r="E317" s="173"/>
      <c r="F317" s="140" t="s">
        <v>8177</v>
      </c>
      <c r="G317" s="140" t="s">
        <v>1342</v>
      </c>
      <c r="H317" s="140" t="s">
        <v>8174</v>
      </c>
      <c r="I317" s="140"/>
      <c r="J317" s="140" t="s">
        <v>7265</v>
      </c>
      <c r="K317" s="140" t="s">
        <v>8178</v>
      </c>
      <c r="L317" s="140" t="s">
        <v>8176</v>
      </c>
      <c r="M317" s="140" t="s">
        <v>41</v>
      </c>
      <c r="N317" s="155"/>
    </row>
    <row r="318" spans="1:14" ht="14.4">
      <c r="A318" s="140" t="s">
        <v>5700</v>
      </c>
      <c r="B318" s="140" t="s">
        <v>7083</v>
      </c>
      <c r="C318" s="140" t="s">
        <v>260</v>
      </c>
      <c r="D318" s="173" t="s">
        <v>1337</v>
      </c>
      <c r="E318" s="173"/>
      <c r="F318" s="140" t="s">
        <v>8179</v>
      </c>
      <c r="G318" s="140" t="s">
        <v>1342</v>
      </c>
      <c r="H318" s="140" t="s">
        <v>8174</v>
      </c>
      <c r="I318" s="140"/>
      <c r="J318" s="140" t="s">
        <v>7265</v>
      </c>
      <c r="K318" s="140" t="s">
        <v>8178</v>
      </c>
      <c r="L318" s="140" t="s">
        <v>8176</v>
      </c>
      <c r="M318" s="140" t="s">
        <v>41</v>
      </c>
      <c r="N318" s="155"/>
    </row>
    <row r="319" spans="1:14" ht="14.4">
      <c r="A319" s="140" t="s">
        <v>5700</v>
      </c>
      <c r="B319" s="140" t="s">
        <v>7083</v>
      </c>
      <c r="C319" s="140" t="s">
        <v>260</v>
      </c>
      <c r="D319" s="173" t="s">
        <v>1337</v>
      </c>
      <c r="E319" s="173"/>
      <c r="F319" s="140" t="s">
        <v>8180</v>
      </c>
      <c r="G319" s="140" t="s">
        <v>1342</v>
      </c>
      <c r="H319" s="140" t="s">
        <v>8174</v>
      </c>
      <c r="I319" s="140"/>
      <c r="J319" s="140" t="s">
        <v>7265</v>
      </c>
      <c r="K319" s="140" t="s">
        <v>8178</v>
      </c>
      <c r="L319" s="140" t="s">
        <v>8176</v>
      </c>
      <c r="M319" s="140" t="s">
        <v>41</v>
      </c>
      <c r="N319" s="155"/>
    </row>
    <row r="320" spans="1:14" ht="14.4">
      <c r="A320" s="140" t="s">
        <v>5700</v>
      </c>
      <c r="B320" s="140" t="s">
        <v>7083</v>
      </c>
      <c r="C320" s="140" t="s">
        <v>260</v>
      </c>
      <c r="D320" s="173" t="s">
        <v>1337</v>
      </c>
      <c r="E320" s="173"/>
      <c r="F320" s="140" t="s">
        <v>8181</v>
      </c>
      <c r="G320" s="140" t="s">
        <v>1342</v>
      </c>
      <c r="H320" s="140" t="s">
        <v>8174</v>
      </c>
      <c r="I320" s="140"/>
      <c r="J320" s="140" t="s">
        <v>7265</v>
      </c>
      <c r="K320" s="140" t="s">
        <v>8178</v>
      </c>
      <c r="L320" s="140" t="s">
        <v>8176</v>
      </c>
      <c r="M320" s="140" t="s">
        <v>41</v>
      </c>
      <c r="N320" s="155"/>
    </row>
    <row r="321" spans="1:31" ht="14.4">
      <c r="A321" s="110" t="s">
        <v>5700</v>
      </c>
      <c r="B321" s="110" t="s">
        <v>7083</v>
      </c>
      <c r="C321" s="110" t="s">
        <v>260</v>
      </c>
      <c r="D321" s="174" t="s">
        <v>1337</v>
      </c>
      <c r="E321" s="174"/>
      <c r="F321" s="110" t="s">
        <v>8182</v>
      </c>
      <c r="G321" s="110" t="s">
        <v>1342</v>
      </c>
      <c r="H321" s="110" t="s">
        <v>8174</v>
      </c>
      <c r="I321" s="110"/>
      <c r="J321" s="110" t="s">
        <v>7265</v>
      </c>
      <c r="K321" s="110" t="s">
        <v>8178</v>
      </c>
      <c r="L321" s="110" t="s">
        <v>8176</v>
      </c>
      <c r="M321" s="110" t="s">
        <v>41</v>
      </c>
      <c r="N321" s="28"/>
    </row>
    <row r="322" spans="1:31" ht="43.2">
      <c r="A322" s="140" t="s">
        <v>5700</v>
      </c>
      <c r="B322" s="28"/>
      <c r="C322" s="28" t="s">
        <v>20</v>
      </c>
      <c r="D322" s="28" t="s">
        <v>1305</v>
      </c>
      <c r="E322" s="28"/>
      <c r="F322" s="79" t="s">
        <v>8183</v>
      </c>
      <c r="G322" s="208" t="s">
        <v>8184</v>
      </c>
      <c r="H322" s="235" t="s">
        <v>8185</v>
      </c>
      <c r="I322" s="28" t="s">
        <v>7729</v>
      </c>
      <c r="J322" s="28" t="s">
        <v>8186</v>
      </c>
      <c r="K322" s="28"/>
      <c r="L322" s="28"/>
      <c r="M322" s="60" t="s">
        <v>41</v>
      </c>
      <c r="N322" s="28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 spans="1:31" ht="28.8">
      <c r="A323" s="140" t="s">
        <v>5700</v>
      </c>
      <c r="B323" s="125" t="s">
        <v>5806</v>
      </c>
      <c r="C323" s="127" t="s">
        <v>1588</v>
      </c>
      <c r="D323" s="237">
        <v>1498000</v>
      </c>
      <c r="E323" s="248"/>
      <c r="F323" s="127" t="s">
        <v>8187</v>
      </c>
      <c r="G323" s="119" t="s">
        <v>8188</v>
      </c>
      <c r="H323" s="158" t="s">
        <v>8189</v>
      </c>
      <c r="I323" s="158" t="s">
        <v>2400</v>
      </c>
      <c r="J323" s="158"/>
      <c r="K323" s="158"/>
      <c r="L323" s="158"/>
      <c r="M323" s="158"/>
      <c r="N323" s="158"/>
      <c r="O323" s="248"/>
      <c r="P323" s="248"/>
      <c r="Q323" s="248"/>
      <c r="R323" s="248"/>
      <c r="S323" s="248"/>
      <c r="T323" s="248"/>
      <c r="U323" s="248"/>
      <c r="V323" s="248"/>
      <c r="W323" s="248"/>
      <c r="X323" s="248"/>
      <c r="Y323" s="248"/>
      <c r="Z323" s="248"/>
      <c r="AA323" s="248"/>
      <c r="AB323" s="248"/>
      <c r="AC323" s="248"/>
      <c r="AD323" s="248"/>
      <c r="AE323" s="248"/>
    </row>
    <row r="324" spans="1:31" ht="28.8">
      <c r="A324" s="110" t="s">
        <v>5700</v>
      </c>
      <c r="B324" s="125" t="s">
        <v>5806</v>
      </c>
      <c r="C324" s="127" t="s">
        <v>1588</v>
      </c>
      <c r="D324" s="237">
        <v>1498000</v>
      </c>
      <c r="E324" s="248"/>
      <c r="F324" s="127" t="s">
        <v>8190</v>
      </c>
      <c r="G324" s="119" t="s">
        <v>8191</v>
      </c>
      <c r="H324" s="158" t="s">
        <v>8189</v>
      </c>
      <c r="I324" s="158" t="s">
        <v>2400</v>
      </c>
      <c r="J324" s="158"/>
      <c r="K324" s="158"/>
      <c r="L324" s="158"/>
      <c r="M324" s="158"/>
      <c r="N324" s="158"/>
      <c r="O324" s="248"/>
      <c r="P324" s="248"/>
      <c r="Q324" s="248"/>
      <c r="R324" s="248"/>
      <c r="S324" s="248"/>
      <c r="T324" s="248"/>
      <c r="U324" s="248"/>
      <c r="V324" s="248"/>
      <c r="W324" s="248"/>
      <c r="X324" s="248"/>
      <c r="Y324" s="248"/>
      <c r="Z324" s="248"/>
      <c r="AA324" s="248"/>
      <c r="AB324" s="248"/>
      <c r="AC324" s="248"/>
      <c r="AD324" s="248"/>
      <c r="AE324" s="248"/>
    </row>
    <row r="325" spans="1:31" ht="28.8">
      <c r="A325" s="140" t="s">
        <v>5700</v>
      </c>
      <c r="B325" s="126"/>
      <c r="C325" s="127" t="s">
        <v>1588</v>
      </c>
      <c r="D325" s="237">
        <v>1498000</v>
      </c>
      <c r="E325" s="248"/>
      <c r="F325" s="127" t="s">
        <v>8192</v>
      </c>
      <c r="G325" s="119" t="s">
        <v>8193</v>
      </c>
      <c r="H325" s="183" t="s">
        <v>8194</v>
      </c>
      <c r="I325" s="158"/>
      <c r="J325" s="158"/>
      <c r="K325" s="158"/>
      <c r="L325" s="158"/>
      <c r="M325" s="158"/>
      <c r="N325" s="158"/>
      <c r="O325" s="248"/>
      <c r="P325" s="248"/>
      <c r="Q325" s="248"/>
      <c r="R325" s="248"/>
      <c r="S325" s="248"/>
      <c r="T325" s="248"/>
      <c r="U325" s="248"/>
      <c r="V325" s="248"/>
      <c r="W325" s="248"/>
      <c r="X325" s="248"/>
      <c r="Y325" s="248"/>
      <c r="Z325" s="248"/>
      <c r="AA325" s="248"/>
      <c r="AB325" s="248"/>
      <c r="AC325" s="248"/>
      <c r="AD325" s="248"/>
      <c r="AE325" s="248"/>
    </row>
    <row r="326" spans="1:31" ht="28.8">
      <c r="A326" s="140" t="s">
        <v>5700</v>
      </c>
      <c r="B326" s="126"/>
      <c r="C326" s="127" t="s">
        <v>1588</v>
      </c>
      <c r="D326" s="237">
        <v>1498000</v>
      </c>
      <c r="E326" s="248"/>
      <c r="F326" s="127" t="s">
        <v>8195</v>
      </c>
      <c r="G326" s="119" t="s">
        <v>8196</v>
      </c>
      <c r="H326" s="183" t="s">
        <v>8194</v>
      </c>
      <c r="I326" s="158"/>
      <c r="J326" s="158"/>
      <c r="K326" s="158"/>
      <c r="L326" s="158"/>
      <c r="M326" s="158"/>
      <c r="N326" s="158"/>
      <c r="O326" s="248"/>
      <c r="P326" s="248"/>
      <c r="Q326" s="248"/>
      <c r="R326" s="248"/>
      <c r="S326" s="248"/>
      <c r="T326" s="248"/>
      <c r="U326" s="248"/>
      <c r="V326" s="248"/>
      <c r="W326" s="248"/>
      <c r="X326" s="248"/>
      <c r="Y326" s="248"/>
      <c r="Z326" s="248"/>
      <c r="AA326" s="248"/>
      <c r="AB326" s="248"/>
      <c r="AC326" s="248"/>
      <c r="AD326" s="248"/>
      <c r="AE326" s="248"/>
    </row>
    <row r="327" spans="1:31" ht="28.8">
      <c r="A327" s="110" t="s">
        <v>5700</v>
      </c>
      <c r="B327" s="125" t="s">
        <v>8197</v>
      </c>
      <c r="C327" s="127" t="s">
        <v>1588</v>
      </c>
      <c r="D327" s="237">
        <v>1498000</v>
      </c>
      <c r="E327" s="248"/>
      <c r="F327" s="127" t="s">
        <v>8198</v>
      </c>
      <c r="G327" s="119" t="s">
        <v>8199</v>
      </c>
      <c r="H327" s="158" t="s">
        <v>8200</v>
      </c>
      <c r="I327" s="158"/>
      <c r="J327" s="158"/>
      <c r="K327" s="158"/>
      <c r="L327" s="158"/>
      <c r="M327" s="158"/>
      <c r="N327" s="158"/>
      <c r="O327" s="248"/>
      <c r="P327" s="248"/>
      <c r="Q327" s="248"/>
      <c r="R327" s="248"/>
      <c r="S327" s="248"/>
      <c r="T327" s="248"/>
      <c r="U327" s="248"/>
      <c r="V327" s="248"/>
      <c r="W327" s="248"/>
      <c r="X327" s="248"/>
      <c r="Y327" s="248"/>
      <c r="Z327" s="248"/>
      <c r="AA327" s="248"/>
      <c r="AB327" s="248"/>
      <c r="AC327" s="248"/>
      <c r="AD327" s="248"/>
      <c r="AE327" s="248"/>
    </row>
    <row r="328" spans="1:31" ht="28.8">
      <c r="A328" s="140" t="s">
        <v>5700</v>
      </c>
      <c r="B328" s="125" t="s">
        <v>8197</v>
      </c>
      <c r="C328" s="127" t="s">
        <v>1588</v>
      </c>
      <c r="D328" s="237">
        <v>1498000</v>
      </c>
      <c r="E328" s="248"/>
      <c r="F328" s="127" t="s">
        <v>8201</v>
      </c>
      <c r="G328" s="119" t="s">
        <v>8202</v>
      </c>
      <c r="H328" s="158"/>
      <c r="I328" s="158"/>
      <c r="J328" s="158"/>
      <c r="K328" s="158"/>
      <c r="L328" s="158"/>
      <c r="M328" s="158"/>
      <c r="N328" s="158"/>
      <c r="O328" s="248"/>
      <c r="P328" s="248"/>
      <c r="Q328" s="248"/>
      <c r="R328" s="248"/>
      <c r="S328" s="248"/>
      <c r="T328" s="248"/>
      <c r="U328" s="248"/>
      <c r="V328" s="248"/>
      <c r="W328" s="248"/>
      <c r="X328" s="248"/>
      <c r="Y328" s="248"/>
      <c r="Z328" s="248"/>
      <c r="AA328" s="248"/>
      <c r="AB328" s="248"/>
      <c r="AC328" s="248"/>
      <c r="AD328" s="248"/>
      <c r="AE328" s="248"/>
    </row>
    <row r="329" spans="1:31" ht="28.8">
      <c r="A329" s="140" t="s">
        <v>5700</v>
      </c>
      <c r="B329" s="125" t="s">
        <v>8203</v>
      </c>
      <c r="C329" s="127" t="s">
        <v>1588</v>
      </c>
      <c r="D329" s="237">
        <v>1498000</v>
      </c>
      <c r="E329" s="248"/>
      <c r="F329" s="127" t="s">
        <v>8204</v>
      </c>
      <c r="G329" s="119" t="s">
        <v>8205</v>
      </c>
      <c r="H329" s="158"/>
      <c r="I329" s="158"/>
      <c r="J329" s="158"/>
      <c r="K329" s="158"/>
      <c r="L329" s="158"/>
      <c r="M329" s="158"/>
      <c r="N329" s="158"/>
      <c r="O329" s="248"/>
      <c r="P329" s="248"/>
      <c r="Q329" s="248"/>
      <c r="R329" s="248"/>
      <c r="S329" s="248"/>
      <c r="T329" s="248"/>
      <c r="U329" s="248"/>
      <c r="V329" s="248"/>
      <c r="W329" s="248"/>
      <c r="X329" s="248"/>
      <c r="Y329" s="248"/>
      <c r="Z329" s="248"/>
      <c r="AA329" s="248"/>
      <c r="AB329" s="248"/>
      <c r="AC329" s="248"/>
      <c r="AD329" s="248"/>
      <c r="AE329" s="248"/>
    </row>
    <row r="330" spans="1:31" ht="28.8">
      <c r="A330" s="110" t="s">
        <v>5700</v>
      </c>
      <c r="B330" s="125" t="s">
        <v>8203</v>
      </c>
      <c r="C330" s="127" t="s">
        <v>8206</v>
      </c>
      <c r="D330" s="237">
        <v>1498000</v>
      </c>
      <c r="E330" s="248"/>
      <c r="F330" s="127" t="s">
        <v>8207</v>
      </c>
      <c r="G330" s="119" t="s">
        <v>8208</v>
      </c>
      <c r="H330" s="158"/>
      <c r="I330" s="158"/>
      <c r="J330" s="158"/>
      <c r="K330" s="158"/>
      <c r="L330" s="158"/>
      <c r="M330" s="158"/>
      <c r="N330" s="158"/>
      <c r="O330" s="248"/>
      <c r="P330" s="248"/>
      <c r="Q330" s="248"/>
      <c r="R330" s="248"/>
      <c r="S330" s="248"/>
      <c r="T330" s="248"/>
      <c r="U330" s="248"/>
      <c r="V330" s="248"/>
      <c r="W330" s="248"/>
      <c r="X330" s="248"/>
      <c r="Y330" s="248"/>
      <c r="Z330" s="248"/>
      <c r="AA330" s="248"/>
      <c r="AB330" s="248"/>
      <c r="AC330" s="248"/>
      <c r="AD330" s="248"/>
      <c r="AE330" s="248"/>
    </row>
    <row r="331" spans="1:31" ht="28.8">
      <c r="A331" s="140" t="s">
        <v>5700</v>
      </c>
      <c r="B331" s="125" t="s">
        <v>6531</v>
      </c>
      <c r="C331" s="127" t="s">
        <v>1588</v>
      </c>
      <c r="D331" s="237">
        <v>1498000</v>
      </c>
      <c r="E331" s="248"/>
      <c r="F331" s="127" t="s">
        <v>8209</v>
      </c>
      <c r="G331" s="119" t="s">
        <v>8210</v>
      </c>
      <c r="H331" s="158"/>
      <c r="I331" s="158"/>
      <c r="J331" s="158"/>
      <c r="K331" s="158"/>
      <c r="L331" s="158"/>
      <c r="M331" s="158"/>
      <c r="N331" s="158"/>
      <c r="O331" s="248"/>
      <c r="P331" s="248"/>
      <c r="Q331" s="248"/>
      <c r="R331" s="248"/>
      <c r="S331" s="248"/>
      <c r="T331" s="248"/>
      <c r="U331" s="248"/>
      <c r="V331" s="248"/>
      <c r="W331" s="248"/>
      <c r="X331" s="248"/>
      <c r="Y331" s="248"/>
      <c r="Z331" s="248"/>
      <c r="AA331" s="248"/>
      <c r="AB331" s="248"/>
      <c r="AC331" s="248"/>
      <c r="AD331" s="248"/>
      <c r="AE331" s="248"/>
    </row>
    <row r="332" spans="1:31" ht="28.8">
      <c r="A332" s="140" t="s">
        <v>5700</v>
      </c>
      <c r="B332" s="126"/>
      <c r="C332" s="127" t="s">
        <v>1588</v>
      </c>
      <c r="D332" s="237">
        <v>1498000</v>
      </c>
      <c r="E332" s="248"/>
      <c r="F332" s="127" t="s">
        <v>8211</v>
      </c>
      <c r="G332" s="119" t="s">
        <v>8212</v>
      </c>
      <c r="H332" s="183" t="s">
        <v>8194</v>
      </c>
      <c r="I332" s="158"/>
      <c r="J332" s="158"/>
      <c r="K332" s="158"/>
      <c r="L332" s="158"/>
      <c r="M332" s="158"/>
      <c r="N332" s="158"/>
      <c r="O332" s="248"/>
      <c r="P332" s="248"/>
      <c r="Q332" s="248"/>
      <c r="R332" s="248"/>
      <c r="S332" s="248"/>
      <c r="T332" s="248"/>
      <c r="U332" s="248"/>
      <c r="V332" s="248"/>
      <c r="W332" s="248"/>
      <c r="X332" s="248"/>
      <c r="Y332" s="248"/>
      <c r="Z332" s="248"/>
      <c r="AA332" s="248"/>
      <c r="AB332" s="248"/>
      <c r="AC332" s="248"/>
      <c r="AD332" s="248"/>
      <c r="AE332" s="248"/>
    </row>
    <row r="333" spans="1:31" ht="28.8">
      <c r="A333" s="110" t="s">
        <v>5700</v>
      </c>
      <c r="B333" s="126"/>
      <c r="C333" s="127" t="s">
        <v>1588</v>
      </c>
      <c r="D333" s="237">
        <v>1498000</v>
      </c>
      <c r="E333" s="248"/>
      <c r="F333" s="127" t="s">
        <v>8213</v>
      </c>
      <c r="G333" s="119" t="s">
        <v>8214</v>
      </c>
      <c r="H333" s="183" t="s">
        <v>8194</v>
      </c>
      <c r="I333" s="158"/>
      <c r="J333" s="158"/>
      <c r="K333" s="158"/>
      <c r="L333" s="158"/>
      <c r="M333" s="158"/>
      <c r="N333" s="158"/>
      <c r="O333" s="248"/>
      <c r="P333" s="248"/>
      <c r="Q333" s="248"/>
      <c r="R333" s="248"/>
      <c r="S333" s="248"/>
      <c r="T333" s="248"/>
      <c r="U333" s="248"/>
      <c r="V333" s="248"/>
      <c r="W333" s="248"/>
      <c r="X333" s="248"/>
      <c r="Y333" s="248"/>
      <c r="Z333" s="248"/>
      <c r="AA333" s="248"/>
      <c r="AB333" s="248"/>
      <c r="AC333" s="248"/>
      <c r="AD333" s="248"/>
      <c r="AE333" s="248"/>
    </row>
    <row r="334" spans="1:31" ht="28.8">
      <c r="A334" s="140" t="s">
        <v>5700</v>
      </c>
      <c r="B334" s="126"/>
      <c r="C334" s="127" t="s">
        <v>1588</v>
      </c>
      <c r="D334" s="237">
        <v>1498000</v>
      </c>
      <c r="E334" s="248"/>
      <c r="F334" s="127" t="s">
        <v>8215</v>
      </c>
      <c r="G334" s="119" t="s">
        <v>8216</v>
      </c>
      <c r="H334" s="183" t="s">
        <v>8194</v>
      </c>
      <c r="I334" s="158"/>
      <c r="J334" s="158"/>
      <c r="K334" s="158"/>
      <c r="L334" s="158"/>
      <c r="M334" s="158"/>
      <c r="N334" s="158"/>
      <c r="O334" s="248"/>
      <c r="P334" s="248"/>
      <c r="Q334" s="248"/>
      <c r="R334" s="248"/>
      <c r="S334" s="248"/>
      <c r="T334" s="248"/>
      <c r="U334" s="248"/>
      <c r="V334" s="248"/>
      <c r="W334" s="248"/>
      <c r="X334" s="248"/>
      <c r="Y334" s="248"/>
      <c r="Z334" s="248"/>
      <c r="AA334" s="248"/>
      <c r="AB334" s="248"/>
      <c r="AC334" s="248"/>
      <c r="AD334" s="248"/>
      <c r="AE334" s="248"/>
    </row>
    <row r="335" spans="1:31" ht="14.4">
      <c r="A335" s="140" t="s">
        <v>5700</v>
      </c>
      <c r="B335" s="158"/>
      <c r="C335" s="249"/>
      <c r="D335" s="249"/>
      <c r="E335" s="249"/>
      <c r="F335" s="46"/>
      <c r="G335" s="158"/>
      <c r="H335" s="158"/>
      <c r="I335" s="158"/>
      <c r="J335" s="158"/>
      <c r="K335" s="158"/>
      <c r="L335" s="158"/>
      <c r="M335" s="158"/>
      <c r="N335" s="158"/>
    </row>
    <row r="336" spans="1:31" ht="13.8">
      <c r="A336" s="158"/>
      <c r="B336" s="158"/>
      <c r="C336" s="249"/>
      <c r="D336" s="249"/>
      <c r="E336" s="249"/>
      <c r="F336" s="46"/>
      <c r="G336" s="158"/>
      <c r="H336" s="158"/>
      <c r="I336" s="158"/>
      <c r="J336" s="158"/>
      <c r="K336" s="158"/>
      <c r="L336" s="158"/>
      <c r="M336" s="158"/>
      <c r="N336" s="158"/>
    </row>
    <row r="337" spans="1:14" ht="13.8">
      <c r="A337" s="158"/>
      <c r="B337" s="158"/>
      <c r="C337" s="249"/>
      <c r="D337" s="249"/>
      <c r="E337" s="249"/>
      <c r="F337" s="46"/>
      <c r="G337" s="158"/>
      <c r="H337" s="158"/>
      <c r="I337" s="158"/>
      <c r="J337" s="158"/>
      <c r="K337" s="158"/>
      <c r="L337" s="158"/>
      <c r="M337" s="158"/>
      <c r="N337" s="158"/>
    </row>
    <row r="338" spans="1:14" ht="13.8">
      <c r="A338" s="158"/>
      <c r="B338" s="158"/>
      <c r="C338" s="249"/>
      <c r="D338" s="249"/>
      <c r="E338" s="249"/>
      <c r="F338" s="46"/>
      <c r="G338" s="158"/>
      <c r="H338" s="158"/>
      <c r="I338" s="158"/>
      <c r="J338" s="158"/>
      <c r="K338" s="158"/>
      <c r="L338" s="158"/>
      <c r="M338" s="158"/>
      <c r="N338" s="158"/>
    </row>
    <row r="339" spans="1:14" ht="13.8">
      <c r="A339" s="158"/>
      <c r="B339" s="158"/>
      <c r="C339" s="249"/>
      <c r="D339" s="249"/>
      <c r="E339" s="249"/>
      <c r="F339" s="46"/>
      <c r="G339" s="158"/>
      <c r="H339" s="158"/>
      <c r="I339" s="158"/>
      <c r="J339" s="158"/>
      <c r="K339" s="158"/>
      <c r="L339" s="158"/>
      <c r="M339" s="158"/>
      <c r="N339" s="158"/>
    </row>
    <row r="340" spans="1:14" ht="13.8">
      <c r="A340" s="158"/>
      <c r="B340" s="158"/>
      <c r="C340" s="249"/>
      <c r="D340" s="249"/>
      <c r="E340" s="249"/>
      <c r="F340" s="46"/>
      <c r="G340" s="158"/>
      <c r="H340" s="158"/>
      <c r="I340" s="158"/>
      <c r="J340" s="158"/>
      <c r="K340" s="158"/>
      <c r="L340" s="158"/>
      <c r="M340" s="158"/>
      <c r="N340" s="158"/>
    </row>
    <row r="341" spans="1:14" ht="13.8">
      <c r="A341" s="158"/>
      <c r="B341" s="158"/>
      <c r="C341" s="249"/>
      <c r="D341" s="249"/>
      <c r="E341" s="249"/>
      <c r="F341" s="46"/>
      <c r="G341" s="158"/>
      <c r="H341" s="158"/>
      <c r="I341" s="158"/>
      <c r="J341" s="158"/>
      <c r="K341" s="158"/>
      <c r="L341" s="158"/>
      <c r="M341" s="158"/>
      <c r="N341" s="158"/>
    </row>
    <row r="342" spans="1:14" ht="13.8">
      <c r="A342" s="158"/>
      <c r="B342" s="158"/>
      <c r="C342" s="249"/>
      <c r="D342" s="249"/>
      <c r="E342" s="249"/>
      <c r="F342" s="46"/>
      <c r="G342" s="158"/>
      <c r="H342" s="158"/>
      <c r="I342" s="158"/>
      <c r="J342" s="158"/>
      <c r="K342" s="158"/>
      <c r="L342" s="158"/>
      <c r="M342" s="158"/>
      <c r="N342" s="158"/>
    </row>
    <row r="343" spans="1:14" ht="13.8">
      <c r="A343" s="158"/>
      <c r="B343" s="158"/>
      <c r="C343" s="249"/>
      <c r="D343" s="249"/>
      <c r="E343" s="249"/>
      <c r="F343" s="46"/>
      <c r="G343" s="158"/>
      <c r="H343" s="158"/>
      <c r="I343" s="158"/>
      <c r="J343" s="158"/>
      <c r="K343" s="158"/>
      <c r="L343" s="158"/>
      <c r="M343" s="158"/>
      <c r="N343" s="158"/>
    </row>
    <row r="344" spans="1:14" ht="13.8">
      <c r="A344" s="158"/>
      <c r="B344" s="158"/>
      <c r="C344" s="249"/>
      <c r="D344" s="249"/>
      <c r="E344" s="249"/>
      <c r="F344" s="46"/>
      <c r="G344" s="158"/>
      <c r="H344" s="158"/>
      <c r="I344" s="158"/>
      <c r="J344" s="158"/>
      <c r="K344" s="158"/>
      <c r="L344" s="158"/>
      <c r="M344" s="158"/>
      <c r="N344" s="158"/>
    </row>
    <row r="345" spans="1:14" ht="13.8">
      <c r="A345" s="158"/>
      <c r="B345" s="158"/>
      <c r="C345" s="249"/>
      <c r="D345" s="249"/>
      <c r="E345" s="249"/>
      <c r="F345" s="46"/>
      <c r="G345" s="158"/>
      <c r="H345" s="158"/>
      <c r="I345" s="158"/>
      <c r="J345" s="158"/>
      <c r="K345" s="158"/>
      <c r="L345" s="158"/>
      <c r="M345" s="158"/>
      <c r="N345" s="158"/>
    </row>
    <row r="346" spans="1:14" ht="13.8">
      <c r="A346" s="158"/>
      <c r="B346" s="158"/>
      <c r="C346" s="249"/>
      <c r="D346" s="249"/>
      <c r="E346" s="249"/>
      <c r="F346" s="46"/>
      <c r="G346" s="158"/>
      <c r="H346" s="158"/>
      <c r="I346" s="158"/>
      <c r="J346" s="158"/>
      <c r="K346" s="158"/>
      <c r="L346" s="158"/>
      <c r="M346" s="158"/>
      <c r="N346" s="158"/>
    </row>
    <row r="347" spans="1:14" ht="13.8">
      <c r="A347" s="158"/>
      <c r="B347" s="158"/>
      <c r="C347" s="249"/>
      <c r="D347" s="249"/>
      <c r="E347" s="249"/>
      <c r="F347" s="46"/>
      <c r="G347" s="158"/>
      <c r="H347" s="158"/>
      <c r="I347" s="158"/>
      <c r="J347" s="158"/>
      <c r="K347" s="158"/>
      <c r="L347" s="158"/>
      <c r="M347" s="158"/>
      <c r="N347" s="158"/>
    </row>
    <row r="348" spans="1:14" ht="13.8">
      <c r="A348" s="158"/>
      <c r="B348" s="158"/>
      <c r="C348" s="249"/>
      <c r="D348" s="249"/>
      <c r="E348" s="249"/>
      <c r="F348" s="46"/>
      <c r="G348" s="158"/>
      <c r="H348" s="158"/>
      <c r="I348" s="158"/>
      <c r="J348" s="158"/>
      <c r="K348" s="158"/>
      <c r="L348" s="158"/>
      <c r="M348" s="158"/>
      <c r="N348" s="158"/>
    </row>
    <row r="349" spans="1:14" ht="13.8">
      <c r="A349" s="158"/>
      <c r="B349" s="158"/>
      <c r="C349" s="249"/>
      <c r="D349" s="249"/>
      <c r="E349" s="249"/>
      <c r="F349" s="46"/>
      <c r="G349" s="158"/>
      <c r="H349" s="158"/>
      <c r="I349" s="158"/>
      <c r="J349" s="158"/>
      <c r="K349" s="158"/>
      <c r="L349" s="158"/>
      <c r="M349" s="158"/>
      <c r="N349" s="158"/>
    </row>
    <row r="350" spans="1:14" ht="13.8">
      <c r="A350" s="158"/>
      <c r="B350" s="158"/>
      <c r="C350" s="249"/>
      <c r="D350" s="249"/>
      <c r="E350" s="249"/>
      <c r="F350" s="46"/>
      <c r="G350" s="158"/>
      <c r="H350" s="158"/>
      <c r="I350" s="158"/>
      <c r="J350" s="158"/>
      <c r="K350" s="158"/>
      <c r="L350" s="158"/>
      <c r="M350" s="158"/>
      <c r="N350" s="158"/>
    </row>
    <row r="351" spans="1:14" ht="13.8">
      <c r="A351" s="158"/>
      <c r="B351" s="158"/>
      <c r="C351" s="249"/>
      <c r="D351" s="249"/>
      <c r="E351" s="249"/>
      <c r="F351" s="46"/>
      <c r="G351" s="158"/>
      <c r="H351" s="158"/>
      <c r="I351" s="158"/>
      <c r="J351" s="158"/>
      <c r="K351" s="158"/>
      <c r="L351" s="158"/>
      <c r="M351" s="158"/>
      <c r="N351" s="158"/>
    </row>
    <row r="352" spans="1:14" ht="13.8">
      <c r="A352" s="158"/>
      <c r="B352" s="158"/>
      <c r="C352" s="249"/>
      <c r="D352" s="249"/>
      <c r="E352" s="249"/>
      <c r="F352" s="46"/>
      <c r="G352" s="158"/>
      <c r="H352" s="158"/>
      <c r="I352" s="158"/>
      <c r="J352" s="158"/>
      <c r="K352" s="158"/>
      <c r="L352" s="158"/>
      <c r="M352" s="158"/>
      <c r="N352" s="158"/>
    </row>
    <row r="353" spans="1:14" ht="13.8">
      <c r="A353" s="158"/>
      <c r="B353" s="158"/>
      <c r="C353" s="249"/>
      <c r="D353" s="249"/>
      <c r="E353" s="249"/>
      <c r="F353" s="46"/>
      <c r="G353" s="158"/>
      <c r="H353" s="158"/>
      <c r="I353" s="158"/>
      <c r="J353" s="158"/>
      <c r="K353" s="158"/>
      <c r="L353" s="158"/>
      <c r="M353" s="158"/>
      <c r="N353" s="158"/>
    </row>
    <row r="354" spans="1:14" ht="13.8">
      <c r="A354" s="158"/>
      <c r="B354" s="158"/>
      <c r="C354" s="249"/>
      <c r="D354" s="249"/>
      <c r="E354" s="249"/>
      <c r="F354" s="46"/>
      <c r="G354" s="158"/>
      <c r="H354" s="158"/>
      <c r="I354" s="158"/>
      <c r="J354" s="158"/>
      <c r="K354" s="158"/>
      <c r="L354" s="158"/>
      <c r="M354" s="158"/>
      <c r="N354" s="158"/>
    </row>
    <row r="355" spans="1:14" ht="13.8">
      <c r="A355" s="158"/>
      <c r="B355" s="158"/>
      <c r="C355" s="249"/>
      <c r="D355" s="249"/>
      <c r="E355" s="249"/>
      <c r="F355" s="46"/>
      <c r="G355" s="158"/>
      <c r="H355" s="158"/>
      <c r="I355" s="158"/>
      <c r="J355" s="158"/>
      <c r="K355" s="158"/>
      <c r="L355" s="158"/>
      <c r="M355" s="158"/>
      <c r="N355" s="158"/>
    </row>
    <row r="356" spans="1:14" ht="13.8">
      <c r="A356" s="158"/>
      <c r="B356" s="158"/>
      <c r="C356" s="249"/>
      <c r="D356" s="249"/>
      <c r="E356" s="249"/>
      <c r="F356" s="46"/>
      <c r="G356" s="158"/>
      <c r="H356" s="158"/>
      <c r="I356" s="158"/>
      <c r="J356" s="158"/>
      <c r="K356" s="158"/>
      <c r="L356" s="158"/>
      <c r="M356" s="158"/>
      <c r="N356" s="158"/>
    </row>
    <row r="357" spans="1:14" ht="13.8">
      <c r="A357" s="158"/>
      <c r="B357" s="158"/>
      <c r="C357" s="249"/>
      <c r="D357" s="249"/>
      <c r="E357" s="249"/>
      <c r="F357" s="46"/>
      <c r="G357" s="158"/>
      <c r="H357" s="158"/>
      <c r="I357" s="158"/>
      <c r="J357" s="158"/>
      <c r="K357" s="158"/>
      <c r="L357" s="158"/>
      <c r="M357" s="158"/>
      <c r="N357" s="158"/>
    </row>
    <row r="358" spans="1:14" ht="13.8">
      <c r="A358" s="158"/>
      <c r="B358" s="158"/>
      <c r="C358" s="249"/>
      <c r="D358" s="249"/>
      <c r="E358" s="249"/>
      <c r="F358" s="46"/>
      <c r="G358" s="158"/>
      <c r="H358" s="158"/>
      <c r="I358" s="158"/>
      <c r="J358" s="158"/>
      <c r="K358" s="158"/>
      <c r="L358" s="158"/>
      <c r="M358" s="158"/>
      <c r="N358" s="158"/>
    </row>
    <row r="359" spans="1:14" ht="13.8">
      <c r="A359" s="158"/>
      <c r="B359" s="158"/>
      <c r="C359" s="249"/>
      <c r="D359" s="249"/>
      <c r="E359" s="249"/>
      <c r="F359" s="46"/>
      <c r="G359" s="158"/>
      <c r="H359" s="158"/>
      <c r="I359" s="158"/>
      <c r="J359" s="158"/>
      <c r="K359" s="158"/>
      <c r="L359" s="158"/>
      <c r="M359" s="158"/>
      <c r="N359" s="158"/>
    </row>
    <row r="360" spans="1:14" ht="13.8">
      <c r="A360" s="158"/>
      <c r="B360" s="158"/>
      <c r="C360" s="249"/>
      <c r="D360" s="249"/>
      <c r="E360" s="249"/>
      <c r="F360" s="46"/>
      <c r="G360" s="158"/>
      <c r="H360" s="158"/>
      <c r="I360" s="158"/>
      <c r="J360" s="158"/>
      <c r="K360" s="158"/>
      <c r="L360" s="158"/>
      <c r="M360" s="158"/>
      <c r="N360" s="158"/>
    </row>
    <row r="361" spans="1:14" ht="13.8">
      <c r="A361" s="158"/>
      <c r="B361" s="158"/>
      <c r="C361" s="249"/>
      <c r="D361" s="249"/>
      <c r="E361" s="249"/>
      <c r="F361" s="46"/>
      <c r="G361" s="158"/>
      <c r="H361" s="158"/>
      <c r="I361" s="158"/>
      <c r="J361" s="158"/>
      <c r="K361" s="158"/>
      <c r="L361" s="158"/>
      <c r="M361" s="158"/>
      <c r="N361" s="158"/>
    </row>
    <row r="362" spans="1:14" ht="13.8">
      <c r="A362" s="158"/>
      <c r="B362" s="158"/>
      <c r="C362" s="249"/>
      <c r="D362" s="249"/>
      <c r="E362" s="249"/>
      <c r="F362" s="46"/>
      <c r="G362" s="158"/>
      <c r="H362" s="158"/>
      <c r="I362" s="158"/>
      <c r="J362" s="158"/>
      <c r="K362" s="158"/>
      <c r="L362" s="158"/>
      <c r="M362" s="158"/>
      <c r="N362" s="158"/>
    </row>
    <row r="363" spans="1:14" ht="13.8">
      <c r="A363" s="158"/>
      <c r="B363" s="158"/>
      <c r="C363" s="249"/>
      <c r="D363" s="249"/>
      <c r="E363" s="249"/>
      <c r="F363" s="46"/>
      <c r="G363" s="158"/>
      <c r="H363" s="158"/>
      <c r="I363" s="158"/>
      <c r="J363" s="158"/>
      <c r="K363" s="158"/>
      <c r="L363" s="158"/>
      <c r="M363" s="158"/>
      <c r="N363" s="158"/>
    </row>
    <row r="364" spans="1:14" ht="13.8">
      <c r="A364" s="158"/>
      <c r="B364" s="158"/>
      <c r="C364" s="249"/>
      <c r="D364" s="249"/>
      <c r="E364" s="249"/>
      <c r="F364" s="46"/>
      <c r="G364" s="158"/>
      <c r="H364" s="158"/>
      <c r="I364" s="158"/>
      <c r="J364" s="158"/>
      <c r="K364" s="158"/>
      <c r="L364" s="158"/>
      <c r="M364" s="158"/>
      <c r="N364" s="158"/>
    </row>
    <row r="365" spans="1:14" ht="13.8">
      <c r="A365" s="158"/>
      <c r="B365" s="158"/>
      <c r="C365" s="249"/>
      <c r="D365" s="249"/>
      <c r="E365" s="249"/>
      <c r="F365" s="46"/>
      <c r="G365" s="158"/>
      <c r="H365" s="158"/>
      <c r="I365" s="158"/>
      <c r="J365" s="158"/>
      <c r="K365" s="158"/>
      <c r="L365" s="158"/>
      <c r="M365" s="158"/>
      <c r="N365" s="158"/>
    </row>
    <row r="366" spans="1:14" ht="13.8">
      <c r="A366" s="158"/>
      <c r="B366" s="158"/>
      <c r="C366" s="249"/>
      <c r="D366" s="249"/>
      <c r="E366" s="249"/>
      <c r="F366" s="46"/>
      <c r="G366" s="158"/>
      <c r="H366" s="158"/>
      <c r="I366" s="158"/>
      <c r="J366" s="158"/>
      <c r="K366" s="158"/>
      <c r="L366" s="158"/>
      <c r="M366" s="158"/>
      <c r="N366" s="158"/>
    </row>
    <row r="367" spans="1:14" ht="13.8">
      <c r="A367" s="158"/>
      <c r="B367" s="158"/>
      <c r="C367" s="249"/>
      <c r="D367" s="249"/>
      <c r="E367" s="249"/>
      <c r="F367" s="46"/>
      <c r="G367" s="158"/>
      <c r="H367" s="158"/>
      <c r="I367" s="158"/>
      <c r="J367" s="158"/>
      <c r="K367" s="158"/>
      <c r="L367" s="158"/>
      <c r="M367" s="158"/>
      <c r="N367" s="158"/>
    </row>
    <row r="368" spans="1:14" ht="13.8">
      <c r="A368" s="158"/>
      <c r="B368" s="158"/>
      <c r="C368" s="249"/>
      <c r="D368" s="249"/>
      <c r="E368" s="249"/>
      <c r="F368" s="46"/>
      <c r="G368" s="158"/>
      <c r="H368" s="158"/>
      <c r="I368" s="158"/>
      <c r="J368" s="158"/>
      <c r="K368" s="158"/>
      <c r="L368" s="158"/>
      <c r="M368" s="158"/>
      <c r="N368" s="158"/>
    </row>
    <row r="369" spans="1:14" ht="13.8">
      <c r="A369" s="158"/>
      <c r="B369" s="158"/>
      <c r="C369" s="249"/>
      <c r="D369" s="249"/>
      <c r="E369" s="249"/>
      <c r="F369" s="46"/>
      <c r="G369" s="158"/>
      <c r="H369" s="158"/>
      <c r="I369" s="158"/>
      <c r="J369" s="158"/>
      <c r="K369" s="158"/>
      <c r="L369" s="158"/>
      <c r="M369" s="158"/>
      <c r="N369" s="158"/>
    </row>
    <row r="370" spans="1:14" ht="13.8">
      <c r="A370" s="158"/>
      <c r="B370" s="158"/>
      <c r="C370" s="249"/>
      <c r="D370" s="249"/>
      <c r="E370" s="249"/>
      <c r="F370" s="46"/>
      <c r="G370" s="158"/>
      <c r="H370" s="158"/>
      <c r="I370" s="158"/>
      <c r="J370" s="158"/>
      <c r="K370" s="158"/>
      <c r="L370" s="158"/>
      <c r="M370" s="158"/>
      <c r="N370" s="158"/>
    </row>
    <row r="371" spans="1:14" ht="13.8">
      <c r="A371" s="158"/>
      <c r="B371" s="158"/>
      <c r="C371" s="249"/>
      <c r="D371" s="249"/>
      <c r="E371" s="249"/>
      <c r="F371" s="46"/>
      <c r="G371" s="158"/>
      <c r="H371" s="158"/>
      <c r="I371" s="158"/>
      <c r="J371" s="158"/>
      <c r="K371" s="158"/>
      <c r="L371" s="158"/>
      <c r="M371" s="158"/>
      <c r="N371" s="158"/>
    </row>
    <row r="372" spans="1:14" ht="13.8">
      <c r="A372" s="158"/>
      <c r="B372" s="158"/>
      <c r="C372" s="249"/>
      <c r="D372" s="249"/>
      <c r="E372" s="249"/>
      <c r="F372" s="46"/>
      <c r="G372" s="158"/>
      <c r="H372" s="158"/>
      <c r="I372" s="158"/>
      <c r="J372" s="158"/>
      <c r="K372" s="158"/>
      <c r="L372" s="158"/>
      <c r="M372" s="158"/>
      <c r="N372" s="158"/>
    </row>
    <row r="373" spans="1:14" ht="13.8">
      <c r="A373" s="158"/>
      <c r="B373" s="158"/>
      <c r="C373" s="249"/>
      <c r="D373" s="249"/>
      <c r="E373" s="249"/>
      <c r="F373" s="46"/>
      <c r="G373" s="158"/>
      <c r="H373" s="158"/>
      <c r="I373" s="158"/>
      <c r="J373" s="158"/>
      <c r="K373" s="158"/>
      <c r="L373" s="158"/>
      <c r="M373" s="158"/>
      <c r="N373" s="158"/>
    </row>
    <row r="374" spans="1:14" ht="13.8">
      <c r="A374" s="158"/>
      <c r="B374" s="158"/>
      <c r="C374" s="249"/>
      <c r="D374" s="249"/>
      <c r="E374" s="249"/>
      <c r="F374" s="46"/>
      <c r="G374" s="158"/>
      <c r="H374" s="158"/>
      <c r="I374" s="158"/>
      <c r="J374" s="158"/>
      <c r="K374" s="158"/>
      <c r="L374" s="158"/>
      <c r="M374" s="158"/>
      <c r="N374" s="158"/>
    </row>
    <row r="375" spans="1:14" ht="13.8">
      <c r="A375" s="158"/>
      <c r="B375" s="158"/>
      <c r="C375" s="249"/>
      <c r="D375" s="249"/>
      <c r="E375" s="249"/>
      <c r="F375" s="46"/>
      <c r="G375" s="158"/>
      <c r="H375" s="158"/>
      <c r="I375" s="158"/>
      <c r="J375" s="158"/>
      <c r="K375" s="158"/>
      <c r="L375" s="158"/>
      <c r="M375" s="158"/>
      <c r="N375" s="158"/>
    </row>
    <row r="376" spans="1:14" ht="13.8">
      <c r="A376" s="158"/>
      <c r="B376" s="158"/>
      <c r="C376" s="249"/>
      <c r="D376" s="249"/>
      <c r="E376" s="249"/>
      <c r="F376" s="46"/>
      <c r="G376" s="158"/>
      <c r="H376" s="158"/>
      <c r="I376" s="158"/>
      <c r="J376" s="158"/>
      <c r="K376" s="158"/>
      <c r="L376" s="158"/>
      <c r="M376" s="158"/>
      <c r="N376" s="158"/>
    </row>
    <row r="377" spans="1:14" ht="13.8">
      <c r="A377" s="158"/>
      <c r="B377" s="158"/>
      <c r="C377" s="249"/>
      <c r="D377" s="249"/>
      <c r="E377" s="249"/>
      <c r="F377" s="46"/>
      <c r="G377" s="158"/>
      <c r="H377" s="158"/>
      <c r="I377" s="158"/>
      <c r="J377" s="158"/>
      <c r="K377" s="158"/>
      <c r="L377" s="158"/>
      <c r="M377" s="158"/>
      <c r="N377" s="158"/>
    </row>
    <row r="378" spans="1:14" ht="13.8">
      <c r="A378" s="158"/>
      <c r="B378" s="158"/>
      <c r="C378" s="249"/>
      <c r="D378" s="249"/>
      <c r="E378" s="249"/>
      <c r="F378" s="46"/>
      <c r="G378" s="158"/>
      <c r="H378" s="158"/>
      <c r="I378" s="158"/>
      <c r="J378" s="158"/>
      <c r="K378" s="158"/>
      <c r="L378" s="158"/>
      <c r="M378" s="158"/>
      <c r="N378" s="158"/>
    </row>
    <row r="379" spans="1:14" ht="13.8">
      <c r="A379" s="158"/>
      <c r="B379" s="158"/>
      <c r="C379" s="249"/>
      <c r="D379" s="249"/>
      <c r="E379" s="249"/>
      <c r="F379" s="46"/>
      <c r="G379" s="158"/>
      <c r="H379" s="158"/>
      <c r="I379" s="158"/>
      <c r="J379" s="158"/>
      <c r="K379" s="158"/>
      <c r="L379" s="158"/>
      <c r="M379" s="158"/>
      <c r="N379" s="158"/>
    </row>
    <row r="380" spans="1:14" ht="13.8">
      <c r="A380" s="158"/>
      <c r="B380" s="158"/>
      <c r="C380" s="249"/>
      <c r="D380" s="249"/>
      <c r="E380" s="249"/>
      <c r="F380" s="46"/>
      <c r="G380" s="158"/>
      <c r="H380" s="158"/>
      <c r="I380" s="158"/>
      <c r="J380" s="158"/>
      <c r="K380" s="158"/>
      <c r="L380" s="158"/>
      <c r="M380" s="158"/>
      <c r="N380" s="158"/>
    </row>
    <row r="381" spans="1:14" ht="13.8">
      <c r="A381" s="158"/>
      <c r="B381" s="158"/>
      <c r="C381" s="249"/>
      <c r="D381" s="249"/>
      <c r="E381" s="249"/>
      <c r="F381" s="46"/>
      <c r="G381" s="158"/>
      <c r="H381" s="158"/>
      <c r="I381" s="158"/>
      <c r="J381" s="158"/>
      <c r="K381" s="158"/>
      <c r="L381" s="158"/>
      <c r="M381" s="158"/>
      <c r="N381" s="158"/>
    </row>
    <row r="382" spans="1:14" ht="13.8">
      <c r="A382" s="158"/>
      <c r="B382" s="158"/>
      <c r="C382" s="249"/>
      <c r="D382" s="249"/>
      <c r="E382" s="249"/>
      <c r="F382" s="46"/>
      <c r="G382" s="158"/>
      <c r="H382" s="158"/>
      <c r="I382" s="158"/>
      <c r="J382" s="158"/>
      <c r="K382" s="158"/>
      <c r="L382" s="158"/>
      <c r="M382" s="158"/>
      <c r="N382" s="158"/>
    </row>
    <row r="383" spans="1:14" ht="13.8">
      <c r="A383" s="158"/>
      <c r="B383" s="158"/>
      <c r="C383" s="249"/>
      <c r="D383" s="249"/>
      <c r="E383" s="249"/>
      <c r="F383" s="46"/>
      <c r="G383" s="158"/>
      <c r="H383" s="158"/>
      <c r="I383" s="158"/>
      <c r="J383" s="158"/>
      <c r="K383" s="158"/>
      <c r="L383" s="158"/>
      <c r="M383" s="158"/>
      <c r="N383" s="158"/>
    </row>
    <row r="384" spans="1:14" ht="13.8">
      <c r="A384" s="158"/>
      <c r="B384" s="158"/>
      <c r="C384" s="249"/>
      <c r="D384" s="249"/>
      <c r="E384" s="249"/>
      <c r="F384" s="46"/>
      <c r="G384" s="158"/>
      <c r="H384" s="158"/>
      <c r="I384" s="158"/>
      <c r="J384" s="158"/>
      <c r="K384" s="158"/>
      <c r="L384" s="158"/>
      <c r="M384" s="158"/>
      <c r="N384" s="158"/>
    </row>
    <row r="385" spans="1:14" ht="13.8">
      <c r="A385" s="158"/>
      <c r="B385" s="158"/>
      <c r="C385" s="249"/>
      <c r="D385" s="249"/>
      <c r="E385" s="249"/>
      <c r="F385" s="46"/>
      <c r="G385" s="158"/>
      <c r="H385" s="158"/>
      <c r="I385" s="158"/>
      <c r="J385" s="158"/>
      <c r="K385" s="158"/>
      <c r="L385" s="158"/>
      <c r="M385" s="158"/>
      <c r="N385" s="158"/>
    </row>
    <row r="386" spans="1:14" ht="13.8">
      <c r="A386" s="158"/>
      <c r="B386" s="158"/>
      <c r="C386" s="249"/>
      <c r="D386" s="249"/>
      <c r="E386" s="249"/>
      <c r="F386" s="46"/>
      <c r="G386" s="158"/>
      <c r="H386" s="158"/>
      <c r="I386" s="158"/>
      <c r="J386" s="158"/>
      <c r="K386" s="158"/>
      <c r="L386" s="158"/>
      <c r="M386" s="158"/>
      <c r="N386" s="158"/>
    </row>
    <row r="387" spans="1:14" ht="13.8">
      <c r="A387" s="158"/>
      <c r="B387" s="158"/>
      <c r="C387" s="249"/>
      <c r="D387" s="249"/>
      <c r="E387" s="249"/>
      <c r="F387" s="46"/>
      <c r="G387" s="158"/>
      <c r="H387" s="158"/>
      <c r="I387" s="158"/>
      <c r="J387" s="158"/>
      <c r="K387" s="158"/>
      <c r="L387" s="158"/>
      <c r="M387" s="158"/>
      <c r="N387" s="158"/>
    </row>
    <row r="388" spans="1:14" ht="13.8">
      <c r="A388" s="158"/>
      <c r="B388" s="158"/>
      <c r="C388" s="249"/>
      <c r="D388" s="249"/>
      <c r="E388" s="249"/>
      <c r="F388" s="46"/>
      <c r="G388" s="158"/>
      <c r="H388" s="158"/>
      <c r="I388" s="158"/>
      <c r="J388" s="158"/>
      <c r="K388" s="158"/>
      <c r="L388" s="158"/>
      <c r="M388" s="158"/>
      <c r="N388" s="158"/>
    </row>
    <row r="389" spans="1:14" ht="13.8">
      <c r="A389" s="158"/>
      <c r="B389" s="158"/>
      <c r="C389" s="249"/>
      <c r="D389" s="249"/>
      <c r="E389" s="249"/>
      <c r="F389" s="46"/>
      <c r="G389" s="158"/>
      <c r="H389" s="158"/>
      <c r="I389" s="158"/>
      <c r="J389" s="158"/>
      <c r="K389" s="158"/>
      <c r="L389" s="158"/>
      <c r="M389" s="158"/>
      <c r="N389" s="158"/>
    </row>
    <row r="390" spans="1:14" ht="13.8">
      <c r="A390" s="158"/>
      <c r="B390" s="158"/>
      <c r="C390" s="249"/>
      <c r="D390" s="249"/>
      <c r="E390" s="249"/>
      <c r="F390" s="46"/>
      <c r="G390" s="158"/>
      <c r="H390" s="158"/>
      <c r="I390" s="158"/>
      <c r="J390" s="158"/>
      <c r="K390" s="158"/>
      <c r="L390" s="158"/>
      <c r="M390" s="158"/>
      <c r="N390" s="158"/>
    </row>
    <row r="391" spans="1:14" ht="13.8">
      <c r="A391" s="158"/>
      <c r="B391" s="158"/>
      <c r="C391" s="249"/>
      <c r="D391" s="249"/>
      <c r="E391" s="249"/>
      <c r="F391" s="46"/>
      <c r="G391" s="158"/>
      <c r="H391" s="158"/>
      <c r="I391" s="158"/>
      <c r="J391" s="158"/>
      <c r="K391" s="158"/>
      <c r="L391" s="158"/>
      <c r="M391" s="158"/>
      <c r="N391" s="158"/>
    </row>
    <row r="392" spans="1:14" ht="13.8">
      <c r="A392" s="158"/>
      <c r="B392" s="158"/>
      <c r="C392" s="249"/>
      <c r="D392" s="249"/>
      <c r="E392" s="249"/>
      <c r="F392" s="46"/>
      <c r="G392" s="158"/>
      <c r="H392" s="158"/>
      <c r="I392" s="158"/>
      <c r="J392" s="158"/>
      <c r="K392" s="158"/>
      <c r="L392" s="158"/>
      <c r="M392" s="158"/>
      <c r="N392" s="158"/>
    </row>
    <row r="393" spans="1:14" ht="13.8">
      <c r="A393" s="158"/>
      <c r="B393" s="158"/>
      <c r="C393" s="249"/>
      <c r="D393" s="249"/>
      <c r="E393" s="249"/>
      <c r="F393" s="46"/>
      <c r="G393" s="158"/>
      <c r="H393" s="158"/>
      <c r="I393" s="158"/>
      <c r="J393" s="158"/>
      <c r="K393" s="158"/>
      <c r="L393" s="158"/>
      <c r="M393" s="158"/>
      <c r="N393" s="158"/>
    </row>
    <row r="394" spans="1:14" ht="13.8">
      <c r="A394" s="158"/>
      <c r="B394" s="158"/>
      <c r="C394" s="249"/>
      <c r="D394" s="249"/>
      <c r="E394" s="249"/>
      <c r="F394" s="46"/>
      <c r="G394" s="158"/>
      <c r="H394" s="158"/>
      <c r="I394" s="158"/>
      <c r="J394" s="158"/>
      <c r="K394" s="158"/>
      <c r="L394" s="158"/>
      <c r="M394" s="158"/>
      <c r="N394" s="158"/>
    </row>
    <row r="395" spans="1:14" ht="13.8">
      <c r="A395" s="158"/>
      <c r="B395" s="158"/>
      <c r="C395" s="249"/>
      <c r="D395" s="249"/>
      <c r="E395" s="249"/>
      <c r="F395" s="46"/>
      <c r="G395" s="158"/>
      <c r="H395" s="158"/>
      <c r="I395" s="158"/>
      <c r="J395" s="158"/>
      <c r="K395" s="158"/>
      <c r="L395" s="158"/>
      <c r="M395" s="158"/>
      <c r="N395" s="158"/>
    </row>
    <row r="396" spans="1:14" ht="13.8">
      <c r="A396" s="158"/>
      <c r="B396" s="158"/>
      <c r="C396" s="249"/>
      <c r="D396" s="249"/>
      <c r="E396" s="249"/>
      <c r="F396" s="46"/>
      <c r="G396" s="158"/>
      <c r="H396" s="158"/>
      <c r="I396" s="158"/>
      <c r="J396" s="158"/>
      <c r="K396" s="158"/>
      <c r="L396" s="158"/>
      <c r="M396" s="158"/>
      <c r="N396" s="158"/>
    </row>
    <row r="397" spans="1:14" ht="13.8">
      <c r="A397" s="158"/>
      <c r="B397" s="158"/>
      <c r="C397" s="249"/>
      <c r="D397" s="249"/>
      <c r="E397" s="249"/>
      <c r="F397" s="46"/>
      <c r="G397" s="158"/>
      <c r="H397" s="158"/>
      <c r="I397" s="158"/>
      <c r="J397" s="158"/>
      <c r="K397" s="158"/>
      <c r="L397" s="158"/>
      <c r="M397" s="158"/>
      <c r="N397" s="158"/>
    </row>
    <row r="398" spans="1:14" ht="13.8">
      <c r="A398" s="158"/>
      <c r="B398" s="158"/>
      <c r="C398" s="249"/>
      <c r="D398" s="249"/>
      <c r="E398" s="249"/>
      <c r="F398" s="46"/>
      <c r="G398" s="158"/>
      <c r="H398" s="158"/>
      <c r="I398" s="158"/>
      <c r="J398" s="158"/>
      <c r="K398" s="158"/>
      <c r="L398" s="158"/>
      <c r="M398" s="158"/>
      <c r="N398" s="158"/>
    </row>
    <row r="399" spans="1:14" ht="13.8">
      <c r="A399" s="158"/>
      <c r="B399" s="158"/>
      <c r="C399" s="249"/>
      <c r="D399" s="249"/>
      <c r="E399" s="249"/>
      <c r="F399" s="46"/>
      <c r="G399" s="158"/>
      <c r="H399" s="158"/>
      <c r="I399" s="158"/>
      <c r="J399" s="158"/>
      <c r="K399" s="158"/>
      <c r="L399" s="158"/>
      <c r="M399" s="158"/>
      <c r="N399" s="158"/>
    </row>
    <row r="400" spans="1:14" ht="13.8">
      <c r="A400" s="158"/>
      <c r="B400" s="158"/>
      <c r="C400" s="249"/>
      <c r="D400" s="249"/>
      <c r="E400" s="249"/>
      <c r="F400" s="46"/>
      <c r="G400" s="158"/>
      <c r="H400" s="158"/>
      <c r="I400" s="158"/>
      <c r="J400" s="158"/>
      <c r="K400" s="158"/>
      <c r="L400" s="158"/>
      <c r="M400" s="158"/>
      <c r="N400" s="158"/>
    </row>
    <row r="401" spans="1:14" ht="13.8">
      <c r="A401" s="158"/>
      <c r="B401" s="158"/>
      <c r="C401" s="249"/>
      <c r="D401" s="249"/>
      <c r="E401" s="249"/>
      <c r="F401" s="46"/>
      <c r="G401" s="158"/>
      <c r="H401" s="158"/>
      <c r="I401" s="158"/>
      <c r="J401" s="158"/>
      <c r="K401" s="158"/>
      <c r="L401" s="158"/>
      <c r="M401" s="158"/>
      <c r="N401" s="158"/>
    </row>
    <row r="402" spans="1:14" ht="13.8">
      <c r="A402" s="158"/>
      <c r="B402" s="158"/>
      <c r="C402" s="249"/>
      <c r="D402" s="249"/>
      <c r="E402" s="249"/>
      <c r="F402" s="46"/>
      <c r="G402" s="158"/>
      <c r="H402" s="158"/>
      <c r="I402" s="158"/>
      <c r="J402" s="158"/>
      <c r="K402" s="158"/>
      <c r="L402" s="158"/>
      <c r="M402" s="158"/>
      <c r="N402" s="158"/>
    </row>
    <row r="403" spans="1:14" ht="13.8">
      <c r="A403" s="158"/>
      <c r="B403" s="158"/>
      <c r="C403" s="249"/>
      <c r="D403" s="249"/>
      <c r="E403" s="249"/>
      <c r="F403" s="46"/>
      <c r="G403" s="158"/>
      <c r="H403" s="158"/>
      <c r="I403" s="158"/>
      <c r="J403" s="158"/>
      <c r="K403" s="158"/>
      <c r="L403" s="158"/>
      <c r="M403" s="158"/>
      <c r="N403" s="158"/>
    </row>
    <row r="404" spans="1:14" ht="13.8">
      <c r="A404" s="158"/>
      <c r="B404" s="158"/>
      <c r="C404" s="249"/>
      <c r="D404" s="249"/>
      <c r="E404" s="249"/>
      <c r="F404" s="46"/>
      <c r="G404" s="158"/>
      <c r="H404" s="158"/>
      <c r="I404" s="158"/>
      <c r="J404" s="158"/>
      <c r="K404" s="158"/>
      <c r="L404" s="158"/>
      <c r="M404" s="158"/>
      <c r="N404" s="158"/>
    </row>
    <row r="405" spans="1:14" ht="13.8">
      <c r="A405" s="158"/>
      <c r="B405" s="158"/>
      <c r="C405" s="249"/>
      <c r="D405" s="249"/>
      <c r="E405" s="249"/>
      <c r="F405" s="46"/>
      <c r="G405" s="158"/>
      <c r="H405" s="158"/>
      <c r="I405" s="158"/>
      <c r="J405" s="158"/>
      <c r="K405" s="158"/>
      <c r="L405" s="158"/>
      <c r="M405" s="158"/>
      <c r="N405" s="158"/>
    </row>
    <row r="406" spans="1:14" ht="13.8">
      <c r="A406" s="158"/>
      <c r="B406" s="158"/>
      <c r="C406" s="249"/>
      <c r="D406" s="249"/>
      <c r="E406" s="249"/>
      <c r="F406" s="46"/>
      <c r="G406" s="158"/>
      <c r="H406" s="158"/>
      <c r="I406" s="158"/>
      <c r="J406" s="158"/>
      <c r="K406" s="158"/>
      <c r="L406" s="158"/>
      <c r="M406" s="158"/>
      <c r="N406" s="158"/>
    </row>
    <row r="407" spans="1:14" ht="13.8">
      <c r="A407" s="158"/>
      <c r="B407" s="158"/>
      <c r="C407" s="249"/>
      <c r="D407" s="249"/>
      <c r="E407" s="249"/>
      <c r="F407" s="46"/>
      <c r="G407" s="158"/>
      <c r="H407" s="158"/>
      <c r="I407" s="158"/>
      <c r="J407" s="158"/>
      <c r="K407" s="158"/>
      <c r="L407" s="158"/>
      <c r="M407" s="158"/>
      <c r="N407" s="158"/>
    </row>
    <row r="408" spans="1:14" ht="13.8">
      <c r="A408" s="158"/>
      <c r="B408" s="158"/>
      <c r="C408" s="158"/>
      <c r="D408" s="158"/>
      <c r="E408" s="158"/>
      <c r="F408" s="46"/>
      <c r="G408" s="158"/>
      <c r="H408" s="158"/>
      <c r="I408" s="158"/>
      <c r="J408" s="158"/>
      <c r="K408" s="158"/>
      <c r="L408" s="158"/>
      <c r="M408" s="158"/>
      <c r="N408" s="158"/>
    </row>
    <row r="409" spans="1:14" ht="13.8">
      <c r="A409" s="158"/>
      <c r="B409" s="158"/>
      <c r="C409" s="158"/>
      <c r="D409" s="158"/>
      <c r="E409" s="158"/>
      <c r="F409" s="46"/>
      <c r="G409" s="158"/>
      <c r="H409" s="158"/>
      <c r="I409" s="158"/>
      <c r="J409" s="158"/>
      <c r="K409" s="158"/>
      <c r="L409" s="158"/>
      <c r="M409" s="158"/>
      <c r="N409" s="158"/>
    </row>
    <row r="410" spans="1:14" ht="13.8">
      <c r="A410" s="158"/>
      <c r="B410" s="158"/>
      <c r="C410" s="158"/>
      <c r="D410" s="158"/>
      <c r="E410" s="158"/>
      <c r="F410" s="46"/>
      <c r="G410" s="158"/>
      <c r="H410" s="158"/>
      <c r="I410" s="158"/>
      <c r="J410" s="158"/>
      <c r="K410" s="158"/>
      <c r="L410" s="158"/>
      <c r="M410" s="158"/>
      <c r="N410" s="158"/>
    </row>
    <row r="411" spans="1:14" ht="13.8">
      <c r="A411" s="158"/>
      <c r="B411" s="158"/>
      <c r="C411" s="158"/>
      <c r="D411" s="158"/>
      <c r="E411" s="158"/>
      <c r="F411" s="46"/>
      <c r="G411" s="158"/>
      <c r="H411" s="158"/>
      <c r="I411" s="158"/>
      <c r="J411" s="158"/>
      <c r="K411" s="158"/>
      <c r="L411" s="158"/>
      <c r="M411" s="158"/>
      <c r="N411" s="158"/>
    </row>
    <row r="412" spans="1:14" ht="13.8">
      <c r="A412" s="158"/>
      <c r="B412" s="158"/>
      <c r="C412" s="158"/>
      <c r="D412" s="158"/>
      <c r="E412" s="158"/>
      <c r="F412" s="46"/>
      <c r="G412" s="158"/>
      <c r="H412" s="158"/>
      <c r="I412" s="158"/>
      <c r="J412" s="158"/>
      <c r="K412" s="158"/>
      <c r="L412" s="158"/>
      <c r="M412" s="158"/>
      <c r="N412" s="158"/>
    </row>
    <row r="413" spans="1:14" ht="13.8">
      <c r="A413" s="158"/>
      <c r="B413" s="158"/>
      <c r="C413" s="158"/>
      <c r="D413" s="158"/>
      <c r="E413" s="158"/>
      <c r="F413" s="46"/>
      <c r="G413" s="158"/>
      <c r="H413" s="158"/>
      <c r="I413" s="158"/>
      <c r="J413" s="158"/>
      <c r="K413" s="158"/>
      <c r="L413" s="158"/>
      <c r="M413" s="158"/>
      <c r="N413" s="158"/>
    </row>
    <row r="414" spans="1:14" ht="13.8">
      <c r="A414" s="158"/>
      <c r="B414" s="158"/>
      <c r="C414" s="158"/>
      <c r="D414" s="158"/>
      <c r="E414" s="158"/>
      <c r="F414" s="46"/>
      <c r="G414" s="158"/>
      <c r="H414" s="158"/>
      <c r="I414" s="158"/>
      <c r="J414" s="158"/>
      <c r="K414" s="158"/>
      <c r="L414" s="158"/>
      <c r="M414" s="158"/>
      <c r="N414" s="158"/>
    </row>
    <row r="415" spans="1:14" ht="13.8">
      <c r="A415" s="158"/>
      <c r="B415" s="158"/>
      <c r="C415" s="158"/>
      <c r="D415" s="158"/>
      <c r="E415" s="158"/>
      <c r="F415" s="46"/>
      <c r="G415" s="158"/>
      <c r="H415" s="158"/>
      <c r="I415" s="158"/>
      <c r="J415" s="158"/>
      <c r="K415" s="158"/>
      <c r="L415" s="158"/>
      <c r="M415" s="158"/>
      <c r="N415" s="158"/>
    </row>
    <row r="416" spans="1:14" ht="13.8">
      <c r="A416" s="158"/>
      <c r="B416" s="158"/>
      <c r="C416" s="158"/>
      <c r="D416" s="158"/>
      <c r="E416" s="158"/>
      <c r="F416" s="46"/>
      <c r="G416" s="158"/>
      <c r="H416" s="158"/>
      <c r="I416" s="158"/>
      <c r="J416" s="158"/>
      <c r="K416" s="158"/>
      <c r="L416" s="158"/>
      <c r="M416" s="158"/>
      <c r="N416" s="158"/>
    </row>
    <row r="417" spans="1:14" ht="13.8">
      <c r="A417" s="158"/>
      <c r="B417" s="158"/>
      <c r="C417" s="158"/>
      <c r="D417" s="158"/>
      <c r="E417" s="158"/>
      <c r="F417" s="46"/>
      <c r="G417" s="158"/>
      <c r="H417" s="158"/>
      <c r="I417" s="158"/>
      <c r="J417" s="158"/>
      <c r="K417" s="158"/>
      <c r="L417" s="158"/>
      <c r="M417" s="158"/>
      <c r="N417" s="158"/>
    </row>
    <row r="418" spans="1:14" ht="13.8">
      <c r="A418" s="158"/>
      <c r="B418" s="158"/>
      <c r="C418" s="158"/>
      <c r="D418" s="158"/>
      <c r="E418" s="158"/>
      <c r="F418" s="46"/>
      <c r="G418" s="158"/>
      <c r="H418" s="158"/>
      <c r="I418" s="158"/>
      <c r="J418" s="158"/>
      <c r="K418" s="158"/>
      <c r="L418" s="158"/>
      <c r="M418" s="158"/>
      <c r="N418" s="158"/>
    </row>
    <row r="419" spans="1:14" ht="13.8">
      <c r="A419" s="158"/>
      <c r="B419" s="158"/>
      <c r="C419" s="158"/>
      <c r="D419" s="158"/>
      <c r="E419" s="158"/>
      <c r="F419" s="46"/>
      <c r="G419" s="158"/>
      <c r="H419" s="158"/>
      <c r="I419" s="158"/>
      <c r="J419" s="158"/>
      <c r="K419" s="158"/>
      <c r="L419" s="158"/>
      <c r="M419" s="158"/>
      <c r="N419" s="158"/>
    </row>
    <row r="420" spans="1:14" ht="13.8">
      <c r="A420" s="158"/>
      <c r="B420" s="158"/>
      <c r="C420" s="158"/>
      <c r="D420" s="158"/>
      <c r="E420" s="158"/>
      <c r="F420" s="46"/>
      <c r="G420" s="158"/>
      <c r="H420" s="158"/>
      <c r="I420" s="158"/>
      <c r="J420" s="158"/>
      <c r="K420" s="158"/>
      <c r="L420" s="158"/>
      <c r="M420" s="158"/>
      <c r="N420" s="158"/>
    </row>
    <row r="421" spans="1:14" ht="13.8">
      <c r="A421" s="158"/>
      <c r="B421" s="158"/>
      <c r="C421" s="158"/>
      <c r="D421" s="158"/>
      <c r="E421" s="158"/>
      <c r="F421" s="46"/>
      <c r="G421" s="158"/>
      <c r="H421" s="158"/>
      <c r="I421" s="158"/>
      <c r="J421" s="158"/>
      <c r="K421" s="158"/>
      <c r="L421" s="158"/>
      <c r="M421" s="158"/>
      <c r="N421" s="158"/>
    </row>
    <row r="422" spans="1:14" ht="13.8">
      <c r="A422" s="158"/>
      <c r="B422" s="158"/>
      <c r="C422" s="158"/>
      <c r="D422" s="158"/>
      <c r="E422" s="158"/>
      <c r="F422" s="46"/>
      <c r="G422" s="158"/>
      <c r="H422" s="158"/>
      <c r="I422" s="158"/>
      <c r="J422" s="158"/>
      <c r="K422" s="158"/>
      <c r="L422" s="158"/>
      <c r="M422" s="158"/>
      <c r="N422" s="158"/>
    </row>
    <row r="423" spans="1:14" ht="13.8">
      <c r="A423" s="158"/>
      <c r="B423" s="158"/>
      <c r="C423" s="158"/>
      <c r="D423" s="158"/>
      <c r="E423" s="158"/>
      <c r="F423" s="46"/>
      <c r="G423" s="158"/>
      <c r="H423" s="158"/>
      <c r="I423" s="158"/>
      <c r="J423" s="158"/>
      <c r="K423" s="158"/>
      <c r="L423" s="158"/>
      <c r="M423" s="158"/>
      <c r="N423" s="158"/>
    </row>
    <row r="424" spans="1:14" ht="13.8">
      <c r="A424" s="158"/>
      <c r="B424" s="158"/>
      <c r="C424" s="158"/>
      <c r="D424" s="158"/>
      <c r="E424" s="158"/>
      <c r="F424" s="46"/>
      <c r="G424" s="158"/>
      <c r="H424" s="158"/>
      <c r="I424" s="158"/>
      <c r="J424" s="158"/>
      <c r="K424" s="158"/>
      <c r="L424" s="158"/>
      <c r="M424" s="158"/>
      <c r="N424" s="158"/>
    </row>
    <row r="425" spans="1:14" ht="13.8">
      <c r="A425" s="158"/>
      <c r="B425" s="158"/>
      <c r="C425" s="158"/>
      <c r="D425" s="158"/>
      <c r="E425" s="158"/>
      <c r="F425" s="46"/>
      <c r="G425" s="158"/>
      <c r="H425" s="158"/>
      <c r="I425" s="158"/>
      <c r="J425" s="158"/>
      <c r="K425" s="158"/>
      <c r="L425" s="158"/>
      <c r="M425" s="158"/>
      <c r="N425" s="158"/>
    </row>
    <row r="426" spans="1:14" ht="13.8">
      <c r="A426" s="158"/>
      <c r="B426" s="158"/>
      <c r="C426" s="158"/>
      <c r="D426" s="158"/>
      <c r="E426" s="158"/>
      <c r="F426" s="46"/>
      <c r="G426" s="158"/>
      <c r="H426" s="158"/>
      <c r="I426" s="158"/>
      <c r="J426" s="158"/>
      <c r="K426" s="158"/>
      <c r="L426" s="158"/>
      <c r="M426" s="158"/>
      <c r="N426" s="158"/>
    </row>
    <row r="427" spans="1:14" ht="13.8">
      <c r="A427" s="158"/>
      <c r="B427" s="158"/>
      <c r="C427" s="158"/>
      <c r="D427" s="158"/>
      <c r="E427" s="158"/>
      <c r="F427" s="46"/>
      <c r="G427" s="158"/>
      <c r="H427" s="158"/>
      <c r="I427" s="158"/>
      <c r="J427" s="158"/>
      <c r="K427" s="158"/>
      <c r="L427" s="158"/>
      <c r="M427" s="158"/>
      <c r="N427" s="158"/>
    </row>
    <row r="428" spans="1:14" ht="13.8">
      <c r="A428" s="158"/>
      <c r="B428" s="158"/>
      <c r="C428" s="158"/>
      <c r="D428" s="158"/>
      <c r="E428" s="158"/>
      <c r="F428" s="46"/>
      <c r="G428" s="158"/>
      <c r="H428" s="158"/>
      <c r="I428" s="158"/>
      <c r="J428" s="158"/>
      <c r="K428" s="158"/>
      <c r="L428" s="158"/>
      <c r="M428" s="158"/>
      <c r="N428" s="158"/>
    </row>
    <row r="429" spans="1:14" ht="13.8">
      <c r="A429" s="158"/>
      <c r="B429" s="158"/>
      <c r="C429" s="158"/>
      <c r="D429" s="158"/>
      <c r="E429" s="158"/>
      <c r="F429" s="46"/>
      <c r="G429" s="158"/>
      <c r="H429" s="158"/>
      <c r="I429" s="158"/>
      <c r="J429" s="158"/>
      <c r="K429" s="158"/>
      <c r="L429" s="158"/>
      <c r="M429" s="158"/>
      <c r="N429" s="158"/>
    </row>
    <row r="430" spans="1:14" ht="13.8">
      <c r="A430" s="158"/>
      <c r="B430" s="158"/>
      <c r="C430" s="158"/>
      <c r="D430" s="158"/>
      <c r="E430" s="158"/>
      <c r="F430" s="46"/>
      <c r="G430" s="158"/>
      <c r="H430" s="158"/>
      <c r="I430" s="158"/>
      <c r="J430" s="158"/>
      <c r="K430" s="158"/>
      <c r="L430" s="158"/>
      <c r="M430" s="158"/>
      <c r="N430" s="158"/>
    </row>
    <row r="431" spans="1:14" ht="13.8">
      <c r="A431" s="158"/>
      <c r="B431" s="158"/>
      <c r="C431" s="158"/>
      <c r="D431" s="158"/>
      <c r="E431" s="158"/>
      <c r="F431" s="46"/>
      <c r="G431" s="158"/>
      <c r="H431" s="158"/>
      <c r="I431" s="158"/>
      <c r="J431" s="158"/>
      <c r="K431" s="158"/>
      <c r="L431" s="158"/>
      <c r="M431" s="158"/>
      <c r="N431" s="158"/>
    </row>
    <row r="432" spans="1:14" ht="13.8">
      <c r="A432" s="158"/>
      <c r="B432" s="158"/>
      <c r="C432" s="158"/>
      <c r="D432" s="158"/>
      <c r="E432" s="158"/>
      <c r="F432" s="46"/>
      <c r="G432" s="158"/>
      <c r="H432" s="158"/>
      <c r="I432" s="158"/>
      <c r="J432" s="158"/>
      <c r="K432" s="158"/>
      <c r="L432" s="158"/>
      <c r="M432" s="158"/>
      <c r="N432" s="158"/>
    </row>
    <row r="433" spans="1:14" ht="13.8">
      <c r="A433" s="158"/>
      <c r="B433" s="158"/>
      <c r="C433" s="158"/>
      <c r="D433" s="158"/>
      <c r="E433" s="158"/>
      <c r="F433" s="46"/>
      <c r="G433" s="158"/>
      <c r="H433" s="158"/>
      <c r="I433" s="158"/>
      <c r="J433" s="158"/>
      <c r="K433" s="158"/>
      <c r="L433" s="158"/>
      <c r="M433" s="158"/>
      <c r="N433" s="158"/>
    </row>
    <row r="434" spans="1:14" ht="13.8">
      <c r="A434" s="158"/>
      <c r="B434" s="158"/>
      <c r="C434" s="158"/>
      <c r="D434" s="158"/>
      <c r="E434" s="158"/>
      <c r="F434" s="46"/>
      <c r="G434" s="158"/>
      <c r="H434" s="158"/>
      <c r="I434" s="158"/>
      <c r="J434" s="158"/>
      <c r="K434" s="158"/>
      <c r="L434" s="158"/>
      <c r="M434" s="158"/>
      <c r="N434" s="158"/>
    </row>
    <row r="435" spans="1:14" ht="13.8">
      <c r="A435" s="158"/>
      <c r="B435" s="158"/>
      <c r="C435" s="158"/>
      <c r="D435" s="158"/>
      <c r="E435" s="158"/>
      <c r="F435" s="46"/>
      <c r="G435" s="158"/>
      <c r="H435" s="158"/>
      <c r="I435" s="158"/>
      <c r="J435" s="158"/>
      <c r="K435" s="158"/>
      <c r="L435" s="158"/>
      <c r="M435" s="158"/>
      <c r="N435" s="158"/>
    </row>
    <row r="436" spans="1:14" ht="13.8">
      <c r="A436" s="158"/>
      <c r="B436" s="158"/>
      <c r="C436" s="158"/>
      <c r="D436" s="158"/>
      <c r="E436" s="158"/>
      <c r="F436" s="46"/>
      <c r="G436" s="158"/>
      <c r="H436" s="158"/>
      <c r="I436" s="158"/>
      <c r="J436" s="158"/>
      <c r="K436" s="158"/>
      <c r="L436" s="158"/>
      <c r="M436" s="158"/>
      <c r="N436" s="158"/>
    </row>
    <row r="437" spans="1:14" ht="13.8">
      <c r="A437" s="158"/>
      <c r="B437" s="158"/>
      <c r="C437" s="158"/>
      <c r="D437" s="158"/>
      <c r="E437" s="158"/>
      <c r="F437" s="46"/>
      <c r="G437" s="158"/>
      <c r="H437" s="158"/>
      <c r="I437" s="158"/>
      <c r="J437" s="158"/>
      <c r="K437" s="158"/>
      <c r="L437" s="158"/>
      <c r="M437" s="158"/>
      <c r="N437" s="158"/>
    </row>
    <row r="438" spans="1:14" ht="13.8">
      <c r="A438" s="158"/>
      <c r="B438" s="158"/>
      <c r="C438" s="158"/>
      <c r="D438" s="158"/>
      <c r="E438" s="158"/>
      <c r="F438" s="46"/>
      <c r="G438" s="158"/>
      <c r="H438" s="158"/>
      <c r="I438" s="158"/>
      <c r="J438" s="158"/>
      <c r="K438" s="158"/>
      <c r="L438" s="158"/>
      <c r="M438" s="158"/>
      <c r="N438" s="158"/>
    </row>
    <row r="439" spans="1:14" ht="13.8">
      <c r="A439" s="158"/>
      <c r="B439" s="158"/>
      <c r="C439" s="158"/>
      <c r="D439" s="158"/>
      <c r="E439" s="158"/>
      <c r="F439" s="46"/>
      <c r="G439" s="158"/>
      <c r="H439" s="158"/>
      <c r="I439" s="158"/>
      <c r="J439" s="158"/>
      <c r="K439" s="158"/>
      <c r="L439" s="158"/>
      <c r="M439" s="158"/>
      <c r="N439" s="158"/>
    </row>
    <row r="440" spans="1:14" ht="13.8">
      <c r="A440" s="158"/>
      <c r="B440" s="158"/>
      <c r="C440" s="158"/>
      <c r="D440" s="158"/>
      <c r="E440" s="158"/>
      <c r="F440" s="46"/>
      <c r="G440" s="158"/>
      <c r="H440" s="158"/>
      <c r="I440" s="158"/>
      <c r="J440" s="158"/>
      <c r="K440" s="158"/>
      <c r="L440" s="158"/>
      <c r="M440" s="158"/>
      <c r="N440" s="158"/>
    </row>
    <row r="441" spans="1:14" ht="13.8">
      <c r="A441" s="158"/>
      <c r="B441" s="158"/>
      <c r="C441" s="158"/>
      <c r="D441" s="158"/>
      <c r="E441" s="158"/>
      <c r="F441" s="46"/>
      <c r="G441" s="158"/>
      <c r="H441" s="158"/>
      <c r="I441" s="158"/>
      <c r="J441" s="158"/>
      <c r="K441" s="158"/>
      <c r="L441" s="158"/>
      <c r="M441" s="158"/>
      <c r="N441" s="158"/>
    </row>
    <row r="442" spans="1:14" ht="13.8">
      <c r="A442" s="158"/>
      <c r="B442" s="158"/>
      <c r="C442" s="158"/>
      <c r="D442" s="158"/>
      <c r="E442" s="158"/>
      <c r="F442" s="46"/>
      <c r="G442" s="158"/>
      <c r="H442" s="158"/>
      <c r="I442" s="158"/>
      <c r="J442" s="158"/>
      <c r="K442" s="158"/>
      <c r="L442" s="158"/>
      <c r="M442" s="158"/>
      <c r="N442" s="158"/>
    </row>
    <row r="443" spans="1:14" ht="13.8">
      <c r="A443" s="158"/>
      <c r="B443" s="158"/>
      <c r="C443" s="158"/>
      <c r="D443" s="158"/>
      <c r="E443" s="158"/>
      <c r="F443" s="46"/>
      <c r="G443" s="158"/>
      <c r="H443" s="158"/>
      <c r="I443" s="158"/>
      <c r="J443" s="158"/>
      <c r="K443" s="158"/>
      <c r="L443" s="158"/>
      <c r="M443" s="158"/>
      <c r="N443" s="158"/>
    </row>
    <row r="444" spans="1:14" ht="13.8">
      <c r="A444" s="158"/>
      <c r="B444" s="158"/>
      <c r="C444" s="158"/>
      <c r="D444" s="158"/>
      <c r="E444" s="158"/>
      <c r="F444" s="46"/>
      <c r="G444" s="158"/>
      <c r="H444" s="158"/>
      <c r="I444" s="158"/>
      <c r="J444" s="158"/>
      <c r="K444" s="158"/>
      <c r="L444" s="158"/>
      <c r="M444" s="158"/>
      <c r="N444" s="158"/>
    </row>
    <row r="445" spans="1:14" ht="13.8">
      <c r="A445" s="158"/>
      <c r="B445" s="158"/>
      <c r="C445" s="158"/>
      <c r="D445" s="158"/>
      <c r="E445" s="158"/>
      <c r="F445" s="46"/>
      <c r="G445" s="158"/>
      <c r="H445" s="158"/>
      <c r="I445" s="158"/>
      <c r="J445" s="158"/>
      <c r="K445" s="158"/>
      <c r="L445" s="158"/>
      <c r="M445" s="158"/>
      <c r="N445" s="158"/>
    </row>
    <row r="446" spans="1:14" ht="13.8">
      <c r="A446" s="158"/>
      <c r="B446" s="158"/>
      <c r="C446" s="158"/>
      <c r="D446" s="158"/>
      <c r="E446" s="158"/>
      <c r="F446" s="46"/>
      <c r="G446" s="158"/>
      <c r="H446" s="158"/>
      <c r="I446" s="158"/>
      <c r="J446" s="158"/>
      <c r="K446" s="158"/>
      <c r="L446" s="158"/>
      <c r="M446" s="158"/>
      <c r="N446" s="158"/>
    </row>
    <row r="447" spans="1:14" ht="13.8">
      <c r="A447" s="158"/>
      <c r="B447" s="158"/>
      <c r="C447" s="158"/>
      <c r="D447" s="158"/>
      <c r="E447" s="158"/>
      <c r="F447" s="46"/>
      <c r="G447" s="158"/>
      <c r="H447" s="158"/>
      <c r="I447" s="158"/>
      <c r="J447" s="158"/>
      <c r="K447" s="158"/>
      <c r="L447" s="158"/>
      <c r="M447" s="158"/>
      <c r="N447" s="158"/>
    </row>
    <row r="448" spans="1:14" ht="13.8">
      <c r="A448" s="158"/>
      <c r="B448" s="158"/>
      <c r="C448" s="158"/>
      <c r="D448" s="158"/>
      <c r="E448" s="158"/>
      <c r="F448" s="46"/>
      <c r="G448" s="158"/>
      <c r="H448" s="158"/>
      <c r="I448" s="158"/>
      <c r="J448" s="158"/>
      <c r="K448" s="158"/>
      <c r="L448" s="158"/>
      <c r="M448" s="158"/>
      <c r="N448" s="158"/>
    </row>
    <row r="449" spans="1:14" ht="13.8">
      <c r="A449" s="158"/>
      <c r="B449" s="158"/>
      <c r="C449" s="158"/>
      <c r="D449" s="158"/>
      <c r="E449" s="158"/>
      <c r="F449" s="46"/>
      <c r="G449" s="158"/>
      <c r="H449" s="158"/>
      <c r="I449" s="158"/>
      <c r="J449" s="158"/>
      <c r="K449" s="158"/>
      <c r="L449" s="158"/>
      <c r="M449" s="158"/>
      <c r="N449" s="158"/>
    </row>
    <row r="450" spans="1:14" ht="13.8">
      <c r="A450" s="158"/>
      <c r="B450" s="158"/>
      <c r="C450" s="158"/>
      <c r="D450" s="158"/>
      <c r="E450" s="158"/>
      <c r="F450" s="46"/>
      <c r="G450" s="158"/>
      <c r="H450" s="158"/>
      <c r="I450" s="158"/>
      <c r="J450" s="158"/>
      <c r="K450" s="158"/>
      <c r="L450" s="158"/>
      <c r="M450" s="158"/>
      <c r="N450" s="158"/>
    </row>
    <row r="451" spans="1:14" ht="13.8">
      <c r="A451" s="158"/>
      <c r="B451" s="158"/>
      <c r="C451" s="158"/>
      <c r="D451" s="158"/>
      <c r="E451" s="158"/>
      <c r="F451" s="46"/>
      <c r="G451" s="158"/>
      <c r="H451" s="158"/>
      <c r="I451" s="158"/>
      <c r="J451" s="158"/>
      <c r="K451" s="158"/>
      <c r="L451" s="158"/>
      <c r="M451" s="158"/>
      <c r="N451" s="158"/>
    </row>
    <row r="452" spans="1:14" ht="13.8">
      <c r="A452" s="158"/>
      <c r="B452" s="158"/>
      <c r="C452" s="158"/>
      <c r="D452" s="158"/>
      <c r="E452" s="158"/>
      <c r="F452" s="46"/>
      <c r="G452" s="158"/>
      <c r="H452" s="158"/>
      <c r="I452" s="158"/>
      <c r="J452" s="158"/>
      <c r="K452" s="158"/>
      <c r="L452" s="158"/>
      <c r="M452" s="158"/>
      <c r="N452" s="158"/>
    </row>
    <row r="453" spans="1:14" ht="13.8">
      <c r="A453" s="158"/>
      <c r="B453" s="158"/>
      <c r="C453" s="158"/>
      <c r="D453" s="158"/>
      <c r="E453" s="158"/>
      <c r="F453" s="46"/>
      <c r="G453" s="158"/>
      <c r="H453" s="158"/>
      <c r="I453" s="158"/>
      <c r="J453" s="158"/>
      <c r="K453" s="158"/>
      <c r="L453" s="158"/>
      <c r="M453" s="158"/>
      <c r="N453" s="158"/>
    </row>
    <row r="454" spans="1:14" ht="13.8">
      <c r="A454" s="158"/>
      <c r="B454" s="158"/>
      <c r="C454" s="158"/>
      <c r="D454" s="158"/>
      <c r="E454" s="158"/>
      <c r="F454" s="46"/>
      <c r="G454" s="158"/>
      <c r="H454" s="158"/>
      <c r="I454" s="158"/>
      <c r="J454" s="158"/>
      <c r="K454" s="158"/>
      <c r="L454" s="158"/>
      <c r="M454" s="158"/>
      <c r="N454" s="158"/>
    </row>
    <row r="455" spans="1:14" ht="13.8">
      <c r="A455" s="158"/>
      <c r="B455" s="158"/>
      <c r="C455" s="158"/>
      <c r="D455" s="158"/>
      <c r="E455" s="158"/>
      <c r="F455" s="46"/>
      <c r="G455" s="158"/>
      <c r="H455" s="158"/>
      <c r="I455" s="158"/>
      <c r="J455" s="158"/>
      <c r="K455" s="158"/>
      <c r="L455" s="158"/>
      <c r="M455" s="158"/>
      <c r="N455" s="158"/>
    </row>
    <row r="456" spans="1:14" ht="13.8">
      <c r="A456" s="158"/>
      <c r="B456" s="158"/>
      <c r="C456" s="158"/>
      <c r="D456" s="158"/>
      <c r="E456" s="158"/>
      <c r="F456" s="46"/>
      <c r="G456" s="158"/>
      <c r="H456" s="158"/>
      <c r="I456" s="158"/>
      <c r="J456" s="158"/>
      <c r="K456" s="158"/>
      <c r="L456" s="158"/>
      <c r="M456" s="158"/>
      <c r="N456" s="158"/>
    </row>
    <row r="457" spans="1:14" ht="13.8">
      <c r="A457" s="158"/>
      <c r="B457" s="158"/>
      <c r="C457" s="158"/>
      <c r="D457" s="158"/>
      <c r="E457" s="158"/>
      <c r="F457" s="46"/>
      <c r="G457" s="158"/>
      <c r="H457" s="158"/>
      <c r="I457" s="158"/>
      <c r="J457" s="158"/>
      <c r="K457" s="158"/>
      <c r="L457" s="158"/>
      <c r="M457" s="158"/>
      <c r="N457" s="158"/>
    </row>
    <row r="458" spans="1:14" ht="13.8">
      <c r="A458" s="158"/>
      <c r="B458" s="158"/>
      <c r="C458" s="158"/>
      <c r="D458" s="158"/>
      <c r="E458" s="158"/>
      <c r="F458" s="46"/>
      <c r="G458" s="158"/>
      <c r="H458" s="158"/>
      <c r="I458" s="158"/>
      <c r="J458" s="158"/>
      <c r="K458" s="158"/>
      <c r="L458" s="158"/>
      <c r="M458" s="158"/>
      <c r="N458" s="158"/>
    </row>
    <row r="459" spans="1:14" ht="13.8">
      <c r="A459" s="158"/>
      <c r="B459" s="158"/>
      <c r="C459" s="158"/>
      <c r="D459" s="158"/>
      <c r="E459" s="158"/>
      <c r="F459" s="46"/>
      <c r="G459" s="158"/>
      <c r="H459" s="158"/>
      <c r="I459" s="158"/>
      <c r="J459" s="158"/>
      <c r="K459" s="158"/>
      <c r="L459" s="158"/>
      <c r="M459" s="158"/>
      <c r="N459" s="158"/>
    </row>
    <row r="460" spans="1:14" ht="13.8">
      <c r="A460" s="158"/>
      <c r="B460" s="158"/>
      <c r="C460" s="158"/>
      <c r="D460" s="158"/>
      <c r="E460" s="158"/>
      <c r="F460" s="46"/>
      <c r="G460" s="158"/>
      <c r="H460" s="158"/>
      <c r="I460" s="158"/>
      <c r="J460" s="158"/>
      <c r="K460" s="158"/>
      <c r="L460" s="158"/>
      <c r="M460" s="158"/>
      <c r="N460" s="158"/>
    </row>
    <row r="461" spans="1:14" ht="13.8">
      <c r="A461" s="158"/>
      <c r="B461" s="158"/>
      <c r="C461" s="158"/>
      <c r="D461" s="158"/>
      <c r="E461" s="158"/>
      <c r="F461" s="46"/>
      <c r="G461" s="158"/>
      <c r="H461" s="158"/>
      <c r="I461" s="158"/>
      <c r="J461" s="158"/>
      <c r="K461" s="158"/>
      <c r="L461" s="158"/>
      <c r="M461" s="158"/>
      <c r="N461" s="158"/>
    </row>
    <row r="462" spans="1:14" ht="13.8">
      <c r="A462" s="158"/>
      <c r="B462" s="158"/>
      <c r="C462" s="158"/>
      <c r="D462" s="158"/>
      <c r="E462" s="158"/>
      <c r="F462" s="46"/>
      <c r="G462" s="158"/>
      <c r="H462" s="158"/>
      <c r="I462" s="158"/>
      <c r="J462" s="158"/>
      <c r="K462" s="158"/>
      <c r="L462" s="158"/>
      <c r="M462" s="158"/>
      <c r="N462" s="158"/>
    </row>
    <row r="463" spans="1:14" ht="13.8">
      <c r="A463" s="158"/>
      <c r="B463" s="158"/>
      <c r="C463" s="158"/>
      <c r="D463" s="158"/>
      <c r="E463" s="158"/>
      <c r="F463" s="46"/>
      <c r="G463" s="158"/>
      <c r="H463" s="158"/>
      <c r="I463" s="158"/>
      <c r="J463" s="158"/>
      <c r="K463" s="158"/>
      <c r="L463" s="158"/>
      <c r="M463" s="158"/>
      <c r="N463" s="158"/>
    </row>
    <row r="464" spans="1:14" ht="13.8">
      <c r="A464" s="158"/>
      <c r="B464" s="158"/>
      <c r="C464" s="158"/>
      <c r="D464" s="158"/>
      <c r="E464" s="158"/>
      <c r="F464" s="46"/>
      <c r="G464" s="158"/>
      <c r="H464" s="158"/>
      <c r="I464" s="158"/>
      <c r="J464" s="158"/>
      <c r="K464" s="158"/>
      <c r="L464" s="158"/>
      <c r="M464" s="158"/>
      <c r="N464" s="158"/>
    </row>
    <row r="465" spans="1:14" ht="13.8">
      <c r="A465" s="158"/>
      <c r="B465" s="158"/>
      <c r="C465" s="158"/>
      <c r="D465" s="158"/>
      <c r="E465" s="158"/>
      <c r="F465" s="46"/>
      <c r="G465" s="158"/>
      <c r="H465" s="158"/>
      <c r="I465" s="158"/>
      <c r="J465" s="158"/>
      <c r="K465" s="158"/>
      <c r="L465" s="158"/>
      <c r="M465" s="158"/>
      <c r="N465" s="158"/>
    </row>
    <row r="466" spans="1:14" ht="13.8">
      <c r="A466" s="158"/>
      <c r="B466" s="158"/>
      <c r="C466" s="158"/>
      <c r="D466" s="158"/>
      <c r="E466" s="158"/>
      <c r="F466" s="46"/>
      <c r="G466" s="158"/>
      <c r="H466" s="158"/>
      <c r="I466" s="158"/>
      <c r="J466" s="158"/>
      <c r="K466" s="158"/>
      <c r="L466" s="158"/>
      <c r="M466" s="158"/>
      <c r="N466" s="158"/>
    </row>
    <row r="467" spans="1:14" ht="13.8">
      <c r="A467" s="158"/>
      <c r="B467" s="158"/>
      <c r="C467" s="158"/>
      <c r="D467" s="158"/>
      <c r="E467" s="158"/>
      <c r="F467" s="46"/>
      <c r="G467" s="158"/>
      <c r="H467" s="158"/>
      <c r="I467" s="158"/>
      <c r="J467" s="158"/>
      <c r="K467" s="158"/>
      <c r="L467" s="158"/>
      <c r="M467" s="158"/>
      <c r="N467" s="158"/>
    </row>
    <row r="468" spans="1:14" ht="13.8">
      <c r="A468" s="158"/>
      <c r="B468" s="158"/>
      <c r="C468" s="158"/>
      <c r="D468" s="158"/>
      <c r="E468" s="158"/>
      <c r="F468" s="46"/>
      <c r="G468" s="158"/>
      <c r="H468" s="158"/>
      <c r="I468" s="158"/>
      <c r="J468" s="158"/>
      <c r="K468" s="158"/>
      <c r="L468" s="158"/>
      <c r="M468" s="158"/>
      <c r="N468" s="158"/>
    </row>
    <row r="469" spans="1:14" ht="13.8">
      <c r="A469" s="158"/>
      <c r="B469" s="158"/>
      <c r="C469" s="158"/>
      <c r="D469" s="158"/>
      <c r="E469" s="158"/>
      <c r="F469" s="46"/>
      <c r="G469" s="158"/>
      <c r="H469" s="158"/>
      <c r="I469" s="158"/>
      <c r="J469" s="158"/>
      <c r="K469" s="158"/>
      <c r="L469" s="158"/>
      <c r="M469" s="158"/>
      <c r="N469" s="158"/>
    </row>
    <row r="470" spans="1:14" ht="13.8">
      <c r="A470" s="158"/>
      <c r="B470" s="158"/>
      <c r="C470" s="158"/>
      <c r="D470" s="158"/>
      <c r="E470" s="158"/>
      <c r="F470" s="46"/>
      <c r="G470" s="158"/>
      <c r="H470" s="158"/>
      <c r="I470" s="158"/>
      <c r="J470" s="158"/>
      <c r="K470" s="158"/>
      <c r="L470" s="158"/>
      <c r="M470" s="158"/>
      <c r="N470" s="158"/>
    </row>
    <row r="471" spans="1:14" ht="13.8">
      <c r="A471" s="158"/>
      <c r="B471" s="158"/>
      <c r="C471" s="158"/>
      <c r="D471" s="158"/>
      <c r="E471" s="158"/>
      <c r="F471" s="46"/>
      <c r="G471" s="158"/>
      <c r="H471" s="158"/>
      <c r="I471" s="158"/>
      <c r="J471" s="158"/>
      <c r="K471" s="158"/>
      <c r="L471" s="158"/>
      <c r="M471" s="158"/>
      <c r="N471" s="158"/>
    </row>
    <row r="472" spans="1:14" ht="13.8">
      <c r="A472" s="158"/>
      <c r="B472" s="158"/>
      <c r="C472" s="158"/>
      <c r="D472" s="158"/>
      <c r="E472" s="158"/>
      <c r="F472" s="46"/>
      <c r="G472" s="158"/>
      <c r="H472" s="158"/>
      <c r="I472" s="158"/>
      <c r="J472" s="158"/>
      <c r="K472" s="158"/>
      <c r="L472" s="158"/>
      <c r="M472" s="158"/>
      <c r="N472" s="158"/>
    </row>
    <row r="473" spans="1:14" ht="13.8">
      <c r="A473" s="158"/>
      <c r="B473" s="158"/>
      <c r="C473" s="158"/>
      <c r="D473" s="158"/>
      <c r="E473" s="158"/>
      <c r="F473" s="46"/>
      <c r="G473" s="158"/>
      <c r="H473" s="158"/>
      <c r="I473" s="158"/>
      <c r="J473" s="158"/>
      <c r="K473" s="158"/>
      <c r="L473" s="158"/>
      <c r="M473" s="158"/>
      <c r="N473" s="158"/>
    </row>
    <row r="474" spans="1:14" ht="13.8">
      <c r="A474" s="158"/>
      <c r="B474" s="158"/>
      <c r="C474" s="158"/>
      <c r="D474" s="158"/>
      <c r="E474" s="158"/>
      <c r="F474" s="46"/>
      <c r="G474" s="158"/>
      <c r="H474" s="158"/>
      <c r="I474" s="158"/>
      <c r="J474" s="158"/>
      <c r="K474" s="158"/>
      <c r="L474" s="158"/>
      <c r="M474" s="158"/>
      <c r="N474" s="158"/>
    </row>
    <row r="475" spans="1:14" ht="13.8">
      <c r="A475" s="158"/>
      <c r="B475" s="158"/>
      <c r="C475" s="158"/>
      <c r="D475" s="158"/>
      <c r="E475" s="158"/>
      <c r="F475" s="46"/>
      <c r="G475" s="158"/>
      <c r="H475" s="158"/>
      <c r="I475" s="158"/>
      <c r="J475" s="158"/>
      <c r="K475" s="158"/>
      <c r="L475" s="158"/>
      <c r="M475" s="158"/>
      <c r="N475" s="158"/>
    </row>
    <row r="476" spans="1:14" ht="13.8">
      <c r="A476" s="158"/>
      <c r="B476" s="158"/>
      <c r="C476" s="158"/>
      <c r="D476" s="158"/>
      <c r="E476" s="158"/>
      <c r="F476" s="46"/>
      <c r="G476" s="158"/>
      <c r="H476" s="158"/>
      <c r="I476" s="158"/>
      <c r="J476" s="158"/>
      <c r="K476" s="158"/>
      <c r="L476" s="158"/>
      <c r="M476" s="158"/>
      <c r="N476" s="158"/>
    </row>
    <row r="477" spans="1:14" ht="13.8">
      <c r="A477" s="158"/>
      <c r="B477" s="158"/>
      <c r="C477" s="158"/>
      <c r="D477" s="158"/>
      <c r="E477" s="158"/>
      <c r="F477" s="46"/>
      <c r="G477" s="158"/>
      <c r="H477" s="158"/>
      <c r="I477" s="158"/>
      <c r="J477" s="158"/>
      <c r="K477" s="158"/>
      <c r="L477" s="158"/>
      <c r="M477" s="158"/>
      <c r="N477" s="158"/>
    </row>
    <row r="478" spans="1:14" ht="13.8">
      <c r="A478" s="158"/>
      <c r="B478" s="158"/>
      <c r="C478" s="158"/>
      <c r="D478" s="158"/>
      <c r="E478" s="158"/>
      <c r="F478" s="46"/>
      <c r="G478" s="158"/>
      <c r="H478" s="158"/>
      <c r="I478" s="158"/>
      <c r="J478" s="158"/>
      <c r="K478" s="158"/>
      <c r="L478" s="158"/>
      <c r="M478" s="158"/>
      <c r="N478" s="158"/>
    </row>
    <row r="479" spans="1:14" ht="13.8">
      <c r="A479" s="158"/>
      <c r="B479" s="158"/>
      <c r="C479" s="158"/>
      <c r="D479" s="158"/>
      <c r="E479" s="158"/>
      <c r="F479" s="46"/>
      <c r="G479" s="158"/>
      <c r="H479" s="158"/>
      <c r="I479" s="158"/>
      <c r="J479" s="158"/>
      <c r="K479" s="158"/>
      <c r="L479" s="158"/>
      <c r="M479" s="158"/>
      <c r="N479" s="158"/>
    </row>
    <row r="480" spans="1:14" ht="13.8">
      <c r="A480" s="158"/>
      <c r="B480" s="158"/>
      <c r="C480" s="158"/>
      <c r="D480" s="158"/>
      <c r="E480" s="158"/>
      <c r="F480" s="46"/>
      <c r="G480" s="158"/>
      <c r="H480" s="158"/>
      <c r="I480" s="158"/>
      <c r="J480" s="158"/>
      <c r="K480" s="158"/>
      <c r="L480" s="158"/>
      <c r="M480" s="158"/>
      <c r="N480" s="158"/>
    </row>
    <row r="481" spans="1:14" ht="13.8">
      <c r="A481" s="158"/>
      <c r="B481" s="158"/>
      <c r="C481" s="158"/>
      <c r="D481" s="158"/>
      <c r="E481" s="158"/>
      <c r="F481" s="46"/>
      <c r="G481" s="158"/>
      <c r="H481" s="158"/>
      <c r="I481" s="158"/>
      <c r="J481" s="158"/>
      <c r="K481" s="158"/>
      <c r="L481" s="158"/>
      <c r="M481" s="158"/>
      <c r="N481" s="158"/>
    </row>
    <row r="482" spans="1:14" ht="13.8">
      <c r="A482" s="158"/>
      <c r="B482" s="158"/>
      <c r="C482" s="158"/>
      <c r="D482" s="158"/>
      <c r="E482" s="158"/>
      <c r="F482" s="46"/>
      <c r="G482" s="158"/>
      <c r="H482" s="158"/>
      <c r="I482" s="158"/>
      <c r="J482" s="158"/>
      <c r="K482" s="158"/>
      <c r="L482" s="158"/>
      <c r="M482" s="158"/>
      <c r="N482" s="158"/>
    </row>
    <row r="483" spans="1:14" ht="13.8">
      <c r="A483" s="158"/>
      <c r="B483" s="158"/>
      <c r="C483" s="158"/>
      <c r="D483" s="158"/>
      <c r="E483" s="158"/>
      <c r="F483" s="46"/>
      <c r="G483" s="158"/>
      <c r="H483" s="158"/>
      <c r="I483" s="158"/>
      <c r="J483" s="158"/>
      <c r="K483" s="158"/>
      <c r="L483" s="158"/>
      <c r="M483" s="158"/>
      <c r="N483" s="158"/>
    </row>
    <row r="484" spans="1:14" ht="13.8">
      <c r="A484" s="158"/>
      <c r="B484" s="158"/>
      <c r="C484" s="158"/>
      <c r="D484" s="158"/>
      <c r="E484" s="158"/>
      <c r="F484" s="46"/>
      <c r="G484" s="158"/>
      <c r="H484" s="158"/>
      <c r="I484" s="158"/>
      <c r="J484" s="158"/>
      <c r="K484" s="158"/>
      <c r="L484" s="158"/>
      <c r="M484" s="158"/>
      <c r="N484" s="158"/>
    </row>
    <row r="485" spans="1:14" ht="13.8">
      <c r="A485" s="158"/>
      <c r="B485" s="158"/>
      <c r="C485" s="158"/>
      <c r="D485" s="158"/>
      <c r="E485" s="158"/>
      <c r="F485" s="46"/>
      <c r="G485" s="158"/>
      <c r="H485" s="158"/>
      <c r="I485" s="158"/>
      <c r="J485" s="158"/>
      <c r="K485" s="158"/>
      <c r="L485" s="158"/>
      <c r="M485" s="158"/>
      <c r="N485" s="158"/>
    </row>
    <row r="486" spans="1:14" ht="13.8">
      <c r="A486" s="158"/>
      <c r="B486" s="158"/>
      <c r="C486" s="158"/>
      <c r="D486" s="158"/>
      <c r="E486" s="158"/>
      <c r="F486" s="46"/>
      <c r="G486" s="158"/>
      <c r="H486" s="158"/>
      <c r="I486" s="158"/>
      <c r="J486" s="158"/>
      <c r="K486" s="158"/>
      <c r="L486" s="158"/>
      <c r="M486" s="158"/>
      <c r="N486" s="158"/>
    </row>
    <row r="487" spans="1:14" ht="13.8">
      <c r="A487" s="158"/>
      <c r="B487" s="158"/>
      <c r="C487" s="158"/>
      <c r="D487" s="158"/>
      <c r="E487" s="158"/>
      <c r="F487" s="46"/>
      <c r="G487" s="158"/>
      <c r="H487" s="158"/>
      <c r="I487" s="158"/>
      <c r="J487" s="158"/>
      <c r="K487" s="158"/>
      <c r="L487" s="158"/>
      <c r="M487" s="158"/>
      <c r="N487" s="158"/>
    </row>
    <row r="488" spans="1:14" ht="13.8">
      <c r="A488" s="158"/>
      <c r="B488" s="158"/>
      <c r="C488" s="158"/>
      <c r="D488" s="158"/>
      <c r="E488" s="158"/>
      <c r="F488" s="46"/>
      <c r="G488" s="158"/>
      <c r="H488" s="158"/>
      <c r="I488" s="158"/>
      <c r="J488" s="158"/>
      <c r="K488" s="158"/>
      <c r="L488" s="158"/>
      <c r="M488" s="158"/>
      <c r="N488" s="158"/>
    </row>
    <row r="489" spans="1:14" ht="13.8">
      <c r="A489" s="158"/>
      <c r="B489" s="158"/>
      <c r="C489" s="158"/>
      <c r="D489" s="158"/>
      <c r="E489" s="158"/>
      <c r="F489" s="46"/>
      <c r="G489" s="158"/>
      <c r="H489" s="158"/>
      <c r="I489" s="158"/>
      <c r="J489" s="158"/>
      <c r="K489" s="158"/>
      <c r="L489" s="158"/>
      <c r="M489" s="158"/>
      <c r="N489" s="158"/>
    </row>
    <row r="490" spans="1:14" ht="13.8">
      <c r="A490" s="158"/>
      <c r="B490" s="158"/>
      <c r="C490" s="158"/>
      <c r="D490" s="158"/>
      <c r="E490" s="158"/>
      <c r="F490" s="46"/>
      <c r="G490" s="158"/>
      <c r="H490" s="158"/>
      <c r="I490" s="158"/>
      <c r="J490" s="158"/>
      <c r="K490" s="158"/>
      <c r="L490" s="158"/>
      <c r="M490" s="158"/>
      <c r="N490" s="158"/>
    </row>
    <row r="491" spans="1:14" ht="13.8">
      <c r="A491" s="158"/>
      <c r="B491" s="158"/>
      <c r="C491" s="158"/>
      <c r="D491" s="158"/>
      <c r="E491" s="158"/>
      <c r="F491" s="46"/>
      <c r="G491" s="158"/>
      <c r="H491" s="158"/>
      <c r="I491" s="158"/>
      <c r="J491" s="158"/>
      <c r="K491" s="158"/>
      <c r="L491" s="158"/>
      <c r="M491" s="158"/>
      <c r="N491" s="158"/>
    </row>
    <row r="492" spans="1:14" ht="13.8">
      <c r="A492" s="158"/>
      <c r="B492" s="158"/>
      <c r="C492" s="158"/>
      <c r="D492" s="158"/>
      <c r="E492" s="158"/>
      <c r="F492" s="46"/>
      <c r="G492" s="158"/>
      <c r="H492" s="158"/>
      <c r="I492" s="158"/>
      <c r="J492" s="158"/>
      <c r="K492" s="158"/>
      <c r="L492" s="158"/>
      <c r="M492" s="158"/>
      <c r="N492" s="158"/>
    </row>
    <row r="493" spans="1:14" ht="13.8">
      <c r="A493" s="158"/>
      <c r="B493" s="158"/>
      <c r="C493" s="158"/>
      <c r="D493" s="158"/>
      <c r="E493" s="158"/>
      <c r="F493" s="46"/>
      <c r="G493" s="158"/>
      <c r="H493" s="158"/>
      <c r="I493" s="158"/>
      <c r="J493" s="158"/>
      <c r="K493" s="158"/>
      <c r="L493" s="158"/>
      <c r="M493" s="158"/>
      <c r="N493" s="158"/>
    </row>
    <row r="494" spans="1:14" ht="13.8">
      <c r="A494" s="158"/>
      <c r="B494" s="158"/>
      <c r="C494" s="158"/>
      <c r="D494" s="158"/>
      <c r="E494" s="158"/>
      <c r="F494" s="46"/>
      <c r="G494" s="158"/>
      <c r="H494" s="158"/>
      <c r="I494" s="158"/>
      <c r="J494" s="158"/>
      <c r="K494" s="158"/>
      <c r="L494" s="158"/>
      <c r="M494" s="158"/>
      <c r="N494" s="158"/>
    </row>
    <row r="495" spans="1:14" ht="13.8">
      <c r="A495" s="158"/>
      <c r="B495" s="158"/>
      <c r="C495" s="158"/>
      <c r="D495" s="158"/>
      <c r="E495" s="158"/>
      <c r="F495" s="46"/>
      <c r="G495" s="158"/>
      <c r="H495" s="158"/>
      <c r="I495" s="158"/>
      <c r="J495" s="158"/>
      <c r="K495" s="158"/>
      <c r="L495" s="158"/>
      <c r="M495" s="158"/>
      <c r="N495" s="158"/>
    </row>
    <row r="496" spans="1:14" ht="13.8">
      <c r="A496" s="158"/>
      <c r="B496" s="158"/>
      <c r="C496" s="158"/>
      <c r="D496" s="158"/>
      <c r="E496" s="158"/>
      <c r="F496" s="46"/>
      <c r="G496" s="158"/>
      <c r="H496" s="158"/>
      <c r="I496" s="158"/>
      <c r="J496" s="158"/>
      <c r="K496" s="158"/>
      <c r="L496" s="158"/>
      <c r="M496" s="158"/>
      <c r="N496" s="158"/>
    </row>
    <row r="497" spans="1:14" ht="13.8">
      <c r="A497" s="158"/>
      <c r="B497" s="158"/>
      <c r="C497" s="158"/>
      <c r="D497" s="158"/>
      <c r="E497" s="158"/>
      <c r="F497" s="46"/>
      <c r="G497" s="158"/>
      <c r="H497" s="158"/>
      <c r="I497" s="158"/>
      <c r="J497" s="158"/>
      <c r="K497" s="158"/>
      <c r="L497" s="158"/>
      <c r="M497" s="158"/>
      <c r="N497" s="158"/>
    </row>
    <row r="498" spans="1:14" ht="13.8">
      <c r="A498" s="158"/>
      <c r="B498" s="158"/>
      <c r="C498" s="158"/>
      <c r="D498" s="158"/>
      <c r="E498" s="158"/>
      <c r="F498" s="46"/>
      <c r="G498" s="158"/>
      <c r="H498" s="158"/>
      <c r="I498" s="158"/>
      <c r="J498" s="158"/>
      <c r="K498" s="158"/>
      <c r="L498" s="158"/>
      <c r="M498" s="158"/>
      <c r="N498" s="158"/>
    </row>
    <row r="499" spans="1:14" ht="13.8">
      <c r="A499" s="158"/>
      <c r="B499" s="158"/>
      <c r="C499" s="158"/>
      <c r="D499" s="158"/>
      <c r="E499" s="158"/>
      <c r="F499" s="46"/>
      <c r="G499" s="158"/>
      <c r="H499" s="158"/>
      <c r="I499" s="158"/>
      <c r="J499" s="158"/>
      <c r="K499" s="158"/>
      <c r="L499" s="158"/>
      <c r="M499" s="158"/>
      <c r="N499" s="158"/>
    </row>
    <row r="500" spans="1:14" ht="13.8">
      <c r="A500" s="158"/>
      <c r="B500" s="158"/>
      <c r="C500" s="158"/>
      <c r="D500" s="158"/>
      <c r="E500" s="158"/>
      <c r="F500" s="46"/>
      <c r="G500" s="158"/>
      <c r="H500" s="158"/>
      <c r="I500" s="158"/>
      <c r="J500" s="158"/>
      <c r="K500" s="158"/>
      <c r="L500" s="158"/>
      <c r="M500" s="158"/>
      <c r="N500" s="158"/>
    </row>
    <row r="501" spans="1:14" ht="13.8">
      <c r="A501" s="158"/>
      <c r="B501" s="158"/>
      <c r="C501" s="158"/>
      <c r="D501" s="158"/>
      <c r="E501" s="158"/>
      <c r="F501" s="46"/>
      <c r="G501" s="158"/>
      <c r="H501" s="158"/>
      <c r="I501" s="158"/>
      <c r="J501" s="158"/>
      <c r="K501" s="158"/>
      <c r="L501" s="158"/>
      <c r="M501" s="158"/>
      <c r="N501" s="158"/>
    </row>
    <row r="502" spans="1:14" ht="13.8">
      <c r="A502" s="158"/>
      <c r="B502" s="158"/>
      <c r="C502" s="158"/>
      <c r="D502" s="158"/>
      <c r="E502" s="158"/>
      <c r="F502" s="46"/>
      <c r="G502" s="158"/>
      <c r="H502" s="158"/>
      <c r="I502" s="158"/>
      <c r="J502" s="158"/>
      <c r="K502" s="158"/>
      <c r="L502" s="158"/>
      <c r="M502" s="158"/>
      <c r="N502" s="158"/>
    </row>
    <row r="503" spans="1:14" ht="13.8">
      <c r="A503" s="158"/>
      <c r="B503" s="158"/>
      <c r="C503" s="158"/>
      <c r="D503" s="158"/>
      <c r="E503" s="158"/>
      <c r="F503" s="46"/>
      <c r="G503" s="158"/>
      <c r="H503" s="158"/>
      <c r="I503" s="158"/>
      <c r="J503" s="158"/>
      <c r="K503" s="158"/>
      <c r="L503" s="158"/>
      <c r="M503" s="158"/>
      <c r="N503" s="158"/>
    </row>
    <row r="504" spans="1:14" ht="13.8">
      <c r="A504" s="158"/>
      <c r="B504" s="158"/>
      <c r="C504" s="158"/>
      <c r="D504" s="158"/>
      <c r="E504" s="158"/>
      <c r="F504" s="46"/>
      <c r="G504" s="158"/>
      <c r="H504" s="158"/>
      <c r="I504" s="158"/>
      <c r="J504" s="158"/>
      <c r="K504" s="158"/>
      <c r="L504" s="158"/>
      <c r="M504" s="158"/>
      <c r="N504" s="158"/>
    </row>
    <row r="505" spans="1:14" ht="13.8">
      <c r="A505" s="158"/>
      <c r="B505" s="158"/>
      <c r="C505" s="158"/>
      <c r="D505" s="158"/>
      <c r="E505" s="158"/>
      <c r="F505" s="46"/>
      <c r="G505" s="158"/>
      <c r="H505" s="158"/>
      <c r="I505" s="158"/>
      <c r="J505" s="158"/>
      <c r="K505" s="158"/>
      <c r="L505" s="158"/>
      <c r="M505" s="158"/>
      <c r="N505" s="158"/>
    </row>
    <row r="506" spans="1:14" ht="13.8">
      <c r="A506" s="158"/>
      <c r="B506" s="158"/>
      <c r="C506" s="158"/>
      <c r="D506" s="158"/>
      <c r="E506" s="158"/>
      <c r="F506" s="46"/>
      <c r="G506" s="158"/>
      <c r="H506" s="158"/>
      <c r="I506" s="158"/>
      <c r="J506" s="158"/>
      <c r="K506" s="158"/>
      <c r="L506" s="158"/>
      <c r="M506" s="158"/>
      <c r="N506" s="158"/>
    </row>
    <row r="507" spans="1:14" ht="13.8">
      <c r="A507" s="158"/>
      <c r="B507" s="158"/>
      <c r="C507" s="158"/>
      <c r="D507" s="158"/>
      <c r="E507" s="158"/>
      <c r="F507" s="46"/>
      <c r="G507" s="158"/>
      <c r="H507" s="158"/>
      <c r="I507" s="158"/>
      <c r="J507" s="158"/>
      <c r="K507" s="158"/>
      <c r="L507" s="158"/>
      <c r="M507" s="158"/>
      <c r="N507" s="158"/>
    </row>
    <row r="508" spans="1:14" ht="13.8">
      <c r="A508" s="158"/>
      <c r="B508" s="158"/>
      <c r="C508" s="158"/>
      <c r="D508" s="158"/>
      <c r="E508" s="158"/>
      <c r="F508" s="46"/>
      <c r="G508" s="158"/>
      <c r="H508" s="158"/>
      <c r="I508" s="158"/>
      <c r="J508" s="158"/>
      <c r="K508" s="158"/>
      <c r="L508" s="158"/>
      <c r="M508" s="158"/>
      <c r="N508" s="158"/>
    </row>
    <row r="509" spans="1:14" ht="13.8">
      <c r="A509" s="158"/>
      <c r="B509" s="158"/>
      <c r="C509" s="158"/>
      <c r="D509" s="158"/>
      <c r="E509" s="158"/>
      <c r="F509" s="46"/>
      <c r="G509" s="158"/>
      <c r="H509" s="158"/>
      <c r="I509" s="158"/>
      <c r="J509" s="158"/>
      <c r="K509" s="158"/>
      <c r="L509" s="158"/>
      <c r="M509" s="158"/>
      <c r="N509" s="158"/>
    </row>
    <row r="510" spans="1:14" ht="13.8">
      <c r="A510" s="158"/>
      <c r="B510" s="158"/>
      <c r="C510" s="158"/>
      <c r="D510" s="158"/>
      <c r="E510" s="158"/>
      <c r="F510" s="46"/>
      <c r="G510" s="158"/>
      <c r="H510" s="158"/>
      <c r="I510" s="158"/>
      <c r="J510" s="158"/>
      <c r="K510" s="158"/>
      <c r="L510" s="158"/>
      <c r="M510" s="158"/>
      <c r="N510" s="158"/>
    </row>
    <row r="511" spans="1:14" ht="13.8">
      <c r="A511" s="158"/>
      <c r="B511" s="158"/>
      <c r="C511" s="158"/>
      <c r="D511" s="158"/>
      <c r="E511" s="158"/>
      <c r="F511" s="46"/>
      <c r="G511" s="158"/>
      <c r="H511" s="158"/>
      <c r="I511" s="158"/>
      <c r="J511" s="158"/>
      <c r="K511" s="158"/>
      <c r="L511" s="158"/>
      <c r="M511" s="158"/>
      <c r="N511" s="158"/>
    </row>
    <row r="512" spans="1:14" ht="13.8">
      <c r="A512" s="158"/>
      <c r="B512" s="158"/>
      <c r="C512" s="158"/>
      <c r="D512" s="158"/>
      <c r="E512" s="158"/>
      <c r="F512" s="46"/>
      <c r="G512" s="158"/>
      <c r="H512" s="158"/>
      <c r="I512" s="158"/>
      <c r="J512" s="158"/>
      <c r="K512" s="158"/>
      <c r="L512" s="158"/>
      <c r="M512" s="158"/>
      <c r="N512" s="158"/>
    </row>
    <row r="513" spans="1:14" ht="13.8">
      <c r="A513" s="158"/>
      <c r="B513" s="158"/>
      <c r="C513" s="158"/>
      <c r="D513" s="158"/>
      <c r="E513" s="158"/>
      <c r="F513" s="46"/>
      <c r="G513" s="158"/>
      <c r="H513" s="158"/>
      <c r="I513" s="158"/>
      <c r="J513" s="158"/>
      <c r="K513" s="158"/>
      <c r="L513" s="158"/>
      <c r="M513" s="158"/>
      <c r="N513" s="158"/>
    </row>
    <row r="514" spans="1:14" ht="13.8">
      <c r="A514" s="158"/>
      <c r="B514" s="158"/>
      <c r="C514" s="158"/>
      <c r="D514" s="158"/>
      <c r="E514" s="158"/>
      <c r="F514" s="46"/>
      <c r="G514" s="158"/>
      <c r="H514" s="158"/>
      <c r="I514" s="158"/>
      <c r="J514" s="158"/>
      <c r="K514" s="158"/>
      <c r="L514" s="158"/>
      <c r="M514" s="158"/>
      <c r="N514" s="158"/>
    </row>
    <row r="515" spans="1:14" ht="13.8">
      <c r="A515" s="158"/>
      <c r="B515" s="158"/>
      <c r="C515" s="158"/>
      <c r="D515" s="158"/>
      <c r="E515" s="158"/>
      <c r="F515" s="46"/>
      <c r="G515" s="158"/>
      <c r="H515" s="158"/>
      <c r="I515" s="158"/>
      <c r="J515" s="158"/>
      <c r="K515" s="158"/>
      <c r="L515" s="158"/>
      <c r="M515" s="158"/>
      <c r="N515" s="158"/>
    </row>
    <row r="516" spans="1:14" ht="13.8">
      <c r="A516" s="158"/>
      <c r="B516" s="158"/>
      <c r="C516" s="158"/>
      <c r="D516" s="158"/>
      <c r="E516" s="158"/>
      <c r="F516" s="46"/>
      <c r="G516" s="158"/>
      <c r="H516" s="158"/>
      <c r="I516" s="158"/>
      <c r="J516" s="158"/>
      <c r="K516" s="158"/>
      <c r="L516" s="158"/>
      <c r="M516" s="158"/>
      <c r="N516" s="158"/>
    </row>
    <row r="517" spans="1:14" ht="13.8">
      <c r="A517" s="158"/>
      <c r="B517" s="158"/>
      <c r="C517" s="158"/>
      <c r="D517" s="158"/>
      <c r="E517" s="158"/>
      <c r="F517" s="46"/>
      <c r="G517" s="158"/>
      <c r="H517" s="158"/>
      <c r="I517" s="158"/>
      <c r="J517" s="158"/>
      <c r="K517" s="158"/>
      <c r="L517" s="158"/>
      <c r="M517" s="158"/>
      <c r="N517" s="158"/>
    </row>
    <row r="518" spans="1:14" ht="13.8">
      <c r="A518" s="158"/>
      <c r="B518" s="158"/>
      <c r="C518" s="158"/>
      <c r="D518" s="158"/>
      <c r="E518" s="158"/>
      <c r="F518" s="46"/>
      <c r="G518" s="158"/>
      <c r="H518" s="158"/>
      <c r="I518" s="158"/>
      <c r="J518" s="158"/>
      <c r="K518" s="158"/>
      <c r="L518" s="158"/>
      <c r="M518" s="158"/>
      <c r="N518" s="158"/>
    </row>
    <row r="519" spans="1:14" ht="13.8">
      <c r="A519" s="158"/>
      <c r="B519" s="158"/>
      <c r="C519" s="158"/>
      <c r="D519" s="158"/>
      <c r="E519" s="158"/>
      <c r="F519" s="46"/>
      <c r="G519" s="158"/>
      <c r="H519" s="158"/>
      <c r="I519" s="158"/>
      <c r="J519" s="158"/>
      <c r="K519" s="158"/>
      <c r="L519" s="158"/>
      <c r="M519" s="158"/>
      <c r="N519" s="158"/>
    </row>
    <row r="520" spans="1:14" ht="13.8">
      <c r="A520" s="158"/>
      <c r="B520" s="158"/>
      <c r="C520" s="158"/>
      <c r="D520" s="158"/>
      <c r="E520" s="158"/>
      <c r="F520" s="46"/>
      <c r="G520" s="158"/>
      <c r="H520" s="158"/>
      <c r="I520" s="158"/>
      <c r="J520" s="158"/>
      <c r="K520" s="158"/>
      <c r="L520" s="158"/>
      <c r="M520" s="158"/>
      <c r="N520" s="158"/>
    </row>
    <row r="521" spans="1:14" ht="13.8">
      <c r="A521" s="158"/>
      <c r="B521" s="158"/>
      <c r="C521" s="158"/>
      <c r="D521" s="158"/>
      <c r="E521" s="158"/>
      <c r="F521" s="46"/>
      <c r="G521" s="158"/>
      <c r="H521" s="158"/>
      <c r="I521" s="158"/>
      <c r="J521" s="158"/>
      <c r="K521" s="158"/>
      <c r="L521" s="158"/>
      <c r="M521" s="158"/>
      <c r="N521" s="158"/>
    </row>
    <row r="522" spans="1:14" ht="13.8">
      <c r="A522" s="158"/>
      <c r="B522" s="158"/>
      <c r="C522" s="158"/>
      <c r="D522" s="158"/>
      <c r="E522" s="158"/>
      <c r="F522" s="46"/>
      <c r="G522" s="158"/>
      <c r="H522" s="158"/>
      <c r="I522" s="158"/>
      <c r="J522" s="158"/>
      <c r="K522" s="158"/>
      <c r="L522" s="158"/>
      <c r="M522" s="158"/>
      <c r="N522" s="158"/>
    </row>
    <row r="523" spans="1:14" ht="13.8">
      <c r="A523" s="158"/>
      <c r="B523" s="158"/>
      <c r="C523" s="158"/>
      <c r="D523" s="158"/>
      <c r="E523" s="158"/>
      <c r="F523" s="46"/>
      <c r="G523" s="158"/>
      <c r="H523" s="158"/>
      <c r="I523" s="158"/>
      <c r="J523" s="158"/>
      <c r="K523" s="158"/>
      <c r="L523" s="158"/>
      <c r="M523" s="158"/>
      <c r="N523" s="158"/>
    </row>
    <row r="524" spans="1:14" ht="13.8">
      <c r="A524" s="158"/>
      <c r="B524" s="158"/>
      <c r="C524" s="158"/>
      <c r="D524" s="158"/>
      <c r="E524" s="158"/>
      <c r="F524" s="46"/>
      <c r="G524" s="158"/>
      <c r="H524" s="158"/>
      <c r="I524" s="158"/>
      <c r="J524" s="158"/>
      <c r="K524" s="158"/>
      <c r="L524" s="158"/>
      <c r="M524" s="158"/>
      <c r="N524" s="158"/>
    </row>
    <row r="525" spans="1:14" ht="13.8">
      <c r="A525" s="158"/>
      <c r="B525" s="158"/>
      <c r="C525" s="158"/>
      <c r="D525" s="158"/>
      <c r="E525" s="158"/>
      <c r="F525" s="46"/>
      <c r="G525" s="158"/>
      <c r="H525" s="158"/>
      <c r="I525" s="158"/>
      <c r="J525" s="158"/>
      <c r="K525" s="158"/>
      <c r="L525" s="158"/>
      <c r="M525" s="158"/>
      <c r="N525" s="158"/>
    </row>
    <row r="526" spans="1:14" ht="13.8">
      <c r="A526" s="158"/>
      <c r="B526" s="158"/>
      <c r="C526" s="158"/>
      <c r="D526" s="158"/>
      <c r="E526" s="158"/>
      <c r="F526" s="46"/>
      <c r="G526" s="158"/>
      <c r="H526" s="158"/>
      <c r="I526" s="158"/>
      <c r="J526" s="158"/>
      <c r="K526" s="158"/>
      <c r="L526" s="158"/>
      <c r="M526" s="158"/>
      <c r="N526" s="158"/>
    </row>
    <row r="527" spans="1:14" ht="13.8">
      <c r="A527" s="158"/>
      <c r="B527" s="158"/>
      <c r="C527" s="158"/>
      <c r="D527" s="158"/>
      <c r="E527" s="158"/>
      <c r="F527" s="46"/>
      <c r="G527" s="158"/>
      <c r="H527" s="158"/>
      <c r="I527" s="158"/>
      <c r="J527" s="158"/>
      <c r="K527" s="158"/>
      <c r="L527" s="158"/>
      <c r="M527" s="158"/>
      <c r="N527" s="158"/>
    </row>
    <row r="528" spans="1:14" ht="13.8">
      <c r="A528" s="158"/>
      <c r="B528" s="158"/>
      <c r="C528" s="158"/>
      <c r="D528" s="158"/>
      <c r="E528" s="158"/>
      <c r="F528" s="46"/>
      <c r="G528" s="158"/>
      <c r="H528" s="158"/>
      <c r="I528" s="158"/>
      <c r="J528" s="158"/>
      <c r="K528" s="158"/>
      <c r="L528" s="158"/>
      <c r="M528" s="158"/>
      <c r="N528" s="158"/>
    </row>
    <row r="529" spans="1:14" ht="13.8">
      <c r="A529" s="158"/>
      <c r="B529" s="158"/>
      <c r="C529" s="158"/>
      <c r="D529" s="158"/>
      <c r="E529" s="158"/>
      <c r="F529" s="46"/>
      <c r="G529" s="158"/>
      <c r="H529" s="158"/>
      <c r="I529" s="158"/>
      <c r="J529" s="158"/>
      <c r="K529" s="158"/>
      <c r="L529" s="158"/>
      <c r="M529" s="158"/>
      <c r="N529" s="158"/>
    </row>
    <row r="530" spans="1:14" ht="13.8">
      <c r="A530" s="158"/>
      <c r="B530" s="158"/>
      <c r="C530" s="158"/>
      <c r="D530" s="158"/>
      <c r="E530" s="158"/>
      <c r="F530" s="46"/>
      <c r="G530" s="158"/>
      <c r="H530" s="158"/>
      <c r="I530" s="158"/>
      <c r="J530" s="158"/>
      <c r="K530" s="158"/>
      <c r="L530" s="158"/>
      <c r="M530" s="158"/>
      <c r="N530" s="158"/>
    </row>
    <row r="531" spans="1:14" ht="13.8">
      <c r="A531" s="158"/>
      <c r="B531" s="158"/>
      <c r="C531" s="158"/>
      <c r="D531" s="158"/>
      <c r="E531" s="158"/>
      <c r="F531" s="46"/>
      <c r="G531" s="158"/>
      <c r="H531" s="158"/>
      <c r="I531" s="158"/>
      <c r="J531" s="158"/>
      <c r="K531" s="158"/>
      <c r="L531" s="158"/>
      <c r="M531" s="158"/>
      <c r="N531" s="158"/>
    </row>
    <row r="532" spans="1:14" ht="13.8">
      <c r="A532" s="158"/>
      <c r="B532" s="158"/>
      <c r="C532" s="158"/>
      <c r="D532" s="158"/>
      <c r="E532" s="158"/>
      <c r="F532" s="46"/>
      <c r="G532" s="158"/>
      <c r="H532" s="158"/>
      <c r="I532" s="158"/>
      <c r="J532" s="158"/>
      <c r="K532" s="158"/>
      <c r="L532" s="158"/>
      <c r="M532" s="158"/>
      <c r="N532" s="158"/>
    </row>
    <row r="533" spans="1:14" ht="13.8">
      <c r="A533" s="158"/>
      <c r="B533" s="158"/>
      <c r="C533" s="158"/>
      <c r="D533" s="158"/>
      <c r="E533" s="158"/>
      <c r="F533" s="46"/>
      <c r="G533" s="158"/>
      <c r="H533" s="158"/>
      <c r="I533" s="158"/>
      <c r="J533" s="158"/>
      <c r="K533" s="158"/>
      <c r="L533" s="158"/>
      <c r="M533" s="158"/>
      <c r="N533" s="158"/>
    </row>
    <row r="534" spans="1:14" ht="13.8">
      <c r="A534" s="158"/>
      <c r="B534" s="158"/>
      <c r="C534" s="158"/>
      <c r="D534" s="158"/>
      <c r="E534" s="158"/>
      <c r="F534" s="46"/>
      <c r="G534" s="158"/>
      <c r="H534" s="158"/>
      <c r="I534" s="158"/>
      <c r="J534" s="158"/>
      <c r="K534" s="158"/>
      <c r="L534" s="158"/>
      <c r="M534" s="158"/>
      <c r="N534" s="158"/>
    </row>
    <row r="535" spans="1:14" ht="13.8">
      <c r="A535" s="158"/>
      <c r="B535" s="158"/>
      <c r="C535" s="158"/>
      <c r="D535" s="158"/>
      <c r="E535" s="158"/>
      <c r="F535" s="46"/>
      <c r="G535" s="158"/>
      <c r="H535" s="158"/>
      <c r="I535" s="158"/>
      <c r="J535" s="158"/>
      <c r="K535" s="158"/>
      <c r="L535" s="158"/>
      <c r="M535" s="158"/>
      <c r="N535" s="158"/>
    </row>
    <row r="536" spans="1:14" ht="13.8">
      <c r="A536" s="158"/>
      <c r="B536" s="158"/>
      <c r="C536" s="158"/>
      <c r="D536" s="158"/>
      <c r="E536" s="158"/>
      <c r="F536" s="46"/>
      <c r="G536" s="158"/>
      <c r="H536" s="158"/>
      <c r="I536" s="158"/>
      <c r="J536" s="158"/>
      <c r="K536" s="158"/>
      <c r="L536" s="158"/>
      <c r="M536" s="158"/>
      <c r="N536" s="158"/>
    </row>
    <row r="537" spans="1:14" ht="13.8">
      <c r="A537" s="158"/>
      <c r="B537" s="158"/>
      <c r="C537" s="158"/>
      <c r="D537" s="158"/>
      <c r="E537" s="158"/>
      <c r="F537" s="46"/>
      <c r="G537" s="158"/>
      <c r="H537" s="158"/>
      <c r="I537" s="158"/>
      <c r="J537" s="158"/>
      <c r="K537" s="158"/>
      <c r="L537" s="158"/>
      <c r="M537" s="158"/>
      <c r="N537" s="158"/>
    </row>
    <row r="538" spans="1:14" ht="13.8">
      <c r="A538" s="158"/>
      <c r="B538" s="158"/>
      <c r="C538" s="158"/>
      <c r="D538" s="158"/>
      <c r="E538" s="158"/>
      <c r="F538" s="46"/>
      <c r="G538" s="158"/>
      <c r="H538" s="158"/>
      <c r="I538" s="158"/>
      <c r="J538" s="158"/>
      <c r="K538" s="158"/>
      <c r="L538" s="158"/>
      <c r="M538" s="158"/>
      <c r="N538" s="158"/>
    </row>
    <row r="539" spans="1:14" ht="13.8">
      <c r="A539" s="158"/>
      <c r="B539" s="158"/>
      <c r="C539" s="158"/>
      <c r="D539" s="158"/>
      <c r="E539" s="158"/>
      <c r="F539" s="46"/>
      <c r="G539" s="158"/>
      <c r="H539" s="158"/>
      <c r="I539" s="158"/>
      <c r="J539" s="158"/>
      <c r="K539" s="158"/>
      <c r="L539" s="158"/>
      <c r="M539" s="158"/>
      <c r="N539" s="158"/>
    </row>
    <row r="540" spans="1:14" ht="13.8">
      <c r="A540" s="158"/>
      <c r="B540" s="158"/>
      <c r="C540" s="158"/>
      <c r="D540" s="158"/>
      <c r="E540" s="158"/>
      <c r="F540" s="46"/>
      <c r="G540" s="158"/>
      <c r="H540" s="158"/>
      <c r="I540" s="158"/>
      <c r="J540" s="158"/>
      <c r="K540" s="158"/>
      <c r="L540" s="158"/>
      <c r="M540" s="158"/>
      <c r="N540" s="158"/>
    </row>
    <row r="541" spans="1:14" ht="13.8">
      <c r="A541" s="158"/>
      <c r="B541" s="158"/>
      <c r="C541" s="158"/>
      <c r="D541" s="158"/>
      <c r="E541" s="158"/>
      <c r="F541" s="46"/>
      <c r="G541" s="158"/>
      <c r="H541" s="158"/>
      <c r="I541" s="158"/>
      <c r="J541" s="158"/>
      <c r="K541" s="158"/>
      <c r="L541" s="158"/>
      <c r="M541" s="158"/>
      <c r="N541" s="158"/>
    </row>
    <row r="542" spans="1:14" ht="13.8">
      <c r="A542" s="158"/>
      <c r="B542" s="158"/>
      <c r="C542" s="158"/>
      <c r="D542" s="158"/>
      <c r="E542" s="158"/>
      <c r="F542" s="46"/>
      <c r="G542" s="158"/>
      <c r="H542" s="158"/>
      <c r="I542" s="158"/>
      <c r="J542" s="158"/>
      <c r="K542" s="158"/>
      <c r="L542" s="158"/>
      <c r="M542" s="158"/>
      <c r="N542" s="158"/>
    </row>
    <row r="543" spans="1:14" ht="13.8">
      <c r="A543" s="158"/>
      <c r="B543" s="158"/>
      <c r="C543" s="158"/>
      <c r="D543" s="158"/>
      <c r="E543" s="158"/>
      <c r="F543" s="46"/>
      <c r="G543" s="158"/>
      <c r="H543" s="158"/>
      <c r="I543" s="158"/>
      <c r="J543" s="158"/>
      <c r="K543" s="158"/>
      <c r="L543" s="158"/>
      <c r="M543" s="158"/>
      <c r="N543" s="158"/>
    </row>
    <row r="544" spans="1:14" ht="13.8">
      <c r="A544" s="158"/>
      <c r="B544" s="158"/>
      <c r="C544" s="158"/>
      <c r="D544" s="158"/>
      <c r="E544" s="158"/>
      <c r="F544" s="46"/>
      <c r="G544" s="158"/>
      <c r="H544" s="158"/>
      <c r="I544" s="158"/>
      <c r="J544" s="158"/>
      <c r="K544" s="158"/>
      <c r="L544" s="158"/>
      <c r="M544" s="158"/>
      <c r="N544" s="158"/>
    </row>
    <row r="545" spans="1:14" ht="13.8">
      <c r="A545" s="158"/>
      <c r="B545" s="158"/>
      <c r="C545" s="158"/>
      <c r="D545" s="158"/>
      <c r="E545" s="158"/>
      <c r="F545" s="46"/>
      <c r="G545" s="158"/>
      <c r="H545" s="158"/>
      <c r="I545" s="158"/>
      <c r="J545" s="158"/>
      <c r="K545" s="158"/>
      <c r="L545" s="158"/>
      <c r="M545" s="158"/>
      <c r="N545" s="158"/>
    </row>
    <row r="546" spans="1:14" ht="13.8">
      <c r="A546" s="158"/>
      <c r="B546" s="158"/>
      <c r="C546" s="158"/>
      <c r="D546" s="158"/>
      <c r="E546" s="158"/>
      <c r="F546" s="46"/>
      <c r="G546" s="158"/>
      <c r="H546" s="158"/>
      <c r="I546" s="158"/>
      <c r="J546" s="158"/>
      <c r="K546" s="158"/>
      <c r="L546" s="158"/>
      <c r="M546" s="158"/>
      <c r="N546" s="158"/>
    </row>
    <row r="547" spans="1:14" ht="13.8">
      <c r="A547" s="158"/>
      <c r="B547" s="158"/>
      <c r="C547" s="158"/>
      <c r="D547" s="158"/>
      <c r="E547" s="158"/>
      <c r="F547" s="46"/>
      <c r="G547" s="158"/>
      <c r="H547" s="158"/>
      <c r="I547" s="158"/>
      <c r="J547" s="158"/>
      <c r="K547" s="158"/>
      <c r="L547" s="158"/>
      <c r="M547" s="158"/>
      <c r="N547" s="158"/>
    </row>
    <row r="548" spans="1:14" ht="13.8">
      <c r="A548" s="158"/>
      <c r="B548" s="158"/>
      <c r="C548" s="158"/>
      <c r="D548" s="158"/>
      <c r="E548" s="158"/>
      <c r="F548" s="46"/>
      <c r="G548" s="158"/>
      <c r="H548" s="158"/>
      <c r="I548" s="158"/>
      <c r="J548" s="158"/>
      <c r="K548" s="158"/>
      <c r="L548" s="158"/>
      <c r="M548" s="158"/>
      <c r="N548" s="158"/>
    </row>
    <row r="549" spans="1:14" ht="13.8">
      <c r="A549" s="158"/>
      <c r="B549" s="158"/>
      <c r="C549" s="158"/>
      <c r="D549" s="158"/>
      <c r="E549" s="158"/>
      <c r="F549" s="46"/>
      <c r="G549" s="158"/>
      <c r="H549" s="158"/>
      <c r="I549" s="158"/>
      <c r="J549" s="158"/>
      <c r="K549" s="158"/>
      <c r="L549" s="158"/>
      <c r="M549" s="158"/>
      <c r="N549" s="158"/>
    </row>
    <row r="550" spans="1:14" ht="13.8">
      <c r="A550" s="158"/>
      <c r="B550" s="158"/>
      <c r="C550" s="158"/>
      <c r="D550" s="158"/>
      <c r="E550" s="158"/>
      <c r="F550" s="46"/>
      <c r="G550" s="158"/>
      <c r="H550" s="158"/>
      <c r="I550" s="158"/>
      <c r="J550" s="158"/>
      <c r="K550" s="158"/>
      <c r="L550" s="158"/>
      <c r="M550" s="158"/>
      <c r="N550" s="158"/>
    </row>
    <row r="551" spans="1:14" ht="13.8">
      <c r="A551" s="158"/>
      <c r="B551" s="158"/>
      <c r="C551" s="158"/>
      <c r="D551" s="158"/>
      <c r="E551" s="158"/>
      <c r="F551" s="46"/>
      <c r="G551" s="158"/>
      <c r="H551" s="158"/>
      <c r="I551" s="158"/>
      <c r="J551" s="158"/>
      <c r="K551" s="158"/>
      <c r="L551" s="158"/>
      <c r="M551" s="158"/>
      <c r="N551" s="158"/>
    </row>
    <row r="552" spans="1:14" ht="13.8">
      <c r="A552" s="158"/>
      <c r="B552" s="158"/>
      <c r="C552" s="158"/>
      <c r="D552" s="158"/>
      <c r="E552" s="158"/>
      <c r="F552" s="46"/>
      <c r="G552" s="158"/>
      <c r="H552" s="158"/>
      <c r="I552" s="158"/>
      <c r="J552" s="158"/>
      <c r="K552" s="158"/>
      <c r="L552" s="158"/>
      <c r="M552" s="158"/>
      <c r="N552" s="158"/>
    </row>
    <row r="553" spans="1:14" ht="13.8">
      <c r="A553" s="158"/>
      <c r="B553" s="158"/>
      <c r="C553" s="158"/>
      <c r="D553" s="158"/>
      <c r="E553" s="158"/>
      <c r="F553" s="46"/>
      <c r="G553" s="158"/>
      <c r="H553" s="158"/>
      <c r="I553" s="158"/>
      <c r="J553" s="158"/>
      <c r="K553" s="158"/>
      <c r="L553" s="158"/>
      <c r="M553" s="158"/>
      <c r="N553" s="158"/>
    </row>
    <row r="554" spans="1:14" ht="13.8">
      <c r="A554" s="158"/>
      <c r="B554" s="158"/>
      <c r="C554" s="158"/>
      <c r="D554" s="158"/>
      <c r="E554" s="158"/>
      <c r="F554" s="46"/>
      <c r="G554" s="158"/>
      <c r="H554" s="158"/>
      <c r="I554" s="158"/>
      <c r="J554" s="158"/>
      <c r="K554" s="158"/>
      <c r="L554" s="158"/>
      <c r="M554" s="158"/>
      <c r="N554" s="158"/>
    </row>
    <row r="555" spans="1:14" ht="13.8">
      <c r="A555" s="158"/>
      <c r="B555" s="158"/>
      <c r="C555" s="158"/>
      <c r="D555" s="158"/>
      <c r="E555" s="158"/>
      <c r="F555" s="46"/>
      <c r="G555" s="158"/>
      <c r="H555" s="158"/>
      <c r="I555" s="158"/>
      <c r="J555" s="158"/>
      <c r="K555" s="158"/>
      <c r="L555" s="158"/>
      <c r="M555" s="158"/>
      <c r="N555" s="158"/>
    </row>
    <row r="556" spans="1:14" ht="13.8">
      <c r="A556" s="158"/>
      <c r="B556" s="158"/>
      <c r="C556" s="158"/>
      <c r="D556" s="158"/>
      <c r="E556" s="158"/>
      <c r="F556" s="46"/>
      <c r="G556" s="158"/>
      <c r="H556" s="158"/>
      <c r="I556" s="158"/>
      <c r="J556" s="158"/>
      <c r="K556" s="158"/>
      <c r="L556" s="158"/>
      <c r="M556" s="158"/>
      <c r="N556" s="158"/>
    </row>
    <row r="557" spans="1:14" ht="13.8">
      <c r="A557" s="158"/>
      <c r="B557" s="158"/>
      <c r="C557" s="158"/>
      <c r="D557" s="158"/>
      <c r="E557" s="158"/>
      <c r="F557" s="46"/>
      <c r="G557" s="158"/>
      <c r="H557" s="158"/>
      <c r="I557" s="158"/>
      <c r="J557" s="158"/>
      <c r="K557" s="158"/>
      <c r="L557" s="158"/>
      <c r="M557" s="158"/>
      <c r="N557" s="158"/>
    </row>
    <row r="558" spans="1:14" ht="13.8">
      <c r="A558" s="158"/>
      <c r="B558" s="158"/>
      <c r="C558" s="158"/>
      <c r="D558" s="158"/>
      <c r="E558" s="158"/>
      <c r="F558" s="46"/>
      <c r="G558" s="158"/>
      <c r="H558" s="158"/>
      <c r="I558" s="158"/>
      <c r="J558" s="158"/>
      <c r="K558" s="158"/>
      <c r="L558" s="158"/>
      <c r="M558" s="158"/>
      <c r="N558" s="158"/>
    </row>
    <row r="559" spans="1:14" ht="13.8">
      <c r="A559" s="158"/>
      <c r="B559" s="158"/>
      <c r="C559" s="158"/>
      <c r="D559" s="158"/>
      <c r="E559" s="158"/>
      <c r="F559" s="46"/>
      <c r="G559" s="158"/>
      <c r="H559" s="158"/>
      <c r="I559" s="158"/>
      <c r="J559" s="158"/>
      <c r="K559" s="158"/>
      <c r="L559" s="158"/>
      <c r="M559" s="158"/>
      <c r="N559" s="158"/>
    </row>
    <row r="560" spans="1:14" ht="13.8">
      <c r="A560" s="158"/>
      <c r="B560" s="158"/>
      <c r="C560" s="158"/>
      <c r="D560" s="158"/>
      <c r="E560" s="158"/>
      <c r="F560" s="46"/>
      <c r="G560" s="158"/>
      <c r="H560" s="158"/>
      <c r="I560" s="158"/>
      <c r="J560" s="158"/>
      <c r="K560" s="158"/>
      <c r="L560" s="158"/>
      <c r="M560" s="158"/>
      <c r="N560" s="158"/>
    </row>
    <row r="561" spans="1:14" ht="13.8">
      <c r="A561" s="158"/>
      <c r="B561" s="158"/>
      <c r="C561" s="158"/>
      <c r="D561" s="158"/>
      <c r="E561" s="158"/>
      <c r="F561" s="46"/>
      <c r="G561" s="158"/>
      <c r="H561" s="158"/>
      <c r="I561" s="158"/>
      <c r="J561" s="158"/>
      <c r="K561" s="158"/>
      <c r="L561" s="158"/>
      <c r="M561" s="158"/>
      <c r="N561" s="158"/>
    </row>
    <row r="562" spans="1:14" ht="13.8">
      <c r="A562" s="158"/>
      <c r="B562" s="158"/>
      <c r="C562" s="158"/>
      <c r="D562" s="158"/>
      <c r="E562" s="158"/>
      <c r="F562" s="46"/>
      <c r="G562" s="158"/>
      <c r="H562" s="158"/>
      <c r="I562" s="158"/>
      <c r="J562" s="158"/>
      <c r="K562" s="158"/>
      <c r="L562" s="158"/>
      <c r="M562" s="158"/>
      <c r="N562" s="158"/>
    </row>
    <row r="563" spans="1:14" ht="13.8">
      <c r="A563" s="158"/>
      <c r="B563" s="158"/>
      <c r="C563" s="158"/>
      <c r="D563" s="158"/>
      <c r="E563" s="158"/>
      <c r="F563" s="46"/>
      <c r="G563" s="158"/>
      <c r="H563" s="158"/>
      <c r="I563" s="158"/>
      <c r="J563" s="158"/>
      <c r="K563" s="158"/>
      <c r="L563" s="158"/>
      <c r="M563" s="158"/>
      <c r="N563" s="158"/>
    </row>
    <row r="564" spans="1:14" ht="13.8">
      <c r="A564" s="158"/>
      <c r="B564" s="158"/>
      <c r="C564" s="158"/>
      <c r="D564" s="158"/>
      <c r="E564" s="158"/>
      <c r="F564" s="46"/>
      <c r="G564" s="158"/>
      <c r="H564" s="158"/>
      <c r="I564" s="158"/>
      <c r="J564" s="158"/>
      <c r="K564" s="158"/>
      <c r="L564" s="158"/>
      <c r="M564" s="158"/>
      <c r="N564" s="158"/>
    </row>
    <row r="565" spans="1:14" ht="13.8">
      <c r="A565" s="158"/>
      <c r="B565" s="158"/>
      <c r="C565" s="158"/>
      <c r="D565" s="158"/>
      <c r="E565" s="158"/>
      <c r="F565" s="46"/>
      <c r="G565" s="158"/>
      <c r="H565" s="158"/>
      <c r="I565" s="158"/>
      <c r="J565" s="158"/>
      <c r="K565" s="158"/>
      <c r="L565" s="158"/>
      <c r="M565" s="158"/>
      <c r="N565" s="158"/>
    </row>
    <row r="566" spans="1:14" ht="13.8">
      <c r="A566" s="158"/>
      <c r="B566" s="158"/>
      <c r="C566" s="158"/>
      <c r="D566" s="158"/>
      <c r="E566" s="158"/>
      <c r="F566" s="46"/>
      <c r="G566" s="158"/>
      <c r="H566" s="158"/>
      <c r="I566" s="158"/>
      <c r="J566" s="158"/>
      <c r="K566" s="158"/>
      <c r="L566" s="158"/>
      <c r="M566" s="158"/>
      <c r="N566" s="158"/>
    </row>
    <row r="567" spans="1:14" ht="13.8">
      <c r="A567" s="158"/>
      <c r="B567" s="158"/>
      <c r="C567" s="158"/>
      <c r="D567" s="158"/>
      <c r="E567" s="158"/>
      <c r="F567" s="46"/>
      <c r="G567" s="158"/>
      <c r="H567" s="158"/>
      <c r="I567" s="158"/>
      <c r="J567" s="158"/>
      <c r="K567" s="158"/>
      <c r="L567" s="158"/>
      <c r="M567" s="158"/>
      <c r="N567" s="158"/>
    </row>
    <row r="568" spans="1:14" ht="13.8">
      <c r="A568" s="158"/>
      <c r="B568" s="158"/>
      <c r="C568" s="158"/>
      <c r="D568" s="158"/>
      <c r="E568" s="158"/>
      <c r="F568" s="46"/>
      <c r="G568" s="158"/>
      <c r="H568" s="158"/>
      <c r="I568" s="158"/>
      <c r="J568" s="158"/>
      <c r="K568" s="158"/>
      <c r="L568" s="158"/>
      <c r="M568" s="158"/>
      <c r="N568" s="158"/>
    </row>
    <row r="569" spans="1:14" ht="13.8">
      <c r="A569" s="158"/>
      <c r="B569" s="158"/>
      <c r="C569" s="158"/>
      <c r="D569" s="158"/>
      <c r="E569" s="158"/>
      <c r="F569" s="46"/>
      <c r="G569" s="158"/>
      <c r="H569" s="158"/>
      <c r="I569" s="158"/>
      <c r="J569" s="158"/>
      <c r="K569" s="158"/>
      <c r="L569" s="158"/>
      <c r="M569" s="158"/>
      <c r="N569" s="158"/>
    </row>
    <row r="570" spans="1:14" ht="13.8">
      <c r="A570" s="158"/>
      <c r="B570" s="158"/>
      <c r="C570" s="158"/>
      <c r="D570" s="158"/>
      <c r="E570" s="158"/>
      <c r="F570" s="46"/>
      <c r="G570" s="158"/>
      <c r="H570" s="158"/>
      <c r="I570" s="158"/>
      <c r="J570" s="158"/>
      <c r="K570" s="158"/>
      <c r="L570" s="158"/>
      <c r="M570" s="158"/>
      <c r="N570" s="158"/>
    </row>
    <row r="571" spans="1:14" ht="13.8">
      <c r="A571" s="158"/>
      <c r="B571" s="158"/>
      <c r="C571" s="158"/>
      <c r="D571" s="158"/>
      <c r="E571" s="158"/>
      <c r="F571" s="46"/>
      <c r="G571" s="158"/>
      <c r="H571" s="158"/>
      <c r="I571" s="158"/>
      <c r="J571" s="158"/>
      <c r="K571" s="158"/>
      <c r="L571" s="158"/>
      <c r="M571" s="158"/>
      <c r="N571" s="158"/>
    </row>
    <row r="572" spans="1:14" ht="13.8">
      <c r="A572" s="158"/>
      <c r="B572" s="158"/>
      <c r="C572" s="158"/>
      <c r="D572" s="158"/>
      <c r="E572" s="158"/>
      <c r="F572" s="46"/>
      <c r="G572" s="158"/>
      <c r="H572" s="158"/>
      <c r="I572" s="158"/>
      <c r="J572" s="158"/>
      <c r="K572" s="158"/>
      <c r="L572" s="158"/>
      <c r="M572" s="158"/>
      <c r="N572" s="158"/>
    </row>
    <row r="573" spans="1:14" ht="13.8">
      <c r="A573" s="158"/>
      <c r="B573" s="158"/>
      <c r="C573" s="158"/>
      <c r="D573" s="158"/>
      <c r="E573" s="158"/>
      <c r="F573" s="46"/>
      <c r="G573" s="158"/>
      <c r="H573" s="158"/>
      <c r="I573" s="158"/>
      <c r="J573" s="158"/>
      <c r="K573" s="158"/>
      <c r="L573" s="158"/>
      <c r="M573" s="158"/>
      <c r="N573" s="158"/>
    </row>
    <row r="574" spans="1:14" ht="13.8">
      <c r="A574" s="158"/>
      <c r="B574" s="158"/>
      <c r="C574" s="158"/>
      <c r="D574" s="158"/>
      <c r="E574" s="158"/>
      <c r="F574" s="46"/>
      <c r="G574" s="158"/>
      <c r="H574" s="158"/>
      <c r="I574" s="158"/>
      <c r="J574" s="158"/>
      <c r="K574" s="158"/>
      <c r="L574" s="158"/>
      <c r="M574" s="158"/>
      <c r="N574" s="158"/>
    </row>
    <row r="575" spans="1:14" ht="13.8">
      <c r="A575" s="158"/>
      <c r="B575" s="158"/>
      <c r="C575" s="158"/>
      <c r="D575" s="158"/>
      <c r="E575" s="158"/>
      <c r="F575" s="46"/>
      <c r="G575" s="158"/>
      <c r="H575" s="158"/>
      <c r="I575" s="158"/>
      <c r="J575" s="158"/>
      <c r="K575" s="158"/>
      <c r="L575" s="158"/>
      <c r="M575" s="158"/>
      <c r="N575" s="158"/>
    </row>
    <row r="576" spans="1:14" ht="13.8">
      <c r="A576" s="158"/>
      <c r="B576" s="158"/>
      <c r="C576" s="158"/>
      <c r="D576" s="158"/>
      <c r="E576" s="158"/>
      <c r="F576" s="46"/>
      <c r="G576" s="158"/>
      <c r="H576" s="158"/>
      <c r="I576" s="158"/>
      <c r="J576" s="158"/>
      <c r="K576" s="158"/>
      <c r="L576" s="158"/>
      <c r="M576" s="158"/>
      <c r="N576" s="158"/>
    </row>
    <row r="577" spans="1:14" ht="13.8">
      <c r="A577" s="158"/>
      <c r="B577" s="158"/>
      <c r="C577" s="158"/>
      <c r="D577" s="158"/>
      <c r="E577" s="158"/>
      <c r="F577" s="46"/>
      <c r="G577" s="158"/>
      <c r="H577" s="158"/>
      <c r="I577" s="158"/>
      <c r="J577" s="158"/>
      <c r="K577" s="158"/>
      <c r="L577" s="158"/>
      <c r="M577" s="158"/>
      <c r="N577" s="158"/>
    </row>
    <row r="578" spans="1:14" ht="13.8">
      <c r="A578" s="158"/>
      <c r="B578" s="158"/>
      <c r="C578" s="158"/>
      <c r="D578" s="158"/>
      <c r="E578" s="158"/>
      <c r="F578" s="46"/>
      <c r="G578" s="158"/>
      <c r="H578" s="158"/>
      <c r="I578" s="158"/>
      <c r="J578" s="158"/>
      <c r="K578" s="158"/>
      <c r="L578" s="158"/>
      <c r="M578" s="158"/>
      <c r="N578" s="158"/>
    </row>
    <row r="579" spans="1:14" ht="13.8">
      <c r="A579" s="158"/>
      <c r="B579" s="158"/>
      <c r="C579" s="158"/>
      <c r="D579" s="158"/>
      <c r="E579" s="158"/>
      <c r="F579" s="46"/>
      <c r="G579" s="158"/>
      <c r="H579" s="158"/>
      <c r="I579" s="158"/>
      <c r="J579" s="158"/>
      <c r="K579" s="158"/>
      <c r="L579" s="158"/>
      <c r="M579" s="158"/>
      <c r="N579" s="158"/>
    </row>
    <row r="580" spans="1:14" ht="13.8">
      <c r="A580" s="158"/>
      <c r="B580" s="158"/>
      <c r="C580" s="158"/>
      <c r="D580" s="158"/>
      <c r="E580" s="158"/>
      <c r="F580" s="46"/>
      <c r="G580" s="158"/>
      <c r="H580" s="158"/>
      <c r="I580" s="158"/>
      <c r="J580" s="158"/>
      <c r="K580" s="158"/>
      <c r="L580" s="158"/>
      <c r="M580" s="158"/>
      <c r="N580" s="158"/>
    </row>
    <row r="581" spans="1:14" ht="13.8">
      <c r="A581" s="158"/>
      <c r="B581" s="158"/>
      <c r="C581" s="158"/>
      <c r="D581" s="158"/>
      <c r="E581" s="158"/>
      <c r="F581" s="46"/>
      <c r="G581" s="158"/>
      <c r="H581" s="158"/>
      <c r="I581" s="158"/>
      <c r="J581" s="158"/>
      <c r="K581" s="158"/>
      <c r="L581" s="158"/>
      <c r="M581" s="158"/>
      <c r="N581" s="158"/>
    </row>
    <row r="582" spans="1:14" ht="13.8">
      <c r="A582" s="158"/>
      <c r="B582" s="158"/>
      <c r="C582" s="158"/>
      <c r="D582" s="158"/>
      <c r="E582" s="158"/>
      <c r="F582" s="46"/>
      <c r="G582" s="158"/>
      <c r="H582" s="158"/>
      <c r="I582" s="158"/>
      <c r="J582" s="158"/>
      <c r="K582" s="158"/>
      <c r="L582" s="158"/>
      <c r="M582" s="158"/>
      <c r="N582" s="158"/>
    </row>
    <row r="583" spans="1:14" ht="13.8">
      <c r="A583" s="158"/>
      <c r="B583" s="158"/>
      <c r="C583" s="158"/>
      <c r="D583" s="158"/>
      <c r="E583" s="158"/>
      <c r="F583" s="46"/>
      <c r="G583" s="158"/>
      <c r="H583" s="158"/>
      <c r="I583" s="158"/>
      <c r="J583" s="158"/>
      <c r="K583" s="158"/>
      <c r="L583" s="158"/>
      <c r="M583" s="158"/>
      <c r="N583" s="158"/>
    </row>
    <row r="584" spans="1:14" ht="13.8">
      <c r="A584" s="158"/>
      <c r="B584" s="158"/>
      <c r="C584" s="158"/>
      <c r="D584" s="158"/>
      <c r="E584" s="158"/>
      <c r="F584" s="46"/>
      <c r="G584" s="158"/>
      <c r="H584" s="158"/>
      <c r="I584" s="158"/>
      <c r="J584" s="158"/>
      <c r="K584" s="158"/>
      <c r="L584" s="158"/>
      <c r="M584" s="158"/>
      <c r="N584" s="158"/>
    </row>
    <row r="585" spans="1:14" ht="13.8">
      <c r="A585" s="158"/>
      <c r="B585" s="158"/>
      <c r="C585" s="158"/>
      <c r="D585" s="158"/>
      <c r="E585" s="158"/>
      <c r="F585" s="46"/>
      <c r="G585" s="158"/>
      <c r="H585" s="158"/>
      <c r="I585" s="158"/>
      <c r="J585" s="158"/>
      <c r="K585" s="158"/>
      <c r="L585" s="158"/>
      <c r="M585" s="158"/>
      <c r="N585" s="158"/>
    </row>
    <row r="586" spans="1:14" ht="13.8">
      <c r="A586" s="158"/>
      <c r="B586" s="158"/>
      <c r="C586" s="158"/>
      <c r="D586" s="158"/>
      <c r="E586" s="158"/>
      <c r="F586" s="46"/>
      <c r="G586" s="158"/>
      <c r="H586" s="158"/>
      <c r="I586" s="158"/>
      <c r="J586" s="158"/>
      <c r="K586" s="158"/>
      <c r="L586" s="158"/>
      <c r="M586" s="158"/>
      <c r="N586" s="158"/>
    </row>
    <row r="587" spans="1:14" ht="13.8">
      <c r="A587" s="158"/>
      <c r="B587" s="158"/>
      <c r="C587" s="158"/>
      <c r="D587" s="158"/>
      <c r="E587" s="158"/>
      <c r="F587" s="46"/>
      <c r="G587" s="158"/>
      <c r="H587" s="158"/>
      <c r="I587" s="158"/>
      <c r="J587" s="158"/>
      <c r="K587" s="158"/>
      <c r="L587" s="158"/>
      <c r="M587" s="158"/>
      <c r="N587" s="158"/>
    </row>
    <row r="588" spans="1:14" ht="13.8">
      <c r="A588" s="158"/>
      <c r="B588" s="158"/>
      <c r="C588" s="158"/>
      <c r="D588" s="158"/>
      <c r="E588" s="158"/>
      <c r="F588" s="46"/>
      <c r="G588" s="158"/>
      <c r="H588" s="158"/>
      <c r="I588" s="158"/>
      <c r="J588" s="158"/>
      <c r="K588" s="158"/>
      <c r="L588" s="158"/>
      <c r="M588" s="158"/>
      <c r="N588" s="158"/>
    </row>
    <row r="589" spans="1:14" ht="13.8">
      <c r="A589" s="158"/>
      <c r="B589" s="158"/>
      <c r="C589" s="158"/>
      <c r="D589" s="158"/>
      <c r="E589" s="158"/>
      <c r="F589" s="46"/>
      <c r="G589" s="158"/>
      <c r="H589" s="158"/>
      <c r="I589" s="158"/>
      <c r="J589" s="158"/>
      <c r="K589" s="158"/>
      <c r="L589" s="158"/>
      <c r="M589" s="158"/>
      <c r="N589" s="158"/>
    </row>
    <row r="590" spans="1:14" ht="13.8">
      <c r="A590" s="158"/>
      <c r="B590" s="158"/>
      <c r="C590" s="158"/>
      <c r="D590" s="158"/>
      <c r="E590" s="158"/>
      <c r="F590" s="46"/>
      <c r="G590" s="158"/>
      <c r="H590" s="158"/>
      <c r="I590" s="158"/>
      <c r="J590" s="158"/>
      <c r="K590" s="158"/>
      <c r="L590" s="158"/>
      <c r="M590" s="158"/>
      <c r="N590" s="158"/>
    </row>
    <row r="591" spans="1:14" ht="13.8">
      <c r="A591" s="158"/>
      <c r="B591" s="158"/>
      <c r="C591" s="158"/>
      <c r="D591" s="158"/>
      <c r="E591" s="158"/>
      <c r="F591" s="46"/>
      <c r="G591" s="158"/>
      <c r="H591" s="158"/>
      <c r="I591" s="158"/>
      <c r="J591" s="158"/>
      <c r="K591" s="158"/>
      <c r="L591" s="158"/>
      <c r="M591" s="158"/>
      <c r="N591" s="158"/>
    </row>
    <row r="592" spans="1:14" ht="13.8">
      <c r="A592" s="158"/>
      <c r="B592" s="158"/>
      <c r="C592" s="158"/>
      <c r="D592" s="158"/>
      <c r="E592" s="158"/>
      <c r="F592" s="46"/>
      <c r="G592" s="158"/>
      <c r="H592" s="158"/>
      <c r="I592" s="158"/>
      <c r="J592" s="158"/>
      <c r="K592" s="158"/>
      <c r="L592" s="158"/>
      <c r="M592" s="158"/>
      <c r="N592" s="158"/>
    </row>
    <row r="593" spans="1:14" ht="13.8">
      <c r="A593" s="158"/>
      <c r="B593" s="158"/>
      <c r="C593" s="158"/>
      <c r="D593" s="158"/>
      <c r="E593" s="158"/>
      <c r="F593" s="46"/>
      <c r="G593" s="158"/>
      <c r="H593" s="158"/>
      <c r="I593" s="158"/>
      <c r="J593" s="158"/>
      <c r="K593" s="158"/>
      <c r="L593" s="158"/>
      <c r="M593" s="158"/>
      <c r="N593" s="158"/>
    </row>
    <row r="594" spans="1:14" ht="13.8">
      <c r="A594" s="158"/>
      <c r="B594" s="158"/>
      <c r="C594" s="158"/>
      <c r="D594" s="158"/>
      <c r="E594" s="158"/>
      <c r="F594" s="46"/>
      <c r="G594" s="158"/>
      <c r="H594" s="158"/>
      <c r="I594" s="158"/>
      <c r="J594" s="158"/>
      <c r="K594" s="158"/>
      <c r="L594" s="158"/>
      <c r="M594" s="158"/>
      <c r="N594" s="158"/>
    </row>
    <row r="595" spans="1:14" ht="13.8">
      <c r="A595" s="158"/>
      <c r="B595" s="158"/>
      <c r="C595" s="158"/>
      <c r="D595" s="158"/>
      <c r="E595" s="158"/>
      <c r="F595" s="46"/>
      <c r="G595" s="158"/>
      <c r="H595" s="158"/>
      <c r="I595" s="158"/>
      <c r="J595" s="158"/>
      <c r="K595" s="158"/>
      <c r="L595" s="158"/>
      <c r="M595" s="158"/>
      <c r="N595" s="158"/>
    </row>
    <row r="596" spans="1:14" ht="13.8">
      <c r="A596" s="158"/>
      <c r="B596" s="158"/>
      <c r="C596" s="158"/>
      <c r="D596" s="158"/>
      <c r="E596" s="158"/>
      <c r="F596" s="46"/>
      <c r="G596" s="158"/>
      <c r="H596" s="158"/>
      <c r="I596" s="158"/>
      <c r="J596" s="158"/>
      <c r="K596" s="158"/>
      <c r="L596" s="158"/>
      <c r="M596" s="158"/>
      <c r="N596" s="158"/>
    </row>
    <row r="597" spans="1:14" ht="13.8">
      <c r="A597" s="158"/>
      <c r="B597" s="158"/>
      <c r="C597" s="158"/>
      <c r="D597" s="158"/>
      <c r="E597" s="158"/>
      <c r="F597" s="46"/>
      <c r="G597" s="158"/>
      <c r="H597" s="158"/>
      <c r="I597" s="158"/>
      <c r="J597" s="158"/>
      <c r="K597" s="158"/>
      <c r="L597" s="158"/>
      <c r="M597" s="158"/>
      <c r="N597" s="158"/>
    </row>
    <row r="598" spans="1:14" ht="13.8">
      <c r="A598" s="158"/>
      <c r="B598" s="158"/>
      <c r="C598" s="158"/>
      <c r="D598" s="158"/>
      <c r="E598" s="158"/>
      <c r="F598" s="46"/>
      <c r="G598" s="158"/>
      <c r="H598" s="158"/>
      <c r="I598" s="158"/>
      <c r="J598" s="158"/>
      <c r="K598" s="158"/>
      <c r="L598" s="158"/>
      <c r="M598" s="158"/>
      <c r="N598" s="158"/>
    </row>
    <row r="599" spans="1:14" ht="13.8">
      <c r="A599" s="158"/>
      <c r="B599" s="158"/>
      <c r="C599" s="158"/>
      <c r="D599" s="158"/>
      <c r="E599" s="158"/>
      <c r="F599" s="46"/>
      <c r="G599" s="158"/>
      <c r="H599" s="158"/>
      <c r="I599" s="158"/>
      <c r="J599" s="158"/>
      <c r="K599" s="158"/>
      <c r="L599" s="158"/>
      <c r="M599" s="158"/>
      <c r="N599" s="158"/>
    </row>
    <row r="600" spans="1:14" ht="13.8">
      <c r="A600" s="158"/>
      <c r="B600" s="158"/>
      <c r="C600" s="158"/>
      <c r="D600" s="158"/>
      <c r="E600" s="158"/>
      <c r="F600" s="46"/>
      <c r="G600" s="158"/>
      <c r="H600" s="158"/>
      <c r="I600" s="158"/>
      <c r="J600" s="158"/>
      <c r="K600" s="158"/>
      <c r="L600" s="158"/>
      <c r="M600" s="158"/>
      <c r="N600" s="158"/>
    </row>
    <row r="601" spans="1:14" ht="13.8">
      <c r="A601" s="158"/>
      <c r="B601" s="158"/>
      <c r="C601" s="158"/>
      <c r="D601" s="158"/>
      <c r="E601" s="158"/>
      <c r="F601" s="46"/>
      <c r="G601" s="158"/>
      <c r="H601" s="158"/>
      <c r="I601" s="158"/>
      <c r="J601" s="158"/>
      <c r="K601" s="158"/>
      <c r="L601" s="158"/>
      <c r="M601" s="158"/>
      <c r="N601" s="158"/>
    </row>
    <row r="602" spans="1:14" ht="13.8">
      <c r="A602" s="158"/>
      <c r="B602" s="158"/>
      <c r="C602" s="158"/>
      <c r="D602" s="158"/>
      <c r="E602" s="158"/>
      <c r="F602" s="46"/>
      <c r="G602" s="158"/>
      <c r="H602" s="158"/>
      <c r="I602" s="158"/>
      <c r="J602" s="158"/>
      <c r="K602" s="158"/>
      <c r="L602" s="158"/>
      <c r="M602" s="158"/>
      <c r="N602" s="158"/>
    </row>
    <row r="603" spans="1:14" ht="13.8">
      <c r="A603" s="158"/>
      <c r="B603" s="158"/>
      <c r="C603" s="158"/>
      <c r="D603" s="158"/>
      <c r="E603" s="158"/>
      <c r="F603" s="46"/>
      <c r="G603" s="158"/>
      <c r="H603" s="158"/>
      <c r="I603" s="158"/>
      <c r="J603" s="158"/>
      <c r="K603" s="158"/>
      <c r="L603" s="158"/>
      <c r="M603" s="158"/>
      <c r="N603" s="158"/>
    </row>
    <row r="604" spans="1:14" ht="13.8">
      <c r="A604" s="158"/>
      <c r="B604" s="158"/>
      <c r="C604" s="158"/>
      <c r="D604" s="158"/>
      <c r="E604" s="158"/>
      <c r="F604" s="46"/>
      <c r="G604" s="158"/>
      <c r="H604" s="158"/>
      <c r="I604" s="158"/>
      <c r="J604" s="158"/>
      <c r="K604" s="158"/>
      <c r="L604" s="158"/>
      <c r="M604" s="158"/>
      <c r="N604" s="158"/>
    </row>
    <row r="605" spans="1:14" ht="13.8">
      <c r="A605" s="158"/>
      <c r="B605" s="158"/>
      <c r="C605" s="158"/>
      <c r="D605" s="158"/>
      <c r="E605" s="158"/>
      <c r="F605" s="46"/>
      <c r="G605" s="158"/>
      <c r="H605" s="158"/>
      <c r="I605" s="158"/>
      <c r="J605" s="158"/>
      <c r="K605" s="158"/>
      <c r="L605" s="158"/>
      <c r="M605" s="158"/>
      <c r="N605" s="158"/>
    </row>
    <row r="606" spans="1:14" ht="13.8">
      <c r="A606" s="158"/>
      <c r="B606" s="158"/>
      <c r="C606" s="158"/>
      <c r="D606" s="158"/>
      <c r="E606" s="158"/>
      <c r="F606" s="46"/>
      <c r="G606" s="158"/>
      <c r="H606" s="158"/>
      <c r="I606" s="158"/>
      <c r="J606" s="158"/>
      <c r="K606" s="158"/>
      <c r="L606" s="158"/>
      <c r="M606" s="158"/>
      <c r="N606" s="158"/>
    </row>
    <row r="607" spans="1:14" ht="13.8">
      <c r="A607" s="158"/>
      <c r="B607" s="158"/>
      <c r="C607" s="158"/>
      <c r="D607" s="158"/>
      <c r="E607" s="158"/>
      <c r="F607" s="46"/>
      <c r="G607" s="158"/>
      <c r="H607" s="158"/>
      <c r="I607" s="158"/>
      <c r="J607" s="158"/>
      <c r="K607" s="158"/>
      <c r="L607" s="158"/>
      <c r="M607" s="158"/>
      <c r="N607" s="158"/>
    </row>
    <row r="608" spans="1:14" ht="13.8">
      <c r="A608" s="158"/>
      <c r="B608" s="158"/>
      <c r="C608" s="158"/>
      <c r="D608" s="158"/>
      <c r="E608" s="158"/>
      <c r="F608" s="46"/>
      <c r="G608" s="158"/>
      <c r="H608" s="158"/>
      <c r="I608" s="158"/>
      <c r="J608" s="158"/>
      <c r="K608" s="158"/>
      <c r="L608" s="158"/>
      <c r="M608" s="158"/>
      <c r="N608" s="158"/>
    </row>
    <row r="609" spans="1:14" ht="13.8">
      <c r="A609" s="158"/>
      <c r="B609" s="158"/>
      <c r="C609" s="158"/>
      <c r="D609" s="158"/>
      <c r="E609" s="158"/>
      <c r="F609" s="46"/>
      <c r="G609" s="158"/>
      <c r="H609" s="158"/>
      <c r="I609" s="158"/>
      <c r="J609" s="158"/>
      <c r="K609" s="158"/>
      <c r="L609" s="158"/>
      <c r="M609" s="158"/>
      <c r="N609" s="158"/>
    </row>
    <row r="610" spans="1:14" ht="13.8">
      <c r="A610" s="158"/>
      <c r="B610" s="158"/>
      <c r="C610" s="158"/>
      <c r="D610" s="158"/>
      <c r="E610" s="158"/>
      <c r="F610" s="46"/>
      <c r="G610" s="158"/>
      <c r="H610" s="158"/>
      <c r="I610" s="158"/>
      <c r="J610" s="158"/>
      <c r="K610" s="158"/>
      <c r="L610" s="158"/>
      <c r="M610" s="158"/>
      <c r="N610" s="158"/>
    </row>
    <row r="611" spans="1:14" ht="13.8">
      <c r="A611" s="158"/>
      <c r="B611" s="158"/>
      <c r="C611" s="158"/>
      <c r="D611" s="158"/>
      <c r="E611" s="158"/>
      <c r="F611" s="46"/>
      <c r="G611" s="158"/>
      <c r="H611" s="158"/>
      <c r="I611" s="158"/>
      <c r="J611" s="158"/>
      <c r="K611" s="158"/>
      <c r="L611" s="158"/>
      <c r="M611" s="158"/>
      <c r="N611" s="158"/>
    </row>
    <row r="612" spans="1:14" ht="13.8">
      <c r="A612" s="158"/>
      <c r="B612" s="158"/>
      <c r="C612" s="158"/>
      <c r="D612" s="158"/>
      <c r="E612" s="158"/>
      <c r="F612" s="46"/>
      <c r="G612" s="158"/>
      <c r="H612" s="158"/>
      <c r="I612" s="158"/>
      <c r="J612" s="158"/>
      <c r="K612" s="158"/>
      <c r="L612" s="158"/>
      <c r="M612" s="158"/>
      <c r="N612" s="158"/>
    </row>
    <row r="613" spans="1:14" ht="13.8">
      <c r="A613" s="158"/>
      <c r="B613" s="158"/>
      <c r="C613" s="158"/>
      <c r="D613" s="158"/>
      <c r="E613" s="158"/>
      <c r="F613" s="46"/>
      <c r="G613" s="158"/>
      <c r="H613" s="158"/>
      <c r="I613" s="158"/>
      <c r="J613" s="158"/>
      <c r="K613" s="158"/>
      <c r="L613" s="158"/>
      <c r="M613" s="158"/>
      <c r="N613" s="158"/>
    </row>
    <row r="614" spans="1:14" ht="13.8">
      <c r="A614" s="158"/>
      <c r="B614" s="158"/>
      <c r="C614" s="158"/>
      <c r="D614" s="158"/>
      <c r="E614" s="158"/>
      <c r="F614" s="46"/>
      <c r="G614" s="158"/>
      <c r="H614" s="158"/>
      <c r="I614" s="158"/>
      <c r="J614" s="158"/>
      <c r="K614" s="158"/>
      <c r="L614" s="158"/>
      <c r="M614" s="158"/>
      <c r="N614" s="158"/>
    </row>
    <row r="615" spans="1:14" ht="13.8">
      <c r="A615" s="158"/>
      <c r="B615" s="158"/>
      <c r="C615" s="158"/>
      <c r="D615" s="158"/>
      <c r="E615" s="158"/>
      <c r="F615" s="46"/>
      <c r="G615" s="158"/>
      <c r="H615" s="158"/>
      <c r="I615" s="158"/>
      <c r="J615" s="158"/>
      <c r="K615" s="158"/>
      <c r="L615" s="158"/>
      <c r="M615" s="158"/>
      <c r="N615" s="158"/>
    </row>
    <row r="616" spans="1:14" ht="13.8">
      <c r="A616" s="158"/>
      <c r="B616" s="158"/>
      <c r="C616" s="158"/>
      <c r="D616" s="158"/>
      <c r="E616" s="158"/>
      <c r="F616" s="46"/>
      <c r="G616" s="158"/>
      <c r="H616" s="158"/>
      <c r="I616" s="158"/>
      <c r="J616" s="158"/>
      <c r="K616" s="158"/>
      <c r="L616" s="158"/>
      <c r="M616" s="158"/>
      <c r="N616" s="158"/>
    </row>
    <row r="617" spans="1:14" ht="13.8">
      <c r="A617" s="158"/>
      <c r="B617" s="158"/>
      <c r="C617" s="158"/>
      <c r="D617" s="158"/>
      <c r="E617" s="158"/>
      <c r="F617" s="46"/>
      <c r="G617" s="158"/>
      <c r="H617" s="158"/>
      <c r="I617" s="158"/>
      <c r="J617" s="158"/>
      <c r="K617" s="158"/>
      <c r="L617" s="158"/>
      <c r="M617" s="158"/>
      <c r="N617" s="158"/>
    </row>
    <row r="618" spans="1:14" ht="13.8">
      <c r="A618" s="158"/>
      <c r="B618" s="158"/>
      <c r="C618" s="158"/>
      <c r="D618" s="158"/>
      <c r="E618" s="158"/>
      <c r="F618" s="46"/>
      <c r="G618" s="158"/>
      <c r="H618" s="158"/>
      <c r="I618" s="158"/>
      <c r="J618" s="158"/>
      <c r="K618" s="158"/>
      <c r="L618" s="158"/>
      <c r="M618" s="158"/>
      <c r="N618" s="158"/>
    </row>
    <row r="619" spans="1:14" ht="13.8">
      <c r="A619" s="158"/>
      <c r="B619" s="158"/>
      <c r="C619" s="158"/>
      <c r="D619" s="158"/>
      <c r="E619" s="158"/>
      <c r="F619" s="46"/>
      <c r="G619" s="158"/>
      <c r="H619" s="158"/>
      <c r="I619" s="158"/>
      <c r="J619" s="158"/>
      <c r="K619" s="158"/>
      <c r="L619" s="158"/>
      <c r="M619" s="158"/>
      <c r="N619" s="158"/>
    </row>
    <row r="620" spans="1:14" ht="13.8">
      <c r="A620" s="158"/>
      <c r="B620" s="158"/>
      <c r="C620" s="158"/>
      <c r="D620" s="158"/>
      <c r="E620" s="158"/>
      <c r="F620" s="46"/>
      <c r="G620" s="158"/>
      <c r="H620" s="158"/>
      <c r="I620" s="158"/>
      <c r="J620" s="158"/>
      <c r="K620" s="158"/>
      <c r="L620" s="158"/>
      <c r="M620" s="158"/>
      <c r="N620" s="158"/>
    </row>
    <row r="621" spans="1:14" ht="13.8">
      <c r="A621" s="158"/>
      <c r="B621" s="158"/>
      <c r="C621" s="158"/>
      <c r="D621" s="158"/>
      <c r="E621" s="158"/>
      <c r="F621" s="46"/>
      <c r="G621" s="158"/>
      <c r="H621" s="158"/>
      <c r="I621" s="158"/>
      <c r="J621" s="158"/>
      <c r="K621" s="158"/>
      <c r="L621" s="158"/>
      <c r="M621" s="158"/>
      <c r="N621" s="158"/>
    </row>
    <row r="622" spans="1:14" ht="13.8">
      <c r="A622" s="158"/>
      <c r="B622" s="158"/>
      <c r="C622" s="158"/>
      <c r="D622" s="158"/>
      <c r="E622" s="158"/>
      <c r="F622" s="46"/>
      <c r="G622" s="158"/>
      <c r="H622" s="158"/>
      <c r="I622" s="158"/>
      <c r="J622" s="158"/>
      <c r="K622" s="158"/>
      <c r="L622" s="158"/>
      <c r="M622" s="158"/>
      <c r="N622" s="158"/>
    </row>
    <row r="623" spans="1:14" ht="13.8">
      <c r="A623" s="158"/>
      <c r="B623" s="158"/>
      <c r="C623" s="158"/>
      <c r="D623" s="158"/>
      <c r="E623" s="158"/>
      <c r="F623" s="46"/>
      <c r="G623" s="158"/>
      <c r="H623" s="158"/>
      <c r="I623" s="158"/>
      <c r="J623" s="158"/>
      <c r="K623" s="158"/>
      <c r="L623" s="158"/>
      <c r="M623" s="158"/>
      <c r="N623" s="158"/>
    </row>
    <row r="624" spans="1:14" ht="13.8">
      <c r="A624" s="158"/>
      <c r="B624" s="158"/>
      <c r="C624" s="158"/>
      <c r="D624" s="158"/>
      <c r="E624" s="158"/>
      <c r="F624" s="46"/>
      <c r="G624" s="158"/>
      <c r="H624" s="158"/>
      <c r="I624" s="158"/>
      <c r="J624" s="158"/>
      <c r="K624" s="158"/>
      <c r="L624" s="158"/>
      <c r="M624" s="158"/>
      <c r="N624" s="158"/>
    </row>
    <row r="625" spans="1:14" ht="13.8">
      <c r="A625" s="158"/>
      <c r="B625" s="158"/>
      <c r="C625" s="158"/>
      <c r="D625" s="158"/>
      <c r="E625" s="158"/>
      <c r="F625" s="46"/>
      <c r="G625" s="158"/>
      <c r="H625" s="158"/>
      <c r="I625" s="158"/>
      <c r="J625" s="158"/>
      <c r="K625" s="158"/>
      <c r="L625" s="158"/>
      <c r="M625" s="158"/>
      <c r="N625" s="158"/>
    </row>
    <row r="626" spans="1:14" ht="13.8">
      <c r="A626" s="158"/>
      <c r="B626" s="158"/>
      <c r="C626" s="158"/>
      <c r="D626" s="158"/>
      <c r="E626" s="158"/>
      <c r="F626" s="46"/>
      <c r="G626" s="158"/>
      <c r="H626" s="158"/>
      <c r="I626" s="158"/>
      <c r="J626" s="158"/>
      <c r="K626" s="158"/>
      <c r="L626" s="158"/>
      <c r="M626" s="158"/>
      <c r="N626" s="158"/>
    </row>
    <row r="627" spans="1:14" ht="13.8">
      <c r="A627" s="158"/>
      <c r="B627" s="158"/>
      <c r="C627" s="158"/>
      <c r="D627" s="158"/>
      <c r="E627" s="158"/>
      <c r="F627" s="46"/>
      <c r="G627" s="158"/>
      <c r="H627" s="158"/>
      <c r="I627" s="158"/>
      <c r="J627" s="158"/>
      <c r="K627" s="158"/>
      <c r="L627" s="158"/>
      <c r="M627" s="158"/>
      <c r="N627" s="158"/>
    </row>
    <row r="628" spans="1:14" ht="13.8">
      <c r="A628" s="158"/>
      <c r="B628" s="158"/>
      <c r="C628" s="158"/>
      <c r="D628" s="158"/>
      <c r="E628" s="158"/>
      <c r="F628" s="46"/>
      <c r="G628" s="158"/>
      <c r="H628" s="158"/>
      <c r="I628" s="158"/>
      <c r="J628" s="158"/>
      <c r="K628" s="158"/>
      <c r="L628" s="158"/>
      <c r="M628" s="158"/>
      <c r="N628" s="158"/>
    </row>
    <row r="629" spans="1:14" ht="13.8">
      <c r="A629" s="158"/>
      <c r="B629" s="158"/>
      <c r="C629" s="158"/>
      <c r="D629" s="158"/>
      <c r="E629" s="158"/>
      <c r="F629" s="46"/>
      <c r="G629" s="158"/>
      <c r="H629" s="158"/>
      <c r="I629" s="158"/>
      <c r="J629" s="158"/>
      <c r="K629" s="158"/>
      <c r="L629" s="158"/>
      <c r="M629" s="158"/>
      <c r="N629" s="158"/>
    </row>
    <row r="630" spans="1:14" ht="13.8">
      <c r="A630" s="158"/>
      <c r="B630" s="158"/>
      <c r="C630" s="158"/>
      <c r="D630" s="158"/>
      <c r="E630" s="158"/>
      <c r="F630" s="46"/>
      <c r="G630" s="158"/>
      <c r="H630" s="158"/>
      <c r="I630" s="158"/>
      <c r="J630" s="158"/>
      <c r="K630" s="158"/>
      <c r="L630" s="158"/>
      <c r="M630" s="158"/>
      <c r="N630" s="158"/>
    </row>
    <row r="631" spans="1:14" ht="13.8">
      <c r="A631" s="158"/>
      <c r="B631" s="158"/>
      <c r="C631" s="158"/>
      <c r="D631" s="158"/>
      <c r="E631" s="158"/>
      <c r="F631" s="46"/>
      <c r="G631" s="158"/>
      <c r="H631" s="158"/>
      <c r="I631" s="158"/>
      <c r="J631" s="158"/>
      <c r="K631" s="158"/>
      <c r="L631" s="158"/>
      <c r="M631" s="158"/>
      <c r="N631" s="158"/>
    </row>
    <row r="632" spans="1:14" ht="13.8">
      <c r="A632" s="158"/>
      <c r="B632" s="158"/>
      <c r="C632" s="158"/>
      <c r="D632" s="158"/>
      <c r="E632" s="158"/>
      <c r="F632" s="46"/>
      <c r="G632" s="158"/>
      <c r="H632" s="158"/>
      <c r="I632" s="158"/>
      <c r="J632" s="158"/>
      <c r="K632" s="158"/>
      <c r="L632" s="158"/>
      <c r="M632" s="158"/>
      <c r="N632" s="158"/>
    </row>
    <row r="633" spans="1:14" ht="13.8">
      <c r="A633" s="158"/>
      <c r="B633" s="158"/>
      <c r="C633" s="158"/>
      <c r="D633" s="158"/>
      <c r="E633" s="158"/>
      <c r="F633" s="46"/>
      <c r="G633" s="158"/>
      <c r="H633" s="158"/>
      <c r="I633" s="158"/>
      <c r="J633" s="158"/>
      <c r="K633" s="158"/>
      <c r="L633" s="158"/>
      <c r="M633" s="158"/>
      <c r="N633" s="158"/>
    </row>
    <row r="634" spans="1:14" ht="13.8">
      <c r="A634" s="158"/>
      <c r="B634" s="158"/>
      <c r="C634" s="158"/>
      <c r="D634" s="158"/>
      <c r="E634" s="158"/>
      <c r="F634" s="46"/>
      <c r="G634" s="158"/>
      <c r="H634" s="158"/>
      <c r="I634" s="158"/>
      <c r="J634" s="158"/>
      <c r="K634" s="158"/>
      <c r="L634" s="158"/>
      <c r="M634" s="158"/>
      <c r="N634" s="158"/>
    </row>
    <row r="635" spans="1:14" ht="13.8">
      <c r="A635" s="158"/>
      <c r="B635" s="158"/>
      <c r="C635" s="158"/>
      <c r="D635" s="158"/>
      <c r="E635" s="158"/>
      <c r="F635" s="46"/>
      <c r="G635" s="158"/>
      <c r="H635" s="158"/>
      <c r="I635" s="158"/>
      <c r="J635" s="158"/>
      <c r="K635" s="158"/>
      <c r="L635" s="158"/>
      <c r="M635" s="158"/>
      <c r="N635" s="158"/>
    </row>
    <row r="636" spans="1:14" ht="13.8">
      <c r="A636" s="158"/>
      <c r="B636" s="158"/>
      <c r="C636" s="158"/>
      <c r="D636" s="158"/>
      <c r="E636" s="158"/>
      <c r="F636" s="46"/>
      <c r="G636" s="158"/>
      <c r="H636" s="158"/>
      <c r="I636" s="158"/>
      <c r="J636" s="158"/>
      <c r="K636" s="158"/>
      <c r="L636" s="158"/>
      <c r="M636" s="158"/>
      <c r="N636" s="158"/>
    </row>
    <row r="637" spans="1:14" ht="13.8">
      <c r="A637" s="158"/>
      <c r="B637" s="158"/>
      <c r="C637" s="158"/>
      <c r="D637" s="158"/>
      <c r="E637" s="158"/>
      <c r="F637" s="46"/>
      <c r="G637" s="158"/>
      <c r="H637" s="158"/>
      <c r="I637" s="158"/>
      <c r="J637" s="158"/>
      <c r="K637" s="158"/>
      <c r="L637" s="158"/>
      <c r="M637" s="158"/>
      <c r="N637" s="158"/>
    </row>
    <row r="638" spans="1:14" ht="13.8">
      <c r="A638" s="158"/>
      <c r="B638" s="158"/>
      <c r="C638" s="158"/>
      <c r="D638" s="158"/>
      <c r="E638" s="158"/>
      <c r="F638" s="46"/>
      <c r="G638" s="158"/>
      <c r="H638" s="158"/>
      <c r="I638" s="158"/>
      <c r="J638" s="158"/>
      <c r="K638" s="158"/>
      <c r="L638" s="158"/>
      <c r="M638" s="158"/>
      <c r="N638" s="158"/>
    </row>
    <row r="639" spans="1:14" ht="13.8">
      <c r="A639" s="158"/>
      <c r="B639" s="158"/>
      <c r="C639" s="158"/>
      <c r="D639" s="158"/>
      <c r="E639" s="158"/>
      <c r="F639" s="46"/>
      <c r="G639" s="158"/>
      <c r="H639" s="158"/>
      <c r="I639" s="158"/>
      <c r="J639" s="158"/>
      <c r="K639" s="158"/>
      <c r="L639" s="158"/>
      <c r="M639" s="158"/>
      <c r="N639" s="158"/>
    </row>
    <row r="640" spans="1:14" ht="13.8">
      <c r="A640" s="158"/>
      <c r="B640" s="158"/>
      <c r="C640" s="158"/>
      <c r="D640" s="158"/>
      <c r="E640" s="158"/>
      <c r="F640" s="46"/>
      <c r="G640" s="158"/>
      <c r="H640" s="158"/>
      <c r="I640" s="158"/>
      <c r="J640" s="158"/>
      <c r="K640" s="158"/>
      <c r="L640" s="158"/>
      <c r="M640" s="158"/>
      <c r="N640" s="158"/>
    </row>
    <row r="641" spans="1:14" ht="13.8">
      <c r="A641" s="158"/>
      <c r="B641" s="158"/>
      <c r="C641" s="158"/>
      <c r="D641" s="158"/>
      <c r="E641" s="158"/>
      <c r="F641" s="46"/>
      <c r="G641" s="158"/>
      <c r="H641" s="158"/>
      <c r="I641" s="158"/>
      <c r="J641" s="158"/>
      <c r="K641" s="158"/>
      <c r="L641" s="158"/>
      <c r="M641" s="158"/>
      <c r="N641" s="158"/>
    </row>
    <row r="642" spans="1:14" ht="13.8">
      <c r="A642" s="158"/>
      <c r="B642" s="158"/>
      <c r="C642" s="158"/>
      <c r="D642" s="158"/>
      <c r="E642" s="158"/>
      <c r="F642" s="46"/>
      <c r="G642" s="158"/>
      <c r="H642" s="158"/>
      <c r="I642" s="158"/>
      <c r="J642" s="158"/>
      <c r="K642" s="158"/>
      <c r="L642" s="158"/>
      <c r="M642" s="158"/>
      <c r="N642" s="158"/>
    </row>
    <row r="643" spans="1:14" ht="13.8">
      <c r="A643" s="158"/>
      <c r="B643" s="158"/>
      <c r="C643" s="158"/>
      <c r="D643" s="158"/>
      <c r="E643" s="158"/>
      <c r="F643" s="46"/>
      <c r="G643" s="158"/>
      <c r="H643" s="158"/>
      <c r="I643" s="158"/>
      <c r="J643" s="158"/>
      <c r="K643" s="158"/>
      <c r="L643" s="158"/>
      <c r="M643" s="158"/>
      <c r="N643" s="158"/>
    </row>
    <row r="644" spans="1:14" ht="13.8">
      <c r="A644" s="158"/>
      <c r="B644" s="158"/>
      <c r="C644" s="158"/>
      <c r="D644" s="158"/>
      <c r="E644" s="158"/>
      <c r="F644" s="46"/>
      <c r="G644" s="158"/>
      <c r="H644" s="158"/>
      <c r="I644" s="158"/>
      <c r="J644" s="158"/>
      <c r="K644" s="158"/>
      <c r="L644" s="158"/>
      <c r="M644" s="158"/>
      <c r="N644" s="158"/>
    </row>
    <row r="645" spans="1:14" ht="13.8">
      <c r="A645" s="158"/>
      <c r="B645" s="158"/>
      <c r="C645" s="158"/>
      <c r="D645" s="158"/>
      <c r="E645" s="158"/>
      <c r="F645" s="46"/>
      <c r="G645" s="158"/>
      <c r="H645" s="158"/>
      <c r="I645" s="158"/>
      <c r="J645" s="158"/>
      <c r="K645" s="158"/>
      <c r="L645" s="158"/>
      <c r="M645" s="158"/>
      <c r="N645" s="158"/>
    </row>
    <row r="646" spans="1:14" ht="13.8">
      <c r="A646" s="158"/>
      <c r="B646" s="158"/>
      <c r="C646" s="158"/>
      <c r="D646" s="158"/>
      <c r="E646" s="158"/>
      <c r="F646" s="46"/>
      <c r="G646" s="158"/>
      <c r="H646" s="158"/>
      <c r="I646" s="158"/>
      <c r="J646" s="158"/>
      <c r="K646" s="158"/>
      <c r="L646" s="158"/>
      <c r="M646" s="158"/>
      <c r="N646" s="158"/>
    </row>
    <row r="647" spans="1:14" ht="13.8">
      <c r="A647" s="158"/>
      <c r="B647" s="158"/>
      <c r="C647" s="158"/>
      <c r="D647" s="158"/>
      <c r="E647" s="158"/>
      <c r="F647" s="46"/>
      <c r="G647" s="158"/>
      <c r="H647" s="158"/>
      <c r="I647" s="158"/>
      <c r="J647" s="158"/>
      <c r="K647" s="158"/>
      <c r="L647" s="158"/>
      <c r="M647" s="158"/>
      <c r="N647" s="158"/>
    </row>
    <row r="648" spans="1:14" ht="13.8">
      <c r="A648" s="158"/>
      <c r="B648" s="158"/>
      <c r="C648" s="158"/>
      <c r="D648" s="158"/>
      <c r="E648" s="158"/>
      <c r="F648" s="46"/>
      <c r="G648" s="158"/>
      <c r="H648" s="158"/>
      <c r="I648" s="158"/>
      <c r="J648" s="158"/>
      <c r="K648" s="158"/>
      <c r="L648" s="158"/>
      <c r="M648" s="158"/>
      <c r="N648" s="158"/>
    </row>
    <row r="649" spans="1:14" ht="13.8">
      <c r="A649" s="158"/>
      <c r="B649" s="158"/>
      <c r="C649" s="158"/>
      <c r="D649" s="158"/>
      <c r="E649" s="158"/>
      <c r="F649" s="46"/>
      <c r="G649" s="158"/>
      <c r="H649" s="158"/>
      <c r="I649" s="158"/>
      <c r="J649" s="158"/>
      <c r="K649" s="158"/>
      <c r="L649" s="158"/>
      <c r="M649" s="158"/>
      <c r="N649" s="158"/>
    </row>
    <row r="650" spans="1:14" ht="13.8">
      <c r="A650" s="158"/>
      <c r="B650" s="158"/>
      <c r="C650" s="158"/>
      <c r="D650" s="158"/>
      <c r="E650" s="158"/>
      <c r="F650" s="46"/>
      <c r="G650" s="158"/>
      <c r="H650" s="158"/>
      <c r="I650" s="158"/>
      <c r="J650" s="158"/>
      <c r="K650" s="158"/>
      <c r="L650" s="158"/>
      <c r="M650" s="158"/>
      <c r="N650" s="158"/>
    </row>
    <row r="651" spans="1:14" ht="13.8">
      <c r="A651" s="158"/>
      <c r="B651" s="158"/>
      <c r="C651" s="158"/>
      <c r="D651" s="158"/>
      <c r="E651" s="158"/>
      <c r="F651" s="46"/>
      <c r="G651" s="158"/>
      <c r="H651" s="158"/>
      <c r="I651" s="158"/>
      <c r="J651" s="158"/>
      <c r="K651" s="158"/>
      <c r="L651" s="158"/>
      <c r="M651" s="158"/>
      <c r="N651" s="158"/>
    </row>
    <row r="652" spans="1:14" ht="13.8">
      <c r="A652" s="158"/>
      <c r="B652" s="158"/>
      <c r="C652" s="158"/>
      <c r="D652" s="158"/>
      <c r="E652" s="158"/>
      <c r="F652" s="46"/>
      <c r="G652" s="158"/>
      <c r="H652" s="158"/>
      <c r="I652" s="158"/>
      <c r="J652" s="158"/>
      <c r="K652" s="158"/>
      <c r="L652" s="158"/>
      <c r="M652" s="158"/>
      <c r="N652" s="158"/>
    </row>
    <row r="653" spans="1:14" ht="13.8">
      <c r="A653" s="158"/>
      <c r="B653" s="158"/>
      <c r="C653" s="158"/>
      <c r="D653" s="158"/>
      <c r="E653" s="158"/>
      <c r="F653" s="46"/>
      <c r="G653" s="158"/>
      <c r="H653" s="158"/>
      <c r="I653" s="158"/>
      <c r="J653" s="158"/>
      <c r="K653" s="158"/>
      <c r="L653" s="158"/>
      <c r="M653" s="158"/>
      <c r="N653" s="158"/>
    </row>
    <row r="654" spans="1:14" ht="13.8">
      <c r="A654" s="158"/>
      <c r="B654" s="158"/>
      <c r="C654" s="158"/>
      <c r="D654" s="158"/>
      <c r="E654" s="158"/>
      <c r="F654" s="46"/>
      <c r="G654" s="158"/>
      <c r="H654" s="158"/>
      <c r="I654" s="158"/>
      <c r="J654" s="158"/>
      <c r="K654" s="158"/>
      <c r="L654" s="158"/>
      <c r="M654" s="158"/>
      <c r="N654" s="158"/>
    </row>
    <row r="655" spans="1:14" ht="13.8">
      <c r="A655" s="158"/>
      <c r="B655" s="158"/>
      <c r="C655" s="158"/>
      <c r="D655" s="158"/>
      <c r="E655" s="158"/>
      <c r="F655" s="46"/>
      <c r="G655" s="158"/>
      <c r="H655" s="158"/>
      <c r="I655" s="158"/>
      <c r="J655" s="158"/>
      <c r="K655" s="158"/>
      <c r="L655" s="158"/>
      <c r="M655" s="158"/>
      <c r="N655" s="158"/>
    </row>
    <row r="656" spans="1:14" ht="13.8">
      <c r="A656" s="158"/>
      <c r="B656" s="158"/>
      <c r="C656" s="158"/>
      <c r="D656" s="158"/>
      <c r="E656" s="158"/>
      <c r="F656" s="46"/>
      <c r="G656" s="158"/>
      <c r="H656" s="158"/>
      <c r="I656" s="158"/>
      <c r="J656" s="158"/>
      <c r="K656" s="158"/>
      <c r="L656" s="158"/>
      <c r="M656" s="158"/>
      <c r="N656" s="158"/>
    </row>
    <row r="657" spans="1:14" ht="13.8">
      <c r="A657" s="158"/>
      <c r="B657" s="158"/>
      <c r="C657" s="158"/>
      <c r="D657" s="158"/>
      <c r="E657" s="158"/>
      <c r="F657" s="46"/>
      <c r="G657" s="158"/>
      <c r="H657" s="158"/>
      <c r="I657" s="158"/>
      <c r="J657" s="158"/>
      <c r="K657" s="158"/>
      <c r="L657" s="158"/>
      <c r="M657" s="158"/>
      <c r="N657" s="158"/>
    </row>
    <row r="658" spans="1:14" ht="13.8">
      <c r="A658" s="158"/>
      <c r="B658" s="158"/>
      <c r="C658" s="158"/>
      <c r="D658" s="158"/>
      <c r="E658" s="158"/>
      <c r="F658" s="46"/>
      <c r="G658" s="158"/>
      <c r="H658" s="158"/>
      <c r="I658" s="158"/>
      <c r="J658" s="158"/>
      <c r="K658" s="158"/>
      <c r="L658" s="158"/>
      <c r="M658" s="158"/>
      <c r="N658" s="158"/>
    </row>
    <row r="659" spans="1:14" ht="13.8">
      <c r="A659" s="158"/>
      <c r="B659" s="158"/>
      <c r="C659" s="158"/>
      <c r="D659" s="158"/>
      <c r="E659" s="158"/>
      <c r="F659" s="46"/>
      <c r="G659" s="158"/>
      <c r="H659" s="158"/>
      <c r="I659" s="158"/>
      <c r="J659" s="158"/>
      <c r="K659" s="158"/>
      <c r="L659" s="158"/>
      <c r="M659" s="158"/>
      <c r="N659" s="158"/>
    </row>
    <row r="660" spans="1:14" ht="13.8">
      <c r="A660" s="158"/>
      <c r="B660" s="158"/>
      <c r="C660" s="158"/>
      <c r="D660" s="158"/>
      <c r="E660" s="158"/>
      <c r="F660" s="46"/>
      <c r="G660" s="158"/>
      <c r="H660" s="158"/>
      <c r="I660" s="158"/>
      <c r="J660" s="158"/>
      <c r="K660" s="158"/>
      <c r="L660" s="158"/>
      <c r="M660" s="158"/>
      <c r="N660" s="158"/>
    </row>
    <row r="661" spans="1:14" ht="13.8">
      <c r="A661" s="158"/>
      <c r="B661" s="158"/>
      <c r="C661" s="158"/>
      <c r="D661" s="158"/>
      <c r="E661" s="158"/>
      <c r="F661" s="46"/>
      <c r="G661" s="158"/>
      <c r="H661" s="158"/>
      <c r="I661" s="158"/>
      <c r="J661" s="158"/>
      <c r="K661" s="158"/>
      <c r="L661" s="158"/>
      <c r="M661" s="158"/>
      <c r="N661" s="158"/>
    </row>
    <row r="662" spans="1:14" ht="13.8">
      <c r="A662" s="158"/>
      <c r="B662" s="158"/>
      <c r="C662" s="158"/>
      <c r="D662" s="158"/>
      <c r="E662" s="158"/>
      <c r="F662" s="46"/>
      <c r="G662" s="158"/>
      <c r="H662" s="158"/>
      <c r="I662" s="158"/>
      <c r="J662" s="158"/>
      <c r="K662" s="158"/>
      <c r="L662" s="158"/>
      <c r="M662" s="158"/>
      <c r="N662" s="158"/>
    </row>
    <row r="663" spans="1:14" ht="13.8">
      <c r="A663" s="158"/>
      <c r="B663" s="158"/>
      <c r="C663" s="158"/>
      <c r="D663" s="158"/>
      <c r="E663" s="158"/>
      <c r="F663" s="46"/>
      <c r="G663" s="158"/>
      <c r="H663" s="158"/>
      <c r="I663" s="158"/>
      <c r="J663" s="158"/>
      <c r="K663" s="158"/>
      <c r="L663" s="158"/>
      <c r="M663" s="158"/>
      <c r="N663" s="158"/>
    </row>
    <row r="664" spans="1:14" ht="13.8">
      <c r="A664" s="158"/>
      <c r="B664" s="158"/>
      <c r="C664" s="158"/>
      <c r="D664" s="158"/>
      <c r="E664" s="158"/>
      <c r="F664" s="46"/>
      <c r="G664" s="158"/>
      <c r="H664" s="158"/>
      <c r="I664" s="158"/>
      <c r="J664" s="158"/>
      <c r="K664" s="158"/>
      <c r="L664" s="158"/>
      <c r="M664" s="158"/>
      <c r="N664" s="158"/>
    </row>
    <row r="665" spans="1:14" ht="13.8">
      <c r="A665" s="158"/>
      <c r="B665" s="158"/>
      <c r="C665" s="158"/>
      <c r="D665" s="158"/>
      <c r="E665" s="158"/>
      <c r="F665" s="46"/>
      <c r="G665" s="158"/>
      <c r="H665" s="158"/>
      <c r="I665" s="158"/>
      <c r="J665" s="158"/>
      <c r="K665" s="158"/>
      <c r="L665" s="158"/>
      <c r="M665" s="158"/>
      <c r="N665" s="158"/>
    </row>
    <row r="666" spans="1:14" ht="13.8">
      <c r="A666" s="158"/>
      <c r="B666" s="158"/>
      <c r="C666" s="158"/>
      <c r="D666" s="158"/>
      <c r="E666" s="158"/>
      <c r="F666" s="46"/>
      <c r="G666" s="158"/>
      <c r="H666" s="158"/>
      <c r="I666" s="158"/>
      <c r="J666" s="158"/>
      <c r="K666" s="158"/>
      <c r="L666" s="158"/>
      <c r="M666" s="158"/>
      <c r="N666" s="158"/>
    </row>
    <row r="667" spans="1:14" ht="13.8">
      <c r="A667" s="158"/>
      <c r="B667" s="158"/>
      <c r="C667" s="158"/>
      <c r="D667" s="158"/>
      <c r="E667" s="158"/>
      <c r="F667" s="46"/>
      <c r="G667" s="158"/>
      <c r="H667" s="158"/>
      <c r="I667" s="158"/>
      <c r="J667" s="158"/>
      <c r="K667" s="158"/>
      <c r="L667" s="158"/>
      <c r="M667" s="158"/>
      <c r="N667" s="158"/>
    </row>
    <row r="668" spans="1:14" ht="13.8">
      <c r="A668" s="158"/>
      <c r="B668" s="158"/>
      <c r="C668" s="158"/>
      <c r="D668" s="158"/>
      <c r="E668" s="158"/>
      <c r="F668" s="46"/>
      <c r="G668" s="158"/>
      <c r="H668" s="158"/>
      <c r="I668" s="158"/>
      <c r="J668" s="158"/>
      <c r="K668" s="158"/>
      <c r="L668" s="158"/>
      <c r="M668" s="158"/>
      <c r="N668" s="158"/>
    </row>
    <row r="669" spans="1:14" ht="13.8">
      <c r="A669" s="158"/>
      <c r="B669" s="158"/>
      <c r="C669" s="158"/>
      <c r="D669" s="158"/>
      <c r="E669" s="158"/>
      <c r="F669" s="46"/>
      <c r="G669" s="158"/>
      <c r="H669" s="158"/>
      <c r="I669" s="158"/>
      <c r="J669" s="158"/>
      <c r="K669" s="158"/>
      <c r="L669" s="158"/>
      <c r="M669" s="158"/>
      <c r="N669" s="158"/>
    </row>
    <row r="670" spans="1:14" ht="13.8">
      <c r="A670" s="158"/>
      <c r="B670" s="158"/>
      <c r="C670" s="158"/>
      <c r="D670" s="158"/>
      <c r="E670" s="158"/>
      <c r="F670" s="46"/>
      <c r="G670" s="158"/>
      <c r="H670" s="158"/>
      <c r="I670" s="158"/>
      <c r="J670" s="158"/>
      <c r="K670" s="158"/>
      <c r="L670" s="158"/>
      <c r="M670" s="158"/>
      <c r="N670" s="158"/>
    </row>
    <row r="671" spans="1:14" ht="13.8">
      <c r="A671" s="158"/>
      <c r="B671" s="158"/>
      <c r="C671" s="158"/>
      <c r="D671" s="158"/>
      <c r="E671" s="158"/>
      <c r="F671" s="46"/>
      <c r="G671" s="158"/>
      <c r="H671" s="158"/>
      <c r="I671" s="158"/>
      <c r="J671" s="158"/>
      <c r="K671" s="158"/>
      <c r="L671" s="158"/>
      <c r="M671" s="158"/>
      <c r="N671" s="158"/>
    </row>
    <row r="672" spans="1:14" ht="13.8">
      <c r="A672" s="158"/>
      <c r="B672" s="158"/>
      <c r="C672" s="158"/>
      <c r="D672" s="158"/>
      <c r="E672" s="158"/>
      <c r="F672" s="46"/>
      <c r="G672" s="158"/>
      <c r="H672" s="158"/>
      <c r="I672" s="158"/>
      <c r="J672" s="158"/>
      <c r="K672" s="158"/>
      <c r="L672" s="158"/>
      <c r="M672" s="158"/>
      <c r="N672" s="158"/>
    </row>
    <row r="673" spans="1:14" ht="13.8">
      <c r="A673" s="158"/>
      <c r="B673" s="158"/>
      <c r="C673" s="158"/>
      <c r="D673" s="158"/>
      <c r="E673" s="158"/>
      <c r="F673" s="46"/>
      <c r="G673" s="158"/>
      <c r="H673" s="158"/>
      <c r="I673" s="158"/>
      <c r="J673" s="158"/>
      <c r="K673" s="158"/>
      <c r="L673" s="158"/>
      <c r="M673" s="158"/>
      <c r="N673" s="158"/>
    </row>
    <row r="674" spans="1:14" ht="13.8">
      <c r="A674" s="158"/>
      <c r="B674" s="158"/>
      <c r="C674" s="158"/>
      <c r="D674" s="158"/>
      <c r="E674" s="158"/>
      <c r="F674" s="46"/>
      <c r="G674" s="158"/>
      <c r="H674" s="158"/>
      <c r="I674" s="158"/>
      <c r="J674" s="158"/>
      <c r="K674" s="158"/>
      <c r="L674" s="158"/>
      <c r="M674" s="158"/>
      <c r="N674" s="158"/>
    </row>
    <row r="675" spans="1:14" ht="13.8">
      <c r="A675" s="158"/>
      <c r="B675" s="158"/>
      <c r="C675" s="158"/>
      <c r="D675" s="158"/>
      <c r="E675" s="158"/>
      <c r="F675" s="46"/>
      <c r="G675" s="158"/>
      <c r="H675" s="158"/>
      <c r="I675" s="158"/>
      <c r="J675" s="158"/>
      <c r="K675" s="158"/>
      <c r="L675" s="158"/>
      <c r="M675" s="158"/>
      <c r="N675" s="158"/>
    </row>
    <row r="676" spans="1:14" ht="13.8">
      <c r="A676" s="158"/>
      <c r="B676" s="158"/>
      <c r="C676" s="158"/>
      <c r="D676" s="158"/>
      <c r="E676" s="158"/>
      <c r="F676" s="46"/>
      <c r="G676" s="158"/>
      <c r="H676" s="158"/>
      <c r="I676" s="158"/>
      <c r="J676" s="158"/>
      <c r="K676" s="158"/>
      <c r="L676" s="158"/>
      <c r="M676" s="158"/>
      <c r="N676" s="158"/>
    </row>
    <row r="677" spans="1:14" ht="13.8">
      <c r="A677" s="158"/>
      <c r="B677" s="158"/>
      <c r="C677" s="158"/>
      <c r="D677" s="158"/>
      <c r="E677" s="158"/>
      <c r="F677" s="46"/>
      <c r="G677" s="158"/>
      <c r="H677" s="158"/>
      <c r="I677" s="158"/>
      <c r="J677" s="158"/>
      <c r="K677" s="158"/>
      <c r="L677" s="158"/>
      <c r="M677" s="158"/>
      <c r="N677" s="158"/>
    </row>
    <row r="678" spans="1:14" ht="13.8">
      <c r="A678" s="158"/>
      <c r="B678" s="158"/>
      <c r="C678" s="158"/>
      <c r="D678" s="158"/>
      <c r="E678" s="158"/>
      <c r="F678" s="46"/>
      <c r="G678" s="158"/>
      <c r="H678" s="158"/>
      <c r="I678" s="158"/>
      <c r="J678" s="158"/>
      <c r="K678" s="158"/>
      <c r="L678" s="158"/>
      <c r="M678" s="158"/>
      <c r="N678" s="158"/>
    </row>
    <row r="679" spans="1:14" ht="13.8">
      <c r="A679" s="158"/>
      <c r="B679" s="158"/>
      <c r="C679" s="158"/>
      <c r="D679" s="158"/>
      <c r="E679" s="158"/>
      <c r="F679" s="46"/>
      <c r="G679" s="158"/>
      <c r="H679" s="158"/>
      <c r="I679" s="158"/>
      <c r="J679" s="158"/>
      <c r="K679" s="158"/>
      <c r="L679" s="158"/>
      <c r="M679" s="158"/>
      <c r="N679" s="158"/>
    </row>
    <row r="680" spans="1:14" ht="13.8">
      <c r="A680" s="158"/>
      <c r="B680" s="158"/>
      <c r="C680" s="158"/>
      <c r="D680" s="158"/>
      <c r="E680" s="158"/>
      <c r="F680" s="46"/>
      <c r="G680" s="158"/>
      <c r="H680" s="158"/>
      <c r="I680" s="158"/>
      <c r="J680" s="158"/>
      <c r="K680" s="158"/>
      <c r="L680" s="158"/>
      <c r="M680" s="158"/>
      <c r="N680" s="158"/>
    </row>
    <row r="681" spans="1:14" ht="13.8">
      <c r="A681" s="158"/>
      <c r="B681" s="158"/>
      <c r="C681" s="158"/>
      <c r="D681" s="158"/>
      <c r="E681" s="158"/>
      <c r="F681" s="46"/>
      <c r="G681" s="158"/>
      <c r="H681" s="158"/>
      <c r="I681" s="158"/>
      <c r="J681" s="158"/>
      <c r="K681" s="158"/>
      <c r="L681" s="158"/>
      <c r="M681" s="158"/>
      <c r="N681" s="158"/>
    </row>
    <row r="682" spans="1:14" ht="13.8">
      <c r="A682" s="158"/>
      <c r="B682" s="158"/>
      <c r="C682" s="158"/>
      <c r="D682" s="158"/>
      <c r="E682" s="158"/>
      <c r="F682" s="46"/>
      <c r="G682" s="158"/>
      <c r="H682" s="158"/>
      <c r="I682" s="158"/>
      <c r="J682" s="158"/>
      <c r="K682" s="158"/>
      <c r="L682" s="158"/>
      <c r="M682" s="158"/>
      <c r="N682" s="158"/>
    </row>
    <row r="683" spans="1:14" ht="13.8">
      <c r="A683" s="158"/>
      <c r="B683" s="158"/>
      <c r="C683" s="158"/>
      <c r="D683" s="158"/>
      <c r="E683" s="158"/>
      <c r="F683" s="46"/>
      <c r="G683" s="158"/>
      <c r="H683" s="158"/>
      <c r="I683" s="158"/>
      <c r="J683" s="158"/>
      <c r="K683" s="158"/>
      <c r="L683" s="158"/>
      <c r="M683" s="158"/>
      <c r="N683" s="158"/>
    </row>
    <row r="684" spans="1:14" ht="13.8">
      <c r="A684" s="158"/>
      <c r="B684" s="158"/>
      <c r="C684" s="158"/>
      <c r="D684" s="158"/>
      <c r="E684" s="158"/>
      <c r="F684" s="46"/>
      <c r="G684" s="158"/>
      <c r="H684" s="158"/>
      <c r="I684" s="158"/>
      <c r="J684" s="158"/>
      <c r="K684" s="158"/>
      <c r="L684" s="158"/>
      <c r="M684" s="158"/>
      <c r="N684" s="158"/>
    </row>
    <row r="685" spans="1:14" ht="13.8">
      <c r="A685" s="158"/>
      <c r="B685" s="158"/>
      <c r="C685" s="158"/>
      <c r="D685" s="158"/>
      <c r="E685" s="158"/>
      <c r="F685" s="46"/>
      <c r="G685" s="158"/>
      <c r="H685" s="158"/>
      <c r="I685" s="158"/>
      <c r="J685" s="158"/>
      <c r="K685" s="158"/>
      <c r="L685" s="158"/>
      <c r="M685" s="158"/>
      <c r="N685" s="158"/>
    </row>
    <row r="686" spans="1:14" ht="13.8">
      <c r="A686" s="158"/>
      <c r="B686" s="158"/>
      <c r="C686" s="158"/>
      <c r="D686" s="158"/>
      <c r="E686" s="158"/>
      <c r="F686" s="46"/>
      <c r="G686" s="158"/>
      <c r="H686" s="158"/>
      <c r="I686" s="158"/>
      <c r="J686" s="158"/>
      <c r="K686" s="158"/>
      <c r="L686" s="158"/>
      <c r="M686" s="158"/>
      <c r="N686" s="158"/>
    </row>
    <row r="687" spans="1:14" ht="13.8">
      <c r="A687" s="158"/>
      <c r="B687" s="158"/>
      <c r="C687" s="158"/>
      <c r="D687" s="158"/>
      <c r="E687" s="158"/>
      <c r="F687" s="46"/>
      <c r="G687" s="158"/>
      <c r="H687" s="158"/>
      <c r="I687" s="158"/>
      <c r="J687" s="158"/>
      <c r="K687" s="158"/>
      <c r="L687" s="158"/>
      <c r="M687" s="158"/>
      <c r="N687" s="158"/>
    </row>
    <row r="688" spans="1:14" ht="13.8">
      <c r="A688" s="158"/>
      <c r="B688" s="158"/>
      <c r="C688" s="158"/>
      <c r="D688" s="158"/>
      <c r="E688" s="158"/>
      <c r="F688" s="46"/>
      <c r="G688" s="158"/>
      <c r="H688" s="158"/>
      <c r="I688" s="158"/>
      <c r="J688" s="158"/>
      <c r="K688" s="158"/>
      <c r="L688" s="158"/>
      <c r="M688" s="158"/>
      <c r="N688" s="158"/>
    </row>
    <row r="689" spans="1:14" ht="13.8">
      <c r="A689" s="158"/>
      <c r="B689" s="158"/>
      <c r="C689" s="158"/>
      <c r="D689" s="158"/>
      <c r="E689" s="158"/>
      <c r="F689" s="46"/>
      <c r="G689" s="158"/>
      <c r="H689" s="158"/>
      <c r="I689" s="158"/>
      <c r="J689" s="158"/>
      <c r="K689" s="158"/>
      <c r="L689" s="158"/>
      <c r="M689" s="158"/>
      <c r="N689" s="158"/>
    </row>
    <row r="690" spans="1:14" ht="13.8">
      <c r="A690" s="158"/>
      <c r="B690" s="158"/>
      <c r="C690" s="158"/>
      <c r="D690" s="158"/>
      <c r="E690" s="158"/>
      <c r="F690" s="46"/>
      <c r="G690" s="158"/>
      <c r="H690" s="158"/>
      <c r="I690" s="158"/>
      <c r="J690" s="158"/>
      <c r="K690" s="158"/>
      <c r="L690" s="158"/>
      <c r="M690" s="158"/>
      <c r="N690" s="158"/>
    </row>
    <row r="691" spans="1:14" ht="13.8">
      <c r="A691" s="158"/>
      <c r="B691" s="158"/>
      <c r="C691" s="158"/>
      <c r="D691" s="158"/>
      <c r="E691" s="158"/>
      <c r="F691" s="46"/>
      <c r="G691" s="158"/>
      <c r="H691" s="158"/>
      <c r="I691" s="158"/>
      <c r="J691" s="158"/>
      <c r="K691" s="158"/>
      <c r="L691" s="158"/>
      <c r="M691" s="158"/>
      <c r="N691" s="158"/>
    </row>
    <row r="692" spans="1:14" ht="13.8">
      <c r="A692" s="158"/>
      <c r="B692" s="158"/>
      <c r="C692" s="158"/>
      <c r="D692" s="158"/>
      <c r="E692" s="158"/>
      <c r="F692" s="46"/>
      <c r="G692" s="158"/>
      <c r="H692" s="158"/>
      <c r="I692" s="158"/>
      <c r="J692" s="158"/>
      <c r="K692" s="158"/>
      <c r="L692" s="158"/>
      <c r="M692" s="158"/>
      <c r="N692" s="158"/>
    </row>
    <row r="693" spans="1:14" ht="13.8">
      <c r="A693" s="158"/>
      <c r="B693" s="158"/>
      <c r="C693" s="158"/>
      <c r="D693" s="158"/>
      <c r="E693" s="158"/>
      <c r="F693" s="46"/>
      <c r="G693" s="158"/>
      <c r="H693" s="158"/>
      <c r="I693" s="158"/>
      <c r="J693" s="158"/>
      <c r="K693" s="158"/>
      <c r="L693" s="158"/>
      <c r="M693" s="158"/>
      <c r="N693" s="158"/>
    </row>
    <row r="694" spans="1:14" ht="13.8">
      <c r="A694" s="158"/>
      <c r="B694" s="158"/>
      <c r="C694" s="158"/>
      <c r="D694" s="158"/>
      <c r="E694" s="158"/>
      <c r="F694" s="46"/>
      <c r="G694" s="158"/>
      <c r="H694" s="158"/>
      <c r="I694" s="158"/>
      <c r="J694" s="158"/>
      <c r="K694" s="158"/>
      <c r="L694" s="158"/>
      <c r="M694" s="158"/>
      <c r="N694" s="158"/>
    </row>
    <row r="695" spans="1:14" ht="13.8">
      <c r="A695" s="158"/>
      <c r="B695" s="158"/>
      <c r="C695" s="158"/>
      <c r="D695" s="158"/>
      <c r="E695" s="158"/>
      <c r="F695" s="46"/>
      <c r="G695" s="158"/>
      <c r="H695" s="158"/>
      <c r="I695" s="158"/>
      <c r="J695" s="158"/>
      <c r="K695" s="158"/>
      <c r="L695" s="158"/>
      <c r="M695" s="158"/>
      <c r="N695" s="158"/>
    </row>
    <row r="696" spans="1:14" ht="13.8">
      <c r="A696" s="158"/>
      <c r="B696" s="158"/>
      <c r="C696" s="158"/>
      <c r="D696" s="158"/>
      <c r="E696" s="158"/>
      <c r="F696" s="46"/>
      <c r="G696" s="158"/>
      <c r="H696" s="158"/>
      <c r="I696" s="158"/>
      <c r="J696" s="158"/>
      <c r="K696" s="158"/>
      <c r="L696" s="158"/>
      <c r="M696" s="158"/>
      <c r="N696" s="158"/>
    </row>
    <row r="697" spans="1:14" ht="13.8">
      <c r="A697" s="158"/>
      <c r="B697" s="158"/>
      <c r="C697" s="158"/>
      <c r="D697" s="158"/>
      <c r="E697" s="158"/>
      <c r="F697" s="46"/>
      <c r="G697" s="158"/>
      <c r="H697" s="158"/>
      <c r="I697" s="158"/>
      <c r="J697" s="158"/>
      <c r="K697" s="158"/>
      <c r="L697" s="158"/>
      <c r="M697" s="158"/>
      <c r="N697" s="158"/>
    </row>
    <row r="698" spans="1:14" ht="13.8">
      <c r="A698" s="158"/>
      <c r="B698" s="158"/>
      <c r="C698" s="158"/>
      <c r="D698" s="158"/>
      <c r="E698" s="158"/>
      <c r="F698" s="46"/>
      <c r="G698" s="158"/>
      <c r="H698" s="158"/>
      <c r="I698" s="158"/>
      <c r="J698" s="158"/>
      <c r="K698" s="158"/>
      <c r="L698" s="158"/>
      <c r="M698" s="158"/>
      <c r="N698" s="158"/>
    </row>
    <row r="699" spans="1:14" ht="13.8">
      <c r="A699" s="158"/>
      <c r="B699" s="158"/>
      <c r="C699" s="158"/>
      <c r="D699" s="158"/>
      <c r="E699" s="158"/>
      <c r="F699" s="46"/>
      <c r="G699" s="158"/>
      <c r="H699" s="158"/>
      <c r="I699" s="158"/>
      <c r="J699" s="158"/>
      <c r="K699" s="158"/>
      <c r="L699" s="158"/>
      <c r="M699" s="158"/>
      <c r="N699" s="158"/>
    </row>
    <row r="700" spans="1:14" ht="13.8">
      <c r="A700" s="158"/>
      <c r="B700" s="158"/>
      <c r="C700" s="158"/>
      <c r="D700" s="158"/>
      <c r="E700" s="158"/>
      <c r="F700" s="46"/>
      <c r="G700" s="158"/>
      <c r="H700" s="158"/>
      <c r="I700" s="158"/>
      <c r="J700" s="158"/>
      <c r="K700" s="158"/>
      <c r="L700" s="158"/>
      <c r="M700" s="158"/>
      <c r="N700" s="158"/>
    </row>
    <row r="701" spans="1:14" ht="13.8">
      <c r="A701" s="158"/>
      <c r="B701" s="158"/>
      <c r="C701" s="158"/>
      <c r="D701" s="158"/>
      <c r="E701" s="158"/>
      <c r="F701" s="46"/>
      <c r="G701" s="158"/>
      <c r="H701" s="158"/>
      <c r="I701" s="158"/>
      <c r="J701" s="158"/>
      <c r="K701" s="158"/>
      <c r="L701" s="158"/>
      <c r="M701" s="158"/>
      <c r="N701" s="158"/>
    </row>
    <row r="702" spans="1:14" ht="13.8">
      <c r="A702" s="158"/>
      <c r="B702" s="158"/>
      <c r="C702" s="158"/>
      <c r="D702" s="158"/>
      <c r="E702" s="158"/>
      <c r="F702" s="46"/>
      <c r="G702" s="158"/>
      <c r="H702" s="158"/>
      <c r="I702" s="158"/>
      <c r="J702" s="158"/>
      <c r="K702" s="158"/>
      <c r="L702" s="158"/>
      <c r="M702" s="158"/>
      <c r="N702" s="158"/>
    </row>
    <row r="703" spans="1:14" ht="13.8">
      <c r="A703" s="158"/>
      <c r="B703" s="158"/>
      <c r="C703" s="158"/>
      <c r="D703" s="158"/>
      <c r="E703" s="158"/>
      <c r="F703" s="46"/>
      <c r="G703" s="158"/>
      <c r="H703" s="158"/>
      <c r="I703" s="158"/>
      <c r="J703" s="158"/>
      <c r="K703" s="158"/>
      <c r="L703" s="158"/>
      <c r="M703" s="158"/>
      <c r="N703" s="158"/>
    </row>
    <row r="704" spans="1:14" ht="13.8">
      <c r="A704" s="158"/>
      <c r="B704" s="158"/>
      <c r="C704" s="158"/>
      <c r="D704" s="158"/>
      <c r="E704" s="158"/>
      <c r="F704" s="46"/>
      <c r="G704" s="158"/>
      <c r="H704" s="158"/>
      <c r="I704" s="158"/>
      <c r="J704" s="158"/>
      <c r="K704" s="158"/>
      <c r="L704" s="158"/>
      <c r="M704" s="158"/>
      <c r="N704" s="158"/>
    </row>
    <row r="705" spans="1:14" ht="13.8">
      <c r="A705" s="158"/>
      <c r="B705" s="158"/>
      <c r="C705" s="158"/>
      <c r="D705" s="158"/>
      <c r="E705" s="158"/>
      <c r="F705" s="46"/>
      <c r="G705" s="158"/>
      <c r="H705" s="158"/>
      <c r="I705" s="158"/>
      <c r="J705" s="158"/>
      <c r="K705" s="158"/>
      <c r="L705" s="158"/>
      <c r="M705" s="158"/>
      <c r="N705" s="158"/>
    </row>
    <row r="706" spans="1:14" ht="13.8">
      <c r="A706" s="158"/>
      <c r="B706" s="158"/>
      <c r="C706" s="158"/>
      <c r="D706" s="158"/>
      <c r="E706" s="158"/>
      <c r="F706" s="46"/>
      <c r="G706" s="158"/>
      <c r="H706" s="158"/>
      <c r="I706" s="158"/>
      <c r="J706" s="158"/>
      <c r="K706" s="158"/>
      <c r="L706" s="158"/>
      <c r="M706" s="158"/>
      <c r="N706" s="158"/>
    </row>
    <row r="707" spans="1:14" ht="13.8">
      <c r="A707" s="158"/>
      <c r="B707" s="158"/>
      <c r="C707" s="158"/>
      <c r="D707" s="158"/>
      <c r="E707" s="158"/>
      <c r="F707" s="46"/>
      <c r="G707" s="158"/>
      <c r="H707" s="158"/>
      <c r="I707" s="158"/>
      <c r="J707" s="158"/>
      <c r="K707" s="158"/>
      <c r="L707" s="158"/>
      <c r="M707" s="158"/>
      <c r="N707" s="158"/>
    </row>
    <row r="708" spans="1:14" ht="13.8">
      <c r="A708" s="158"/>
      <c r="B708" s="158"/>
      <c r="C708" s="158"/>
      <c r="D708" s="158"/>
      <c r="E708" s="158"/>
      <c r="F708" s="46"/>
      <c r="G708" s="158"/>
      <c r="H708" s="158"/>
      <c r="I708" s="158"/>
      <c r="J708" s="158"/>
      <c r="K708" s="158"/>
      <c r="L708" s="158"/>
      <c r="M708" s="158"/>
      <c r="N708" s="158"/>
    </row>
    <row r="709" spans="1:14" ht="13.8">
      <c r="A709" s="158"/>
      <c r="B709" s="158"/>
      <c r="C709" s="158"/>
      <c r="D709" s="158"/>
      <c r="E709" s="158"/>
      <c r="F709" s="46"/>
      <c r="G709" s="158"/>
      <c r="H709" s="158"/>
      <c r="I709" s="158"/>
      <c r="J709" s="158"/>
      <c r="K709" s="158"/>
      <c r="L709" s="158"/>
      <c r="M709" s="158"/>
      <c r="N709" s="158"/>
    </row>
    <row r="710" spans="1:14" ht="13.8">
      <c r="A710" s="158"/>
      <c r="B710" s="158"/>
      <c r="C710" s="158"/>
      <c r="D710" s="158"/>
      <c r="E710" s="158"/>
      <c r="F710" s="46"/>
      <c r="G710" s="158"/>
      <c r="H710" s="158"/>
      <c r="I710" s="158"/>
      <c r="J710" s="158"/>
      <c r="K710" s="158"/>
      <c r="L710" s="158"/>
      <c r="M710" s="158"/>
      <c r="N710" s="158"/>
    </row>
    <row r="711" spans="1:14" ht="13.8">
      <c r="A711" s="158"/>
      <c r="B711" s="158"/>
      <c r="C711" s="158"/>
      <c r="D711" s="158"/>
      <c r="E711" s="158"/>
      <c r="F711" s="46"/>
      <c r="G711" s="158"/>
      <c r="H711" s="158"/>
      <c r="I711" s="158"/>
      <c r="J711" s="158"/>
      <c r="K711" s="158"/>
      <c r="L711" s="158"/>
      <c r="M711" s="158"/>
      <c r="N711" s="158"/>
    </row>
    <row r="712" spans="1:14" ht="13.8">
      <c r="A712" s="158"/>
      <c r="B712" s="158"/>
      <c r="C712" s="158"/>
      <c r="D712" s="158"/>
      <c r="E712" s="158"/>
      <c r="F712" s="46"/>
      <c r="G712" s="158"/>
      <c r="H712" s="158"/>
      <c r="I712" s="158"/>
      <c r="J712" s="158"/>
      <c r="K712" s="158"/>
      <c r="L712" s="158"/>
      <c r="M712" s="158"/>
      <c r="N712" s="158"/>
    </row>
    <row r="713" spans="1:14" ht="13.8">
      <c r="A713" s="158"/>
      <c r="B713" s="158"/>
      <c r="C713" s="158"/>
      <c r="D713" s="158"/>
      <c r="E713" s="158"/>
      <c r="F713" s="46"/>
      <c r="G713" s="158"/>
      <c r="H713" s="158"/>
      <c r="I713" s="158"/>
      <c r="J713" s="158"/>
      <c r="K713" s="158"/>
      <c r="L713" s="158"/>
      <c r="M713" s="158"/>
      <c r="N713" s="158"/>
    </row>
    <row r="714" spans="1:14" ht="13.8">
      <c r="A714" s="158"/>
      <c r="B714" s="158"/>
      <c r="C714" s="158"/>
      <c r="D714" s="158"/>
      <c r="E714" s="158"/>
      <c r="F714" s="46"/>
      <c r="G714" s="158"/>
      <c r="H714" s="158"/>
      <c r="I714" s="158"/>
      <c r="J714" s="158"/>
      <c r="K714" s="158"/>
      <c r="L714" s="158"/>
      <c r="M714" s="158"/>
      <c r="N714" s="158"/>
    </row>
    <row r="715" spans="1:14" ht="13.8">
      <c r="A715" s="158"/>
      <c r="B715" s="158"/>
      <c r="C715" s="158"/>
      <c r="D715" s="158"/>
      <c r="E715" s="158"/>
      <c r="F715" s="46"/>
      <c r="G715" s="158"/>
      <c r="H715" s="158"/>
      <c r="I715" s="158"/>
      <c r="J715" s="158"/>
      <c r="K715" s="158"/>
      <c r="L715" s="158"/>
      <c r="M715" s="158"/>
      <c r="N715" s="158"/>
    </row>
    <row r="716" spans="1:14" ht="13.8">
      <c r="A716" s="158"/>
      <c r="B716" s="158"/>
      <c r="C716" s="158"/>
      <c r="D716" s="158"/>
      <c r="E716" s="158"/>
      <c r="F716" s="46"/>
      <c r="G716" s="158"/>
      <c r="H716" s="158"/>
      <c r="I716" s="158"/>
      <c r="J716" s="158"/>
      <c r="K716" s="158"/>
      <c r="L716" s="158"/>
      <c r="M716" s="158"/>
      <c r="N716" s="158"/>
    </row>
    <row r="717" spans="1:14" ht="13.8">
      <c r="A717" s="158"/>
      <c r="B717" s="158"/>
      <c r="C717" s="158"/>
      <c r="D717" s="158"/>
      <c r="E717" s="158"/>
      <c r="F717" s="46"/>
      <c r="G717" s="158"/>
      <c r="H717" s="158"/>
      <c r="I717" s="158"/>
      <c r="J717" s="158"/>
      <c r="K717" s="158"/>
      <c r="L717" s="158"/>
      <c r="M717" s="158"/>
      <c r="N717" s="158"/>
    </row>
    <row r="718" spans="1:14" ht="13.8">
      <c r="A718" s="158"/>
      <c r="B718" s="158"/>
      <c r="C718" s="158"/>
      <c r="D718" s="158"/>
      <c r="E718" s="158"/>
      <c r="F718" s="46"/>
      <c r="G718" s="158"/>
      <c r="H718" s="158"/>
      <c r="I718" s="158"/>
      <c r="J718" s="158"/>
      <c r="K718" s="158"/>
      <c r="L718" s="158"/>
      <c r="M718" s="158"/>
      <c r="N718" s="158"/>
    </row>
    <row r="719" spans="1:14" ht="13.8">
      <c r="A719" s="158"/>
      <c r="B719" s="158"/>
      <c r="C719" s="158"/>
      <c r="D719" s="158"/>
      <c r="E719" s="158"/>
      <c r="F719" s="46"/>
      <c r="G719" s="158"/>
      <c r="H719" s="158"/>
      <c r="I719" s="158"/>
      <c r="J719" s="158"/>
      <c r="K719" s="158"/>
      <c r="L719" s="158"/>
      <c r="M719" s="158"/>
      <c r="N719" s="158"/>
    </row>
    <row r="720" spans="1:14" ht="13.8">
      <c r="A720" s="158"/>
      <c r="B720" s="158"/>
      <c r="C720" s="158"/>
      <c r="D720" s="158"/>
      <c r="E720" s="158"/>
      <c r="F720" s="46"/>
      <c r="G720" s="158"/>
      <c r="H720" s="158"/>
      <c r="I720" s="158"/>
      <c r="J720" s="158"/>
      <c r="K720" s="158"/>
      <c r="L720" s="158"/>
      <c r="M720" s="158"/>
      <c r="N720" s="158"/>
    </row>
    <row r="721" spans="1:14" ht="13.8">
      <c r="A721" s="158"/>
      <c r="B721" s="158"/>
      <c r="C721" s="158"/>
      <c r="D721" s="158"/>
      <c r="E721" s="158"/>
      <c r="F721" s="46"/>
      <c r="G721" s="158"/>
      <c r="H721" s="158"/>
      <c r="I721" s="158"/>
      <c r="J721" s="158"/>
      <c r="K721" s="158"/>
      <c r="L721" s="158"/>
      <c r="M721" s="158"/>
      <c r="N721" s="158"/>
    </row>
    <row r="722" spans="1:14" ht="13.8">
      <c r="A722" s="158"/>
      <c r="B722" s="158"/>
      <c r="C722" s="158"/>
      <c r="D722" s="158"/>
      <c r="E722" s="158"/>
      <c r="F722" s="46"/>
      <c r="G722" s="158"/>
      <c r="H722" s="158"/>
      <c r="I722" s="158"/>
      <c r="J722" s="158"/>
      <c r="K722" s="158"/>
      <c r="L722" s="158"/>
      <c r="M722" s="158"/>
      <c r="N722" s="158"/>
    </row>
    <row r="723" spans="1:14" ht="13.8">
      <c r="A723" s="158"/>
      <c r="B723" s="158"/>
      <c r="C723" s="158"/>
      <c r="D723" s="158"/>
      <c r="E723" s="158"/>
      <c r="F723" s="46"/>
      <c r="G723" s="158"/>
      <c r="H723" s="158"/>
      <c r="I723" s="158"/>
      <c r="J723" s="158"/>
      <c r="K723" s="158"/>
      <c r="L723" s="158"/>
      <c r="M723" s="158"/>
      <c r="N723" s="158"/>
    </row>
    <row r="724" spans="1:14" ht="13.8">
      <c r="A724" s="158"/>
      <c r="B724" s="158"/>
      <c r="C724" s="158"/>
      <c r="D724" s="158"/>
      <c r="E724" s="158"/>
      <c r="F724" s="46"/>
      <c r="G724" s="158"/>
      <c r="H724" s="158"/>
      <c r="I724" s="158"/>
      <c r="J724" s="158"/>
      <c r="K724" s="158"/>
      <c r="L724" s="158"/>
      <c r="M724" s="158"/>
      <c r="N724" s="158"/>
    </row>
    <row r="725" spans="1:14" ht="13.8">
      <c r="A725" s="158"/>
      <c r="B725" s="158"/>
      <c r="C725" s="158"/>
      <c r="D725" s="158"/>
      <c r="E725" s="158"/>
      <c r="F725" s="46"/>
      <c r="G725" s="158"/>
      <c r="H725" s="158"/>
      <c r="I725" s="158"/>
      <c r="J725" s="158"/>
      <c r="K725" s="158"/>
      <c r="L725" s="158"/>
      <c r="M725" s="158"/>
      <c r="N725" s="158"/>
    </row>
    <row r="726" spans="1:14" ht="13.8">
      <c r="A726" s="158"/>
      <c r="B726" s="158"/>
      <c r="C726" s="158"/>
      <c r="D726" s="158"/>
      <c r="E726" s="158"/>
      <c r="F726" s="46"/>
      <c r="G726" s="158"/>
      <c r="H726" s="158"/>
      <c r="I726" s="158"/>
      <c r="J726" s="158"/>
      <c r="K726" s="158"/>
      <c r="L726" s="158"/>
      <c r="M726" s="158"/>
      <c r="N726" s="158"/>
    </row>
    <row r="727" spans="1:14" ht="13.8">
      <c r="A727" s="158"/>
      <c r="B727" s="158"/>
      <c r="C727" s="158"/>
      <c r="D727" s="158"/>
      <c r="E727" s="158"/>
      <c r="F727" s="46"/>
      <c r="G727" s="158"/>
      <c r="H727" s="158"/>
      <c r="I727" s="158"/>
      <c r="J727" s="158"/>
      <c r="K727" s="158"/>
      <c r="L727" s="158"/>
      <c r="M727" s="158"/>
      <c r="N727" s="158"/>
    </row>
    <row r="728" spans="1:14" ht="13.8">
      <c r="A728" s="158"/>
      <c r="B728" s="158"/>
      <c r="C728" s="158"/>
      <c r="D728" s="158"/>
      <c r="E728" s="158"/>
      <c r="F728" s="46"/>
      <c r="G728" s="158"/>
      <c r="H728" s="158"/>
      <c r="I728" s="158"/>
      <c r="J728" s="158"/>
      <c r="K728" s="158"/>
      <c r="L728" s="158"/>
      <c r="M728" s="158"/>
      <c r="N728" s="158"/>
    </row>
    <row r="729" spans="1:14" ht="13.8">
      <c r="A729" s="158"/>
      <c r="B729" s="158"/>
      <c r="C729" s="158"/>
      <c r="D729" s="158"/>
      <c r="E729" s="158"/>
      <c r="F729" s="46"/>
      <c r="G729" s="158"/>
      <c r="H729" s="158"/>
      <c r="I729" s="158"/>
      <c r="J729" s="158"/>
      <c r="K729" s="158"/>
      <c r="L729" s="158"/>
      <c r="M729" s="158"/>
      <c r="N729" s="158"/>
    </row>
    <row r="730" spans="1:14" ht="13.8">
      <c r="A730" s="158"/>
      <c r="B730" s="158"/>
      <c r="C730" s="158"/>
      <c r="D730" s="158"/>
      <c r="E730" s="158"/>
      <c r="F730" s="46"/>
      <c r="G730" s="158"/>
      <c r="H730" s="158"/>
      <c r="I730" s="158"/>
      <c r="J730" s="158"/>
      <c r="K730" s="158"/>
      <c r="L730" s="158"/>
      <c r="M730" s="158"/>
      <c r="N730" s="158"/>
    </row>
    <row r="731" spans="1:14" ht="13.8">
      <c r="A731" s="158"/>
      <c r="B731" s="158"/>
      <c r="C731" s="158"/>
      <c r="D731" s="158"/>
      <c r="E731" s="158"/>
      <c r="F731" s="46"/>
      <c r="G731" s="158"/>
      <c r="H731" s="158"/>
      <c r="I731" s="158"/>
      <c r="J731" s="158"/>
      <c r="K731" s="158"/>
      <c r="L731" s="158"/>
      <c r="M731" s="158"/>
      <c r="N731" s="158"/>
    </row>
    <row r="732" spans="1:14" ht="13.8">
      <c r="A732" s="158"/>
      <c r="B732" s="158"/>
      <c r="C732" s="158"/>
      <c r="D732" s="158"/>
      <c r="E732" s="158"/>
      <c r="F732" s="46"/>
      <c r="G732" s="158"/>
      <c r="H732" s="158"/>
      <c r="I732" s="158"/>
      <c r="J732" s="158"/>
      <c r="K732" s="158"/>
      <c r="L732" s="158"/>
      <c r="M732" s="158"/>
      <c r="N732" s="158"/>
    </row>
    <row r="733" spans="1:14" ht="13.8">
      <c r="A733" s="158"/>
      <c r="B733" s="158"/>
      <c r="C733" s="158"/>
      <c r="D733" s="158"/>
      <c r="E733" s="158"/>
      <c r="F733" s="46"/>
      <c r="G733" s="158"/>
      <c r="H733" s="158"/>
      <c r="I733" s="158"/>
      <c r="J733" s="158"/>
      <c r="K733" s="158"/>
      <c r="L733" s="158"/>
      <c r="M733" s="158"/>
      <c r="N733" s="158"/>
    </row>
    <row r="734" spans="1:14" ht="13.8">
      <c r="A734" s="158"/>
      <c r="B734" s="158"/>
      <c r="C734" s="158"/>
      <c r="D734" s="158"/>
      <c r="E734" s="158"/>
      <c r="F734" s="46"/>
      <c r="G734" s="158"/>
      <c r="H734" s="158"/>
      <c r="I734" s="158"/>
      <c r="J734" s="158"/>
      <c r="K734" s="158"/>
      <c r="L734" s="158"/>
      <c r="M734" s="158"/>
      <c r="N734" s="158"/>
    </row>
    <row r="735" spans="1:14" ht="13.8">
      <c r="A735" s="158"/>
      <c r="B735" s="158"/>
      <c r="C735" s="158"/>
      <c r="D735" s="158"/>
      <c r="E735" s="158"/>
      <c r="F735" s="46"/>
      <c r="G735" s="158"/>
      <c r="H735" s="158"/>
      <c r="I735" s="158"/>
      <c r="J735" s="158"/>
      <c r="K735" s="158"/>
      <c r="L735" s="158"/>
      <c r="M735" s="158"/>
      <c r="N735" s="158"/>
    </row>
    <row r="736" spans="1:14" ht="13.8">
      <c r="A736" s="158"/>
      <c r="B736" s="158"/>
      <c r="C736" s="158"/>
      <c r="D736" s="158"/>
      <c r="E736" s="158"/>
      <c r="F736" s="46"/>
      <c r="G736" s="158"/>
      <c r="H736" s="158"/>
      <c r="I736" s="158"/>
      <c r="J736" s="158"/>
      <c r="K736" s="158"/>
      <c r="L736" s="158"/>
      <c r="M736" s="158"/>
      <c r="N736" s="158"/>
    </row>
    <row r="737" spans="1:14" ht="13.8">
      <c r="A737" s="158"/>
      <c r="B737" s="158"/>
      <c r="C737" s="158"/>
      <c r="D737" s="158"/>
      <c r="E737" s="158"/>
      <c r="F737" s="46"/>
      <c r="G737" s="158"/>
      <c r="H737" s="158"/>
      <c r="I737" s="158"/>
      <c r="J737" s="158"/>
      <c r="K737" s="158"/>
      <c r="L737" s="158"/>
      <c r="M737" s="158"/>
      <c r="N737" s="158"/>
    </row>
    <row r="738" spans="1:14" ht="13.8">
      <c r="A738" s="158"/>
      <c r="B738" s="158"/>
      <c r="C738" s="158"/>
      <c r="D738" s="158"/>
      <c r="E738" s="158"/>
      <c r="F738" s="46"/>
      <c r="G738" s="158"/>
      <c r="H738" s="158"/>
      <c r="I738" s="158"/>
      <c r="J738" s="158"/>
      <c r="K738" s="158"/>
      <c r="L738" s="158"/>
      <c r="M738" s="158"/>
      <c r="N738" s="158"/>
    </row>
    <row r="739" spans="1:14" ht="13.8">
      <c r="A739" s="158"/>
      <c r="B739" s="158"/>
      <c r="C739" s="158"/>
      <c r="D739" s="158"/>
      <c r="E739" s="158"/>
      <c r="F739" s="46"/>
      <c r="G739" s="158"/>
      <c r="H739" s="158"/>
      <c r="I739" s="158"/>
      <c r="J739" s="158"/>
      <c r="K739" s="158"/>
      <c r="L739" s="158"/>
      <c r="M739" s="158"/>
      <c r="N739" s="158"/>
    </row>
    <row r="740" spans="1:14" ht="13.8">
      <c r="A740" s="158"/>
      <c r="B740" s="158"/>
      <c r="C740" s="158"/>
      <c r="D740" s="158"/>
      <c r="E740" s="158"/>
      <c r="F740" s="46"/>
      <c r="G740" s="158"/>
      <c r="H740" s="158"/>
      <c r="I740" s="158"/>
      <c r="J740" s="158"/>
      <c r="K740" s="158"/>
      <c r="L740" s="158"/>
      <c r="M740" s="158"/>
      <c r="N740" s="158"/>
    </row>
    <row r="741" spans="1:14" ht="13.8">
      <c r="A741" s="158"/>
      <c r="B741" s="158"/>
      <c r="C741" s="158"/>
      <c r="D741" s="158"/>
      <c r="E741" s="158"/>
      <c r="F741" s="46"/>
      <c r="G741" s="158"/>
      <c r="H741" s="158"/>
      <c r="I741" s="158"/>
      <c r="J741" s="158"/>
      <c r="K741" s="158"/>
      <c r="L741" s="158"/>
      <c r="M741" s="158"/>
      <c r="N741" s="158"/>
    </row>
    <row r="742" spans="1:14" ht="13.8">
      <c r="A742" s="158"/>
      <c r="B742" s="158"/>
      <c r="C742" s="158"/>
      <c r="D742" s="158"/>
      <c r="E742" s="158"/>
      <c r="F742" s="46"/>
      <c r="G742" s="158"/>
      <c r="H742" s="158"/>
      <c r="I742" s="158"/>
      <c r="J742" s="158"/>
      <c r="K742" s="158"/>
      <c r="L742" s="158"/>
      <c r="M742" s="158"/>
      <c r="N742" s="158"/>
    </row>
    <row r="743" spans="1:14" ht="13.8">
      <c r="A743" s="158"/>
      <c r="B743" s="158"/>
      <c r="C743" s="158"/>
      <c r="D743" s="158"/>
      <c r="E743" s="158"/>
      <c r="F743" s="46"/>
      <c r="G743" s="158"/>
      <c r="H743" s="158"/>
      <c r="I743" s="158"/>
      <c r="J743" s="158"/>
      <c r="K743" s="158"/>
      <c r="L743" s="158"/>
      <c r="M743" s="158"/>
      <c r="N743" s="158"/>
    </row>
    <row r="744" spans="1:14" ht="13.8">
      <c r="A744" s="158"/>
      <c r="B744" s="158"/>
      <c r="C744" s="158"/>
      <c r="D744" s="158"/>
      <c r="E744" s="158"/>
      <c r="F744" s="46"/>
      <c r="G744" s="158"/>
      <c r="H744" s="158"/>
      <c r="I744" s="158"/>
      <c r="J744" s="158"/>
      <c r="K744" s="158"/>
      <c r="L744" s="158"/>
      <c r="M744" s="158"/>
      <c r="N744" s="158"/>
    </row>
    <row r="745" spans="1:14" ht="13.8">
      <c r="A745" s="158"/>
      <c r="B745" s="158"/>
      <c r="C745" s="158"/>
      <c r="D745" s="158"/>
      <c r="E745" s="158"/>
      <c r="F745" s="46"/>
      <c r="G745" s="158"/>
      <c r="H745" s="158"/>
      <c r="I745" s="158"/>
      <c r="J745" s="158"/>
      <c r="K745" s="158"/>
      <c r="L745" s="158"/>
      <c r="M745" s="158"/>
      <c r="N745" s="158"/>
    </row>
    <row r="746" spans="1:14" ht="13.8">
      <c r="A746" s="158"/>
      <c r="B746" s="158"/>
      <c r="C746" s="158"/>
      <c r="D746" s="158"/>
      <c r="E746" s="158"/>
      <c r="F746" s="46"/>
      <c r="G746" s="158"/>
      <c r="H746" s="158"/>
      <c r="I746" s="158"/>
      <c r="J746" s="158"/>
      <c r="K746" s="158"/>
      <c r="L746" s="158"/>
      <c r="M746" s="158"/>
      <c r="N746" s="158"/>
    </row>
    <row r="747" spans="1:14" ht="13.8">
      <c r="A747" s="158"/>
      <c r="B747" s="158"/>
      <c r="C747" s="158"/>
      <c r="D747" s="158"/>
      <c r="E747" s="158"/>
      <c r="F747" s="46"/>
      <c r="G747" s="158"/>
      <c r="H747" s="158"/>
      <c r="I747" s="158"/>
      <c r="J747" s="158"/>
      <c r="K747" s="158"/>
      <c r="L747" s="158"/>
      <c r="M747" s="158"/>
      <c r="N747" s="158"/>
    </row>
    <row r="748" spans="1:14" ht="13.8">
      <c r="A748" s="158"/>
      <c r="B748" s="158"/>
      <c r="C748" s="158"/>
      <c r="D748" s="158"/>
      <c r="E748" s="158"/>
      <c r="F748" s="46"/>
      <c r="G748" s="158"/>
      <c r="H748" s="158"/>
      <c r="I748" s="158"/>
      <c r="J748" s="158"/>
      <c r="K748" s="158"/>
      <c r="L748" s="158"/>
      <c r="M748" s="158"/>
      <c r="N748" s="158"/>
    </row>
    <row r="749" spans="1:14" ht="13.8">
      <c r="A749" s="158"/>
      <c r="B749" s="158"/>
      <c r="C749" s="158"/>
      <c r="D749" s="158"/>
      <c r="E749" s="158"/>
      <c r="F749" s="46"/>
      <c r="G749" s="158"/>
      <c r="H749" s="158"/>
      <c r="I749" s="158"/>
      <c r="J749" s="158"/>
      <c r="K749" s="158"/>
      <c r="L749" s="158"/>
      <c r="M749" s="158"/>
      <c r="N749" s="158"/>
    </row>
    <row r="750" spans="1:14" ht="13.8">
      <c r="A750" s="158"/>
      <c r="B750" s="158"/>
      <c r="C750" s="158"/>
      <c r="D750" s="158"/>
      <c r="E750" s="158"/>
      <c r="F750" s="46"/>
      <c r="G750" s="158"/>
      <c r="H750" s="158"/>
      <c r="I750" s="158"/>
      <c r="J750" s="158"/>
      <c r="K750" s="158"/>
      <c r="L750" s="158"/>
      <c r="M750" s="158"/>
      <c r="N750" s="158"/>
    </row>
    <row r="751" spans="1:14" ht="13.8">
      <c r="A751" s="158"/>
      <c r="B751" s="158"/>
      <c r="C751" s="158"/>
      <c r="D751" s="158"/>
      <c r="E751" s="158"/>
      <c r="F751" s="46"/>
      <c r="G751" s="158"/>
      <c r="H751" s="158"/>
      <c r="I751" s="158"/>
      <c r="J751" s="158"/>
      <c r="K751" s="158"/>
      <c r="L751" s="158"/>
      <c r="M751" s="158"/>
      <c r="N751" s="158"/>
    </row>
    <row r="752" spans="1:14" ht="13.8">
      <c r="A752" s="158"/>
      <c r="B752" s="158"/>
      <c r="C752" s="158"/>
      <c r="D752" s="158"/>
      <c r="E752" s="158"/>
      <c r="F752" s="46"/>
      <c r="G752" s="158"/>
      <c r="H752" s="158"/>
      <c r="I752" s="158"/>
      <c r="J752" s="158"/>
      <c r="K752" s="158"/>
      <c r="L752" s="158"/>
      <c r="M752" s="158"/>
      <c r="N752" s="158"/>
    </row>
    <row r="753" spans="1:14" ht="13.8">
      <c r="A753" s="158"/>
      <c r="B753" s="158"/>
      <c r="C753" s="158"/>
      <c r="D753" s="158"/>
      <c r="E753" s="158"/>
      <c r="F753" s="46"/>
      <c r="G753" s="158"/>
      <c r="H753" s="158"/>
      <c r="I753" s="158"/>
      <c r="J753" s="158"/>
      <c r="K753" s="158"/>
      <c r="L753" s="158"/>
      <c r="M753" s="158"/>
      <c r="N753" s="158"/>
    </row>
    <row r="754" spans="1:14" ht="13.8">
      <c r="A754" s="158"/>
      <c r="B754" s="158"/>
      <c r="C754" s="158"/>
      <c r="D754" s="158"/>
      <c r="E754" s="158"/>
      <c r="F754" s="46"/>
      <c r="G754" s="158"/>
      <c r="H754" s="158"/>
      <c r="I754" s="158"/>
      <c r="J754" s="158"/>
      <c r="K754" s="158"/>
      <c r="L754" s="158"/>
      <c r="M754" s="158"/>
      <c r="N754" s="158"/>
    </row>
    <row r="755" spans="1:14" ht="13.8">
      <c r="A755" s="158"/>
      <c r="B755" s="158"/>
      <c r="C755" s="158"/>
      <c r="D755" s="158"/>
      <c r="E755" s="158"/>
      <c r="F755" s="46"/>
      <c r="G755" s="158"/>
      <c r="H755" s="158"/>
      <c r="I755" s="158"/>
      <c r="J755" s="158"/>
      <c r="K755" s="158"/>
      <c r="L755" s="158"/>
      <c r="M755" s="158"/>
      <c r="N755" s="158"/>
    </row>
    <row r="756" spans="1:14" ht="13.8">
      <c r="A756" s="158"/>
      <c r="B756" s="158"/>
      <c r="C756" s="158"/>
      <c r="D756" s="158"/>
      <c r="E756" s="158"/>
      <c r="F756" s="46"/>
      <c r="G756" s="158"/>
      <c r="H756" s="158"/>
      <c r="I756" s="158"/>
      <c r="J756" s="158"/>
      <c r="K756" s="158"/>
      <c r="L756" s="158"/>
      <c r="M756" s="158"/>
      <c r="N756" s="158"/>
    </row>
    <row r="757" spans="1:14" ht="13.8">
      <c r="A757" s="158"/>
      <c r="B757" s="158"/>
      <c r="C757" s="158"/>
      <c r="D757" s="158"/>
      <c r="E757" s="158"/>
      <c r="F757" s="46"/>
      <c r="G757" s="158"/>
      <c r="H757" s="158"/>
      <c r="I757" s="158"/>
      <c r="J757" s="158"/>
      <c r="K757" s="158"/>
      <c r="L757" s="158"/>
      <c r="M757" s="158"/>
      <c r="N757" s="158"/>
    </row>
    <row r="758" spans="1:14" ht="13.8">
      <c r="A758" s="158"/>
      <c r="B758" s="158"/>
      <c r="C758" s="158"/>
      <c r="D758" s="158"/>
      <c r="E758" s="158"/>
      <c r="F758" s="46"/>
      <c r="G758" s="158"/>
      <c r="H758" s="158"/>
      <c r="I758" s="158"/>
      <c r="J758" s="158"/>
      <c r="K758" s="158"/>
      <c r="L758" s="158"/>
      <c r="M758" s="158"/>
      <c r="N758" s="158"/>
    </row>
    <row r="759" spans="1:14" ht="13.8">
      <c r="A759" s="158"/>
      <c r="B759" s="158"/>
      <c r="C759" s="158"/>
      <c r="D759" s="158"/>
      <c r="E759" s="158"/>
      <c r="F759" s="46"/>
      <c r="G759" s="158"/>
      <c r="H759" s="158"/>
      <c r="I759" s="158"/>
      <c r="J759" s="158"/>
      <c r="K759" s="158"/>
      <c r="L759" s="158"/>
      <c r="M759" s="158"/>
      <c r="N759" s="158"/>
    </row>
    <row r="760" spans="1:14" ht="13.8">
      <c r="A760" s="158"/>
      <c r="B760" s="158"/>
      <c r="C760" s="158"/>
      <c r="D760" s="158"/>
      <c r="E760" s="158"/>
      <c r="F760" s="46"/>
      <c r="G760" s="158"/>
      <c r="H760" s="158"/>
      <c r="I760" s="158"/>
      <c r="J760" s="158"/>
      <c r="K760" s="158"/>
      <c r="L760" s="158"/>
      <c r="M760" s="158"/>
      <c r="N760" s="158"/>
    </row>
    <row r="761" spans="1:14" ht="13.8">
      <c r="A761" s="158"/>
      <c r="B761" s="158"/>
      <c r="C761" s="158"/>
      <c r="D761" s="158"/>
      <c r="E761" s="158"/>
      <c r="F761" s="46"/>
      <c r="G761" s="158"/>
      <c r="H761" s="158"/>
      <c r="I761" s="158"/>
      <c r="J761" s="158"/>
      <c r="K761" s="158"/>
      <c r="L761" s="158"/>
      <c r="M761" s="158"/>
      <c r="N761" s="158"/>
    </row>
    <row r="762" spans="1:14" ht="13.8">
      <c r="A762" s="158"/>
      <c r="B762" s="158"/>
      <c r="C762" s="158"/>
      <c r="D762" s="158"/>
      <c r="E762" s="158"/>
      <c r="F762" s="46"/>
      <c r="G762" s="158"/>
      <c r="H762" s="158"/>
      <c r="I762" s="158"/>
      <c r="J762" s="158"/>
      <c r="K762" s="158"/>
      <c r="L762" s="158"/>
      <c r="M762" s="158"/>
      <c r="N762" s="158"/>
    </row>
    <row r="763" spans="1:14" ht="13.8">
      <c r="A763" s="158"/>
      <c r="B763" s="158"/>
      <c r="C763" s="158"/>
      <c r="D763" s="158"/>
      <c r="E763" s="158"/>
      <c r="F763" s="46"/>
      <c r="G763" s="158"/>
      <c r="H763" s="158"/>
      <c r="I763" s="158"/>
      <c r="J763" s="158"/>
      <c r="K763" s="158"/>
      <c r="L763" s="158"/>
      <c r="M763" s="158"/>
      <c r="N763" s="158"/>
    </row>
    <row r="764" spans="1:14" ht="13.8">
      <c r="A764" s="158"/>
      <c r="B764" s="158"/>
      <c r="C764" s="158"/>
      <c r="D764" s="158"/>
      <c r="E764" s="158"/>
      <c r="F764" s="46"/>
      <c r="G764" s="158"/>
      <c r="H764" s="158"/>
      <c r="I764" s="158"/>
      <c r="J764" s="158"/>
      <c r="K764" s="158"/>
      <c r="L764" s="158"/>
      <c r="M764" s="158"/>
      <c r="N764" s="158"/>
    </row>
    <row r="765" spans="1:14" ht="13.8">
      <c r="A765" s="158"/>
      <c r="B765" s="158"/>
      <c r="C765" s="158"/>
      <c r="D765" s="158"/>
      <c r="E765" s="158"/>
      <c r="F765" s="46"/>
      <c r="G765" s="158"/>
      <c r="H765" s="158"/>
      <c r="I765" s="158"/>
      <c r="J765" s="158"/>
      <c r="K765" s="158"/>
      <c r="L765" s="158"/>
      <c r="M765" s="158"/>
      <c r="N765" s="158"/>
    </row>
    <row r="766" spans="1:14" ht="13.8">
      <c r="A766" s="158"/>
      <c r="B766" s="158"/>
      <c r="C766" s="158"/>
      <c r="D766" s="158"/>
      <c r="E766" s="158"/>
      <c r="F766" s="46"/>
      <c r="G766" s="158"/>
      <c r="H766" s="158"/>
      <c r="I766" s="158"/>
      <c r="J766" s="158"/>
      <c r="K766" s="158"/>
      <c r="L766" s="158"/>
      <c r="M766" s="158"/>
      <c r="N766" s="158"/>
    </row>
    <row r="767" spans="1:14" ht="13.8">
      <c r="A767" s="158"/>
      <c r="B767" s="158"/>
      <c r="C767" s="158"/>
      <c r="D767" s="158"/>
      <c r="E767" s="158"/>
      <c r="F767" s="46"/>
      <c r="G767" s="158"/>
      <c r="H767" s="158"/>
      <c r="I767" s="158"/>
      <c r="J767" s="158"/>
      <c r="K767" s="158"/>
      <c r="L767" s="158"/>
      <c r="M767" s="158"/>
      <c r="N767" s="158"/>
    </row>
    <row r="768" spans="1:14" ht="13.8">
      <c r="A768" s="158"/>
      <c r="B768" s="158"/>
      <c r="C768" s="158"/>
      <c r="D768" s="158"/>
      <c r="E768" s="158"/>
      <c r="F768" s="46"/>
      <c r="G768" s="158"/>
      <c r="H768" s="158"/>
      <c r="I768" s="158"/>
      <c r="J768" s="158"/>
      <c r="K768" s="158"/>
      <c r="L768" s="158"/>
      <c r="M768" s="158"/>
      <c r="N768" s="158"/>
    </row>
    <row r="769" spans="1:14" ht="13.8">
      <c r="A769" s="158"/>
      <c r="B769" s="158"/>
      <c r="C769" s="158"/>
      <c r="D769" s="158"/>
      <c r="E769" s="158"/>
      <c r="F769" s="46"/>
      <c r="G769" s="158"/>
      <c r="H769" s="158"/>
      <c r="I769" s="158"/>
      <c r="J769" s="158"/>
      <c r="K769" s="158"/>
      <c r="L769" s="158"/>
      <c r="M769" s="158"/>
      <c r="N769" s="158"/>
    </row>
    <row r="770" spans="1:14" ht="13.8">
      <c r="A770" s="158"/>
      <c r="B770" s="158"/>
      <c r="C770" s="158"/>
      <c r="D770" s="158"/>
      <c r="E770" s="158"/>
      <c r="F770" s="46"/>
      <c r="G770" s="158"/>
      <c r="H770" s="158"/>
      <c r="I770" s="158"/>
      <c r="J770" s="158"/>
      <c r="K770" s="158"/>
      <c r="L770" s="158"/>
      <c r="M770" s="158"/>
      <c r="N770" s="158"/>
    </row>
    <row r="771" spans="1:14" ht="13.8">
      <c r="A771" s="158"/>
      <c r="B771" s="158"/>
      <c r="C771" s="158"/>
      <c r="D771" s="158"/>
      <c r="E771" s="158"/>
      <c r="F771" s="46"/>
      <c r="G771" s="158"/>
      <c r="H771" s="158"/>
      <c r="I771" s="158"/>
      <c r="J771" s="158"/>
      <c r="K771" s="158"/>
      <c r="L771" s="158"/>
      <c r="M771" s="158"/>
      <c r="N771" s="158"/>
    </row>
    <row r="772" spans="1:14" ht="13.8">
      <c r="A772" s="158"/>
      <c r="B772" s="158"/>
      <c r="C772" s="158"/>
      <c r="D772" s="158"/>
      <c r="E772" s="158"/>
      <c r="F772" s="46"/>
      <c r="G772" s="158"/>
      <c r="H772" s="158"/>
      <c r="I772" s="158"/>
      <c r="J772" s="158"/>
      <c r="K772" s="158"/>
      <c r="L772" s="158"/>
      <c r="M772" s="158"/>
      <c r="N772" s="158"/>
    </row>
    <row r="773" spans="1:14" ht="13.8">
      <c r="A773" s="158"/>
      <c r="B773" s="158"/>
      <c r="C773" s="158"/>
      <c r="D773" s="158"/>
      <c r="E773" s="158"/>
      <c r="F773" s="46"/>
      <c r="G773" s="158"/>
      <c r="H773" s="158"/>
      <c r="I773" s="158"/>
      <c r="J773" s="158"/>
      <c r="K773" s="158"/>
      <c r="L773" s="158"/>
      <c r="M773" s="158"/>
      <c r="N773" s="158"/>
    </row>
    <row r="774" spans="1:14" ht="13.8">
      <c r="A774" s="158"/>
      <c r="B774" s="158"/>
      <c r="C774" s="158"/>
      <c r="D774" s="158"/>
      <c r="E774" s="158"/>
      <c r="F774" s="46"/>
      <c r="G774" s="158"/>
      <c r="H774" s="158"/>
      <c r="I774" s="158"/>
      <c r="J774" s="158"/>
      <c r="K774" s="158"/>
      <c r="L774" s="158"/>
      <c r="M774" s="158"/>
      <c r="N774" s="158"/>
    </row>
    <row r="775" spans="1:14" ht="13.8">
      <c r="A775" s="158"/>
      <c r="B775" s="158"/>
      <c r="C775" s="158"/>
      <c r="D775" s="158"/>
      <c r="E775" s="158"/>
      <c r="F775" s="46"/>
      <c r="G775" s="158"/>
      <c r="H775" s="158"/>
      <c r="I775" s="158"/>
      <c r="J775" s="158"/>
      <c r="K775" s="158"/>
      <c r="L775" s="158"/>
      <c r="M775" s="158"/>
      <c r="N775" s="158"/>
    </row>
    <row r="776" spans="1:14" ht="13.8">
      <c r="A776" s="158"/>
      <c r="B776" s="158"/>
      <c r="C776" s="158"/>
      <c r="D776" s="158"/>
      <c r="E776" s="158"/>
      <c r="F776" s="46"/>
      <c r="G776" s="158"/>
      <c r="H776" s="158"/>
      <c r="I776" s="158"/>
      <c r="J776" s="158"/>
      <c r="K776" s="158"/>
      <c r="L776" s="158"/>
      <c r="M776" s="158"/>
      <c r="N776" s="158"/>
    </row>
    <row r="777" spans="1:14" ht="13.8">
      <c r="A777" s="158"/>
      <c r="B777" s="158"/>
      <c r="C777" s="158"/>
      <c r="D777" s="158"/>
      <c r="E777" s="158"/>
      <c r="F777" s="46"/>
      <c r="G777" s="158"/>
      <c r="H777" s="158"/>
      <c r="I777" s="158"/>
      <c r="J777" s="158"/>
      <c r="K777" s="158"/>
      <c r="L777" s="158"/>
      <c r="M777" s="158"/>
      <c r="N777" s="158"/>
    </row>
    <row r="778" spans="1:14" ht="13.8">
      <c r="A778" s="158"/>
      <c r="B778" s="158"/>
      <c r="C778" s="158"/>
      <c r="D778" s="158"/>
      <c r="E778" s="158"/>
      <c r="F778" s="46"/>
      <c r="G778" s="158"/>
      <c r="H778" s="158"/>
      <c r="I778" s="158"/>
      <c r="J778" s="158"/>
      <c r="K778" s="158"/>
      <c r="L778" s="158"/>
      <c r="M778" s="158"/>
      <c r="N778" s="158"/>
    </row>
    <row r="779" spans="1:14" ht="13.8">
      <c r="A779" s="158"/>
      <c r="B779" s="158"/>
      <c r="C779" s="158"/>
      <c r="D779" s="158"/>
      <c r="E779" s="158"/>
      <c r="F779" s="46"/>
      <c r="G779" s="158"/>
      <c r="H779" s="158"/>
      <c r="I779" s="158"/>
      <c r="J779" s="158"/>
      <c r="K779" s="158"/>
      <c r="L779" s="158"/>
      <c r="M779" s="158"/>
      <c r="N779" s="158"/>
    </row>
    <row r="780" spans="1:14" ht="13.8">
      <c r="A780" s="158"/>
      <c r="B780" s="158"/>
      <c r="C780" s="158"/>
      <c r="D780" s="158"/>
      <c r="E780" s="158"/>
      <c r="F780" s="46"/>
      <c r="G780" s="158"/>
      <c r="H780" s="158"/>
      <c r="I780" s="158"/>
      <c r="J780" s="158"/>
      <c r="K780" s="158"/>
      <c r="L780" s="158"/>
      <c r="M780" s="158"/>
      <c r="N780" s="158"/>
    </row>
    <row r="781" spans="1:14" ht="13.8">
      <c r="A781" s="158"/>
      <c r="B781" s="158"/>
      <c r="C781" s="158"/>
      <c r="D781" s="158"/>
      <c r="E781" s="158"/>
      <c r="F781" s="46"/>
      <c r="G781" s="158"/>
      <c r="H781" s="158"/>
      <c r="I781" s="158"/>
      <c r="J781" s="158"/>
      <c r="K781" s="158"/>
      <c r="L781" s="158"/>
      <c r="M781" s="158"/>
      <c r="N781" s="158"/>
    </row>
    <row r="782" spans="1:14" ht="13.8">
      <c r="A782" s="158"/>
      <c r="B782" s="158"/>
      <c r="C782" s="158"/>
      <c r="D782" s="158"/>
      <c r="E782" s="158"/>
      <c r="F782" s="46"/>
      <c r="G782" s="158"/>
      <c r="H782" s="158"/>
      <c r="I782" s="158"/>
      <c r="J782" s="158"/>
      <c r="K782" s="158"/>
      <c r="L782" s="158"/>
      <c r="M782" s="158"/>
      <c r="N782" s="158"/>
    </row>
    <row r="783" spans="1:14" ht="13.8">
      <c r="A783" s="158"/>
      <c r="B783" s="158"/>
      <c r="C783" s="158"/>
      <c r="D783" s="158"/>
      <c r="E783" s="158"/>
      <c r="F783" s="46"/>
      <c r="G783" s="158"/>
      <c r="H783" s="158"/>
      <c r="I783" s="158"/>
      <c r="J783" s="158"/>
      <c r="K783" s="158"/>
      <c r="L783" s="158"/>
      <c r="M783" s="158"/>
      <c r="N783" s="158"/>
    </row>
    <row r="784" spans="1:14" ht="13.8">
      <c r="A784" s="158"/>
      <c r="B784" s="158"/>
      <c r="C784" s="158"/>
      <c r="D784" s="158"/>
      <c r="E784" s="158"/>
      <c r="F784" s="46"/>
      <c r="G784" s="158"/>
      <c r="H784" s="158"/>
      <c r="I784" s="158"/>
      <c r="J784" s="158"/>
      <c r="K784" s="158"/>
      <c r="L784" s="158"/>
      <c r="M784" s="158"/>
      <c r="N784" s="158"/>
    </row>
    <row r="785" spans="1:14" ht="13.8">
      <c r="A785" s="158"/>
      <c r="B785" s="158"/>
      <c r="C785" s="158"/>
      <c r="D785" s="158"/>
      <c r="E785" s="158"/>
      <c r="F785" s="46"/>
      <c r="G785" s="158"/>
      <c r="H785" s="158"/>
      <c r="I785" s="158"/>
      <c r="J785" s="158"/>
      <c r="K785" s="158"/>
      <c r="L785" s="158"/>
      <c r="M785" s="158"/>
      <c r="N785" s="158"/>
    </row>
    <row r="786" spans="1:14" ht="13.8">
      <c r="A786" s="158"/>
      <c r="B786" s="158"/>
      <c r="C786" s="158"/>
      <c r="D786" s="158"/>
      <c r="E786" s="158"/>
      <c r="F786" s="46"/>
      <c r="G786" s="158"/>
      <c r="H786" s="158"/>
      <c r="I786" s="158"/>
      <c r="J786" s="158"/>
      <c r="K786" s="158"/>
      <c r="L786" s="158"/>
      <c r="M786" s="158"/>
      <c r="N786" s="158"/>
    </row>
    <row r="787" spans="1:14" ht="13.8">
      <c r="A787" s="158"/>
      <c r="B787" s="158"/>
      <c r="C787" s="158"/>
      <c r="D787" s="158"/>
      <c r="E787" s="158"/>
      <c r="F787" s="46"/>
      <c r="G787" s="158"/>
      <c r="H787" s="158"/>
      <c r="I787" s="158"/>
      <c r="J787" s="158"/>
      <c r="K787" s="158"/>
      <c r="L787" s="158"/>
      <c r="M787" s="158"/>
      <c r="N787" s="158"/>
    </row>
    <row r="788" spans="1:14" ht="13.8">
      <c r="A788" s="158"/>
      <c r="B788" s="158"/>
      <c r="C788" s="158"/>
      <c r="D788" s="158"/>
      <c r="E788" s="158"/>
      <c r="F788" s="46"/>
      <c r="G788" s="158"/>
      <c r="H788" s="158"/>
      <c r="I788" s="158"/>
      <c r="J788" s="158"/>
      <c r="K788" s="158"/>
      <c r="L788" s="158"/>
      <c r="M788" s="158"/>
      <c r="N788" s="158"/>
    </row>
    <row r="789" spans="1:14" ht="13.8">
      <c r="A789" s="158"/>
      <c r="B789" s="158"/>
      <c r="C789" s="158"/>
      <c r="D789" s="158"/>
      <c r="E789" s="158"/>
      <c r="F789" s="46"/>
      <c r="G789" s="158"/>
      <c r="H789" s="158"/>
      <c r="I789" s="158"/>
      <c r="J789" s="158"/>
      <c r="K789" s="158"/>
      <c r="L789" s="158"/>
      <c r="M789" s="158"/>
      <c r="N789" s="158"/>
    </row>
    <row r="790" spans="1:14" ht="13.8">
      <c r="A790" s="158"/>
      <c r="B790" s="158"/>
      <c r="C790" s="158"/>
      <c r="D790" s="158"/>
      <c r="E790" s="158"/>
      <c r="F790" s="46"/>
      <c r="G790" s="158"/>
      <c r="H790" s="158"/>
      <c r="I790" s="158"/>
      <c r="J790" s="158"/>
      <c r="K790" s="158"/>
      <c r="L790" s="158"/>
      <c r="M790" s="158"/>
      <c r="N790" s="158"/>
    </row>
    <row r="791" spans="1:14" ht="13.8">
      <c r="A791" s="158"/>
      <c r="B791" s="158"/>
      <c r="C791" s="158"/>
      <c r="D791" s="158"/>
      <c r="E791" s="158"/>
      <c r="F791" s="46"/>
      <c r="G791" s="158"/>
      <c r="H791" s="158"/>
      <c r="I791" s="158"/>
      <c r="J791" s="158"/>
      <c r="K791" s="158"/>
      <c r="L791" s="158"/>
      <c r="M791" s="158"/>
      <c r="N791" s="158"/>
    </row>
    <row r="792" spans="1:14" ht="13.8">
      <c r="A792" s="158"/>
      <c r="B792" s="158"/>
      <c r="C792" s="158"/>
      <c r="D792" s="158"/>
      <c r="E792" s="158"/>
      <c r="F792" s="46"/>
      <c r="G792" s="158"/>
      <c r="H792" s="158"/>
      <c r="I792" s="158"/>
      <c r="J792" s="158"/>
      <c r="K792" s="158"/>
      <c r="L792" s="158"/>
      <c r="M792" s="158"/>
      <c r="N792" s="158"/>
    </row>
    <row r="793" spans="1:14" ht="13.8">
      <c r="A793" s="158"/>
      <c r="B793" s="158"/>
      <c r="C793" s="158"/>
      <c r="D793" s="158"/>
      <c r="E793" s="158"/>
      <c r="F793" s="46"/>
      <c r="G793" s="158"/>
      <c r="H793" s="158"/>
      <c r="I793" s="158"/>
      <c r="J793" s="158"/>
      <c r="K793" s="158"/>
      <c r="L793" s="158"/>
      <c r="M793" s="158"/>
      <c r="N793" s="158"/>
    </row>
    <row r="794" spans="1:14" ht="13.8">
      <c r="A794" s="158"/>
      <c r="B794" s="158"/>
      <c r="C794" s="158"/>
      <c r="D794" s="158"/>
      <c r="E794" s="158"/>
      <c r="F794" s="46"/>
      <c r="G794" s="158"/>
      <c r="H794" s="158"/>
      <c r="I794" s="158"/>
      <c r="J794" s="158"/>
      <c r="K794" s="158"/>
      <c r="L794" s="158"/>
      <c r="M794" s="158"/>
      <c r="N794" s="158"/>
    </row>
    <row r="795" spans="1:14" ht="13.8">
      <c r="A795" s="158"/>
      <c r="B795" s="158"/>
      <c r="C795" s="158"/>
      <c r="D795" s="158"/>
      <c r="E795" s="158"/>
      <c r="F795" s="46"/>
      <c r="G795" s="158"/>
      <c r="H795" s="158"/>
      <c r="I795" s="158"/>
      <c r="J795" s="158"/>
      <c r="K795" s="158"/>
      <c r="L795" s="158"/>
      <c r="M795" s="158"/>
      <c r="N795" s="158"/>
    </row>
    <row r="796" spans="1:14" ht="13.8">
      <c r="A796" s="158"/>
      <c r="B796" s="158"/>
      <c r="C796" s="158"/>
      <c r="D796" s="158"/>
      <c r="E796" s="158"/>
      <c r="F796" s="46"/>
      <c r="G796" s="158"/>
      <c r="H796" s="158"/>
      <c r="I796" s="158"/>
      <c r="J796" s="158"/>
      <c r="K796" s="158"/>
      <c r="L796" s="158"/>
      <c r="M796" s="158"/>
      <c r="N796" s="158"/>
    </row>
    <row r="797" spans="1:14" ht="13.8">
      <c r="A797" s="158"/>
      <c r="B797" s="158"/>
      <c r="C797" s="158"/>
      <c r="D797" s="158"/>
      <c r="E797" s="158"/>
      <c r="F797" s="46"/>
      <c r="G797" s="158"/>
      <c r="H797" s="158"/>
      <c r="I797" s="158"/>
      <c r="J797" s="158"/>
      <c r="K797" s="158"/>
      <c r="L797" s="158"/>
      <c r="M797" s="158"/>
      <c r="N797" s="158"/>
    </row>
    <row r="798" spans="1:14" ht="13.8">
      <c r="A798" s="158"/>
      <c r="B798" s="158"/>
      <c r="C798" s="158"/>
      <c r="D798" s="158"/>
      <c r="E798" s="158"/>
      <c r="F798" s="46"/>
      <c r="G798" s="158"/>
      <c r="H798" s="158"/>
      <c r="I798" s="158"/>
      <c r="J798" s="158"/>
      <c r="K798" s="158"/>
      <c r="L798" s="158"/>
      <c r="M798" s="158"/>
      <c r="N798" s="158"/>
    </row>
    <row r="799" spans="1:14" ht="13.8">
      <c r="A799" s="158"/>
      <c r="B799" s="158"/>
      <c r="C799" s="158"/>
      <c r="D799" s="158"/>
      <c r="E799" s="158"/>
      <c r="F799" s="46"/>
      <c r="G799" s="158"/>
      <c r="H799" s="158"/>
      <c r="I799" s="158"/>
      <c r="J799" s="158"/>
      <c r="K799" s="158"/>
      <c r="L799" s="158"/>
      <c r="M799" s="158"/>
      <c r="N799" s="158"/>
    </row>
    <row r="800" spans="1:14" ht="13.8">
      <c r="A800" s="158"/>
      <c r="B800" s="158"/>
      <c r="C800" s="158"/>
      <c r="D800" s="158"/>
      <c r="E800" s="158"/>
      <c r="F800" s="46"/>
      <c r="G800" s="158"/>
      <c r="H800" s="158"/>
      <c r="I800" s="158"/>
      <c r="J800" s="158"/>
      <c r="K800" s="158"/>
      <c r="L800" s="158"/>
      <c r="M800" s="158"/>
      <c r="N800" s="158"/>
    </row>
    <row r="801" spans="1:14" ht="13.8">
      <c r="A801" s="158"/>
      <c r="B801" s="158"/>
      <c r="C801" s="158"/>
      <c r="D801" s="158"/>
      <c r="E801" s="158"/>
      <c r="F801" s="46"/>
      <c r="G801" s="158"/>
      <c r="H801" s="158"/>
      <c r="I801" s="158"/>
      <c r="J801" s="158"/>
      <c r="K801" s="158"/>
      <c r="L801" s="158"/>
      <c r="M801" s="158"/>
      <c r="N801" s="158"/>
    </row>
    <row r="802" spans="1:14" ht="13.8">
      <c r="A802" s="158"/>
      <c r="B802" s="158"/>
      <c r="C802" s="158"/>
      <c r="D802" s="158"/>
      <c r="E802" s="158"/>
      <c r="F802" s="46"/>
      <c r="G802" s="158"/>
      <c r="H802" s="158"/>
      <c r="I802" s="158"/>
      <c r="J802" s="158"/>
      <c r="K802" s="158"/>
      <c r="L802" s="158"/>
      <c r="M802" s="158"/>
      <c r="N802" s="158"/>
    </row>
    <row r="803" spans="1:14" ht="13.8">
      <c r="A803" s="158"/>
      <c r="B803" s="158"/>
      <c r="C803" s="158"/>
      <c r="D803" s="158"/>
      <c r="E803" s="158"/>
      <c r="F803" s="46"/>
      <c r="G803" s="158"/>
      <c r="H803" s="158"/>
      <c r="I803" s="158"/>
      <c r="J803" s="158"/>
      <c r="K803" s="158"/>
      <c r="L803" s="158"/>
      <c r="M803" s="158"/>
      <c r="N803" s="158"/>
    </row>
    <row r="804" spans="1:14" ht="13.8">
      <c r="A804" s="158"/>
      <c r="B804" s="158"/>
      <c r="C804" s="158"/>
      <c r="D804" s="158"/>
      <c r="E804" s="158"/>
      <c r="F804" s="46"/>
      <c r="G804" s="158"/>
      <c r="H804" s="158"/>
      <c r="I804" s="158"/>
      <c r="J804" s="158"/>
      <c r="K804" s="158"/>
      <c r="L804" s="158"/>
      <c r="M804" s="158"/>
      <c r="N804" s="158"/>
    </row>
    <row r="805" spans="1:14" ht="13.8">
      <c r="A805" s="158"/>
      <c r="B805" s="158"/>
      <c r="C805" s="158"/>
      <c r="D805" s="158"/>
      <c r="E805" s="158"/>
      <c r="F805" s="46"/>
      <c r="G805" s="158"/>
      <c r="H805" s="158"/>
      <c r="I805" s="158"/>
      <c r="J805" s="158"/>
      <c r="K805" s="158"/>
      <c r="L805" s="158"/>
      <c r="M805" s="158"/>
      <c r="N805" s="158"/>
    </row>
    <row r="806" spans="1:14" ht="13.8">
      <c r="A806" s="158"/>
      <c r="B806" s="158"/>
      <c r="C806" s="158"/>
      <c r="D806" s="158"/>
      <c r="E806" s="158"/>
      <c r="F806" s="46"/>
      <c r="G806" s="158"/>
      <c r="H806" s="158"/>
      <c r="I806" s="158"/>
      <c r="J806" s="158"/>
      <c r="K806" s="158"/>
      <c r="L806" s="158"/>
      <c r="M806" s="158"/>
      <c r="N806" s="158"/>
    </row>
    <row r="807" spans="1:14" ht="13.8">
      <c r="A807" s="158"/>
      <c r="B807" s="158"/>
      <c r="C807" s="158"/>
      <c r="D807" s="158"/>
      <c r="E807" s="158"/>
      <c r="F807" s="46"/>
      <c r="G807" s="158"/>
      <c r="H807" s="158"/>
      <c r="I807" s="158"/>
      <c r="J807" s="158"/>
      <c r="K807" s="158"/>
      <c r="L807" s="158"/>
      <c r="M807" s="158"/>
      <c r="N807" s="158"/>
    </row>
    <row r="808" spans="1:14" ht="13.8">
      <c r="A808" s="158"/>
      <c r="B808" s="158"/>
      <c r="C808" s="158"/>
      <c r="D808" s="158"/>
      <c r="E808" s="158"/>
      <c r="F808" s="46"/>
      <c r="G808" s="158"/>
      <c r="H808" s="158"/>
      <c r="I808" s="158"/>
      <c r="J808" s="158"/>
      <c r="K808" s="158"/>
      <c r="L808" s="158"/>
      <c r="M808" s="158"/>
      <c r="N808" s="158"/>
    </row>
    <row r="809" spans="1:14" ht="13.8">
      <c r="A809" s="158"/>
      <c r="B809" s="158"/>
      <c r="C809" s="158"/>
      <c r="D809" s="158"/>
      <c r="E809" s="158"/>
      <c r="F809" s="46"/>
      <c r="G809" s="158"/>
      <c r="H809" s="158"/>
      <c r="I809" s="158"/>
      <c r="J809" s="158"/>
      <c r="K809" s="158"/>
      <c r="L809" s="158"/>
      <c r="M809" s="158"/>
      <c r="N809" s="158"/>
    </row>
    <row r="810" spans="1:14" ht="13.8">
      <c r="A810" s="158"/>
      <c r="B810" s="158"/>
      <c r="C810" s="158"/>
      <c r="D810" s="158"/>
      <c r="E810" s="158"/>
      <c r="F810" s="46"/>
      <c r="G810" s="158"/>
      <c r="H810" s="158"/>
      <c r="I810" s="158"/>
      <c r="J810" s="158"/>
      <c r="K810" s="158"/>
      <c r="L810" s="158"/>
      <c r="M810" s="158"/>
      <c r="N810" s="158"/>
    </row>
    <row r="811" spans="1:14" ht="13.8">
      <c r="A811" s="158"/>
      <c r="B811" s="158"/>
      <c r="C811" s="158"/>
      <c r="D811" s="158"/>
      <c r="E811" s="158"/>
      <c r="F811" s="46"/>
      <c r="G811" s="158"/>
      <c r="H811" s="158"/>
      <c r="I811" s="158"/>
      <c r="J811" s="158"/>
      <c r="K811" s="158"/>
      <c r="L811" s="158"/>
      <c r="M811" s="158"/>
      <c r="N811" s="158"/>
    </row>
    <row r="812" spans="1:14" ht="13.8">
      <c r="A812" s="158"/>
      <c r="B812" s="158"/>
      <c r="C812" s="158"/>
      <c r="D812" s="158"/>
      <c r="E812" s="158"/>
      <c r="F812" s="46"/>
      <c r="G812" s="158"/>
      <c r="H812" s="158"/>
      <c r="I812" s="158"/>
      <c r="J812" s="158"/>
      <c r="K812" s="158"/>
      <c r="L812" s="158"/>
      <c r="M812" s="158"/>
      <c r="N812" s="158"/>
    </row>
    <row r="813" spans="1:14" ht="13.8">
      <c r="A813" s="158"/>
      <c r="B813" s="158"/>
      <c r="C813" s="158"/>
      <c r="D813" s="158"/>
      <c r="E813" s="158"/>
      <c r="F813" s="46"/>
      <c r="G813" s="158"/>
      <c r="H813" s="158"/>
      <c r="I813" s="158"/>
      <c r="J813" s="158"/>
      <c r="K813" s="158"/>
      <c r="L813" s="158"/>
      <c r="M813" s="158"/>
      <c r="N813" s="158"/>
    </row>
    <row r="814" spans="1:14" ht="13.8">
      <c r="A814" s="158"/>
      <c r="B814" s="158"/>
      <c r="C814" s="158"/>
      <c r="D814" s="158"/>
      <c r="E814" s="158"/>
      <c r="F814" s="46"/>
      <c r="G814" s="158"/>
      <c r="H814" s="158"/>
      <c r="I814" s="158"/>
      <c r="J814" s="158"/>
      <c r="K814" s="158"/>
      <c r="L814" s="158"/>
      <c r="M814" s="158"/>
      <c r="N814" s="158"/>
    </row>
    <row r="815" spans="1:14" ht="13.8">
      <c r="A815" s="158"/>
      <c r="B815" s="158"/>
      <c r="C815" s="158"/>
      <c r="D815" s="158"/>
      <c r="E815" s="158"/>
      <c r="F815" s="46"/>
      <c r="G815" s="158"/>
      <c r="H815" s="158"/>
      <c r="I815" s="158"/>
      <c r="J815" s="158"/>
      <c r="K815" s="158"/>
      <c r="L815" s="158"/>
      <c r="M815" s="158"/>
      <c r="N815" s="158"/>
    </row>
    <row r="816" spans="1:14" ht="13.8">
      <c r="A816" s="158"/>
      <c r="B816" s="158"/>
      <c r="C816" s="158"/>
      <c r="D816" s="158"/>
      <c r="E816" s="158"/>
      <c r="F816" s="46"/>
      <c r="G816" s="158"/>
      <c r="H816" s="158"/>
      <c r="I816" s="158"/>
      <c r="J816" s="158"/>
      <c r="K816" s="158"/>
      <c r="L816" s="158"/>
      <c r="M816" s="158"/>
      <c r="N816" s="158"/>
    </row>
    <row r="817" spans="1:14" ht="13.8">
      <c r="A817" s="158"/>
      <c r="B817" s="158"/>
      <c r="C817" s="158"/>
      <c r="D817" s="158"/>
      <c r="E817" s="158"/>
      <c r="F817" s="46"/>
      <c r="G817" s="158"/>
      <c r="H817" s="158"/>
      <c r="I817" s="158"/>
      <c r="J817" s="158"/>
      <c r="K817" s="158"/>
      <c r="L817" s="158"/>
      <c r="M817" s="158"/>
      <c r="N817" s="158"/>
    </row>
    <row r="818" spans="1:14" ht="13.8">
      <c r="A818" s="158"/>
      <c r="B818" s="158"/>
      <c r="C818" s="158"/>
      <c r="D818" s="158"/>
      <c r="E818" s="158"/>
      <c r="F818" s="46"/>
      <c r="G818" s="158"/>
      <c r="H818" s="158"/>
      <c r="I818" s="158"/>
      <c r="J818" s="158"/>
      <c r="K818" s="158"/>
      <c r="L818" s="158"/>
      <c r="M818" s="158"/>
      <c r="N818" s="158"/>
    </row>
    <row r="819" spans="1:14" ht="13.8">
      <c r="A819" s="158"/>
      <c r="B819" s="158"/>
      <c r="C819" s="158"/>
      <c r="D819" s="158"/>
      <c r="E819" s="158"/>
      <c r="F819" s="46"/>
      <c r="G819" s="158"/>
      <c r="H819" s="158"/>
      <c r="I819" s="158"/>
      <c r="J819" s="158"/>
      <c r="K819" s="158"/>
      <c r="L819" s="158"/>
      <c r="M819" s="158"/>
      <c r="N819" s="158"/>
    </row>
    <row r="820" spans="1:14" ht="13.8">
      <c r="A820" s="158"/>
      <c r="B820" s="158"/>
      <c r="C820" s="158"/>
      <c r="D820" s="158"/>
      <c r="E820" s="158"/>
      <c r="F820" s="46"/>
      <c r="G820" s="158"/>
      <c r="H820" s="158"/>
      <c r="I820" s="158"/>
      <c r="J820" s="158"/>
      <c r="K820" s="158"/>
      <c r="L820" s="158"/>
      <c r="M820" s="158"/>
      <c r="N820" s="158"/>
    </row>
    <row r="821" spans="1:14" ht="13.8">
      <c r="A821" s="158"/>
      <c r="B821" s="158"/>
      <c r="C821" s="158"/>
      <c r="D821" s="158"/>
      <c r="E821" s="158"/>
      <c r="F821" s="46"/>
      <c r="G821" s="158"/>
      <c r="H821" s="158"/>
      <c r="I821" s="158"/>
      <c r="J821" s="158"/>
      <c r="K821" s="158"/>
      <c r="L821" s="158"/>
      <c r="M821" s="158"/>
      <c r="N821" s="158"/>
    </row>
    <row r="822" spans="1:14" ht="13.8">
      <c r="A822" s="158"/>
      <c r="B822" s="158"/>
      <c r="C822" s="158"/>
      <c r="D822" s="158"/>
      <c r="E822" s="158"/>
      <c r="F822" s="46"/>
      <c r="G822" s="158"/>
      <c r="H822" s="158"/>
      <c r="I822" s="158"/>
      <c r="J822" s="158"/>
      <c r="K822" s="158"/>
      <c r="L822" s="158"/>
      <c r="M822" s="158"/>
      <c r="N822" s="158"/>
    </row>
    <row r="823" spans="1:14" ht="13.8">
      <c r="A823" s="158"/>
      <c r="B823" s="158"/>
      <c r="C823" s="158"/>
      <c r="D823" s="158"/>
      <c r="E823" s="158"/>
      <c r="F823" s="46"/>
      <c r="G823" s="158"/>
      <c r="H823" s="158"/>
      <c r="I823" s="158"/>
      <c r="J823" s="158"/>
      <c r="K823" s="158"/>
      <c r="L823" s="158"/>
      <c r="M823" s="158"/>
      <c r="N823" s="158"/>
    </row>
    <row r="824" spans="1:14" ht="13.8">
      <c r="A824" s="158"/>
      <c r="B824" s="158"/>
      <c r="C824" s="158"/>
      <c r="D824" s="158"/>
      <c r="E824" s="158"/>
      <c r="F824" s="46"/>
      <c r="G824" s="158"/>
      <c r="H824" s="158"/>
      <c r="I824" s="158"/>
      <c r="J824" s="158"/>
      <c r="K824" s="158"/>
      <c r="L824" s="158"/>
      <c r="M824" s="158"/>
      <c r="N824" s="158"/>
    </row>
    <row r="825" spans="1:14" ht="13.8">
      <c r="A825" s="158"/>
      <c r="B825" s="158"/>
      <c r="C825" s="158"/>
      <c r="D825" s="158"/>
      <c r="E825" s="158"/>
      <c r="F825" s="46"/>
      <c r="G825" s="158"/>
      <c r="H825" s="158"/>
      <c r="I825" s="158"/>
      <c r="J825" s="158"/>
      <c r="K825" s="158"/>
      <c r="L825" s="158"/>
      <c r="M825" s="158"/>
      <c r="N825" s="158"/>
    </row>
    <row r="826" spans="1:14" ht="13.8">
      <c r="A826" s="158"/>
      <c r="B826" s="158"/>
      <c r="C826" s="158"/>
      <c r="D826" s="158"/>
      <c r="E826" s="158"/>
      <c r="F826" s="46"/>
      <c r="G826" s="158"/>
      <c r="H826" s="158"/>
      <c r="I826" s="158"/>
      <c r="J826" s="158"/>
      <c r="K826" s="158"/>
      <c r="L826" s="158"/>
      <c r="M826" s="158"/>
      <c r="N826" s="158"/>
    </row>
    <row r="827" spans="1:14" ht="13.8">
      <c r="A827" s="158"/>
      <c r="B827" s="158"/>
      <c r="C827" s="158"/>
      <c r="D827" s="158"/>
      <c r="E827" s="158"/>
      <c r="F827" s="46"/>
      <c r="G827" s="158"/>
      <c r="H827" s="158"/>
      <c r="I827" s="158"/>
      <c r="J827" s="158"/>
      <c r="K827" s="158"/>
      <c r="L827" s="158"/>
      <c r="M827" s="158"/>
      <c r="N827" s="158"/>
    </row>
    <row r="828" spans="1:14" ht="13.8">
      <c r="A828" s="158"/>
      <c r="B828" s="158"/>
      <c r="C828" s="158"/>
      <c r="D828" s="158"/>
      <c r="E828" s="158"/>
      <c r="F828" s="46"/>
      <c r="G828" s="158"/>
      <c r="H828" s="158"/>
      <c r="I828" s="158"/>
      <c r="J828" s="158"/>
      <c r="K828" s="158"/>
      <c r="L828" s="158"/>
      <c r="M828" s="158"/>
      <c r="N828" s="158"/>
    </row>
    <row r="829" spans="1:14" ht="13.8">
      <c r="A829" s="158"/>
      <c r="B829" s="158"/>
      <c r="C829" s="158"/>
      <c r="D829" s="158"/>
      <c r="E829" s="158"/>
      <c r="F829" s="46"/>
      <c r="G829" s="158"/>
      <c r="H829" s="158"/>
      <c r="I829" s="158"/>
      <c r="J829" s="158"/>
      <c r="K829" s="158"/>
      <c r="L829" s="158"/>
      <c r="M829" s="158"/>
      <c r="N829" s="158"/>
    </row>
    <row r="830" spans="1:14" ht="13.8">
      <c r="A830" s="158"/>
      <c r="B830" s="158"/>
      <c r="C830" s="158"/>
      <c r="D830" s="158"/>
      <c r="E830" s="158"/>
      <c r="F830" s="46"/>
      <c r="G830" s="158"/>
      <c r="H830" s="158"/>
      <c r="I830" s="158"/>
      <c r="J830" s="158"/>
      <c r="K830" s="158"/>
      <c r="L830" s="158"/>
      <c r="M830" s="158"/>
      <c r="N830" s="158"/>
    </row>
    <row r="831" spans="1:14" ht="13.8">
      <c r="A831" s="158"/>
      <c r="B831" s="158"/>
      <c r="C831" s="158"/>
      <c r="D831" s="158"/>
      <c r="E831" s="158"/>
      <c r="F831" s="46"/>
      <c r="G831" s="158"/>
      <c r="H831" s="158"/>
      <c r="I831" s="158"/>
      <c r="J831" s="158"/>
      <c r="K831" s="158"/>
      <c r="L831" s="158"/>
      <c r="M831" s="158"/>
      <c r="N831" s="158"/>
    </row>
    <row r="832" spans="1:14" ht="13.8">
      <c r="A832" s="158"/>
      <c r="B832" s="158"/>
      <c r="C832" s="158"/>
      <c r="D832" s="158"/>
      <c r="E832" s="158"/>
      <c r="F832" s="46"/>
      <c r="G832" s="158"/>
      <c r="H832" s="158"/>
      <c r="I832" s="158"/>
      <c r="J832" s="158"/>
      <c r="K832" s="158"/>
      <c r="L832" s="158"/>
      <c r="M832" s="158"/>
      <c r="N832" s="158"/>
    </row>
    <row r="833" spans="1:14" ht="13.8">
      <c r="A833" s="158"/>
      <c r="B833" s="158"/>
      <c r="C833" s="158"/>
      <c r="D833" s="158"/>
      <c r="E833" s="158"/>
      <c r="F833" s="46"/>
      <c r="G833" s="158"/>
      <c r="H833" s="158"/>
      <c r="I833" s="158"/>
      <c r="J833" s="158"/>
      <c r="K833" s="158"/>
      <c r="L833" s="158"/>
      <c r="M833" s="158"/>
      <c r="N833" s="158"/>
    </row>
    <row r="834" spans="1:14" ht="13.8">
      <c r="A834" s="158"/>
      <c r="B834" s="158"/>
      <c r="C834" s="158"/>
      <c r="D834" s="158"/>
      <c r="E834" s="158"/>
      <c r="F834" s="46"/>
      <c r="G834" s="158"/>
      <c r="H834" s="158"/>
      <c r="I834" s="158"/>
      <c r="J834" s="158"/>
      <c r="K834" s="158"/>
      <c r="L834" s="158"/>
      <c r="M834" s="158"/>
      <c r="N834" s="158"/>
    </row>
    <row r="835" spans="1:14" ht="13.8">
      <c r="A835" s="158"/>
      <c r="B835" s="158"/>
      <c r="C835" s="158"/>
      <c r="D835" s="158"/>
      <c r="E835" s="158"/>
      <c r="F835" s="46"/>
      <c r="G835" s="158"/>
      <c r="H835" s="158"/>
      <c r="I835" s="158"/>
      <c r="J835" s="158"/>
      <c r="K835" s="158"/>
      <c r="L835" s="158"/>
      <c r="M835" s="158"/>
      <c r="N835" s="158"/>
    </row>
    <row r="836" spans="1:14" ht="13.8">
      <c r="A836" s="158"/>
      <c r="B836" s="158"/>
      <c r="C836" s="158"/>
      <c r="D836" s="158"/>
      <c r="E836" s="158"/>
      <c r="F836" s="46"/>
      <c r="G836" s="158"/>
      <c r="H836" s="158"/>
      <c r="I836" s="158"/>
      <c r="J836" s="158"/>
      <c r="K836" s="158"/>
      <c r="L836" s="158"/>
      <c r="M836" s="158"/>
      <c r="N836" s="158"/>
    </row>
    <row r="837" spans="1:14" ht="13.8">
      <c r="A837" s="158"/>
      <c r="B837" s="158"/>
      <c r="C837" s="158"/>
      <c r="D837" s="158"/>
      <c r="E837" s="158"/>
      <c r="F837" s="46"/>
      <c r="G837" s="158"/>
      <c r="H837" s="158"/>
      <c r="I837" s="158"/>
      <c r="J837" s="158"/>
      <c r="K837" s="158"/>
      <c r="L837" s="158"/>
      <c r="M837" s="158"/>
      <c r="N837" s="158"/>
    </row>
    <row r="838" spans="1:14" ht="13.8">
      <c r="A838" s="158"/>
      <c r="B838" s="158"/>
      <c r="C838" s="158"/>
      <c r="D838" s="158"/>
      <c r="E838" s="158"/>
      <c r="F838" s="46"/>
      <c r="G838" s="158"/>
      <c r="H838" s="158"/>
      <c r="I838" s="158"/>
      <c r="J838" s="158"/>
      <c r="K838" s="158"/>
      <c r="L838" s="158"/>
      <c r="M838" s="158"/>
      <c r="N838" s="158"/>
    </row>
    <row r="839" spans="1:14" ht="13.8">
      <c r="A839" s="158"/>
      <c r="B839" s="158"/>
      <c r="C839" s="158"/>
      <c r="D839" s="158"/>
      <c r="E839" s="158"/>
      <c r="F839" s="46"/>
      <c r="G839" s="158"/>
      <c r="H839" s="158"/>
      <c r="I839" s="158"/>
      <c r="J839" s="158"/>
      <c r="K839" s="158"/>
      <c r="L839" s="158"/>
      <c r="M839" s="158"/>
      <c r="N839" s="158"/>
    </row>
    <row r="840" spans="1:14" ht="13.8">
      <c r="A840" s="158"/>
      <c r="B840" s="158"/>
      <c r="C840" s="158"/>
      <c r="D840" s="158"/>
      <c r="E840" s="158"/>
      <c r="F840" s="46"/>
      <c r="G840" s="158"/>
      <c r="H840" s="158"/>
      <c r="I840" s="158"/>
      <c r="J840" s="158"/>
      <c r="K840" s="158"/>
      <c r="L840" s="158"/>
      <c r="M840" s="158"/>
      <c r="N840" s="158"/>
    </row>
    <row r="841" spans="1:14" ht="13.8">
      <c r="A841" s="158"/>
      <c r="B841" s="158"/>
      <c r="C841" s="158"/>
      <c r="D841" s="158"/>
      <c r="E841" s="158"/>
      <c r="F841" s="46"/>
      <c r="G841" s="158"/>
      <c r="H841" s="158"/>
      <c r="I841" s="158"/>
      <c r="J841" s="158"/>
      <c r="K841" s="158"/>
      <c r="L841" s="158"/>
      <c r="M841" s="158"/>
      <c r="N841" s="158"/>
    </row>
    <row r="842" spans="1:14" ht="13.8">
      <c r="A842" s="158"/>
      <c r="B842" s="158"/>
      <c r="C842" s="158"/>
      <c r="D842" s="158"/>
      <c r="E842" s="158"/>
      <c r="F842" s="46"/>
      <c r="G842" s="158"/>
      <c r="H842" s="158"/>
      <c r="I842" s="158"/>
      <c r="J842" s="158"/>
      <c r="K842" s="158"/>
      <c r="L842" s="158"/>
      <c r="M842" s="158"/>
      <c r="N842" s="158"/>
    </row>
    <row r="843" spans="1:14" ht="13.8">
      <c r="A843" s="158"/>
      <c r="B843" s="158"/>
      <c r="C843" s="158"/>
      <c r="D843" s="158"/>
      <c r="E843" s="158"/>
      <c r="F843" s="46"/>
      <c r="G843" s="158"/>
      <c r="H843" s="158"/>
      <c r="I843" s="158"/>
      <c r="J843" s="158"/>
      <c r="K843" s="158"/>
      <c r="L843" s="158"/>
      <c r="M843" s="158"/>
      <c r="N843" s="158"/>
    </row>
    <row r="844" spans="1:14" ht="13.8">
      <c r="A844" s="158"/>
      <c r="B844" s="158"/>
      <c r="C844" s="158"/>
      <c r="D844" s="158"/>
      <c r="E844" s="158"/>
      <c r="F844" s="46"/>
      <c r="G844" s="158"/>
      <c r="H844" s="158"/>
      <c r="I844" s="158"/>
      <c r="J844" s="158"/>
      <c r="K844" s="158"/>
      <c r="L844" s="158"/>
      <c r="M844" s="158"/>
      <c r="N844" s="158"/>
    </row>
    <row r="845" spans="1:14" ht="13.8">
      <c r="A845" s="158"/>
      <c r="B845" s="158"/>
      <c r="C845" s="158"/>
      <c r="D845" s="158"/>
      <c r="E845" s="158"/>
      <c r="F845" s="46"/>
      <c r="G845" s="158"/>
      <c r="H845" s="158"/>
      <c r="I845" s="158"/>
      <c r="J845" s="158"/>
      <c r="K845" s="158"/>
      <c r="L845" s="158"/>
      <c r="M845" s="158"/>
      <c r="N845" s="158"/>
    </row>
    <row r="846" spans="1:14" ht="13.8">
      <c r="A846" s="158"/>
      <c r="B846" s="158"/>
      <c r="C846" s="158"/>
      <c r="D846" s="158"/>
      <c r="E846" s="158"/>
      <c r="F846" s="46"/>
      <c r="G846" s="158"/>
      <c r="H846" s="158"/>
      <c r="I846" s="158"/>
      <c r="J846" s="158"/>
      <c r="K846" s="158"/>
      <c r="L846" s="158"/>
      <c r="M846" s="158"/>
      <c r="N846" s="158"/>
    </row>
    <row r="847" spans="1:14" ht="13.8">
      <c r="A847" s="158"/>
      <c r="B847" s="158"/>
      <c r="C847" s="158"/>
      <c r="D847" s="158"/>
      <c r="E847" s="158"/>
      <c r="F847" s="46"/>
      <c r="G847" s="158"/>
      <c r="H847" s="158"/>
      <c r="I847" s="158"/>
      <c r="J847" s="158"/>
      <c r="K847" s="158"/>
      <c r="L847" s="158"/>
      <c r="M847" s="158"/>
      <c r="N847" s="158"/>
    </row>
    <row r="848" spans="1:14" ht="13.8">
      <c r="A848" s="158"/>
      <c r="B848" s="158"/>
      <c r="C848" s="158"/>
      <c r="D848" s="158"/>
      <c r="E848" s="158"/>
      <c r="F848" s="46"/>
      <c r="G848" s="158"/>
      <c r="H848" s="158"/>
      <c r="I848" s="158"/>
      <c r="J848" s="158"/>
      <c r="K848" s="158"/>
      <c r="L848" s="158"/>
      <c r="M848" s="158"/>
      <c r="N848" s="158"/>
    </row>
    <row r="849" spans="1:14" ht="13.8">
      <c r="A849" s="158"/>
      <c r="B849" s="158"/>
      <c r="C849" s="158"/>
      <c r="D849" s="158"/>
      <c r="E849" s="158"/>
      <c r="F849" s="46"/>
      <c r="G849" s="158"/>
      <c r="H849" s="158"/>
      <c r="I849" s="158"/>
      <c r="J849" s="158"/>
      <c r="K849" s="158"/>
      <c r="L849" s="158"/>
      <c r="M849" s="158"/>
      <c r="N849" s="158"/>
    </row>
    <row r="850" spans="1:14" ht="13.8">
      <c r="A850" s="158"/>
      <c r="B850" s="158"/>
      <c r="C850" s="158"/>
      <c r="D850" s="158"/>
      <c r="E850" s="158"/>
      <c r="F850" s="46"/>
      <c r="G850" s="158"/>
      <c r="H850" s="158"/>
      <c r="I850" s="158"/>
      <c r="J850" s="158"/>
      <c r="K850" s="158"/>
      <c r="L850" s="158"/>
      <c r="M850" s="158"/>
      <c r="N850" s="158"/>
    </row>
    <row r="851" spans="1:14" ht="13.8">
      <c r="A851" s="158"/>
      <c r="B851" s="158"/>
      <c r="C851" s="158"/>
      <c r="D851" s="158"/>
      <c r="E851" s="158"/>
      <c r="F851" s="46"/>
      <c r="G851" s="158"/>
      <c r="H851" s="158"/>
      <c r="I851" s="158"/>
      <c r="J851" s="158"/>
      <c r="K851" s="158"/>
      <c r="L851" s="158"/>
      <c r="M851" s="158"/>
      <c r="N851" s="158"/>
    </row>
    <row r="852" spans="1:14" ht="13.8">
      <c r="A852" s="158"/>
      <c r="B852" s="158"/>
      <c r="C852" s="158"/>
      <c r="D852" s="158"/>
      <c r="E852" s="158"/>
      <c r="F852" s="46"/>
      <c r="G852" s="158"/>
      <c r="H852" s="158"/>
      <c r="I852" s="158"/>
      <c r="J852" s="158"/>
      <c r="K852" s="158"/>
      <c r="L852" s="158"/>
      <c r="M852" s="158"/>
      <c r="N852" s="158"/>
    </row>
    <row r="853" spans="1:14" ht="13.8">
      <c r="A853" s="158"/>
      <c r="B853" s="158"/>
      <c r="C853" s="158"/>
      <c r="D853" s="158"/>
      <c r="E853" s="158"/>
      <c r="F853" s="46"/>
      <c r="G853" s="158"/>
      <c r="H853" s="158"/>
      <c r="I853" s="158"/>
      <c r="J853" s="158"/>
      <c r="K853" s="158"/>
      <c r="L853" s="158"/>
      <c r="M853" s="158"/>
      <c r="N853" s="158"/>
    </row>
    <row r="854" spans="1:14" ht="13.8">
      <c r="A854" s="158"/>
      <c r="B854" s="158"/>
      <c r="C854" s="158"/>
      <c r="D854" s="158"/>
      <c r="E854" s="158"/>
      <c r="F854" s="46"/>
      <c r="G854" s="158"/>
      <c r="H854" s="158"/>
      <c r="I854" s="158"/>
      <c r="J854" s="158"/>
      <c r="K854" s="158"/>
      <c r="L854" s="158"/>
      <c r="M854" s="158"/>
      <c r="N854" s="158"/>
    </row>
    <row r="855" spans="1:14" ht="13.8">
      <c r="A855" s="158"/>
      <c r="B855" s="158"/>
      <c r="C855" s="158"/>
      <c r="D855" s="158"/>
      <c r="E855" s="158"/>
      <c r="F855" s="46"/>
      <c r="G855" s="158"/>
      <c r="H855" s="158"/>
      <c r="I855" s="158"/>
      <c r="J855" s="158"/>
      <c r="K855" s="158"/>
      <c r="L855" s="158"/>
      <c r="M855" s="158"/>
      <c r="N855" s="158"/>
    </row>
    <row r="856" spans="1:14" ht="13.8">
      <c r="A856" s="158"/>
      <c r="B856" s="158"/>
      <c r="C856" s="158"/>
      <c r="D856" s="158"/>
      <c r="E856" s="158"/>
      <c r="F856" s="46"/>
      <c r="G856" s="158"/>
      <c r="H856" s="158"/>
      <c r="I856" s="158"/>
      <c r="J856" s="158"/>
      <c r="K856" s="158"/>
      <c r="L856" s="158"/>
      <c r="M856" s="158"/>
      <c r="N856" s="158"/>
    </row>
    <row r="857" spans="1:14" ht="13.8">
      <c r="A857" s="158"/>
      <c r="B857" s="158"/>
      <c r="C857" s="158"/>
      <c r="D857" s="158"/>
      <c r="E857" s="158"/>
      <c r="F857" s="46"/>
      <c r="G857" s="158"/>
      <c r="H857" s="158"/>
      <c r="I857" s="158"/>
      <c r="J857" s="158"/>
      <c r="K857" s="158"/>
      <c r="L857" s="158"/>
      <c r="M857" s="158"/>
      <c r="N857" s="158"/>
    </row>
    <row r="858" spans="1:14" ht="13.8">
      <c r="A858" s="158"/>
      <c r="B858" s="158"/>
      <c r="C858" s="158"/>
      <c r="D858" s="158"/>
      <c r="E858" s="158"/>
      <c r="F858" s="46"/>
      <c r="G858" s="158"/>
      <c r="H858" s="158"/>
      <c r="I858" s="158"/>
      <c r="J858" s="158"/>
      <c r="K858" s="158"/>
      <c r="L858" s="158"/>
      <c r="M858" s="158"/>
      <c r="N858" s="158"/>
    </row>
    <row r="859" spans="1:14" ht="13.8">
      <c r="A859" s="158"/>
      <c r="B859" s="158"/>
      <c r="C859" s="158"/>
      <c r="D859" s="158"/>
      <c r="E859" s="158"/>
      <c r="F859" s="46"/>
      <c r="G859" s="158"/>
      <c r="H859" s="158"/>
      <c r="I859" s="158"/>
      <c r="J859" s="158"/>
      <c r="K859" s="158"/>
      <c r="L859" s="158"/>
      <c r="M859" s="158"/>
      <c r="N859" s="158"/>
    </row>
    <row r="860" spans="1:14" ht="13.8">
      <c r="A860" s="158"/>
      <c r="B860" s="158"/>
      <c r="C860" s="158"/>
      <c r="D860" s="158"/>
      <c r="E860" s="158"/>
      <c r="F860" s="46"/>
      <c r="G860" s="158"/>
      <c r="H860" s="158"/>
      <c r="I860" s="158"/>
      <c r="J860" s="158"/>
      <c r="K860" s="158"/>
      <c r="L860" s="158"/>
      <c r="M860" s="158"/>
      <c r="N860" s="158"/>
    </row>
    <row r="861" spans="1:14" ht="13.8">
      <c r="A861" s="158"/>
      <c r="B861" s="158"/>
      <c r="C861" s="158"/>
      <c r="D861" s="158"/>
      <c r="E861" s="158"/>
      <c r="F861" s="46"/>
      <c r="G861" s="158"/>
      <c r="H861" s="158"/>
      <c r="I861" s="158"/>
      <c r="J861" s="158"/>
      <c r="K861" s="158"/>
      <c r="L861" s="158"/>
      <c r="M861" s="158"/>
      <c r="N861" s="158"/>
    </row>
    <row r="862" spans="1:14" ht="13.8">
      <c r="A862" s="158"/>
      <c r="B862" s="158"/>
      <c r="C862" s="158"/>
      <c r="D862" s="158"/>
      <c r="E862" s="158"/>
      <c r="F862" s="46"/>
      <c r="G862" s="158"/>
      <c r="H862" s="158"/>
      <c r="I862" s="158"/>
      <c r="J862" s="158"/>
      <c r="K862" s="158"/>
      <c r="L862" s="158"/>
      <c r="M862" s="158"/>
      <c r="N862" s="158"/>
    </row>
    <row r="863" spans="1:14" ht="13.8">
      <c r="A863" s="158"/>
      <c r="B863" s="158"/>
      <c r="C863" s="158"/>
      <c r="D863" s="158"/>
      <c r="E863" s="158"/>
      <c r="F863" s="46"/>
      <c r="G863" s="158"/>
      <c r="H863" s="158"/>
      <c r="I863" s="158"/>
      <c r="J863" s="158"/>
      <c r="K863" s="158"/>
      <c r="L863" s="158"/>
      <c r="M863" s="158"/>
      <c r="N863" s="158"/>
    </row>
    <row r="864" spans="1:14" ht="13.8">
      <c r="A864" s="158"/>
      <c r="B864" s="158"/>
      <c r="C864" s="158"/>
      <c r="D864" s="158"/>
      <c r="E864" s="158"/>
      <c r="F864" s="46"/>
      <c r="G864" s="158"/>
      <c r="H864" s="158"/>
      <c r="I864" s="158"/>
      <c r="J864" s="158"/>
      <c r="K864" s="158"/>
      <c r="L864" s="158"/>
      <c r="M864" s="158"/>
      <c r="N864" s="158"/>
    </row>
    <row r="865" spans="1:14" ht="13.8">
      <c r="A865" s="158"/>
      <c r="B865" s="158"/>
      <c r="C865" s="158"/>
      <c r="D865" s="158"/>
      <c r="E865" s="158"/>
      <c r="F865" s="46"/>
      <c r="G865" s="158"/>
      <c r="H865" s="158"/>
      <c r="I865" s="158"/>
      <c r="J865" s="158"/>
      <c r="K865" s="158"/>
      <c r="L865" s="158"/>
      <c r="M865" s="158"/>
      <c r="N865" s="158"/>
    </row>
    <row r="866" spans="1:14" ht="13.8">
      <c r="A866" s="158"/>
      <c r="B866" s="158"/>
      <c r="C866" s="158"/>
      <c r="D866" s="158"/>
      <c r="E866" s="158"/>
      <c r="F866" s="46"/>
      <c r="G866" s="158"/>
      <c r="H866" s="158"/>
      <c r="I866" s="158"/>
      <c r="J866" s="158"/>
      <c r="K866" s="158"/>
      <c r="L866" s="158"/>
      <c r="M866" s="158"/>
      <c r="N866" s="158"/>
    </row>
    <row r="867" spans="1:14" ht="13.8">
      <c r="A867" s="158"/>
      <c r="B867" s="158"/>
      <c r="C867" s="158"/>
      <c r="D867" s="158"/>
      <c r="E867" s="158"/>
      <c r="F867" s="46"/>
      <c r="G867" s="158"/>
      <c r="H867" s="158"/>
      <c r="I867" s="158"/>
      <c r="J867" s="158"/>
      <c r="K867" s="158"/>
      <c r="L867" s="158"/>
      <c r="M867" s="158"/>
      <c r="N867" s="158"/>
    </row>
    <row r="868" spans="1:14" ht="13.8">
      <c r="A868" s="158"/>
      <c r="B868" s="158"/>
      <c r="C868" s="158"/>
      <c r="D868" s="158"/>
      <c r="E868" s="158"/>
      <c r="F868" s="46"/>
      <c r="G868" s="158"/>
      <c r="H868" s="158"/>
      <c r="I868" s="158"/>
      <c r="J868" s="158"/>
      <c r="K868" s="158"/>
      <c r="L868" s="158"/>
      <c r="M868" s="158"/>
      <c r="N868" s="158"/>
    </row>
    <row r="869" spans="1:14" ht="13.8">
      <c r="A869" s="158"/>
      <c r="B869" s="158"/>
      <c r="C869" s="158"/>
      <c r="D869" s="158"/>
      <c r="E869" s="158"/>
      <c r="F869" s="46"/>
      <c r="G869" s="158"/>
      <c r="H869" s="158"/>
      <c r="I869" s="158"/>
      <c r="J869" s="158"/>
      <c r="K869" s="158"/>
      <c r="L869" s="158"/>
      <c r="M869" s="158"/>
      <c r="N869" s="158"/>
    </row>
    <row r="870" spans="1:14" ht="13.8">
      <c r="A870" s="158"/>
      <c r="B870" s="158"/>
      <c r="C870" s="158"/>
      <c r="D870" s="158"/>
      <c r="E870" s="158"/>
      <c r="F870" s="46"/>
      <c r="G870" s="158"/>
      <c r="H870" s="158"/>
      <c r="I870" s="158"/>
      <c r="J870" s="158"/>
      <c r="K870" s="158"/>
      <c r="L870" s="158"/>
      <c r="M870" s="158"/>
      <c r="N870" s="158"/>
    </row>
    <row r="871" spans="1:14" ht="13.8">
      <c r="A871" s="158"/>
      <c r="B871" s="158"/>
      <c r="C871" s="158"/>
      <c r="D871" s="158"/>
      <c r="E871" s="158"/>
      <c r="F871" s="46"/>
      <c r="G871" s="158"/>
      <c r="H871" s="158"/>
      <c r="I871" s="158"/>
      <c r="J871" s="158"/>
      <c r="K871" s="158"/>
      <c r="L871" s="158"/>
      <c r="M871" s="158"/>
      <c r="N871" s="158"/>
    </row>
    <row r="872" spans="1:14" ht="13.8">
      <c r="A872" s="158"/>
      <c r="B872" s="158"/>
      <c r="C872" s="158"/>
      <c r="D872" s="158"/>
      <c r="E872" s="158"/>
      <c r="F872" s="46"/>
      <c r="G872" s="158"/>
      <c r="H872" s="158"/>
      <c r="I872" s="158"/>
      <c r="J872" s="158"/>
      <c r="K872" s="158"/>
      <c r="L872" s="158"/>
      <c r="M872" s="158"/>
      <c r="N872" s="158"/>
    </row>
    <row r="873" spans="1:14" ht="13.8">
      <c r="A873" s="158"/>
      <c r="B873" s="158"/>
      <c r="C873" s="158"/>
      <c r="D873" s="158"/>
      <c r="E873" s="158"/>
      <c r="F873" s="46"/>
      <c r="G873" s="158"/>
      <c r="H873" s="158"/>
      <c r="I873" s="158"/>
      <c r="J873" s="158"/>
      <c r="K873" s="158"/>
      <c r="L873" s="158"/>
      <c r="M873" s="158"/>
      <c r="N873" s="158"/>
    </row>
    <row r="874" spans="1:14" ht="13.8">
      <c r="A874" s="158"/>
      <c r="B874" s="158"/>
      <c r="C874" s="158"/>
      <c r="D874" s="158"/>
      <c r="E874" s="158"/>
      <c r="F874" s="46"/>
      <c r="G874" s="158"/>
      <c r="H874" s="158"/>
      <c r="I874" s="158"/>
      <c r="J874" s="158"/>
      <c r="K874" s="158"/>
      <c r="L874" s="158"/>
      <c r="M874" s="158"/>
      <c r="N874" s="158"/>
    </row>
    <row r="875" spans="1:14" ht="13.8">
      <c r="A875" s="158"/>
      <c r="B875" s="158"/>
      <c r="C875" s="158"/>
      <c r="D875" s="158"/>
      <c r="E875" s="158"/>
      <c r="F875" s="46"/>
      <c r="G875" s="158"/>
      <c r="H875" s="158"/>
      <c r="I875" s="158"/>
      <c r="J875" s="158"/>
      <c r="K875" s="158"/>
      <c r="L875" s="158"/>
      <c r="M875" s="158"/>
      <c r="N875" s="158"/>
    </row>
    <row r="876" spans="1:14" ht="13.8">
      <c r="A876" s="158"/>
      <c r="B876" s="158"/>
      <c r="C876" s="158"/>
      <c r="D876" s="158"/>
      <c r="E876" s="158"/>
      <c r="F876" s="46"/>
      <c r="G876" s="158"/>
      <c r="H876" s="158"/>
      <c r="I876" s="158"/>
      <c r="J876" s="158"/>
      <c r="K876" s="158"/>
      <c r="L876" s="158"/>
      <c r="M876" s="158"/>
      <c r="N876" s="158"/>
    </row>
    <row r="877" spans="1:14" ht="13.8">
      <c r="A877" s="158"/>
      <c r="B877" s="158"/>
      <c r="C877" s="158"/>
      <c r="D877" s="158"/>
      <c r="E877" s="158"/>
      <c r="F877" s="46"/>
      <c r="G877" s="158"/>
      <c r="H877" s="158"/>
      <c r="I877" s="158"/>
      <c r="J877" s="158"/>
      <c r="K877" s="158"/>
      <c r="L877" s="158"/>
      <c r="M877" s="158"/>
      <c r="N877" s="158"/>
    </row>
    <row r="878" spans="1:14" ht="13.8">
      <c r="A878" s="158"/>
      <c r="B878" s="158"/>
      <c r="C878" s="158"/>
      <c r="D878" s="158"/>
      <c r="E878" s="158"/>
      <c r="F878" s="46"/>
      <c r="G878" s="158"/>
      <c r="H878" s="158"/>
      <c r="I878" s="158"/>
      <c r="J878" s="158"/>
      <c r="K878" s="158"/>
      <c r="L878" s="158"/>
      <c r="M878" s="158"/>
      <c r="N878" s="158"/>
    </row>
    <row r="879" spans="1:14" ht="13.8">
      <c r="A879" s="158"/>
      <c r="B879" s="158"/>
      <c r="C879" s="158"/>
      <c r="D879" s="158"/>
      <c r="E879" s="158"/>
      <c r="F879" s="46"/>
      <c r="G879" s="158"/>
      <c r="H879" s="158"/>
      <c r="I879" s="158"/>
      <c r="J879" s="158"/>
      <c r="K879" s="158"/>
      <c r="L879" s="158"/>
      <c r="M879" s="158"/>
      <c r="N879" s="158"/>
    </row>
    <row r="880" spans="1:14" ht="13.8">
      <c r="A880" s="158"/>
      <c r="B880" s="158"/>
      <c r="C880" s="158"/>
      <c r="D880" s="158"/>
      <c r="E880" s="158"/>
      <c r="F880" s="46"/>
      <c r="G880" s="158"/>
      <c r="H880" s="158"/>
      <c r="I880" s="158"/>
      <c r="J880" s="158"/>
      <c r="K880" s="158"/>
      <c r="L880" s="158"/>
      <c r="M880" s="158"/>
      <c r="N880" s="158"/>
    </row>
    <row r="881" spans="1:14" ht="13.8">
      <c r="A881" s="158"/>
      <c r="B881" s="158"/>
      <c r="C881" s="158"/>
      <c r="D881" s="158"/>
      <c r="E881" s="158"/>
      <c r="F881" s="46"/>
      <c r="G881" s="158"/>
      <c r="H881" s="158"/>
      <c r="I881" s="158"/>
      <c r="J881" s="158"/>
      <c r="K881" s="158"/>
      <c r="L881" s="158"/>
      <c r="M881" s="158"/>
      <c r="N881" s="158"/>
    </row>
    <row r="882" spans="1:14" ht="13.8">
      <c r="A882" s="158"/>
      <c r="B882" s="158"/>
      <c r="C882" s="158"/>
      <c r="D882" s="158"/>
      <c r="E882" s="158"/>
      <c r="F882" s="46"/>
      <c r="G882" s="158"/>
      <c r="H882" s="158"/>
      <c r="I882" s="158"/>
      <c r="J882" s="158"/>
      <c r="K882" s="158"/>
      <c r="L882" s="158"/>
      <c r="M882" s="158"/>
      <c r="N882" s="158"/>
    </row>
    <row r="883" spans="1:14" ht="13.8">
      <c r="A883" s="158"/>
      <c r="B883" s="158"/>
      <c r="C883" s="158"/>
      <c r="D883" s="158"/>
      <c r="E883" s="158"/>
      <c r="F883" s="46"/>
      <c r="G883" s="158"/>
      <c r="H883" s="158"/>
      <c r="I883" s="158"/>
      <c r="J883" s="158"/>
      <c r="K883" s="158"/>
      <c r="L883" s="158"/>
      <c r="M883" s="158"/>
      <c r="N883" s="158"/>
    </row>
    <row r="884" spans="1:14" ht="13.8">
      <c r="A884" s="158"/>
      <c r="B884" s="158"/>
      <c r="C884" s="158"/>
      <c r="D884" s="158"/>
      <c r="E884" s="158"/>
      <c r="F884" s="46"/>
      <c r="G884" s="158"/>
      <c r="H884" s="158"/>
      <c r="I884" s="158"/>
      <c r="J884" s="158"/>
      <c r="K884" s="158"/>
      <c r="L884" s="158"/>
      <c r="M884" s="158"/>
      <c r="N884" s="158"/>
    </row>
    <row r="885" spans="1:14" ht="13.8">
      <c r="A885" s="158"/>
      <c r="B885" s="158"/>
      <c r="C885" s="158"/>
      <c r="D885" s="158"/>
      <c r="E885" s="158"/>
      <c r="F885" s="46"/>
      <c r="G885" s="158"/>
      <c r="H885" s="158"/>
      <c r="I885" s="158"/>
      <c r="J885" s="158"/>
      <c r="K885" s="158"/>
      <c r="L885" s="158"/>
      <c r="M885" s="158"/>
      <c r="N885" s="158"/>
    </row>
    <row r="886" spans="1:14" ht="13.8">
      <c r="A886" s="158"/>
      <c r="B886" s="158"/>
      <c r="C886" s="158"/>
      <c r="D886" s="158"/>
      <c r="E886" s="158"/>
      <c r="F886" s="46"/>
      <c r="G886" s="158"/>
      <c r="H886" s="158"/>
      <c r="I886" s="158"/>
      <c r="J886" s="158"/>
      <c r="K886" s="158"/>
      <c r="L886" s="158"/>
      <c r="M886" s="158"/>
      <c r="N886" s="158"/>
    </row>
    <row r="887" spans="1:14" ht="13.8">
      <c r="A887" s="158"/>
      <c r="B887" s="158"/>
      <c r="C887" s="158"/>
      <c r="D887" s="158"/>
      <c r="E887" s="158"/>
      <c r="F887" s="46"/>
      <c r="G887" s="158"/>
      <c r="H887" s="158"/>
      <c r="I887" s="158"/>
      <c r="J887" s="158"/>
      <c r="K887" s="158"/>
      <c r="L887" s="158"/>
      <c r="M887" s="158"/>
      <c r="N887" s="158"/>
    </row>
    <row r="888" spans="1:14" ht="13.8">
      <c r="A888" s="158"/>
      <c r="B888" s="158"/>
      <c r="C888" s="158"/>
      <c r="D888" s="158"/>
      <c r="E888" s="158"/>
      <c r="F888" s="46"/>
      <c r="G888" s="158"/>
      <c r="H888" s="158"/>
      <c r="I888" s="158"/>
      <c r="J888" s="158"/>
      <c r="K888" s="158"/>
      <c r="L888" s="158"/>
      <c r="M888" s="158"/>
      <c r="N888" s="158"/>
    </row>
    <row r="889" spans="1:14" ht="13.8">
      <c r="A889" s="158"/>
      <c r="B889" s="158"/>
      <c r="C889" s="158"/>
      <c r="D889" s="158"/>
      <c r="E889" s="158"/>
      <c r="F889" s="46"/>
      <c r="G889" s="158"/>
      <c r="H889" s="158"/>
      <c r="I889" s="158"/>
      <c r="J889" s="158"/>
      <c r="K889" s="158"/>
      <c r="L889" s="158"/>
      <c r="M889" s="158"/>
      <c r="N889" s="158"/>
    </row>
    <row r="890" spans="1:14" ht="13.8">
      <c r="A890" s="158"/>
      <c r="B890" s="158"/>
      <c r="C890" s="158"/>
      <c r="D890" s="158"/>
      <c r="E890" s="158"/>
      <c r="F890" s="46"/>
      <c r="G890" s="158"/>
      <c r="H890" s="158"/>
      <c r="I890" s="158"/>
      <c r="J890" s="158"/>
      <c r="K890" s="158"/>
      <c r="L890" s="158"/>
      <c r="M890" s="158"/>
      <c r="N890" s="158"/>
    </row>
    <row r="891" spans="1:14" ht="13.8">
      <c r="A891" s="158"/>
      <c r="B891" s="158"/>
      <c r="C891" s="158"/>
      <c r="D891" s="158"/>
      <c r="E891" s="158"/>
      <c r="F891" s="46"/>
      <c r="G891" s="158"/>
      <c r="H891" s="158"/>
      <c r="I891" s="158"/>
      <c r="J891" s="158"/>
      <c r="K891" s="158"/>
      <c r="L891" s="158"/>
      <c r="M891" s="158"/>
      <c r="N891" s="158"/>
    </row>
    <row r="892" spans="1:14" ht="13.8">
      <c r="A892" s="158"/>
      <c r="B892" s="158"/>
      <c r="C892" s="158"/>
      <c r="D892" s="158"/>
      <c r="E892" s="158"/>
      <c r="F892" s="46"/>
      <c r="G892" s="158"/>
      <c r="H892" s="158"/>
      <c r="I892" s="158"/>
      <c r="J892" s="158"/>
      <c r="K892" s="158"/>
      <c r="L892" s="158"/>
      <c r="M892" s="158"/>
      <c r="N892" s="158"/>
    </row>
    <row r="893" spans="1:14" ht="13.8">
      <c r="A893" s="158"/>
      <c r="B893" s="158"/>
      <c r="C893" s="158"/>
      <c r="D893" s="158"/>
      <c r="E893" s="158"/>
      <c r="F893" s="46"/>
      <c r="G893" s="158"/>
      <c r="H893" s="158"/>
      <c r="I893" s="158"/>
      <c r="J893" s="158"/>
      <c r="K893" s="158"/>
      <c r="L893" s="158"/>
      <c r="M893" s="158"/>
      <c r="N893" s="158"/>
    </row>
    <row r="894" spans="1:14" ht="13.8">
      <c r="A894" s="158"/>
      <c r="B894" s="158"/>
      <c r="C894" s="158"/>
      <c r="D894" s="158"/>
      <c r="E894" s="158"/>
      <c r="F894" s="46"/>
      <c r="G894" s="158"/>
      <c r="H894" s="158"/>
      <c r="I894" s="158"/>
      <c r="J894" s="158"/>
      <c r="K894" s="158"/>
      <c r="L894" s="158"/>
      <c r="M894" s="158"/>
      <c r="N894" s="158"/>
    </row>
    <row r="895" spans="1:14" ht="13.8">
      <c r="A895" s="158"/>
      <c r="B895" s="158"/>
      <c r="C895" s="158"/>
      <c r="D895" s="158"/>
      <c r="E895" s="158"/>
      <c r="F895" s="46"/>
      <c r="G895" s="158"/>
      <c r="H895" s="158"/>
      <c r="I895" s="158"/>
      <c r="J895" s="158"/>
      <c r="K895" s="158"/>
      <c r="L895" s="158"/>
      <c r="M895" s="158"/>
      <c r="N895" s="158"/>
    </row>
    <row r="896" spans="1:14" ht="13.8">
      <c r="A896" s="158"/>
      <c r="B896" s="158"/>
      <c r="C896" s="158"/>
      <c r="D896" s="158"/>
      <c r="E896" s="158"/>
      <c r="F896" s="46"/>
      <c r="G896" s="158"/>
      <c r="H896" s="158"/>
      <c r="I896" s="158"/>
      <c r="J896" s="158"/>
      <c r="K896" s="158"/>
      <c r="L896" s="158"/>
      <c r="M896" s="158"/>
      <c r="N896" s="158"/>
    </row>
    <row r="897" spans="1:14" ht="13.8">
      <c r="A897" s="158"/>
      <c r="B897" s="158"/>
      <c r="C897" s="158"/>
      <c r="D897" s="158"/>
      <c r="E897" s="158"/>
      <c r="F897" s="46"/>
      <c r="G897" s="158"/>
      <c r="H897" s="158"/>
      <c r="I897" s="158"/>
      <c r="J897" s="158"/>
      <c r="K897" s="158"/>
      <c r="L897" s="158"/>
      <c r="M897" s="158"/>
      <c r="N897" s="158"/>
    </row>
    <row r="898" spans="1:14" ht="13.8">
      <c r="A898" s="158"/>
      <c r="B898" s="158"/>
      <c r="C898" s="158"/>
      <c r="D898" s="158"/>
      <c r="E898" s="158"/>
      <c r="F898" s="46"/>
      <c r="G898" s="158"/>
      <c r="H898" s="158"/>
      <c r="I898" s="158"/>
      <c r="J898" s="158"/>
      <c r="K898" s="158"/>
      <c r="L898" s="158"/>
      <c r="M898" s="158"/>
      <c r="N898" s="158"/>
    </row>
    <row r="899" spans="1:14" ht="13.8">
      <c r="A899" s="158"/>
      <c r="B899" s="158"/>
      <c r="C899" s="158"/>
      <c r="D899" s="158"/>
      <c r="E899" s="158"/>
      <c r="F899" s="46"/>
      <c r="G899" s="158"/>
      <c r="H899" s="158"/>
      <c r="I899" s="158"/>
      <c r="J899" s="158"/>
      <c r="K899" s="158"/>
      <c r="L899" s="158"/>
      <c r="M899" s="158"/>
      <c r="N899" s="158"/>
    </row>
    <row r="900" spans="1:14" ht="13.8">
      <c r="A900" s="158"/>
      <c r="B900" s="158"/>
      <c r="C900" s="158"/>
      <c r="D900" s="158"/>
      <c r="E900" s="158"/>
      <c r="F900" s="46"/>
      <c r="G900" s="158"/>
      <c r="H900" s="158"/>
      <c r="I900" s="158"/>
      <c r="J900" s="158"/>
      <c r="K900" s="158"/>
      <c r="L900" s="158"/>
      <c r="M900" s="158"/>
      <c r="N900" s="158"/>
    </row>
    <row r="901" spans="1:14" ht="13.8">
      <c r="A901" s="158"/>
      <c r="B901" s="158"/>
      <c r="C901" s="158"/>
      <c r="D901" s="158"/>
      <c r="E901" s="158"/>
      <c r="F901" s="46"/>
      <c r="G901" s="158"/>
      <c r="H901" s="158"/>
      <c r="I901" s="158"/>
      <c r="J901" s="158"/>
      <c r="K901" s="158"/>
      <c r="L901" s="158"/>
      <c r="M901" s="158"/>
      <c r="N901" s="158"/>
    </row>
    <row r="902" spans="1:14" ht="13.8">
      <c r="A902" s="158"/>
      <c r="B902" s="158"/>
      <c r="C902" s="158"/>
      <c r="D902" s="158"/>
      <c r="E902" s="158"/>
      <c r="F902" s="46"/>
      <c r="G902" s="158"/>
      <c r="H902" s="158"/>
      <c r="I902" s="158"/>
      <c r="J902" s="158"/>
      <c r="K902" s="158"/>
      <c r="L902" s="158"/>
      <c r="M902" s="158"/>
      <c r="N902" s="158"/>
    </row>
    <row r="903" spans="1:14" ht="13.8">
      <c r="A903" s="158"/>
      <c r="B903" s="158"/>
      <c r="C903" s="158"/>
      <c r="D903" s="158"/>
      <c r="E903" s="158"/>
      <c r="F903" s="46"/>
      <c r="G903" s="158"/>
      <c r="H903" s="158"/>
      <c r="I903" s="158"/>
      <c r="J903" s="158"/>
      <c r="K903" s="158"/>
      <c r="L903" s="158"/>
      <c r="M903" s="158"/>
      <c r="N903" s="158"/>
    </row>
    <row r="904" spans="1:14" ht="13.8">
      <c r="A904" s="158"/>
      <c r="B904" s="158"/>
      <c r="C904" s="158"/>
      <c r="D904" s="158"/>
      <c r="E904" s="158"/>
      <c r="F904" s="46"/>
      <c r="G904" s="158"/>
      <c r="H904" s="158"/>
      <c r="I904" s="158"/>
      <c r="J904" s="158"/>
      <c r="K904" s="158"/>
      <c r="L904" s="158"/>
      <c r="M904" s="158"/>
      <c r="N904" s="158"/>
    </row>
    <row r="905" spans="1:14" ht="13.8">
      <c r="A905" s="158"/>
      <c r="B905" s="158"/>
      <c r="C905" s="158"/>
      <c r="D905" s="158"/>
      <c r="E905" s="158"/>
      <c r="F905" s="46"/>
      <c r="G905" s="158"/>
      <c r="H905" s="158"/>
      <c r="I905" s="158"/>
      <c r="J905" s="158"/>
      <c r="K905" s="158"/>
      <c r="L905" s="158"/>
      <c r="M905" s="158"/>
      <c r="N905" s="158"/>
    </row>
    <row r="906" spans="1:14" ht="13.8">
      <c r="A906" s="158"/>
      <c r="B906" s="158"/>
      <c r="C906" s="158"/>
      <c r="D906" s="158"/>
      <c r="E906" s="158"/>
      <c r="F906" s="46"/>
      <c r="G906" s="158"/>
      <c r="H906" s="158"/>
      <c r="I906" s="158"/>
      <c r="J906" s="158"/>
      <c r="K906" s="158"/>
      <c r="L906" s="158"/>
      <c r="M906" s="158"/>
      <c r="N906" s="158"/>
    </row>
    <row r="907" spans="1:14" ht="13.8">
      <c r="A907" s="158"/>
      <c r="B907" s="158"/>
      <c r="C907" s="158"/>
      <c r="D907" s="158"/>
      <c r="E907" s="158"/>
      <c r="F907" s="46"/>
      <c r="G907" s="158"/>
      <c r="H907" s="158"/>
      <c r="I907" s="158"/>
      <c r="J907" s="158"/>
      <c r="K907" s="158"/>
      <c r="L907" s="158"/>
      <c r="M907" s="158"/>
      <c r="N907" s="158"/>
    </row>
    <row r="908" spans="1:14" ht="13.8">
      <c r="A908" s="158"/>
      <c r="B908" s="158"/>
      <c r="C908" s="158"/>
      <c r="D908" s="158"/>
      <c r="E908" s="158"/>
      <c r="F908" s="46"/>
      <c r="G908" s="158"/>
      <c r="H908" s="158"/>
      <c r="I908" s="158"/>
      <c r="J908" s="158"/>
      <c r="K908" s="158"/>
      <c r="L908" s="158"/>
      <c r="M908" s="158"/>
      <c r="N908" s="158"/>
    </row>
    <row r="909" spans="1:14" ht="13.8">
      <c r="A909" s="158"/>
      <c r="B909" s="158"/>
      <c r="C909" s="158"/>
      <c r="D909" s="158"/>
      <c r="E909" s="158"/>
      <c r="F909" s="46"/>
      <c r="G909" s="158"/>
      <c r="H909" s="158"/>
      <c r="I909" s="158"/>
      <c r="J909" s="158"/>
      <c r="K909" s="158"/>
      <c r="L909" s="158"/>
      <c r="M909" s="158"/>
      <c r="N909" s="158"/>
    </row>
    <row r="910" spans="1:14" ht="13.8">
      <c r="A910" s="158"/>
      <c r="B910" s="158"/>
      <c r="C910" s="158"/>
      <c r="D910" s="158"/>
      <c r="E910" s="158"/>
      <c r="F910" s="46"/>
      <c r="G910" s="158"/>
      <c r="H910" s="158"/>
      <c r="I910" s="158"/>
      <c r="J910" s="158"/>
      <c r="K910" s="158"/>
      <c r="L910" s="158"/>
      <c r="M910" s="158"/>
      <c r="N910" s="158"/>
    </row>
    <row r="911" spans="1:14" ht="13.8">
      <c r="A911" s="158"/>
      <c r="B911" s="158"/>
      <c r="C911" s="158"/>
      <c r="D911" s="158"/>
      <c r="E911" s="158"/>
      <c r="F911" s="46"/>
      <c r="G911" s="158"/>
      <c r="H911" s="158"/>
      <c r="I911" s="158"/>
      <c r="J911" s="158"/>
      <c r="K911" s="158"/>
      <c r="L911" s="158"/>
      <c r="M911" s="158"/>
      <c r="N911" s="158"/>
    </row>
    <row r="912" spans="1:14" ht="13.8">
      <c r="A912" s="158"/>
      <c r="B912" s="158"/>
      <c r="C912" s="158"/>
      <c r="D912" s="158"/>
      <c r="E912" s="158"/>
      <c r="F912" s="46"/>
      <c r="G912" s="158"/>
      <c r="H912" s="158"/>
      <c r="I912" s="158"/>
      <c r="J912" s="158"/>
      <c r="K912" s="158"/>
      <c r="L912" s="158"/>
      <c r="M912" s="158"/>
      <c r="N912" s="158"/>
    </row>
    <row r="913" spans="1:14" ht="13.8">
      <c r="A913" s="158"/>
      <c r="B913" s="158"/>
      <c r="C913" s="158"/>
      <c r="D913" s="158"/>
      <c r="E913" s="158"/>
      <c r="F913" s="46"/>
      <c r="G913" s="158"/>
      <c r="H913" s="158"/>
      <c r="I913" s="158"/>
      <c r="J913" s="158"/>
      <c r="K913" s="158"/>
      <c r="L913" s="158"/>
      <c r="M913" s="158"/>
      <c r="N913" s="158"/>
    </row>
    <row r="914" spans="1:14" ht="13.8">
      <c r="A914" s="158"/>
      <c r="B914" s="158"/>
      <c r="C914" s="158"/>
      <c r="D914" s="158"/>
      <c r="E914" s="158"/>
      <c r="F914" s="46"/>
      <c r="G914" s="158"/>
      <c r="H914" s="158"/>
      <c r="I914" s="158"/>
      <c r="J914" s="158"/>
      <c r="K914" s="158"/>
      <c r="L914" s="158"/>
      <c r="M914" s="158"/>
      <c r="N914" s="158"/>
    </row>
    <row r="915" spans="1:14" ht="13.8">
      <c r="A915" s="158"/>
      <c r="B915" s="158"/>
      <c r="C915" s="158"/>
      <c r="D915" s="158"/>
      <c r="E915" s="158"/>
      <c r="F915" s="46"/>
      <c r="G915" s="158"/>
      <c r="H915" s="158"/>
      <c r="I915" s="158"/>
      <c r="J915" s="158"/>
      <c r="K915" s="158"/>
      <c r="L915" s="158"/>
      <c r="M915" s="158"/>
      <c r="N915" s="158"/>
    </row>
    <row r="916" spans="1:14" ht="13.8">
      <c r="A916" s="158"/>
      <c r="B916" s="158"/>
      <c r="C916" s="158"/>
      <c r="D916" s="158"/>
      <c r="E916" s="158"/>
      <c r="F916" s="46"/>
      <c r="G916" s="158"/>
      <c r="H916" s="158"/>
      <c r="I916" s="158"/>
      <c r="J916" s="158"/>
      <c r="K916" s="158"/>
      <c r="L916" s="158"/>
      <c r="M916" s="158"/>
      <c r="N916" s="158"/>
    </row>
    <row r="917" spans="1:14" ht="13.8">
      <c r="A917" s="158"/>
      <c r="B917" s="158"/>
      <c r="C917" s="158"/>
      <c r="D917" s="158"/>
      <c r="E917" s="158"/>
      <c r="F917" s="46"/>
      <c r="G917" s="158"/>
      <c r="H917" s="158"/>
      <c r="I917" s="158"/>
      <c r="J917" s="158"/>
      <c r="K917" s="158"/>
      <c r="L917" s="158"/>
      <c r="M917" s="158"/>
      <c r="N917" s="158"/>
    </row>
    <row r="918" spans="1:14" ht="13.8">
      <c r="A918" s="158"/>
      <c r="B918" s="158"/>
      <c r="C918" s="158"/>
      <c r="D918" s="158"/>
      <c r="E918" s="158"/>
      <c r="F918" s="46"/>
      <c r="G918" s="158"/>
      <c r="H918" s="158"/>
      <c r="I918" s="158"/>
      <c r="J918" s="158"/>
      <c r="K918" s="158"/>
      <c r="L918" s="158"/>
      <c r="M918" s="158"/>
      <c r="N918" s="158"/>
    </row>
    <row r="919" spans="1:14" ht="13.8">
      <c r="A919" s="158"/>
      <c r="B919" s="158"/>
      <c r="C919" s="158"/>
      <c r="D919" s="158"/>
      <c r="E919" s="158"/>
      <c r="F919" s="46"/>
      <c r="G919" s="158"/>
      <c r="H919" s="158"/>
      <c r="I919" s="158"/>
      <c r="J919" s="158"/>
      <c r="K919" s="158"/>
      <c r="L919" s="158"/>
      <c r="M919" s="158"/>
      <c r="N919" s="158"/>
    </row>
    <row r="920" spans="1:14" ht="13.8">
      <c r="A920" s="158"/>
      <c r="B920" s="158"/>
      <c r="C920" s="158"/>
      <c r="D920" s="158"/>
      <c r="E920" s="158"/>
      <c r="F920" s="46"/>
      <c r="G920" s="158"/>
      <c r="H920" s="158"/>
      <c r="I920" s="158"/>
      <c r="J920" s="158"/>
      <c r="K920" s="158"/>
      <c r="L920" s="158"/>
      <c r="M920" s="158"/>
      <c r="N920" s="158"/>
    </row>
    <row r="921" spans="1:14" ht="13.8">
      <c r="A921" s="158"/>
      <c r="B921" s="158"/>
      <c r="C921" s="158"/>
      <c r="D921" s="158"/>
      <c r="E921" s="158"/>
      <c r="F921" s="46"/>
      <c r="G921" s="158"/>
      <c r="H921" s="158"/>
      <c r="I921" s="158"/>
      <c r="J921" s="158"/>
      <c r="K921" s="158"/>
      <c r="L921" s="158"/>
      <c r="M921" s="158"/>
      <c r="N921" s="158"/>
    </row>
    <row r="922" spans="1:14" ht="13.8">
      <c r="A922" s="158"/>
      <c r="B922" s="158"/>
      <c r="C922" s="158"/>
      <c r="D922" s="158"/>
      <c r="E922" s="158"/>
      <c r="F922" s="46"/>
      <c r="G922" s="158"/>
      <c r="H922" s="158"/>
      <c r="I922" s="158"/>
      <c r="J922" s="158"/>
      <c r="K922" s="158"/>
      <c r="L922" s="158"/>
      <c r="M922" s="158"/>
      <c r="N922" s="158"/>
    </row>
    <row r="923" spans="1:14" ht="13.8">
      <c r="A923" s="158"/>
      <c r="B923" s="158"/>
      <c r="C923" s="158"/>
      <c r="D923" s="158"/>
      <c r="E923" s="158"/>
      <c r="F923" s="46"/>
      <c r="G923" s="158"/>
      <c r="H923" s="158"/>
      <c r="I923" s="158"/>
      <c r="J923" s="158"/>
      <c r="K923" s="158"/>
      <c r="L923" s="158"/>
      <c r="M923" s="158"/>
      <c r="N923" s="158"/>
    </row>
    <row r="924" spans="1:14" ht="13.8">
      <c r="A924" s="158"/>
      <c r="B924" s="158"/>
      <c r="C924" s="158"/>
      <c r="D924" s="158"/>
      <c r="E924" s="158"/>
      <c r="F924" s="46"/>
      <c r="G924" s="158"/>
      <c r="H924" s="158"/>
      <c r="I924" s="158"/>
      <c r="J924" s="158"/>
      <c r="K924" s="158"/>
      <c r="L924" s="158"/>
      <c r="M924" s="158"/>
      <c r="N924" s="158"/>
    </row>
    <row r="925" spans="1:14" ht="13.8">
      <c r="A925" s="158"/>
      <c r="B925" s="158"/>
      <c r="C925" s="158"/>
      <c r="D925" s="158"/>
      <c r="E925" s="158"/>
      <c r="F925" s="46"/>
      <c r="G925" s="158"/>
      <c r="H925" s="158"/>
      <c r="I925" s="158"/>
      <c r="J925" s="158"/>
      <c r="K925" s="158"/>
      <c r="L925" s="158"/>
      <c r="M925" s="158"/>
      <c r="N925" s="158"/>
    </row>
  </sheetData>
  <autoFilter ref="A2:AE334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276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/>
  <cols>
    <col min="1" max="1" width="10.109375" customWidth="1"/>
    <col min="2" max="2" width="14.33203125" customWidth="1"/>
    <col min="3" max="3" width="40" customWidth="1"/>
    <col min="6" max="6" width="22.6640625" customWidth="1"/>
  </cols>
  <sheetData>
    <row r="1" spans="1:26" ht="15.75" customHeight="1">
      <c r="A1" s="99" t="s">
        <v>0</v>
      </c>
      <c r="B1" s="99"/>
      <c r="C1" s="99"/>
      <c r="D1" s="99"/>
      <c r="E1" s="99"/>
      <c r="F1" s="126"/>
      <c r="G1" s="126"/>
      <c r="H1" s="126"/>
      <c r="I1" s="126"/>
      <c r="J1" s="126"/>
      <c r="K1" s="126"/>
      <c r="L1" s="126"/>
      <c r="M1" s="126"/>
      <c r="N1" s="126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</row>
    <row r="2" spans="1:26" ht="15.75" customHeight="1">
      <c r="A2" s="8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8</v>
      </c>
      <c r="G2" s="8" t="s">
        <v>24</v>
      </c>
      <c r="H2" s="8" t="s">
        <v>10</v>
      </c>
      <c r="I2" s="8" t="s">
        <v>11</v>
      </c>
      <c r="J2" s="8" t="s">
        <v>12</v>
      </c>
      <c r="K2" s="8" t="s">
        <v>14</v>
      </c>
      <c r="L2" s="8" t="s">
        <v>15</v>
      </c>
      <c r="M2" s="8" t="s">
        <v>2947</v>
      </c>
      <c r="N2" s="8" t="s">
        <v>17</v>
      </c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</row>
    <row r="3" spans="1:26" ht="15.75" customHeight="1">
      <c r="A3" s="28" t="s">
        <v>5948</v>
      </c>
      <c r="B3" s="28" t="s">
        <v>1379</v>
      </c>
      <c r="C3" s="28" t="s">
        <v>51</v>
      </c>
      <c r="D3" s="29" t="s">
        <v>52</v>
      </c>
      <c r="E3" s="29"/>
      <c r="F3" s="28" t="s">
        <v>5953</v>
      </c>
      <c r="G3" s="28"/>
      <c r="H3" s="28" t="s">
        <v>5956</v>
      </c>
      <c r="I3" s="28" t="s">
        <v>5957</v>
      </c>
      <c r="J3" s="28" t="s">
        <v>5959</v>
      </c>
      <c r="K3" s="28" t="s">
        <v>5956</v>
      </c>
      <c r="L3" s="28" t="s">
        <v>5960</v>
      </c>
      <c r="M3" s="28" t="s">
        <v>41</v>
      </c>
      <c r="N3" s="28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</row>
    <row r="4" spans="1:26" ht="15.75" customHeight="1">
      <c r="A4" s="28" t="s">
        <v>5948</v>
      </c>
      <c r="B4" s="28" t="s">
        <v>5962</v>
      </c>
      <c r="C4" s="28" t="s">
        <v>51</v>
      </c>
      <c r="D4" s="29" t="s">
        <v>52</v>
      </c>
      <c r="E4" s="29"/>
      <c r="F4" s="28" t="s">
        <v>5965</v>
      </c>
      <c r="G4" s="28"/>
      <c r="H4" s="28" t="s">
        <v>5966</v>
      </c>
      <c r="I4" s="28" t="s">
        <v>5967</v>
      </c>
      <c r="J4" s="28" t="s">
        <v>5968</v>
      </c>
      <c r="K4" s="28" t="s">
        <v>5966</v>
      </c>
      <c r="L4" s="28" t="s">
        <v>2149</v>
      </c>
      <c r="M4" s="28" t="s">
        <v>41</v>
      </c>
      <c r="N4" s="28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</row>
    <row r="5" spans="1:26" ht="15.75" customHeight="1">
      <c r="A5" s="28" t="s">
        <v>5948</v>
      </c>
      <c r="B5" s="28" t="s">
        <v>1379</v>
      </c>
      <c r="C5" s="28" t="s">
        <v>70</v>
      </c>
      <c r="D5" s="29" t="s">
        <v>71</v>
      </c>
      <c r="E5" s="29"/>
      <c r="F5" s="28" t="s">
        <v>5972</v>
      </c>
      <c r="G5" s="28" t="s">
        <v>5973</v>
      </c>
      <c r="H5" s="28" t="s">
        <v>5974</v>
      </c>
      <c r="I5" s="28" t="s">
        <v>898</v>
      </c>
      <c r="J5" s="28" t="s">
        <v>5975</v>
      </c>
      <c r="K5" s="28" t="s">
        <v>5974</v>
      </c>
      <c r="L5" s="28" t="s">
        <v>2149</v>
      </c>
      <c r="M5" s="28" t="s">
        <v>41</v>
      </c>
      <c r="N5" s="28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</row>
    <row r="6" spans="1:26" ht="15.75" customHeight="1">
      <c r="A6" s="28" t="s">
        <v>5948</v>
      </c>
      <c r="B6" s="28" t="s">
        <v>1379</v>
      </c>
      <c r="C6" s="28" t="s">
        <v>70</v>
      </c>
      <c r="D6" s="29" t="s">
        <v>71</v>
      </c>
      <c r="E6" s="29"/>
      <c r="F6" s="28" t="s">
        <v>5979</v>
      </c>
      <c r="G6" s="28"/>
      <c r="H6" s="28" t="s">
        <v>5966</v>
      </c>
      <c r="I6" s="28" t="s">
        <v>5967</v>
      </c>
      <c r="J6" s="28" t="s">
        <v>5982</v>
      </c>
      <c r="K6" s="28" t="s">
        <v>5966</v>
      </c>
      <c r="L6" s="28" t="s">
        <v>2149</v>
      </c>
      <c r="M6" s="28" t="s">
        <v>41</v>
      </c>
      <c r="N6" s="28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</row>
    <row r="7" spans="1:26" ht="15.75" customHeight="1">
      <c r="A7" s="28" t="s">
        <v>5948</v>
      </c>
      <c r="B7" s="28" t="s">
        <v>1379</v>
      </c>
      <c r="C7" s="28" t="s">
        <v>79</v>
      </c>
      <c r="D7" s="29" t="s">
        <v>80</v>
      </c>
      <c r="E7" s="29"/>
      <c r="F7" s="28" t="s">
        <v>5986</v>
      </c>
      <c r="G7" s="28"/>
      <c r="H7" s="28" t="s">
        <v>5966</v>
      </c>
      <c r="I7" s="28" t="s">
        <v>5967</v>
      </c>
      <c r="J7" s="28" t="s">
        <v>5987</v>
      </c>
      <c r="K7" s="28" t="s">
        <v>5966</v>
      </c>
      <c r="L7" s="28" t="s">
        <v>2149</v>
      </c>
      <c r="M7" s="28" t="s">
        <v>41</v>
      </c>
      <c r="N7" s="28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</row>
    <row r="8" spans="1:26" ht="15.75" customHeight="1">
      <c r="A8" s="28" t="s">
        <v>5948</v>
      </c>
      <c r="B8" s="28" t="s">
        <v>1379</v>
      </c>
      <c r="C8" s="28" t="s">
        <v>79</v>
      </c>
      <c r="D8" s="29" t="s">
        <v>80</v>
      </c>
      <c r="E8" s="29"/>
      <c r="F8" s="28" t="s">
        <v>5989</v>
      </c>
      <c r="G8" s="28"/>
      <c r="H8" s="28" t="s">
        <v>5966</v>
      </c>
      <c r="I8" s="28" t="s">
        <v>5967</v>
      </c>
      <c r="J8" s="28" t="s">
        <v>5993</v>
      </c>
      <c r="K8" s="28" t="s">
        <v>5966</v>
      </c>
      <c r="L8" s="28" t="s">
        <v>2149</v>
      </c>
      <c r="M8" s="28" t="s">
        <v>41</v>
      </c>
      <c r="N8" s="28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</row>
    <row r="9" spans="1:26" ht="15.75" customHeight="1">
      <c r="A9" s="28" t="s">
        <v>5948</v>
      </c>
      <c r="B9" s="28" t="s">
        <v>1379</v>
      </c>
      <c r="C9" s="28" t="s">
        <v>85</v>
      </c>
      <c r="D9" s="29" t="s">
        <v>86</v>
      </c>
      <c r="E9" s="28"/>
      <c r="F9" s="28" t="s">
        <v>5999</v>
      </c>
      <c r="G9" s="28"/>
      <c r="H9" s="28" t="s">
        <v>6001</v>
      </c>
      <c r="I9" s="28" t="s">
        <v>6002</v>
      </c>
      <c r="J9" s="28" t="s">
        <v>6003</v>
      </c>
      <c r="K9" s="28" t="s">
        <v>6001</v>
      </c>
      <c r="L9" s="28" t="s">
        <v>6005</v>
      </c>
      <c r="M9" s="28" t="s">
        <v>41</v>
      </c>
      <c r="N9" s="28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</row>
    <row r="10" spans="1:26" ht="15.75" customHeight="1">
      <c r="A10" s="28" t="s">
        <v>5948</v>
      </c>
      <c r="B10" s="28" t="s">
        <v>1379</v>
      </c>
      <c r="C10" s="28" t="s">
        <v>85</v>
      </c>
      <c r="D10" s="29" t="s">
        <v>86</v>
      </c>
      <c r="E10" s="28"/>
      <c r="F10" s="28" t="s">
        <v>6008</v>
      </c>
      <c r="G10" s="28"/>
      <c r="H10" s="28" t="s">
        <v>6009</v>
      </c>
      <c r="I10" s="28" t="s">
        <v>6011</v>
      </c>
      <c r="J10" s="28" t="s">
        <v>6012</v>
      </c>
      <c r="K10" s="28" t="s">
        <v>6009</v>
      </c>
      <c r="L10" s="28" t="s">
        <v>6013</v>
      </c>
      <c r="M10" s="28" t="s">
        <v>41</v>
      </c>
      <c r="N10" s="28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</row>
    <row r="11" spans="1:26" ht="15.75" customHeight="1">
      <c r="A11" s="28" t="s">
        <v>5948</v>
      </c>
      <c r="B11" s="28" t="s">
        <v>1379</v>
      </c>
      <c r="C11" s="28" t="s">
        <v>85</v>
      </c>
      <c r="D11" s="29" t="s">
        <v>86</v>
      </c>
      <c r="E11" s="28"/>
      <c r="F11" s="28" t="s">
        <v>6017</v>
      </c>
      <c r="G11" s="28"/>
      <c r="H11" s="28" t="s">
        <v>6018</v>
      </c>
      <c r="I11" s="28" t="s">
        <v>6019</v>
      </c>
      <c r="J11" s="28" t="s">
        <v>6020</v>
      </c>
      <c r="K11" s="28" t="s">
        <v>6018</v>
      </c>
      <c r="L11" s="28" t="s">
        <v>6021</v>
      </c>
      <c r="M11" s="28" t="s">
        <v>41</v>
      </c>
      <c r="N11" s="28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</row>
    <row r="12" spans="1:26" ht="15.75" customHeight="1">
      <c r="A12" s="28" t="s">
        <v>5948</v>
      </c>
      <c r="B12" s="28" t="s">
        <v>1379</v>
      </c>
      <c r="C12" s="28" t="s">
        <v>85</v>
      </c>
      <c r="D12" s="29" t="s">
        <v>86</v>
      </c>
      <c r="E12" s="28"/>
      <c r="F12" s="28" t="s">
        <v>6027</v>
      </c>
      <c r="G12" s="28"/>
      <c r="H12" s="28" t="s">
        <v>6028</v>
      </c>
      <c r="I12" s="28" t="s">
        <v>6029</v>
      </c>
      <c r="J12" s="28" t="s">
        <v>6030</v>
      </c>
      <c r="K12" s="28" t="s">
        <v>6028</v>
      </c>
      <c r="L12" s="28" t="s">
        <v>6032</v>
      </c>
      <c r="M12" s="28" t="s">
        <v>41</v>
      </c>
      <c r="N12" s="28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</row>
    <row r="13" spans="1:26" ht="15.75" customHeight="1">
      <c r="A13" s="28" t="s">
        <v>5948</v>
      </c>
      <c r="B13" s="28" t="s">
        <v>1379</v>
      </c>
      <c r="C13" s="28" t="s">
        <v>85</v>
      </c>
      <c r="D13" s="29" t="s">
        <v>86</v>
      </c>
      <c r="E13" s="28"/>
      <c r="F13" s="28" t="s">
        <v>6034</v>
      </c>
      <c r="G13" s="28"/>
      <c r="H13" s="28" t="s">
        <v>1561</v>
      </c>
      <c r="I13" s="28" t="s">
        <v>916</v>
      </c>
      <c r="J13" s="28" t="s">
        <v>6037</v>
      </c>
      <c r="K13" s="28" t="s">
        <v>1561</v>
      </c>
      <c r="L13" s="28" t="s">
        <v>1565</v>
      </c>
      <c r="M13" s="28" t="s">
        <v>41</v>
      </c>
      <c r="N13" s="28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</row>
    <row r="14" spans="1:26" ht="15.75" customHeight="1">
      <c r="A14" s="28" t="s">
        <v>5948</v>
      </c>
      <c r="B14" s="28" t="s">
        <v>1379</v>
      </c>
      <c r="C14" s="28" t="s">
        <v>85</v>
      </c>
      <c r="D14" s="29" t="s">
        <v>86</v>
      </c>
      <c r="E14" s="28"/>
      <c r="F14" s="28" t="s">
        <v>6039</v>
      </c>
      <c r="G14" s="28"/>
      <c r="H14" s="28" t="s">
        <v>6040</v>
      </c>
      <c r="I14" s="28" t="s">
        <v>6041</v>
      </c>
      <c r="J14" s="28" t="s">
        <v>6042</v>
      </c>
      <c r="K14" s="28" t="s">
        <v>6040</v>
      </c>
      <c r="L14" s="28" t="s">
        <v>6043</v>
      </c>
      <c r="M14" s="28" t="s">
        <v>41</v>
      </c>
      <c r="N14" s="28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</row>
    <row r="15" spans="1:26" ht="15.75" customHeight="1">
      <c r="A15" s="28" t="s">
        <v>5948</v>
      </c>
      <c r="B15" s="28" t="s">
        <v>1379</v>
      </c>
      <c r="C15" s="28" t="s">
        <v>85</v>
      </c>
      <c r="D15" s="29" t="s">
        <v>86</v>
      </c>
      <c r="E15" s="28"/>
      <c r="F15" s="28" t="s">
        <v>6046</v>
      </c>
      <c r="G15" s="28"/>
      <c r="H15" s="28" t="s">
        <v>6047</v>
      </c>
      <c r="I15" s="28" t="s">
        <v>966</v>
      </c>
      <c r="J15" s="28" t="s">
        <v>6048</v>
      </c>
      <c r="K15" s="28" t="s">
        <v>6047</v>
      </c>
      <c r="L15" s="28" t="s">
        <v>6049</v>
      </c>
      <c r="M15" s="28" t="s">
        <v>41</v>
      </c>
      <c r="N15" s="28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</row>
    <row r="16" spans="1:26" ht="15.75" customHeight="1">
      <c r="A16" s="28" t="s">
        <v>5948</v>
      </c>
      <c r="B16" s="28" t="s">
        <v>1379</v>
      </c>
      <c r="C16" s="28" t="s">
        <v>85</v>
      </c>
      <c r="D16" s="29" t="s">
        <v>86</v>
      </c>
      <c r="E16" s="28"/>
      <c r="F16" s="28" t="s">
        <v>6052</v>
      </c>
      <c r="G16" s="28"/>
      <c r="H16" s="28" t="s">
        <v>6047</v>
      </c>
      <c r="I16" s="28" t="s">
        <v>966</v>
      </c>
      <c r="J16" s="28" t="s">
        <v>6048</v>
      </c>
      <c r="K16" s="28" t="s">
        <v>6047</v>
      </c>
      <c r="L16" s="28" t="s">
        <v>6049</v>
      </c>
      <c r="M16" s="28" t="s">
        <v>41</v>
      </c>
      <c r="N16" s="28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</row>
    <row r="17" spans="1:26" ht="15.75" customHeight="1">
      <c r="A17" s="28" t="s">
        <v>5948</v>
      </c>
      <c r="B17" s="28" t="s">
        <v>1379</v>
      </c>
      <c r="C17" s="28" t="s">
        <v>85</v>
      </c>
      <c r="D17" s="29" t="s">
        <v>86</v>
      </c>
      <c r="E17" s="28"/>
      <c r="F17" s="28" t="s">
        <v>6055</v>
      </c>
      <c r="G17" s="28"/>
      <c r="H17" s="28" t="s">
        <v>6056</v>
      </c>
      <c r="I17" s="28" t="s">
        <v>130</v>
      </c>
      <c r="J17" s="28" t="s">
        <v>6058</v>
      </c>
      <c r="K17" s="28" t="s">
        <v>6056</v>
      </c>
      <c r="L17" s="28" t="s">
        <v>2166</v>
      </c>
      <c r="M17" s="28" t="s">
        <v>41</v>
      </c>
      <c r="N17" s="28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</row>
    <row r="18" spans="1:26" ht="14.4">
      <c r="A18" s="28" t="s">
        <v>5948</v>
      </c>
      <c r="B18" s="28" t="s">
        <v>1379</v>
      </c>
      <c r="C18" s="28" t="s">
        <v>85</v>
      </c>
      <c r="D18" s="29" t="s">
        <v>86</v>
      </c>
      <c r="E18" s="28"/>
      <c r="F18" s="28" t="s">
        <v>6062</v>
      </c>
      <c r="G18" s="28"/>
      <c r="H18" s="28" t="s">
        <v>6063</v>
      </c>
      <c r="I18" s="28" t="s">
        <v>6065</v>
      </c>
      <c r="J18" s="28" t="s">
        <v>6067</v>
      </c>
      <c r="K18" s="28" t="s">
        <v>6063</v>
      </c>
      <c r="L18" s="28" t="s">
        <v>2149</v>
      </c>
      <c r="M18" s="28" t="s">
        <v>41</v>
      </c>
      <c r="N18" s="28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</row>
    <row r="19" spans="1:26" ht="14.4">
      <c r="A19" s="28" t="s">
        <v>5948</v>
      </c>
      <c r="B19" s="28" t="s">
        <v>1379</v>
      </c>
      <c r="C19" s="28" t="s">
        <v>85</v>
      </c>
      <c r="D19" s="29" t="s">
        <v>86</v>
      </c>
      <c r="E19" s="28"/>
      <c r="F19" s="28" t="s">
        <v>6072</v>
      </c>
      <c r="G19" s="28"/>
      <c r="H19" s="28" t="s">
        <v>6063</v>
      </c>
      <c r="I19" s="28" t="s">
        <v>6065</v>
      </c>
      <c r="J19" s="28" t="s">
        <v>6067</v>
      </c>
      <c r="K19" s="28" t="s">
        <v>6063</v>
      </c>
      <c r="L19" s="28" t="s">
        <v>6075</v>
      </c>
      <c r="M19" s="28" t="s">
        <v>41</v>
      </c>
      <c r="N19" s="28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</row>
    <row r="20" spans="1:26" ht="14.4">
      <c r="A20" s="28" t="s">
        <v>5948</v>
      </c>
      <c r="B20" s="28" t="s">
        <v>1379</v>
      </c>
      <c r="C20" s="28" t="s">
        <v>85</v>
      </c>
      <c r="D20" s="29" t="s">
        <v>86</v>
      </c>
      <c r="E20" s="28"/>
      <c r="F20" s="28" t="s">
        <v>6081</v>
      </c>
      <c r="G20" s="28"/>
      <c r="H20" s="28" t="s">
        <v>6082</v>
      </c>
      <c r="I20" s="28" t="s">
        <v>6065</v>
      </c>
      <c r="J20" s="28" t="s">
        <v>6067</v>
      </c>
      <c r="K20" s="28" t="s">
        <v>6063</v>
      </c>
      <c r="L20" s="28" t="s">
        <v>6075</v>
      </c>
      <c r="M20" s="28" t="s">
        <v>41</v>
      </c>
      <c r="N20" s="28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</row>
    <row r="21" spans="1:26" ht="14.4">
      <c r="A21" s="28" t="s">
        <v>5948</v>
      </c>
      <c r="B21" s="28" t="s">
        <v>1379</v>
      </c>
      <c r="C21" s="28" t="s">
        <v>85</v>
      </c>
      <c r="D21" s="29" t="s">
        <v>86</v>
      </c>
      <c r="E21" s="28"/>
      <c r="F21" s="28" t="s">
        <v>6088</v>
      </c>
      <c r="G21" s="28"/>
      <c r="H21" s="28" t="s">
        <v>6082</v>
      </c>
      <c r="I21" s="28" t="s">
        <v>6065</v>
      </c>
      <c r="J21" s="28" t="s">
        <v>6067</v>
      </c>
      <c r="K21" s="28" t="s">
        <v>6063</v>
      </c>
      <c r="L21" s="28" t="s">
        <v>6075</v>
      </c>
      <c r="M21" s="28" t="s">
        <v>41</v>
      </c>
      <c r="N21" s="28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</row>
    <row r="22" spans="1:26" ht="14.4">
      <c r="A22" s="28" t="s">
        <v>5948</v>
      </c>
      <c r="B22" s="28" t="s">
        <v>1379</v>
      </c>
      <c r="C22" s="28" t="s">
        <v>85</v>
      </c>
      <c r="D22" s="29" t="s">
        <v>86</v>
      </c>
      <c r="E22" s="28"/>
      <c r="F22" s="28" t="s">
        <v>6094</v>
      </c>
      <c r="G22" s="28"/>
      <c r="H22" s="28" t="s">
        <v>6096</v>
      </c>
      <c r="I22" s="28" t="s">
        <v>966</v>
      </c>
      <c r="J22" s="28" t="s">
        <v>6098</v>
      </c>
      <c r="K22" s="28" t="s">
        <v>6096</v>
      </c>
      <c r="L22" s="28" t="s">
        <v>2166</v>
      </c>
      <c r="M22" s="28" t="s">
        <v>41</v>
      </c>
      <c r="N22" s="28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</row>
    <row r="23" spans="1:26" ht="14.4">
      <c r="A23" s="28" t="s">
        <v>5948</v>
      </c>
      <c r="B23" s="28" t="s">
        <v>1379</v>
      </c>
      <c r="C23" s="28" t="s">
        <v>220</v>
      </c>
      <c r="D23" s="29" t="s">
        <v>234</v>
      </c>
      <c r="E23" s="29"/>
      <c r="F23" s="28" t="s">
        <v>6103</v>
      </c>
      <c r="G23" s="28"/>
      <c r="H23" s="28" t="s">
        <v>6105</v>
      </c>
      <c r="I23" s="28" t="s">
        <v>6106</v>
      </c>
      <c r="J23" s="28" t="s">
        <v>6107</v>
      </c>
      <c r="K23" s="28" t="s">
        <v>6105</v>
      </c>
      <c r="L23" s="28" t="s">
        <v>6110</v>
      </c>
      <c r="M23" s="28" t="s">
        <v>41</v>
      </c>
      <c r="N23" s="28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</row>
    <row r="24" spans="1:26" ht="14.4">
      <c r="A24" s="28" t="s">
        <v>5948</v>
      </c>
      <c r="B24" s="28" t="s">
        <v>1379</v>
      </c>
      <c r="C24" s="28" t="s">
        <v>220</v>
      </c>
      <c r="D24" s="29" t="s">
        <v>234</v>
      </c>
      <c r="E24" s="29"/>
      <c r="F24" s="28" t="s">
        <v>6113</v>
      </c>
      <c r="G24" s="28"/>
      <c r="H24" s="28" t="s">
        <v>6114</v>
      </c>
      <c r="I24" s="28" t="s">
        <v>6116</v>
      </c>
      <c r="J24" s="28" t="s">
        <v>6118</v>
      </c>
      <c r="K24" s="28" t="s">
        <v>6114</v>
      </c>
      <c r="L24" s="28" t="s">
        <v>1565</v>
      </c>
      <c r="M24" s="28" t="s">
        <v>41</v>
      </c>
      <c r="N24" s="28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</row>
    <row r="25" spans="1:26" ht="14.4">
      <c r="A25" s="28" t="s">
        <v>5948</v>
      </c>
      <c r="B25" s="28" t="s">
        <v>1379</v>
      </c>
      <c r="C25" s="28" t="s">
        <v>220</v>
      </c>
      <c r="D25" s="29" t="s">
        <v>234</v>
      </c>
      <c r="E25" s="29"/>
      <c r="F25" s="28" t="s">
        <v>6122</v>
      </c>
      <c r="G25" s="28"/>
      <c r="H25" s="28" t="s">
        <v>6124</v>
      </c>
      <c r="I25" s="28" t="s">
        <v>6126</v>
      </c>
      <c r="J25" s="28" t="s">
        <v>6127</v>
      </c>
      <c r="K25" s="28" t="s">
        <v>6124</v>
      </c>
      <c r="L25" s="28" t="s">
        <v>6128</v>
      </c>
      <c r="M25" s="28" t="s">
        <v>41</v>
      </c>
      <c r="N25" s="28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</row>
    <row r="26" spans="1:26" ht="14.4">
      <c r="A26" s="28" t="s">
        <v>5948</v>
      </c>
      <c r="B26" s="28" t="s">
        <v>1379</v>
      </c>
      <c r="C26" s="28" t="s">
        <v>220</v>
      </c>
      <c r="D26" s="29" t="s">
        <v>234</v>
      </c>
      <c r="E26" s="29"/>
      <c r="F26" s="28" t="s">
        <v>6129</v>
      </c>
      <c r="G26" s="28"/>
      <c r="H26" s="28" t="s">
        <v>6082</v>
      </c>
      <c r="I26" s="28" t="s">
        <v>6065</v>
      </c>
      <c r="J26" s="28" t="s">
        <v>6130</v>
      </c>
      <c r="K26" s="28" t="s">
        <v>6063</v>
      </c>
      <c r="L26" s="28" t="s">
        <v>2149</v>
      </c>
      <c r="M26" s="28" t="s">
        <v>41</v>
      </c>
      <c r="N26" s="28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</row>
    <row r="27" spans="1:26" ht="14.4">
      <c r="A27" s="28" t="s">
        <v>5948</v>
      </c>
      <c r="B27" s="28" t="s">
        <v>1379</v>
      </c>
      <c r="C27" s="28" t="s">
        <v>220</v>
      </c>
      <c r="D27" s="29" t="s">
        <v>234</v>
      </c>
      <c r="E27" s="29"/>
      <c r="F27" s="28" t="s">
        <v>6136</v>
      </c>
      <c r="G27" s="28"/>
      <c r="H27" s="28" t="s">
        <v>6082</v>
      </c>
      <c r="I27" s="28" t="s">
        <v>6065</v>
      </c>
      <c r="J27" s="28" t="s">
        <v>6137</v>
      </c>
      <c r="K27" s="28" t="s">
        <v>6063</v>
      </c>
      <c r="L27" s="28" t="s">
        <v>2149</v>
      </c>
      <c r="M27" s="28" t="s">
        <v>41</v>
      </c>
      <c r="N27" s="28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</row>
    <row r="28" spans="1:26" ht="14.4">
      <c r="A28" s="28" t="s">
        <v>5948</v>
      </c>
      <c r="B28" s="28" t="s">
        <v>1379</v>
      </c>
      <c r="C28" s="28" t="s">
        <v>220</v>
      </c>
      <c r="D28" s="29" t="s">
        <v>234</v>
      </c>
      <c r="E28" s="29"/>
      <c r="F28" s="28" t="s">
        <v>6143</v>
      </c>
      <c r="G28" s="28"/>
      <c r="H28" s="28" t="s">
        <v>5966</v>
      </c>
      <c r="I28" s="28" t="s">
        <v>5967</v>
      </c>
      <c r="J28" s="28" t="s">
        <v>6144</v>
      </c>
      <c r="K28" s="28" t="s">
        <v>5966</v>
      </c>
      <c r="L28" s="28" t="s">
        <v>2149</v>
      </c>
      <c r="M28" s="28" t="s">
        <v>41</v>
      </c>
      <c r="N28" s="28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</row>
    <row r="29" spans="1:26" ht="14.4">
      <c r="A29" s="28" t="s">
        <v>5948</v>
      </c>
      <c r="B29" s="28" t="s">
        <v>1379</v>
      </c>
      <c r="C29" s="28" t="s">
        <v>220</v>
      </c>
      <c r="D29" s="29" t="s">
        <v>234</v>
      </c>
      <c r="E29" s="29"/>
      <c r="F29" s="28" t="s">
        <v>6150</v>
      </c>
      <c r="G29" s="28"/>
      <c r="H29" s="28" t="s">
        <v>5966</v>
      </c>
      <c r="I29" s="28" t="s">
        <v>5967</v>
      </c>
      <c r="J29" s="28" t="s">
        <v>6144</v>
      </c>
      <c r="K29" s="28" t="s">
        <v>5966</v>
      </c>
      <c r="L29" s="28" t="s">
        <v>2149</v>
      </c>
      <c r="M29" s="28" t="s">
        <v>41</v>
      </c>
      <c r="N29" s="28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</row>
    <row r="30" spans="1:26" ht="14.4">
      <c r="A30" s="28" t="s">
        <v>5948</v>
      </c>
      <c r="B30" s="28" t="s">
        <v>1379</v>
      </c>
      <c r="C30" s="28" t="s">
        <v>233</v>
      </c>
      <c r="D30" s="29" t="s">
        <v>298</v>
      </c>
      <c r="E30" s="29"/>
      <c r="F30" s="28" t="s">
        <v>6154</v>
      </c>
      <c r="G30" s="28"/>
      <c r="H30" s="28" t="s">
        <v>6082</v>
      </c>
      <c r="I30" s="28" t="s">
        <v>6065</v>
      </c>
      <c r="J30" s="28" t="s">
        <v>6155</v>
      </c>
      <c r="K30" s="28" t="s">
        <v>6082</v>
      </c>
      <c r="L30" s="28" t="s">
        <v>2149</v>
      </c>
      <c r="M30" s="28" t="s">
        <v>41</v>
      </c>
      <c r="N30" s="28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</row>
    <row r="31" spans="1:26" ht="14.4">
      <c r="A31" s="28" t="s">
        <v>5948</v>
      </c>
      <c r="B31" s="28" t="s">
        <v>1379</v>
      </c>
      <c r="C31" s="28" t="s">
        <v>233</v>
      </c>
      <c r="D31" s="29" t="s">
        <v>298</v>
      </c>
      <c r="E31" s="29"/>
      <c r="F31" s="28" t="s">
        <v>6162</v>
      </c>
      <c r="G31" s="28"/>
      <c r="H31" s="28" t="s">
        <v>6163</v>
      </c>
      <c r="I31" s="28" t="s">
        <v>5788</v>
      </c>
      <c r="J31" s="28" t="s">
        <v>6164</v>
      </c>
      <c r="K31" s="28" t="s">
        <v>6163</v>
      </c>
      <c r="L31" s="28" t="s">
        <v>149</v>
      </c>
      <c r="M31" s="28" t="s">
        <v>41</v>
      </c>
      <c r="N31" s="28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</row>
    <row r="32" spans="1:26" ht="14.4">
      <c r="A32" s="28" t="s">
        <v>5948</v>
      </c>
      <c r="B32" s="28" t="s">
        <v>1379</v>
      </c>
      <c r="C32" s="28" t="s">
        <v>233</v>
      </c>
      <c r="D32" s="29" t="s">
        <v>298</v>
      </c>
      <c r="E32" s="29"/>
      <c r="F32" s="28" t="s">
        <v>6169</v>
      </c>
      <c r="G32" s="28"/>
      <c r="H32" s="28" t="s">
        <v>6170</v>
      </c>
      <c r="I32" s="28" t="s">
        <v>6171</v>
      </c>
      <c r="J32" s="28" t="s">
        <v>6172</v>
      </c>
      <c r="K32" s="28" t="s">
        <v>6170</v>
      </c>
      <c r="L32" s="28" t="s">
        <v>6174</v>
      </c>
      <c r="M32" s="28" t="s">
        <v>41</v>
      </c>
      <c r="N32" s="28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</row>
    <row r="33" spans="1:26" ht="14.4">
      <c r="A33" s="28" t="s">
        <v>5948</v>
      </c>
      <c r="B33" s="28" t="s">
        <v>1379</v>
      </c>
      <c r="C33" s="28" t="s">
        <v>233</v>
      </c>
      <c r="D33" s="29" t="s">
        <v>298</v>
      </c>
      <c r="E33" s="29"/>
      <c r="F33" s="28" t="s">
        <v>6178</v>
      </c>
      <c r="G33" s="28"/>
      <c r="H33" s="28" t="s">
        <v>6179</v>
      </c>
      <c r="I33" s="28" t="s">
        <v>1131</v>
      </c>
      <c r="J33" s="28" t="s">
        <v>6180</v>
      </c>
      <c r="K33" s="28" t="s">
        <v>6179</v>
      </c>
      <c r="L33" s="28" t="s">
        <v>6182</v>
      </c>
      <c r="M33" s="28" t="s">
        <v>41</v>
      </c>
      <c r="N33" s="28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</row>
    <row r="34" spans="1:26" ht="14.4">
      <c r="A34" s="28" t="s">
        <v>5948</v>
      </c>
      <c r="B34" s="28" t="s">
        <v>1379</v>
      </c>
      <c r="C34" s="28" t="s">
        <v>296</v>
      </c>
      <c r="D34" s="28" t="s">
        <v>954</v>
      </c>
      <c r="E34" s="28"/>
      <c r="F34" s="79" t="s">
        <v>6188</v>
      </c>
      <c r="G34" s="28"/>
      <c r="H34" s="28" t="s">
        <v>6190</v>
      </c>
      <c r="I34" s="28" t="s">
        <v>916</v>
      </c>
      <c r="J34" s="28" t="s">
        <v>6192</v>
      </c>
      <c r="K34" s="28"/>
      <c r="L34" s="28" t="s">
        <v>6194</v>
      </c>
      <c r="M34" s="28" t="s">
        <v>41</v>
      </c>
      <c r="N34" s="28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</row>
    <row r="35" spans="1:26" ht="14.4">
      <c r="A35" s="28" t="s">
        <v>5948</v>
      </c>
      <c r="B35" s="28" t="s">
        <v>1379</v>
      </c>
      <c r="C35" s="28" t="s">
        <v>287</v>
      </c>
      <c r="D35" s="28" t="s">
        <v>71</v>
      </c>
      <c r="E35" s="28"/>
      <c r="F35" s="28" t="s">
        <v>6198</v>
      </c>
      <c r="G35" s="28"/>
      <c r="H35" s="28" t="s">
        <v>6199</v>
      </c>
      <c r="I35" s="28" t="s">
        <v>6199</v>
      </c>
      <c r="J35" s="28" t="s">
        <v>6199</v>
      </c>
      <c r="K35" s="28" t="s">
        <v>6199</v>
      </c>
      <c r="L35" s="28" t="s">
        <v>6199</v>
      </c>
      <c r="M35" s="28" t="s">
        <v>41</v>
      </c>
      <c r="N35" s="28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</row>
    <row r="36" spans="1:26" ht="14.4">
      <c r="A36" s="28" t="s">
        <v>5948</v>
      </c>
      <c r="B36" s="28" t="s">
        <v>1379</v>
      </c>
      <c r="C36" s="28" t="s">
        <v>306</v>
      </c>
      <c r="D36" s="28" t="s">
        <v>341</v>
      </c>
      <c r="E36" s="28"/>
      <c r="F36" s="28" t="s">
        <v>6203</v>
      </c>
      <c r="G36" s="28"/>
      <c r="H36" s="28" t="s">
        <v>6205</v>
      </c>
      <c r="I36" s="28" t="s">
        <v>1131</v>
      </c>
      <c r="J36" s="28"/>
      <c r="K36" s="28" t="s">
        <v>6205</v>
      </c>
      <c r="L36" s="28" t="s">
        <v>6182</v>
      </c>
      <c r="M36" s="28" t="s">
        <v>41</v>
      </c>
      <c r="N36" s="28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</row>
    <row r="37" spans="1:26" ht="14.4">
      <c r="A37" s="28" t="s">
        <v>5948</v>
      </c>
      <c r="B37" s="28" t="s">
        <v>1379</v>
      </c>
      <c r="C37" s="28" t="s">
        <v>306</v>
      </c>
      <c r="D37" s="28" t="s">
        <v>341</v>
      </c>
      <c r="E37" s="28"/>
      <c r="F37" s="28" t="s">
        <v>6212</v>
      </c>
      <c r="G37" s="28"/>
      <c r="H37" s="28" t="s">
        <v>6213</v>
      </c>
      <c r="I37" s="28" t="s">
        <v>1804</v>
      </c>
      <c r="J37" s="28"/>
      <c r="K37" s="28" t="s">
        <v>6213</v>
      </c>
      <c r="L37" s="28" t="s">
        <v>6194</v>
      </c>
      <c r="M37" s="28" t="s">
        <v>41</v>
      </c>
      <c r="N37" s="28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</row>
    <row r="38" spans="1:26" ht="14.4">
      <c r="A38" s="28" t="s">
        <v>5948</v>
      </c>
      <c r="B38" s="28" t="s">
        <v>5962</v>
      </c>
      <c r="C38" s="28" t="s">
        <v>275</v>
      </c>
      <c r="D38" s="28" t="s">
        <v>543</v>
      </c>
      <c r="E38" s="28"/>
      <c r="F38" s="79" t="s">
        <v>6218</v>
      </c>
      <c r="G38" s="28"/>
      <c r="H38" s="28" t="s">
        <v>6219</v>
      </c>
      <c r="I38" s="28" t="s">
        <v>933</v>
      </c>
      <c r="J38" s="28" t="s">
        <v>6220</v>
      </c>
      <c r="K38" s="28" t="s">
        <v>6221</v>
      </c>
      <c r="L38" s="28" t="s">
        <v>6223</v>
      </c>
      <c r="M38" s="28" t="s">
        <v>41</v>
      </c>
      <c r="N38" s="28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spans="1:26" ht="14.4">
      <c r="A39" s="28" t="s">
        <v>5948</v>
      </c>
      <c r="B39" s="28" t="s">
        <v>5962</v>
      </c>
      <c r="C39" s="28" t="s">
        <v>85</v>
      </c>
      <c r="D39" s="29" t="s">
        <v>86</v>
      </c>
      <c r="E39" s="28"/>
      <c r="F39" s="28" t="s">
        <v>6228</v>
      </c>
      <c r="G39" s="28"/>
      <c r="H39" s="28" t="s">
        <v>6230</v>
      </c>
      <c r="I39" s="28" t="s">
        <v>887</v>
      </c>
      <c r="J39" s="28" t="s">
        <v>6231</v>
      </c>
      <c r="K39" s="28" t="s">
        <v>6233</v>
      </c>
      <c r="L39" s="28" t="s">
        <v>2149</v>
      </c>
      <c r="M39" s="28" t="s">
        <v>41</v>
      </c>
      <c r="N39" s="28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</row>
    <row r="40" spans="1:26" ht="14.4">
      <c r="A40" s="28" t="s">
        <v>5948</v>
      </c>
      <c r="B40" s="28" t="s">
        <v>5962</v>
      </c>
      <c r="C40" s="28" t="s">
        <v>85</v>
      </c>
      <c r="D40" s="29" t="s">
        <v>86</v>
      </c>
      <c r="E40" s="28"/>
      <c r="F40" s="28" t="s">
        <v>6236</v>
      </c>
      <c r="G40" s="28"/>
      <c r="H40" s="28" t="s">
        <v>6238</v>
      </c>
      <c r="I40" s="28" t="s">
        <v>6239</v>
      </c>
      <c r="J40" s="28" t="s">
        <v>6240</v>
      </c>
      <c r="K40" s="28" t="s">
        <v>6242</v>
      </c>
      <c r="L40" s="28" t="s">
        <v>2149</v>
      </c>
      <c r="M40" s="28" t="s">
        <v>41</v>
      </c>
      <c r="N40" s="28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</row>
    <row r="41" spans="1:26" ht="14.4">
      <c r="A41" s="28" t="s">
        <v>5948</v>
      </c>
      <c r="B41" s="28" t="s">
        <v>5962</v>
      </c>
      <c r="C41" s="28" t="s">
        <v>85</v>
      </c>
      <c r="D41" s="29" t="s">
        <v>86</v>
      </c>
      <c r="E41" s="28"/>
      <c r="F41" s="28" t="s">
        <v>6247</v>
      </c>
      <c r="G41" s="28"/>
      <c r="H41" s="28" t="s">
        <v>6249</v>
      </c>
      <c r="I41" s="28" t="s">
        <v>2790</v>
      </c>
      <c r="J41" s="28" t="s">
        <v>6250</v>
      </c>
      <c r="K41" s="28" t="s">
        <v>6251</v>
      </c>
      <c r="L41" s="28" t="s">
        <v>2149</v>
      </c>
      <c r="M41" s="28" t="s">
        <v>41</v>
      </c>
      <c r="N41" s="28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</row>
    <row r="42" spans="1:26" ht="14.4">
      <c r="A42" s="28" t="s">
        <v>5948</v>
      </c>
      <c r="B42" s="28" t="s">
        <v>5962</v>
      </c>
      <c r="C42" s="28" t="s">
        <v>85</v>
      </c>
      <c r="D42" s="29" t="s">
        <v>86</v>
      </c>
      <c r="E42" s="28"/>
      <c r="F42" s="28" t="s">
        <v>6252</v>
      </c>
      <c r="G42" s="28"/>
      <c r="H42" s="28" t="s">
        <v>6254</v>
      </c>
      <c r="I42" s="28" t="s">
        <v>5475</v>
      </c>
      <c r="J42" s="28" t="s">
        <v>6257</v>
      </c>
      <c r="K42" s="28" t="s">
        <v>6259</v>
      </c>
      <c r="L42" s="28" t="s">
        <v>6261</v>
      </c>
      <c r="M42" s="28" t="s">
        <v>41</v>
      </c>
      <c r="N42" s="28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</row>
    <row r="43" spans="1:26" ht="14.4">
      <c r="A43" s="28" t="s">
        <v>5948</v>
      </c>
      <c r="B43" s="28" t="s">
        <v>5962</v>
      </c>
      <c r="C43" s="28" t="s">
        <v>85</v>
      </c>
      <c r="D43" s="29" t="s">
        <v>86</v>
      </c>
      <c r="E43" s="28"/>
      <c r="F43" s="28" t="s">
        <v>6263</v>
      </c>
      <c r="G43" s="28"/>
      <c r="H43" s="28" t="s">
        <v>6265</v>
      </c>
      <c r="I43" s="28" t="s">
        <v>887</v>
      </c>
      <c r="J43" s="28" t="s">
        <v>6266</v>
      </c>
      <c r="K43" s="28" t="s">
        <v>6268</v>
      </c>
      <c r="L43" s="28" t="s">
        <v>2149</v>
      </c>
      <c r="M43" s="28" t="s">
        <v>41</v>
      </c>
      <c r="N43" s="28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</row>
    <row r="44" spans="1:26" ht="14.4">
      <c r="A44" s="28" t="s">
        <v>5948</v>
      </c>
      <c r="B44" s="28" t="s">
        <v>5962</v>
      </c>
      <c r="C44" s="28" t="s">
        <v>85</v>
      </c>
      <c r="D44" s="29" t="s">
        <v>86</v>
      </c>
      <c r="E44" s="28"/>
      <c r="F44" s="28" t="s">
        <v>6271</v>
      </c>
      <c r="G44" s="28"/>
      <c r="H44" s="28" t="s">
        <v>5974</v>
      </c>
      <c r="I44" s="28" t="s">
        <v>6273</v>
      </c>
      <c r="J44" s="28" t="s">
        <v>6274</v>
      </c>
      <c r="K44" s="28" t="s">
        <v>6275</v>
      </c>
      <c r="L44" s="28" t="s">
        <v>2149</v>
      </c>
      <c r="M44" s="28" t="s">
        <v>41</v>
      </c>
      <c r="N44" s="28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</row>
    <row r="45" spans="1:26" ht="14.4">
      <c r="A45" s="28" t="s">
        <v>5948</v>
      </c>
      <c r="B45" s="28" t="s">
        <v>5962</v>
      </c>
      <c r="C45" s="28" t="s">
        <v>85</v>
      </c>
      <c r="D45" s="29" t="s">
        <v>86</v>
      </c>
      <c r="E45" s="28"/>
      <c r="F45" s="28" t="s">
        <v>6280</v>
      </c>
      <c r="G45" s="28"/>
      <c r="H45" s="28" t="s">
        <v>5974</v>
      </c>
      <c r="I45" s="28" t="s">
        <v>6273</v>
      </c>
      <c r="J45" s="28" t="s">
        <v>6284</v>
      </c>
      <c r="K45" s="28" t="s">
        <v>5974</v>
      </c>
      <c r="L45" s="28" t="s">
        <v>2149</v>
      </c>
      <c r="M45" s="28" t="s">
        <v>41</v>
      </c>
      <c r="N45" s="28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</row>
    <row r="46" spans="1:26" ht="14.4">
      <c r="A46" s="28" t="s">
        <v>5948</v>
      </c>
      <c r="B46" s="28" t="s">
        <v>5962</v>
      </c>
      <c r="C46" s="28" t="s">
        <v>85</v>
      </c>
      <c r="D46" s="29" t="s">
        <v>86</v>
      </c>
      <c r="E46" s="28"/>
      <c r="F46" s="28" t="s">
        <v>6288</v>
      </c>
      <c r="G46" s="28"/>
      <c r="H46" s="28" t="s">
        <v>6289</v>
      </c>
      <c r="I46" s="28" t="s">
        <v>521</v>
      </c>
      <c r="J46" s="28" t="s">
        <v>6290</v>
      </c>
      <c r="K46" s="28" t="s">
        <v>6289</v>
      </c>
      <c r="L46" s="28" t="s">
        <v>2166</v>
      </c>
      <c r="M46" s="28" t="s">
        <v>41</v>
      </c>
      <c r="N46" s="28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</row>
    <row r="47" spans="1:26" ht="14.4">
      <c r="A47" s="28" t="s">
        <v>5948</v>
      </c>
      <c r="B47" s="28" t="s">
        <v>5962</v>
      </c>
      <c r="C47" s="28" t="s">
        <v>85</v>
      </c>
      <c r="D47" s="29" t="s">
        <v>86</v>
      </c>
      <c r="E47" s="28"/>
      <c r="F47" s="28" t="s">
        <v>6297</v>
      </c>
      <c r="G47" s="28"/>
      <c r="H47" s="28" t="s">
        <v>6249</v>
      </c>
      <c r="I47" s="28" t="s">
        <v>2790</v>
      </c>
      <c r="J47" s="28" t="s">
        <v>6299</v>
      </c>
      <c r="K47" s="28" t="s">
        <v>6300</v>
      </c>
      <c r="L47" s="28" t="s">
        <v>2149</v>
      </c>
      <c r="M47" s="28" t="s">
        <v>41</v>
      </c>
      <c r="N47" s="28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</row>
    <row r="48" spans="1:26" ht="14.4">
      <c r="A48" s="28" t="s">
        <v>5948</v>
      </c>
      <c r="B48" s="28" t="s">
        <v>5962</v>
      </c>
      <c r="C48" s="28" t="s">
        <v>85</v>
      </c>
      <c r="D48" s="29" t="s">
        <v>86</v>
      </c>
      <c r="E48" s="28"/>
      <c r="F48" s="28" t="s">
        <v>6307</v>
      </c>
      <c r="G48" s="28"/>
      <c r="H48" s="28" t="s">
        <v>6308</v>
      </c>
      <c r="I48" s="28" t="s">
        <v>933</v>
      </c>
      <c r="J48" s="28" t="s">
        <v>6309</v>
      </c>
      <c r="K48" s="28" t="s">
        <v>6308</v>
      </c>
      <c r="L48" s="28" t="s">
        <v>4504</v>
      </c>
      <c r="M48" s="28" t="s">
        <v>41</v>
      </c>
      <c r="N48" s="28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</row>
    <row r="49" spans="1:26" ht="14.4">
      <c r="A49" s="28" t="s">
        <v>5948</v>
      </c>
      <c r="B49" s="28" t="s">
        <v>5962</v>
      </c>
      <c r="C49" s="28" t="s">
        <v>85</v>
      </c>
      <c r="D49" s="29" t="s">
        <v>86</v>
      </c>
      <c r="E49" s="28"/>
      <c r="F49" s="28" t="s">
        <v>6314</v>
      </c>
      <c r="G49" s="28"/>
      <c r="H49" s="28" t="s">
        <v>6316</v>
      </c>
      <c r="I49" s="28" t="s">
        <v>6318</v>
      </c>
      <c r="J49" s="28" t="s">
        <v>6320</v>
      </c>
      <c r="K49" s="28" t="s">
        <v>6316</v>
      </c>
      <c r="L49" s="28" t="s">
        <v>989</v>
      </c>
      <c r="M49" s="28" t="s">
        <v>41</v>
      </c>
      <c r="N49" s="28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</row>
    <row r="50" spans="1:26" ht="14.4">
      <c r="A50" s="28" t="s">
        <v>5948</v>
      </c>
      <c r="B50" s="28" t="s">
        <v>5962</v>
      </c>
      <c r="C50" s="28" t="s">
        <v>85</v>
      </c>
      <c r="D50" s="29" t="s">
        <v>86</v>
      </c>
      <c r="E50" s="28"/>
      <c r="F50" s="28" t="s">
        <v>6327</v>
      </c>
      <c r="G50" s="28"/>
      <c r="H50" s="28" t="s">
        <v>6329</v>
      </c>
      <c r="I50" s="28" t="s">
        <v>6331</v>
      </c>
      <c r="J50" s="28" t="s">
        <v>6333</v>
      </c>
      <c r="K50" s="28" t="s">
        <v>6335</v>
      </c>
      <c r="L50" s="28" t="s">
        <v>6338</v>
      </c>
      <c r="M50" s="28" t="s">
        <v>41</v>
      </c>
      <c r="N50" s="28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</row>
    <row r="51" spans="1:26" ht="14.4">
      <c r="A51" s="28" t="s">
        <v>5948</v>
      </c>
      <c r="B51" s="28" t="s">
        <v>5962</v>
      </c>
      <c r="C51" s="28" t="s">
        <v>85</v>
      </c>
      <c r="D51" s="29" t="s">
        <v>86</v>
      </c>
      <c r="E51" s="28"/>
      <c r="F51" s="28" t="s">
        <v>6346</v>
      </c>
      <c r="G51" s="28"/>
      <c r="H51" s="28" t="s">
        <v>6348</v>
      </c>
      <c r="I51" s="28" t="s">
        <v>6349</v>
      </c>
      <c r="J51" s="28" t="s">
        <v>6350</v>
      </c>
      <c r="K51" s="28" t="s">
        <v>6351</v>
      </c>
      <c r="L51" s="28"/>
      <c r="M51" s="28" t="s">
        <v>41</v>
      </c>
      <c r="N51" s="28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</row>
    <row r="52" spans="1:26" ht="14.4">
      <c r="A52" s="28" t="s">
        <v>5948</v>
      </c>
      <c r="B52" s="28" t="s">
        <v>5962</v>
      </c>
      <c r="C52" s="28" t="s">
        <v>85</v>
      </c>
      <c r="D52" s="29" t="s">
        <v>86</v>
      </c>
      <c r="E52" s="28"/>
      <c r="F52" s="28" t="s">
        <v>6360</v>
      </c>
      <c r="G52" s="28"/>
      <c r="H52" s="28" t="s">
        <v>6316</v>
      </c>
      <c r="I52" s="28" t="s">
        <v>6318</v>
      </c>
      <c r="J52" s="28" t="s">
        <v>6362</v>
      </c>
      <c r="K52" s="28" t="s">
        <v>6363</v>
      </c>
      <c r="L52" s="28" t="s">
        <v>989</v>
      </c>
      <c r="M52" s="28" t="s">
        <v>41</v>
      </c>
      <c r="N52" s="28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</row>
    <row r="53" spans="1:26" ht="14.4">
      <c r="A53" s="28" t="s">
        <v>5948</v>
      </c>
      <c r="B53" s="28" t="s">
        <v>5962</v>
      </c>
      <c r="C53" s="28" t="s">
        <v>85</v>
      </c>
      <c r="D53" s="29" t="s">
        <v>86</v>
      </c>
      <c r="E53" s="28"/>
      <c r="F53" s="28" t="s">
        <v>6373</v>
      </c>
      <c r="G53" s="28"/>
      <c r="H53" s="28" t="s">
        <v>6308</v>
      </c>
      <c r="I53" s="28" t="s">
        <v>933</v>
      </c>
      <c r="J53" s="28" t="s">
        <v>6374</v>
      </c>
      <c r="K53" s="28" t="s">
        <v>6230</v>
      </c>
      <c r="L53" s="28" t="s">
        <v>4504</v>
      </c>
      <c r="M53" s="28" t="s">
        <v>41</v>
      </c>
      <c r="N53" s="28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</row>
    <row r="54" spans="1:26" ht="14.4">
      <c r="A54" s="28" t="s">
        <v>5948</v>
      </c>
      <c r="B54" s="28" t="s">
        <v>5962</v>
      </c>
      <c r="C54" s="28" t="s">
        <v>85</v>
      </c>
      <c r="D54" s="29" t="s">
        <v>86</v>
      </c>
      <c r="E54" s="28"/>
      <c r="F54" s="28" t="s">
        <v>6379</v>
      </c>
      <c r="G54" s="28"/>
      <c r="H54" s="28" t="s">
        <v>6249</v>
      </c>
      <c r="I54" s="28" t="s">
        <v>2790</v>
      </c>
      <c r="J54" s="28" t="s">
        <v>6381</v>
      </c>
      <c r="K54" s="28" t="s">
        <v>6382</v>
      </c>
      <c r="L54" s="28" t="s">
        <v>2149</v>
      </c>
      <c r="M54" s="28" t="s">
        <v>41</v>
      </c>
      <c r="N54" s="28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</row>
    <row r="55" spans="1:26" ht="14.4">
      <c r="A55" s="28" t="s">
        <v>5948</v>
      </c>
      <c r="B55" s="28" t="s">
        <v>5962</v>
      </c>
      <c r="C55" s="28" t="s">
        <v>233</v>
      </c>
      <c r="D55" s="29" t="s">
        <v>298</v>
      </c>
      <c r="E55" s="29"/>
      <c r="F55" s="28" t="s">
        <v>6386</v>
      </c>
      <c r="G55" s="28"/>
      <c r="H55" s="28" t="s">
        <v>6254</v>
      </c>
      <c r="I55" s="28" t="s">
        <v>5475</v>
      </c>
      <c r="J55" s="28" t="s">
        <v>6388</v>
      </c>
      <c r="K55" s="28" t="s">
        <v>6254</v>
      </c>
      <c r="L55" s="28" t="s">
        <v>6261</v>
      </c>
      <c r="M55" s="28" t="s">
        <v>41</v>
      </c>
      <c r="N55" s="28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</row>
    <row r="56" spans="1:26" ht="14.4">
      <c r="A56" s="28" t="s">
        <v>5948</v>
      </c>
      <c r="B56" s="28" t="s">
        <v>5962</v>
      </c>
      <c r="C56" s="28" t="s">
        <v>233</v>
      </c>
      <c r="D56" s="29" t="s">
        <v>298</v>
      </c>
      <c r="E56" s="29"/>
      <c r="F56" s="28" t="s">
        <v>6389</v>
      </c>
      <c r="G56" s="28"/>
      <c r="H56" s="28" t="s">
        <v>6390</v>
      </c>
      <c r="I56" s="28" t="s">
        <v>6331</v>
      </c>
      <c r="J56" s="28" t="s">
        <v>6391</v>
      </c>
      <c r="K56" s="28" t="s">
        <v>6390</v>
      </c>
      <c r="L56" s="28" t="s">
        <v>6338</v>
      </c>
      <c r="M56" s="28" t="s">
        <v>41</v>
      </c>
      <c r="N56" s="28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</row>
    <row r="57" spans="1:26" ht="14.4">
      <c r="A57" s="28" t="s">
        <v>5948</v>
      </c>
      <c r="B57" s="28" t="s">
        <v>5962</v>
      </c>
      <c r="C57" s="28" t="s">
        <v>233</v>
      </c>
      <c r="D57" s="29" t="s">
        <v>298</v>
      </c>
      <c r="E57" s="29"/>
      <c r="F57" s="28" t="s">
        <v>6399</v>
      </c>
      <c r="G57" s="28"/>
      <c r="H57" s="28" t="s">
        <v>6219</v>
      </c>
      <c r="I57" s="28" t="s">
        <v>933</v>
      </c>
      <c r="J57" s="28" t="s">
        <v>6400</v>
      </c>
      <c r="K57" s="28" t="s">
        <v>6401</v>
      </c>
      <c r="L57" s="28" t="s">
        <v>6223</v>
      </c>
      <c r="M57" s="28" t="s">
        <v>41</v>
      </c>
      <c r="N57" s="28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</row>
    <row r="58" spans="1:26" ht="14.4">
      <c r="A58" s="28" t="s">
        <v>5948</v>
      </c>
      <c r="B58" s="28" t="s">
        <v>5962</v>
      </c>
      <c r="C58" s="28" t="s">
        <v>233</v>
      </c>
      <c r="D58" s="29" t="s">
        <v>298</v>
      </c>
      <c r="E58" s="29"/>
      <c r="F58" s="28" t="s">
        <v>6410</v>
      </c>
      <c r="G58" s="28"/>
      <c r="H58" s="28" t="s">
        <v>6411</v>
      </c>
      <c r="I58" s="28" t="s">
        <v>6349</v>
      </c>
      <c r="J58" s="28" t="s">
        <v>6412</v>
      </c>
      <c r="K58" s="28" t="s">
        <v>6411</v>
      </c>
      <c r="L58" s="28" t="s">
        <v>2166</v>
      </c>
      <c r="M58" s="28" t="s">
        <v>41</v>
      </c>
      <c r="N58" s="28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</row>
    <row r="59" spans="1:26" ht="14.4">
      <c r="A59" s="28" t="s">
        <v>5948</v>
      </c>
      <c r="B59" s="28" t="s">
        <v>5962</v>
      </c>
      <c r="C59" s="28" t="s">
        <v>220</v>
      </c>
      <c r="D59" s="29" t="s">
        <v>234</v>
      </c>
      <c r="E59" s="29"/>
      <c r="F59" s="28" t="s">
        <v>6420</v>
      </c>
      <c r="G59" s="28"/>
      <c r="H59" s="28" t="s">
        <v>6421</v>
      </c>
      <c r="I59" s="28" t="s">
        <v>6422</v>
      </c>
      <c r="J59" s="28" t="s">
        <v>6423</v>
      </c>
      <c r="K59" s="28" t="s">
        <v>6425</v>
      </c>
      <c r="L59" s="28" t="s">
        <v>6427</v>
      </c>
      <c r="M59" s="28" t="s">
        <v>41</v>
      </c>
      <c r="N59" s="28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</row>
    <row r="60" spans="1:26" ht="14.4">
      <c r="A60" s="28" t="s">
        <v>5948</v>
      </c>
      <c r="B60" s="28" t="s">
        <v>5962</v>
      </c>
      <c r="C60" s="28" t="s">
        <v>220</v>
      </c>
      <c r="D60" s="29" t="s">
        <v>234</v>
      </c>
      <c r="E60" s="29"/>
      <c r="F60" s="28" t="s">
        <v>6430</v>
      </c>
      <c r="G60" s="28"/>
      <c r="H60" s="28" t="s">
        <v>6431</v>
      </c>
      <c r="I60" s="28" t="s">
        <v>6433</v>
      </c>
      <c r="J60" s="28" t="s">
        <v>6435</v>
      </c>
      <c r="K60" s="28" t="s">
        <v>6437</v>
      </c>
      <c r="L60" s="28" t="s">
        <v>2149</v>
      </c>
      <c r="M60" s="28" t="s">
        <v>41</v>
      </c>
      <c r="N60" s="28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</row>
    <row r="61" spans="1:26" ht="14.4">
      <c r="A61" s="28" t="s">
        <v>5948</v>
      </c>
      <c r="B61" s="28" t="s">
        <v>5962</v>
      </c>
      <c r="C61" s="28" t="s">
        <v>220</v>
      </c>
      <c r="D61" s="29" t="s">
        <v>234</v>
      </c>
      <c r="E61" s="29"/>
      <c r="F61" s="28" t="s">
        <v>6442</v>
      </c>
      <c r="G61" s="28"/>
      <c r="H61" s="28" t="s">
        <v>6444</v>
      </c>
      <c r="I61" s="28" t="s">
        <v>2790</v>
      </c>
      <c r="J61" s="28" t="s">
        <v>6446</v>
      </c>
      <c r="K61" s="28" t="s">
        <v>6448</v>
      </c>
      <c r="L61" s="28" t="s">
        <v>2149</v>
      </c>
      <c r="M61" s="28" t="s">
        <v>41</v>
      </c>
      <c r="N61" s="28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</row>
    <row r="62" spans="1:26" ht="14.4">
      <c r="A62" s="28" t="s">
        <v>5948</v>
      </c>
      <c r="B62" s="28" t="s">
        <v>5962</v>
      </c>
      <c r="C62" s="28" t="s">
        <v>220</v>
      </c>
      <c r="D62" s="29" t="s">
        <v>234</v>
      </c>
      <c r="E62" s="29"/>
      <c r="F62" s="28" t="s">
        <v>6453</v>
      </c>
      <c r="G62" s="28"/>
      <c r="H62" s="28" t="s">
        <v>6455</v>
      </c>
      <c r="I62" s="28" t="s">
        <v>2400</v>
      </c>
      <c r="J62" s="28" t="s">
        <v>6459</v>
      </c>
      <c r="K62" s="28" t="s">
        <v>6461</v>
      </c>
      <c r="L62" s="28" t="s">
        <v>6462</v>
      </c>
      <c r="M62" s="28" t="s">
        <v>41</v>
      </c>
      <c r="N62" s="28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</row>
    <row r="63" spans="1:26" ht="14.4">
      <c r="A63" s="28" t="s">
        <v>5948</v>
      </c>
      <c r="B63" s="28" t="s">
        <v>5962</v>
      </c>
      <c r="C63" s="28" t="s">
        <v>220</v>
      </c>
      <c r="D63" s="29" t="s">
        <v>234</v>
      </c>
      <c r="E63" s="29"/>
      <c r="F63" s="28" t="s">
        <v>6467</v>
      </c>
      <c r="G63" s="28"/>
      <c r="H63" s="28" t="s">
        <v>6219</v>
      </c>
      <c r="I63" s="28" t="s">
        <v>933</v>
      </c>
      <c r="J63" s="28" t="s">
        <v>6468</v>
      </c>
      <c r="K63" s="28" t="s">
        <v>6469</v>
      </c>
      <c r="L63" s="28" t="s">
        <v>6223</v>
      </c>
      <c r="M63" s="28" t="s">
        <v>41</v>
      </c>
      <c r="N63" s="28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</row>
    <row r="64" spans="1:26" ht="14.4">
      <c r="A64" s="28" t="s">
        <v>5948</v>
      </c>
      <c r="B64" s="28" t="s">
        <v>5962</v>
      </c>
      <c r="C64" s="28" t="s">
        <v>296</v>
      </c>
      <c r="D64" s="28" t="s">
        <v>954</v>
      </c>
      <c r="E64" s="28"/>
      <c r="F64" s="79" t="s">
        <v>6476</v>
      </c>
      <c r="G64" s="28"/>
      <c r="H64" s="28" t="s">
        <v>6190</v>
      </c>
      <c r="I64" s="28" t="s">
        <v>916</v>
      </c>
      <c r="J64" s="28" t="s">
        <v>6192</v>
      </c>
      <c r="K64" s="28"/>
      <c r="L64" s="28" t="s">
        <v>6479</v>
      </c>
      <c r="M64" s="28" t="s">
        <v>41</v>
      </c>
      <c r="N64" s="28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</row>
    <row r="65" spans="1:26" ht="14.4">
      <c r="A65" s="28" t="s">
        <v>5948</v>
      </c>
      <c r="B65" s="28" t="s">
        <v>6484</v>
      </c>
      <c r="C65" s="28" t="s">
        <v>275</v>
      </c>
      <c r="D65" s="28" t="s">
        <v>543</v>
      </c>
      <c r="E65" s="28"/>
      <c r="F65" s="79" t="s">
        <v>6487</v>
      </c>
      <c r="G65" s="28" t="s">
        <v>6489</v>
      </c>
      <c r="H65" s="28" t="s">
        <v>6490</v>
      </c>
      <c r="I65" s="28" t="s">
        <v>6492</v>
      </c>
      <c r="J65" s="28" t="s">
        <v>6493</v>
      </c>
      <c r="K65" s="28" t="s">
        <v>6490</v>
      </c>
      <c r="L65" s="28" t="s">
        <v>592</v>
      </c>
      <c r="M65" s="28" t="s">
        <v>41</v>
      </c>
      <c r="N65" s="28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4.4">
      <c r="A66" s="28" t="s">
        <v>5948</v>
      </c>
      <c r="B66" s="28" t="s">
        <v>6484</v>
      </c>
      <c r="C66" s="28" t="s">
        <v>85</v>
      </c>
      <c r="D66" s="29" t="s">
        <v>86</v>
      </c>
      <c r="E66" s="28"/>
      <c r="F66" s="28" t="s">
        <v>6500</v>
      </c>
      <c r="G66" s="28"/>
      <c r="H66" s="28" t="s">
        <v>6502</v>
      </c>
      <c r="I66" s="28" t="s">
        <v>6503</v>
      </c>
      <c r="J66" s="28" t="s">
        <v>6504</v>
      </c>
      <c r="K66" s="28" t="s">
        <v>6502</v>
      </c>
      <c r="L66" s="28" t="s">
        <v>989</v>
      </c>
      <c r="M66" s="28" t="s">
        <v>41</v>
      </c>
      <c r="N66" s="28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</row>
    <row r="67" spans="1:26" ht="14.4">
      <c r="A67" s="28" t="s">
        <v>5948</v>
      </c>
      <c r="B67" s="28" t="s">
        <v>6484</v>
      </c>
      <c r="C67" s="28" t="s">
        <v>85</v>
      </c>
      <c r="D67" s="29" t="s">
        <v>86</v>
      </c>
      <c r="E67" s="28"/>
      <c r="F67" s="28" t="s">
        <v>6508</v>
      </c>
      <c r="G67" s="28"/>
      <c r="H67" s="28" t="s">
        <v>6511</v>
      </c>
      <c r="I67" s="28" t="s">
        <v>6343</v>
      </c>
      <c r="J67" s="28" t="s">
        <v>6514</v>
      </c>
      <c r="K67" s="28" t="s">
        <v>6511</v>
      </c>
      <c r="L67" s="28" t="s">
        <v>989</v>
      </c>
      <c r="M67" s="28" t="s">
        <v>41</v>
      </c>
      <c r="N67" s="28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</row>
    <row r="68" spans="1:26" ht="14.4">
      <c r="A68" s="28" t="s">
        <v>5948</v>
      </c>
      <c r="B68" s="28" t="s">
        <v>6484</v>
      </c>
      <c r="C68" s="28" t="s">
        <v>85</v>
      </c>
      <c r="D68" s="29" t="s">
        <v>86</v>
      </c>
      <c r="E68" s="28"/>
      <c r="F68" s="28" t="s">
        <v>6520</v>
      </c>
      <c r="G68" s="28"/>
      <c r="H68" s="28" t="s">
        <v>6522</v>
      </c>
      <c r="I68" s="28" t="s">
        <v>6524</v>
      </c>
      <c r="J68" s="28" t="s">
        <v>6525</v>
      </c>
      <c r="K68" s="28" t="s">
        <v>6522</v>
      </c>
      <c r="L68" s="28" t="s">
        <v>989</v>
      </c>
      <c r="M68" s="28" t="s">
        <v>41</v>
      </c>
      <c r="N68" s="28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</row>
    <row r="69" spans="1:26" ht="14.4">
      <c r="A69" s="28" t="s">
        <v>5948</v>
      </c>
      <c r="B69" s="28" t="s">
        <v>6484</v>
      </c>
      <c r="C69" s="28" t="s">
        <v>85</v>
      </c>
      <c r="D69" s="29" t="s">
        <v>86</v>
      </c>
      <c r="E69" s="28"/>
      <c r="F69" s="28" t="s">
        <v>6529</v>
      </c>
      <c r="G69" s="28"/>
      <c r="H69" s="28" t="s">
        <v>6530</v>
      </c>
      <c r="I69" s="28" t="s">
        <v>521</v>
      </c>
      <c r="J69" s="28" t="s">
        <v>6532</v>
      </c>
      <c r="K69" s="28" t="s">
        <v>6530</v>
      </c>
      <c r="L69" s="28" t="s">
        <v>2149</v>
      </c>
      <c r="M69" s="28" t="s">
        <v>41</v>
      </c>
      <c r="N69" s="28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</row>
    <row r="70" spans="1:26" ht="14.4">
      <c r="A70" s="28" t="s">
        <v>5948</v>
      </c>
      <c r="B70" s="28" t="s">
        <v>6484</v>
      </c>
      <c r="C70" s="28" t="s">
        <v>85</v>
      </c>
      <c r="D70" s="29" t="s">
        <v>86</v>
      </c>
      <c r="E70" s="28"/>
      <c r="F70" s="28" t="s">
        <v>6540</v>
      </c>
      <c r="G70" s="28"/>
      <c r="H70" s="28" t="s">
        <v>6541</v>
      </c>
      <c r="I70" s="28" t="s">
        <v>887</v>
      </c>
      <c r="J70" s="28" t="s">
        <v>6542</v>
      </c>
      <c r="K70" s="28" t="s">
        <v>6541</v>
      </c>
      <c r="L70" s="28" t="s">
        <v>2149</v>
      </c>
      <c r="M70" s="28" t="s">
        <v>41</v>
      </c>
      <c r="N70" s="28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</row>
    <row r="71" spans="1:26" ht="14.4">
      <c r="A71" s="28" t="s">
        <v>5948</v>
      </c>
      <c r="B71" s="28" t="s">
        <v>6484</v>
      </c>
      <c r="C71" s="28" t="s">
        <v>85</v>
      </c>
      <c r="D71" s="29" t="s">
        <v>86</v>
      </c>
      <c r="E71" s="28"/>
      <c r="F71" s="28" t="s">
        <v>6555</v>
      </c>
      <c r="G71" s="28"/>
      <c r="H71" s="28" t="s">
        <v>6556</v>
      </c>
      <c r="I71" s="28" t="s">
        <v>6558</v>
      </c>
      <c r="J71" s="28" t="s">
        <v>6559</v>
      </c>
      <c r="K71" s="28" t="s">
        <v>6556</v>
      </c>
      <c r="L71" s="28" t="s">
        <v>2149</v>
      </c>
      <c r="M71" s="28" t="s">
        <v>41</v>
      </c>
      <c r="N71" s="28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</row>
    <row r="72" spans="1:26" ht="14.4">
      <c r="A72" s="28" t="s">
        <v>5948</v>
      </c>
      <c r="B72" s="28" t="s">
        <v>6484</v>
      </c>
      <c r="C72" s="28" t="s">
        <v>85</v>
      </c>
      <c r="D72" s="29" t="s">
        <v>86</v>
      </c>
      <c r="E72" s="28"/>
      <c r="F72" s="28" t="s">
        <v>6566</v>
      </c>
      <c r="G72" s="28"/>
      <c r="H72" s="28" t="s">
        <v>6569</v>
      </c>
      <c r="I72" s="28" t="s">
        <v>898</v>
      </c>
      <c r="J72" s="28" t="s">
        <v>6571</v>
      </c>
      <c r="K72" s="28" t="s">
        <v>6569</v>
      </c>
      <c r="L72" s="28" t="s">
        <v>2149</v>
      </c>
      <c r="M72" s="28" t="s">
        <v>41</v>
      </c>
      <c r="N72" s="28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</row>
    <row r="73" spans="1:26" ht="14.4">
      <c r="A73" s="28" t="s">
        <v>5948</v>
      </c>
      <c r="B73" s="28" t="s">
        <v>6484</v>
      </c>
      <c r="C73" s="28" t="s">
        <v>85</v>
      </c>
      <c r="D73" s="29" t="s">
        <v>86</v>
      </c>
      <c r="E73" s="28"/>
      <c r="F73" s="28" t="s">
        <v>6579</v>
      </c>
      <c r="G73" s="28"/>
      <c r="H73" s="28" t="s">
        <v>6580</v>
      </c>
      <c r="I73" s="28" t="s">
        <v>6583</v>
      </c>
      <c r="J73" s="28" t="s">
        <v>6585</v>
      </c>
      <c r="K73" s="28" t="s">
        <v>6580</v>
      </c>
      <c r="L73" s="28" t="s">
        <v>2149</v>
      </c>
      <c r="M73" s="28" t="s">
        <v>41</v>
      </c>
      <c r="N73" s="28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</row>
    <row r="74" spans="1:26" ht="14.4">
      <c r="A74" s="28" t="s">
        <v>5948</v>
      </c>
      <c r="B74" s="28" t="s">
        <v>6484</v>
      </c>
      <c r="C74" s="28" t="s">
        <v>85</v>
      </c>
      <c r="D74" s="29" t="s">
        <v>86</v>
      </c>
      <c r="E74" s="28"/>
      <c r="F74" s="28" t="s">
        <v>6592</v>
      </c>
      <c r="G74" s="28"/>
      <c r="H74" s="28" t="s">
        <v>6593</v>
      </c>
      <c r="I74" s="28" t="s">
        <v>6595</v>
      </c>
      <c r="J74" s="28" t="s">
        <v>6597</v>
      </c>
      <c r="K74" s="28" t="s">
        <v>6593</v>
      </c>
      <c r="L74" s="28" t="s">
        <v>989</v>
      </c>
      <c r="M74" s="28" t="s">
        <v>41</v>
      </c>
      <c r="N74" s="28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</row>
    <row r="75" spans="1:26" ht="14.4">
      <c r="A75" s="28" t="s">
        <v>5948</v>
      </c>
      <c r="B75" s="28" t="s">
        <v>6484</v>
      </c>
      <c r="C75" s="28" t="s">
        <v>85</v>
      </c>
      <c r="D75" s="29" t="s">
        <v>86</v>
      </c>
      <c r="E75" s="28"/>
      <c r="F75" s="28" t="s">
        <v>6600</v>
      </c>
      <c r="G75" s="28"/>
      <c r="H75" s="28" t="s">
        <v>6602</v>
      </c>
      <c r="I75" s="28" t="s">
        <v>6604</v>
      </c>
      <c r="J75" s="28" t="s">
        <v>6606</v>
      </c>
      <c r="K75" s="28" t="s">
        <v>6602</v>
      </c>
      <c r="L75" s="28" t="s">
        <v>2149</v>
      </c>
      <c r="M75" s="28" t="s">
        <v>41</v>
      </c>
      <c r="N75" s="28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</row>
    <row r="76" spans="1:26" ht="14.4">
      <c r="A76" s="28" t="s">
        <v>5948</v>
      </c>
      <c r="B76" s="28" t="s">
        <v>6484</v>
      </c>
      <c r="C76" s="28" t="s">
        <v>85</v>
      </c>
      <c r="D76" s="29" t="s">
        <v>86</v>
      </c>
      <c r="E76" s="28"/>
      <c r="F76" s="28" t="s">
        <v>6612</v>
      </c>
      <c r="G76" s="28"/>
      <c r="H76" s="28" t="s">
        <v>6615</v>
      </c>
      <c r="I76" s="28" t="s">
        <v>6617</v>
      </c>
      <c r="J76" s="28" t="s">
        <v>6619</v>
      </c>
      <c r="K76" s="28" t="s">
        <v>6615</v>
      </c>
      <c r="L76" s="28" t="s">
        <v>2166</v>
      </c>
      <c r="M76" s="28" t="s">
        <v>41</v>
      </c>
      <c r="N76" s="28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</row>
    <row r="77" spans="1:26" ht="14.4">
      <c r="A77" s="28" t="s">
        <v>5948</v>
      </c>
      <c r="B77" s="28" t="s">
        <v>6484</v>
      </c>
      <c r="C77" s="28" t="s">
        <v>85</v>
      </c>
      <c r="D77" s="29" t="s">
        <v>86</v>
      </c>
      <c r="E77" s="28"/>
      <c r="F77" s="28" t="s">
        <v>6625</v>
      </c>
      <c r="G77" s="28"/>
      <c r="H77" s="28" t="s">
        <v>6628</v>
      </c>
      <c r="I77" s="28" t="s">
        <v>887</v>
      </c>
      <c r="J77" s="28" t="s">
        <v>6629</v>
      </c>
      <c r="K77" s="28" t="s">
        <v>6628</v>
      </c>
      <c r="L77" s="28" t="s">
        <v>2149</v>
      </c>
      <c r="M77" s="28" t="s">
        <v>41</v>
      </c>
      <c r="N77" s="28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</row>
    <row r="78" spans="1:26" ht="14.4">
      <c r="A78" s="28" t="s">
        <v>5948</v>
      </c>
      <c r="B78" s="28" t="s">
        <v>6484</v>
      </c>
      <c r="C78" s="28" t="s">
        <v>85</v>
      </c>
      <c r="D78" s="29" t="s">
        <v>86</v>
      </c>
      <c r="E78" s="28"/>
      <c r="F78" s="28" t="s">
        <v>6640</v>
      </c>
      <c r="G78" s="28"/>
      <c r="H78" s="28" t="s">
        <v>6642</v>
      </c>
      <c r="I78" s="28" t="s">
        <v>4416</v>
      </c>
      <c r="J78" s="28" t="s">
        <v>6643</v>
      </c>
      <c r="K78" s="28" t="s">
        <v>6642</v>
      </c>
      <c r="L78" s="28" t="s">
        <v>2149</v>
      </c>
      <c r="M78" s="28" t="s">
        <v>41</v>
      </c>
      <c r="N78" s="28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</row>
    <row r="79" spans="1:26" ht="14.4">
      <c r="A79" s="28" t="s">
        <v>5948</v>
      </c>
      <c r="B79" s="28" t="s">
        <v>6484</v>
      </c>
      <c r="C79" s="28" t="s">
        <v>85</v>
      </c>
      <c r="D79" s="29" t="s">
        <v>86</v>
      </c>
      <c r="E79" s="28"/>
      <c r="F79" s="28" t="s">
        <v>6653</v>
      </c>
      <c r="G79" s="28"/>
      <c r="H79" s="28" t="s">
        <v>6654</v>
      </c>
      <c r="I79" s="28" t="s">
        <v>521</v>
      </c>
      <c r="J79" s="28" t="s">
        <v>6655</v>
      </c>
      <c r="K79" s="28" t="s">
        <v>6654</v>
      </c>
      <c r="L79" s="28" t="s">
        <v>989</v>
      </c>
      <c r="M79" s="28" t="s">
        <v>41</v>
      </c>
      <c r="N79" s="28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</row>
    <row r="80" spans="1:26" ht="14.4">
      <c r="A80" s="28" t="s">
        <v>5948</v>
      </c>
      <c r="B80" s="28" t="s">
        <v>6484</v>
      </c>
      <c r="C80" s="28" t="s">
        <v>85</v>
      </c>
      <c r="D80" s="29" t="s">
        <v>86</v>
      </c>
      <c r="E80" s="28"/>
      <c r="F80" s="28" t="s">
        <v>6665</v>
      </c>
      <c r="G80" s="28"/>
      <c r="H80" s="28" t="s">
        <v>6666</v>
      </c>
      <c r="I80" s="28" t="s">
        <v>6668</v>
      </c>
      <c r="J80" s="28" t="s">
        <v>6670</v>
      </c>
      <c r="K80" s="28" t="s">
        <v>6666</v>
      </c>
      <c r="L80" s="28" t="s">
        <v>5333</v>
      </c>
      <c r="M80" s="28" t="s">
        <v>41</v>
      </c>
      <c r="N80" s="28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</row>
    <row r="81" spans="1:26" ht="14.4">
      <c r="A81" s="28" t="s">
        <v>5948</v>
      </c>
      <c r="B81" s="28" t="s">
        <v>6484</v>
      </c>
      <c r="C81" s="28" t="s">
        <v>85</v>
      </c>
      <c r="D81" s="29" t="s">
        <v>86</v>
      </c>
      <c r="E81" s="28"/>
      <c r="F81" s="28" t="s">
        <v>6675</v>
      </c>
      <c r="G81" s="28"/>
      <c r="H81" s="28" t="s">
        <v>6677</v>
      </c>
      <c r="I81" s="28" t="s">
        <v>898</v>
      </c>
      <c r="J81" s="28" t="s">
        <v>6680</v>
      </c>
      <c r="K81" s="28" t="s">
        <v>6677</v>
      </c>
      <c r="L81" s="28" t="s">
        <v>2149</v>
      </c>
      <c r="M81" s="28" t="s">
        <v>41</v>
      </c>
      <c r="N81" s="28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</row>
    <row r="82" spans="1:26" ht="14.4">
      <c r="A82" s="28" t="s">
        <v>5948</v>
      </c>
      <c r="B82" s="28" t="s">
        <v>6484</v>
      </c>
      <c r="C82" s="28" t="s">
        <v>233</v>
      </c>
      <c r="D82" s="29" t="s">
        <v>298</v>
      </c>
      <c r="E82" s="29"/>
      <c r="F82" s="28" t="s">
        <v>6687</v>
      </c>
      <c r="G82" s="28"/>
      <c r="H82" s="28" t="s">
        <v>6490</v>
      </c>
      <c r="I82" s="28" t="s">
        <v>6690</v>
      </c>
      <c r="J82" s="28" t="s">
        <v>6692</v>
      </c>
      <c r="K82" s="28" t="s">
        <v>6490</v>
      </c>
      <c r="L82" s="28" t="s">
        <v>592</v>
      </c>
      <c r="M82" s="28" t="s">
        <v>41</v>
      </c>
      <c r="N82" s="28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</row>
    <row r="83" spans="1:26" ht="14.4">
      <c r="A83" s="28" t="s">
        <v>5948</v>
      </c>
      <c r="B83" s="28" t="s">
        <v>6484</v>
      </c>
      <c r="C83" s="28" t="s">
        <v>233</v>
      </c>
      <c r="D83" s="29" t="s">
        <v>298</v>
      </c>
      <c r="E83" s="29"/>
      <c r="F83" s="28" t="s">
        <v>6699</v>
      </c>
      <c r="G83" s="28"/>
      <c r="H83" s="28" t="s">
        <v>6602</v>
      </c>
      <c r="I83" s="28" t="s">
        <v>6604</v>
      </c>
      <c r="J83" s="28" t="s">
        <v>6701</v>
      </c>
      <c r="K83" s="28" t="s">
        <v>6602</v>
      </c>
      <c r="L83" s="28" t="s">
        <v>2149</v>
      </c>
      <c r="M83" s="28" t="s">
        <v>41</v>
      </c>
      <c r="N83" s="28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</row>
    <row r="84" spans="1:26" ht="14.4">
      <c r="A84" s="28" t="s">
        <v>5948</v>
      </c>
      <c r="B84" s="28" t="s">
        <v>6484</v>
      </c>
      <c r="C84" s="28" t="s">
        <v>233</v>
      </c>
      <c r="D84" s="29" t="s">
        <v>298</v>
      </c>
      <c r="E84" s="29"/>
      <c r="F84" s="28" t="s">
        <v>6710</v>
      </c>
      <c r="G84" s="28"/>
      <c r="H84" s="28" t="s">
        <v>6711</v>
      </c>
      <c r="I84" s="28" t="s">
        <v>6503</v>
      </c>
      <c r="J84" s="28" t="s">
        <v>6713</v>
      </c>
      <c r="K84" s="28" t="s">
        <v>6711</v>
      </c>
      <c r="L84" s="28" t="s">
        <v>989</v>
      </c>
      <c r="M84" s="28" t="s">
        <v>41</v>
      </c>
      <c r="N84" s="28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</row>
    <row r="85" spans="1:26" ht="14.4">
      <c r="A85" s="28" t="s">
        <v>5948</v>
      </c>
      <c r="B85" s="28" t="s">
        <v>6484</v>
      </c>
      <c r="C85" s="28" t="s">
        <v>233</v>
      </c>
      <c r="D85" s="29" t="s">
        <v>298</v>
      </c>
      <c r="E85" s="29"/>
      <c r="F85" s="28" t="s">
        <v>6720</v>
      </c>
      <c r="G85" s="28"/>
      <c r="H85" s="28" t="s">
        <v>6723</v>
      </c>
      <c r="I85" s="28" t="s">
        <v>6724</v>
      </c>
      <c r="J85" s="28" t="s">
        <v>6726</v>
      </c>
      <c r="K85" s="28" t="s">
        <v>6723</v>
      </c>
      <c r="L85" s="28" t="s">
        <v>989</v>
      </c>
      <c r="M85" s="28" t="s">
        <v>41</v>
      </c>
      <c r="N85" s="28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</row>
    <row r="86" spans="1:26" ht="14.4">
      <c r="A86" s="28" t="s">
        <v>5948</v>
      </c>
      <c r="B86" s="28" t="s">
        <v>6484</v>
      </c>
      <c r="C86" s="28" t="s">
        <v>79</v>
      </c>
      <c r="D86" s="29" t="s">
        <v>80</v>
      </c>
      <c r="E86" s="29"/>
      <c r="F86" s="28" t="s">
        <v>6734</v>
      </c>
      <c r="G86" s="28"/>
      <c r="H86" s="28" t="s">
        <v>6556</v>
      </c>
      <c r="I86" s="28" t="s">
        <v>6738</v>
      </c>
      <c r="J86" s="28" t="s">
        <v>6739</v>
      </c>
      <c r="K86" s="28" t="s">
        <v>6556</v>
      </c>
      <c r="L86" s="28" t="s">
        <v>2149</v>
      </c>
      <c r="M86" s="28" t="s">
        <v>41</v>
      </c>
      <c r="N86" s="28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</row>
    <row r="87" spans="1:26" ht="14.4">
      <c r="A87" s="28" t="s">
        <v>5948</v>
      </c>
      <c r="B87" s="28" t="s">
        <v>6484</v>
      </c>
      <c r="C87" s="28" t="s">
        <v>296</v>
      </c>
      <c r="D87" s="28" t="s">
        <v>954</v>
      </c>
      <c r="E87" s="28"/>
      <c r="F87" s="79" t="s">
        <v>6747</v>
      </c>
      <c r="G87" s="28"/>
      <c r="H87" s="28" t="s">
        <v>6190</v>
      </c>
      <c r="I87" s="28" t="s">
        <v>916</v>
      </c>
      <c r="J87" s="28" t="s">
        <v>6192</v>
      </c>
      <c r="K87" s="28"/>
      <c r="L87" s="28" t="s">
        <v>6749</v>
      </c>
      <c r="M87" s="28" t="s">
        <v>41</v>
      </c>
      <c r="N87" s="28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</row>
    <row r="88" spans="1:26" ht="14.4">
      <c r="A88" s="28" t="s">
        <v>5948</v>
      </c>
      <c r="B88" s="28" t="s">
        <v>6754</v>
      </c>
      <c r="C88" s="28" t="s">
        <v>85</v>
      </c>
      <c r="D88" s="29" t="s">
        <v>86</v>
      </c>
      <c r="E88" s="28"/>
      <c r="F88" s="28" t="s">
        <v>6758</v>
      </c>
      <c r="G88" s="28"/>
      <c r="H88" s="28" t="s">
        <v>6761</v>
      </c>
      <c r="I88" s="28" t="s">
        <v>6764</v>
      </c>
      <c r="J88" s="28" t="s">
        <v>6767</v>
      </c>
      <c r="K88" s="28" t="s">
        <v>6761</v>
      </c>
      <c r="L88" s="28" t="s">
        <v>6768</v>
      </c>
      <c r="M88" s="28" t="s">
        <v>41</v>
      </c>
      <c r="N88" s="28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</row>
    <row r="89" spans="1:26" ht="14.4">
      <c r="A89" s="28" t="s">
        <v>5948</v>
      </c>
      <c r="B89" s="28" t="s">
        <v>6754</v>
      </c>
      <c r="C89" s="28" t="s">
        <v>85</v>
      </c>
      <c r="D89" s="29" t="s">
        <v>86</v>
      </c>
      <c r="E89" s="28"/>
      <c r="F89" s="28" t="s">
        <v>6776</v>
      </c>
      <c r="G89" s="28"/>
      <c r="H89" s="28" t="s">
        <v>6777</v>
      </c>
      <c r="I89" s="28" t="s">
        <v>6778</v>
      </c>
      <c r="J89" s="28" t="s">
        <v>6779</v>
      </c>
      <c r="K89" s="28" t="s">
        <v>6780</v>
      </c>
      <c r="L89" s="28" t="s">
        <v>2794</v>
      </c>
      <c r="M89" s="28" t="s">
        <v>41</v>
      </c>
      <c r="N89" s="28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</row>
    <row r="90" spans="1:26" ht="14.4">
      <c r="A90" s="28" t="s">
        <v>5948</v>
      </c>
      <c r="B90" s="28" t="s">
        <v>6754</v>
      </c>
      <c r="C90" s="28" t="s">
        <v>85</v>
      </c>
      <c r="D90" s="29" t="s">
        <v>86</v>
      </c>
      <c r="E90" s="28"/>
      <c r="F90" s="28" t="s">
        <v>6785</v>
      </c>
      <c r="G90" s="28"/>
      <c r="H90" s="28" t="s">
        <v>6777</v>
      </c>
      <c r="I90" s="28" t="s">
        <v>6778</v>
      </c>
      <c r="J90" s="28" t="s">
        <v>6790</v>
      </c>
      <c r="K90" s="28" t="s">
        <v>6792</v>
      </c>
      <c r="L90" s="28" t="s">
        <v>2794</v>
      </c>
      <c r="M90" s="28" t="s">
        <v>41</v>
      </c>
      <c r="N90" s="28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</row>
    <row r="91" spans="1:26" ht="14.4">
      <c r="A91" s="28" t="s">
        <v>5948</v>
      </c>
      <c r="B91" s="28" t="s">
        <v>6754</v>
      </c>
      <c r="C91" s="28" t="s">
        <v>85</v>
      </c>
      <c r="D91" s="29" t="s">
        <v>86</v>
      </c>
      <c r="E91" s="28"/>
      <c r="F91" s="28" t="s">
        <v>6798</v>
      </c>
      <c r="G91" s="28"/>
      <c r="H91" s="28" t="s">
        <v>6777</v>
      </c>
      <c r="I91" s="28" t="s">
        <v>6801</v>
      </c>
      <c r="J91" s="28" t="s">
        <v>6802</v>
      </c>
      <c r="K91" s="28" t="s">
        <v>6803</v>
      </c>
      <c r="L91" s="28" t="s">
        <v>2794</v>
      </c>
      <c r="M91" s="28" t="s">
        <v>41</v>
      </c>
      <c r="N91" s="28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</row>
    <row r="92" spans="1:26" ht="14.4">
      <c r="A92" s="28" t="s">
        <v>5948</v>
      </c>
      <c r="B92" s="28" t="s">
        <v>6754</v>
      </c>
      <c r="C92" s="28" t="s">
        <v>85</v>
      </c>
      <c r="D92" s="29" t="s">
        <v>86</v>
      </c>
      <c r="E92" s="28"/>
      <c r="F92" s="28" t="s">
        <v>6810</v>
      </c>
      <c r="G92" s="28"/>
      <c r="H92" s="28" t="s">
        <v>6811</v>
      </c>
      <c r="I92" s="28" t="s">
        <v>6812</v>
      </c>
      <c r="J92" s="28" t="s">
        <v>6813</v>
      </c>
      <c r="K92" s="28" t="s">
        <v>6811</v>
      </c>
      <c r="L92" s="28" t="s">
        <v>6816</v>
      </c>
      <c r="M92" s="28" t="s">
        <v>41</v>
      </c>
      <c r="N92" s="28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</row>
    <row r="93" spans="1:26" ht="14.4">
      <c r="A93" s="28" t="s">
        <v>5948</v>
      </c>
      <c r="B93" s="28" t="s">
        <v>6754</v>
      </c>
      <c r="C93" s="28" t="s">
        <v>85</v>
      </c>
      <c r="D93" s="29" t="s">
        <v>86</v>
      </c>
      <c r="E93" s="28"/>
      <c r="F93" s="28" t="s">
        <v>6821</v>
      </c>
      <c r="G93" s="28"/>
      <c r="H93" s="28" t="s">
        <v>6823</v>
      </c>
      <c r="I93" s="28" t="s">
        <v>6824</v>
      </c>
      <c r="J93" s="28" t="s">
        <v>6826</v>
      </c>
      <c r="K93" s="28" t="s">
        <v>6828</v>
      </c>
      <c r="L93" s="28" t="s">
        <v>6768</v>
      </c>
      <c r="M93" s="28" t="s">
        <v>41</v>
      </c>
      <c r="N93" s="28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</row>
    <row r="94" spans="1:26" ht="14.4">
      <c r="A94" s="28" t="s">
        <v>5948</v>
      </c>
      <c r="B94" s="28" t="s">
        <v>6754</v>
      </c>
      <c r="C94" s="28" t="s">
        <v>85</v>
      </c>
      <c r="D94" s="29" t="s">
        <v>86</v>
      </c>
      <c r="E94" s="28"/>
      <c r="F94" s="28" t="s">
        <v>6834</v>
      </c>
      <c r="G94" s="28"/>
      <c r="H94" s="28" t="s">
        <v>6835</v>
      </c>
      <c r="I94" s="28" t="s">
        <v>6837</v>
      </c>
      <c r="J94" s="28" t="s">
        <v>6838</v>
      </c>
      <c r="K94" s="28" t="s">
        <v>6835</v>
      </c>
      <c r="L94" s="28" t="s">
        <v>6839</v>
      </c>
      <c r="M94" s="28" t="s">
        <v>41</v>
      </c>
      <c r="N94" s="28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</row>
    <row r="95" spans="1:26" ht="14.4">
      <c r="A95" s="28" t="s">
        <v>5948</v>
      </c>
      <c r="B95" s="28" t="s">
        <v>6754</v>
      </c>
      <c r="C95" s="28" t="s">
        <v>85</v>
      </c>
      <c r="D95" s="29" t="s">
        <v>86</v>
      </c>
      <c r="E95" s="28"/>
      <c r="F95" s="28" t="s">
        <v>6843</v>
      </c>
      <c r="G95" s="28"/>
      <c r="H95" s="28" t="s">
        <v>6845</v>
      </c>
      <c r="I95" s="28" t="s">
        <v>6846</v>
      </c>
      <c r="J95" s="28" t="s">
        <v>6847</v>
      </c>
      <c r="K95" s="28" t="s">
        <v>6848</v>
      </c>
      <c r="L95" s="28" t="s">
        <v>6850</v>
      </c>
      <c r="M95" s="28" t="s">
        <v>41</v>
      </c>
      <c r="N95" s="28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</row>
    <row r="96" spans="1:26" ht="14.4">
      <c r="A96" s="28" t="s">
        <v>5948</v>
      </c>
      <c r="B96" s="28" t="s">
        <v>6754</v>
      </c>
      <c r="C96" s="28" t="s">
        <v>85</v>
      </c>
      <c r="D96" s="29" t="s">
        <v>86</v>
      </c>
      <c r="E96" s="28"/>
      <c r="F96" s="28" t="s">
        <v>6855</v>
      </c>
      <c r="G96" s="28"/>
      <c r="H96" s="28" t="s">
        <v>6856</v>
      </c>
      <c r="I96" s="28" t="s">
        <v>2400</v>
      </c>
      <c r="J96" s="28" t="s">
        <v>6857</v>
      </c>
      <c r="K96" s="28" t="s">
        <v>6856</v>
      </c>
      <c r="L96" s="28" t="s">
        <v>6858</v>
      </c>
      <c r="M96" s="28" t="s">
        <v>41</v>
      </c>
      <c r="N96" s="28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</row>
    <row r="97" spans="1:26" ht="14.4">
      <c r="A97" s="28" t="s">
        <v>5948</v>
      </c>
      <c r="B97" s="28" t="s">
        <v>6754</v>
      </c>
      <c r="C97" s="28" t="s">
        <v>85</v>
      </c>
      <c r="D97" s="29" t="s">
        <v>86</v>
      </c>
      <c r="E97" s="28"/>
      <c r="F97" s="28" t="s">
        <v>6866</v>
      </c>
      <c r="G97" s="28"/>
      <c r="H97" s="28" t="s">
        <v>6867</v>
      </c>
      <c r="I97" s="28" t="s">
        <v>2400</v>
      </c>
      <c r="J97" s="28" t="s">
        <v>6868</v>
      </c>
      <c r="K97" s="28" t="s">
        <v>6867</v>
      </c>
      <c r="L97" s="28" t="s">
        <v>6869</v>
      </c>
      <c r="M97" s="28" t="s">
        <v>41</v>
      </c>
      <c r="N97" s="28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</row>
    <row r="98" spans="1:26" ht="14.4">
      <c r="A98" s="28" t="s">
        <v>5948</v>
      </c>
      <c r="B98" s="28" t="s">
        <v>6754</v>
      </c>
      <c r="C98" s="28" t="s">
        <v>85</v>
      </c>
      <c r="D98" s="29" t="s">
        <v>86</v>
      </c>
      <c r="E98" s="28"/>
      <c r="F98" s="28" t="s">
        <v>6875</v>
      </c>
      <c r="G98" s="28"/>
      <c r="H98" s="28" t="s">
        <v>6876</v>
      </c>
      <c r="I98" s="28" t="s">
        <v>2400</v>
      </c>
      <c r="J98" s="28" t="s">
        <v>6877</v>
      </c>
      <c r="K98" s="28" t="s">
        <v>6876</v>
      </c>
      <c r="L98" s="28" t="s">
        <v>6878</v>
      </c>
      <c r="M98" s="28" t="s">
        <v>41</v>
      </c>
      <c r="N98" s="28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</row>
    <row r="99" spans="1:26" ht="14.4">
      <c r="A99" s="28" t="s">
        <v>5948</v>
      </c>
      <c r="B99" s="28" t="s">
        <v>6754</v>
      </c>
      <c r="C99" s="28" t="s">
        <v>85</v>
      </c>
      <c r="D99" s="29" t="s">
        <v>86</v>
      </c>
      <c r="E99" s="28"/>
      <c r="F99" s="28" t="s">
        <v>6885</v>
      </c>
      <c r="G99" s="28"/>
      <c r="H99" s="28" t="s">
        <v>6887</v>
      </c>
      <c r="I99" s="28" t="s">
        <v>2400</v>
      </c>
      <c r="J99" s="28" t="s">
        <v>6890</v>
      </c>
      <c r="K99" s="28" t="s">
        <v>6887</v>
      </c>
      <c r="L99" s="28" t="s">
        <v>6891</v>
      </c>
      <c r="M99" s="28" t="s">
        <v>41</v>
      </c>
      <c r="N99" s="28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</row>
    <row r="100" spans="1:26" ht="14.4">
      <c r="A100" s="28" t="s">
        <v>5948</v>
      </c>
      <c r="B100" s="28" t="s">
        <v>6754</v>
      </c>
      <c r="C100" s="28" t="s">
        <v>85</v>
      </c>
      <c r="D100" s="29" t="s">
        <v>86</v>
      </c>
      <c r="E100" s="28"/>
      <c r="F100" s="28" t="s">
        <v>6897</v>
      </c>
      <c r="G100" s="28"/>
      <c r="H100" s="28" t="s">
        <v>6899</v>
      </c>
      <c r="I100" s="28" t="s">
        <v>2400</v>
      </c>
      <c r="J100" s="28" t="s">
        <v>6900</v>
      </c>
      <c r="K100" s="28" t="s">
        <v>6899</v>
      </c>
      <c r="L100" s="28" t="s">
        <v>6901</v>
      </c>
      <c r="M100" s="28" t="s">
        <v>41</v>
      </c>
      <c r="N100" s="28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</row>
    <row r="101" spans="1:26" ht="14.4">
      <c r="A101" s="28" t="s">
        <v>5948</v>
      </c>
      <c r="B101" s="28" t="s">
        <v>6754</v>
      </c>
      <c r="C101" s="28" t="s">
        <v>85</v>
      </c>
      <c r="D101" s="29" t="s">
        <v>86</v>
      </c>
      <c r="E101" s="28"/>
      <c r="F101" s="28" t="s">
        <v>6907</v>
      </c>
      <c r="G101" s="28"/>
      <c r="H101" s="28" t="s">
        <v>6908</v>
      </c>
      <c r="I101" s="28" t="s">
        <v>4190</v>
      </c>
      <c r="J101" s="28" t="s">
        <v>6910</v>
      </c>
      <c r="K101" s="28" t="s">
        <v>6908</v>
      </c>
      <c r="L101" s="28" t="s">
        <v>6912</v>
      </c>
      <c r="M101" s="28" t="s">
        <v>41</v>
      </c>
      <c r="N101" s="28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</row>
    <row r="102" spans="1:26" ht="14.4">
      <c r="A102" s="28" t="s">
        <v>5948</v>
      </c>
      <c r="B102" s="28" t="s">
        <v>6754</v>
      </c>
      <c r="C102" s="28" t="s">
        <v>85</v>
      </c>
      <c r="D102" s="29" t="s">
        <v>86</v>
      </c>
      <c r="E102" s="28"/>
      <c r="F102" s="28" t="s">
        <v>6914</v>
      </c>
      <c r="G102" s="28"/>
      <c r="H102" s="28" t="s">
        <v>6917</v>
      </c>
      <c r="I102" s="28" t="s">
        <v>2400</v>
      </c>
      <c r="J102" s="28" t="s">
        <v>6920</v>
      </c>
      <c r="K102" s="28" t="s">
        <v>6917</v>
      </c>
      <c r="L102" s="28" t="s">
        <v>6922</v>
      </c>
      <c r="M102" s="28" t="s">
        <v>41</v>
      </c>
      <c r="N102" s="28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</row>
    <row r="103" spans="1:26" ht="14.4">
      <c r="A103" s="28" t="s">
        <v>5948</v>
      </c>
      <c r="B103" s="28" t="s">
        <v>6754</v>
      </c>
      <c r="C103" s="28" t="s">
        <v>85</v>
      </c>
      <c r="D103" s="29" t="s">
        <v>86</v>
      </c>
      <c r="E103" s="28"/>
      <c r="F103" s="28" t="s">
        <v>6928</v>
      </c>
      <c r="G103" s="28"/>
      <c r="H103" s="28" t="s">
        <v>6930</v>
      </c>
      <c r="I103" s="28" t="s">
        <v>4190</v>
      </c>
      <c r="J103" s="28" t="s">
        <v>6931</v>
      </c>
      <c r="K103" s="28" t="s">
        <v>6930</v>
      </c>
      <c r="L103" s="28" t="s">
        <v>6933</v>
      </c>
      <c r="M103" s="28" t="s">
        <v>41</v>
      </c>
      <c r="N103" s="28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</row>
    <row r="104" spans="1:26" ht="14.4">
      <c r="A104" s="28" t="s">
        <v>5948</v>
      </c>
      <c r="B104" s="28" t="s">
        <v>6754</v>
      </c>
      <c r="C104" s="28" t="s">
        <v>220</v>
      </c>
      <c r="D104" s="29" t="s">
        <v>234</v>
      </c>
      <c r="E104" s="29"/>
      <c r="F104" s="28" t="s">
        <v>6940</v>
      </c>
      <c r="G104" s="28"/>
      <c r="H104" s="28" t="s">
        <v>6941</v>
      </c>
      <c r="I104" s="28" t="s">
        <v>6942</v>
      </c>
      <c r="J104" s="28" t="s">
        <v>6943</v>
      </c>
      <c r="K104" s="28" t="s">
        <v>6944</v>
      </c>
      <c r="L104" s="28" t="s">
        <v>6945</v>
      </c>
      <c r="M104" s="28" t="s">
        <v>41</v>
      </c>
      <c r="N104" s="28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</row>
    <row r="105" spans="1:26" ht="14.4">
      <c r="A105" s="28" t="s">
        <v>5948</v>
      </c>
      <c r="B105" s="28" t="s">
        <v>6754</v>
      </c>
      <c r="C105" s="28" t="s">
        <v>220</v>
      </c>
      <c r="D105" s="29" t="s">
        <v>234</v>
      </c>
      <c r="E105" s="29"/>
      <c r="F105" s="28" t="s">
        <v>6953</v>
      </c>
      <c r="G105" s="28"/>
      <c r="H105" s="28" t="s">
        <v>6954</v>
      </c>
      <c r="I105" s="28" t="s">
        <v>6956</v>
      </c>
      <c r="J105" s="28" t="s">
        <v>6957</v>
      </c>
      <c r="K105" s="28" t="s">
        <v>6958</v>
      </c>
      <c r="L105" s="28" t="s">
        <v>6959</v>
      </c>
      <c r="M105" s="28" t="s">
        <v>41</v>
      </c>
      <c r="N105" s="28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</row>
    <row r="106" spans="1:26" ht="14.4">
      <c r="A106" s="28" t="s">
        <v>5948</v>
      </c>
      <c r="B106" s="28" t="s">
        <v>6754</v>
      </c>
      <c r="C106" s="28" t="s">
        <v>220</v>
      </c>
      <c r="D106" s="29" t="s">
        <v>234</v>
      </c>
      <c r="E106" s="29"/>
      <c r="F106" s="28" t="s">
        <v>6966</v>
      </c>
      <c r="G106" s="28"/>
      <c r="H106" s="28" t="s">
        <v>6967</v>
      </c>
      <c r="I106" s="28" t="s">
        <v>6969</v>
      </c>
      <c r="J106" s="28" t="s">
        <v>6970</v>
      </c>
      <c r="K106" s="28" t="s">
        <v>6823</v>
      </c>
      <c r="L106" s="28" t="s">
        <v>6768</v>
      </c>
      <c r="M106" s="28" t="s">
        <v>41</v>
      </c>
      <c r="N106" s="28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</row>
    <row r="107" spans="1:26" ht="14.4">
      <c r="A107" s="28" t="s">
        <v>5948</v>
      </c>
      <c r="B107" s="28" t="s">
        <v>6754</v>
      </c>
      <c r="C107" s="28" t="s">
        <v>220</v>
      </c>
      <c r="D107" s="29" t="s">
        <v>234</v>
      </c>
      <c r="E107" s="29"/>
      <c r="F107" s="28" t="s">
        <v>6975</v>
      </c>
      <c r="G107" s="28"/>
      <c r="H107" s="28" t="s">
        <v>6967</v>
      </c>
      <c r="I107" s="28" t="s">
        <v>6978</v>
      </c>
      <c r="J107" s="28" t="s">
        <v>6979</v>
      </c>
      <c r="K107" s="28" t="s">
        <v>6981</v>
      </c>
      <c r="L107" s="28" t="s">
        <v>6768</v>
      </c>
      <c r="M107" s="28" t="s">
        <v>41</v>
      </c>
      <c r="N107" s="28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</row>
    <row r="108" spans="1:26" ht="14.4">
      <c r="A108" s="28" t="s">
        <v>5948</v>
      </c>
      <c r="B108" s="28" t="s">
        <v>6754</v>
      </c>
      <c r="C108" s="28" t="s">
        <v>220</v>
      </c>
      <c r="D108" s="29" t="s">
        <v>234</v>
      </c>
      <c r="E108" s="29"/>
      <c r="F108" s="28" t="s">
        <v>6989</v>
      </c>
      <c r="G108" s="28"/>
      <c r="H108" s="28" t="s">
        <v>6777</v>
      </c>
      <c r="I108" s="28" t="s">
        <v>6778</v>
      </c>
      <c r="J108" s="28" t="s">
        <v>6991</v>
      </c>
      <c r="K108" s="28" t="s">
        <v>6777</v>
      </c>
      <c r="L108" s="28" t="s">
        <v>2794</v>
      </c>
      <c r="M108" s="28" t="s">
        <v>41</v>
      </c>
      <c r="N108" s="28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</row>
    <row r="109" spans="1:26" ht="14.4">
      <c r="A109" s="28" t="s">
        <v>5948</v>
      </c>
      <c r="B109" s="28" t="s">
        <v>6754</v>
      </c>
      <c r="C109" s="28" t="s">
        <v>233</v>
      </c>
      <c r="D109" s="29" t="s">
        <v>298</v>
      </c>
      <c r="E109" s="29"/>
      <c r="F109" s="28" t="s">
        <v>6486</v>
      </c>
      <c r="G109" s="28"/>
      <c r="H109" s="28" t="s">
        <v>6997</v>
      </c>
      <c r="I109" s="28" t="s">
        <v>6998</v>
      </c>
      <c r="J109" s="28" t="s">
        <v>6999</v>
      </c>
      <c r="K109" s="28" t="s">
        <v>6997</v>
      </c>
      <c r="L109" s="28" t="s">
        <v>2794</v>
      </c>
      <c r="M109" s="28" t="s">
        <v>41</v>
      </c>
      <c r="N109" s="28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</row>
    <row r="110" spans="1:26" ht="14.4">
      <c r="A110" s="28" t="s">
        <v>5948</v>
      </c>
      <c r="B110" s="28" t="s">
        <v>6754</v>
      </c>
      <c r="C110" s="28" t="s">
        <v>233</v>
      </c>
      <c r="D110" s="29" t="s">
        <v>298</v>
      </c>
      <c r="E110" s="29"/>
      <c r="F110" s="28" t="s">
        <v>6686</v>
      </c>
      <c r="G110" s="28"/>
      <c r="H110" s="28" t="s">
        <v>6777</v>
      </c>
      <c r="I110" s="28" t="s">
        <v>6778</v>
      </c>
      <c r="J110" s="28" t="s">
        <v>7005</v>
      </c>
      <c r="K110" s="28" t="s">
        <v>6777</v>
      </c>
      <c r="L110" s="28" t="s">
        <v>2794</v>
      </c>
      <c r="M110" s="28" t="s">
        <v>41</v>
      </c>
      <c r="N110" s="28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</row>
    <row r="111" spans="1:26" ht="14.4">
      <c r="A111" s="28" t="s">
        <v>5948</v>
      </c>
      <c r="B111" s="28" t="s">
        <v>6754</v>
      </c>
      <c r="C111" s="28" t="s">
        <v>233</v>
      </c>
      <c r="D111" s="29" t="s">
        <v>298</v>
      </c>
      <c r="E111" s="29"/>
      <c r="F111" s="28" t="s">
        <v>6696</v>
      </c>
      <c r="G111" s="28"/>
      <c r="H111" s="28" t="s">
        <v>6941</v>
      </c>
      <c r="I111" s="28" t="s">
        <v>7012</v>
      </c>
      <c r="J111" s="28" t="s">
        <v>7013</v>
      </c>
      <c r="K111" s="28" t="s">
        <v>6941</v>
      </c>
      <c r="L111" s="28" t="s">
        <v>6945</v>
      </c>
      <c r="M111" s="28" t="s">
        <v>41</v>
      </c>
      <c r="N111" s="28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</row>
    <row r="112" spans="1:26" ht="14.4">
      <c r="A112" s="28" t="s">
        <v>5948</v>
      </c>
      <c r="B112" s="28" t="s">
        <v>6754</v>
      </c>
      <c r="C112" s="28" t="s">
        <v>233</v>
      </c>
      <c r="D112" s="29" t="s">
        <v>298</v>
      </c>
      <c r="E112" s="29"/>
      <c r="F112" s="28" t="s">
        <v>6705</v>
      </c>
      <c r="G112" s="28"/>
      <c r="H112" s="28" t="s">
        <v>6761</v>
      </c>
      <c r="I112" s="28" t="s">
        <v>7020</v>
      </c>
      <c r="J112" s="28" t="s">
        <v>7021</v>
      </c>
      <c r="K112" s="28" t="s">
        <v>6761</v>
      </c>
      <c r="L112" s="28" t="s">
        <v>6768</v>
      </c>
      <c r="M112" s="28" t="s">
        <v>41</v>
      </c>
      <c r="N112" s="28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</row>
    <row r="113" spans="1:26" ht="14.4">
      <c r="A113" s="28" t="s">
        <v>5948</v>
      </c>
      <c r="B113" s="28" t="s">
        <v>6754</v>
      </c>
      <c r="C113" s="28" t="s">
        <v>275</v>
      </c>
      <c r="D113" s="28" t="s">
        <v>543</v>
      </c>
      <c r="E113" s="28"/>
      <c r="F113" s="79" t="s">
        <v>7028</v>
      </c>
      <c r="G113" s="28" t="s">
        <v>7029</v>
      </c>
      <c r="H113" s="28" t="s">
        <v>6777</v>
      </c>
      <c r="I113" s="28" t="s">
        <v>6778</v>
      </c>
      <c r="J113" s="28" t="s">
        <v>7031</v>
      </c>
      <c r="K113" s="28" t="s">
        <v>7032</v>
      </c>
      <c r="L113" s="28" t="s">
        <v>2794</v>
      </c>
      <c r="M113" s="28" t="s">
        <v>41</v>
      </c>
      <c r="N113" s="28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4.4">
      <c r="A114" s="28" t="s">
        <v>5948</v>
      </c>
      <c r="B114" s="28" t="s">
        <v>6754</v>
      </c>
      <c r="C114" s="28" t="s">
        <v>275</v>
      </c>
      <c r="D114" s="28" t="s">
        <v>543</v>
      </c>
      <c r="E114" s="28"/>
      <c r="F114" s="79" t="s">
        <v>7039</v>
      </c>
      <c r="G114" s="28"/>
      <c r="H114" s="28" t="s">
        <v>6777</v>
      </c>
      <c r="I114" s="28" t="s">
        <v>6778</v>
      </c>
      <c r="J114" s="28" t="s">
        <v>7044</v>
      </c>
      <c r="K114" s="28" t="s">
        <v>6777</v>
      </c>
      <c r="L114" s="28" t="s">
        <v>2794</v>
      </c>
      <c r="M114" s="28" t="s">
        <v>41</v>
      </c>
      <c r="N114" s="28" t="s">
        <v>7045</v>
      </c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4.4">
      <c r="A115" s="28" t="s">
        <v>5948</v>
      </c>
      <c r="B115" s="28" t="s">
        <v>6754</v>
      </c>
      <c r="C115" s="28" t="s">
        <v>296</v>
      </c>
      <c r="D115" s="28" t="s">
        <v>954</v>
      </c>
      <c r="E115" s="28"/>
      <c r="F115" s="79" t="s">
        <v>7051</v>
      </c>
      <c r="G115" s="28"/>
      <c r="H115" s="28" t="s">
        <v>6190</v>
      </c>
      <c r="I115" s="28" t="s">
        <v>916</v>
      </c>
      <c r="J115" s="28" t="s">
        <v>6192</v>
      </c>
      <c r="K115" s="28"/>
      <c r="L115" s="28" t="s">
        <v>7053</v>
      </c>
      <c r="M115" s="28" t="s">
        <v>41</v>
      </c>
      <c r="N115" s="28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</row>
    <row r="116" spans="1:26" ht="14.4">
      <c r="A116" s="28" t="s">
        <v>5948</v>
      </c>
      <c r="B116" s="28" t="s">
        <v>7057</v>
      </c>
      <c r="C116" s="28" t="s">
        <v>275</v>
      </c>
      <c r="D116" s="28" t="s">
        <v>543</v>
      </c>
      <c r="E116" s="28"/>
      <c r="F116" s="79" t="s">
        <v>7058</v>
      </c>
      <c r="G116" s="28" t="s">
        <v>7059</v>
      </c>
      <c r="H116" s="28" t="s">
        <v>7060</v>
      </c>
      <c r="I116" s="28" t="s">
        <v>434</v>
      </c>
      <c r="J116" s="28" t="s">
        <v>7062</v>
      </c>
      <c r="K116" s="28" t="s">
        <v>7060</v>
      </c>
      <c r="L116" s="28" t="s">
        <v>989</v>
      </c>
      <c r="M116" s="28" t="s">
        <v>41</v>
      </c>
      <c r="N116" s="28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4.4">
      <c r="A117" s="28" t="s">
        <v>5948</v>
      </c>
      <c r="B117" s="28" t="s">
        <v>7057</v>
      </c>
      <c r="C117" s="28" t="s">
        <v>85</v>
      </c>
      <c r="D117" s="29" t="s">
        <v>86</v>
      </c>
      <c r="E117" s="28"/>
      <c r="F117" s="28" t="s">
        <v>7070</v>
      </c>
      <c r="G117" s="28"/>
      <c r="H117" s="28" t="s">
        <v>7071</v>
      </c>
      <c r="I117" s="28" t="s">
        <v>2400</v>
      </c>
      <c r="J117" s="28" t="s">
        <v>7073</v>
      </c>
      <c r="K117" s="28" t="s">
        <v>7071</v>
      </c>
      <c r="L117" s="28" t="s">
        <v>7076</v>
      </c>
      <c r="M117" s="28" t="s">
        <v>41</v>
      </c>
      <c r="N117" s="28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</row>
    <row r="118" spans="1:26" ht="14.4">
      <c r="A118" s="28" t="s">
        <v>5948</v>
      </c>
      <c r="B118" s="28" t="s">
        <v>7057</v>
      </c>
      <c r="C118" s="28" t="s">
        <v>85</v>
      </c>
      <c r="D118" s="29" t="s">
        <v>86</v>
      </c>
      <c r="E118" s="28"/>
      <c r="F118" s="28" t="s">
        <v>7084</v>
      </c>
      <c r="G118" s="28"/>
      <c r="H118" s="28" t="s">
        <v>7085</v>
      </c>
      <c r="I118" s="28" t="s">
        <v>2400</v>
      </c>
      <c r="J118" s="28" t="s">
        <v>7087</v>
      </c>
      <c r="K118" s="28" t="s">
        <v>7085</v>
      </c>
      <c r="L118" s="28" t="s">
        <v>7089</v>
      </c>
      <c r="M118" s="28" t="s">
        <v>41</v>
      </c>
      <c r="N118" s="28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</row>
    <row r="119" spans="1:26" ht="14.4">
      <c r="A119" s="28" t="s">
        <v>5948</v>
      </c>
      <c r="B119" s="28" t="s">
        <v>7057</v>
      </c>
      <c r="C119" s="28" t="s">
        <v>85</v>
      </c>
      <c r="D119" s="29" t="s">
        <v>86</v>
      </c>
      <c r="E119" s="28"/>
      <c r="F119" s="28" t="s">
        <v>7096</v>
      </c>
      <c r="G119" s="28"/>
      <c r="H119" s="28" t="s">
        <v>7097</v>
      </c>
      <c r="I119" s="28" t="s">
        <v>2400</v>
      </c>
      <c r="J119" s="28" t="s">
        <v>7098</v>
      </c>
      <c r="K119" s="28" t="s">
        <v>7097</v>
      </c>
      <c r="L119" s="28" t="s">
        <v>5675</v>
      </c>
      <c r="M119" s="28" t="s">
        <v>41</v>
      </c>
      <c r="N119" s="28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</row>
    <row r="120" spans="1:26" ht="14.4">
      <c r="A120" s="28" t="s">
        <v>5948</v>
      </c>
      <c r="B120" s="28" t="s">
        <v>7057</v>
      </c>
      <c r="C120" s="28" t="s">
        <v>85</v>
      </c>
      <c r="D120" s="29" t="s">
        <v>86</v>
      </c>
      <c r="E120" s="28"/>
      <c r="F120" s="28" t="s">
        <v>7103</v>
      </c>
      <c r="G120" s="28"/>
      <c r="H120" s="28" t="s">
        <v>7104</v>
      </c>
      <c r="I120" s="28" t="s">
        <v>898</v>
      </c>
      <c r="J120" s="28" t="s">
        <v>7105</v>
      </c>
      <c r="K120" s="28" t="s">
        <v>7104</v>
      </c>
      <c r="L120" s="28" t="s">
        <v>2149</v>
      </c>
      <c r="M120" s="28" t="s">
        <v>41</v>
      </c>
      <c r="N120" s="28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</row>
    <row r="121" spans="1:26" ht="14.4">
      <c r="A121" s="28" t="s">
        <v>5948</v>
      </c>
      <c r="B121" s="28" t="s">
        <v>7057</v>
      </c>
      <c r="C121" s="28" t="s">
        <v>85</v>
      </c>
      <c r="D121" s="29" t="s">
        <v>86</v>
      </c>
      <c r="E121" s="28"/>
      <c r="F121" s="28" t="s">
        <v>7109</v>
      </c>
      <c r="G121" s="28"/>
      <c r="H121" s="28" t="s">
        <v>7112</v>
      </c>
      <c r="I121" s="28" t="s">
        <v>2400</v>
      </c>
      <c r="J121" s="28" t="s">
        <v>7113</v>
      </c>
      <c r="K121" s="28" t="s">
        <v>7112</v>
      </c>
      <c r="L121" s="28" t="s">
        <v>7114</v>
      </c>
      <c r="M121" s="28" t="s">
        <v>41</v>
      </c>
      <c r="N121" s="28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</row>
    <row r="122" spans="1:26" ht="14.4">
      <c r="A122" s="28" t="s">
        <v>5948</v>
      </c>
      <c r="B122" s="28" t="s">
        <v>7057</v>
      </c>
      <c r="C122" s="28" t="s">
        <v>85</v>
      </c>
      <c r="D122" s="29" t="s">
        <v>86</v>
      </c>
      <c r="E122" s="28"/>
      <c r="F122" s="28" t="s">
        <v>7119</v>
      </c>
      <c r="G122" s="28"/>
      <c r="H122" s="28" t="s">
        <v>7121</v>
      </c>
      <c r="I122" s="28" t="s">
        <v>1610</v>
      </c>
      <c r="J122" s="28" t="s">
        <v>7123</v>
      </c>
      <c r="K122" s="28" t="s">
        <v>7121</v>
      </c>
      <c r="L122" s="28" t="s">
        <v>989</v>
      </c>
      <c r="M122" s="28" t="s">
        <v>41</v>
      </c>
      <c r="N122" s="28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</row>
    <row r="123" spans="1:26" ht="14.4">
      <c r="A123" s="28" t="s">
        <v>5948</v>
      </c>
      <c r="B123" s="28" t="s">
        <v>7057</v>
      </c>
      <c r="C123" s="28" t="s">
        <v>85</v>
      </c>
      <c r="D123" s="29" t="s">
        <v>86</v>
      </c>
      <c r="E123" s="28"/>
      <c r="F123" s="28" t="s">
        <v>7129</v>
      </c>
      <c r="G123" s="28"/>
      <c r="H123" s="28" t="s">
        <v>7131</v>
      </c>
      <c r="I123" s="28" t="s">
        <v>966</v>
      </c>
      <c r="J123" s="28" t="s">
        <v>7134</v>
      </c>
      <c r="K123" s="28" t="s">
        <v>7131</v>
      </c>
      <c r="L123" s="28" t="s">
        <v>2149</v>
      </c>
      <c r="M123" s="28" t="s">
        <v>41</v>
      </c>
      <c r="N123" s="28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</row>
    <row r="124" spans="1:26" ht="14.4">
      <c r="A124" s="28" t="s">
        <v>5948</v>
      </c>
      <c r="B124" s="28" t="s">
        <v>7057</v>
      </c>
      <c r="C124" s="28" t="s">
        <v>85</v>
      </c>
      <c r="D124" s="29" t="s">
        <v>86</v>
      </c>
      <c r="E124" s="28"/>
      <c r="F124" s="28" t="s">
        <v>7137</v>
      </c>
      <c r="G124" s="28"/>
      <c r="H124" s="28" t="s">
        <v>7139</v>
      </c>
      <c r="I124" s="28" t="s">
        <v>7141</v>
      </c>
      <c r="J124" s="28" t="s">
        <v>7143</v>
      </c>
      <c r="K124" s="28" t="s">
        <v>7139</v>
      </c>
      <c r="L124" s="28" t="s">
        <v>2336</v>
      </c>
      <c r="M124" s="28" t="s">
        <v>41</v>
      </c>
      <c r="N124" s="28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</row>
    <row r="125" spans="1:26" ht="14.4">
      <c r="A125" s="28" t="s">
        <v>5948</v>
      </c>
      <c r="B125" s="28" t="s">
        <v>7057</v>
      </c>
      <c r="C125" s="28" t="s">
        <v>85</v>
      </c>
      <c r="D125" s="29" t="s">
        <v>86</v>
      </c>
      <c r="E125" s="28"/>
      <c r="F125" s="28" t="s">
        <v>7150</v>
      </c>
      <c r="G125" s="28"/>
      <c r="H125" s="28" t="s">
        <v>7152</v>
      </c>
      <c r="I125" s="28" t="s">
        <v>933</v>
      </c>
      <c r="J125" s="28" t="s">
        <v>7154</v>
      </c>
      <c r="K125" s="28" t="s">
        <v>7152</v>
      </c>
      <c r="L125" s="28" t="s">
        <v>933</v>
      </c>
      <c r="M125" s="28" t="s">
        <v>41</v>
      </c>
      <c r="N125" s="28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</row>
    <row r="126" spans="1:26" ht="14.4">
      <c r="A126" s="28" t="s">
        <v>5948</v>
      </c>
      <c r="B126" s="28" t="s">
        <v>7057</v>
      </c>
      <c r="C126" s="28" t="s">
        <v>85</v>
      </c>
      <c r="D126" s="29" t="s">
        <v>86</v>
      </c>
      <c r="E126" s="28"/>
      <c r="F126" s="28" t="s">
        <v>7161</v>
      </c>
      <c r="G126" s="28"/>
      <c r="H126" s="28" t="s">
        <v>7162</v>
      </c>
      <c r="I126" s="28" t="s">
        <v>592</v>
      </c>
      <c r="J126" s="28" t="s">
        <v>7163</v>
      </c>
      <c r="K126" s="28" t="s">
        <v>7162</v>
      </c>
      <c r="L126" s="28" t="s">
        <v>592</v>
      </c>
      <c r="M126" s="28" t="s">
        <v>41</v>
      </c>
      <c r="N126" s="28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</row>
    <row r="127" spans="1:26" ht="14.4">
      <c r="A127" s="28" t="s">
        <v>5948</v>
      </c>
      <c r="B127" s="28" t="s">
        <v>7057</v>
      </c>
      <c r="C127" s="28" t="s">
        <v>85</v>
      </c>
      <c r="D127" s="29" t="s">
        <v>86</v>
      </c>
      <c r="E127" s="28"/>
      <c r="F127" s="28" t="s">
        <v>7173</v>
      </c>
      <c r="G127" s="28"/>
      <c r="H127" s="28" t="s">
        <v>7174</v>
      </c>
      <c r="I127" s="28" t="s">
        <v>7175</v>
      </c>
      <c r="J127" s="28" t="s">
        <v>7176</v>
      </c>
      <c r="K127" s="28" t="s">
        <v>7174</v>
      </c>
      <c r="L127" s="28" t="s">
        <v>2166</v>
      </c>
      <c r="M127" s="28" t="s">
        <v>41</v>
      </c>
      <c r="N127" s="28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</row>
    <row r="128" spans="1:26" ht="14.4">
      <c r="A128" s="28" t="s">
        <v>5948</v>
      </c>
      <c r="B128" s="28" t="s">
        <v>7057</v>
      </c>
      <c r="C128" s="28" t="s">
        <v>85</v>
      </c>
      <c r="D128" s="29" t="s">
        <v>86</v>
      </c>
      <c r="E128" s="28"/>
      <c r="F128" s="28" t="s">
        <v>7187</v>
      </c>
      <c r="G128" s="28"/>
      <c r="H128" s="28" t="s">
        <v>7188</v>
      </c>
      <c r="I128" s="28" t="s">
        <v>689</v>
      </c>
      <c r="J128" s="28" t="s">
        <v>7191</v>
      </c>
      <c r="K128" s="28" t="s">
        <v>7188</v>
      </c>
      <c r="L128" s="28" t="s">
        <v>989</v>
      </c>
      <c r="M128" s="28" t="s">
        <v>41</v>
      </c>
      <c r="N128" s="28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</row>
    <row r="129" spans="1:26" ht="14.4">
      <c r="A129" s="28" t="s">
        <v>5948</v>
      </c>
      <c r="B129" s="28" t="s">
        <v>7057</v>
      </c>
      <c r="C129" s="28" t="s">
        <v>85</v>
      </c>
      <c r="D129" s="29" t="s">
        <v>86</v>
      </c>
      <c r="E129" s="28"/>
      <c r="F129" s="28" t="s">
        <v>7197</v>
      </c>
      <c r="G129" s="28"/>
      <c r="H129" s="28" t="s">
        <v>7200</v>
      </c>
      <c r="I129" s="28" t="s">
        <v>1610</v>
      </c>
      <c r="J129" s="28" t="s">
        <v>7203</v>
      </c>
      <c r="K129" s="28" t="s">
        <v>7200</v>
      </c>
      <c r="L129" s="28" t="s">
        <v>989</v>
      </c>
      <c r="M129" s="28" t="s">
        <v>41</v>
      </c>
      <c r="N129" s="28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</row>
    <row r="130" spans="1:26" ht="14.4">
      <c r="A130" s="28" t="s">
        <v>5948</v>
      </c>
      <c r="B130" s="28" t="s">
        <v>7057</v>
      </c>
      <c r="C130" s="28" t="s">
        <v>85</v>
      </c>
      <c r="D130" s="29" t="s">
        <v>86</v>
      </c>
      <c r="E130" s="28"/>
      <c r="F130" s="28" t="s">
        <v>7207</v>
      </c>
      <c r="G130" s="28"/>
      <c r="H130" s="28" t="s">
        <v>7208</v>
      </c>
      <c r="I130" s="28" t="s">
        <v>3498</v>
      </c>
      <c r="J130" s="28" t="s">
        <v>7212</v>
      </c>
      <c r="K130" s="28" t="s">
        <v>7208</v>
      </c>
      <c r="L130" s="28" t="s">
        <v>989</v>
      </c>
      <c r="M130" s="28" t="s">
        <v>41</v>
      </c>
      <c r="N130" s="28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</row>
    <row r="131" spans="1:26" ht="14.4">
      <c r="A131" s="28" t="s">
        <v>5948</v>
      </c>
      <c r="B131" s="28" t="s">
        <v>7057</v>
      </c>
      <c r="C131" s="28" t="s">
        <v>85</v>
      </c>
      <c r="D131" s="29" t="s">
        <v>86</v>
      </c>
      <c r="E131" s="28"/>
      <c r="F131" s="28" t="s">
        <v>7222</v>
      </c>
      <c r="G131" s="28"/>
      <c r="H131" s="28" t="s">
        <v>7223</v>
      </c>
      <c r="I131" s="28" t="s">
        <v>7224</v>
      </c>
      <c r="J131" s="28" t="s">
        <v>7225</v>
      </c>
      <c r="K131" s="28" t="s">
        <v>7223</v>
      </c>
      <c r="L131" s="28" t="s">
        <v>2149</v>
      </c>
      <c r="M131" s="28" t="s">
        <v>41</v>
      </c>
      <c r="N131" s="28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</row>
    <row r="132" spans="1:26" ht="14.4">
      <c r="A132" s="28" t="s">
        <v>5948</v>
      </c>
      <c r="B132" s="28" t="s">
        <v>7057</v>
      </c>
      <c r="C132" s="28" t="s">
        <v>85</v>
      </c>
      <c r="D132" s="29" t="s">
        <v>86</v>
      </c>
      <c r="E132" s="28"/>
      <c r="F132" s="28" t="s">
        <v>7228</v>
      </c>
      <c r="G132" s="28"/>
      <c r="H132" s="28" t="s">
        <v>7230</v>
      </c>
      <c r="I132" s="28" t="s">
        <v>7224</v>
      </c>
      <c r="J132" s="28" t="s">
        <v>7232</v>
      </c>
      <c r="K132" s="28" t="s">
        <v>7230</v>
      </c>
      <c r="L132" s="28" t="s">
        <v>2149</v>
      </c>
      <c r="M132" s="28" t="s">
        <v>41</v>
      </c>
      <c r="N132" s="28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</row>
    <row r="133" spans="1:26" ht="14.4">
      <c r="A133" s="28" t="s">
        <v>5948</v>
      </c>
      <c r="B133" s="28" t="s">
        <v>7057</v>
      </c>
      <c r="C133" s="28" t="s">
        <v>233</v>
      </c>
      <c r="D133" s="29" t="s">
        <v>298</v>
      </c>
      <c r="E133" s="29"/>
      <c r="F133" s="28" t="s">
        <v>7235</v>
      </c>
      <c r="G133" s="28"/>
      <c r="H133" s="28" t="s">
        <v>7236</v>
      </c>
      <c r="I133" s="28" t="s">
        <v>521</v>
      </c>
      <c r="J133" s="28" t="s">
        <v>7239</v>
      </c>
      <c r="K133" s="28" t="s">
        <v>7236</v>
      </c>
      <c r="L133" s="28" t="s">
        <v>2166</v>
      </c>
      <c r="M133" s="28" t="s">
        <v>41</v>
      </c>
      <c r="N133" s="28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</row>
    <row r="134" spans="1:26" ht="14.4">
      <c r="A134" s="28" t="s">
        <v>5948</v>
      </c>
      <c r="B134" s="28" t="s">
        <v>7057</v>
      </c>
      <c r="C134" s="28" t="s">
        <v>233</v>
      </c>
      <c r="D134" s="29" t="s">
        <v>298</v>
      </c>
      <c r="E134" s="29"/>
      <c r="F134" s="28" t="s">
        <v>6478</v>
      </c>
      <c r="G134" s="28"/>
      <c r="H134" s="28" t="s">
        <v>7060</v>
      </c>
      <c r="I134" s="28" t="s">
        <v>434</v>
      </c>
      <c r="J134" s="28" t="s">
        <v>7248</v>
      </c>
      <c r="K134" s="28" t="s">
        <v>7060</v>
      </c>
      <c r="L134" s="28" t="s">
        <v>989</v>
      </c>
      <c r="M134" s="28" t="s">
        <v>41</v>
      </c>
      <c r="N134" s="28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</row>
    <row r="135" spans="1:26" ht="14.4">
      <c r="A135" s="28" t="s">
        <v>5948</v>
      </c>
      <c r="B135" s="28" t="s">
        <v>7057</v>
      </c>
      <c r="C135" s="28" t="s">
        <v>233</v>
      </c>
      <c r="D135" s="29" t="s">
        <v>298</v>
      </c>
      <c r="E135" s="29"/>
      <c r="F135" s="28" t="s">
        <v>6470</v>
      </c>
      <c r="G135" s="28"/>
      <c r="H135" s="28" t="s">
        <v>7254</v>
      </c>
      <c r="I135" s="28" t="s">
        <v>3181</v>
      </c>
      <c r="J135" s="28" t="s">
        <v>7257</v>
      </c>
      <c r="K135" s="28" t="s">
        <v>7254</v>
      </c>
      <c r="L135" s="28" t="s">
        <v>2149</v>
      </c>
      <c r="M135" s="28" t="s">
        <v>41</v>
      </c>
      <c r="N135" s="28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</row>
    <row r="136" spans="1:26" ht="14.4">
      <c r="A136" s="28" t="s">
        <v>5948</v>
      </c>
      <c r="B136" s="28" t="s">
        <v>7057</v>
      </c>
      <c r="C136" s="28" t="s">
        <v>220</v>
      </c>
      <c r="D136" s="29" t="s">
        <v>234</v>
      </c>
      <c r="E136" s="29"/>
      <c r="F136" s="28" t="s">
        <v>7269</v>
      </c>
      <c r="G136" s="28"/>
      <c r="H136" s="28" t="s">
        <v>7271</v>
      </c>
      <c r="I136" s="28" t="s">
        <v>521</v>
      </c>
      <c r="J136" s="28" t="s">
        <v>7272</v>
      </c>
      <c r="K136" s="28" t="s">
        <v>7271</v>
      </c>
      <c r="L136" s="28" t="s">
        <v>989</v>
      </c>
      <c r="M136" s="28" t="s">
        <v>41</v>
      </c>
      <c r="N136" s="28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</row>
    <row r="137" spans="1:26" ht="14.4">
      <c r="A137" s="28" t="s">
        <v>5948</v>
      </c>
      <c r="B137" s="28" t="s">
        <v>7057</v>
      </c>
      <c r="C137" s="28" t="s">
        <v>220</v>
      </c>
      <c r="D137" s="29" t="s">
        <v>234</v>
      </c>
      <c r="E137" s="29"/>
      <c r="F137" s="28" t="s">
        <v>7281</v>
      </c>
      <c r="G137" s="28"/>
      <c r="H137" s="28" t="s">
        <v>7283</v>
      </c>
      <c r="I137" s="28" t="s">
        <v>4786</v>
      </c>
      <c r="J137" s="28" t="s">
        <v>7287</v>
      </c>
      <c r="K137" s="28" t="s">
        <v>7283</v>
      </c>
      <c r="L137" s="28" t="s">
        <v>989</v>
      </c>
      <c r="M137" s="28" t="s">
        <v>41</v>
      </c>
      <c r="N137" s="28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</row>
    <row r="138" spans="1:26" ht="14.4">
      <c r="A138" s="28" t="s">
        <v>5948</v>
      </c>
      <c r="B138" s="28" t="s">
        <v>7057</v>
      </c>
      <c r="C138" s="28" t="s">
        <v>220</v>
      </c>
      <c r="D138" s="29" t="s">
        <v>234</v>
      </c>
      <c r="E138" s="29"/>
      <c r="F138" s="28" t="s">
        <v>7293</v>
      </c>
      <c r="G138" s="28"/>
      <c r="H138" s="28" t="s">
        <v>7295</v>
      </c>
      <c r="I138" s="28" t="s">
        <v>898</v>
      </c>
      <c r="J138" s="28" t="s">
        <v>7297</v>
      </c>
      <c r="K138" s="28" t="s">
        <v>7295</v>
      </c>
      <c r="L138" s="28" t="s">
        <v>2336</v>
      </c>
      <c r="M138" s="28" t="s">
        <v>41</v>
      </c>
      <c r="N138" s="28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</row>
    <row r="139" spans="1:26" ht="14.4">
      <c r="A139" s="28" t="s">
        <v>5948</v>
      </c>
      <c r="B139" s="28" t="s">
        <v>7057</v>
      </c>
      <c r="C139" s="28" t="s">
        <v>220</v>
      </c>
      <c r="D139" s="29" t="s">
        <v>234</v>
      </c>
      <c r="E139" s="29"/>
      <c r="F139" s="28" t="s">
        <v>7306</v>
      </c>
      <c r="G139" s="28"/>
      <c r="H139" s="28" t="s">
        <v>7254</v>
      </c>
      <c r="I139" s="28" t="s">
        <v>3181</v>
      </c>
      <c r="J139" s="28" t="s">
        <v>7307</v>
      </c>
      <c r="K139" s="28" t="s">
        <v>7254</v>
      </c>
      <c r="L139" s="28" t="s">
        <v>2149</v>
      </c>
      <c r="M139" s="28" t="s">
        <v>41</v>
      </c>
      <c r="N139" s="28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</row>
    <row r="140" spans="1:26" ht="14.4">
      <c r="A140" s="28" t="s">
        <v>5948</v>
      </c>
      <c r="B140" s="28" t="s">
        <v>7057</v>
      </c>
      <c r="C140" s="28" t="s">
        <v>79</v>
      </c>
      <c r="D140" s="29" t="s">
        <v>80</v>
      </c>
      <c r="E140" s="29"/>
      <c r="F140" s="28" t="s">
        <v>7315</v>
      </c>
      <c r="G140" s="28"/>
      <c r="H140" s="28" t="s">
        <v>7254</v>
      </c>
      <c r="I140" s="28" t="s">
        <v>3181</v>
      </c>
      <c r="J140" s="28" t="s">
        <v>7317</v>
      </c>
      <c r="K140" s="28" t="s">
        <v>7254</v>
      </c>
      <c r="L140" s="28" t="s">
        <v>2149</v>
      </c>
      <c r="M140" s="28" t="s">
        <v>41</v>
      </c>
      <c r="N140" s="28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</row>
    <row r="141" spans="1:26" ht="14.4">
      <c r="A141" s="28" t="s">
        <v>5948</v>
      </c>
      <c r="B141" s="28" t="s">
        <v>7057</v>
      </c>
      <c r="C141" s="28" t="s">
        <v>296</v>
      </c>
      <c r="D141" s="28" t="s">
        <v>954</v>
      </c>
      <c r="E141" s="28"/>
      <c r="F141" s="79" t="s">
        <v>7323</v>
      </c>
      <c r="G141" s="28"/>
      <c r="H141" s="28" t="s">
        <v>6190</v>
      </c>
      <c r="I141" s="28" t="s">
        <v>916</v>
      </c>
      <c r="J141" s="28" t="s">
        <v>6192</v>
      </c>
      <c r="K141" s="28"/>
      <c r="L141" s="28" t="s">
        <v>7329</v>
      </c>
      <c r="M141" s="28" t="s">
        <v>41</v>
      </c>
      <c r="N141" s="28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</row>
    <row r="142" spans="1:26" ht="14.4">
      <c r="A142" s="28" t="s">
        <v>5948</v>
      </c>
      <c r="B142" s="28" t="s">
        <v>7331</v>
      </c>
      <c r="C142" s="28" t="s">
        <v>85</v>
      </c>
      <c r="D142" s="29" t="s">
        <v>86</v>
      </c>
      <c r="E142" s="28"/>
      <c r="F142" s="28" t="s">
        <v>7335</v>
      </c>
      <c r="G142" s="28"/>
      <c r="H142" s="28" t="s">
        <v>7337</v>
      </c>
      <c r="I142" s="28" t="s">
        <v>7339</v>
      </c>
      <c r="J142" s="28" t="s">
        <v>7340</v>
      </c>
      <c r="K142" s="28" t="s">
        <v>7337</v>
      </c>
      <c r="L142" s="28" t="s">
        <v>2336</v>
      </c>
      <c r="M142" s="28" t="s">
        <v>41</v>
      </c>
      <c r="N142" s="28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</row>
    <row r="143" spans="1:26" ht="14.4">
      <c r="A143" s="28" t="s">
        <v>5948</v>
      </c>
      <c r="B143" s="28" t="s">
        <v>7331</v>
      </c>
      <c r="C143" s="28" t="s">
        <v>85</v>
      </c>
      <c r="D143" s="29" t="s">
        <v>86</v>
      </c>
      <c r="E143" s="28"/>
      <c r="F143" s="28" t="s">
        <v>7344</v>
      </c>
      <c r="G143" s="28"/>
      <c r="H143" s="28" t="s">
        <v>7346</v>
      </c>
      <c r="I143" s="28" t="s">
        <v>521</v>
      </c>
      <c r="J143" s="28" t="s">
        <v>7347</v>
      </c>
      <c r="K143" s="28" t="s">
        <v>7346</v>
      </c>
      <c r="L143" s="28" t="s">
        <v>2764</v>
      </c>
      <c r="M143" s="28" t="s">
        <v>41</v>
      </c>
      <c r="N143" s="28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</row>
    <row r="144" spans="1:26" ht="14.4">
      <c r="A144" s="28" t="s">
        <v>5948</v>
      </c>
      <c r="B144" s="28" t="s">
        <v>7331</v>
      </c>
      <c r="C144" s="28" t="s">
        <v>85</v>
      </c>
      <c r="D144" s="29" t="s">
        <v>86</v>
      </c>
      <c r="E144" s="28"/>
      <c r="F144" s="28" t="s">
        <v>7352</v>
      </c>
      <c r="G144" s="28"/>
      <c r="H144" s="28" t="s">
        <v>7353</v>
      </c>
      <c r="I144" s="28" t="s">
        <v>3498</v>
      </c>
      <c r="J144" s="28" t="s">
        <v>7354</v>
      </c>
      <c r="K144" s="28" t="s">
        <v>7353</v>
      </c>
      <c r="L144" s="28" t="s">
        <v>989</v>
      </c>
      <c r="M144" s="28" t="s">
        <v>41</v>
      </c>
      <c r="N144" s="28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</row>
    <row r="145" spans="1:26" ht="14.4">
      <c r="A145" s="28" t="s">
        <v>5948</v>
      </c>
      <c r="B145" s="28" t="s">
        <v>7331</v>
      </c>
      <c r="C145" s="28" t="s">
        <v>85</v>
      </c>
      <c r="D145" s="29" t="s">
        <v>86</v>
      </c>
      <c r="E145" s="28"/>
      <c r="F145" s="28" t="s">
        <v>7365</v>
      </c>
      <c r="G145" s="28"/>
      <c r="H145" s="28" t="s">
        <v>7367</v>
      </c>
      <c r="I145" s="28" t="s">
        <v>689</v>
      </c>
      <c r="J145" s="28" t="s">
        <v>7369</v>
      </c>
      <c r="K145" s="28" t="s">
        <v>7367</v>
      </c>
      <c r="L145" s="28" t="s">
        <v>989</v>
      </c>
      <c r="M145" s="28" t="s">
        <v>41</v>
      </c>
      <c r="N145" s="28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</row>
    <row r="146" spans="1:26" ht="14.4">
      <c r="A146" s="28" t="s">
        <v>5948</v>
      </c>
      <c r="B146" s="28" t="s">
        <v>7331</v>
      </c>
      <c r="C146" s="28" t="s">
        <v>85</v>
      </c>
      <c r="D146" s="29" t="s">
        <v>86</v>
      </c>
      <c r="E146" s="28"/>
      <c r="F146" s="28" t="s">
        <v>7375</v>
      </c>
      <c r="G146" s="28"/>
      <c r="H146" s="28" t="s">
        <v>7377</v>
      </c>
      <c r="I146" s="28" t="s">
        <v>7379</v>
      </c>
      <c r="J146" s="28" t="s">
        <v>7381</v>
      </c>
      <c r="K146" s="28" t="s">
        <v>7377</v>
      </c>
      <c r="L146" s="28" t="s">
        <v>989</v>
      </c>
      <c r="M146" s="28" t="s">
        <v>41</v>
      </c>
      <c r="N146" s="28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</row>
    <row r="147" spans="1:26" ht="14.4">
      <c r="A147" s="28" t="s">
        <v>5948</v>
      </c>
      <c r="B147" s="28" t="s">
        <v>7331</v>
      </c>
      <c r="C147" s="28" t="s">
        <v>85</v>
      </c>
      <c r="D147" s="29" t="s">
        <v>86</v>
      </c>
      <c r="E147" s="28"/>
      <c r="F147" s="28" t="s">
        <v>7388</v>
      </c>
      <c r="G147" s="28"/>
      <c r="H147" s="28" t="s">
        <v>7389</v>
      </c>
      <c r="I147" s="28" t="s">
        <v>1595</v>
      </c>
      <c r="J147" s="28" t="s">
        <v>7391</v>
      </c>
      <c r="K147" s="28" t="s">
        <v>7389</v>
      </c>
      <c r="L147" s="28" t="s">
        <v>7393</v>
      </c>
      <c r="M147" s="28" t="s">
        <v>41</v>
      </c>
      <c r="N147" s="28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</row>
    <row r="148" spans="1:26" ht="14.4">
      <c r="A148" s="28" t="s">
        <v>5948</v>
      </c>
      <c r="B148" s="28" t="s">
        <v>7331</v>
      </c>
      <c r="C148" s="28" t="s">
        <v>85</v>
      </c>
      <c r="D148" s="29" t="s">
        <v>86</v>
      </c>
      <c r="E148" s="28"/>
      <c r="F148" s="28" t="s">
        <v>7398</v>
      </c>
      <c r="G148" s="28"/>
      <c r="H148" s="28" t="s">
        <v>7399</v>
      </c>
      <c r="I148" s="28" t="s">
        <v>7400</v>
      </c>
      <c r="J148" s="28" t="s">
        <v>7401</v>
      </c>
      <c r="K148" s="28" t="s">
        <v>7399</v>
      </c>
      <c r="L148" s="28" t="s">
        <v>7120</v>
      </c>
      <c r="M148" s="28" t="s">
        <v>41</v>
      </c>
      <c r="N148" s="28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</row>
    <row r="149" spans="1:26" ht="14.4">
      <c r="A149" s="28" t="s">
        <v>5948</v>
      </c>
      <c r="B149" s="28" t="s">
        <v>7331</v>
      </c>
      <c r="C149" s="28" t="s">
        <v>85</v>
      </c>
      <c r="D149" s="29" t="s">
        <v>86</v>
      </c>
      <c r="E149" s="28"/>
      <c r="F149" s="28" t="s">
        <v>7408</v>
      </c>
      <c r="G149" s="28"/>
      <c r="H149" s="28" t="s">
        <v>7410</v>
      </c>
      <c r="I149" s="28" t="s">
        <v>7412</v>
      </c>
      <c r="J149" s="28" t="s">
        <v>7413</v>
      </c>
      <c r="K149" s="28" t="s">
        <v>7410</v>
      </c>
      <c r="L149" s="28" t="s">
        <v>7120</v>
      </c>
      <c r="M149" s="28" t="s">
        <v>41</v>
      </c>
      <c r="N149" s="28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</row>
    <row r="150" spans="1:26" ht="14.4">
      <c r="A150" s="28" t="s">
        <v>5948</v>
      </c>
      <c r="B150" s="28" t="s">
        <v>7331</v>
      </c>
      <c r="C150" s="28" t="s">
        <v>85</v>
      </c>
      <c r="D150" s="29" t="s">
        <v>86</v>
      </c>
      <c r="E150" s="28"/>
      <c r="F150" s="28" t="s">
        <v>7419</v>
      </c>
      <c r="G150" s="28"/>
      <c r="H150" s="28" t="s">
        <v>7420</v>
      </c>
      <c r="I150" s="28" t="s">
        <v>7412</v>
      </c>
      <c r="J150" s="28" t="s">
        <v>7422</v>
      </c>
      <c r="K150" s="28" t="s">
        <v>7420</v>
      </c>
      <c r="L150" s="28" t="s">
        <v>7120</v>
      </c>
      <c r="M150" s="28" t="s">
        <v>41</v>
      </c>
      <c r="N150" s="28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</row>
    <row r="151" spans="1:26" ht="14.4">
      <c r="A151" s="28" t="s">
        <v>5948</v>
      </c>
      <c r="B151" s="28" t="s">
        <v>7331</v>
      </c>
      <c r="C151" s="28" t="s">
        <v>85</v>
      </c>
      <c r="D151" s="29" t="s">
        <v>86</v>
      </c>
      <c r="E151" s="28"/>
      <c r="F151" s="28" t="s">
        <v>7425</v>
      </c>
      <c r="G151" s="28"/>
      <c r="H151" s="28" t="s">
        <v>7426</v>
      </c>
      <c r="I151" s="28" t="s">
        <v>521</v>
      </c>
      <c r="J151" s="28" t="s">
        <v>7427</v>
      </c>
      <c r="K151" s="28" t="s">
        <v>7426</v>
      </c>
      <c r="L151" s="28" t="s">
        <v>7120</v>
      </c>
      <c r="M151" s="28" t="s">
        <v>41</v>
      </c>
      <c r="N151" s="28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</row>
    <row r="152" spans="1:26" ht="14.4">
      <c r="A152" s="28" t="s">
        <v>5948</v>
      </c>
      <c r="B152" s="28" t="s">
        <v>7331</v>
      </c>
      <c r="C152" s="28" t="s">
        <v>85</v>
      </c>
      <c r="D152" s="29" t="s">
        <v>86</v>
      </c>
      <c r="E152" s="28"/>
      <c r="F152" s="28" t="s">
        <v>7429</v>
      </c>
      <c r="G152" s="28"/>
      <c r="H152" s="28" t="s">
        <v>7430</v>
      </c>
      <c r="I152" s="28" t="s">
        <v>521</v>
      </c>
      <c r="J152" s="28" t="s">
        <v>7432</v>
      </c>
      <c r="K152" s="28" t="s">
        <v>7430</v>
      </c>
      <c r="L152" s="28" t="s">
        <v>7120</v>
      </c>
      <c r="M152" s="28" t="s">
        <v>41</v>
      </c>
      <c r="N152" s="28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</row>
    <row r="153" spans="1:26" ht="14.4">
      <c r="A153" s="28" t="s">
        <v>5948</v>
      </c>
      <c r="B153" s="28" t="s">
        <v>7331</v>
      </c>
      <c r="C153" s="28" t="s">
        <v>85</v>
      </c>
      <c r="D153" s="29" t="s">
        <v>86</v>
      </c>
      <c r="E153" s="28"/>
      <c r="F153" s="28" t="s">
        <v>7434</v>
      </c>
      <c r="G153" s="28"/>
      <c r="H153" s="28" t="s">
        <v>7436</v>
      </c>
      <c r="I153" s="28" t="s">
        <v>7438</v>
      </c>
      <c r="J153" s="28" t="s">
        <v>7440</v>
      </c>
      <c r="K153" s="28" t="s">
        <v>7436</v>
      </c>
      <c r="L153" s="28" t="s">
        <v>2764</v>
      </c>
      <c r="M153" s="28" t="s">
        <v>41</v>
      </c>
      <c r="N153" s="28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</row>
    <row r="154" spans="1:26" ht="14.4">
      <c r="A154" s="28" t="s">
        <v>5948</v>
      </c>
      <c r="B154" s="28" t="s">
        <v>7331</v>
      </c>
      <c r="C154" s="28" t="s">
        <v>85</v>
      </c>
      <c r="D154" s="29" t="s">
        <v>86</v>
      </c>
      <c r="E154" s="28"/>
      <c r="F154" s="28" t="s">
        <v>7445</v>
      </c>
      <c r="G154" s="28"/>
      <c r="H154" s="28" t="s">
        <v>7447</v>
      </c>
      <c r="I154" s="28" t="s">
        <v>2400</v>
      </c>
      <c r="J154" s="28" t="s">
        <v>7449</v>
      </c>
      <c r="K154" s="28" t="s">
        <v>7447</v>
      </c>
      <c r="L154" s="28" t="s">
        <v>7451</v>
      </c>
      <c r="M154" s="28" t="s">
        <v>41</v>
      </c>
      <c r="N154" s="28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</row>
    <row r="155" spans="1:26" ht="14.4">
      <c r="A155" s="28" t="s">
        <v>5948</v>
      </c>
      <c r="B155" s="28" t="s">
        <v>7331</v>
      </c>
      <c r="C155" s="28" t="s">
        <v>85</v>
      </c>
      <c r="D155" s="29" t="s">
        <v>86</v>
      </c>
      <c r="E155" s="28"/>
      <c r="F155" s="28" t="s">
        <v>7454</v>
      </c>
      <c r="G155" s="28"/>
      <c r="H155" s="28" t="s">
        <v>7455</v>
      </c>
      <c r="I155" s="28" t="s">
        <v>7412</v>
      </c>
      <c r="J155" s="28" t="s">
        <v>7459</v>
      </c>
      <c r="K155" s="28" t="s">
        <v>7455</v>
      </c>
      <c r="L155" s="28" t="s">
        <v>7460</v>
      </c>
      <c r="M155" s="28" t="s">
        <v>41</v>
      </c>
      <c r="N155" s="28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</row>
    <row r="156" spans="1:26" ht="14.4">
      <c r="A156" s="28" t="s">
        <v>5948</v>
      </c>
      <c r="B156" s="28" t="s">
        <v>7331</v>
      </c>
      <c r="C156" s="28" t="s">
        <v>85</v>
      </c>
      <c r="D156" s="29" t="s">
        <v>86</v>
      </c>
      <c r="E156" s="28"/>
      <c r="F156" s="28" t="s">
        <v>7461</v>
      </c>
      <c r="G156" s="28"/>
      <c r="H156" s="28" t="s">
        <v>7463</v>
      </c>
      <c r="I156" s="28" t="s">
        <v>2400</v>
      </c>
      <c r="J156" s="28" t="s">
        <v>7465</v>
      </c>
      <c r="K156" s="28" t="s">
        <v>7463</v>
      </c>
      <c r="L156" s="28" t="s">
        <v>7467</v>
      </c>
      <c r="M156" s="28" t="s">
        <v>41</v>
      </c>
      <c r="N156" s="28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</row>
    <row r="157" spans="1:26" ht="14.4">
      <c r="A157" s="28" t="s">
        <v>5948</v>
      </c>
      <c r="B157" s="28" t="s">
        <v>7331</v>
      </c>
      <c r="C157" s="28" t="s">
        <v>85</v>
      </c>
      <c r="D157" s="29" t="s">
        <v>86</v>
      </c>
      <c r="E157" s="28"/>
      <c r="F157" s="28" t="s">
        <v>7471</v>
      </c>
      <c r="G157" s="28"/>
      <c r="H157" s="28" t="s">
        <v>7472</v>
      </c>
      <c r="I157" s="28" t="s">
        <v>7438</v>
      </c>
      <c r="J157" s="28" t="s">
        <v>7474</v>
      </c>
      <c r="K157" s="28" t="s">
        <v>7472</v>
      </c>
      <c r="L157" s="28" t="s">
        <v>7477</v>
      </c>
      <c r="M157" s="28" t="s">
        <v>41</v>
      </c>
      <c r="N157" s="28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</row>
    <row r="158" spans="1:26" ht="14.4">
      <c r="A158" s="28" t="s">
        <v>5948</v>
      </c>
      <c r="B158" s="28" t="s">
        <v>7331</v>
      </c>
      <c r="C158" s="28" t="s">
        <v>220</v>
      </c>
      <c r="D158" s="29" t="s">
        <v>234</v>
      </c>
      <c r="E158" s="29"/>
      <c r="F158" s="28" t="s">
        <v>7481</v>
      </c>
      <c r="G158" s="28"/>
      <c r="H158" s="28" t="s">
        <v>7484</v>
      </c>
      <c r="I158" s="28" t="s">
        <v>898</v>
      </c>
      <c r="J158" s="28" t="s">
        <v>7485</v>
      </c>
      <c r="K158" s="28" t="s">
        <v>7484</v>
      </c>
      <c r="L158" s="28" t="s">
        <v>2764</v>
      </c>
      <c r="M158" s="28" t="s">
        <v>41</v>
      </c>
      <c r="N158" s="28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</row>
    <row r="159" spans="1:26" ht="14.4">
      <c r="A159" s="28" t="s">
        <v>5948</v>
      </c>
      <c r="B159" s="28" t="s">
        <v>7331</v>
      </c>
      <c r="C159" s="28" t="s">
        <v>220</v>
      </c>
      <c r="D159" s="29" t="s">
        <v>234</v>
      </c>
      <c r="E159" s="29"/>
      <c r="F159" s="28" t="s">
        <v>7487</v>
      </c>
      <c r="G159" s="28"/>
      <c r="H159" s="28" t="s">
        <v>7488</v>
      </c>
      <c r="I159" s="28" t="s">
        <v>7489</v>
      </c>
      <c r="J159" s="28" t="s">
        <v>7490</v>
      </c>
      <c r="K159" s="28" t="s">
        <v>7488</v>
      </c>
      <c r="L159" s="28" t="s">
        <v>989</v>
      </c>
      <c r="M159" s="28" t="s">
        <v>41</v>
      </c>
      <c r="N159" s="28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</row>
    <row r="160" spans="1:26" ht="14.4">
      <c r="A160" s="28" t="s">
        <v>5948</v>
      </c>
      <c r="B160" s="28" t="s">
        <v>7331</v>
      </c>
      <c r="C160" s="28" t="s">
        <v>220</v>
      </c>
      <c r="D160" s="29" t="s">
        <v>234</v>
      </c>
      <c r="E160" s="29"/>
      <c r="F160" s="28" t="s">
        <v>7495</v>
      </c>
      <c r="G160" s="28"/>
      <c r="H160" s="28" t="s">
        <v>7496</v>
      </c>
      <c r="I160" s="28" t="s">
        <v>521</v>
      </c>
      <c r="J160" s="28" t="s">
        <v>7498</v>
      </c>
      <c r="K160" s="28" t="s">
        <v>7496</v>
      </c>
      <c r="L160" s="28" t="s">
        <v>7120</v>
      </c>
      <c r="M160" s="28" t="s">
        <v>41</v>
      </c>
      <c r="N160" s="28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</row>
    <row r="161" spans="1:26" ht="14.4">
      <c r="A161" s="28" t="s">
        <v>5948</v>
      </c>
      <c r="B161" s="28" t="s">
        <v>7331</v>
      </c>
      <c r="C161" s="28" t="s">
        <v>233</v>
      </c>
      <c r="D161" s="29" t="s">
        <v>298</v>
      </c>
      <c r="E161" s="29"/>
      <c r="F161" s="28" t="s">
        <v>7501</v>
      </c>
      <c r="G161" s="28"/>
      <c r="H161" s="28" t="s">
        <v>7502</v>
      </c>
      <c r="I161" s="28" t="s">
        <v>7503</v>
      </c>
      <c r="J161" s="28" t="s">
        <v>7504</v>
      </c>
      <c r="K161" s="28" t="s">
        <v>7502</v>
      </c>
      <c r="L161" s="28" t="s">
        <v>989</v>
      </c>
      <c r="M161" s="28" t="s">
        <v>41</v>
      </c>
      <c r="N161" s="28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</row>
    <row r="162" spans="1:26" ht="14.4">
      <c r="A162" s="28" t="s">
        <v>5948</v>
      </c>
      <c r="B162" s="28" t="s">
        <v>7331</v>
      </c>
      <c r="C162" s="28" t="s">
        <v>233</v>
      </c>
      <c r="D162" s="29" t="s">
        <v>298</v>
      </c>
      <c r="E162" s="29"/>
      <c r="F162" s="28" t="s">
        <v>7509</v>
      </c>
      <c r="G162" s="28"/>
      <c r="H162" s="28" t="s">
        <v>7496</v>
      </c>
      <c r="I162" s="28" t="s">
        <v>521</v>
      </c>
      <c r="J162" s="28" t="s">
        <v>7510</v>
      </c>
      <c r="K162" s="28" t="s">
        <v>7496</v>
      </c>
      <c r="L162" s="28" t="s">
        <v>7120</v>
      </c>
      <c r="M162" s="28" t="s">
        <v>41</v>
      </c>
      <c r="N162" s="28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</row>
    <row r="163" spans="1:26" ht="14.4">
      <c r="A163" s="28" t="s">
        <v>5948</v>
      </c>
      <c r="B163" s="28" t="s">
        <v>7331</v>
      </c>
      <c r="C163" s="28" t="s">
        <v>233</v>
      </c>
      <c r="D163" s="29" t="s">
        <v>298</v>
      </c>
      <c r="E163" s="29"/>
      <c r="F163" s="28" t="s">
        <v>7513</v>
      </c>
      <c r="G163" s="28"/>
      <c r="H163" s="28" t="s">
        <v>7426</v>
      </c>
      <c r="I163" s="28" t="s">
        <v>521</v>
      </c>
      <c r="J163" s="28" t="s">
        <v>7515</v>
      </c>
      <c r="K163" s="28" t="s">
        <v>7426</v>
      </c>
      <c r="L163" s="28" t="s">
        <v>7120</v>
      </c>
      <c r="M163" s="28" t="s">
        <v>41</v>
      </c>
      <c r="N163" s="28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</row>
    <row r="164" spans="1:26" ht="14.4">
      <c r="A164" s="28" t="s">
        <v>5948</v>
      </c>
      <c r="B164" s="28" t="s">
        <v>7331</v>
      </c>
      <c r="C164" s="28" t="s">
        <v>275</v>
      </c>
      <c r="D164" s="28" t="s">
        <v>543</v>
      </c>
      <c r="E164" s="28"/>
      <c r="F164" s="79" t="s">
        <v>7519</v>
      </c>
      <c r="G164" s="28"/>
      <c r="H164" s="28" t="s">
        <v>7430</v>
      </c>
      <c r="I164" s="28" t="s">
        <v>521</v>
      </c>
      <c r="J164" s="28" t="s">
        <v>5376</v>
      </c>
      <c r="K164" s="28" t="s">
        <v>7430</v>
      </c>
      <c r="L164" s="28" t="s">
        <v>7120</v>
      </c>
      <c r="M164" s="28" t="s">
        <v>41</v>
      </c>
      <c r="N164" s="28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4.4">
      <c r="A165" s="28" t="s">
        <v>5948</v>
      </c>
      <c r="B165" s="28" t="s">
        <v>5962</v>
      </c>
      <c r="C165" s="28" t="s">
        <v>233</v>
      </c>
      <c r="D165" s="29" t="s">
        <v>298</v>
      </c>
      <c r="E165" s="28"/>
      <c r="F165" s="28" t="s">
        <v>7524</v>
      </c>
      <c r="G165" s="28"/>
      <c r="H165" s="28" t="s">
        <v>6219</v>
      </c>
      <c r="I165" s="28" t="s">
        <v>933</v>
      </c>
      <c r="J165" s="28" t="s">
        <v>6400</v>
      </c>
      <c r="K165" s="28" t="s">
        <v>6401</v>
      </c>
      <c r="L165" s="28" t="s">
        <v>6223</v>
      </c>
      <c r="M165" s="28" t="s">
        <v>41</v>
      </c>
      <c r="N165" s="28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</row>
    <row r="166" spans="1:26" ht="14.4">
      <c r="A166" s="28" t="s">
        <v>5948</v>
      </c>
      <c r="B166" s="28" t="s">
        <v>6754</v>
      </c>
      <c r="C166" s="28" t="s">
        <v>233</v>
      </c>
      <c r="D166" s="29" t="s">
        <v>298</v>
      </c>
      <c r="E166" s="28"/>
      <c r="F166" s="28" t="s">
        <v>7528</v>
      </c>
      <c r="G166" s="28"/>
      <c r="H166" s="28" t="s">
        <v>6777</v>
      </c>
      <c r="I166" s="28" t="s">
        <v>6778</v>
      </c>
      <c r="J166" s="28" t="s">
        <v>7005</v>
      </c>
      <c r="K166" s="28" t="s">
        <v>6777</v>
      </c>
      <c r="L166" s="28" t="s">
        <v>2794</v>
      </c>
      <c r="M166" s="28" t="s">
        <v>41</v>
      </c>
      <c r="N166" s="28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</row>
    <row r="167" spans="1:26" ht="14.4">
      <c r="A167" s="28" t="s">
        <v>5948</v>
      </c>
      <c r="B167" s="28" t="s">
        <v>6484</v>
      </c>
      <c r="C167" s="28" t="s">
        <v>220</v>
      </c>
      <c r="D167" s="29" t="s">
        <v>234</v>
      </c>
      <c r="E167" s="28"/>
      <c r="F167" s="28" t="s">
        <v>7534</v>
      </c>
      <c r="G167" s="28"/>
      <c r="H167" s="28" t="s">
        <v>521</v>
      </c>
      <c r="I167" s="28" t="s">
        <v>7272</v>
      </c>
      <c r="J167" s="28" t="s">
        <v>7271</v>
      </c>
      <c r="K167" s="28" t="s">
        <v>989</v>
      </c>
      <c r="L167" s="28" t="s">
        <v>41</v>
      </c>
      <c r="M167" s="28"/>
      <c r="N167" s="28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</row>
    <row r="168" spans="1:26" ht="14.4">
      <c r="A168" s="28" t="s">
        <v>5948</v>
      </c>
      <c r="B168" s="28" t="s">
        <v>6484</v>
      </c>
      <c r="C168" s="28" t="s">
        <v>220</v>
      </c>
      <c r="D168" s="29" t="s">
        <v>234</v>
      </c>
      <c r="E168" s="28"/>
      <c r="F168" s="28" t="s">
        <v>7539</v>
      </c>
      <c r="G168" s="28"/>
      <c r="H168" s="28" t="s">
        <v>4786</v>
      </c>
      <c r="I168" s="28" t="s">
        <v>7287</v>
      </c>
      <c r="J168" s="28" t="s">
        <v>7283</v>
      </c>
      <c r="K168" s="28" t="s">
        <v>989</v>
      </c>
      <c r="L168" s="28" t="s">
        <v>41</v>
      </c>
      <c r="M168" s="28"/>
      <c r="N168" s="28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</row>
    <row r="169" spans="1:26" ht="14.4">
      <c r="A169" s="28" t="s">
        <v>5948</v>
      </c>
      <c r="B169" s="28" t="s">
        <v>6484</v>
      </c>
      <c r="C169" s="28" t="s">
        <v>220</v>
      </c>
      <c r="D169" s="29" t="s">
        <v>234</v>
      </c>
      <c r="E169" s="28"/>
      <c r="F169" s="28" t="s">
        <v>7543</v>
      </c>
      <c r="G169" s="28"/>
      <c r="H169" s="28" t="s">
        <v>898</v>
      </c>
      <c r="I169" s="28" t="s">
        <v>7297</v>
      </c>
      <c r="J169" s="28" t="s">
        <v>7295</v>
      </c>
      <c r="K169" s="28" t="s">
        <v>2336</v>
      </c>
      <c r="L169" s="28" t="s">
        <v>41</v>
      </c>
      <c r="M169" s="28"/>
      <c r="N169" s="28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</row>
    <row r="170" spans="1:26" ht="14.4">
      <c r="A170" s="28" t="s">
        <v>5948</v>
      </c>
      <c r="B170" s="28" t="s">
        <v>6484</v>
      </c>
      <c r="C170" s="28" t="s">
        <v>220</v>
      </c>
      <c r="D170" s="29" t="s">
        <v>234</v>
      </c>
      <c r="E170" s="28"/>
      <c r="F170" s="28" t="s">
        <v>7548</v>
      </c>
      <c r="G170" s="28"/>
      <c r="H170" s="28" t="s">
        <v>3181</v>
      </c>
      <c r="I170" s="28" t="s">
        <v>7307</v>
      </c>
      <c r="J170" s="28" t="s">
        <v>7254</v>
      </c>
      <c r="K170" s="28" t="s">
        <v>2149</v>
      </c>
      <c r="L170" s="28" t="s">
        <v>41</v>
      </c>
      <c r="M170" s="28"/>
      <c r="N170" s="28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</row>
    <row r="171" spans="1:26" ht="14.4">
      <c r="A171" s="28" t="s">
        <v>5948</v>
      </c>
      <c r="B171" s="28" t="s">
        <v>6484</v>
      </c>
      <c r="C171" s="28" t="s">
        <v>220</v>
      </c>
      <c r="D171" s="29" t="s">
        <v>234</v>
      </c>
      <c r="E171" s="28"/>
      <c r="F171" s="28" t="s">
        <v>7551</v>
      </c>
      <c r="G171" s="28"/>
      <c r="H171" s="28" t="s">
        <v>898</v>
      </c>
      <c r="I171" s="28" t="s">
        <v>7485</v>
      </c>
      <c r="J171" s="28" t="s">
        <v>7484</v>
      </c>
      <c r="K171" s="28" t="s">
        <v>2764</v>
      </c>
      <c r="L171" s="28" t="s">
        <v>41</v>
      </c>
      <c r="M171" s="28"/>
      <c r="N171" s="28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</row>
    <row r="172" spans="1:26" ht="14.4">
      <c r="A172" s="28" t="s">
        <v>5948</v>
      </c>
      <c r="B172" s="28" t="s">
        <v>5962</v>
      </c>
      <c r="C172" s="28" t="s">
        <v>79</v>
      </c>
      <c r="D172" s="29" t="s">
        <v>80</v>
      </c>
      <c r="E172" s="28"/>
      <c r="F172" s="29" t="s">
        <v>7558</v>
      </c>
      <c r="G172" s="28"/>
      <c r="H172" s="28" t="s">
        <v>5966</v>
      </c>
      <c r="I172" s="28" t="s">
        <v>5967</v>
      </c>
      <c r="J172" s="28" t="s">
        <v>5993</v>
      </c>
      <c r="K172" s="28" t="s">
        <v>5966</v>
      </c>
      <c r="L172" s="28" t="s">
        <v>2149</v>
      </c>
      <c r="M172" s="28" t="s">
        <v>41</v>
      </c>
      <c r="N172" s="28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</row>
    <row r="173" spans="1:26" ht="14.4">
      <c r="A173" s="28" t="s">
        <v>5948</v>
      </c>
      <c r="B173" s="28" t="s">
        <v>6754</v>
      </c>
      <c r="C173" s="28" t="s">
        <v>79</v>
      </c>
      <c r="D173" s="29" t="s">
        <v>80</v>
      </c>
      <c r="E173" s="28"/>
      <c r="F173" s="29" t="s">
        <v>7564</v>
      </c>
      <c r="G173" s="28"/>
      <c r="H173" s="28" t="s">
        <v>6556</v>
      </c>
      <c r="I173" s="28" t="s">
        <v>6738</v>
      </c>
      <c r="J173" s="28" t="s">
        <v>6739</v>
      </c>
      <c r="K173" s="28" t="s">
        <v>6556</v>
      </c>
      <c r="L173" s="28" t="s">
        <v>2149</v>
      </c>
      <c r="M173" s="28" t="s">
        <v>41</v>
      </c>
      <c r="N173" s="28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</row>
    <row r="174" spans="1:26" ht="14.4">
      <c r="A174" s="28" t="s">
        <v>5948</v>
      </c>
      <c r="B174" s="28" t="s">
        <v>7057</v>
      </c>
      <c r="C174" s="28" t="s">
        <v>79</v>
      </c>
      <c r="D174" s="29" t="s">
        <v>80</v>
      </c>
      <c r="E174" s="28"/>
      <c r="F174" s="29" t="s">
        <v>7572</v>
      </c>
      <c r="G174" s="28"/>
      <c r="H174" s="28" t="s">
        <v>7254</v>
      </c>
      <c r="I174" s="28" t="s">
        <v>3181</v>
      </c>
      <c r="J174" s="28" t="s">
        <v>7317</v>
      </c>
      <c r="K174" s="28" t="s">
        <v>7254</v>
      </c>
      <c r="L174" s="28" t="s">
        <v>2149</v>
      </c>
      <c r="M174" s="28" t="s">
        <v>41</v>
      </c>
      <c r="N174" s="28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</row>
    <row r="175" spans="1:26" ht="14.4">
      <c r="A175" s="28" t="s">
        <v>5948</v>
      </c>
      <c r="B175" s="28" t="s">
        <v>1379</v>
      </c>
      <c r="C175" s="107" t="s">
        <v>319</v>
      </c>
      <c r="D175" s="28" t="s">
        <v>796</v>
      </c>
      <c r="E175" s="107"/>
      <c r="F175" s="79" t="s">
        <v>7578</v>
      </c>
      <c r="G175" s="28"/>
      <c r="H175" s="28" t="s">
        <v>6063</v>
      </c>
      <c r="I175" s="28" t="s">
        <v>6065</v>
      </c>
      <c r="J175" s="28" t="s">
        <v>6067</v>
      </c>
      <c r="K175" s="28" t="s">
        <v>6063</v>
      </c>
      <c r="L175" s="28" t="s">
        <v>6075</v>
      </c>
      <c r="M175" s="28" t="s">
        <v>41</v>
      </c>
      <c r="N175" s="28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</row>
    <row r="176" spans="1:26" ht="14.4">
      <c r="A176" s="28" t="s">
        <v>5948</v>
      </c>
      <c r="B176" s="28" t="s">
        <v>1379</v>
      </c>
      <c r="C176" s="107" t="s">
        <v>319</v>
      </c>
      <c r="D176" s="28" t="s">
        <v>796</v>
      </c>
      <c r="E176" s="107"/>
      <c r="F176" s="79" t="s">
        <v>7586</v>
      </c>
      <c r="G176" s="28"/>
      <c r="H176" s="28" t="s">
        <v>6063</v>
      </c>
      <c r="I176" s="28" t="s">
        <v>6065</v>
      </c>
      <c r="J176" s="28" t="s">
        <v>6098</v>
      </c>
      <c r="K176" s="28" t="s">
        <v>6063</v>
      </c>
      <c r="L176" s="28" t="s">
        <v>6075</v>
      </c>
      <c r="M176" s="28" t="s">
        <v>41</v>
      </c>
      <c r="N176" s="28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</row>
    <row r="177" spans="1:26" ht="14.4">
      <c r="A177" s="28" t="s">
        <v>5948</v>
      </c>
      <c r="B177" s="28" t="s">
        <v>1379</v>
      </c>
      <c r="C177" s="107" t="s">
        <v>319</v>
      </c>
      <c r="D177" s="28" t="s">
        <v>796</v>
      </c>
      <c r="E177" s="107"/>
      <c r="F177" s="79" t="s">
        <v>7590</v>
      </c>
      <c r="G177" s="28"/>
      <c r="H177" s="28" t="s">
        <v>6063</v>
      </c>
      <c r="I177" s="28" t="s">
        <v>6065</v>
      </c>
      <c r="J177" s="28" t="s">
        <v>7591</v>
      </c>
      <c r="K177" s="28" t="s">
        <v>6063</v>
      </c>
      <c r="L177" s="28" t="s">
        <v>6075</v>
      </c>
      <c r="M177" s="28" t="s">
        <v>41</v>
      </c>
      <c r="N177" s="28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</row>
    <row r="178" spans="1:26" ht="14.4">
      <c r="A178" s="28" t="s">
        <v>5948</v>
      </c>
      <c r="B178" s="28" t="s">
        <v>1379</v>
      </c>
      <c r="C178" s="107" t="s">
        <v>319</v>
      </c>
      <c r="D178" s="28" t="s">
        <v>796</v>
      </c>
      <c r="E178" s="107"/>
      <c r="F178" s="79" t="s">
        <v>7595</v>
      </c>
      <c r="G178" s="28"/>
      <c r="H178" s="28" t="s">
        <v>6063</v>
      </c>
      <c r="I178" s="28" t="s">
        <v>6065</v>
      </c>
      <c r="J178" s="28" t="s">
        <v>7596</v>
      </c>
      <c r="K178" s="28" t="s">
        <v>6063</v>
      </c>
      <c r="L178" s="28" t="s">
        <v>6075</v>
      </c>
      <c r="M178" s="28" t="s">
        <v>41</v>
      </c>
      <c r="N178" s="28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</row>
    <row r="179" spans="1:26" ht="14.4">
      <c r="A179" s="28" t="s">
        <v>5948</v>
      </c>
      <c r="B179" s="28" t="s">
        <v>1379</v>
      </c>
      <c r="C179" s="107" t="s">
        <v>319</v>
      </c>
      <c r="D179" s="28" t="s">
        <v>796</v>
      </c>
      <c r="E179" s="107"/>
      <c r="F179" s="79" t="s">
        <v>7600</v>
      </c>
      <c r="G179" s="28"/>
      <c r="H179" s="28" t="s">
        <v>6063</v>
      </c>
      <c r="I179" s="28" t="s">
        <v>6065</v>
      </c>
      <c r="J179" s="28" t="s">
        <v>7603</v>
      </c>
      <c r="K179" s="28" t="s">
        <v>6063</v>
      </c>
      <c r="L179" s="28" t="s">
        <v>6075</v>
      </c>
      <c r="M179" s="28" t="s">
        <v>41</v>
      </c>
      <c r="N179" s="28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</row>
    <row r="180" spans="1:26" ht="14.4">
      <c r="A180" s="28" t="s">
        <v>5948</v>
      </c>
      <c r="B180" s="28" t="s">
        <v>1379</v>
      </c>
      <c r="C180" s="107" t="s">
        <v>319</v>
      </c>
      <c r="D180" s="28" t="s">
        <v>796</v>
      </c>
      <c r="E180" s="107"/>
      <c r="F180" s="79" t="s">
        <v>7608</v>
      </c>
      <c r="G180" s="28"/>
      <c r="H180" s="28" t="s">
        <v>6063</v>
      </c>
      <c r="I180" s="28" t="s">
        <v>6065</v>
      </c>
      <c r="J180" s="28" t="s">
        <v>7610</v>
      </c>
      <c r="K180" s="28" t="s">
        <v>6063</v>
      </c>
      <c r="L180" s="28" t="s">
        <v>6075</v>
      </c>
      <c r="M180" s="28" t="s">
        <v>41</v>
      </c>
      <c r="N180" s="28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</row>
    <row r="181" spans="1:26" ht="14.4">
      <c r="A181" s="28" t="s">
        <v>5948</v>
      </c>
      <c r="B181" s="28" t="s">
        <v>1379</v>
      </c>
      <c r="C181" s="107" t="s">
        <v>319</v>
      </c>
      <c r="D181" s="28" t="s">
        <v>796</v>
      </c>
      <c r="E181" s="107"/>
      <c r="F181" s="79" t="s">
        <v>7613</v>
      </c>
      <c r="G181" s="28"/>
      <c r="H181" s="28" t="s">
        <v>6063</v>
      </c>
      <c r="I181" s="28" t="s">
        <v>6065</v>
      </c>
      <c r="J181" s="28" t="s">
        <v>7615</v>
      </c>
      <c r="K181" s="28" t="s">
        <v>6063</v>
      </c>
      <c r="L181" s="28" t="s">
        <v>6075</v>
      </c>
      <c r="M181" s="28" t="s">
        <v>41</v>
      </c>
      <c r="N181" s="28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</row>
    <row r="182" spans="1:26" ht="14.4">
      <c r="A182" s="28" t="s">
        <v>5948</v>
      </c>
      <c r="B182" s="28" t="s">
        <v>1379</v>
      </c>
      <c r="C182" s="107" t="s">
        <v>319</v>
      </c>
      <c r="D182" s="28" t="s">
        <v>796</v>
      </c>
      <c r="E182" s="107"/>
      <c r="F182" s="79" t="s">
        <v>7618</v>
      </c>
      <c r="G182" s="28"/>
      <c r="H182" s="28" t="s">
        <v>6063</v>
      </c>
      <c r="I182" s="28" t="s">
        <v>6065</v>
      </c>
      <c r="J182" s="28" t="s">
        <v>7619</v>
      </c>
      <c r="K182" s="28" t="s">
        <v>6063</v>
      </c>
      <c r="L182" s="28" t="s">
        <v>6075</v>
      </c>
      <c r="M182" s="28" t="s">
        <v>41</v>
      </c>
      <c r="N182" s="28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</row>
    <row r="183" spans="1:26" ht="14.4">
      <c r="A183" s="28" t="s">
        <v>5948</v>
      </c>
      <c r="B183" s="28" t="s">
        <v>1379</v>
      </c>
      <c r="C183" s="107" t="s">
        <v>319</v>
      </c>
      <c r="D183" s="28" t="s">
        <v>796</v>
      </c>
      <c r="E183" s="107"/>
      <c r="F183" s="79" t="s">
        <v>7622</v>
      </c>
      <c r="G183" s="28"/>
      <c r="H183" s="28" t="s">
        <v>6063</v>
      </c>
      <c r="I183" s="28" t="s">
        <v>6065</v>
      </c>
      <c r="J183" s="28" t="s">
        <v>7624</v>
      </c>
      <c r="K183" s="28" t="s">
        <v>6063</v>
      </c>
      <c r="L183" s="28" t="s">
        <v>6075</v>
      </c>
      <c r="M183" s="28" t="s">
        <v>41</v>
      </c>
      <c r="N183" s="28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</row>
    <row r="184" spans="1:26" ht="14.4">
      <c r="A184" s="28" t="s">
        <v>5948</v>
      </c>
      <c r="B184" s="28" t="s">
        <v>1379</v>
      </c>
      <c r="C184" s="107" t="s">
        <v>319</v>
      </c>
      <c r="D184" s="28" t="s">
        <v>796</v>
      </c>
      <c r="E184" s="107"/>
      <c r="F184" s="79" t="s">
        <v>7628</v>
      </c>
      <c r="G184" s="28"/>
      <c r="H184" s="28" t="s">
        <v>6063</v>
      </c>
      <c r="I184" s="28" t="s">
        <v>6065</v>
      </c>
      <c r="J184" s="28" t="s">
        <v>7629</v>
      </c>
      <c r="K184" s="28" t="s">
        <v>6063</v>
      </c>
      <c r="L184" s="28" t="s">
        <v>6075</v>
      </c>
      <c r="M184" s="28" t="s">
        <v>41</v>
      </c>
      <c r="N184" s="28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</row>
    <row r="185" spans="1:26" ht="14.4">
      <c r="A185" s="28" t="s">
        <v>5948</v>
      </c>
      <c r="B185" s="28" t="s">
        <v>1379</v>
      </c>
      <c r="C185" s="107" t="s">
        <v>319</v>
      </c>
      <c r="D185" s="28" t="s">
        <v>796</v>
      </c>
      <c r="E185" s="107"/>
      <c r="F185" s="79" t="s">
        <v>7632</v>
      </c>
      <c r="G185" s="28"/>
      <c r="H185" s="28" t="s">
        <v>6063</v>
      </c>
      <c r="I185" s="28" t="s">
        <v>6065</v>
      </c>
      <c r="J185" s="28" t="s">
        <v>7633</v>
      </c>
      <c r="K185" s="28" t="s">
        <v>6063</v>
      </c>
      <c r="L185" s="28" t="s">
        <v>6075</v>
      </c>
      <c r="M185" s="28" t="s">
        <v>41</v>
      </c>
      <c r="N185" s="28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</row>
    <row r="186" spans="1:26" ht="14.4">
      <c r="A186" s="28" t="s">
        <v>5948</v>
      </c>
      <c r="B186" s="28" t="s">
        <v>1379</v>
      </c>
      <c r="C186" s="107" t="s">
        <v>319</v>
      </c>
      <c r="D186" s="28" t="s">
        <v>796</v>
      </c>
      <c r="E186" s="107"/>
      <c r="F186" s="79" t="s">
        <v>7636</v>
      </c>
      <c r="G186" s="28"/>
      <c r="H186" s="28" t="s">
        <v>6063</v>
      </c>
      <c r="I186" s="28" t="s">
        <v>6065</v>
      </c>
      <c r="J186" s="28" t="s">
        <v>7638</v>
      </c>
      <c r="K186" s="28" t="s">
        <v>6063</v>
      </c>
      <c r="L186" s="28" t="s">
        <v>6075</v>
      </c>
      <c r="M186" s="28" t="s">
        <v>41</v>
      </c>
      <c r="N186" s="28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</row>
    <row r="187" spans="1:26" ht="14.4">
      <c r="A187" s="28" t="s">
        <v>5948</v>
      </c>
      <c r="B187" s="28" t="s">
        <v>1379</v>
      </c>
      <c r="C187" s="107" t="s">
        <v>319</v>
      </c>
      <c r="D187" s="28" t="s">
        <v>796</v>
      </c>
      <c r="E187" s="107"/>
      <c r="F187" s="79" t="s">
        <v>7641</v>
      </c>
      <c r="G187" s="28"/>
      <c r="H187" s="28" t="s">
        <v>6063</v>
      </c>
      <c r="I187" s="28" t="s">
        <v>6065</v>
      </c>
      <c r="J187" s="28" t="s">
        <v>7642</v>
      </c>
      <c r="K187" s="28" t="s">
        <v>6063</v>
      </c>
      <c r="L187" s="28" t="s">
        <v>6075</v>
      </c>
      <c r="M187" s="28" t="s">
        <v>41</v>
      </c>
      <c r="N187" s="28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</row>
    <row r="188" spans="1:26" ht="14.4">
      <c r="A188" s="28" t="s">
        <v>5948</v>
      </c>
      <c r="B188" s="28" t="s">
        <v>1379</v>
      </c>
      <c r="C188" s="107" t="s">
        <v>319</v>
      </c>
      <c r="D188" s="28" t="s">
        <v>796</v>
      </c>
      <c r="E188" s="107"/>
      <c r="F188" s="79" t="s">
        <v>7645</v>
      </c>
      <c r="G188" s="28"/>
      <c r="H188" s="28" t="s">
        <v>6063</v>
      </c>
      <c r="I188" s="28" t="s">
        <v>6065</v>
      </c>
      <c r="J188" s="28" t="s">
        <v>7647</v>
      </c>
      <c r="K188" s="28" t="s">
        <v>6063</v>
      </c>
      <c r="L188" s="28" t="s">
        <v>6075</v>
      </c>
      <c r="M188" s="28" t="s">
        <v>41</v>
      </c>
      <c r="N188" s="28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</row>
    <row r="189" spans="1:26" ht="14.4">
      <c r="A189" s="28" t="s">
        <v>5948</v>
      </c>
      <c r="B189" s="28" t="s">
        <v>1379</v>
      </c>
      <c r="C189" s="107" t="s">
        <v>319</v>
      </c>
      <c r="D189" s="28" t="s">
        <v>796</v>
      </c>
      <c r="E189" s="107"/>
      <c r="F189" s="79" t="s">
        <v>7649</v>
      </c>
      <c r="G189" s="28"/>
      <c r="H189" s="28" t="s">
        <v>6063</v>
      </c>
      <c r="I189" s="28" t="s">
        <v>6065</v>
      </c>
      <c r="J189" s="28" t="s">
        <v>7653</v>
      </c>
      <c r="K189" s="28" t="s">
        <v>6063</v>
      </c>
      <c r="L189" s="28" t="s">
        <v>6075</v>
      </c>
      <c r="M189" s="28" t="s">
        <v>41</v>
      </c>
      <c r="N189" s="28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</row>
    <row r="190" spans="1:26" ht="14.4">
      <c r="A190" s="28" t="s">
        <v>5948</v>
      </c>
      <c r="B190" s="28" t="s">
        <v>1379</v>
      </c>
      <c r="C190" s="107" t="s">
        <v>319</v>
      </c>
      <c r="D190" s="28" t="s">
        <v>796</v>
      </c>
      <c r="E190" s="107"/>
      <c r="F190" s="79" t="s">
        <v>7657</v>
      </c>
      <c r="G190" s="28"/>
      <c r="H190" s="28" t="s">
        <v>6063</v>
      </c>
      <c r="I190" s="28" t="s">
        <v>6065</v>
      </c>
      <c r="J190" s="28" t="s">
        <v>7658</v>
      </c>
      <c r="K190" s="28" t="s">
        <v>6063</v>
      </c>
      <c r="L190" s="28" t="s">
        <v>6075</v>
      </c>
      <c r="M190" s="28" t="s">
        <v>41</v>
      </c>
      <c r="N190" s="28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</row>
    <row r="191" spans="1:26" ht="14.4">
      <c r="A191" s="28" t="s">
        <v>5948</v>
      </c>
      <c r="B191" s="28" t="s">
        <v>1379</v>
      </c>
      <c r="C191" s="107" t="s">
        <v>319</v>
      </c>
      <c r="D191" s="28" t="s">
        <v>796</v>
      </c>
      <c r="E191" s="107"/>
      <c r="F191" s="79" t="s">
        <v>7661</v>
      </c>
      <c r="G191" s="28"/>
      <c r="H191" s="28" t="s">
        <v>6063</v>
      </c>
      <c r="I191" s="28" t="s">
        <v>6065</v>
      </c>
      <c r="J191" s="28" t="s">
        <v>7664</v>
      </c>
      <c r="K191" s="28" t="s">
        <v>6063</v>
      </c>
      <c r="L191" s="28" t="s">
        <v>6075</v>
      </c>
      <c r="M191" s="28" t="s">
        <v>41</v>
      </c>
      <c r="N191" s="28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</row>
    <row r="192" spans="1:26" ht="14.4">
      <c r="A192" s="28" t="s">
        <v>5948</v>
      </c>
      <c r="B192" s="28" t="s">
        <v>1379</v>
      </c>
      <c r="C192" s="107" t="s">
        <v>319</v>
      </c>
      <c r="D192" s="28" t="s">
        <v>796</v>
      </c>
      <c r="E192" s="107"/>
      <c r="F192" s="79" t="s">
        <v>7668</v>
      </c>
      <c r="G192" s="28"/>
      <c r="H192" s="28" t="s">
        <v>6063</v>
      </c>
      <c r="I192" s="28" t="s">
        <v>6065</v>
      </c>
      <c r="J192" s="28" t="s">
        <v>7670</v>
      </c>
      <c r="K192" s="28" t="s">
        <v>6063</v>
      </c>
      <c r="L192" s="28" t="s">
        <v>6075</v>
      </c>
      <c r="M192" s="28" t="s">
        <v>41</v>
      </c>
      <c r="N192" s="28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</row>
    <row r="193" spans="1:26" ht="14.4">
      <c r="A193" s="28" t="s">
        <v>5948</v>
      </c>
      <c r="B193" s="28" t="s">
        <v>1379</v>
      </c>
      <c r="C193" s="107" t="s">
        <v>319</v>
      </c>
      <c r="D193" s="28" t="s">
        <v>796</v>
      </c>
      <c r="E193" s="107"/>
      <c r="F193" s="79" t="s">
        <v>7673</v>
      </c>
      <c r="G193" s="28"/>
      <c r="H193" s="28" t="s">
        <v>6063</v>
      </c>
      <c r="I193" s="28" t="s">
        <v>6065</v>
      </c>
      <c r="J193" s="28" t="s">
        <v>7674</v>
      </c>
      <c r="K193" s="28" t="s">
        <v>6063</v>
      </c>
      <c r="L193" s="28" t="s">
        <v>6075</v>
      </c>
      <c r="M193" s="28" t="s">
        <v>41</v>
      </c>
      <c r="N193" s="28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</row>
    <row r="194" spans="1:26" ht="14.4">
      <c r="A194" s="28" t="s">
        <v>5948</v>
      </c>
      <c r="B194" s="28" t="s">
        <v>1379</v>
      </c>
      <c r="C194" s="107" t="s">
        <v>319</v>
      </c>
      <c r="D194" s="28" t="s">
        <v>796</v>
      </c>
      <c r="E194" s="107"/>
      <c r="F194" s="79" t="s">
        <v>7678</v>
      </c>
      <c r="G194" s="28"/>
      <c r="H194" s="28" t="s">
        <v>6063</v>
      </c>
      <c r="I194" s="28" t="s">
        <v>6065</v>
      </c>
      <c r="J194" s="28" t="s">
        <v>7681</v>
      </c>
      <c r="K194" s="28" t="s">
        <v>6063</v>
      </c>
      <c r="L194" s="28" t="s">
        <v>6075</v>
      </c>
      <c r="M194" s="28" t="s">
        <v>41</v>
      </c>
      <c r="N194" s="28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</row>
    <row r="195" spans="1:26" ht="14.4">
      <c r="A195" s="28" t="s">
        <v>5948</v>
      </c>
      <c r="B195" s="28" t="s">
        <v>1379</v>
      </c>
      <c r="C195" s="107" t="s">
        <v>319</v>
      </c>
      <c r="D195" s="28" t="s">
        <v>796</v>
      </c>
      <c r="E195" s="107"/>
      <c r="F195" s="79" t="s">
        <v>7685</v>
      </c>
      <c r="G195" s="28"/>
      <c r="H195" s="28" t="s">
        <v>6063</v>
      </c>
      <c r="I195" s="28" t="s">
        <v>6065</v>
      </c>
      <c r="J195" s="28" t="s">
        <v>7686</v>
      </c>
      <c r="K195" s="28" t="s">
        <v>6063</v>
      </c>
      <c r="L195" s="28" t="s">
        <v>6075</v>
      </c>
      <c r="M195" s="28" t="s">
        <v>41</v>
      </c>
      <c r="N195" s="28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</row>
    <row r="196" spans="1:26" ht="14.4">
      <c r="A196" s="28" t="s">
        <v>5948</v>
      </c>
      <c r="B196" s="28" t="s">
        <v>1379</v>
      </c>
      <c r="C196" s="107" t="s">
        <v>319</v>
      </c>
      <c r="D196" s="28" t="s">
        <v>796</v>
      </c>
      <c r="E196" s="107"/>
      <c r="F196" s="79" t="s">
        <v>7690</v>
      </c>
      <c r="G196" s="28"/>
      <c r="H196" s="28" t="s">
        <v>6063</v>
      </c>
      <c r="I196" s="28" t="s">
        <v>6065</v>
      </c>
      <c r="J196" s="28" t="s">
        <v>7691</v>
      </c>
      <c r="K196" s="28" t="s">
        <v>6063</v>
      </c>
      <c r="L196" s="28" t="s">
        <v>6075</v>
      </c>
      <c r="M196" s="28" t="s">
        <v>41</v>
      </c>
      <c r="N196" s="28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</row>
    <row r="197" spans="1:26" ht="14.4">
      <c r="A197" s="28" t="s">
        <v>5948</v>
      </c>
      <c r="B197" s="28" t="s">
        <v>1379</v>
      </c>
      <c r="C197" s="107" t="s">
        <v>319</v>
      </c>
      <c r="D197" s="28" t="s">
        <v>796</v>
      </c>
      <c r="E197" s="107"/>
      <c r="F197" s="79" t="s">
        <v>7694</v>
      </c>
      <c r="G197" s="28"/>
      <c r="H197" s="28" t="s">
        <v>6063</v>
      </c>
      <c r="I197" s="28" t="s">
        <v>6065</v>
      </c>
      <c r="J197" s="28" t="s">
        <v>7695</v>
      </c>
      <c r="K197" s="28" t="s">
        <v>6063</v>
      </c>
      <c r="L197" s="28" t="s">
        <v>6075</v>
      </c>
      <c r="M197" s="28" t="s">
        <v>41</v>
      </c>
      <c r="N197" s="28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</row>
    <row r="198" spans="1:26" ht="14.4">
      <c r="A198" s="28" t="s">
        <v>5948</v>
      </c>
      <c r="B198" s="28" t="s">
        <v>1379</v>
      </c>
      <c r="C198" s="107" t="s">
        <v>319</v>
      </c>
      <c r="D198" s="28" t="s">
        <v>796</v>
      </c>
      <c r="E198" s="107"/>
      <c r="F198" s="79" t="s">
        <v>7699</v>
      </c>
      <c r="G198" s="28"/>
      <c r="H198" s="28" t="s">
        <v>6063</v>
      </c>
      <c r="I198" s="28" t="s">
        <v>6065</v>
      </c>
      <c r="J198" s="28" t="s">
        <v>7700</v>
      </c>
      <c r="K198" s="28" t="s">
        <v>6063</v>
      </c>
      <c r="L198" s="28" t="s">
        <v>6075</v>
      </c>
      <c r="M198" s="28" t="s">
        <v>41</v>
      </c>
      <c r="N198" s="28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</row>
    <row r="199" spans="1:26" ht="14.4">
      <c r="A199" s="28" t="s">
        <v>5948</v>
      </c>
      <c r="B199" s="28" t="s">
        <v>1379</v>
      </c>
      <c r="C199" s="107" t="s">
        <v>319</v>
      </c>
      <c r="D199" s="28" t="s">
        <v>7704</v>
      </c>
      <c r="E199" s="107"/>
      <c r="F199" s="79" t="s">
        <v>7706</v>
      </c>
      <c r="G199" s="28"/>
      <c r="H199" s="28" t="s">
        <v>6063</v>
      </c>
      <c r="I199" s="28" t="s">
        <v>6065</v>
      </c>
      <c r="J199" s="28" t="s">
        <v>7708</v>
      </c>
      <c r="K199" s="28" t="s">
        <v>6063</v>
      </c>
      <c r="L199" s="28" t="s">
        <v>6075</v>
      </c>
      <c r="M199" s="28" t="s">
        <v>41</v>
      </c>
      <c r="N199" s="28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</row>
    <row r="200" spans="1:26" ht="14.4">
      <c r="A200" s="28" t="s">
        <v>5948</v>
      </c>
      <c r="B200" s="28" t="s">
        <v>1379</v>
      </c>
      <c r="C200" s="107" t="s">
        <v>319</v>
      </c>
      <c r="D200" s="107" t="s">
        <v>7718</v>
      </c>
      <c r="E200" s="107"/>
      <c r="F200" s="79" t="s">
        <v>7720</v>
      </c>
      <c r="G200" s="28"/>
      <c r="H200" s="28" t="s">
        <v>6063</v>
      </c>
      <c r="I200" s="28" t="s">
        <v>6065</v>
      </c>
      <c r="J200" s="28" t="s">
        <v>7708</v>
      </c>
      <c r="K200" s="28" t="s">
        <v>6063</v>
      </c>
      <c r="L200" s="28" t="s">
        <v>6075</v>
      </c>
      <c r="M200" s="28" t="s">
        <v>41</v>
      </c>
      <c r="N200" s="28" t="s">
        <v>7723</v>
      </c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</row>
    <row r="201" spans="1:26" ht="14.4">
      <c r="A201" s="28" t="s">
        <v>5948</v>
      </c>
      <c r="B201" s="28" t="s">
        <v>1379</v>
      </c>
      <c r="C201" s="28" t="s">
        <v>20</v>
      </c>
      <c r="D201" s="28" t="s">
        <v>1305</v>
      </c>
      <c r="E201" s="28"/>
      <c r="F201" s="28" t="s">
        <v>232</v>
      </c>
      <c r="G201" s="246" t="s">
        <v>235</v>
      </c>
      <c r="H201" s="28"/>
      <c r="I201" s="28"/>
      <c r="J201" s="28" t="s">
        <v>241</v>
      </c>
      <c r="K201" s="45"/>
      <c r="L201" s="28"/>
      <c r="M201" s="60" t="s">
        <v>41</v>
      </c>
      <c r="N201" s="28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</row>
    <row r="202" spans="1:26" ht="14.4">
      <c r="A202" s="28" t="s">
        <v>5948</v>
      </c>
      <c r="B202" s="28" t="s">
        <v>1379</v>
      </c>
      <c r="C202" s="28" t="s">
        <v>20</v>
      </c>
      <c r="D202" s="28" t="s">
        <v>1305</v>
      </c>
      <c r="E202" s="28" t="s">
        <v>54</v>
      </c>
      <c r="F202" s="28" t="s">
        <v>7736</v>
      </c>
      <c r="G202" s="79" t="s">
        <v>7740</v>
      </c>
      <c r="H202" s="28" t="s">
        <v>7742</v>
      </c>
      <c r="I202" s="28" t="s">
        <v>7743</v>
      </c>
      <c r="J202" s="28" t="s">
        <v>7745</v>
      </c>
      <c r="K202" s="28" t="s">
        <v>7742</v>
      </c>
      <c r="L202" s="28" t="s">
        <v>7746</v>
      </c>
      <c r="M202" s="28" t="s">
        <v>41</v>
      </c>
      <c r="N202" s="28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</row>
    <row r="203" spans="1:26" ht="14.4">
      <c r="A203" s="28" t="s">
        <v>5948</v>
      </c>
      <c r="B203" s="28" t="s">
        <v>5962</v>
      </c>
      <c r="C203" s="107" t="s">
        <v>260</v>
      </c>
      <c r="D203" s="107" t="s">
        <v>1337</v>
      </c>
      <c r="E203" s="28" t="s">
        <v>54</v>
      </c>
      <c r="F203" s="28" t="s">
        <v>7751</v>
      </c>
      <c r="G203" s="28" t="s">
        <v>1342</v>
      </c>
      <c r="H203" s="28" t="s">
        <v>7753</v>
      </c>
      <c r="I203" s="28" t="s">
        <v>7754</v>
      </c>
      <c r="J203" s="28" t="s">
        <v>7755</v>
      </c>
      <c r="K203" s="28" t="s">
        <v>7756</v>
      </c>
      <c r="L203" s="28" t="s">
        <v>7757</v>
      </c>
      <c r="M203" s="28" t="s">
        <v>41</v>
      </c>
      <c r="N203" s="28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</row>
    <row r="204" spans="1:26" ht="14.4">
      <c r="A204" s="28" t="s">
        <v>5948</v>
      </c>
      <c r="B204" s="28" t="s">
        <v>5962</v>
      </c>
      <c r="C204" s="107" t="s">
        <v>260</v>
      </c>
      <c r="D204" s="107" t="s">
        <v>1337</v>
      </c>
      <c r="E204" s="28" t="s">
        <v>54</v>
      </c>
      <c r="F204" s="28" t="s">
        <v>7758</v>
      </c>
      <c r="G204" s="28" t="s">
        <v>1342</v>
      </c>
      <c r="H204" s="28" t="s">
        <v>7753</v>
      </c>
      <c r="I204" s="28" t="s">
        <v>7754</v>
      </c>
      <c r="J204" s="28" t="s">
        <v>7759</v>
      </c>
      <c r="K204" s="28" t="s">
        <v>7760</v>
      </c>
      <c r="L204" s="28" t="s">
        <v>7757</v>
      </c>
      <c r="M204" s="28" t="s">
        <v>41</v>
      </c>
      <c r="N204" s="28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</row>
    <row r="205" spans="1:26" ht="14.4">
      <c r="A205" s="28" t="s">
        <v>5948</v>
      </c>
      <c r="B205" s="28" t="s">
        <v>5962</v>
      </c>
      <c r="C205" s="107" t="s">
        <v>260</v>
      </c>
      <c r="D205" s="107" t="s">
        <v>1337</v>
      </c>
      <c r="E205" s="28" t="s">
        <v>54</v>
      </c>
      <c r="F205" s="28" t="s">
        <v>7764</v>
      </c>
      <c r="G205" s="28" t="s">
        <v>1342</v>
      </c>
      <c r="H205" s="28" t="s">
        <v>7765</v>
      </c>
      <c r="I205" s="28" t="s">
        <v>898</v>
      </c>
      <c r="J205" s="28" t="s">
        <v>7766</v>
      </c>
      <c r="K205" s="28" t="s">
        <v>5974</v>
      </c>
      <c r="L205" s="28" t="s">
        <v>2149</v>
      </c>
      <c r="M205" s="28" t="s">
        <v>41</v>
      </c>
      <c r="N205" s="28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</row>
    <row r="206" spans="1:26" ht="14.4">
      <c r="A206" s="28" t="s">
        <v>5948</v>
      </c>
      <c r="B206" s="28" t="s">
        <v>5962</v>
      </c>
      <c r="C206" s="107" t="s">
        <v>260</v>
      </c>
      <c r="D206" s="107" t="s">
        <v>1337</v>
      </c>
      <c r="E206" s="28" t="s">
        <v>54</v>
      </c>
      <c r="F206" s="28" t="s">
        <v>7768</v>
      </c>
      <c r="G206" s="28" t="s">
        <v>1342</v>
      </c>
      <c r="H206" s="28" t="s">
        <v>7753</v>
      </c>
      <c r="I206" s="28" t="s">
        <v>7754</v>
      </c>
      <c r="J206" s="28" t="s">
        <v>7769</v>
      </c>
      <c r="K206" s="28" t="s">
        <v>7770</v>
      </c>
      <c r="L206" s="28" t="s">
        <v>7757</v>
      </c>
      <c r="M206" s="28" t="s">
        <v>41</v>
      </c>
      <c r="N206" s="28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</row>
    <row r="207" spans="1:26" ht="14.4">
      <c r="A207" s="28" t="s">
        <v>5948</v>
      </c>
      <c r="B207" s="28" t="s">
        <v>5962</v>
      </c>
      <c r="C207" s="107" t="s">
        <v>260</v>
      </c>
      <c r="D207" s="107" t="s">
        <v>1337</v>
      </c>
      <c r="E207" s="28" t="s">
        <v>54</v>
      </c>
      <c r="F207" s="28" t="s">
        <v>7771</v>
      </c>
      <c r="G207" s="28" t="s">
        <v>1342</v>
      </c>
      <c r="H207" s="28" t="s">
        <v>7753</v>
      </c>
      <c r="I207" s="28" t="s">
        <v>7754</v>
      </c>
      <c r="J207" s="28" t="s">
        <v>7772</v>
      </c>
      <c r="K207" s="28" t="s">
        <v>7773</v>
      </c>
      <c r="L207" s="28" t="s">
        <v>7757</v>
      </c>
      <c r="M207" s="28" t="s">
        <v>41</v>
      </c>
      <c r="N207" s="28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</row>
    <row r="208" spans="1:26" ht="14.4">
      <c r="A208" s="28" t="s">
        <v>5948</v>
      </c>
      <c r="B208" s="28" t="s">
        <v>5962</v>
      </c>
      <c r="C208" s="107" t="s">
        <v>260</v>
      </c>
      <c r="D208" s="107" t="s">
        <v>1337</v>
      </c>
      <c r="E208" s="28" t="s">
        <v>54</v>
      </c>
      <c r="F208" s="28" t="s">
        <v>7776</v>
      </c>
      <c r="G208" s="28" t="s">
        <v>1342</v>
      </c>
      <c r="H208" s="28" t="s">
        <v>7753</v>
      </c>
      <c r="I208" s="28" t="s">
        <v>7754</v>
      </c>
      <c r="J208" s="28" t="s">
        <v>7779</v>
      </c>
      <c r="K208" s="28" t="s">
        <v>7780</v>
      </c>
      <c r="L208" s="28" t="s">
        <v>7757</v>
      </c>
      <c r="M208" s="28" t="s">
        <v>41</v>
      </c>
      <c r="N208" s="28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</row>
    <row r="209" spans="1:26" ht="14.4">
      <c r="A209" s="28" t="s">
        <v>5948</v>
      </c>
      <c r="B209" s="28" t="s">
        <v>5962</v>
      </c>
      <c r="C209" s="107" t="s">
        <v>260</v>
      </c>
      <c r="D209" s="107" t="s">
        <v>1337</v>
      </c>
      <c r="E209" s="28" t="s">
        <v>54</v>
      </c>
      <c r="F209" s="28" t="s">
        <v>7783</v>
      </c>
      <c r="G209" s="28" t="s">
        <v>1342</v>
      </c>
      <c r="H209" s="28" t="s">
        <v>7753</v>
      </c>
      <c r="I209" s="28" t="s">
        <v>7754</v>
      </c>
      <c r="J209" s="28" t="s">
        <v>7785</v>
      </c>
      <c r="K209" s="28" t="s">
        <v>7753</v>
      </c>
      <c r="L209" s="28" t="s">
        <v>7757</v>
      </c>
      <c r="M209" s="28" t="s">
        <v>41</v>
      </c>
      <c r="N209" s="28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</row>
    <row r="210" spans="1:26" ht="14.4">
      <c r="A210" s="28" t="s">
        <v>5948</v>
      </c>
      <c r="B210" s="28" t="s">
        <v>5962</v>
      </c>
      <c r="C210" s="107" t="s">
        <v>260</v>
      </c>
      <c r="D210" s="107" t="s">
        <v>1337</v>
      </c>
      <c r="E210" s="28" t="s">
        <v>54</v>
      </c>
      <c r="F210" s="28" t="s">
        <v>7789</v>
      </c>
      <c r="G210" s="28" t="s">
        <v>1342</v>
      </c>
      <c r="H210" s="28" t="s">
        <v>7790</v>
      </c>
      <c r="I210" s="28" t="s">
        <v>7741</v>
      </c>
      <c r="J210" s="28" t="s">
        <v>7792</v>
      </c>
      <c r="K210" s="28" t="s">
        <v>7790</v>
      </c>
      <c r="L210" s="28" t="s">
        <v>2149</v>
      </c>
      <c r="M210" s="28" t="s">
        <v>41</v>
      </c>
      <c r="N210" s="28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</row>
    <row r="211" spans="1:26" ht="14.4">
      <c r="A211" s="28" t="s">
        <v>5948</v>
      </c>
      <c r="B211" s="28" t="s">
        <v>5962</v>
      </c>
      <c r="C211" s="107" t="s">
        <v>260</v>
      </c>
      <c r="D211" s="107" t="s">
        <v>1337</v>
      </c>
      <c r="E211" s="28" t="s">
        <v>54</v>
      </c>
      <c r="F211" s="28" t="s">
        <v>7798</v>
      </c>
      <c r="G211" s="28" t="s">
        <v>1342</v>
      </c>
      <c r="H211" s="28" t="s">
        <v>7753</v>
      </c>
      <c r="I211" s="28" t="s">
        <v>7754</v>
      </c>
      <c r="J211" s="28" t="s">
        <v>7801</v>
      </c>
      <c r="K211" s="28" t="s">
        <v>7802</v>
      </c>
      <c r="L211" s="28" t="s">
        <v>7757</v>
      </c>
      <c r="M211" s="28" t="s">
        <v>41</v>
      </c>
      <c r="N211" s="28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</row>
    <row r="212" spans="1:26" ht="14.4">
      <c r="A212" s="28" t="s">
        <v>5948</v>
      </c>
      <c r="B212" s="28" t="s">
        <v>5962</v>
      </c>
      <c r="C212" s="107" t="s">
        <v>260</v>
      </c>
      <c r="D212" s="107" t="s">
        <v>1337</v>
      </c>
      <c r="E212" s="28" t="s">
        <v>54</v>
      </c>
      <c r="F212" s="28" t="s">
        <v>7807</v>
      </c>
      <c r="G212" s="28" t="s">
        <v>1342</v>
      </c>
      <c r="H212" s="28" t="s">
        <v>7809</v>
      </c>
      <c r="I212" s="28" t="s">
        <v>887</v>
      </c>
      <c r="J212" s="28" t="s">
        <v>7810</v>
      </c>
      <c r="K212" s="28" t="s">
        <v>7809</v>
      </c>
      <c r="L212" s="28" t="s">
        <v>2149</v>
      </c>
      <c r="M212" s="28" t="s">
        <v>41</v>
      </c>
      <c r="N212" s="28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</row>
    <row r="213" spans="1:26" ht="14.4">
      <c r="A213" s="28" t="s">
        <v>5948</v>
      </c>
      <c r="B213" s="28" t="s">
        <v>5962</v>
      </c>
      <c r="C213" s="107" t="s">
        <v>260</v>
      </c>
      <c r="D213" s="107" t="s">
        <v>1337</v>
      </c>
      <c r="E213" s="28" t="s">
        <v>54</v>
      </c>
      <c r="F213" s="28" t="s">
        <v>7816</v>
      </c>
      <c r="G213" s="28" t="s">
        <v>1342</v>
      </c>
      <c r="H213" s="28" t="s">
        <v>7817</v>
      </c>
      <c r="I213" s="28" t="s">
        <v>887</v>
      </c>
      <c r="J213" s="28" t="s">
        <v>7818</v>
      </c>
      <c r="K213" s="28" t="s">
        <v>7817</v>
      </c>
      <c r="L213" s="28" t="s">
        <v>2149</v>
      </c>
      <c r="M213" s="28" t="s">
        <v>41</v>
      </c>
      <c r="N213" s="28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</row>
    <row r="214" spans="1:26" ht="14.4">
      <c r="A214" s="28" t="s">
        <v>5948</v>
      </c>
      <c r="B214" s="28" t="s">
        <v>5962</v>
      </c>
      <c r="C214" s="107" t="s">
        <v>260</v>
      </c>
      <c r="D214" s="107" t="s">
        <v>1337</v>
      </c>
      <c r="E214" s="28" t="s">
        <v>54</v>
      </c>
      <c r="F214" s="28" t="s">
        <v>7824</v>
      </c>
      <c r="G214" s="28" t="s">
        <v>1342</v>
      </c>
      <c r="H214" s="28" t="s">
        <v>7753</v>
      </c>
      <c r="I214" s="28" t="s">
        <v>7754</v>
      </c>
      <c r="J214" s="28" t="s">
        <v>7825</v>
      </c>
      <c r="K214" s="28" t="s">
        <v>7826</v>
      </c>
      <c r="L214" s="28" t="s">
        <v>7757</v>
      </c>
      <c r="M214" s="28" t="s">
        <v>41</v>
      </c>
      <c r="N214" s="28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</row>
    <row r="215" spans="1:26" ht="14.4">
      <c r="A215" s="28" t="s">
        <v>5948</v>
      </c>
      <c r="B215" s="28" t="s">
        <v>5962</v>
      </c>
      <c r="C215" s="107" t="s">
        <v>260</v>
      </c>
      <c r="D215" s="107" t="s">
        <v>1337</v>
      </c>
      <c r="E215" s="28" t="s">
        <v>54</v>
      </c>
      <c r="F215" s="28" t="s">
        <v>7832</v>
      </c>
      <c r="G215" s="28" t="s">
        <v>1342</v>
      </c>
      <c r="H215" s="28" t="s">
        <v>7834</v>
      </c>
      <c r="I215" s="28" t="s">
        <v>7835</v>
      </c>
      <c r="J215" s="28" t="s">
        <v>7836</v>
      </c>
      <c r="K215" s="28" t="s">
        <v>7834</v>
      </c>
      <c r="L215" s="28" t="s">
        <v>7757</v>
      </c>
      <c r="M215" s="28" t="s">
        <v>41</v>
      </c>
      <c r="N215" s="28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</row>
    <row r="216" spans="1:26" ht="14.4">
      <c r="A216" s="28" t="s">
        <v>5948</v>
      </c>
      <c r="B216" s="28" t="s">
        <v>5962</v>
      </c>
      <c r="C216" s="107" t="s">
        <v>260</v>
      </c>
      <c r="D216" s="107" t="s">
        <v>1337</v>
      </c>
      <c r="E216" s="28" t="s">
        <v>54</v>
      </c>
      <c r="F216" s="28" t="s">
        <v>7842</v>
      </c>
      <c r="G216" s="28" t="s">
        <v>1342</v>
      </c>
      <c r="H216" s="28" t="s">
        <v>7753</v>
      </c>
      <c r="I216" s="28" t="s">
        <v>7754</v>
      </c>
      <c r="J216" s="28" t="s">
        <v>7844</v>
      </c>
      <c r="K216" s="28" t="s">
        <v>7845</v>
      </c>
      <c r="L216" s="28" t="s">
        <v>7757</v>
      </c>
      <c r="M216" s="28" t="s">
        <v>41</v>
      </c>
      <c r="N216" s="28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</row>
    <row r="217" spans="1:26" ht="14.4">
      <c r="A217" s="28" t="s">
        <v>5948</v>
      </c>
      <c r="B217" s="28" t="s">
        <v>5962</v>
      </c>
      <c r="C217" s="107" t="s">
        <v>260</v>
      </c>
      <c r="D217" s="107" t="s">
        <v>1337</v>
      </c>
      <c r="E217" s="28" t="s">
        <v>54</v>
      </c>
      <c r="F217" s="28" t="s">
        <v>7850</v>
      </c>
      <c r="G217" s="28" t="s">
        <v>1342</v>
      </c>
      <c r="H217" s="28" t="s">
        <v>7851</v>
      </c>
      <c r="I217" s="28" t="s">
        <v>521</v>
      </c>
      <c r="J217" s="28" t="s">
        <v>7853</v>
      </c>
      <c r="K217" s="28" t="s">
        <v>7851</v>
      </c>
      <c r="L217" s="28" t="s">
        <v>2166</v>
      </c>
      <c r="M217" s="28" t="s">
        <v>41</v>
      </c>
      <c r="N217" s="28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</row>
    <row r="218" spans="1:26" ht="14.4">
      <c r="A218" s="28" t="s">
        <v>5948</v>
      </c>
      <c r="B218" s="28" t="s">
        <v>5962</v>
      </c>
      <c r="C218" s="107" t="s">
        <v>260</v>
      </c>
      <c r="D218" s="107" t="s">
        <v>1337</v>
      </c>
      <c r="E218" s="28" t="s">
        <v>54</v>
      </c>
      <c r="F218" s="28" t="s">
        <v>7858</v>
      </c>
      <c r="G218" s="28" t="s">
        <v>1342</v>
      </c>
      <c r="H218" s="28" t="s">
        <v>7860</v>
      </c>
      <c r="I218" s="28" t="s">
        <v>521</v>
      </c>
      <c r="J218" s="28" t="s">
        <v>7861</v>
      </c>
      <c r="K218" s="28" t="s">
        <v>7860</v>
      </c>
      <c r="L218" s="28" t="s">
        <v>2166</v>
      </c>
      <c r="M218" s="28" t="s">
        <v>41</v>
      </c>
      <c r="N218" s="28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</row>
    <row r="219" spans="1:26" ht="14.4">
      <c r="A219" s="28" t="s">
        <v>5948</v>
      </c>
      <c r="B219" s="28" t="s">
        <v>5962</v>
      </c>
      <c r="C219" s="107" t="s">
        <v>260</v>
      </c>
      <c r="D219" s="107" t="s">
        <v>1337</v>
      </c>
      <c r="E219" s="28" t="s">
        <v>54</v>
      </c>
      <c r="F219" s="28" t="s">
        <v>7867</v>
      </c>
      <c r="G219" s="28" t="s">
        <v>1342</v>
      </c>
      <c r="H219" s="28" t="s">
        <v>7753</v>
      </c>
      <c r="I219" s="28" t="s">
        <v>7754</v>
      </c>
      <c r="J219" s="28" t="s">
        <v>7869</v>
      </c>
      <c r="K219" s="28" t="s">
        <v>7871</v>
      </c>
      <c r="L219" s="28" t="s">
        <v>7757</v>
      </c>
      <c r="M219" s="28" t="s">
        <v>41</v>
      </c>
      <c r="N219" s="28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</row>
    <row r="220" spans="1:26" ht="14.4">
      <c r="A220" s="28" t="s">
        <v>5948</v>
      </c>
      <c r="B220" s="28" t="s">
        <v>5962</v>
      </c>
      <c r="C220" s="107" t="s">
        <v>260</v>
      </c>
      <c r="D220" s="107" t="s">
        <v>1337</v>
      </c>
      <c r="E220" s="28" t="s">
        <v>54</v>
      </c>
      <c r="F220" s="28" t="s">
        <v>7875</v>
      </c>
      <c r="G220" s="28" t="s">
        <v>1342</v>
      </c>
      <c r="H220" s="28" t="s">
        <v>7877</v>
      </c>
      <c r="I220" s="28" t="s">
        <v>887</v>
      </c>
      <c r="J220" s="28" t="s">
        <v>7878</v>
      </c>
      <c r="K220" s="28" t="s">
        <v>7877</v>
      </c>
      <c r="L220" s="28" t="s">
        <v>2149</v>
      </c>
      <c r="M220" s="28" t="s">
        <v>41</v>
      </c>
      <c r="N220" s="28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</row>
    <row r="221" spans="1:26" ht="14.4">
      <c r="A221" s="28" t="s">
        <v>5948</v>
      </c>
      <c r="B221" s="28" t="s">
        <v>5962</v>
      </c>
      <c r="C221" s="28" t="s">
        <v>20</v>
      </c>
      <c r="D221" s="28" t="s">
        <v>1305</v>
      </c>
      <c r="E221" s="28" t="s">
        <v>54</v>
      </c>
      <c r="F221" s="28" t="s">
        <v>7883</v>
      </c>
      <c r="G221" s="28" t="s">
        <v>7885</v>
      </c>
      <c r="H221" s="28" t="s">
        <v>6219</v>
      </c>
      <c r="I221" s="28" t="s">
        <v>933</v>
      </c>
      <c r="J221" s="28" t="s">
        <v>7887</v>
      </c>
      <c r="K221" s="28" t="s">
        <v>7834</v>
      </c>
      <c r="L221" s="28" t="s">
        <v>6223</v>
      </c>
      <c r="M221" s="28" t="s">
        <v>41</v>
      </c>
      <c r="N221" s="28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</row>
    <row r="222" spans="1:26" ht="14.4">
      <c r="A222" s="28" t="s">
        <v>5948</v>
      </c>
      <c r="B222" s="28" t="s">
        <v>5962</v>
      </c>
      <c r="C222" s="28" t="s">
        <v>20</v>
      </c>
      <c r="D222" s="28" t="s">
        <v>1305</v>
      </c>
      <c r="E222" s="28" t="s">
        <v>54</v>
      </c>
      <c r="F222" s="28" t="s">
        <v>7892</v>
      </c>
      <c r="G222" s="79" t="s">
        <v>7893</v>
      </c>
      <c r="H222" s="28" t="s">
        <v>6219</v>
      </c>
      <c r="I222" s="28" t="s">
        <v>933</v>
      </c>
      <c r="J222" s="28" t="s">
        <v>7894</v>
      </c>
      <c r="K222" s="28" t="s">
        <v>7753</v>
      </c>
      <c r="L222" s="28" t="s">
        <v>6223</v>
      </c>
      <c r="M222" s="28" t="s">
        <v>41</v>
      </c>
      <c r="N222" s="28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</row>
    <row r="223" spans="1:26" ht="14.4">
      <c r="A223" s="28" t="s">
        <v>5948</v>
      </c>
      <c r="B223" s="28" t="s">
        <v>6484</v>
      </c>
      <c r="C223" s="107" t="s">
        <v>260</v>
      </c>
      <c r="D223" s="107" t="s">
        <v>1337</v>
      </c>
      <c r="E223" s="28" t="s">
        <v>54</v>
      </c>
      <c r="F223" s="28" t="s">
        <v>7897</v>
      </c>
      <c r="G223" s="28" t="s">
        <v>1342</v>
      </c>
      <c r="H223" s="28" t="s">
        <v>7899</v>
      </c>
      <c r="I223" s="28" t="s">
        <v>521</v>
      </c>
      <c r="J223" s="28" t="s">
        <v>7901</v>
      </c>
      <c r="K223" s="28" t="s">
        <v>7899</v>
      </c>
      <c r="L223" s="28" t="s">
        <v>2166</v>
      </c>
      <c r="M223" s="28" t="s">
        <v>41</v>
      </c>
      <c r="N223" s="28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</row>
    <row r="224" spans="1:26" ht="14.4">
      <c r="A224" s="28" t="s">
        <v>5948</v>
      </c>
      <c r="B224" s="28" t="s">
        <v>6484</v>
      </c>
      <c r="C224" s="107" t="s">
        <v>260</v>
      </c>
      <c r="D224" s="107" t="s">
        <v>1337</v>
      </c>
      <c r="E224" s="28" t="s">
        <v>54</v>
      </c>
      <c r="F224" s="28" t="s">
        <v>7904</v>
      </c>
      <c r="G224" s="28" t="s">
        <v>1342</v>
      </c>
      <c r="H224" s="28" t="s">
        <v>6556</v>
      </c>
      <c r="I224" s="28" t="s">
        <v>6558</v>
      </c>
      <c r="J224" s="28" t="s">
        <v>7905</v>
      </c>
      <c r="K224" s="28" t="s">
        <v>6556</v>
      </c>
      <c r="L224" s="28" t="s">
        <v>2149</v>
      </c>
      <c r="M224" s="28" t="s">
        <v>41</v>
      </c>
      <c r="N224" s="28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</row>
    <row r="225" spans="1:26" ht="14.4">
      <c r="A225" s="28" t="s">
        <v>5948</v>
      </c>
      <c r="B225" s="28" t="s">
        <v>6484</v>
      </c>
      <c r="C225" s="107" t="s">
        <v>260</v>
      </c>
      <c r="D225" s="107" t="s">
        <v>1337</v>
      </c>
      <c r="E225" s="28" t="s">
        <v>54</v>
      </c>
      <c r="F225" s="28" t="s">
        <v>7907</v>
      </c>
      <c r="G225" s="28" t="s">
        <v>1342</v>
      </c>
      <c r="H225" s="28" t="s">
        <v>7908</v>
      </c>
      <c r="I225" s="28" t="s">
        <v>887</v>
      </c>
      <c r="J225" s="28" t="s">
        <v>7910</v>
      </c>
      <c r="K225" s="28" t="s">
        <v>7908</v>
      </c>
      <c r="L225" s="28" t="s">
        <v>7913</v>
      </c>
      <c r="M225" s="28" t="s">
        <v>41</v>
      </c>
      <c r="N225" s="28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</row>
    <row r="226" spans="1:26" ht="14.4">
      <c r="A226" s="28" t="s">
        <v>5948</v>
      </c>
      <c r="B226" s="28" t="s">
        <v>6484</v>
      </c>
      <c r="C226" s="107" t="s">
        <v>260</v>
      </c>
      <c r="D226" s="107" t="s">
        <v>1337</v>
      </c>
      <c r="E226" s="28" t="s">
        <v>54</v>
      </c>
      <c r="F226" s="28" t="s">
        <v>7915</v>
      </c>
      <c r="G226" s="28" t="s">
        <v>1342</v>
      </c>
      <c r="H226" s="28" t="s">
        <v>7916</v>
      </c>
      <c r="I226" s="28" t="s">
        <v>887</v>
      </c>
      <c r="J226" s="28" t="s">
        <v>7917</v>
      </c>
      <c r="K226" s="28" t="s">
        <v>7916</v>
      </c>
      <c r="L226" s="28" t="s">
        <v>7919</v>
      </c>
      <c r="M226" s="28" t="s">
        <v>41</v>
      </c>
      <c r="N226" s="28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</row>
    <row r="227" spans="1:26" ht="14.4">
      <c r="A227" s="28" t="s">
        <v>5948</v>
      </c>
      <c r="B227" s="28" t="s">
        <v>6484</v>
      </c>
      <c r="C227" s="107" t="s">
        <v>260</v>
      </c>
      <c r="D227" s="107" t="s">
        <v>1337</v>
      </c>
      <c r="E227" s="28" t="s">
        <v>54</v>
      </c>
      <c r="F227" s="28" t="s">
        <v>7925</v>
      </c>
      <c r="G227" s="28" t="s">
        <v>1342</v>
      </c>
      <c r="H227" s="28" t="s">
        <v>7926</v>
      </c>
      <c r="I227" s="28" t="s">
        <v>887</v>
      </c>
      <c r="J227" s="28" t="s">
        <v>7927</v>
      </c>
      <c r="K227" s="28" t="s">
        <v>7926</v>
      </c>
      <c r="L227" s="28" t="s">
        <v>7929</v>
      </c>
      <c r="M227" s="28" t="s">
        <v>41</v>
      </c>
      <c r="N227" s="28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</row>
    <row r="228" spans="1:26" ht="14.4">
      <c r="A228" s="28" t="s">
        <v>5948</v>
      </c>
      <c r="B228" s="28" t="s">
        <v>6484</v>
      </c>
      <c r="C228" s="107" t="s">
        <v>260</v>
      </c>
      <c r="D228" s="107" t="s">
        <v>1337</v>
      </c>
      <c r="E228" s="28" t="s">
        <v>54</v>
      </c>
      <c r="F228" s="28" t="s">
        <v>7931</v>
      </c>
      <c r="G228" s="28" t="s">
        <v>1342</v>
      </c>
      <c r="H228" s="28" t="s">
        <v>7932</v>
      </c>
      <c r="I228" s="28" t="s">
        <v>2714</v>
      </c>
      <c r="J228" s="28" t="s">
        <v>7934</v>
      </c>
      <c r="K228" s="28" t="s">
        <v>7932</v>
      </c>
      <c r="L228" s="28" t="s">
        <v>7936</v>
      </c>
      <c r="M228" s="28" t="s">
        <v>41</v>
      </c>
      <c r="N228" s="28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</row>
    <row r="229" spans="1:26" ht="14.4">
      <c r="A229" s="28" t="s">
        <v>5948</v>
      </c>
      <c r="B229" s="28" t="s">
        <v>6484</v>
      </c>
      <c r="C229" s="107" t="s">
        <v>260</v>
      </c>
      <c r="D229" s="107" t="s">
        <v>1337</v>
      </c>
      <c r="E229" s="28" t="s">
        <v>54</v>
      </c>
      <c r="F229" s="28" t="s">
        <v>7939</v>
      </c>
      <c r="G229" s="28" t="s">
        <v>1342</v>
      </c>
      <c r="H229" s="28" t="s">
        <v>7941</v>
      </c>
      <c r="I229" s="28" t="s">
        <v>887</v>
      </c>
      <c r="J229" s="28" t="s">
        <v>7943</v>
      </c>
      <c r="K229" s="28" t="s">
        <v>7941</v>
      </c>
      <c r="L229" s="28" t="s">
        <v>7945</v>
      </c>
      <c r="M229" s="28" t="s">
        <v>41</v>
      </c>
      <c r="N229" s="28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</row>
    <row r="230" spans="1:26" ht="14.4">
      <c r="A230" s="28" t="s">
        <v>5948</v>
      </c>
      <c r="B230" s="28" t="s">
        <v>6484</v>
      </c>
      <c r="C230" s="107" t="s">
        <v>260</v>
      </c>
      <c r="D230" s="107" t="s">
        <v>1337</v>
      </c>
      <c r="E230" s="28" t="s">
        <v>54</v>
      </c>
      <c r="F230" s="28" t="s">
        <v>7948</v>
      </c>
      <c r="G230" s="28" t="s">
        <v>1342</v>
      </c>
      <c r="H230" s="28" t="s">
        <v>7950</v>
      </c>
      <c r="I230" s="28" t="s">
        <v>887</v>
      </c>
      <c r="J230" s="28" t="s">
        <v>7952</v>
      </c>
      <c r="K230" s="28" t="s">
        <v>7950</v>
      </c>
      <c r="L230" s="28" t="s">
        <v>7954</v>
      </c>
      <c r="M230" s="28" t="s">
        <v>41</v>
      </c>
      <c r="N230" s="28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</row>
    <row r="231" spans="1:26" ht="14.4">
      <c r="A231" s="28" t="s">
        <v>5948</v>
      </c>
      <c r="B231" s="28" t="s">
        <v>6484</v>
      </c>
      <c r="C231" s="107" t="s">
        <v>260</v>
      </c>
      <c r="D231" s="107" t="s">
        <v>1337</v>
      </c>
      <c r="E231" s="28" t="s">
        <v>54</v>
      </c>
      <c r="F231" s="28" t="s">
        <v>7958</v>
      </c>
      <c r="G231" s="28" t="s">
        <v>1342</v>
      </c>
      <c r="H231" s="28" t="s">
        <v>7959</v>
      </c>
      <c r="I231" s="28" t="s">
        <v>887</v>
      </c>
      <c r="J231" s="28" t="s">
        <v>7960</v>
      </c>
      <c r="K231" s="28" t="s">
        <v>7959</v>
      </c>
      <c r="L231" s="28" t="s">
        <v>7962</v>
      </c>
      <c r="M231" s="28" t="s">
        <v>41</v>
      </c>
      <c r="N231" s="28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</row>
    <row r="232" spans="1:26" ht="14.4">
      <c r="A232" s="28" t="s">
        <v>5948</v>
      </c>
      <c r="B232" s="28" t="s">
        <v>6484</v>
      </c>
      <c r="C232" s="107" t="s">
        <v>260</v>
      </c>
      <c r="D232" s="107" t="s">
        <v>1337</v>
      </c>
      <c r="E232" s="28" t="s">
        <v>54</v>
      </c>
      <c r="F232" s="28" t="s">
        <v>7964</v>
      </c>
      <c r="G232" s="28" t="s">
        <v>1342</v>
      </c>
      <c r="H232" s="28" t="s">
        <v>7966</v>
      </c>
      <c r="I232" s="28" t="s">
        <v>887</v>
      </c>
      <c r="J232" s="28" t="s">
        <v>7967</v>
      </c>
      <c r="K232" s="28" t="s">
        <v>7966</v>
      </c>
      <c r="L232" s="28" t="s">
        <v>7969</v>
      </c>
      <c r="M232" s="28" t="s">
        <v>41</v>
      </c>
      <c r="N232" s="28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  <c r="Z232" s="101"/>
    </row>
    <row r="233" spans="1:26" ht="14.4">
      <c r="A233" s="28" t="s">
        <v>5948</v>
      </c>
      <c r="B233" s="28" t="s">
        <v>6484</v>
      </c>
      <c r="C233" s="28" t="s">
        <v>20</v>
      </c>
      <c r="D233" s="107" t="s">
        <v>1305</v>
      </c>
      <c r="E233" s="28" t="s">
        <v>54</v>
      </c>
      <c r="F233" s="28" t="s">
        <v>7972</v>
      </c>
      <c r="G233" s="79" t="s">
        <v>7973</v>
      </c>
      <c r="H233" s="28" t="s">
        <v>6723</v>
      </c>
      <c r="I233" s="28" t="s">
        <v>6724</v>
      </c>
      <c r="J233" s="28" t="s">
        <v>7974</v>
      </c>
      <c r="K233" s="28" t="s">
        <v>6723</v>
      </c>
      <c r="L233" s="28" t="s">
        <v>7975</v>
      </c>
      <c r="M233" s="28" t="s">
        <v>41</v>
      </c>
      <c r="N233" s="28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</row>
    <row r="234" spans="1:26" ht="14.4">
      <c r="A234" s="28" t="s">
        <v>5948</v>
      </c>
      <c r="B234" s="28" t="s">
        <v>6754</v>
      </c>
      <c r="C234" s="107" t="s">
        <v>260</v>
      </c>
      <c r="D234" s="107" t="s">
        <v>1337</v>
      </c>
      <c r="E234" s="28" t="s">
        <v>54</v>
      </c>
      <c r="F234" s="28" t="s">
        <v>7979</v>
      </c>
      <c r="G234" s="28" t="s">
        <v>1342</v>
      </c>
      <c r="H234" s="28" t="s">
        <v>7980</v>
      </c>
      <c r="I234" s="28" t="s">
        <v>7438</v>
      </c>
      <c r="J234" s="28" t="s">
        <v>7982</v>
      </c>
      <c r="K234" s="28" t="s">
        <v>7980</v>
      </c>
      <c r="L234" s="28" t="s">
        <v>7983</v>
      </c>
      <c r="M234" s="28" t="s">
        <v>41</v>
      </c>
      <c r="N234" s="28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</row>
    <row r="235" spans="1:26" ht="14.4">
      <c r="A235" s="28" t="s">
        <v>5948</v>
      </c>
      <c r="B235" s="28" t="s">
        <v>6754</v>
      </c>
      <c r="C235" s="107" t="s">
        <v>260</v>
      </c>
      <c r="D235" s="107" t="s">
        <v>1337</v>
      </c>
      <c r="E235" s="28" t="s">
        <v>54</v>
      </c>
      <c r="F235" s="28" t="s">
        <v>7984</v>
      </c>
      <c r="G235" s="28" t="s">
        <v>1342</v>
      </c>
      <c r="H235" s="28" t="s">
        <v>6761</v>
      </c>
      <c r="I235" s="28" t="s">
        <v>7986</v>
      </c>
      <c r="J235" s="28" t="s">
        <v>7987</v>
      </c>
      <c r="K235" s="28" t="s">
        <v>6761</v>
      </c>
      <c r="L235" s="28" t="s">
        <v>6768</v>
      </c>
      <c r="M235" s="28" t="s">
        <v>41</v>
      </c>
      <c r="N235" s="28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</row>
    <row r="236" spans="1:26" ht="14.4">
      <c r="A236" s="28" t="s">
        <v>5948</v>
      </c>
      <c r="B236" s="28" t="s">
        <v>6754</v>
      </c>
      <c r="C236" s="107" t="s">
        <v>260</v>
      </c>
      <c r="D236" s="107" t="s">
        <v>1337</v>
      </c>
      <c r="E236" s="28" t="s">
        <v>54</v>
      </c>
      <c r="F236" s="28" t="s">
        <v>7990</v>
      </c>
      <c r="G236" s="28" t="s">
        <v>1342</v>
      </c>
      <c r="H236" s="28" t="s">
        <v>7991</v>
      </c>
      <c r="I236" s="28" t="s">
        <v>7412</v>
      </c>
      <c r="J236" s="28" t="s">
        <v>7992</v>
      </c>
      <c r="K236" s="28" t="s">
        <v>7991</v>
      </c>
      <c r="L236" s="28" t="s">
        <v>7993</v>
      </c>
      <c r="M236" s="28" t="s">
        <v>41</v>
      </c>
      <c r="N236" s="28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</row>
    <row r="237" spans="1:26" ht="14.4">
      <c r="A237" s="28" t="s">
        <v>5948</v>
      </c>
      <c r="B237" s="28" t="s">
        <v>6754</v>
      </c>
      <c r="C237" s="107" t="s">
        <v>260</v>
      </c>
      <c r="D237" s="107" t="s">
        <v>1337</v>
      </c>
      <c r="E237" s="28" t="s">
        <v>54</v>
      </c>
      <c r="F237" s="28" t="s">
        <v>7995</v>
      </c>
      <c r="G237" s="28" t="s">
        <v>1342</v>
      </c>
      <c r="H237" s="28" t="s">
        <v>7997</v>
      </c>
      <c r="I237" s="28" t="s">
        <v>7412</v>
      </c>
      <c r="J237" s="28" t="s">
        <v>7998</v>
      </c>
      <c r="K237" s="28" t="s">
        <v>7997</v>
      </c>
      <c r="L237" s="28" t="s">
        <v>6858</v>
      </c>
      <c r="M237" s="28" t="s">
        <v>41</v>
      </c>
      <c r="N237" s="28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</row>
    <row r="238" spans="1:26" ht="14.4">
      <c r="A238" s="28" t="s">
        <v>5948</v>
      </c>
      <c r="B238" s="28" t="s">
        <v>6754</v>
      </c>
      <c r="C238" s="107" t="s">
        <v>260</v>
      </c>
      <c r="D238" s="107" t="s">
        <v>1337</v>
      </c>
      <c r="E238" s="28" t="s">
        <v>54</v>
      </c>
      <c r="F238" s="28" t="s">
        <v>8001</v>
      </c>
      <c r="G238" s="28" t="s">
        <v>1342</v>
      </c>
      <c r="H238" s="28" t="s">
        <v>8002</v>
      </c>
      <c r="I238" s="28" t="s">
        <v>521</v>
      </c>
      <c r="J238" s="28" t="s">
        <v>8003</v>
      </c>
      <c r="K238" s="28" t="s">
        <v>8002</v>
      </c>
      <c r="L238" s="28" t="s">
        <v>6933</v>
      </c>
      <c r="M238" s="28" t="s">
        <v>41</v>
      </c>
      <c r="N238" s="28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</row>
    <row r="239" spans="1:26" ht="14.4">
      <c r="A239" s="28" t="s">
        <v>5948</v>
      </c>
      <c r="B239" s="28" t="s">
        <v>6754</v>
      </c>
      <c r="C239" s="107" t="s">
        <v>260</v>
      </c>
      <c r="D239" s="107" t="s">
        <v>1337</v>
      </c>
      <c r="E239" s="28" t="s">
        <v>54</v>
      </c>
      <c r="F239" s="28" t="s">
        <v>8006</v>
      </c>
      <c r="G239" s="28" t="s">
        <v>1342</v>
      </c>
      <c r="H239" s="28" t="s">
        <v>8008</v>
      </c>
      <c r="I239" s="28" t="s">
        <v>8009</v>
      </c>
      <c r="J239" s="28" t="s">
        <v>8010</v>
      </c>
      <c r="K239" s="28" t="s">
        <v>8008</v>
      </c>
      <c r="L239" s="28" t="s">
        <v>6945</v>
      </c>
      <c r="M239" s="28" t="s">
        <v>41</v>
      </c>
      <c r="N239" s="28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  <c r="Z239" s="101"/>
    </row>
    <row r="240" spans="1:26" ht="14.4">
      <c r="A240" s="28" t="s">
        <v>5948</v>
      </c>
      <c r="B240" s="28" t="s">
        <v>6754</v>
      </c>
      <c r="C240" s="107" t="s">
        <v>260</v>
      </c>
      <c r="D240" s="107" t="s">
        <v>1337</v>
      </c>
      <c r="E240" s="28" t="s">
        <v>54</v>
      </c>
      <c r="F240" s="28" t="s">
        <v>8011</v>
      </c>
      <c r="G240" s="28" t="s">
        <v>1342</v>
      </c>
      <c r="H240" s="28" t="s">
        <v>6811</v>
      </c>
      <c r="I240" s="28" t="s">
        <v>8014</v>
      </c>
      <c r="J240" s="28" t="s">
        <v>8015</v>
      </c>
      <c r="K240" s="28" t="s">
        <v>6811</v>
      </c>
      <c r="L240" s="28" t="s">
        <v>8017</v>
      </c>
      <c r="M240" s="28" t="s">
        <v>41</v>
      </c>
      <c r="N240" s="28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</row>
    <row r="241" spans="1:26" ht="14.4">
      <c r="A241" s="28" t="s">
        <v>5948</v>
      </c>
      <c r="B241" s="28" t="s">
        <v>6754</v>
      </c>
      <c r="C241" s="107" t="s">
        <v>260</v>
      </c>
      <c r="D241" s="107" t="s">
        <v>1337</v>
      </c>
      <c r="E241" s="28" t="s">
        <v>54</v>
      </c>
      <c r="F241" s="28" t="s">
        <v>8018</v>
      </c>
      <c r="G241" s="28" t="s">
        <v>1342</v>
      </c>
      <c r="H241" s="28" t="s">
        <v>8019</v>
      </c>
      <c r="I241" s="28" t="s">
        <v>7412</v>
      </c>
      <c r="J241" s="28" t="s">
        <v>8020</v>
      </c>
      <c r="K241" s="28" t="s">
        <v>8019</v>
      </c>
      <c r="L241" s="28" t="s">
        <v>6912</v>
      </c>
      <c r="M241" s="28" t="s">
        <v>41</v>
      </c>
      <c r="N241" s="28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  <c r="Z241" s="101"/>
    </row>
    <row r="242" spans="1:26" ht="14.4">
      <c r="A242" s="28" t="s">
        <v>5948</v>
      </c>
      <c r="B242" s="28" t="s">
        <v>6754</v>
      </c>
      <c r="C242" s="107" t="s">
        <v>260</v>
      </c>
      <c r="D242" s="107" t="s">
        <v>1337</v>
      </c>
      <c r="E242" s="28" t="s">
        <v>54</v>
      </c>
      <c r="F242" s="28" t="s">
        <v>8022</v>
      </c>
      <c r="G242" s="28" t="s">
        <v>1342</v>
      </c>
      <c r="H242" s="28" t="s">
        <v>8023</v>
      </c>
      <c r="I242" s="28" t="s">
        <v>7412</v>
      </c>
      <c r="J242" s="28" t="s">
        <v>8025</v>
      </c>
      <c r="K242" s="28" t="s">
        <v>8023</v>
      </c>
      <c r="L242" s="28" t="s">
        <v>6922</v>
      </c>
      <c r="M242" s="28" t="s">
        <v>41</v>
      </c>
      <c r="N242" s="28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</row>
    <row r="243" spans="1:26" ht="14.4">
      <c r="A243" s="28" t="s">
        <v>5948</v>
      </c>
      <c r="B243" s="28" t="s">
        <v>6754</v>
      </c>
      <c r="C243" s="107" t="s">
        <v>260</v>
      </c>
      <c r="D243" s="107" t="s">
        <v>1337</v>
      </c>
      <c r="E243" s="28" t="s">
        <v>54</v>
      </c>
      <c r="F243" s="28" t="s">
        <v>8028</v>
      </c>
      <c r="G243" s="28" t="s">
        <v>1342</v>
      </c>
      <c r="H243" s="28" t="s">
        <v>8029</v>
      </c>
      <c r="I243" s="28" t="s">
        <v>7438</v>
      </c>
      <c r="J243" s="28" t="s">
        <v>8030</v>
      </c>
      <c r="K243" s="28" t="s">
        <v>8029</v>
      </c>
      <c r="L243" s="28" t="s">
        <v>6878</v>
      </c>
      <c r="M243" s="28" t="s">
        <v>41</v>
      </c>
      <c r="N243" s="28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</row>
    <row r="244" spans="1:26" ht="14.4">
      <c r="A244" s="28" t="s">
        <v>5948</v>
      </c>
      <c r="B244" s="28" t="s">
        <v>6754</v>
      </c>
      <c r="C244" s="107" t="s">
        <v>260</v>
      </c>
      <c r="D244" s="107" t="s">
        <v>1337</v>
      </c>
      <c r="E244" s="28" t="s">
        <v>54</v>
      </c>
      <c r="F244" s="28" t="s">
        <v>8035</v>
      </c>
      <c r="G244" s="28" t="s">
        <v>1342</v>
      </c>
      <c r="H244" s="28" t="s">
        <v>8036</v>
      </c>
      <c r="I244" s="28" t="s">
        <v>8037</v>
      </c>
      <c r="J244" s="28" t="s">
        <v>8038</v>
      </c>
      <c r="K244" s="28" t="s">
        <v>8036</v>
      </c>
      <c r="L244" s="28" t="s">
        <v>6768</v>
      </c>
      <c r="M244" s="28" t="s">
        <v>41</v>
      </c>
      <c r="N244" s="28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</row>
    <row r="245" spans="1:26" ht="14.4">
      <c r="A245" s="28" t="s">
        <v>5948</v>
      </c>
      <c r="B245" s="28" t="s">
        <v>6754</v>
      </c>
      <c r="C245" s="107" t="s">
        <v>260</v>
      </c>
      <c r="D245" s="107" t="s">
        <v>1337</v>
      </c>
      <c r="E245" s="28" t="s">
        <v>54</v>
      </c>
      <c r="F245" s="28" t="s">
        <v>8040</v>
      </c>
      <c r="G245" s="28" t="s">
        <v>1342</v>
      </c>
      <c r="H245" s="28" t="s">
        <v>8041</v>
      </c>
      <c r="I245" s="28" t="s">
        <v>7412</v>
      </c>
      <c r="J245" s="28" t="s">
        <v>8043</v>
      </c>
      <c r="K245" s="28" t="s">
        <v>8041</v>
      </c>
      <c r="L245" s="28" t="s">
        <v>6891</v>
      </c>
      <c r="M245" s="28" t="s">
        <v>41</v>
      </c>
      <c r="N245" s="28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</row>
    <row r="246" spans="1:26" ht="14.4">
      <c r="A246" s="28" t="s">
        <v>5948</v>
      </c>
      <c r="B246" s="28" t="s">
        <v>6754</v>
      </c>
      <c r="C246" s="107" t="s">
        <v>260</v>
      </c>
      <c r="D246" s="107" t="s">
        <v>1337</v>
      </c>
      <c r="E246" s="28" t="s">
        <v>54</v>
      </c>
      <c r="F246" s="28" t="s">
        <v>8046</v>
      </c>
      <c r="G246" s="28" t="s">
        <v>1342</v>
      </c>
      <c r="H246" s="28" t="s">
        <v>8047</v>
      </c>
      <c r="I246" s="28" t="s">
        <v>7741</v>
      </c>
      <c r="J246" s="28" t="s">
        <v>8049</v>
      </c>
      <c r="K246" s="28" t="s">
        <v>8047</v>
      </c>
      <c r="L246" s="28" t="s">
        <v>2794</v>
      </c>
      <c r="M246" s="28" t="s">
        <v>41</v>
      </c>
      <c r="N246" s="28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</row>
    <row r="247" spans="1:26" ht="14.4">
      <c r="A247" s="28" t="s">
        <v>5948</v>
      </c>
      <c r="B247" s="28" t="s">
        <v>6754</v>
      </c>
      <c r="C247" s="107" t="s">
        <v>260</v>
      </c>
      <c r="D247" s="107" t="s">
        <v>1337</v>
      </c>
      <c r="E247" s="28" t="s">
        <v>54</v>
      </c>
      <c r="F247" s="28" t="s">
        <v>8053</v>
      </c>
      <c r="G247" s="28" t="s">
        <v>1342</v>
      </c>
      <c r="H247" s="28" t="s">
        <v>8054</v>
      </c>
      <c r="I247" s="28" t="s">
        <v>8055</v>
      </c>
      <c r="J247" s="28" t="s">
        <v>8056</v>
      </c>
      <c r="K247" s="28" t="s">
        <v>8054</v>
      </c>
      <c r="L247" s="28" t="s">
        <v>2794</v>
      </c>
      <c r="M247" s="28" t="s">
        <v>41</v>
      </c>
      <c r="N247" s="28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</row>
    <row r="248" spans="1:26" ht="14.4">
      <c r="A248" s="28" t="s">
        <v>5948</v>
      </c>
      <c r="B248" s="28" t="s">
        <v>6754</v>
      </c>
      <c r="C248" s="107" t="s">
        <v>260</v>
      </c>
      <c r="D248" s="107" t="s">
        <v>1337</v>
      </c>
      <c r="E248" s="28" t="s">
        <v>54</v>
      </c>
      <c r="F248" s="28" t="s">
        <v>8058</v>
      </c>
      <c r="G248" s="28" t="s">
        <v>1342</v>
      </c>
      <c r="H248" s="28" t="s">
        <v>8060</v>
      </c>
      <c r="I248" s="28" t="s">
        <v>7412</v>
      </c>
      <c r="J248" s="28" t="s">
        <v>8062</v>
      </c>
      <c r="K248" s="28" t="s">
        <v>8060</v>
      </c>
      <c r="L248" s="28" t="s">
        <v>6901</v>
      </c>
      <c r="M248" s="28" t="s">
        <v>41</v>
      </c>
      <c r="N248" s="28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</row>
    <row r="249" spans="1:26" ht="14.4">
      <c r="A249" s="28" t="s">
        <v>5948</v>
      </c>
      <c r="B249" s="28" t="s">
        <v>6754</v>
      </c>
      <c r="C249" s="28" t="s">
        <v>20</v>
      </c>
      <c r="D249" s="107" t="s">
        <v>1305</v>
      </c>
      <c r="E249" s="28" t="s">
        <v>54</v>
      </c>
      <c r="F249" s="28" t="s">
        <v>8064</v>
      </c>
      <c r="G249" s="79" t="s">
        <v>8065</v>
      </c>
      <c r="H249" s="28" t="s">
        <v>8067</v>
      </c>
      <c r="I249" s="28" t="s">
        <v>8068</v>
      </c>
      <c r="J249" s="28" t="s">
        <v>8069</v>
      </c>
      <c r="K249" s="28" t="s">
        <v>8067</v>
      </c>
      <c r="L249" s="28" t="s">
        <v>8070</v>
      </c>
      <c r="M249" s="28" t="s">
        <v>41</v>
      </c>
      <c r="N249" s="28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</row>
    <row r="250" spans="1:26" ht="14.4">
      <c r="A250" s="28" t="s">
        <v>5948</v>
      </c>
      <c r="B250" s="28" t="s">
        <v>7057</v>
      </c>
      <c r="C250" s="107" t="s">
        <v>260</v>
      </c>
      <c r="D250" s="107" t="s">
        <v>1337</v>
      </c>
      <c r="E250" s="28" t="s">
        <v>54</v>
      </c>
      <c r="F250" s="28" t="s">
        <v>8074</v>
      </c>
      <c r="G250" s="28" t="s">
        <v>1342</v>
      </c>
      <c r="H250" s="28" t="s">
        <v>8075</v>
      </c>
      <c r="I250" s="28" t="s">
        <v>4108</v>
      </c>
      <c r="J250" s="28" t="s">
        <v>8076</v>
      </c>
      <c r="K250" s="28" t="s">
        <v>8075</v>
      </c>
      <c r="L250" s="28" t="s">
        <v>989</v>
      </c>
      <c r="M250" s="28" t="s">
        <v>41</v>
      </c>
      <c r="N250" s="28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</row>
    <row r="251" spans="1:26" ht="14.4">
      <c r="A251" s="28" t="s">
        <v>5948</v>
      </c>
      <c r="B251" s="28" t="s">
        <v>7057</v>
      </c>
      <c r="C251" s="107" t="s">
        <v>260</v>
      </c>
      <c r="D251" s="107" t="s">
        <v>1337</v>
      </c>
      <c r="E251" s="28" t="s">
        <v>54</v>
      </c>
      <c r="F251" s="28" t="s">
        <v>8079</v>
      </c>
      <c r="G251" s="28" t="s">
        <v>1342</v>
      </c>
      <c r="H251" s="28" t="s">
        <v>8081</v>
      </c>
      <c r="I251" s="28" t="s">
        <v>2714</v>
      </c>
      <c r="J251" s="28" t="s">
        <v>8083</v>
      </c>
      <c r="K251" s="28" t="s">
        <v>8081</v>
      </c>
      <c r="L251" s="28" t="s">
        <v>7114</v>
      </c>
      <c r="M251" s="28" t="s">
        <v>41</v>
      </c>
      <c r="N251" s="28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</row>
    <row r="252" spans="1:26" ht="14.4">
      <c r="A252" s="28" t="s">
        <v>5948</v>
      </c>
      <c r="B252" s="28" t="s">
        <v>7057</v>
      </c>
      <c r="C252" s="107" t="s">
        <v>260</v>
      </c>
      <c r="D252" s="107" t="s">
        <v>1337</v>
      </c>
      <c r="E252" s="28" t="s">
        <v>54</v>
      </c>
      <c r="F252" s="28" t="s">
        <v>8084</v>
      </c>
      <c r="G252" s="28" t="s">
        <v>1342</v>
      </c>
      <c r="H252" s="28" t="s">
        <v>8086</v>
      </c>
      <c r="I252" s="28" t="s">
        <v>521</v>
      </c>
      <c r="J252" s="28" t="s">
        <v>8087</v>
      </c>
      <c r="K252" s="28" t="s">
        <v>8086</v>
      </c>
      <c r="L252" s="28" t="s">
        <v>5675</v>
      </c>
      <c r="M252" s="28" t="s">
        <v>41</v>
      </c>
      <c r="N252" s="28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</row>
    <row r="253" spans="1:26" ht="14.4">
      <c r="A253" s="28" t="s">
        <v>5948</v>
      </c>
      <c r="B253" s="28" t="s">
        <v>7057</v>
      </c>
      <c r="C253" s="107" t="s">
        <v>260</v>
      </c>
      <c r="D253" s="107" t="s">
        <v>1337</v>
      </c>
      <c r="E253" s="28" t="s">
        <v>54</v>
      </c>
      <c r="F253" s="28" t="s">
        <v>8089</v>
      </c>
      <c r="G253" s="28" t="s">
        <v>1342</v>
      </c>
      <c r="H253" s="28" t="s">
        <v>7200</v>
      </c>
      <c r="I253" s="28" t="s">
        <v>1610</v>
      </c>
      <c r="J253" s="28" t="s">
        <v>8090</v>
      </c>
      <c r="K253" s="28" t="s">
        <v>7200</v>
      </c>
      <c r="L253" s="28" t="s">
        <v>989</v>
      </c>
      <c r="M253" s="28" t="s">
        <v>41</v>
      </c>
      <c r="N253" s="28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</row>
    <row r="254" spans="1:26" ht="14.4">
      <c r="A254" s="28" t="s">
        <v>5948</v>
      </c>
      <c r="B254" s="28" t="s">
        <v>7057</v>
      </c>
      <c r="C254" s="107" t="s">
        <v>260</v>
      </c>
      <c r="D254" s="107" t="s">
        <v>1337</v>
      </c>
      <c r="E254" s="28" t="s">
        <v>54</v>
      </c>
      <c r="F254" s="28" t="s">
        <v>8093</v>
      </c>
      <c r="G254" s="28" t="s">
        <v>1342</v>
      </c>
      <c r="H254" s="28" t="s">
        <v>7200</v>
      </c>
      <c r="I254" s="28" t="s">
        <v>1610</v>
      </c>
      <c r="J254" s="28" t="s">
        <v>8094</v>
      </c>
      <c r="K254" s="28" t="s">
        <v>7200</v>
      </c>
      <c r="L254" s="28" t="s">
        <v>989</v>
      </c>
      <c r="M254" s="28" t="s">
        <v>41</v>
      </c>
      <c r="N254" s="28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</row>
    <row r="255" spans="1:26" ht="14.4">
      <c r="A255" s="28" t="s">
        <v>5948</v>
      </c>
      <c r="B255" s="28" t="s">
        <v>7057</v>
      </c>
      <c r="C255" s="107" t="s">
        <v>260</v>
      </c>
      <c r="D255" s="107" t="s">
        <v>1337</v>
      </c>
      <c r="E255" s="28" t="s">
        <v>54</v>
      </c>
      <c r="F255" s="28" t="s">
        <v>8096</v>
      </c>
      <c r="G255" s="28" t="s">
        <v>1342</v>
      </c>
      <c r="H255" s="28" t="s">
        <v>8097</v>
      </c>
      <c r="I255" s="28" t="s">
        <v>521</v>
      </c>
      <c r="J255" s="28" t="s">
        <v>8098</v>
      </c>
      <c r="K255" s="28" t="s">
        <v>8097</v>
      </c>
      <c r="L255" s="28" t="s">
        <v>2166</v>
      </c>
      <c r="M255" s="28" t="s">
        <v>41</v>
      </c>
      <c r="N255" s="28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</row>
    <row r="256" spans="1:26" ht="14.4">
      <c r="A256" s="28" t="s">
        <v>5948</v>
      </c>
      <c r="B256" s="28" t="s">
        <v>7057</v>
      </c>
      <c r="C256" s="28" t="s">
        <v>20</v>
      </c>
      <c r="D256" s="107" t="s">
        <v>1305</v>
      </c>
      <c r="E256" s="28" t="s">
        <v>54</v>
      </c>
      <c r="F256" s="28" t="s">
        <v>8102</v>
      </c>
      <c r="G256" s="79" t="s">
        <v>8103</v>
      </c>
      <c r="H256" s="28" t="s">
        <v>7200</v>
      </c>
      <c r="I256" s="28" t="s">
        <v>1610</v>
      </c>
      <c r="J256" s="28" t="s">
        <v>8104</v>
      </c>
      <c r="K256" s="28" t="s">
        <v>7200</v>
      </c>
      <c r="L256" s="28" t="s">
        <v>989</v>
      </c>
      <c r="M256" s="28" t="s">
        <v>41</v>
      </c>
      <c r="N256" s="28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</row>
    <row r="257" spans="1:26" ht="14.4">
      <c r="A257" s="28" t="s">
        <v>5948</v>
      </c>
      <c r="B257" s="28" t="s">
        <v>7331</v>
      </c>
      <c r="C257" s="107" t="s">
        <v>260</v>
      </c>
      <c r="D257" s="107" t="s">
        <v>1337</v>
      </c>
      <c r="E257" s="28" t="s">
        <v>54</v>
      </c>
      <c r="F257" s="28" t="s">
        <v>8106</v>
      </c>
      <c r="G257" s="28" t="s">
        <v>1342</v>
      </c>
      <c r="H257" s="28" t="s">
        <v>7426</v>
      </c>
      <c r="I257" s="28" t="s">
        <v>7412</v>
      </c>
      <c r="J257" s="28" t="s">
        <v>8108</v>
      </c>
      <c r="K257" s="28" t="s">
        <v>7426</v>
      </c>
      <c r="L257" s="28" t="s">
        <v>7120</v>
      </c>
      <c r="M257" s="28" t="s">
        <v>41</v>
      </c>
      <c r="N257" s="28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</row>
    <row r="258" spans="1:26" ht="14.4">
      <c r="A258" s="28" t="s">
        <v>5948</v>
      </c>
      <c r="B258" s="28" t="s">
        <v>7331</v>
      </c>
      <c r="C258" s="107" t="s">
        <v>260</v>
      </c>
      <c r="D258" s="107" t="s">
        <v>1337</v>
      </c>
      <c r="E258" s="28" t="s">
        <v>54</v>
      </c>
      <c r="F258" s="28" t="s">
        <v>8110</v>
      </c>
      <c r="G258" s="28" t="s">
        <v>1342</v>
      </c>
      <c r="H258" s="28" t="s">
        <v>7502</v>
      </c>
      <c r="I258" s="28" t="s">
        <v>7503</v>
      </c>
      <c r="J258" s="28" t="s">
        <v>8111</v>
      </c>
      <c r="K258" s="28" t="s">
        <v>7502</v>
      </c>
      <c r="L258" s="28" t="s">
        <v>989</v>
      </c>
      <c r="M258" s="28" t="s">
        <v>41</v>
      </c>
      <c r="N258" s="28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</row>
    <row r="259" spans="1:26" ht="14.4">
      <c r="A259" s="28" t="s">
        <v>5948</v>
      </c>
      <c r="B259" s="28" t="s">
        <v>7331</v>
      </c>
      <c r="C259" s="107" t="s">
        <v>260</v>
      </c>
      <c r="D259" s="107" t="s">
        <v>1337</v>
      </c>
      <c r="E259" s="28" t="s">
        <v>54</v>
      </c>
      <c r="F259" s="28" t="s">
        <v>8114</v>
      </c>
      <c r="G259" s="28" t="s">
        <v>1342</v>
      </c>
      <c r="H259" s="28" t="s">
        <v>7502</v>
      </c>
      <c r="I259" s="28" t="s">
        <v>7503</v>
      </c>
      <c r="J259" s="28" t="s">
        <v>8115</v>
      </c>
      <c r="K259" s="28" t="s">
        <v>7502</v>
      </c>
      <c r="L259" s="28" t="s">
        <v>989</v>
      </c>
      <c r="M259" s="28" t="s">
        <v>41</v>
      </c>
      <c r="N259" s="28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</row>
    <row r="260" spans="1:26" ht="14.4">
      <c r="A260" s="28" t="s">
        <v>5948</v>
      </c>
      <c r="B260" s="28" t="s">
        <v>7331</v>
      </c>
      <c r="C260" s="107" t="s">
        <v>260</v>
      </c>
      <c r="D260" s="107" t="s">
        <v>1337</v>
      </c>
      <c r="E260" s="28" t="s">
        <v>54</v>
      </c>
      <c r="F260" s="28" t="s">
        <v>8117</v>
      </c>
      <c r="G260" s="28" t="s">
        <v>1342</v>
      </c>
      <c r="H260" s="28" t="s">
        <v>7455</v>
      </c>
      <c r="I260" s="28" t="s">
        <v>7412</v>
      </c>
      <c r="J260" s="28" t="s">
        <v>8119</v>
      </c>
      <c r="K260" s="28" t="s">
        <v>7455</v>
      </c>
      <c r="L260" s="28" t="s">
        <v>7460</v>
      </c>
      <c r="M260" s="28" t="s">
        <v>41</v>
      </c>
      <c r="N260" s="28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</row>
    <row r="261" spans="1:26" ht="14.4">
      <c r="A261" s="28" t="s">
        <v>5948</v>
      </c>
      <c r="B261" s="28" t="s">
        <v>7331</v>
      </c>
      <c r="C261" s="28" t="s">
        <v>20</v>
      </c>
      <c r="D261" s="28" t="s">
        <v>1305</v>
      </c>
      <c r="E261" s="28" t="s">
        <v>54</v>
      </c>
      <c r="F261" s="28" t="s">
        <v>8121</v>
      </c>
      <c r="G261" s="79" t="s">
        <v>8123</v>
      </c>
      <c r="H261" s="28" t="s">
        <v>7389</v>
      </c>
      <c r="I261" s="28" t="s">
        <v>1595</v>
      </c>
      <c r="J261" s="28" t="s">
        <v>8126</v>
      </c>
      <c r="K261" s="28" t="s">
        <v>7389</v>
      </c>
      <c r="L261" s="28" t="s">
        <v>7393</v>
      </c>
      <c r="M261" s="28" t="s">
        <v>41</v>
      </c>
      <c r="N261" s="28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</row>
    <row r="262" spans="1:26" ht="13.2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</row>
    <row r="263" spans="1:26" ht="13.2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</row>
    <row r="264" spans="1:26" ht="13.2">
      <c r="A264" s="45"/>
      <c r="B264" s="45"/>
      <c r="C264" s="45"/>
      <c r="D264" s="45"/>
      <c r="E264" s="45" t="s">
        <v>8130</v>
      </c>
      <c r="F264" s="45"/>
      <c r="G264" s="45"/>
      <c r="H264" s="45"/>
      <c r="I264" s="45"/>
      <c r="J264" s="45"/>
      <c r="K264" s="45"/>
      <c r="L264" s="45"/>
      <c r="M264" s="45"/>
      <c r="N264" s="45"/>
    </row>
    <row r="265" spans="1:26" ht="13.2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</row>
    <row r="266" spans="1:26" ht="13.2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</row>
    <row r="267" spans="1:26" ht="13.2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</row>
    <row r="268" spans="1:26" ht="13.2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</row>
    <row r="269" spans="1:26" ht="13.2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</row>
    <row r="270" spans="1:26" ht="13.2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</row>
    <row r="271" spans="1:26" ht="13.2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</row>
    <row r="272" spans="1:26" ht="13.2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</row>
    <row r="273" spans="1:14" ht="13.2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</row>
    <row r="274" spans="1:14" ht="13.2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</row>
    <row r="275" spans="1:14" ht="13.2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</row>
    <row r="276" spans="1:14" ht="13.2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</row>
  </sheetData>
  <autoFilter ref="A2:N261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206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/>
  <cols>
    <col min="1" max="1" width="8" customWidth="1"/>
    <col min="2" max="2" width="15.88671875" customWidth="1"/>
    <col min="3" max="3" width="40" customWidth="1"/>
    <col min="6" max="6" width="22.6640625" customWidth="1"/>
  </cols>
  <sheetData>
    <row r="1" spans="1:26" ht="15.75" customHeight="1">
      <c r="A1" s="348" t="s">
        <v>0</v>
      </c>
      <c r="B1" s="349"/>
      <c r="C1" s="349"/>
      <c r="D1" s="349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</row>
    <row r="2" spans="1:26" ht="15.75" customHeight="1">
      <c r="A2" s="8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8</v>
      </c>
      <c r="G2" s="8" t="s">
        <v>24</v>
      </c>
      <c r="H2" s="8" t="s">
        <v>10</v>
      </c>
      <c r="I2" s="8" t="s">
        <v>11</v>
      </c>
      <c r="J2" s="8" t="s">
        <v>12</v>
      </c>
      <c r="K2" s="8" t="s">
        <v>14</v>
      </c>
      <c r="L2" s="8"/>
      <c r="M2" s="8" t="s">
        <v>16</v>
      </c>
      <c r="N2" s="8" t="s">
        <v>17</v>
      </c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</row>
    <row r="3" spans="1:26" ht="15.75" customHeight="1">
      <c r="A3" s="28" t="s">
        <v>31</v>
      </c>
      <c r="B3" s="28" t="s">
        <v>6287</v>
      </c>
      <c r="C3" s="28" t="s">
        <v>275</v>
      </c>
      <c r="D3" s="28" t="s">
        <v>543</v>
      </c>
      <c r="E3" s="107"/>
      <c r="F3" s="79" t="s">
        <v>6291</v>
      </c>
      <c r="G3" s="28" t="s">
        <v>6293</v>
      </c>
      <c r="H3" s="28" t="s">
        <v>6295</v>
      </c>
      <c r="I3" s="28" t="s">
        <v>6296</v>
      </c>
      <c r="J3" s="28" t="s">
        <v>6298</v>
      </c>
      <c r="K3" s="28" t="s">
        <v>6295</v>
      </c>
      <c r="L3" s="28" t="s">
        <v>4649</v>
      </c>
      <c r="M3" s="28" t="s">
        <v>41</v>
      </c>
      <c r="N3" s="241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spans="1:26" ht="15.75" customHeight="1">
      <c r="A4" s="28" t="s">
        <v>31</v>
      </c>
      <c r="B4" s="28" t="s">
        <v>6287</v>
      </c>
      <c r="C4" s="28" t="s">
        <v>85</v>
      </c>
      <c r="D4" s="28" t="s">
        <v>86</v>
      </c>
      <c r="E4" s="107"/>
      <c r="F4" s="28" t="s">
        <v>6313</v>
      </c>
      <c r="G4" s="28" t="s">
        <v>6315</v>
      </c>
      <c r="H4" s="28" t="s">
        <v>6317</v>
      </c>
      <c r="I4" s="28" t="s">
        <v>6319</v>
      </c>
      <c r="J4" s="28" t="s">
        <v>6322</v>
      </c>
      <c r="K4" s="28" t="s">
        <v>6317</v>
      </c>
      <c r="L4" s="28" t="s">
        <v>5997</v>
      </c>
      <c r="M4" s="28" t="s">
        <v>41</v>
      </c>
      <c r="N4" s="241"/>
    </row>
    <row r="5" spans="1:26" ht="15.75" customHeight="1">
      <c r="A5" s="28" t="s">
        <v>31</v>
      </c>
      <c r="B5" s="28" t="s">
        <v>6287</v>
      </c>
      <c r="C5" s="28" t="s">
        <v>85</v>
      </c>
      <c r="D5" s="28" t="s">
        <v>86</v>
      </c>
      <c r="E5" s="107"/>
      <c r="F5" s="28" t="s">
        <v>6325</v>
      </c>
      <c r="G5" s="28" t="s">
        <v>6326</v>
      </c>
      <c r="H5" s="28" t="s">
        <v>6328</v>
      </c>
      <c r="I5" s="28" t="s">
        <v>521</v>
      </c>
      <c r="J5" s="28" t="s">
        <v>6322</v>
      </c>
      <c r="K5" s="28" t="s">
        <v>6328</v>
      </c>
      <c r="L5" s="28" t="s">
        <v>2166</v>
      </c>
      <c r="M5" s="28" t="s">
        <v>41</v>
      </c>
      <c r="N5" s="241"/>
    </row>
    <row r="6" spans="1:26" ht="15.75" customHeight="1">
      <c r="A6" s="28" t="s">
        <v>31</v>
      </c>
      <c r="B6" s="28" t="s">
        <v>6287</v>
      </c>
      <c r="C6" s="28" t="s">
        <v>85</v>
      </c>
      <c r="D6" s="28" t="s">
        <v>86</v>
      </c>
      <c r="E6" s="107"/>
      <c r="F6" s="28" t="s">
        <v>6339</v>
      </c>
      <c r="G6" s="28" t="s">
        <v>6340</v>
      </c>
      <c r="H6" s="28" t="s">
        <v>6341</v>
      </c>
      <c r="I6" s="28" t="s">
        <v>6343</v>
      </c>
      <c r="J6" s="28" t="s">
        <v>6322</v>
      </c>
      <c r="K6" s="28" t="s">
        <v>6341</v>
      </c>
      <c r="L6" s="28" t="s">
        <v>6345</v>
      </c>
      <c r="M6" s="28" t="s">
        <v>41</v>
      </c>
      <c r="N6" s="241"/>
    </row>
    <row r="7" spans="1:26" ht="15.75" customHeight="1">
      <c r="A7" s="28" t="s">
        <v>31</v>
      </c>
      <c r="B7" s="28" t="s">
        <v>6287</v>
      </c>
      <c r="C7" s="28" t="s">
        <v>85</v>
      </c>
      <c r="D7" s="28" t="s">
        <v>86</v>
      </c>
      <c r="E7" s="107"/>
      <c r="F7" s="28" t="s">
        <v>6352</v>
      </c>
      <c r="G7" s="28" t="s">
        <v>6353</v>
      </c>
      <c r="H7" s="28" t="s">
        <v>6354</v>
      </c>
      <c r="I7" s="28" t="s">
        <v>6356</v>
      </c>
      <c r="J7" s="28" t="s">
        <v>6322</v>
      </c>
      <c r="K7" s="28" t="s">
        <v>6354</v>
      </c>
      <c r="L7" s="28" t="s">
        <v>6359</v>
      </c>
      <c r="M7" s="28" t="s">
        <v>41</v>
      </c>
      <c r="N7" s="241"/>
    </row>
    <row r="8" spans="1:26" ht="15.75" customHeight="1">
      <c r="A8" s="28" t="s">
        <v>31</v>
      </c>
      <c r="B8" s="28" t="s">
        <v>6287</v>
      </c>
      <c r="C8" s="28" t="s">
        <v>85</v>
      </c>
      <c r="D8" s="28" t="s">
        <v>86</v>
      </c>
      <c r="E8" s="107"/>
      <c r="F8" s="28" t="s">
        <v>6364</v>
      </c>
      <c r="G8" s="28" t="s">
        <v>6365</v>
      </c>
      <c r="H8" s="28" t="s">
        <v>6366</v>
      </c>
      <c r="I8" s="28" t="s">
        <v>6367</v>
      </c>
      <c r="J8" s="28" t="s">
        <v>6322</v>
      </c>
      <c r="K8" s="28" t="s">
        <v>6366</v>
      </c>
      <c r="L8" s="28" t="s">
        <v>6371</v>
      </c>
      <c r="M8" s="28" t="s">
        <v>41</v>
      </c>
      <c r="N8" s="241"/>
    </row>
    <row r="9" spans="1:26" ht="15.75" customHeight="1">
      <c r="A9" s="28" t="s">
        <v>31</v>
      </c>
      <c r="B9" s="28" t="s">
        <v>6287</v>
      </c>
      <c r="C9" s="28" t="s">
        <v>85</v>
      </c>
      <c r="D9" s="28" t="s">
        <v>86</v>
      </c>
      <c r="E9" s="107"/>
      <c r="F9" s="28" t="s">
        <v>6375</v>
      </c>
      <c r="G9" s="28" t="s">
        <v>6376</v>
      </c>
      <c r="H9" s="28" t="s">
        <v>6295</v>
      </c>
      <c r="I9" s="28" t="s">
        <v>6296</v>
      </c>
      <c r="J9" s="28" t="s">
        <v>6322</v>
      </c>
      <c r="K9" s="28" t="s">
        <v>6295</v>
      </c>
      <c r="L9" s="28" t="s">
        <v>5997</v>
      </c>
      <c r="M9" s="28" t="s">
        <v>41</v>
      </c>
      <c r="N9" s="241"/>
    </row>
    <row r="10" spans="1:26" ht="15.75" customHeight="1">
      <c r="A10" s="28" t="s">
        <v>31</v>
      </c>
      <c r="B10" s="28" t="s">
        <v>6287</v>
      </c>
      <c r="C10" s="28" t="s">
        <v>85</v>
      </c>
      <c r="D10" s="28" t="s">
        <v>86</v>
      </c>
      <c r="E10" s="107"/>
      <c r="F10" s="28" t="s">
        <v>6383</v>
      </c>
      <c r="G10" s="28" t="s">
        <v>6384</v>
      </c>
      <c r="H10" s="28" t="s">
        <v>6385</v>
      </c>
      <c r="I10" s="28" t="s">
        <v>887</v>
      </c>
      <c r="J10" s="28" t="s">
        <v>6322</v>
      </c>
      <c r="K10" s="28" t="s">
        <v>6387</v>
      </c>
      <c r="L10" s="28" t="s">
        <v>5997</v>
      </c>
      <c r="M10" s="28" t="s">
        <v>41</v>
      </c>
      <c r="N10" s="241"/>
    </row>
    <row r="11" spans="1:26" ht="15.75" customHeight="1">
      <c r="A11" s="28" t="s">
        <v>31</v>
      </c>
      <c r="B11" s="28" t="s">
        <v>6287</v>
      </c>
      <c r="C11" s="28" t="s">
        <v>85</v>
      </c>
      <c r="D11" s="28" t="s">
        <v>86</v>
      </c>
      <c r="E11" s="107"/>
      <c r="F11" s="28" t="s">
        <v>6392</v>
      </c>
      <c r="G11" s="28" t="s">
        <v>6395</v>
      </c>
      <c r="H11" s="28" t="s">
        <v>6397</v>
      </c>
      <c r="I11" s="28" t="s">
        <v>887</v>
      </c>
      <c r="J11" s="28" t="s">
        <v>6322</v>
      </c>
      <c r="K11" s="28" t="s">
        <v>6397</v>
      </c>
      <c r="L11" s="28" t="s">
        <v>5997</v>
      </c>
      <c r="M11" s="28" t="s">
        <v>41</v>
      </c>
      <c r="N11" s="241"/>
    </row>
    <row r="12" spans="1:26" ht="15.75" customHeight="1">
      <c r="A12" s="28" t="s">
        <v>31</v>
      </c>
      <c r="B12" s="28" t="s">
        <v>6287</v>
      </c>
      <c r="C12" s="28" t="s">
        <v>85</v>
      </c>
      <c r="D12" s="28" t="s">
        <v>86</v>
      </c>
      <c r="E12" s="107"/>
      <c r="F12" s="28" t="s">
        <v>6403</v>
      </c>
      <c r="G12" s="28" t="s">
        <v>6405</v>
      </c>
      <c r="H12" s="28" t="s">
        <v>6407</v>
      </c>
      <c r="I12" s="28" t="s">
        <v>6408</v>
      </c>
      <c r="J12" s="28" t="s">
        <v>6322</v>
      </c>
      <c r="K12" s="28" t="s">
        <v>6407</v>
      </c>
      <c r="L12" s="28" t="s">
        <v>5997</v>
      </c>
      <c r="M12" s="28" t="s">
        <v>41</v>
      </c>
      <c r="N12" s="241"/>
    </row>
    <row r="13" spans="1:26" ht="15.75" customHeight="1">
      <c r="A13" s="28" t="s">
        <v>31</v>
      </c>
      <c r="B13" s="28" t="s">
        <v>6287</v>
      </c>
      <c r="C13" s="28" t="s">
        <v>85</v>
      </c>
      <c r="D13" s="28" t="s">
        <v>86</v>
      </c>
      <c r="E13" s="107"/>
      <c r="F13" s="28" t="s">
        <v>6416</v>
      </c>
      <c r="G13" s="28" t="s">
        <v>6418</v>
      </c>
      <c r="H13" s="28" t="s">
        <v>6419</v>
      </c>
      <c r="I13" s="28" t="s">
        <v>887</v>
      </c>
      <c r="J13" s="28" t="s">
        <v>6322</v>
      </c>
      <c r="K13" s="28" t="s">
        <v>6419</v>
      </c>
      <c r="L13" s="28" t="s">
        <v>5997</v>
      </c>
      <c r="M13" s="28" t="s">
        <v>41</v>
      </c>
      <c r="N13" s="241"/>
    </row>
    <row r="14" spans="1:26" ht="15.75" customHeight="1">
      <c r="A14" s="28" t="s">
        <v>31</v>
      </c>
      <c r="B14" s="28" t="s">
        <v>6287</v>
      </c>
      <c r="C14" s="28" t="s">
        <v>85</v>
      </c>
      <c r="D14" s="28" t="s">
        <v>86</v>
      </c>
      <c r="E14" s="107"/>
      <c r="F14" s="28" t="s">
        <v>6438</v>
      </c>
      <c r="G14" s="28" t="s">
        <v>6439</v>
      </c>
      <c r="H14" s="28" t="s">
        <v>6295</v>
      </c>
      <c r="I14" s="28" t="s">
        <v>6296</v>
      </c>
      <c r="J14" s="28" t="s">
        <v>6322</v>
      </c>
      <c r="K14" s="28" t="s">
        <v>6295</v>
      </c>
      <c r="L14" s="28" t="s">
        <v>5997</v>
      </c>
      <c r="M14" s="28" t="s">
        <v>41</v>
      </c>
      <c r="N14" s="241"/>
    </row>
    <row r="15" spans="1:26" ht="15.75" customHeight="1">
      <c r="A15" s="28" t="s">
        <v>31</v>
      </c>
      <c r="B15" s="28" t="s">
        <v>6287</v>
      </c>
      <c r="C15" s="28" t="s">
        <v>85</v>
      </c>
      <c r="D15" s="28" t="s">
        <v>86</v>
      </c>
      <c r="E15" s="107"/>
      <c r="F15" s="28" t="s">
        <v>6449</v>
      </c>
      <c r="G15" s="28" t="s">
        <v>6450</v>
      </c>
      <c r="H15" s="28" t="s">
        <v>6354</v>
      </c>
      <c r="I15" s="28" t="s">
        <v>6356</v>
      </c>
      <c r="J15" s="28" t="s">
        <v>6322</v>
      </c>
      <c r="K15" s="28" t="s">
        <v>6451</v>
      </c>
      <c r="L15" s="28" t="s">
        <v>5997</v>
      </c>
      <c r="M15" s="28" t="s">
        <v>41</v>
      </c>
      <c r="N15" s="241"/>
    </row>
    <row r="16" spans="1:26" ht="15.75" customHeight="1">
      <c r="A16" s="28" t="s">
        <v>31</v>
      </c>
      <c r="B16" s="28" t="s">
        <v>6287</v>
      </c>
      <c r="C16" s="28" t="s">
        <v>85</v>
      </c>
      <c r="D16" s="28" t="s">
        <v>86</v>
      </c>
      <c r="E16" s="107"/>
      <c r="F16" s="28" t="s">
        <v>6458</v>
      </c>
      <c r="G16" s="28" t="s">
        <v>6460</v>
      </c>
      <c r="H16" s="28" t="s">
        <v>6463</v>
      </c>
      <c r="I16" s="28" t="s">
        <v>1252</v>
      </c>
      <c r="J16" s="28" t="s">
        <v>6322</v>
      </c>
      <c r="K16" s="28" t="s">
        <v>6463</v>
      </c>
      <c r="L16" s="28" t="s">
        <v>6465</v>
      </c>
      <c r="M16" s="28" t="s">
        <v>41</v>
      </c>
      <c r="N16" s="241"/>
    </row>
    <row r="17" spans="1:14" ht="15.75" customHeight="1">
      <c r="A17" s="28" t="s">
        <v>31</v>
      </c>
      <c r="B17" s="28" t="s">
        <v>6287</v>
      </c>
      <c r="C17" s="28" t="s">
        <v>85</v>
      </c>
      <c r="D17" s="28" t="s">
        <v>86</v>
      </c>
      <c r="E17" s="107"/>
      <c r="F17" s="28" t="s">
        <v>6471</v>
      </c>
      <c r="G17" s="28" t="s">
        <v>6473</v>
      </c>
      <c r="H17" s="28" t="s">
        <v>6475</v>
      </c>
      <c r="I17" s="28" t="s">
        <v>689</v>
      </c>
      <c r="J17" s="28" t="s">
        <v>6322</v>
      </c>
      <c r="K17" s="28" t="s">
        <v>6475</v>
      </c>
      <c r="L17" s="28" t="s">
        <v>6477</v>
      </c>
      <c r="M17" s="28" t="s">
        <v>41</v>
      </c>
      <c r="N17" s="241"/>
    </row>
    <row r="18" spans="1:14" ht="14.4">
      <c r="A18" s="28" t="s">
        <v>31</v>
      </c>
      <c r="B18" s="28" t="s">
        <v>6287</v>
      </c>
      <c r="C18" s="28" t="s">
        <v>85</v>
      </c>
      <c r="D18" s="28" t="s">
        <v>86</v>
      </c>
      <c r="E18" s="107"/>
      <c r="F18" s="28" t="s">
        <v>6482</v>
      </c>
      <c r="G18" s="28" t="s">
        <v>6483</v>
      </c>
      <c r="H18" s="28" t="s">
        <v>6485</v>
      </c>
      <c r="I18" s="28" t="s">
        <v>898</v>
      </c>
      <c r="J18" s="28" t="s">
        <v>6322</v>
      </c>
      <c r="K18" s="28" t="s">
        <v>6485</v>
      </c>
      <c r="L18" s="28" t="s">
        <v>2230</v>
      </c>
      <c r="M18" s="28" t="s">
        <v>41</v>
      </c>
      <c r="N18" s="241"/>
    </row>
    <row r="19" spans="1:14" ht="14.4">
      <c r="A19" s="28" t="s">
        <v>31</v>
      </c>
      <c r="B19" s="28" t="s">
        <v>6287</v>
      </c>
      <c r="C19" s="28" t="s">
        <v>85</v>
      </c>
      <c r="D19" s="28" t="s">
        <v>86</v>
      </c>
      <c r="E19" s="107"/>
      <c r="F19" s="28" t="s">
        <v>6495</v>
      </c>
      <c r="G19" s="28" t="s">
        <v>6497</v>
      </c>
      <c r="H19" s="28" t="s">
        <v>6498</v>
      </c>
      <c r="I19" s="28" t="s">
        <v>2714</v>
      </c>
      <c r="J19" s="28" t="s">
        <v>6322</v>
      </c>
      <c r="K19" s="28" t="s">
        <v>6501</v>
      </c>
      <c r="L19" s="28" t="s">
        <v>5997</v>
      </c>
      <c r="M19" s="28" t="s">
        <v>41</v>
      </c>
      <c r="N19" s="241"/>
    </row>
    <row r="20" spans="1:14" ht="14.4">
      <c r="A20" s="28" t="s">
        <v>31</v>
      </c>
      <c r="B20" s="28" t="s">
        <v>6287</v>
      </c>
      <c r="C20" s="28" t="s">
        <v>4064</v>
      </c>
      <c r="D20" s="29" t="s">
        <v>298</v>
      </c>
      <c r="E20" s="107"/>
      <c r="F20" s="28" t="s">
        <v>6507</v>
      </c>
      <c r="G20" s="28" t="s">
        <v>6509</v>
      </c>
      <c r="H20" s="28" t="s">
        <v>6510</v>
      </c>
      <c r="I20" s="28" t="s">
        <v>521</v>
      </c>
      <c r="J20" s="28" t="s">
        <v>6512</v>
      </c>
      <c r="K20" s="28" t="s">
        <v>6510</v>
      </c>
      <c r="L20" s="28" t="s">
        <v>6516</v>
      </c>
      <c r="M20" s="28" t="s">
        <v>41</v>
      </c>
      <c r="N20" s="241"/>
    </row>
    <row r="21" spans="1:14" ht="14.4">
      <c r="A21" s="28" t="s">
        <v>31</v>
      </c>
      <c r="B21" s="28" t="s">
        <v>6287</v>
      </c>
      <c r="C21" s="28" t="s">
        <v>4064</v>
      </c>
      <c r="D21" s="29" t="s">
        <v>298</v>
      </c>
      <c r="E21" s="107"/>
      <c r="F21" s="28" t="s">
        <v>6517</v>
      </c>
      <c r="G21" s="28" t="s">
        <v>6518</v>
      </c>
      <c r="H21" s="28" t="s">
        <v>6519</v>
      </c>
      <c r="I21" s="28" t="s">
        <v>966</v>
      </c>
      <c r="J21" s="28" t="s">
        <v>6512</v>
      </c>
      <c r="K21" s="28" t="s">
        <v>6519</v>
      </c>
      <c r="L21" s="28" t="s">
        <v>5997</v>
      </c>
      <c r="M21" s="28" t="s">
        <v>41</v>
      </c>
      <c r="N21" s="241"/>
    </row>
    <row r="22" spans="1:14" ht="14.4">
      <c r="A22" s="28" t="s">
        <v>31</v>
      </c>
      <c r="B22" s="28" t="s">
        <v>6287</v>
      </c>
      <c r="C22" s="28" t="s">
        <v>4064</v>
      </c>
      <c r="D22" s="29" t="s">
        <v>298</v>
      </c>
      <c r="E22" s="107"/>
      <c r="F22" s="28" t="s">
        <v>6527</v>
      </c>
      <c r="G22" s="28" t="s">
        <v>6528</v>
      </c>
      <c r="H22" s="28" t="s">
        <v>6385</v>
      </c>
      <c r="I22" s="28" t="s">
        <v>2714</v>
      </c>
      <c r="J22" s="28" t="s">
        <v>6512</v>
      </c>
      <c r="K22" s="28" t="s">
        <v>6385</v>
      </c>
      <c r="L22" s="28" t="s">
        <v>5997</v>
      </c>
      <c r="M22" s="28" t="s">
        <v>41</v>
      </c>
      <c r="N22" s="241"/>
    </row>
    <row r="23" spans="1:14" ht="14.4">
      <c r="A23" s="28" t="s">
        <v>31</v>
      </c>
      <c r="B23" s="28" t="s">
        <v>6287</v>
      </c>
      <c r="C23" s="28" t="s">
        <v>4064</v>
      </c>
      <c r="D23" s="29" t="s">
        <v>298</v>
      </c>
      <c r="E23" s="107"/>
      <c r="F23" s="28" t="s">
        <v>6533</v>
      </c>
      <c r="G23" s="28" t="s">
        <v>6535</v>
      </c>
      <c r="H23" s="28" t="s">
        <v>6407</v>
      </c>
      <c r="I23" s="28" t="s">
        <v>6408</v>
      </c>
      <c r="J23" s="28" t="s">
        <v>6512</v>
      </c>
      <c r="K23" s="28" t="s">
        <v>6407</v>
      </c>
      <c r="L23" s="28" t="s">
        <v>5997</v>
      </c>
      <c r="M23" s="28" t="s">
        <v>41</v>
      </c>
      <c r="N23" s="241"/>
    </row>
    <row r="24" spans="1:14" ht="14.4">
      <c r="A24" s="28" t="s">
        <v>31</v>
      </c>
      <c r="B24" s="28" t="s">
        <v>6287</v>
      </c>
      <c r="C24" s="28" t="s">
        <v>220</v>
      </c>
      <c r="D24" s="28" t="s">
        <v>234</v>
      </c>
      <c r="E24" s="107"/>
      <c r="F24" s="28" t="s">
        <v>6543</v>
      </c>
      <c r="G24" s="28" t="s">
        <v>6544</v>
      </c>
      <c r="H24" s="28" t="s">
        <v>6546</v>
      </c>
      <c r="I24" s="28" t="s">
        <v>521</v>
      </c>
      <c r="J24" s="28" t="s">
        <v>6549</v>
      </c>
      <c r="K24" s="28" t="s">
        <v>6546</v>
      </c>
      <c r="L24" s="28" t="s">
        <v>4649</v>
      </c>
      <c r="M24" s="28" t="s">
        <v>41</v>
      </c>
      <c r="N24" s="241"/>
    </row>
    <row r="25" spans="1:14" ht="14.4">
      <c r="A25" s="28" t="s">
        <v>31</v>
      </c>
      <c r="B25" s="28" t="s">
        <v>6287</v>
      </c>
      <c r="C25" s="28" t="s">
        <v>220</v>
      </c>
      <c r="D25" s="28" t="s">
        <v>234</v>
      </c>
      <c r="E25" s="107"/>
      <c r="F25" s="28" t="s">
        <v>6554</v>
      </c>
      <c r="G25" s="28" t="s">
        <v>6202</v>
      </c>
      <c r="H25" s="28" t="s">
        <v>6557</v>
      </c>
      <c r="I25" s="28" t="s">
        <v>887</v>
      </c>
      <c r="J25" s="28" t="s">
        <v>6560</v>
      </c>
      <c r="K25" s="28" t="s">
        <v>6557</v>
      </c>
      <c r="L25" s="28" t="s">
        <v>4649</v>
      </c>
      <c r="M25" s="28" t="s">
        <v>41</v>
      </c>
      <c r="N25" s="241"/>
    </row>
    <row r="26" spans="1:14" ht="14.4">
      <c r="A26" s="28" t="s">
        <v>31</v>
      </c>
      <c r="B26" s="28" t="s">
        <v>6287</v>
      </c>
      <c r="C26" s="28" t="s">
        <v>220</v>
      </c>
      <c r="D26" s="28" t="s">
        <v>234</v>
      </c>
      <c r="E26" s="107"/>
      <c r="F26" s="28" t="s">
        <v>6567</v>
      </c>
      <c r="G26" s="28" t="s">
        <v>6568</v>
      </c>
      <c r="H26" s="28" t="s">
        <v>6570</v>
      </c>
      <c r="I26" s="28" t="s">
        <v>887</v>
      </c>
      <c r="J26" s="28" t="s">
        <v>6572</v>
      </c>
      <c r="K26" s="28" t="s">
        <v>6570</v>
      </c>
      <c r="L26" s="28" t="s">
        <v>4649</v>
      </c>
      <c r="M26" s="28" t="s">
        <v>41</v>
      </c>
      <c r="N26" s="241"/>
    </row>
    <row r="27" spans="1:14" ht="14.4">
      <c r="A27" s="28" t="s">
        <v>31</v>
      </c>
      <c r="B27" s="28" t="s">
        <v>6287</v>
      </c>
      <c r="C27" s="28" t="s">
        <v>220</v>
      </c>
      <c r="D27" s="28" t="s">
        <v>234</v>
      </c>
      <c r="E27" s="107"/>
      <c r="F27" s="28" t="s">
        <v>6577</v>
      </c>
      <c r="G27" s="28" t="s">
        <v>6578</v>
      </c>
      <c r="H27" s="28" t="s">
        <v>6295</v>
      </c>
      <c r="I27" s="28" t="s">
        <v>6296</v>
      </c>
      <c r="J27" s="28" t="s">
        <v>6581</v>
      </c>
      <c r="K27" s="28" t="s">
        <v>6295</v>
      </c>
      <c r="L27" s="28" t="s">
        <v>4649</v>
      </c>
      <c r="M27" s="28" t="s">
        <v>41</v>
      </c>
      <c r="N27" s="241"/>
    </row>
    <row r="28" spans="1:14" ht="14.4">
      <c r="A28" s="28" t="s">
        <v>31</v>
      </c>
      <c r="B28" s="28" t="s">
        <v>6287</v>
      </c>
      <c r="C28" s="28" t="s">
        <v>220</v>
      </c>
      <c r="D28" s="28" t="s">
        <v>234</v>
      </c>
      <c r="E28" s="107"/>
      <c r="F28" s="28" t="s">
        <v>6589</v>
      </c>
      <c r="G28" s="28" t="s">
        <v>6590</v>
      </c>
      <c r="H28" s="28" t="s">
        <v>6295</v>
      </c>
      <c r="I28" s="28" t="s">
        <v>6296</v>
      </c>
      <c r="J28" s="28" t="s">
        <v>6591</v>
      </c>
      <c r="K28" s="28" t="s">
        <v>6295</v>
      </c>
      <c r="L28" s="28" t="s">
        <v>4649</v>
      </c>
      <c r="M28" s="28" t="s">
        <v>41</v>
      </c>
      <c r="N28" s="241"/>
    </row>
    <row r="29" spans="1:14" ht="14.4">
      <c r="A29" s="28" t="s">
        <v>31</v>
      </c>
      <c r="B29" s="28" t="s">
        <v>6287</v>
      </c>
      <c r="C29" s="28" t="s">
        <v>4064</v>
      </c>
      <c r="D29" s="242" t="s">
        <v>86</v>
      </c>
      <c r="E29" s="107"/>
      <c r="F29" s="28" t="s">
        <v>6609</v>
      </c>
      <c r="G29" s="28" t="s">
        <v>6610</v>
      </c>
      <c r="H29" s="28" t="s">
        <v>6611</v>
      </c>
      <c r="I29" s="28" t="s">
        <v>887</v>
      </c>
      <c r="J29" s="28" t="s">
        <v>6613</v>
      </c>
      <c r="K29" s="28" t="s">
        <v>6611</v>
      </c>
      <c r="L29" s="28" t="s">
        <v>2166</v>
      </c>
      <c r="M29" s="28" t="s">
        <v>41</v>
      </c>
      <c r="N29" s="241"/>
    </row>
    <row r="30" spans="1:14" ht="14.4">
      <c r="A30" s="28" t="s">
        <v>31</v>
      </c>
      <c r="B30" s="28" t="s">
        <v>6287</v>
      </c>
      <c r="C30" s="107" t="s">
        <v>6621</v>
      </c>
      <c r="D30" s="107" t="s">
        <v>954</v>
      </c>
      <c r="E30" s="107"/>
      <c r="F30" s="79" t="s">
        <v>6627</v>
      </c>
      <c r="G30" s="28" t="s">
        <v>6630</v>
      </c>
      <c r="H30" s="28" t="s">
        <v>6631</v>
      </c>
      <c r="I30" s="28" t="s">
        <v>933</v>
      </c>
      <c r="J30" s="28" t="s">
        <v>6634</v>
      </c>
      <c r="K30" s="28" t="s">
        <v>6631</v>
      </c>
      <c r="L30" s="28" t="s">
        <v>6637</v>
      </c>
      <c r="M30" s="28" t="s">
        <v>41</v>
      </c>
      <c r="N30" s="241"/>
    </row>
    <row r="31" spans="1:14" ht="14.4">
      <c r="A31" s="28" t="s">
        <v>31</v>
      </c>
      <c r="B31" s="28" t="s">
        <v>6641</v>
      </c>
      <c r="C31" s="28" t="s">
        <v>319</v>
      </c>
      <c r="D31" s="107" t="s">
        <v>796</v>
      </c>
      <c r="E31" s="107"/>
      <c r="F31" s="79" t="s">
        <v>6644</v>
      </c>
      <c r="G31" s="28" t="s">
        <v>6645</v>
      </c>
      <c r="H31" s="28" t="s">
        <v>6387</v>
      </c>
      <c r="I31" s="28" t="s">
        <v>887</v>
      </c>
      <c r="J31" s="28" t="s">
        <v>6649</v>
      </c>
      <c r="K31" s="28" t="s">
        <v>6387</v>
      </c>
      <c r="L31" s="28" t="s">
        <v>6651</v>
      </c>
      <c r="M31" s="28" t="s">
        <v>41</v>
      </c>
      <c r="N31" s="241"/>
    </row>
    <row r="32" spans="1:14" ht="14.4">
      <c r="A32" s="28" t="s">
        <v>31</v>
      </c>
      <c r="B32" s="28" t="s">
        <v>6641</v>
      </c>
      <c r="C32" s="28" t="s">
        <v>319</v>
      </c>
      <c r="D32" s="107" t="s">
        <v>796</v>
      </c>
      <c r="E32" s="107"/>
      <c r="F32" s="79" t="s">
        <v>6662</v>
      </c>
      <c r="G32" s="28" t="s">
        <v>6663</v>
      </c>
      <c r="H32" s="28" t="s">
        <v>6664</v>
      </c>
      <c r="I32" s="28" t="s">
        <v>887</v>
      </c>
      <c r="J32" s="28" t="s">
        <v>6649</v>
      </c>
      <c r="K32" s="28" t="s">
        <v>6664</v>
      </c>
      <c r="L32" s="28" t="s">
        <v>729</v>
      </c>
      <c r="M32" s="28" t="s">
        <v>41</v>
      </c>
      <c r="N32" s="241"/>
    </row>
    <row r="33" spans="1:14" ht="14.4">
      <c r="A33" s="28" t="s">
        <v>31</v>
      </c>
      <c r="B33" s="28" t="s">
        <v>6287</v>
      </c>
      <c r="C33" s="28" t="s">
        <v>319</v>
      </c>
      <c r="D33" s="107" t="s">
        <v>796</v>
      </c>
      <c r="E33" s="107"/>
      <c r="F33" s="79" t="s">
        <v>6673</v>
      </c>
      <c r="G33" s="28" t="s">
        <v>6674</v>
      </c>
      <c r="H33" s="28" t="s">
        <v>6676</v>
      </c>
      <c r="I33" s="28" t="s">
        <v>2714</v>
      </c>
      <c r="J33" s="28" t="s">
        <v>6649</v>
      </c>
      <c r="K33" s="28" t="s">
        <v>6676</v>
      </c>
      <c r="L33" s="28" t="s">
        <v>729</v>
      </c>
      <c r="M33" s="28" t="s">
        <v>41</v>
      </c>
      <c r="N33" s="241"/>
    </row>
    <row r="34" spans="1:14" ht="14.4">
      <c r="A34" s="28" t="s">
        <v>31</v>
      </c>
      <c r="B34" s="28" t="s">
        <v>6641</v>
      </c>
      <c r="C34" s="28" t="s">
        <v>319</v>
      </c>
      <c r="D34" s="107" t="s">
        <v>796</v>
      </c>
      <c r="E34" s="107"/>
      <c r="F34" s="79" t="s">
        <v>6684</v>
      </c>
      <c r="G34" s="28" t="s">
        <v>6685</v>
      </c>
      <c r="H34" s="28" t="s">
        <v>6385</v>
      </c>
      <c r="I34" s="28" t="s">
        <v>2714</v>
      </c>
      <c r="J34" s="28" t="s">
        <v>6649</v>
      </c>
      <c r="K34" s="28" t="s">
        <v>6385</v>
      </c>
      <c r="L34" s="28" t="s">
        <v>6651</v>
      </c>
      <c r="M34" s="28" t="s">
        <v>41</v>
      </c>
      <c r="N34" s="241"/>
    </row>
    <row r="35" spans="1:14" ht="14.4">
      <c r="A35" s="28" t="s">
        <v>31</v>
      </c>
      <c r="B35" s="28" t="s">
        <v>6287</v>
      </c>
      <c r="C35" s="28" t="s">
        <v>319</v>
      </c>
      <c r="D35" s="107" t="s">
        <v>796</v>
      </c>
      <c r="E35" s="107"/>
      <c r="F35" s="79" t="s">
        <v>6693</v>
      </c>
      <c r="G35" s="28" t="s">
        <v>6694</v>
      </c>
      <c r="H35" s="28" t="s">
        <v>6695</v>
      </c>
      <c r="I35" s="28" t="s">
        <v>887</v>
      </c>
      <c r="J35" s="28" t="s">
        <v>6649</v>
      </c>
      <c r="K35" s="28" t="s">
        <v>6695</v>
      </c>
      <c r="L35" s="28" t="s">
        <v>6651</v>
      </c>
      <c r="M35" s="28" t="s">
        <v>41</v>
      </c>
      <c r="N35" s="241"/>
    </row>
    <row r="36" spans="1:14" ht="14.4">
      <c r="A36" s="28" t="s">
        <v>31</v>
      </c>
      <c r="B36" s="28" t="s">
        <v>6287</v>
      </c>
      <c r="C36" s="28" t="s">
        <v>319</v>
      </c>
      <c r="D36" s="107" t="s">
        <v>796</v>
      </c>
      <c r="E36" s="107"/>
      <c r="F36" s="79" t="s">
        <v>6702</v>
      </c>
      <c r="G36" s="28" t="s">
        <v>6703</v>
      </c>
      <c r="H36" s="28" t="s">
        <v>6385</v>
      </c>
      <c r="I36" s="28" t="s">
        <v>2714</v>
      </c>
      <c r="J36" s="28" t="s">
        <v>6704</v>
      </c>
      <c r="K36" s="28" t="s">
        <v>6385</v>
      </c>
      <c r="L36" s="28" t="s">
        <v>5997</v>
      </c>
      <c r="M36" s="28" t="s">
        <v>41</v>
      </c>
      <c r="N36" s="241"/>
    </row>
    <row r="37" spans="1:14" ht="14.4">
      <c r="A37" s="28" t="s">
        <v>31</v>
      </c>
      <c r="B37" s="28" t="s">
        <v>6709</v>
      </c>
      <c r="C37" s="28" t="s">
        <v>85</v>
      </c>
      <c r="D37" s="28" t="s">
        <v>86</v>
      </c>
      <c r="E37" s="107"/>
      <c r="F37" s="28" t="s">
        <v>6712</v>
      </c>
      <c r="G37" s="28" t="s">
        <v>6714</v>
      </c>
      <c r="H37" s="28" t="s">
        <v>6716</v>
      </c>
      <c r="I37" s="28" t="s">
        <v>592</v>
      </c>
      <c r="J37" s="28"/>
      <c r="K37" s="28" t="s">
        <v>6716</v>
      </c>
      <c r="L37" s="28" t="s">
        <v>6719</v>
      </c>
      <c r="M37" s="28" t="s">
        <v>41</v>
      </c>
      <c r="N37" s="241"/>
    </row>
    <row r="38" spans="1:14" ht="14.4">
      <c r="A38" s="28" t="s">
        <v>31</v>
      </c>
      <c r="B38" s="28" t="s">
        <v>6709</v>
      </c>
      <c r="C38" s="28" t="s">
        <v>85</v>
      </c>
      <c r="D38" s="28" t="s">
        <v>86</v>
      </c>
      <c r="E38" s="107"/>
      <c r="F38" s="28" t="s">
        <v>6725</v>
      </c>
      <c r="G38" s="28" t="s">
        <v>6727</v>
      </c>
      <c r="H38" s="28" t="s">
        <v>6728</v>
      </c>
      <c r="I38" s="28" t="s">
        <v>2400</v>
      </c>
      <c r="J38" s="28"/>
      <c r="K38" s="28" t="s">
        <v>6729</v>
      </c>
      <c r="L38" s="28" t="s">
        <v>6730</v>
      </c>
      <c r="M38" s="28" t="s">
        <v>41</v>
      </c>
      <c r="N38" s="241"/>
    </row>
    <row r="39" spans="1:14" ht="14.4">
      <c r="A39" s="28" t="s">
        <v>31</v>
      </c>
      <c r="B39" s="28" t="s">
        <v>6709</v>
      </c>
      <c r="C39" s="28" t="s">
        <v>85</v>
      </c>
      <c r="D39" s="28" t="s">
        <v>86</v>
      </c>
      <c r="E39" s="107"/>
      <c r="F39" s="28" t="s">
        <v>6733</v>
      </c>
      <c r="G39" s="28" t="s">
        <v>6735</v>
      </c>
      <c r="H39" s="28" t="s">
        <v>6737</v>
      </c>
      <c r="I39" s="28" t="s">
        <v>887</v>
      </c>
      <c r="J39" s="28"/>
      <c r="K39" s="28" t="s">
        <v>6737</v>
      </c>
      <c r="L39" s="28" t="s">
        <v>6730</v>
      </c>
      <c r="M39" s="28" t="s">
        <v>41</v>
      </c>
      <c r="N39" s="241"/>
    </row>
    <row r="40" spans="1:14" ht="14.4">
      <c r="A40" s="28" t="s">
        <v>31</v>
      </c>
      <c r="B40" s="28" t="s">
        <v>6709</v>
      </c>
      <c r="C40" s="28" t="s">
        <v>85</v>
      </c>
      <c r="D40" s="28" t="s">
        <v>86</v>
      </c>
      <c r="E40" s="107"/>
      <c r="F40" s="28" t="s">
        <v>6740</v>
      </c>
      <c r="G40" s="28" t="s">
        <v>6741</v>
      </c>
      <c r="H40" s="28" t="s">
        <v>6742</v>
      </c>
      <c r="I40" s="28" t="s">
        <v>6744</v>
      </c>
      <c r="J40" s="28"/>
      <c r="K40" s="28" t="s">
        <v>6742</v>
      </c>
      <c r="L40" s="28" t="s">
        <v>6746</v>
      </c>
      <c r="M40" s="28" t="s">
        <v>41</v>
      </c>
      <c r="N40" s="241"/>
    </row>
    <row r="41" spans="1:14" ht="14.4">
      <c r="A41" s="28" t="s">
        <v>31</v>
      </c>
      <c r="B41" s="28" t="s">
        <v>6709</v>
      </c>
      <c r="C41" s="28" t="s">
        <v>85</v>
      </c>
      <c r="D41" s="28" t="s">
        <v>86</v>
      </c>
      <c r="E41" s="107"/>
      <c r="F41" s="28" t="s">
        <v>6750</v>
      </c>
      <c r="G41" s="28" t="s">
        <v>6751</v>
      </c>
      <c r="H41" s="28" t="s">
        <v>6752</v>
      </c>
      <c r="I41" s="28" t="s">
        <v>887</v>
      </c>
      <c r="J41" s="28"/>
      <c r="K41" s="28" t="s">
        <v>6752</v>
      </c>
      <c r="L41" s="28" t="s">
        <v>6730</v>
      </c>
      <c r="M41" s="28" t="s">
        <v>41</v>
      </c>
      <c r="N41" s="241"/>
    </row>
    <row r="42" spans="1:14" ht="14.4">
      <c r="A42" s="28" t="s">
        <v>31</v>
      </c>
      <c r="B42" s="28" t="s">
        <v>6709</v>
      </c>
      <c r="C42" s="28" t="s">
        <v>85</v>
      </c>
      <c r="D42" s="28" t="s">
        <v>86</v>
      </c>
      <c r="E42" s="107"/>
      <c r="F42" s="28" t="s">
        <v>6760</v>
      </c>
      <c r="G42" s="28" t="s">
        <v>6762</v>
      </c>
      <c r="H42" s="28" t="s">
        <v>6765</v>
      </c>
      <c r="I42" s="28" t="s">
        <v>3573</v>
      </c>
      <c r="J42" s="28"/>
      <c r="K42" s="28" t="s">
        <v>6765</v>
      </c>
      <c r="L42" s="28" t="s">
        <v>6769</v>
      </c>
      <c r="M42" s="28" t="s">
        <v>41</v>
      </c>
      <c r="N42" s="241"/>
    </row>
    <row r="43" spans="1:14" ht="14.4">
      <c r="A43" s="28" t="s">
        <v>31</v>
      </c>
      <c r="B43" s="28" t="s">
        <v>6709</v>
      </c>
      <c r="C43" s="28" t="s">
        <v>85</v>
      </c>
      <c r="D43" s="28" t="s">
        <v>86</v>
      </c>
      <c r="E43" s="107"/>
      <c r="F43" s="28" t="s">
        <v>6772</v>
      </c>
      <c r="G43" s="28" t="s">
        <v>6773</v>
      </c>
      <c r="H43" s="28" t="s">
        <v>6775</v>
      </c>
      <c r="I43" s="28" t="s">
        <v>966</v>
      </c>
      <c r="J43" s="28"/>
      <c r="K43" s="28" t="s">
        <v>6775</v>
      </c>
      <c r="L43" s="28" t="s">
        <v>6730</v>
      </c>
      <c r="M43" s="28" t="s">
        <v>41</v>
      </c>
      <c r="N43" s="241"/>
    </row>
    <row r="44" spans="1:14" ht="14.4">
      <c r="A44" s="28" t="s">
        <v>31</v>
      </c>
      <c r="B44" s="28" t="s">
        <v>6709</v>
      </c>
      <c r="C44" s="28" t="s">
        <v>85</v>
      </c>
      <c r="D44" s="28" t="s">
        <v>86</v>
      </c>
      <c r="E44" s="107"/>
      <c r="F44" s="28" t="s">
        <v>6781</v>
      </c>
      <c r="G44" s="28" t="s">
        <v>6782</v>
      </c>
      <c r="H44" s="28" t="s">
        <v>6783</v>
      </c>
      <c r="I44" s="28" t="s">
        <v>4243</v>
      </c>
      <c r="J44" s="28"/>
      <c r="K44" s="28" t="s">
        <v>6784</v>
      </c>
      <c r="L44" s="28" t="s">
        <v>6769</v>
      </c>
      <c r="M44" s="28" t="s">
        <v>41</v>
      </c>
      <c r="N44" s="241"/>
    </row>
    <row r="45" spans="1:14" ht="14.4">
      <c r="A45" s="28" t="s">
        <v>31</v>
      </c>
      <c r="B45" s="28" t="s">
        <v>6709</v>
      </c>
      <c r="C45" s="28" t="s">
        <v>85</v>
      </c>
      <c r="D45" s="28" t="s">
        <v>86</v>
      </c>
      <c r="E45" s="107"/>
      <c r="F45" s="28" t="s">
        <v>6787</v>
      </c>
      <c r="G45" s="28" t="s">
        <v>6789</v>
      </c>
      <c r="H45" s="28" t="s">
        <v>6791</v>
      </c>
      <c r="I45" s="28" t="s">
        <v>1610</v>
      </c>
      <c r="J45" s="28"/>
      <c r="K45" s="28" t="s">
        <v>6794</v>
      </c>
      <c r="L45" s="28" t="s">
        <v>6769</v>
      </c>
      <c r="M45" s="28" t="s">
        <v>41</v>
      </c>
      <c r="N45" s="241"/>
    </row>
    <row r="46" spans="1:14" ht="14.4">
      <c r="A46" s="28" t="s">
        <v>31</v>
      </c>
      <c r="B46" s="28" t="s">
        <v>6709</v>
      </c>
      <c r="C46" s="28" t="s">
        <v>85</v>
      </c>
      <c r="D46" s="28" t="s">
        <v>86</v>
      </c>
      <c r="E46" s="107"/>
      <c r="F46" s="28" t="s">
        <v>6796</v>
      </c>
      <c r="G46" s="28" t="s">
        <v>6797</v>
      </c>
      <c r="H46" s="28" t="s">
        <v>6799</v>
      </c>
      <c r="I46" s="28" t="s">
        <v>6800</v>
      </c>
      <c r="J46" s="28"/>
      <c r="K46" s="28" t="s">
        <v>6799</v>
      </c>
      <c r="L46" s="28" t="s">
        <v>6804</v>
      </c>
      <c r="M46" s="28" t="s">
        <v>41</v>
      </c>
      <c r="N46" s="241"/>
    </row>
    <row r="47" spans="1:14" ht="14.4">
      <c r="A47" s="28" t="s">
        <v>31</v>
      </c>
      <c r="B47" s="28" t="s">
        <v>6709</v>
      </c>
      <c r="C47" s="28" t="s">
        <v>85</v>
      </c>
      <c r="D47" s="28" t="s">
        <v>86</v>
      </c>
      <c r="E47" s="107"/>
      <c r="F47" s="28" t="s">
        <v>6807</v>
      </c>
      <c r="G47" s="28" t="s">
        <v>6808</v>
      </c>
      <c r="H47" s="28" t="s">
        <v>6809</v>
      </c>
      <c r="I47" s="28" t="s">
        <v>887</v>
      </c>
      <c r="J47" s="28"/>
      <c r="K47" s="28" t="s">
        <v>6809</v>
      </c>
      <c r="L47" s="28" t="s">
        <v>6730</v>
      </c>
      <c r="M47" s="28" t="s">
        <v>41</v>
      </c>
      <c r="N47" s="241"/>
    </row>
    <row r="48" spans="1:14" ht="14.4">
      <c r="A48" s="28" t="s">
        <v>31</v>
      </c>
      <c r="B48" s="28" t="s">
        <v>6709</v>
      </c>
      <c r="C48" s="28" t="s">
        <v>85</v>
      </c>
      <c r="D48" s="28" t="s">
        <v>86</v>
      </c>
      <c r="E48" s="107"/>
      <c r="F48" s="28" t="s">
        <v>6817</v>
      </c>
      <c r="G48" s="28" t="s">
        <v>6818</v>
      </c>
      <c r="H48" s="28" t="s">
        <v>6819</v>
      </c>
      <c r="I48" s="28" t="s">
        <v>887</v>
      </c>
      <c r="J48" s="28"/>
      <c r="K48" s="28" t="s">
        <v>6819</v>
      </c>
      <c r="L48" s="28" t="s">
        <v>6730</v>
      </c>
      <c r="M48" s="28" t="s">
        <v>41</v>
      </c>
      <c r="N48" s="241"/>
    </row>
    <row r="49" spans="1:14" ht="14.4">
      <c r="A49" s="28" t="s">
        <v>31</v>
      </c>
      <c r="B49" s="28" t="s">
        <v>6709</v>
      </c>
      <c r="C49" s="28" t="s">
        <v>85</v>
      </c>
      <c r="D49" s="28" t="s">
        <v>86</v>
      </c>
      <c r="E49" s="107"/>
      <c r="F49" s="28" t="s">
        <v>6829</v>
      </c>
      <c r="G49" s="28" t="s">
        <v>6831</v>
      </c>
      <c r="H49" s="28" t="s">
        <v>6833</v>
      </c>
      <c r="I49" s="28" t="s">
        <v>521</v>
      </c>
      <c r="J49" s="28"/>
      <c r="K49" s="28" t="s">
        <v>6833</v>
      </c>
      <c r="L49" s="28" t="s">
        <v>6730</v>
      </c>
      <c r="M49" s="28" t="s">
        <v>41</v>
      </c>
      <c r="N49" s="241"/>
    </row>
    <row r="50" spans="1:14" ht="14.4">
      <c r="A50" s="28" t="s">
        <v>31</v>
      </c>
      <c r="B50" s="28" t="s">
        <v>6709</v>
      </c>
      <c r="C50" s="28" t="s">
        <v>85</v>
      </c>
      <c r="D50" s="28" t="s">
        <v>86</v>
      </c>
      <c r="E50" s="107"/>
      <c r="F50" s="28" t="s">
        <v>6849</v>
      </c>
      <c r="G50" s="28" t="s">
        <v>6851</v>
      </c>
      <c r="H50" s="28" t="s">
        <v>6852</v>
      </c>
      <c r="I50" s="28" t="s">
        <v>898</v>
      </c>
      <c r="J50" s="28"/>
      <c r="K50" s="28" t="s">
        <v>6852</v>
      </c>
      <c r="L50" s="28" t="s">
        <v>6730</v>
      </c>
      <c r="M50" s="28" t="s">
        <v>41</v>
      </c>
      <c r="N50" s="241"/>
    </row>
    <row r="51" spans="1:14" ht="14.4">
      <c r="A51" s="28" t="s">
        <v>31</v>
      </c>
      <c r="B51" s="28" t="s">
        <v>6709</v>
      </c>
      <c r="C51" s="28" t="s">
        <v>85</v>
      </c>
      <c r="D51" s="28" t="s">
        <v>86</v>
      </c>
      <c r="E51" s="107"/>
      <c r="F51" s="28" t="s">
        <v>6860</v>
      </c>
      <c r="G51" s="28" t="s">
        <v>6862</v>
      </c>
      <c r="H51" s="28" t="s">
        <v>6863</v>
      </c>
      <c r="I51" s="28" t="s">
        <v>2714</v>
      </c>
      <c r="J51" s="28"/>
      <c r="K51" s="28" t="s">
        <v>6863</v>
      </c>
      <c r="L51" s="28" t="s">
        <v>6730</v>
      </c>
      <c r="M51" s="28" t="s">
        <v>41</v>
      </c>
      <c r="N51" s="241"/>
    </row>
    <row r="52" spans="1:14" ht="14.4">
      <c r="A52" s="28" t="s">
        <v>31</v>
      </c>
      <c r="B52" s="28" t="s">
        <v>6709</v>
      </c>
      <c r="C52" s="28" t="s">
        <v>85</v>
      </c>
      <c r="D52" s="28" t="s">
        <v>86</v>
      </c>
      <c r="E52" s="107"/>
      <c r="F52" s="28" t="s">
        <v>6872</v>
      </c>
      <c r="G52" s="28" t="s">
        <v>6873</v>
      </c>
      <c r="H52" s="28" t="s">
        <v>6783</v>
      </c>
      <c r="I52" s="28" t="s">
        <v>4243</v>
      </c>
      <c r="J52" s="28"/>
      <c r="K52" s="28" t="s">
        <v>6783</v>
      </c>
      <c r="L52" s="28" t="s">
        <v>6769</v>
      </c>
      <c r="M52" s="28" t="s">
        <v>41</v>
      </c>
      <c r="N52" s="241"/>
    </row>
    <row r="53" spans="1:14" ht="14.4">
      <c r="A53" s="28" t="s">
        <v>31</v>
      </c>
      <c r="B53" s="28" t="s">
        <v>6709</v>
      </c>
      <c r="C53" s="28" t="s">
        <v>85</v>
      </c>
      <c r="D53" s="28" t="s">
        <v>86</v>
      </c>
      <c r="E53" s="107"/>
      <c r="F53" s="28" t="s">
        <v>6881</v>
      </c>
      <c r="G53" s="28" t="s">
        <v>6883</v>
      </c>
      <c r="H53" s="28" t="s">
        <v>6884</v>
      </c>
      <c r="I53" s="28" t="s">
        <v>6886</v>
      </c>
      <c r="J53" s="28"/>
      <c r="K53" s="28" t="s">
        <v>6889</v>
      </c>
      <c r="L53" s="28" t="s">
        <v>6769</v>
      </c>
      <c r="M53" s="28" t="s">
        <v>41</v>
      </c>
      <c r="N53" s="241"/>
    </row>
    <row r="54" spans="1:14" ht="14.4">
      <c r="A54" s="28" t="s">
        <v>31</v>
      </c>
      <c r="B54" s="28" t="s">
        <v>6709</v>
      </c>
      <c r="C54" s="28" t="s">
        <v>85</v>
      </c>
      <c r="D54" s="28" t="s">
        <v>86</v>
      </c>
      <c r="E54" s="107"/>
      <c r="F54" s="28" t="s">
        <v>6892</v>
      </c>
      <c r="G54" s="28" t="s">
        <v>6894</v>
      </c>
      <c r="H54" s="28" t="s">
        <v>6896</v>
      </c>
      <c r="I54" s="28" t="s">
        <v>3093</v>
      </c>
      <c r="J54" s="28"/>
      <c r="K54" s="28" t="s">
        <v>6896</v>
      </c>
      <c r="L54" s="28" t="s">
        <v>6769</v>
      </c>
      <c r="M54" s="28" t="s">
        <v>41</v>
      </c>
      <c r="N54" s="241"/>
    </row>
    <row r="55" spans="1:14" ht="14.4">
      <c r="A55" s="28" t="s">
        <v>31</v>
      </c>
      <c r="B55" s="28" t="s">
        <v>6709</v>
      </c>
      <c r="C55" s="28" t="s">
        <v>85</v>
      </c>
      <c r="D55" s="28" t="s">
        <v>86</v>
      </c>
      <c r="E55" s="107"/>
      <c r="F55" s="28" t="s">
        <v>6902</v>
      </c>
      <c r="G55" s="28" t="s">
        <v>6903</v>
      </c>
      <c r="H55" s="28" t="s">
        <v>6904</v>
      </c>
      <c r="I55" s="28" t="s">
        <v>6659</v>
      </c>
      <c r="J55" s="28"/>
      <c r="K55" s="28" t="s">
        <v>6904</v>
      </c>
      <c r="L55" s="28" t="s">
        <v>6769</v>
      </c>
      <c r="M55" s="28" t="s">
        <v>41</v>
      </c>
      <c r="N55" s="241"/>
    </row>
    <row r="56" spans="1:14" ht="14.4">
      <c r="A56" s="28" t="s">
        <v>31</v>
      </c>
      <c r="B56" s="28" t="s">
        <v>6709</v>
      </c>
      <c r="C56" s="28" t="s">
        <v>85</v>
      </c>
      <c r="D56" s="28" t="s">
        <v>86</v>
      </c>
      <c r="E56" s="107"/>
      <c r="F56" s="28" t="s">
        <v>6911</v>
      </c>
      <c r="G56" s="28" t="s">
        <v>6913</v>
      </c>
      <c r="H56" s="28" t="s">
        <v>6791</v>
      </c>
      <c r="I56" s="28" t="s">
        <v>1610</v>
      </c>
      <c r="J56" s="28"/>
      <c r="K56" s="28" t="s">
        <v>6791</v>
      </c>
      <c r="L56" s="28" t="s">
        <v>6769</v>
      </c>
      <c r="M56" s="28" t="s">
        <v>41</v>
      </c>
      <c r="N56" s="241"/>
    </row>
    <row r="57" spans="1:14" ht="14.4">
      <c r="A57" s="28" t="s">
        <v>31</v>
      </c>
      <c r="B57" s="28" t="s">
        <v>6709</v>
      </c>
      <c r="C57" s="28" t="s">
        <v>85</v>
      </c>
      <c r="D57" s="28" t="s">
        <v>86</v>
      </c>
      <c r="E57" s="107"/>
      <c r="F57" s="28" t="s">
        <v>6916</v>
      </c>
      <c r="G57" s="28" t="s">
        <v>6918</v>
      </c>
      <c r="H57" s="28" t="s">
        <v>6742</v>
      </c>
      <c r="I57" s="28" t="s">
        <v>6744</v>
      </c>
      <c r="J57" s="28"/>
      <c r="K57" s="28" t="s">
        <v>6921</v>
      </c>
      <c r="L57" s="28" t="s">
        <v>6746</v>
      </c>
      <c r="M57" s="28" t="s">
        <v>41</v>
      </c>
      <c r="N57" s="241"/>
    </row>
    <row r="58" spans="1:14" ht="14.4">
      <c r="A58" s="28" t="s">
        <v>31</v>
      </c>
      <c r="B58" s="28" t="s">
        <v>6709</v>
      </c>
      <c r="C58" s="28" t="s">
        <v>85</v>
      </c>
      <c r="D58" s="28" t="s">
        <v>86</v>
      </c>
      <c r="E58" s="107"/>
      <c r="F58" s="28" t="s">
        <v>6924</v>
      </c>
      <c r="G58" s="28" t="s">
        <v>6925</v>
      </c>
      <c r="H58" s="28" t="s">
        <v>6926</v>
      </c>
      <c r="I58" s="28" t="s">
        <v>6927</v>
      </c>
      <c r="J58" s="28"/>
      <c r="K58" s="28" t="s">
        <v>6929</v>
      </c>
      <c r="L58" s="28" t="s">
        <v>6730</v>
      </c>
      <c r="M58" s="28" t="s">
        <v>41</v>
      </c>
      <c r="N58" s="241"/>
    </row>
    <row r="59" spans="1:14" ht="14.4">
      <c r="A59" s="28" t="s">
        <v>31</v>
      </c>
      <c r="B59" s="28" t="s">
        <v>6709</v>
      </c>
      <c r="C59" s="28" t="s">
        <v>85</v>
      </c>
      <c r="D59" s="28" t="s">
        <v>86</v>
      </c>
      <c r="E59" s="107"/>
      <c r="F59" s="28" t="s">
        <v>6936</v>
      </c>
      <c r="G59" s="28" t="s">
        <v>6937</v>
      </c>
      <c r="H59" s="28" t="s">
        <v>6728</v>
      </c>
      <c r="I59" s="28" t="s">
        <v>2400</v>
      </c>
      <c r="J59" s="28"/>
      <c r="K59" s="28" t="s">
        <v>6939</v>
      </c>
      <c r="L59" s="28" t="s">
        <v>6730</v>
      </c>
      <c r="M59" s="28" t="s">
        <v>41</v>
      </c>
      <c r="N59" s="241"/>
    </row>
    <row r="60" spans="1:14" ht="14.4">
      <c r="A60" s="28" t="s">
        <v>31</v>
      </c>
      <c r="B60" s="28" t="s">
        <v>6709</v>
      </c>
      <c r="C60" s="28" t="s">
        <v>85</v>
      </c>
      <c r="D60" s="28" t="s">
        <v>86</v>
      </c>
      <c r="E60" s="107"/>
      <c r="F60" s="28" t="s">
        <v>6946</v>
      </c>
      <c r="G60" s="28" t="s">
        <v>6947</v>
      </c>
      <c r="H60" s="28" t="s">
        <v>6948</v>
      </c>
      <c r="I60" s="28" t="s">
        <v>6116</v>
      </c>
      <c r="J60" s="28"/>
      <c r="K60" s="28" t="s">
        <v>6951</v>
      </c>
      <c r="L60" s="28" t="s">
        <v>729</v>
      </c>
      <c r="M60" s="28" t="s">
        <v>41</v>
      </c>
      <c r="N60" s="241"/>
    </row>
    <row r="61" spans="1:14" ht="14.4">
      <c r="A61" s="28" t="s">
        <v>31</v>
      </c>
      <c r="B61" s="37" t="s">
        <v>6955</v>
      </c>
      <c r="C61" s="28" t="s">
        <v>85</v>
      </c>
      <c r="D61" s="28" t="s">
        <v>86</v>
      </c>
      <c r="E61" s="107"/>
      <c r="F61" s="28" t="s">
        <v>6960</v>
      </c>
      <c r="G61" s="28" t="s">
        <v>6961</v>
      </c>
      <c r="H61" s="28" t="s">
        <v>6963</v>
      </c>
      <c r="I61" s="28" t="s">
        <v>898</v>
      </c>
      <c r="J61" s="28"/>
      <c r="K61" s="28"/>
      <c r="L61" s="28" t="s">
        <v>6965</v>
      </c>
      <c r="M61" s="37" t="s">
        <v>41</v>
      </c>
      <c r="N61" s="241"/>
    </row>
    <row r="62" spans="1:14" ht="14.4">
      <c r="A62" s="28" t="s">
        <v>31</v>
      </c>
      <c r="B62" s="37" t="s">
        <v>6955</v>
      </c>
      <c r="C62" s="28" t="s">
        <v>85</v>
      </c>
      <c r="D62" s="28" t="s">
        <v>86</v>
      </c>
      <c r="E62" s="107"/>
      <c r="F62" s="28" t="s">
        <v>6971</v>
      </c>
      <c r="G62" s="28" t="s">
        <v>6973</v>
      </c>
      <c r="H62" s="28" t="s">
        <v>6974</v>
      </c>
      <c r="I62" s="28" t="s">
        <v>898</v>
      </c>
      <c r="J62" s="28"/>
      <c r="K62" s="28"/>
      <c r="L62" s="28" t="s">
        <v>6965</v>
      </c>
      <c r="M62" s="37" t="s">
        <v>41</v>
      </c>
      <c r="N62" s="241"/>
    </row>
    <row r="63" spans="1:14" ht="14.4">
      <c r="A63" s="28" t="s">
        <v>31</v>
      </c>
      <c r="B63" s="37" t="s">
        <v>6955</v>
      </c>
      <c r="C63" s="28" t="s">
        <v>85</v>
      </c>
      <c r="D63" s="28" t="s">
        <v>86</v>
      </c>
      <c r="E63" s="107"/>
      <c r="F63" s="28" t="s">
        <v>6980</v>
      </c>
      <c r="G63" s="28" t="s">
        <v>6982</v>
      </c>
      <c r="H63" s="28" t="s">
        <v>6984</v>
      </c>
      <c r="I63" s="28" t="s">
        <v>887</v>
      </c>
      <c r="J63" s="28"/>
      <c r="K63" s="28"/>
      <c r="L63" s="28" t="s">
        <v>6965</v>
      </c>
      <c r="M63" s="37" t="s">
        <v>41</v>
      </c>
      <c r="N63" s="241"/>
    </row>
    <row r="64" spans="1:14" ht="14.4">
      <c r="A64" s="28" t="s">
        <v>31</v>
      </c>
      <c r="B64" s="37" t="s">
        <v>6955</v>
      </c>
      <c r="C64" s="28" t="s">
        <v>85</v>
      </c>
      <c r="D64" s="28" t="s">
        <v>86</v>
      </c>
      <c r="E64" s="107"/>
      <c r="F64" s="28" t="s">
        <v>6986</v>
      </c>
      <c r="G64" s="28" t="s">
        <v>6987</v>
      </c>
      <c r="H64" s="28" t="s">
        <v>6988</v>
      </c>
      <c r="I64" s="28" t="s">
        <v>898</v>
      </c>
      <c r="J64" s="28"/>
      <c r="K64" s="28"/>
      <c r="L64" s="28" t="s">
        <v>6965</v>
      </c>
      <c r="M64" s="37" t="s">
        <v>41</v>
      </c>
      <c r="N64" s="241"/>
    </row>
    <row r="65" spans="1:26" ht="14.4">
      <c r="A65" s="28" t="s">
        <v>31</v>
      </c>
      <c r="B65" s="37" t="s">
        <v>6709</v>
      </c>
      <c r="C65" s="37" t="s">
        <v>6993</v>
      </c>
      <c r="D65" s="107" t="s">
        <v>71</v>
      </c>
      <c r="E65" s="107"/>
      <c r="F65" s="28" t="s">
        <v>6995</v>
      </c>
      <c r="G65" s="28" t="s">
        <v>6996</v>
      </c>
      <c r="H65" s="28" t="s">
        <v>6926</v>
      </c>
      <c r="I65" s="28" t="s">
        <v>6927</v>
      </c>
      <c r="J65" s="28"/>
      <c r="K65" s="28" t="s">
        <v>6926</v>
      </c>
      <c r="L65" s="28" t="s">
        <v>6730</v>
      </c>
      <c r="M65" s="37" t="s">
        <v>41</v>
      </c>
      <c r="N65" s="241"/>
    </row>
    <row r="66" spans="1:26" ht="14.4">
      <c r="A66" s="28" t="s">
        <v>31</v>
      </c>
      <c r="B66" s="28" t="s">
        <v>6709</v>
      </c>
      <c r="C66" s="28" t="s">
        <v>4064</v>
      </c>
      <c r="D66" s="29" t="s">
        <v>298</v>
      </c>
      <c r="E66" s="107"/>
      <c r="F66" s="28" t="s">
        <v>7001</v>
      </c>
      <c r="G66" s="28" t="s">
        <v>7003</v>
      </c>
      <c r="H66" s="28" t="s">
        <v>6926</v>
      </c>
      <c r="I66" s="28" t="s">
        <v>6927</v>
      </c>
      <c r="J66" s="28"/>
      <c r="K66" s="28" t="s">
        <v>6926</v>
      </c>
      <c r="L66" s="28" t="s">
        <v>6730</v>
      </c>
      <c r="M66" s="28" t="s">
        <v>41</v>
      </c>
      <c r="N66" s="241"/>
    </row>
    <row r="67" spans="1:26" ht="14.4">
      <c r="A67" s="28" t="s">
        <v>31</v>
      </c>
      <c r="B67" s="28" t="s">
        <v>6709</v>
      </c>
      <c r="C67" s="28" t="s">
        <v>4064</v>
      </c>
      <c r="D67" s="29" t="s">
        <v>298</v>
      </c>
      <c r="E67" s="107"/>
      <c r="F67" s="28" t="s">
        <v>7006</v>
      </c>
      <c r="G67" s="28" t="s">
        <v>7007</v>
      </c>
      <c r="H67" s="28" t="s">
        <v>7008</v>
      </c>
      <c r="I67" s="28" t="s">
        <v>7009</v>
      </c>
      <c r="J67" s="28"/>
      <c r="K67" s="28" t="s">
        <v>7008</v>
      </c>
      <c r="L67" s="28" t="s">
        <v>6769</v>
      </c>
      <c r="M67" s="28" t="s">
        <v>41</v>
      </c>
      <c r="N67" s="241"/>
    </row>
    <row r="68" spans="1:26" ht="14.4">
      <c r="A68" s="28" t="s">
        <v>31</v>
      </c>
      <c r="B68" s="28" t="s">
        <v>6709</v>
      </c>
      <c r="C68" s="28" t="s">
        <v>4064</v>
      </c>
      <c r="D68" s="29" t="s">
        <v>298</v>
      </c>
      <c r="E68" s="107"/>
      <c r="F68" s="28" t="s">
        <v>7014</v>
      </c>
      <c r="G68" s="28" t="s">
        <v>7015</v>
      </c>
      <c r="H68" s="28" t="s">
        <v>7017</v>
      </c>
      <c r="I68" s="28" t="s">
        <v>7019</v>
      </c>
      <c r="J68" s="28"/>
      <c r="K68" s="28" t="s">
        <v>7017</v>
      </c>
      <c r="L68" s="28" t="s">
        <v>6769</v>
      </c>
      <c r="M68" s="28" t="s">
        <v>41</v>
      </c>
      <c r="N68" s="241"/>
    </row>
    <row r="69" spans="1:26" ht="14.4">
      <c r="A69" s="28" t="s">
        <v>31</v>
      </c>
      <c r="B69" s="28" t="s">
        <v>6709</v>
      </c>
      <c r="C69" s="28" t="s">
        <v>275</v>
      </c>
      <c r="D69" s="28" t="s">
        <v>543</v>
      </c>
      <c r="E69" s="107"/>
      <c r="F69" s="79" t="s">
        <v>7024</v>
      </c>
      <c r="G69" s="28" t="s">
        <v>7026</v>
      </c>
      <c r="H69" s="28" t="s">
        <v>6728</v>
      </c>
      <c r="I69" s="28" t="s">
        <v>2400</v>
      </c>
      <c r="J69" s="28"/>
      <c r="K69" s="28" t="s">
        <v>7027</v>
      </c>
      <c r="L69" s="28" t="s">
        <v>2403</v>
      </c>
      <c r="M69" s="28" t="s">
        <v>41</v>
      </c>
      <c r="N69" s="241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spans="1:26" ht="14.4">
      <c r="A70" s="28" t="s">
        <v>31</v>
      </c>
      <c r="B70" s="28" t="s">
        <v>6709</v>
      </c>
      <c r="C70" s="28" t="s">
        <v>7036</v>
      </c>
      <c r="D70" s="107"/>
      <c r="E70" s="107"/>
      <c r="F70" s="28" t="s">
        <v>7037</v>
      </c>
      <c r="G70" s="28" t="s">
        <v>7038</v>
      </c>
      <c r="H70" s="28" t="s">
        <v>7041</v>
      </c>
      <c r="I70" s="28" t="s">
        <v>983</v>
      </c>
      <c r="J70" s="28"/>
      <c r="K70" s="28" t="s">
        <v>7041</v>
      </c>
      <c r="L70" s="28" t="s">
        <v>6730</v>
      </c>
      <c r="M70" s="28" t="s">
        <v>41</v>
      </c>
      <c r="N70" s="241"/>
    </row>
    <row r="71" spans="1:26" ht="14.4">
      <c r="A71" s="28" t="s">
        <v>31</v>
      </c>
      <c r="B71" s="28" t="s">
        <v>6709</v>
      </c>
      <c r="C71" s="28" t="s">
        <v>70</v>
      </c>
      <c r="D71" s="107"/>
      <c r="E71" s="107"/>
      <c r="F71" s="79" t="s">
        <v>7046</v>
      </c>
      <c r="G71" s="28" t="s">
        <v>7047</v>
      </c>
      <c r="H71" s="28" t="s">
        <v>7041</v>
      </c>
      <c r="I71" s="28" t="s">
        <v>983</v>
      </c>
      <c r="J71" s="28"/>
      <c r="K71" s="28" t="s">
        <v>7041</v>
      </c>
      <c r="L71" s="28" t="s">
        <v>6730</v>
      </c>
      <c r="M71" s="28" t="s">
        <v>41</v>
      </c>
      <c r="N71" s="241"/>
    </row>
    <row r="72" spans="1:26" ht="14.4">
      <c r="A72" s="28" t="s">
        <v>31</v>
      </c>
      <c r="B72" s="28" t="s">
        <v>6709</v>
      </c>
      <c r="C72" s="28" t="s">
        <v>51</v>
      </c>
      <c r="D72" s="107"/>
      <c r="E72" s="107"/>
      <c r="F72" s="28" t="s">
        <v>7052</v>
      </c>
      <c r="G72" s="28" t="s">
        <v>7054</v>
      </c>
      <c r="H72" s="28" t="s">
        <v>7041</v>
      </c>
      <c r="I72" s="28" t="s">
        <v>983</v>
      </c>
      <c r="J72" s="28"/>
      <c r="K72" s="28" t="s">
        <v>7041</v>
      </c>
      <c r="L72" s="28" t="s">
        <v>6730</v>
      </c>
      <c r="M72" s="28" t="s">
        <v>41</v>
      </c>
      <c r="N72" s="241"/>
    </row>
    <row r="73" spans="1:26" ht="14.4">
      <c r="A73" s="28" t="s">
        <v>31</v>
      </c>
      <c r="B73" s="28" t="s">
        <v>6641</v>
      </c>
      <c r="C73" s="107" t="s">
        <v>275</v>
      </c>
      <c r="D73" s="28" t="s">
        <v>543</v>
      </c>
      <c r="E73" s="107"/>
      <c r="F73" s="79" t="s">
        <v>7061</v>
      </c>
      <c r="G73" s="28" t="s">
        <v>7063</v>
      </c>
      <c r="H73" s="28" t="s">
        <v>7065</v>
      </c>
      <c r="I73" s="28" t="s">
        <v>7067</v>
      </c>
      <c r="J73" s="28" t="s">
        <v>7068</v>
      </c>
      <c r="K73" s="28" t="s">
        <v>7065</v>
      </c>
      <c r="L73" s="28" t="s">
        <v>438</v>
      </c>
      <c r="M73" s="28" t="s">
        <v>41</v>
      </c>
      <c r="N73" s="241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spans="1:26" ht="14.4">
      <c r="A74" s="28" t="s">
        <v>31</v>
      </c>
      <c r="B74" s="28" t="s">
        <v>6641</v>
      </c>
      <c r="C74" s="107" t="s">
        <v>70</v>
      </c>
      <c r="D74" s="28" t="s">
        <v>543</v>
      </c>
      <c r="E74" s="107"/>
      <c r="F74" s="79" t="s">
        <v>7072</v>
      </c>
      <c r="G74" s="28" t="s">
        <v>7074</v>
      </c>
      <c r="H74" s="28" t="s">
        <v>7075</v>
      </c>
      <c r="I74" s="28" t="s">
        <v>7078</v>
      </c>
      <c r="J74" s="28" t="s">
        <v>7080</v>
      </c>
      <c r="K74" s="28" t="s">
        <v>7075</v>
      </c>
      <c r="L74" s="28" t="s">
        <v>7082</v>
      </c>
      <c r="M74" s="28" t="s">
        <v>41</v>
      </c>
      <c r="N74" s="241"/>
    </row>
    <row r="75" spans="1:26" ht="14.4">
      <c r="A75" s="28" t="s">
        <v>31</v>
      </c>
      <c r="B75" s="28" t="s">
        <v>6641</v>
      </c>
      <c r="C75" s="107" t="s">
        <v>51</v>
      </c>
      <c r="D75" s="107"/>
      <c r="E75" s="107"/>
      <c r="F75" s="28" t="s">
        <v>7091</v>
      </c>
      <c r="G75" s="28" t="s">
        <v>7093</v>
      </c>
      <c r="H75" s="28" t="s">
        <v>7075</v>
      </c>
      <c r="I75" s="28" t="s">
        <v>7078</v>
      </c>
      <c r="J75" s="28" t="s">
        <v>7095</v>
      </c>
      <c r="K75" s="28" t="s">
        <v>7075</v>
      </c>
      <c r="L75" s="28" t="s">
        <v>7082</v>
      </c>
      <c r="M75" s="28" t="s">
        <v>41</v>
      </c>
      <c r="N75" s="241"/>
    </row>
    <row r="76" spans="1:26" ht="14.4">
      <c r="A76" s="28" t="s">
        <v>31</v>
      </c>
      <c r="B76" s="28" t="s">
        <v>6641</v>
      </c>
      <c r="C76" s="107" t="s">
        <v>7036</v>
      </c>
      <c r="D76" s="107"/>
      <c r="E76" s="107"/>
      <c r="F76" s="28" t="s">
        <v>7100</v>
      </c>
      <c r="G76" s="28" t="s">
        <v>7101</v>
      </c>
      <c r="H76" s="28" t="s">
        <v>7075</v>
      </c>
      <c r="I76" s="28" t="s">
        <v>7078</v>
      </c>
      <c r="J76" s="28" t="s">
        <v>7102</v>
      </c>
      <c r="K76" s="28" t="s">
        <v>7075</v>
      </c>
      <c r="L76" s="28" t="s">
        <v>7082</v>
      </c>
      <c r="M76" s="28" t="s">
        <v>41</v>
      </c>
      <c r="N76" s="241"/>
    </row>
    <row r="77" spans="1:26" ht="14.4">
      <c r="A77" s="28" t="s">
        <v>31</v>
      </c>
      <c r="B77" s="28" t="s">
        <v>6641</v>
      </c>
      <c r="C77" s="28" t="s">
        <v>85</v>
      </c>
      <c r="D77" s="28" t="s">
        <v>86</v>
      </c>
      <c r="E77" s="107"/>
      <c r="F77" s="28" t="s">
        <v>7107</v>
      </c>
      <c r="G77" s="28" t="s">
        <v>7108</v>
      </c>
      <c r="H77" s="28" t="s">
        <v>7110</v>
      </c>
      <c r="I77" s="28" t="s">
        <v>7111</v>
      </c>
      <c r="J77" s="28" t="s">
        <v>3285</v>
      </c>
      <c r="K77" s="28" t="s">
        <v>7110</v>
      </c>
      <c r="L77" s="28" t="s">
        <v>438</v>
      </c>
      <c r="M77" s="28" t="s">
        <v>41</v>
      </c>
      <c r="N77" s="241"/>
    </row>
    <row r="78" spans="1:26" ht="14.4">
      <c r="A78" s="28" t="s">
        <v>31</v>
      </c>
      <c r="B78" s="28" t="s">
        <v>6641</v>
      </c>
      <c r="C78" s="28" t="s">
        <v>85</v>
      </c>
      <c r="D78" s="28" t="s">
        <v>86</v>
      </c>
      <c r="E78" s="107"/>
      <c r="F78" s="28" t="s">
        <v>7118</v>
      </c>
      <c r="G78" s="28" t="s">
        <v>7122</v>
      </c>
      <c r="H78" s="28" t="s">
        <v>7124</v>
      </c>
      <c r="I78" s="28" t="s">
        <v>7125</v>
      </c>
      <c r="J78" s="28" t="s">
        <v>3812</v>
      </c>
      <c r="K78" s="28" t="s">
        <v>7124</v>
      </c>
      <c r="L78" s="28" t="s">
        <v>989</v>
      </c>
      <c r="M78" s="28" t="s">
        <v>41</v>
      </c>
      <c r="N78" s="241"/>
    </row>
    <row r="79" spans="1:26" ht="14.4">
      <c r="A79" s="28" t="s">
        <v>31</v>
      </c>
      <c r="B79" s="28" t="s">
        <v>6641</v>
      </c>
      <c r="C79" s="28" t="s">
        <v>85</v>
      </c>
      <c r="D79" s="28" t="s">
        <v>86</v>
      </c>
      <c r="E79" s="107"/>
      <c r="F79" s="28" t="s">
        <v>7135</v>
      </c>
      <c r="G79" s="28" t="s">
        <v>7136</v>
      </c>
      <c r="H79" s="28" t="s">
        <v>7110</v>
      </c>
      <c r="I79" s="28" t="s">
        <v>7111</v>
      </c>
      <c r="J79" s="28" t="s">
        <v>3822</v>
      </c>
      <c r="K79" s="28" t="s">
        <v>7110</v>
      </c>
      <c r="L79" s="28" t="s">
        <v>438</v>
      </c>
      <c r="M79" s="28" t="s">
        <v>41</v>
      </c>
      <c r="N79" s="241"/>
    </row>
    <row r="80" spans="1:26" ht="14.4">
      <c r="A80" s="28" t="s">
        <v>31</v>
      </c>
      <c r="B80" s="28" t="s">
        <v>6641</v>
      </c>
      <c r="C80" s="28" t="s">
        <v>85</v>
      </c>
      <c r="D80" s="28" t="s">
        <v>86</v>
      </c>
      <c r="E80" s="107"/>
      <c r="F80" s="28" t="s">
        <v>7145</v>
      </c>
      <c r="G80" s="28" t="s">
        <v>7146</v>
      </c>
      <c r="H80" s="28" t="s">
        <v>7147</v>
      </c>
      <c r="I80" s="28" t="s">
        <v>7148</v>
      </c>
      <c r="J80" s="28" t="s">
        <v>7149</v>
      </c>
      <c r="K80" s="28" t="s">
        <v>7147</v>
      </c>
      <c r="L80" s="28" t="s">
        <v>438</v>
      </c>
      <c r="M80" s="28" t="s">
        <v>41</v>
      </c>
      <c r="N80" s="241"/>
    </row>
    <row r="81" spans="1:14" ht="14.4">
      <c r="A81" s="28" t="s">
        <v>31</v>
      </c>
      <c r="B81" s="28" t="s">
        <v>6641</v>
      </c>
      <c r="C81" s="28" t="s">
        <v>85</v>
      </c>
      <c r="D81" s="28" t="s">
        <v>86</v>
      </c>
      <c r="E81" s="107"/>
      <c r="F81" s="28" t="s">
        <v>7155</v>
      </c>
      <c r="G81" s="28" t="s">
        <v>7157</v>
      </c>
      <c r="H81" s="28" t="s">
        <v>7158</v>
      </c>
      <c r="I81" s="28" t="s">
        <v>7159</v>
      </c>
      <c r="J81" s="28" t="s">
        <v>7160</v>
      </c>
      <c r="K81" s="28" t="s">
        <v>7158</v>
      </c>
      <c r="L81" s="28" t="s">
        <v>438</v>
      </c>
      <c r="M81" s="28" t="s">
        <v>41</v>
      </c>
      <c r="N81" s="241"/>
    </row>
    <row r="82" spans="1:14" ht="14.4">
      <c r="A82" s="28" t="s">
        <v>31</v>
      </c>
      <c r="B82" s="28" t="s">
        <v>6641</v>
      </c>
      <c r="C82" s="28" t="s">
        <v>85</v>
      </c>
      <c r="D82" s="28" t="s">
        <v>86</v>
      </c>
      <c r="E82" s="107"/>
      <c r="F82" s="28" t="s">
        <v>7167</v>
      </c>
      <c r="G82" s="28" t="s">
        <v>7168</v>
      </c>
      <c r="H82" s="28" t="s">
        <v>7065</v>
      </c>
      <c r="I82" s="28" t="s">
        <v>7170</v>
      </c>
      <c r="J82" s="28" t="s">
        <v>2814</v>
      </c>
      <c r="K82" s="28" t="s">
        <v>7065</v>
      </c>
      <c r="L82" s="28" t="s">
        <v>438</v>
      </c>
      <c r="M82" s="28" t="s">
        <v>41</v>
      </c>
      <c r="N82" s="241"/>
    </row>
    <row r="83" spans="1:14" ht="14.4">
      <c r="A83" s="28" t="s">
        <v>31</v>
      </c>
      <c r="B83" s="28" t="s">
        <v>6641</v>
      </c>
      <c r="C83" s="28" t="s">
        <v>85</v>
      </c>
      <c r="D83" s="28" t="s">
        <v>86</v>
      </c>
      <c r="E83" s="107"/>
      <c r="F83" s="28" t="s">
        <v>7177</v>
      </c>
      <c r="G83" s="28" t="s">
        <v>7178</v>
      </c>
      <c r="H83" s="28" t="s">
        <v>7179</v>
      </c>
      <c r="I83" s="28" t="s">
        <v>7181</v>
      </c>
      <c r="J83" s="28" t="s">
        <v>7182</v>
      </c>
      <c r="K83" s="28" t="s">
        <v>7179</v>
      </c>
      <c r="L83" s="28" t="s">
        <v>438</v>
      </c>
      <c r="M83" s="28" t="s">
        <v>41</v>
      </c>
      <c r="N83" s="241"/>
    </row>
    <row r="84" spans="1:14" ht="14.4">
      <c r="A84" s="28" t="s">
        <v>31</v>
      </c>
      <c r="B84" s="28" t="s">
        <v>6641</v>
      </c>
      <c r="C84" s="28" t="s">
        <v>85</v>
      </c>
      <c r="D84" s="28" t="s">
        <v>86</v>
      </c>
      <c r="E84" s="107"/>
      <c r="F84" s="28" t="s">
        <v>7189</v>
      </c>
      <c r="G84" s="28" t="s">
        <v>7190</v>
      </c>
      <c r="H84" s="28" t="s">
        <v>7192</v>
      </c>
      <c r="I84" s="28" t="s">
        <v>7193</v>
      </c>
      <c r="J84" s="28" t="s">
        <v>2825</v>
      </c>
      <c r="K84" s="28" t="s">
        <v>7192</v>
      </c>
      <c r="L84" s="28" t="s">
        <v>438</v>
      </c>
      <c r="M84" s="28" t="s">
        <v>41</v>
      </c>
      <c r="N84" s="241"/>
    </row>
    <row r="85" spans="1:14" ht="14.4">
      <c r="A85" s="28" t="s">
        <v>31</v>
      </c>
      <c r="B85" s="28" t="s">
        <v>6641</v>
      </c>
      <c r="C85" s="28" t="s">
        <v>85</v>
      </c>
      <c r="D85" s="28" t="s">
        <v>86</v>
      </c>
      <c r="E85" s="107"/>
      <c r="F85" s="28" t="s">
        <v>7198</v>
      </c>
      <c r="G85" s="28" t="s">
        <v>7201</v>
      </c>
      <c r="H85" s="28" t="s">
        <v>7179</v>
      </c>
      <c r="I85" s="28" t="s">
        <v>7181</v>
      </c>
      <c r="J85" s="28" t="s">
        <v>7206</v>
      </c>
      <c r="K85" s="28" t="s">
        <v>7179</v>
      </c>
      <c r="L85" s="28" t="s">
        <v>438</v>
      </c>
      <c r="M85" s="28" t="s">
        <v>41</v>
      </c>
      <c r="N85" s="241"/>
    </row>
    <row r="86" spans="1:14" ht="14.4">
      <c r="A86" s="28" t="s">
        <v>31</v>
      </c>
      <c r="B86" s="28" t="s">
        <v>6641</v>
      </c>
      <c r="C86" s="28" t="s">
        <v>85</v>
      </c>
      <c r="D86" s="28" t="s">
        <v>86</v>
      </c>
      <c r="E86" s="107"/>
      <c r="F86" s="28" t="s">
        <v>7209</v>
      </c>
      <c r="G86" s="28" t="s">
        <v>7210</v>
      </c>
      <c r="H86" s="28" t="s">
        <v>7213</v>
      </c>
      <c r="I86" s="28" t="s">
        <v>7159</v>
      </c>
      <c r="J86" s="28" t="s">
        <v>7214</v>
      </c>
      <c r="K86" s="28" t="s">
        <v>7213</v>
      </c>
      <c r="L86" s="28" t="s">
        <v>438</v>
      </c>
      <c r="M86" s="28" t="s">
        <v>41</v>
      </c>
      <c r="N86" s="241"/>
    </row>
    <row r="87" spans="1:14" ht="14.4">
      <c r="A87" s="28" t="s">
        <v>31</v>
      </c>
      <c r="B87" s="28" t="s">
        <v>6641</v>
      </c>
      <c r="C87" s="28" t="s">
        <v>85</v>
      </c>
      <c r="D87" s="28" t="s">
        <v>86</v>
      </c>
      <c r="E87" s="107"/>
      <c r="F87" s="28" t="s">
        <v>7219</v>
      </c>
      <c r="G87" s="28" t="s">
        <v>7229</v>
      </c>
      <c r="H87" s="28" t="s">
        <v>7147</v>
      </c>
      <c r="I87" s="28" t="s">
        <v>7148</v>
      </c>
      <c r="J87" s="28" t="s">
        <v>7234</v>
      </c>
      <c r="K87" s="28" t="s">
        <v>7147</v>
      </c>
      <c r="L87" s="28" t="s">
        <v>438</v>
      </c>
      <c r="M87" s="28" t="s">
        <v>41</v>
      </c>
      <c r="N87" s="241"/>
    </row>
    <row r="88" spans="1:14" ht="14.4">
      <c r="A88" s="28" t="s">
        <v>31</v>
      </c>
      <c r="B88" s="28" t="s">
        <v>6641</v>
      </c>
      <c r="C88" s="28" t="s">
        <v>85</v>
      </c>
      <c r="D88" s="28" t="s">
        <v>86</v>
      </c>
      <c r="E88" s="107"/>
      <c r="F88" s="28" t="s">
        <v>7243</v>
      </c>
      <c r="G88" s="28" t="s">
        <v>7244</v>
      </c>
      <c r="H88" s="28" t="s">
        <v>7245</v>
      </c>
      <c r="I88" s="28" t="s">
        <v>7246</v>
      </c>
      <c r="J88" s="28" t="s">
        <v>7247</v>
      </c>
      <c r="K88" s="28" t="s">
        <v>7245</v>
      </c>
      <c r="L88" s="28" t="s">
        <v>989</v>
      </c>
      <c r="M88" s="28" t="s">
        <v>41</v>
      </c>
      <c r="N88" s="241"/>
    </row>
    <row r="89" spans="1:14" ht="14.4">
      <c r="A89" s="28" t="s">
        <v>31</v>
      </c>
      <c r="B89" s="28" t="s">
        <v>6641</v>
      </c>
      <c r="C89" s="28" t="s">
        <v>85</v>
      </c>
      <c r="D89" s="28" t="s">
        <v>86</v>
      </c>
      <c r="E89" s="107"/>
      <c r="F89" s="28" t="s">
        <v>7255</v>
      </c>
      <c r="G89" s="28" t="s">
        <v>7256</v>
      </c>
      <c r="H89" s="28" t="s">
        <v>7258</v>
      </c>
      <c r="I89" s="28" t="s">
        <v>7259</v>
      </c>
      <c r="J89" s="28" t="s">
        <v>7260</v>
      </c>
      <c r="K89" s="28" t="s">
        <v>7258</v>
      </c>
      <c r="L89" s="28" t="s">
        <v>2166</v>
      </c>
      <c r="M89" s="28" t="s">
        <v>41</v>
      </c>
      <c r="N89" s="241"/>
    </row>
    <row r="90" spans="1:14" ht="14.4">
      <c r="A90" s="28" t="s">
        <v>31</v>
      </c>
      <c r="B90" s="28" t="s">
        <v>6641</v>
      </c>
      <c r="C90" s="28" t="s">
        <v>85</v>
      </c>
      <c r="D90" s="28" t="s">
        <v>86</v>
      </c>
      <c r="E90" s="107"/>
      <c r="F90" s="28" t="s">
        <v>7264</v>
      </c>
      <c r="G90" s="28" t="s">
        <v>7266</v>
      </c>
      <c r="H90" s="28" t="s">
        <v>7267</v>
      </c>
      <c r="I90" s="28" t="s">
        <v>7078</v>
      </c>
      <c r="J90" s="28" t="s">
        <v>7270</v>
      </c>
      <c r="K90" s="28" t="s">
        <v>7267</v>
      </c>
      <c r="L90" s="28" t="s">
        <v>7094</v>
      </c>
      <c r="M90" s="28" t="s">
        <v>41</v>
      </c>
      <c r="N90" s="241"/>
    </row>
    <row r="91" spans="1:14" ht="14.4">
      <c r="A91" s="28" t="s">
        <v>31</v>
      </c>
      <c r="B91" s="28" t="s">
        <v>6641</v>
      </c>
      <c r="C91" s="28" t="s">
        <v>85</v>
      </c>
      <c r="D91" s="28" t="s">
        <v>86</v>
      </c>
      <c r="E91" s="107"/>
      <c r="F91" s="28" t="s">
        <v>7273</v>
      </c>
      <c r="G91" s="28" t="s">
        <v>7274</v>
      </c>
      <c r="H91" s="28" t="s">
        <v>7275</v>
      </c>
      <c r="I91" s="28" t="s">
        <v>7277</v>
      </c>
      <c r="J91" s="28" t="s">
        <v>7279</v>
      </c>
      <c r="K91" s="28" t="s">
        <v>7275</v>
      </c>
      <c r="L91" s="28" t="s">
        <v>989</v>
      </c>
      <c r="M91" s="28" t="s">
        <v>41</v>
      </c>
      <c r="N91" s="241"/>
    </row>
    <row r="92" spans="1:14" ht="14.4">
      <c r="A92" s="28" t="s">
        <v>31</v>
      </c>
      <c r="B92" s="28" t="s">
        <v>6641</v>
      </c>
      <c r="C92" s="28" t="s">
        <v>85</v>
      </c>
      <c r="D92" s="28" t="s">
        <v>86</v>
      </c>
      <c r="E92" s="107"/>
      <c r="F92" s="28" t="s">
        <v>7286</v>
      </c>
      <c r="G92" s="28" t="s">
        <v>7288</v>
      </c>
      <c r="H92" s="28" t="s">
        <v>7289</v>
      </c>
      <c r="I92" s="28" t="s">
        <v>7290</v>
      </c>
      <c r="J92" s="28" t="s">
        <v>7291</v>
      </c>
      <c r="K92" s="28" t="s">
        <v>7289</v>
      </c>
      <c r="L92" s="28" t="s">
        <v>4931</v>
      </c>
      <c r="M92" s="28" t="s">
        <v>41</v>
      </c>
      <c r="N92" s="241"/>
    </row>
    <row r="93" spans="1:14" ht="14.4">
      <c r="A93" s="28" t="s">
        <v>31</v>
      </c>
      <c r="B93" s="28" t="s">
        <v>6641</v>
      </c>
      <c r="C93" s="28" t="s">
        <v>220</v>
      </c>
      <c r="D93" s="28" t="s">
        <v>234</v>
      </c>
      <c r="E93" s="107"/>
      <c r="F93" s="28" t="s">
        <v>7299</v>
      </c>
      <c r="G93" s="28" t="s">
        <v>7302</v>
      </c>
      <c r="H93" s="28" t="s">
        <v>7303</v>
      </c>
      <c r="I93" s="28" t="s">
        <v>7304</v>
      </c>
      <c r="J93" s="28" t="s">
        <v>7305</v>
      </c>
      <c r="K93" s="28" t="s">
        <v>7303</v>
      </c>
      <c r="L93" s="28" t="s">
        <v>438</v>
      </c>
      <c r="M93" s="28" t="s">
        <v>41</v>
      </c>
      <c r="N93" s="241"/>
    </row>
    <row r="94" spans="1:14" ht="14.4">
      <c r="A94" s="28" t="s">
        <v>31</v>
      </c>
      <c r="B94" s="28" t="s">
        <v>6641</v>
      </c>
      <c r="C94" s="28" t="s">
        <v>220</v>
      </c>
      <c r="D94" s="28" t="s">
        <v>234</v>
      </c>
      <c r="E94" s="107"/>
      <c r="F94" s="28" t="s">
        <v>7308</v>
      </c>
      <c r="G94" s="28" t="s">
        <v>7309</v>
      </c>
      <c r="H94" s="28" t="s">
        <v>7311</v>
      </c>
      <c r="I94" s="28" t="s">
        <v>7312</v>
      </c>
      <c r="J94" s="28" t="s">
        <v>7313</v>
      </c>
      <c r="K94" s="28" t="s">
        <v>7311</v>
      </c>
      <c r="L94" s="28" t="s">
        <v>438</v>
      </c>
      <c r="M94" s="28" t="s">
        <v>41</v>
      </c>
      <c r="N94" s="241"/>
    </row>
    <row r="95" spans="1:14" ht="14.4">
      <c r="A95" s="28" t="s">
        <v>31</v>
      </c>
      <c r="B95" s="28" t="s">
        <v>6641</v>
      </c>
      <c r="C95" s="28" t="s">
        <v>220</v>
      </c>
      <c r="D95" s="28" t="s">
        <v>234</v>
      </c>
      <c r="E95" s="107"/>
      <c r="F95" s="28" t="s">
        <v>7316</v>
      </c>
      <c r="G95" s="28" t="s">
        <v>7318</v>
      </c>
      <c r="H95" s="28" t="s">
        <v>7319</v>
      </c>
      <c r="I95" s="28" t="s">
        <v>7320</v>
      </c>
      <c r="J95" s="28" t="s">
        <v>7321</v>
      </c>
      <c r="K95" s="28" t="s">
        <v>7319</v>
      </c>
      <c r="L95" s="28" t="s">
        <v>438</v>
      </c>
      <c r="M95" s="28" t="s">
        <v>41</v>
      </c>
      <c r="N95" s="241"/>
    </row>
    <row r="96" spans="1:14" ht="14.4">
      <c r="A96" s="28" t="s">
        <v>31</v>
      </c>
      <c r="B96" s="28" t="s">
        <v>6641</v>
      </c>
      <c r="C96" s="28" t="s">
        <v>220</v>
      </c>
      <c r="D96" s="28" t="s">
        <v>234</v>
      </c>
      <c r="E96" s="107"/>
      <c r="F96" s="28" t="s">
        <v>7324</v>
      </c>
      <c r="G96" s="28" t="s">
        <v>7326</v>
      </c>
      <c r="H96" s="28" t="s">
        <v>7327</v>
      </c>
      <c r="I96" s="28" t="s">
        <v>7328</v>
      </c>
      <c r="J96" s="28" t="s">
        <v>7330</v>
      </c>
      <c r="K96" s="28" t="s">
        <v>7327</v>
      </c>
      <c r="L96" s="28" t="s">
        <v>989</v>
      </c>
      <c r="M96" s="28" t="s">
        <v>41</v>
      </c>
      <c r="N96" s="241"/>
    </row>
    <row r="97" spans="1:15" ht="14.4">
      <c r="A97" s="28" t="s">
        <v>31</v>
      </c>
      <c r="B97" s="28" t="s">
        <v>6641</v>
      </c>
      <c r="C97" s="28" t="s">
        <v>220</v>
      </c>
      <c r="D97" s="28" t="s">
        <v>234</v>
      </c>
      <c r="E97" s="107"/>
      <c r="F97" s="28" t="s">
        <v>7299</v>
      </c>
      <c r="G97" s="28" t="s">
        <v>7332</v>
      </c>
      <c r="H97" s="28" t="s">
        <v>7334</v>
      </c>
      <c r="I97" s="28" t="s">
        <v>7336</v>
      </c>
      <c r="J97" s="28" t="s">
        <v>563</v>
      </c>
      <c r="K97" s="28" t="s">
        <v>7334</v>
      </c>
      <c r="L97" s="28" t="s">
        <v>989</v>
      </c>
      <c r="M97" s="28" t="s">
        <v>41</v>
      </c>
      <c r="N97" s="241"/>
    </row>
    <row r="98" spans="1:15" ht="14.4">
      <c r="A98" s="28" t="s">
        <v>31</v>
      </c>
      <c r="B98" s="28" t="s">
        <v>6641</v>
      </c>
      <c r="C98" s="28" t="s">
        <v>4064</v>
      </c>
      <c r="D98" s="29" t="s">
        <v>298</v>
      </c>
      <c r="E98" s="107"/>
      <c r="F98" s="28" t="s">
        <v>7341</v>
      </c>
      <c r="G98" s="28" t="s">
        <v>7342</v>
      </c>
      <c r="H98" s="28" t="s">
        <v>7065</v>
      </c>
      <c r="I98" s="28" t="s">
        <v>7067</v>
      </c>
      <c r="J98" s="28" t="s">
        <v>7343</v>
      </c>
      <c r="K98" s="28" t="s">
        <v>7065</v>
      </c>
      <c r="L98" s="28" t="s">
        <v>438</v>
      </c>
      <c r="M98" s="28" t="s">
        <v>41</v>
      </c>
      <c r="N98" s="241"/>
    </row>
    <row r="99" spans="1:15" ht="14.4">
      <c r="A99" s="28" t="s">
        <v>31</v>
      </c>
      <c r="B99" s="28" t="s">
        <v>6641</v>
      </c>
      <c r="C99" s="28" t="s">
        <v>4064</v>
      </c>
      <c r="D99" s="29" t="s">
        <v>298</v>
      </c>
      <c r="E99" s="107"/>
      <c r="F99" s="28" t="s">
        <v>7349</v>
      </c>
      <c r="G99" s="28" t="s">
        <v>7350</v>
      </c>
      <c r="H99" s="28" t="s">
        <v>7179</v>
      </c>
      <c r="I99" s="28" t="s">
        <v>7181</v>
      </c>
      <c r="J99" s="28" t="s">
        <v>7351</v>
      </c>
      <c r="K99" s="28" t="s">
        <v>7179</v>
      </c>
      <c r="L99" s="28" t="s">
        <v>438</v>
      </c>
      <c r="M99" s="28" t="s">
        <v>41</v>
      </c>
      <c r="N99" s="241"/>
    </row>
    <row r="100" spans="1:15" ht="14.4">
      <c r="A100" s="28" t="s">
        <v>31</v>
      </c>
      <c r="B100" s="28" t="s">
        <v>6641</v>
      </c>
      <c r="C100" s="28" t="s">
        <v>4064</v>
      </c>
      <c r="D100" s="29" t="s">
        <v>298</v>
      </c>
      <c r="E100" s="107"/>
      <c r="F100" s="28" t="s">
        <v>7356</v>
      </c>
      <c r="G100" s="28" t="s">
        <v>7358</v>
      </c>
      <c r="H100" s="28" t="s">
        <v>7065</v>
      </c>
      <c r="I100" s="28" t="s">
        <v>7067</v>
      </c>
      <c r="J100" s="28" t="s">
        <v>7359</v>
      </c>
      <c r="K100" s="28" t="s">
        <v>7065</v>
      </c>
      <c r="L100" s="28" t="s">
        <v>438</v>
      </c>
      <c r="M100" s="28" t="s">
        <v>41</v>
      </c>
      <c r="N100" s="241"/>
    </row>
    <row r="101" spans="1:15" ht="14.4">
      <c r="A101" s="28" t="s">
        <v>31</v>
      </c>
      <c r="B101" s="28" t="s">
        <v>6641</v>
      </c>
      <c r="C101" s="28" t="s">
        <v>4064</v>
      </c>
      <c r="D101" s="29" t="s">
        <v>298</v>
      </c>
      <c r="E101" s="107"/>
      <c r="F101" s="28" t="s">
        <v>7362</v>
      </c>
      <c r="G101" s="28" t="s">
        <v>7363</v>
      </c>
      <c r="H101" s="28" t="s">
        <v>7179</v>
      </c>
      <c r="I101" s="28" t="s">
        <v>7181</v>
      </c>
      <c r="J101" s="28" t="s">
        <v>7364</v>
      </c>
      <c r="K101" s="28" t="s">
        <v>7179</v>
      </c>
      <c r="L101" s="28" t="s">
        <v>438</v>
      </c>
      <c r="M101" s="28" t="s">
        <v>41</v>
      </c>
      <c r="N101" s="241"/>
    </row>
    <row r="102" spans="1:15" ht="14.4">
      <c r="A102" s="28" t="s">
        <v>31</v>
      </c>
      <c r="B102" s="28" t="s">
        <v>6641</v>
      </c>
      <c r="C102" s="28" t="s">
        <v>4064</v>
      </c>
      <c r="D102" s="29" t="s">
        <v>298</v>
      </c>
      <c r="E102" s="107"/>
      <c r="F102" s="28" t="s">
        <v>7370</v>
      </c>
      <c r="G102" s="28" t="s">
        <v>7371</v>
      </c>
      <c r="H102" s="28" t="s">
        <v>7372</v>
      </c>
      <c r="I102" s="28" t="s">
        <v>7373</v>
      </c>
      <c r="J102" s="28" t="s">
        <v>7374</v>
      </c>
      <c r="K102" s="28" t="s">
        <v>7372</v>
      </c>
      <c r="L102" s="28" t="s">
        <v>4931</v>
      </c>
      <c r="M102" s="28" t="s">
        <v>41</v>
      </c>
      <c r="N102" s="241"/>
    </row>
    <row r="103" spans="1:15" ht="14.4">
      <c r="A103" s="28" t="s">
        <v>31</v>
      </c>
      <c r="B103" s="28" t="s">
        <v>6641</v>
      </c>
      <c r="C103" s="107" t="s">
        <v>6621</v>
      </c>
      <c r="D103" s="107" t="s">
        <v>954</v>
      </c>
      <c r="E103" s="107"/>
      <c r="F103" s="79" t="s">
        <v>7380</v>
      </c>
      <c r="G103" s="28" t="s">
        <v>7383</v>
      </c>
      <c r="H103" s="28" t="s">
        <v>7384</v>
      </c>
      <c r="I103" s="28" t="s">
        <v>7386</v>
      </c>
      <c r="J103" s="28" t="s">
        <v>7387</v>
      </c>
      <c r="K103" s="28" t="s">
        <v>7384</v>
      </c>
      <c r="L103" s="28" t="s">
        <v>438</v>
      </c>
      <c r="M103" s="28" t="s">
        <v>41</v>
      </c>
      <c r="N103" s="241"/>
    </row>
    <row r="104" spans="1:15" ht="14.4">
      <c r="A104" s="28" t="s">
        <v>31</v>
      </c>
      <c r="B104" s="28" t="s">
        <v>6641</v>
      </c>
      <c r="C104" s="28" t="s">
        <v>319</v>
      </c>
      <c r="D104" s="107" t="s">
        <v>796</v>
      </c>
      <c r="E104" s="107"/>
      <c r="F104" s="79" t="s">
        <v>7390</v>
      </c>
      <c r="G104" s="28" t="s">
        <v>7392</v>
      </c>
      <c r="H104" s="28" t="s">
        <v>7394</v>
      </c>
      <c r="I104" s="28" t="s">
        <v>7386</v>
      </c>
      <c r="J104" s="28" t="s">
        <v>7396</v>
      </c>
      <c r="K104" s="28" t="s">
        <v>7394</v>
      </c>
      <c r="L104" s="28" t="s">
        <v>438</v>
      </c>
      <c r="M104" s="28" t="s">
        <v>41</v>
      </c>
      <c r="N104" s="241"/>
    </row>
    <row r="105" spans="1:15" ht="14.4">
      <c r="A105" s="28" t="s">
        <v>31</v>
      </c>
      <c r="B105" s="28" t="s">
        <v>6641</v>
      </c>
      <c r="C105" s="28" t="s">
        <v>319</v>
      </c>
      <c r="D105" s="107" t="s">
        <v>796</v>
      </c>
      <c r="E105" s="107"/>
      <c r="F105" s="79" t="s">
        <v>7402</v>
      </c>
      <c r="G105" s="28" t="s">
        <v>7403</v>
      </c>
      <c r="H105" s="28" t="s">
        <v>7404</v>
      </c>
      <c r="I105" s="28" t="s">
        <v>7386</v>
      </c>
      <c r="J105" s="28" t="s">
        <v>7405</v>
      </c>
      <c r="K105" s="28" t="s">
        <v>7404</v>
      </c>
      <c r="L105" s="28" t="s">
        <v>989</v>
      </c>
      <c r="M105" s="28" t="s">
        <v>41</v>
      </c>
      <c r="N105" s="241"/>
    </row>
    <row r="106" spans="1:15" ht="14.4">
      <c r="A106" s="28" t="s">
        <v>31</v>
      </c>
      <c r="B106" s="28" t="s">
        <v>6641</v>
      </c>
      <c r="C106" s="28" t="s">
        <v>319</v>
      </c>
      <c r="D106" s="107" t="s">
        <v>796</v>
      </c>
      <c r="E106" s="107"/>
      <c r="F106" s="79" t="s">
        <v>7415</v>
      </c>
      <c r="G106" s="28" t="s">
        <v>7416</v>
      </c>
      <c r="H106" s="28" t="s">
        <v>7417</v>
      </c>
      <c r="I106" s="28" t="s">
        <v>7193</v>
      </c>
      <c r="J106" s="28" t="s">
        <v>7418</v>
      </c>
      <c r="K106" s="28" t="s">
        <v>7417</v>
      </c>
      <c r="L106" s="28" t="s">
        <v>438</v>
      </c>
      <c r="M106" s="28" t="s">
        <v>41</v>
      </c>
      <c r="N106" s="241"/>
    </row>
    <row r="107" spans="1:15" ht="14.4">
      <c r="A107" s="28" t="s">
        <v>31</v>
      </c>
      <c r="B107" s="28" t="s">
        <v>6641</v>
      </c>
      <c r="C107" s="28" t="s">
        <v>319</v>
      </c>
      <c r="D107" s="107" t="s">
        <v>796</v>
      </c>
      <c r="E107" s="107"/>
      <c r="F107" s="79" t="s">
        <v>7423</v>
      </c>
      <c r="G107" s="28" t="s">
        <v>7428</v>
      </c>
      <c r="H107" s="28" t="s">
        <v>7431</v>
      </c>
      <c r="I107" s="28" t="s">
        <v>7386</v>
      </c>
      <c r="J107" s="28" t="s">
        <v>7433</v>
      </c>
      <c r="K107" s="28" t="s">
        <v>7431</v>
      </c>
      <c r="L107" s="28" t="s">
        <v>438</v>
      </c>
      <c r="M107" s="28" t="s">
        <v>41</v>
      </c>
      <c r="N107" s="241"/>
    </row>
    <row r="108" spans="1:15" ht="14.4">
      <c r="A108" s="28" t="s">
        <v>31</v>
      </c>
      <c r="B108" s="28" t="s">
        <v>6641</v>
      </c>
      <c r="C108" s="28" t="s">
        <v>319</v>
      </c>
      <c r="D108" s="107" t="s">
        <v>796</v>
      </c>
      <c r="E108" s="107"/>
      <c r="F108" s="79" t="s">
        <v>7435</v>
      </c>
      <c r="G108" s="28" t="s">
        <v>7437</v>
      </c>
      <c r="H108" s="28" t="s">
        <v>7439</v>
      </c>
      <c r="I108" s="28" t="s">
        <v>7386</v>
      </c>
      <c r="J108" s="28" t="s">
        <v>7442</v>
      </c>
      <c r="K108" s="28" t="s">
        <v>7439</v>
      </c>
      <c r="L108" s="28" t="s">
        <v>438</v>
      </c>
      <c r="M108" s="28" t="s">
        <v>41</v>
      </c>
      <c r="N108" s="241"/>
    </row>
    <row r="109" spans="1:15" ht="14.4">
      <c r="A109" s="28" t="s">
        <v>31</v>
      </c>
      <c r="B109" s="28" t="s">
        <v>6287</v>
      </c>
      <c r="C109" s="107" t="s">
        <v>20</v>
      </c>
      <c r="D109" s="28" t="s">
        <v>1305</v>
      </c>
      <c r="E109" s="28"/>
      <c r="F109" s="28" t="s">
        <v>7446</v>
      </c>
      <c r="G109" s="28" t="s">
        <v>7448</v>
      </c>
      <c r="H109" s="28" t="s">
        <v>6385</v>
      </c>
      <c r="I109" s="28" t="s">
        <v>2714</v>
      </c>
      <c r="J109" s="28" t="s">
        <v>7450</v>
      </c>
      <c r="K109" s="28" t="s">
        <v>6385</v>
      </c>
      <c r="L109" s="28"/>
      <c r="M109" s="28" t="s">
        <v>41</v>
      </c>
      <c r="N109" s="106"/>
      <c r="O109" s="101"/>
    </row>
    <row r="110" spans="1:15" ht="14.4">
      <c r="A110" s="28" t="s">
        <v>31</v>
      </c>
      <c r="B110" s="28" t="s">
        <v>6287</v>
      </c>
      <c r="C110" s="107" t="s">
        <v>20</v>
      </c>
      <c r="D110" s="28" t="s">
        <v>1305</v>
      </c>
      <c r="E110" s="28"/>
      <c r="F110" s="28" t="s">
        <v>7456</v>
      </c>
      <c r="G110" s="28" t="s">
        <v>7458</v>
      </c>
      <c r="H110" s="28" t="s">
        <v>6695</v>
      </c>
      <c r="I110" s="28" t="s">
        <v>887</v>
      </c>
      <c r="J110" s="28" t="s">
        <v>7450</v>
      </c>
      <c r="K110" s="28" t="s">
        <v>6695</v>
      </c>
      <c r="L110" s="28"/>
      <c r="M110" s="28" t="s">
        <v>41</v>
      </c>
      <c r="N110" s="106"/>
      <c r="O110" s="101"/>
    </row>
    <row r="111" spans="1:15" ht="14.4">
      <c r="A111" s="28" t="s">
        <v>31</v>
      </c>
      <c r="B111" s="28" t="s">
        <v>6287</v>
      </c>
      <c r="C111" s="107" t="s">
        <v>260</v>
      </c>
      <c r="D111" s="107" t="s">
        <v>1337</v>
      </c>
      <c r="E111" s="28"/>
      <c r="F111" s="28" t="s">
        <v>7468</v>
      </c>
      <c r="G111" s="28"/>
      <c r="H111" s="28" t="s">
        <v>7469</v>
      </c>
      <c r="I111" s="28" t="s">
        <v>2714</v>
      </c>
      <c r="J111" s="28" t="s">
        <v>7470</v>
      </c>
      <c r="K111" s="28" t="s">
        <v>7469</v>
      </c>
      <c r="L111" s="28"/>
      <c r="M111" s="28" t="s">
        <v>41</v>
      </c>
      <c r="N111" s="106"/>
      <c r="O111" s="101"/>
    </row>
    <row r="112" spans="1:15" ht="14.4">
      <c r="A112" s="28" t="s">
        <v>31</v>
      </c>
      <c r="B112" s="28" t="s">
        <v>6287</v>
      </c>
      <c r="C112" s="107" t="s">
        <v>260</v>
      </c>
      <c r="D112" s="107" t="s">
        <v>1337</v>
      </c>
      <c r="E112" s="28"/>
      <c r="F112" s="28" t="s">
        <v>7473</v>
      </c>
      <c r="G112" s="28"/>
      <c r="H112" s="28" t="s">
        <v>6295</v>
      </c>
      <c r="I112" s="28" t="s">
        <v>7475</v>
      </c>
      <c r="J112" s="28" t="s">
        <v>7478</v>
      </c>
      <c r="K112" s="28" t="s">
        <v>6295</v>
      </c>
      <c r="L112" s="28"/>
      <c r="M112" s="28" t="s">
        <v>41</v>
      </c>
      <c r="N112" s="106"/>
      <c r="O112" s="101"/>
    </row>
    <row r="113" spans="1:15" ht="14.4">
      <c r="A113" s="28" t="s">
        <v>31</v>
      </c>
      <c r="B113" s="28" t="s">
        <v>6287</v>
      </c>
      <c r="C113" s="107" t="s">
        <v>260</v>
      </c>
      <c r="D113" s="107" t="s">
        <v>1337</v>
      </c>
      <c r="E113" s="28"/>
      <c r="F113" s="28" t="s">
        <v>7480</v>
      </c>
      <c r="G113" s="28"/>
      <c r="H113" s="28" t="s">
        <v>7482</v>
      </c>
      <c r="I113" s="28" t="s">
        <v>887</v>
      </c>
      <c r="J113" s="28" t="s">
        <v>7478</v>
      </c>
      <c r="K113" s="28" t="s">
        <v>7482</v>
      </c>
      <c r="L113" s="28"/>
      <c r="M113" s="28" t="s">
        <v>41</v>
      </c>
      <c r="N113" s="106"/>
      <c r="O113" s="101"/>
    </row>
    <row r="114" spans="1:15" ht="14.4">
      <c r="A114" s="28" t="s">
        <v>31</v>
      </c>
      <c r="B114" s="28" t="s">
        <v>6287</v>
      </c>
      <c r="C114" s="107" t="s">
        <v>260</v>
      </c>
      <c r="D114" s="107" t="s">
        <v>1337</v>
      </c>
      <c r="E114" s="28"/>
      <c r="F114" s="28" t="s">
        <v>7491</v>
      </c>
      <c r="G114" s="28"/>
      <c r="H114" s="28" t="s">
        <v>7492</v>
      </c>
      <c r="I114" s="28" t="s">
        <v>2714</v>
      </c>
      <c r="J114" s="28" t="s">
        <v>7493</v>
      </c>
      <c r="K114" s="28" t="s">
        <v>7492</v>
      </c>
      <c r="L114" s="28"/>
      <c r="M114" s="28" t="s">
        <v>41</v>
      </c>
      <c r="N114" s="106"/>
      <c r="O114" s="101"/>
    </row>
    <row r="115" spans="1:15" ht="14.4">
      <c r="A115" s="28" t="s">
        <v>31</v>
      </c>
      <c r="B115" s="28" t="s">
        <v>6287</v>
      </c>
      <c r="C115" s="107" t="s">
        <v>260</v>
      </c>
      <c r="D115" s="107" t="s">
        <v>1337</v>
      </c>
      <c r="E115" s="28"/>
      <c r="F115" s="28" t="s">
        <v>7497</v>
      </c>
      <c r="G115" s="28"/>
      <c r="H115" s="28" t="s">
        <v>7499</v>
      </c>
      <c r="I115" s="28" t="s">
        <v>887</v>
      </c>
      <c r="J115" s="28" t="s">
        <v>7470</v>
      </c>
      <c r="K115" s="28" t="s">
        <v>7499</v>
      </c>
      <c r="L115" s="28"/>
      <c r="M115" s="28" t="s">
        <v>41</v>
      </c>
      <c r="N115" s="106"/>
      <c r="O115" s="101"/>
    </row>
    <row r="116" spans="1:15" ht="14.4">
      <c r="A116" s="28" t="s">
        <v>31</v>
      </c>
      <c r="B116" s="28" t="s">
        <v>6287</v>
      </c>
      <c r="C116" s="107" t="s">
        <v>260</v>
      </c>
      <c r="D116" s="107" t="s">
        <v>1337</v>
      </c>
      <c r="E116" s="28"/>
      <c r="F116" s="28" t="s">
        <v>7505</v>
      </c>
      <c r="G116" s="28"/>
      <c r="H116" s="28" t="s">
        <v>7506</v>
      </c>
      <c r="I116" s="28" t="s">
        <v>887</v>
      </c>
      <c r="J116" s="28" t="s">
        <v>7478</v>
      </c>
      <c r="K116" s="28" t="s">
        <v>7506</v>
      </c>
      <c r="L116" s="28"/>
      <c r="M116" s="28" t="s">
        <v>41</v>
      </c>
      <c r="N116" s="106"/>
      <c r="O116" s="101"/>
    </row>
    <row r="117" spans="1:15" ht="14.4">
      <c r="A117" s="28" t="s">
        <v>31</v>
      </c>
      <c r="B117" s="28" t="s">
        <v>6287</v>
      </c>
      <c r="C117" s="107" t="s">
        <v>260</v>
      </c>
      <c r="D117" s="107" t="s">
        <v>1337</v>
      </c>
      <c r="E117" s="28"/>
      <c r="F117" s="28" t="s">
        <v>7511</v>
      </c>
      <c r="G117" s="28"/>
      <c r="H117" s="28" t="s">
        <v>7512</v>
      </c>
      <c r="I117" s="28" t="s">
        <v>887</v>
      </c>
      <c r="J117" s="28" t="s">
        <v>7493</v>
      </c>
      <c r="K117" s="28" t="s">
        <v>7512</v>
      </c>
      <c r="L117" s="28"/>
      <c r="M117" s="28" t="s">
        <v>41</v>
      </c>
      <c r="N117" s="106"/>
      <c r="O117" s="101"/>
    </row>
    <row r="118" spans="1:15" ht="14.4">
      <c r="A118" s="28" t="s">
        <v>31</v>
      </c>
      <c r="B118" s="28" t="s">
        <v>6287</v>
      </c>
      <c r="C118" s="107" t="s">
        <v>260</v>
      </c>
      <c r="D118" s="107" t="s">
        <v>1337</v>
      </c>
      <c r="E118" s="28"/>
      <c r="F118" s="28" t="s">
        <v>7517</v>
      </c>
      <c r="G118" s="28"/>
      <c r="H118" s="28" t="s">
        <v>7518</v>
      </c>
      <c r="I118" s="28" t="s">
        <v>887</v>
      </c>
      <c r="J118" s="28" t="s">
        <v>7478</v>
      </c>
      <c r="K118" s="28" t="s">
        <v>7518</v>
      </c>
      <c r="L118" s="28"/>
      <c r="M118" s="28" t="s">
        <v>41</v>
      </c>
      <c r="N118" s="106"/>
      <c r="O118" s="101"/>
    </row>
    <row r="119" spans="1:15" ht="14.4">
      <c r="A119" s="28" t="s">
        <v>31</v>
      </c>
      <c r="B119" s="28" t="s">
        <v>6287</v>
      </c>
      <c r="C119" s="107" t="s">
        <v>260</v>
      </c>
      <c r="D119" s="107" t="s">
        <v>1337</v>
      </c>
      <c r="E119" s="28"/>
      <c r="F119" s="28" t="s">
        <v>7522</v>
      </c>
      <c r="G119" s="28"/>
      <c r="H119" s="28" t="s">
        <v>6676</v>
      </c>
      <c r="I119" s="28" t="s">
        <v>2714</v>
      </c>
      <c r="J119" s="28" t="s">
        <v>7493</v>
      </c>
      <c r="K119" s="28" t="s">
        <v>6676</v>
      </c>
      <c r="L119" s="28"/>
      <c r="M119" s="28" t="s">
        <v>41</v>
      </c>
      <c r="N119" s="106"/>
      <c r="O119" s="101"/>
    </row>
    <row r="120" spans="1:15" ht="14.4">
      <c r="A120" s="28" t="s">
        <v>31</v>
      </c>
      <c r="B120" s="28" t="s">
        <v>6287</v>
      </c>
      <c r="C120" s="107" t="s">
        <v>260</v>
      </c>
      <c r="D120" s="107" t="s">
        <v>1337</v>
      </c>
      <c r="E120" s="28"/>
      <c r="F120" s="28" t="s">
        <v>7527</v>
      </c>
      <c r="G120" s="28"/>
      <c r="H120" s="28" t="s">
        <v>7529</v>
      </c>
      <c r="I120" s="28" t="s">
        <v>887</v>
      </c>
      <c r="J120" s="28" t="s">
        <v>7470</v>
      </c>
      <c r="K120" s="28" t="s">
        <v>7529</v>
      </c>
      <c r="L120" s="28"/>
      <c r="M120" s="28" t="s">
        <v>41</v>
      </c>
      <c r="N120" s="106"/>
      <c r="O120" s="101"/>
    </row>
    <row r="121" spans="1:15" ht="14.4">
      <c r="A121" s="28" t="s">
        <v>31</v>
      </c>
      <c r="B121" s="28" t="s">
        <v>6287</v>
      </c>
      <c r="C121" s="107" t="s">
        <v>260</v>
      </c>
      <c r="D121" s="107" t="s">
        <v>1337</v>
      </c>
      <c r="E121" s="28"/>
      <c r="F121" s="28" t="s">
        <v>7531</v>
      </c>
      <c r="G121" s="28"/>
      <c r="H121" s="28" t="s">
        <v>7533</v>
      </c>
      <c r="I121" s="28" t="s">
        <v>887</v>
      </c>
      <c r="J121" s="28" t="s">
        <v>7470</v>
      </c>
      <c r="K121" s="28" t="s">
        <v>7533</v>
      </c>
      <c r="L121" s="28"/>
      <c r="M121" s="28" t="s">
        <v>41</v>
      </c>
      <c r="N121" s="106"/>
      <c r="O121" s="101"/>
    </row>
    <row r="122" spans="1:15" ht="14.4">
      <c r="A122" s="28" t="s">
        <v>31</v>
      </c>
      <c r="B122" s="28" t="s">
        <v>6287</v>
      </c>
      <c r="C122" s="107" t="s">
        <v>260</v>
      </c>
      <c r="D122" s="107" t="s">
        <v>1337</v>
      </c>
      <c r="E122" s="28"/>
      <c r="F122" s="28" t="s">
        <v>7535</v>
      </c>
      <c r="G122" s="28"/>
      <c r="H122" s="28" t="s">
        <v>7537</v>
      </c>
      <c r="I122" s="28" t="s">
        <v>887</v>
      </c>
      <c r="J122" s="28" t="s">
        <v>7478</v>
      </c>
      <c r="K122" s="28" t="s">
        <v>7537</v>
      </c>
      <c r="L122" s="28"/>
      <c r="M122" s="28" t="s">
        <v>41</v>
      </c>
      <c r="N122" s="106"/>
      <c r="O122" s="101"/>
    </row>
    <row r="123" spans="1:15" ht="14.4">
      <c r="A123" s="28" t="s">
        <v>31</v>
      </c>
      <c r="B123" s="28" t="s">
        <v>6287</v>
      </c>
      <c r="C123" s="107" t="s">
        <v>260</v>
      </c>
      <c r="D123" s="107" t="s">
        <v>1337</v>
      </c>
      <c r="E123" s="28"/>
      <c r="F123" s="28" t="s">
        <v>7541</v>
      </c>
      <c r="G123" s="28"/>
      <c r="H123" s="28" t="s">
        <v>7542</v>
      </c>
      <c r="I123" s="28" t="s">
        <v>887</v>
      </c>
      <c r="J123" s="28" t="s">
        <v>7478</v>
      </c>
      <c r="K123" s="28" t="s">
        <v>7542</v>
      </c>
      <c r="L123" s="28"/>
      <c r="M123" s="28" t="s">
        <v>41</v>
      </c>
      <c r="N123" s="106"/>
      <c r="O123" s="101"/>
    </row>
    <row r="124" spans="1:15" ht="14.4">
      <c r="A124" s="28" t="s">
        <v>31</v>
      </c>
      <c r="B124" s="28" t="s">
        <v>6287</v>
      </c>
      <c r="C124" s="107" t="s">
        <v>260</v>
      </c>
      <c r="D124" s="107" t="s">
        <v>1337</v>
      </c>
      <c r="E124" s="28"/>
      <c r="F124" s="28" t="s">
        <v>7547</v>
      </c>
      <c r="G124" s="28"/>
      <c r="H124" s="28" t="s">
        <v>7549</v>
      </c>
      <c r="I124" s="28" t="s">
        <v>2714</v>
      </c>
      <c r="J124" s="28" t="s">
        <v>7470</v>
      </c>
      <c r="K124" s="28" t="s">
        <v>7549</v>
      </c>
      <c r="L124" s="28"/>
      <c r="M124" s="28" t="s">
        <v>41</v>
      </c>
      <c r="N124" s="106"/>
      <c r="O124" s="101"/>
    </row>
    <row r="125" spans="1:15" ht="14.4">
      <c r="A125" s="28" t="s">
        <v>31</v>
      </c>
      <c r="B125" s="28" t="s">
        <v>6287</v>
      </c>
      <c r="C125" s="107" t="s">
        <v>260</v>
      </c>
      <c r="D125" s="107" t="s">
        <v>1337</v>
      </c>
      <c r="E125" s="28"/>
      <c r="F125" s="28" t="s">
        <v>7552</v>
      </c>
      <c r="G125" s="28"/>
      <c r="H125" s="28" t="s">
        <v>7553</v>
      </c>
      <c r="I125" s="28" t="s">
        <v>2714</v>
      </c>
      <c r="J125" s="28" t="s">
        <v>7478</v>
      </c>
      <c r="K125" s="28" t="s">
        <v>7553</v>
      </c>
      <c r="L125" s="28"/>
      <c r="M125" s="28" t="s">
        <v>41</v>
      </c>
      <c r="N125" s="106"/>
      <c r="O125" s="101"/>
    </row>
    <row r="126" spans="1:15" ht="14.4">
      <c r="A126" s="28" t="s">
        <v>31</v>
      </c>
      <c r="B126" s="28" t="s">
        <v>6287</v>
      </c>
      <c r="C126" s="107" t="s">
        <v>260</v>
      </c>
      <c r="D126" s="107" t="s">
        <v>1337</v>
      </c>
      <c r="E126" s="28"/>
      <c r="F126" s="28" t="s">
        <v>7556</v>
      </c>
      <c r="G126" s="28"/>
      <c r="H126" s="28" t="s">
        <v>7557</v>
      </c>
      <c r="I126" s="28" t="s">
        <v>887</v>
      </c>
      <c r="J126" s="28" t="s">
        <v>7493</v>
      </c>
      <c r="K126" s="28" t="s">
        <v>7557</v>
      </c>
      <c r="L126" s="28"/>
      <c r="M126" s="28" t="s">
        <v>41</v>
      </c>
      <c r="N126" s="106"/>
      <c r="O126" s="101"/>
    </row>
    <row r="127" spans="1:15" ht="14.4">
      <c r="A127" s="28" t="s">
        <v>31</v>
      </c>
      <c r="B127" s="28" t="s">
        <v>6287</v>
      </c>
      <c r="C127" s="107" t="s">
        <v>260</v>
      </c>
      <c r="D127" s="107" t="s">
        <v>1337</v>
      </c>
      <c r="E127" s="28"/>
      <c r="F127" s="28" t="s">
        <v>7561</v>
      </c>
      <c r="G127" s="28"/>
      <c r="H127" s="28" t="s">
        <v>7562</v>
      </c>
      <c r="I127" s="28" t="s">
        <v>887</v>
      </c>
      <c r="J127" s="28" t="s">
        <v>7493</v>
      </c>
      <c r="K127" s="28" t="s">
        <v>7562</v>
      </c>
      <c r="L127" s="28"/>
      <c r="M127" s="28" t="s">
        <v>41</v>
      </c>
      <c r="N127" s="106"/>
      <c r="O127" s="101"/>
    </row>
    <row r="128" spans="1:15" ht="14.4">
      <c r="A128" s="28" t="s">
        <v>31</v>
      </c>
      <c r="B128" s="28" t="s">
        <v>6287</v>
      </c>
      <c r="C128" s="107" t="s">
        <v>260</v>
      </c>
      <c r="D128" s="107" t="s">
        <v>1337</v>
      </c>
      <c r="E128" s="28"/>
      <c r="F128" s="28" t="s">
        <v>7565</v>
      </c>
      <c r="G128" s="28"/>
      <c r="H128" s="28" t="s">
        <v>7566</v>
      </c>
      <c r="I128" s="28" t="s">
        <v>521</v>
      </c>
      <c r="J128" s="28" t="s">
        <v>7478</v>
      </c>
      <c r="K128" s="28" t="s">
        <v>7566</v>
      </c>
      <c r="L128" s="28"/>
      <c r="M128" s="28" t="s">
        <v>41</v>
      </c>
      <c r="N128" s="106"/>
      <c r="O128" s="101"/>
    </row>
    <row r="129" spans="1:15" ht="14.4">
      <c r="A129" s="28" t="s">
        <v>31</v>
      </c>
      <c r="B129" s="28" t="s">
        <v>6287</v>
      </c>
      <c r="C129" s="107" t="s">
        <v>260</v>
      </c>
      <c r="D129" s="107" t="s">
        <v>1337</v>
      </c>
      <c r="E129" s="28"/>
      <c r="F129" s="28" t="s">
        <v>7570</v>
      </c>
      <c r="G129" s="28"/>
      <c r="H129" s="28" t="s">
        <v>7571</v>
      </c>
      <c r="I129" s="28" t="s">
        <v>2714</v>
      </c>
      <c r="J129" s="28" t="s">
        <v>7493</v>
      </c>
      <c r="K129" s="28" t="s">
        <v>7571</v>
      </c>
      <c r="L129" s="28"/>
      <c r="M129" s="28" t="s">
        <v>41</v>
      </c>
      <c r="N129" s="106"/>
      <c r="O129" s="101"/>
    </row>
    <row r="130" spans="1:15" ht="14.4">
      <c r="A130" s="28" t="s">
        <v>31</v>
      </c>
      <c r="B130" s="28" t="s">
        <v>6287</v>
      </c>
      <c r="C130" s="107" t="s">
        <v>260</v>
      </c>
      <c r="D130" s="107" t="s">
        <v>1337</v>
      </c>
      <c r="E130" s="28"/>
      <c r="F130" s="28" t="s">
        <v>7573</v>
      </c>
      <c r="G130" s="28"/>
      <c r="H130" s="28" t="s">
        <v>7574</v>
      </c>
      <c r="I130" s="28" t="s">
        <v>887</v>
      </c>
      <c r="J130" s="28" t="s">
        <v>7493</v>
      </c>
      <c r="K130" s="28" t="s">
        <v>7574</v>
      </c>
      <c r="L130" s="28"/>
      <c r="M130" s="28" t="s">
        <v>41</v>
      </c>
      <c r="N130" s="106"/>
      <c r="O130" s="101"/>
    </row>
    <row r="131" spans="1:15" ht="14.4">
      <c r="A131" s="28" t="s">
        <v>31</v>
      </c>
      <c r="B131" s="28" t="s">
        <v>6287</v>
      </c>
      <c r="C131" s="107" t="s">
        <v>260</v>
      </c>
      <c r="D131" s="107" t="s">
        <v>1337</v>
      </c>
      <c r="E131" s="28"/>
      <c r="F131" s="28" t="s">
        <v>7576</v>
      </c>
      <c r="G131" s="28"/>
      <c r="H131" s="28" t="s">
        <v>7577</v>
      </c>
      <c r="I131" s="28" t="s">
        <v>887</v>
      </c>
      <c r="J131" s="28" t="s">
        <v>7493</v>
      </c>
      <c r="K131" s="28" t="s">
        <v>7577</v>
      </c>
      <c r="L131" s="28"/>
      <c r="M131" s="28" t="s">
        <v>41</v>
      </c>
      <c r="N131" s="106"/>
      <c r="O131" s="101"/>
    </row>
    <row r="132" spans="1:15" ht="14.4">
      <c r="A132" s="28" t="s">
        <v>31</v>
      </c>
      <c r="B132" s="28" t="s">
        <v>6287</v>
      </c>
      <c r="C132" s="107" t="s">
        <v>260</v>
      </c>
      <c r="D132" s="107" t="s">
        <v>1337</v>
      </c>
      <c r="E132" s="28"/>
      <c r="F132" s="28" t="s">
        <v>7580</v>
      </c>
      <c r="G132" s="28"/>
      <c r="H132" s="28" t="s">
        <v>7581</v>
      </c>
      <c r="I132" s="28" t="s">
        <v>521</v>
      </c>
      <c r="J132" s="28" t="s">
        <v>7493</v>
      </c>
      <c r="K132" s="28" t="s">
        <v>7581</v>
      </c>
      <c r="L132" s="28"/>
      <c r="M132" s="28" t="s">
        <v>41</v>
      </c>
      <c r="N132" s="106"/>
      <c r="O132" s="101"/>
    </row>
    <row r="133" spans="1:15" ht="14.4">
      <c r="A133" s="28" t="s">
        <v>31</v>
      </c>
      <c r="B133" s="28" t="s">
        <v>6287</v>
      </c>
      <c r="C133" s="107" t="s">
        <v>260</v>
      </c>
      <c r="D133" s="107" t="s">
        <v>1337</v>
      </c>
      <c r="E133" s="28"/>
      <c r="F133" s="28" t="s">
        <v>7584</v>
      </c>
      <c r="G133" s="28"/>
      <c r="H133" s="28" t="s">
        <v>7585</v>
      </c>
      <c r="I133" s="28" t="s">
        <v>887</v>
      </c>
      <c r="J133" s="28" t="s">
        <v>7478</v>
      </c>
      <c r="K133" s="28" t="s">
        <v>7585</v>
      </c>
      <c r="L133" s="28"/>
      <c r="M133" s="28" t="s">
        <v>41</v>
      </c>
      <c r="N133" s="106"/>
      <c r="O133" s="101"/>
    </row>
    <row r="134" spans="1:15" ht="14.4">
      <c r="A134" s="28" t="s">
        <v>31</v>
      </c>
      <c r="B134" s="28" t="s">
        <v>6287</v>
      </c>
      <c r="C134" s="107" t="s">
        <v>260</v>
      </c>
      <c r="D134" s="107" t="s">
        <v>1337</v>
      </c>
      <c r="E134" s="28"/>
      <c r="F134" s="28" t="s">
        <v>7588</v>
      </c>
      <c r="G134" s="28"/>
      <c r="H134" s="28" t="s">
        <v>7589</v>
      </c>
      <c r="I134" s="28" t="s">
        <v>2714</v>
      </c>
      <c r="J134" s="28" t="s">
        <v>7478</v>
      </c>
      <c r="K134" s="28" t="s">
        <v>7589</v>
      </c>
      <c r="L134" s="28"/>
      <c r="M134" s="28" t="s">
        <v>41</v>
      </c>
      <c r="N134" s="106"/>
      <c r="O134" s="101"/>
    </row>
    <row r="135" spans="1:15" ht="14.4">
      <c r="A135" s="28" t="s">
        <v>31</v>
      </c>
      <c r="B135" s="28" t="s">
        <v>6287</v>
      </c>
      <c r="C135" s="107" t="s">
        <v>260</v>
      </c>
      <c r="D135" s="107" t="s">
        <v>1337</v>
      </c>
      <c r="E135" s="28"/>
      <c r="F135" s="28" t="s">
        <v>7592</v>
      </c>
      <c r="G135" s="28"/>
      <c r="H135" s="28" t="s">
        <v>7594</v>
      </c>
      <c r="I135" s="28" t="s">
        <v>887</v>
      </c>
      <c r="J135" s="28" t="s">
        <v>7470</v>
      </c>
      <c r="K135" s="28" t="s">
        <v>7594</v>
      </c>
      <c r="L135" s="28"/>
      <c r="M135" s="28" t="s">
        <v>41</v>
      </c>
      <c r="N135" s="106"/>
      <c r="O135" s="101"/>
    </row>
    <row r="136" spans="1:15" ht="14.4">
      <c r="A136" s="28" t="s">
        <v>31</v>
      </c>
      <c r="B136" s="28" t="s">
        <v>6287</v>
      </c>
      <c r="C136" s="107" t="s">
        <v>260</v>
      </c>
      <c r="D136" s="107" t="s">
        <v>1337</v>
      </c>
      <c r="E136" s="28"/>
      <c r="F136" s="28" t="s">
        <v>7597</v>
      </c>
      <c r="G136" s="28"/>
      <c r="H136" s="28" t="s">
        <v>7598</v>
      </c>
      <c r="I136" s="28" t="s">
        <v>887</v>
      </c>
      <c r="J136" s="28" t="s">
        <v>7493</v>
      </c>
      <c r="K136" s="28" t="s">
        <v>7598</v>
      </c>
      <c r="L136" s="28"/>
      <c r="M136" s="28" t="s">
        <v>41</v>
      </c>
      <c r="N136" s="106"/>
      <c r="O136" s="101"/>
    </row>
    <row r="137" spans="1:15" ht="14.4">
      <c r="A137" s="28" t="s">
        <v>31</v>
      </c>
      <c r="B137" s="28" t="s">
        <v>6287</v>
      </c>
      <c r="C137" s="107" t="s">
        <v>260</v>
      </c>
      <c r="D137" s="107" t="s">
        <v>1337</v>
      </c>
      <c r="E137" s="28"/>
      <c r="F137" s="28" t="s">
        <v>7602</v>
      </c>
      <c r="G137" s="28"/>
      <c r="H137" s="28" t="s">
        <v>7604</v>
      </c>
      <c r="I137" s="28" t="s">
        <v>2714</v>
      </c>
      <c r="J137" s="28" t="s">
        <v>7470</v>
      </c>
      <c r="K137" s="28" t="s">
        <v>7604</v>
      </c>
      <c r="L137" s="28"/>
      <c r="M137" s="28" t="s">
        <v>41</v>
      </c>
      <c r="N137" s="106"/>
      <c r="O137" s="101"/>
    </row>
    <row r="138" spans="1:15" ht="14.4">
      <c r="A138" s="28" t="s">
        <v>31</v>
      </c>
      <c r="B138" s="28" t="s">
        <v>6287</v>
      </c>
      <c r="C138" s="107" t="s">
        <v>260</v>
      </c>
      <c r="D138" s="107" t="s">
        <v>1337</v>
      </c>
      <c r="E138" s="28"/>
      <c r="F138" s="28" t="s">
        <v>7606</v>
      </c>
      <c r="G138" s="28"/>
      <c r="H138" s="28" t="s">
        <v>7607</v>
      </c>
      <c r="I138" s="28" t="s">
        <v>7609</v>
      </c>
      <c r="J138" s="28" t="s">
        <v>7478</v>
      </c>
      <c r="K138" s="28" t="s">
        <v>7607</v>
      </c>
      <c r="L138" s="28"/>
      <c r="M138" s="28" t="s">
        <v>41</v>
      </c>
      <c r="N138" s="106"/>
      <c r="O138" s="101"/>
    </row>
    <row r="139" spans="1:15" ht="14.4">
      <c r="A139" s="28" t="s">
        <v>31</v>
      </c>
      <c r="B139" s="28" t="s">
        <v>6287</v>
      </c>
      <c r="C139" s="107" t="s">
        <v>260</v>
      </c>
      <c r="D139" s="107" t="s">
        <v>1337</v>
      </c>
      <c r="E139" s="28"/>
      <c r="F139" s="28" t="s">
        <v>7611</v>
      </c>
      <c r="G139" s="28"/>
      <c r="H139" s="28" t="s">
        <v>7612</v>
      </c>
      <c r="I139" s="28" t="s">
        <v>887</v>
      </c>
      <c r="J139" s="28" t="s">
        <v>7478</v>
      </c>
      <c r="K139" s="28" t="s">
        <v>7612</v>
      </c>
      <c r="L139" s="28"/>
      <c r="M139" s="28" t="s">
        <v>41</v>
      </c>
      <c r="N139" s="106"/>
      <c r="O139" s="101"/>
    </row>
    <row r="140" spans="1:15" ht="14.4">
      <c r="A140" s="28" t="s">
        <v>31</v>
      </c>
      <c r="B140" s="28" t="s">
        <v>6287</v>
      </c>
      <c r="C140" s="107" t="s">
        <v>260</v>
      </c>
      <c r="D140" s="107" t="s">
        <v>1337</v>
      </c>
      <c r="E140" s="28"/>
      <c r="F140" s="28" t="s">
        <v>7616</v>
      </c>
      <c r="G140" s="28"/>
      <c r="H140" s="28" t="s">
        <v>7617</v>
      </c>
      <c r="I140" s="28" t="s">
        <v>887</v>
      </c>
      <c r="J140" s="28" t="s">
        <v>7470</v>
      </c>
      <c r="K140" s="28" t="s">
        <v>7617</v>
      </c>
      <c r="L140" s="28"/>
      <c r="M140" s="28" t="s">
        <v>41</v>
      </c>
      <c r="N140" s="106"/>
      <c r="O140" s="101"/>
    </row>
    <row r="141" spans="1:15" ht="14.4">
      <c r="A141" s="28" t="s">
        <v>31</v>
      </c>
      <c r="B141" s="28" t="s">
        <v>6287</v>
      </c>
      <c r="C141" s="107" t="s">
        <v>260</v>
      </c>
      <c r="D141" s="107" t="s">
        <v>1337</v>
      </c>
      <c r="E141" s="28"/>
      <c r="F141" s="28" t="s">
        <v>7620</v>
      </c>
      <c r="G141" s="28"/>
      <c r="H141" s="28" t="s">
        <v>7621</v>
      </c>
      <c r="I141" s="28" t="s">
        <v>887</v>
      </c>
      <c r="J141" s="28" t="s">
        <v>7470</v>
      </c>
      <c r="K141" s="28" t="s">
        <v>7621</v>
      </c>
      <c r="L141" s="28"/>
      <c r="M141" s="28" t="s">
        <v>41</v>
      </c>
      <c r="N141" s="106"/>
      <c r="O141" s="101"/>
    </row>
    <row r="142" spans="1:15" ht="14.4">
      <c r="A142" s="28" t="s">
        <v>31</v>
      </c>
      <c r="B142" s="28" t="s">
        <v>6287</v>
      </c>
      <c r="C142" s="107" t="s">
        <v>260</v>
      </c>
      <c r="D142" s="107" t="s">
        <v>1337</v>
      </c>
      <c r="E142" s="28"/>
      <c r="F142" s="28" t="s">
        <v>7623</v>
      </c>
      <c r="G142" s="28"/>
      <c r="H142" s="28" t="s">
        <v>7625</v>
      </c>
      <c r="I142" s="28" t="s">
        <v>887</v>
      </c>
      <c r="J142" s="28" t="s">
        <v>7470</v>
      </c>
      <c r="K142" s="28" t="s">
        <v>7625</v>
      </c>
      <c r="L142" s="28"/>
      <c r="M142" s="28" t="s">
        <v>41</v>
      </c>
      <c r="N142" s="106"/>
      <c r="O142" s="101"/>
    </row>
    <row r="143" spans="1:15" ht="14.4">
      <c r="A143" s="28" t="s">
        <v>31</v>
      </c>
      <c r="B143" s="28" t="s">
        <v>6287</v>
      </c>
      <c r="C143" s="107" t="s">
        <v>260</v>
      </c>
      <c r="D143" s="107" t="s">
        <v>1337</v>
      </c>
      <c r="E143" s="28"/>
      <c r="F143" s="28" t="s">
        <v>7626</v>
      </c>
      <c r="G143" s="28"/>
      <c r="H143" s="28" t="s">
        <v>7627</v>
      </c>
      <c r="I143" s="28" t="s">
        <v>2714</v>
      </c>
      <c r="J143" s="28" t="s">
        <v>7470</v>
      </c>
      <c r="K143" s="28" t="s">
        <v>7627</v>
      </c>
      <c r="L143" s="28"/>
      <c r="M143" s="28" t="s">
        <v>41</v>
      </c>
      <c r="N143" s="106"/>
      <c r="O143" s="101"/>
    </row>
    <row r="144" spans="1:15" ht="14.4">
      <c r="A144" s="28" t="s">
        <v>31</v>
      </c>
      <c r="B144" s="28" t="s">
        <v>6287</v>
      </c>
      <c r="C144" s="107" t="s">
        <v>260</v>
      </c>
      <c r="D144" s="107" t="s">
        <v>1337</v>
      </c>
      <c r="E144" s="28"/>
      <c r="F144" s="28" t="s">
        <v>7630</v>
      </c>
      <c r="G144" s="28"/>
      <c r="H144" s="28" t="s">
        <v>7631</v>
      </c>
      <c r="I144" s="28" t="s">
        <v>887</v>
      </c>
      <c r="J144" s="28" t="s">
        <v>7493</v>
      </c>
      <c r="K144" s="28" t="s">
        <v>7631</v>
      </c>
      <c r="L144" s="28"/>
      <c r="M144" s="28" t="s">
        <v>41</v>
      </c>
      <c r="N144" s="106"/>
      <c r="O144" s="101"/>
    </row>
    <row r="145" spans="1:15" ht="14.4">
      <c r="A145" s="28" t="s">
        <v>31</v>
      </c>
      <c r="B145" s="28" t="s">
        <v>6287</v>
      </c>
      <c r="C145" s="107" t="s">
        <v>260</v>
      </c>
      <c r="D145" s="107" t="s">
        <v>1337</v>
      </c>
      <c r="E145" s="28"/>
      <c r="F145" s="28" t="s">
        <v>7634</v>
      </c>
      <c r="G145" s="28"/>
      <c r="H145" s="28" t="s">
        <v>7635</v>
      </c>
      <c r="I145" s="28" t="s">
        <v>2714</v>
      </c>
      <c r="J145" s="28" t="s">
        <v>7493</v>
      </c>
      <c r="K145" s="28" t="s">
        <v>7635</v>
      </c>
      <c r="L145" s="28"/>
      <c r="M145" s="28" t="s">
        <v>41</v>
      </c>
      <c r="N145" s="106"/>
      <c r="O145" s="101"/>
    </row>
    <row r="146" spans="1:15" ht="14.4">
      <c r="A146" s="28" t="s">
        <v>31</v>
      </c>
      <c r="B146" s="28" t="s">
        <v>6287</v>
      </c>
      <c r="C146" s="107" t="s">
        <v>260</v>
      </c>
      <c r="D146" s="107" t="s">
        <v>1337</v>
      </c>
      <c r="E146" s="28"/>
      <c r="F146" s="28" t="s">
        <v>7637</v>
      </c>
      <c r="G146" s="28"/>
      <c r="H146" s="28" t="s">
        <v>7639</v>
      </c>
      <c r="I146" s="28" t="s">
        <v>887</v>
      </c>
      <c r="J146" s="28" t="s">
        <v>7470</v>
      </c>
      <c r="K146" s="28" t="s">
        <v>7639</v>
      </c>
      <c r="L146" s="28"/>
      <c r="M146" s="28" t="s">
        <v>41</v>
      </c>
      <c r="N146" s="106"/>
      <c r="O146" s="101"/>
    </row>
    <row r="147" spans="1:15" ht="14.4">
      <c r="A147" s="28" t="s">
        <v>31</v>
      </c>
      <c r="B147" s="29" t="s">
        <v>6709</v>
      </c>
      <c r="C147" s="28" t="s">
        <v>260</v>
      </c>
      <c r="D147" s="107" t="s">
        <v>1337</v>
      </c>
      <c r="E147" s="28"/>
      <c r="F147" s="28" t="s">
        <v>7643</v>
      </c>
      <c r="G147" s="28"/>
      <c r="H147" s="28" t="s">
        <v>7644</v>
      </c>
      <c r="I147" s="28" t="s">
        <v>2714</v>
      </c>
      <c r="J147" s="28"/>
      <c r="K147" s="29" t="s">
        <v>7644</v>
      </c>
      <c r="L147" s="28"/>
      <c r="M147" s="28" t="s">
        <v>41</v>
      </c>
      <c r="N147" s="106"/>
      <c r="O147" s="101"/>
    </row>
    <row r="148" spans="1:15" ht="14.4">
      <c r="A148" s="28" t="s">
        <v>31</v>
      </c>
      <c r="B148" s="29" t="s">
        <v>6709</v>
      </c>
      <c r="C148" s="28" t="s">
        <v>260</v>
      </c>
      <c r="D148" s="107" t="s">
        <v>1337</v>
      </c>
      <c r="E148" s="28"/>
      <c r="F148" s="28" t="s">
        <v>7648</v>
      </c>
      <c r="G148" s="28"/>
      <c r="H148" s="28" t="s">
        <v>6884</v>
      </c>
      <c r="I148" s="28" t="s">
        <v>6886</v>
      </c>
      <c r="J148" s="28"/>
      <c r="K148" s="29" t="s">
        <v>6884</v>
      </c>
      <c r="L148" s="28"/>
      <c r="M148" s="28" t="s">
        <v>41</v>
      </c>
      <c r="N148" s="106"/>
      <c r="O148" s="101"/>
    </row>
    <row r="149" spans="1:15" ht="14.4">
      <c r="A149" s="28" t="s">
        <v>31</v>
      </c>
      <c r="B149" s="29" t="s">
        <v>6709</v>
      </c>
      <c r="C149" s="28" t="s">
        <v>260</v>
      </c>
      <c r="D149" s="107" t="s">
        <v>1337</v>
      </c>
      <c r="E149" s="28"/>
      <c r="F149" s="28" t="s">
        <v>7650</v>
      </c>
      <c r="G149" s="28"/>
      <c r="H149" s="28" t="s">
        <v>7651</v>
      </c>
      <c r="I149" s="28" t="s">
        <v>7652</v>
      </c>
      <c r="J149" s="28"/>
      <c r="K149" s="29" t="s">
        <v>7651</v>
      </c>
      <c r="L149" s="28"/>
      <c r="M149" s="28" t="s">
        <v>41</v>
      </c>
      <c r="N149" s="106"/>
      <c r="O149" s="101"/>
    </row>
    <row r="150" spans="1:15" ht="14.4">
      <c r="A150" s="28" t="s">
        <v>31</v>
      </c>
      <c r="B150" s="29" t="s">
        <v>6709</v>
      </c>
      <c r="C150" s="28" t="s">
        <v>260</v>
      </c>
      <c r="D150" s="107" t="s">
        <v>1337</v>
      </c>
      <c r="E150" s="28"/>
      <c r="F150" s="28" t="s">
        <v>7654</v>
      </c>
      <c r="G150" s="28"/>
      <c r="H150" s="28" t="s">
        <v>7656</v>
      </c>
      <c r="I150" s="28" t="s">
        <v>887</v>
      </c>
      <c r="J150" s="28"/>
      <c r="K150" s="29" t="s">
        <v>7656</v>
      </c>
      <c r="L150" s="28"/>
      <c r="M150" s="28" t="s">
        <v>41</v>
      </c>
      <c r="N150" s="106"/>
      <c r="O150" s="101"/>
    </row>
    <row r="151" spans="1:15" ht="14.4">
      <c r="A151" s="28" t="s">
        <v>31</v>
      </c>
      <c r="B151" s="29" t="s">
        <v>6709</v>
      </c>
      <c r="C151" s="28" t="s">
        <v>260</v>
      </c>
      <c r="D151" s="107" t="s">
        <v>1337</v>
      </c>
      <c r="E151" s="28"/>
      <c r="F151" s="28" t="s">
        <v>7659</v>
      </c>
      <c r="G151" s="28"/>
      <c r="H151" s="28" t="s">
        <v>7660</v>
      </c>
      <c r="I151" s="28" t="s">
        <v>887</v>
      </c>
      <c r="J151" s="28"/>
      <c r="K151" s="29" t="s">
        <v>7660</v>
      </c>
      <c r="L151" s="28"/>
      <c r="M151" s="28" t="s">
        <v>41</v>
      </c>
      <c r="N151" s="106"/>
      <c r="O151" s="101"/>
    </row>
    <row r="152" spans="1:15" ht="14.4">
      <c r="A152" s="28" t="s">
        <v>31</v>
      </c>
      <c r="B152" s="29" t="s">
        <v>6709</v>
      </c>
      <c r="C152" s="28" t="s">
        <v>260</v>
      </c>
      <c r="D152" s="107" t="s">
        <v>1337</v>
      </c>
      <c r="E152" s="28"/>
      <c r="F152" s="28" t="s">
        <v>7663</v>
      </c>
      <c r="G152" s="28"/>
      <c r="H152" s="28" t="s">
        <v>7665</v>
      </c>
      <c r="I152" s="28" t="s">
        <v>887</v>
      </c>
      <c r="J152" s="28"/>
      <c r="K152" s="29" t="s">
        <v>7665</v>
      </c>
      <c r="L152" s="28"/>
      <c r="M152" s="28" t="s">
        <v>41</v>
      </c>
      <c r="N152" s="106"/>
      <c r="O152" s="101"/>
    </row>
    <row r="153" spans="1:15" ht="14.4">
      <c r="A153" s="28" t="s">
        <v>31</v>
      </c>
      <c r="B153" s="29" t="s">
        <v>6709</v>
      </c>
      <c r="C153" s="28" t="s">
        <v>260</v>
      </c>
      <c r="D153" s="107" t="s">
        <v>1337</v>
      </c>
      <c r="E153" s="28"/>
      <c r="F153" s="28" t="s">
        <v>7666</v>
      </c>
      <c r="G153" s="28"/>
      <c r="H153" s="28" t="s">
        <v>7667</v>
      </c>
      <c r="I153" s="28" t="s">
        <v>898</v>
      </c>
      <c r="J153" s="28"/>
      <c r="K153" s="29" t="s">
        <v>7667</v>
      </c>
      <c r="L153" s="28"/>
      <c r="M153" s="28" t="s">
        <v>41</v>
      </c>
      <c r="N153" s="106"/>
      <c r="O153" s="101"/>
    </row>
    <row r="154" spans="1:15" ht="14.4">
      <c r="A154" s="28" t="s">
        <v>31</v>
      </c>
      <c r="B154" s="29" t="s">
        <v>6709</v>
      </c>
      <c r="C154" s="28" t="s">
        <v>260</v>
      </c>
      <c r="D154" s="107" t="s">
        <v>1337</v>
      </c>
      <c r="E154" s="28"/>
      <c r="F154" s="28" t="s">
        <v>7671</v>
      </c>
      <c r="G154" s="28"/>
      <c r="H154" s="28" t="s">
        <v>7672</v>
      </c>
      <c r="I154" s="28" t="s">
        <v>887</v>
      </c>
      <c r="J154" s="28"/>
      <c r="K154" s="29" t="s">
        <v>7672</v>
      </c>
      <c r="L154" s="28"/>
      <c r="M154" s="28" t="s">
        <v>41</v>
      </c>
      <c r="N154" s="106"/>
      <c r="O154" s="101"/>
    </row>
    <row r="155" spans="1:15" ht="14.4">
      <c r="A155" s="28" t="s">
        <v>31</v>
      </c>
      <c r="B155" s="29" t="s">
        <v>6709</v>
      </c>
      <c r="C155" s="28" t="s">
        <v>260</v>
      </c>
      <c r="D155" s="107" t="s">
        <v>1337</v>
      </c>
      <c r="E155" s="28"/>
      <c r="F155" s="28" t="s">
        <v>7676</v>
      </c>
      <c r="G155" s="28"/>
      <c r="H155" s="28" t="s">
        <v>7677</v>
      </c>
      <c r="I155" s="28" t="s">
        <v>887</v>
      </c>
      <c r="J155" s="28"/>
      <c r="K155" s="29" t="s">
        <v>7677</v>
      </c>
      <c r="L155" s="28"/>
      <c r="M155" s="28" t="s">
        <v>41</v>
      </c>
      <c r="N155" s="106"/>
      <c r="O155" s="101"/>
    </row>
    <row r="156" spans="1:15" ht="14.4">
      <c r="A156" s="28" t="s">
        <v>31</v>
      </c>
      <c r="B156" s="29" t="s">
        <v>6709</v>
      </c>
      <c r="C156" s="28" t="s">
        <v>260</v>
      </c>
      <c r="D156" s="107" t="s">
        <v>1337</v>
      </c>
      <c r="E156" s="28"/>
      <c r="F156" s="28" t="s">
        <v>7679</v>
      </c>
      <c r="G156" s="28"/>
      <c r="H156" s="28" t="s">
        <v>7680</v>
      </c>
      <c r="I156" s="28" t="s">
        <v>887</v>
      </c>
      <c r="J156" s="28"/>
      <c r="K156" s="29" t="s">
        <v>7680</v>
      </c>
      <c r="L156" s="28"/>
      <c r="M156" s="28" t="s">
        <v>41</v>
      </c>
      <c r="N156" s="106"/>
      <c r="O156" s="101"/>
    </row>
    <row r="157" spans="1:15" ht="14.4">
      <c r="A157" s="28" t="s">
        <v>31</v>
      </c>
      <c r="B157" s="29" t="s">
        <v>6709</v>
      </c>
      <c r="C157" s="28" t="s">
        <v>260</v>
      </c>
      <c r="D157" s="107" t="s">
        <v>1337</v>
      </c>
      <c r="E157" s="28"/>
      <c r="F157" s="28" t="s">
        <v>7683</v>
      </c>
      <c r="G157" s="28"/>
      <c r="H157" s="28" t="s">
        <v>7684</v>
      </c>
      <c r="I157" s="28" t="s">
        <v>887</v>
      </c>
      <c r="J157" s="28"/>
      <c r="K157" s="29" t="s">
        <v>7684</v>
      </c>
      <c r="L157" s="28"/>
      <c r="M157" s="28" t="s">
        <v>41</v>
      </c>
      <c r="N157" s="106"/>
      <c r="O157" s="101"/>
    </row>
    <row r="158" spans="1:15" ht="14.4">
      <c r="A158" s="28" t="s">
        <v>31</v>
      </c>
      <c r="B158" s="29" t="s">
        <v>6709</v>
      </c>
      <c r="C158" s="28" t="s">
        <v>260</v>
      </c>
      <c r="D158" s="107" t="s">
        <v>1337</v>
      </c>
      <c r="E158" s="28"/>
      <c r="F158" s="28" t="s">
        <v>7687</v>
      </c>
      <c r="G158" s="28"/>
      <c r="H158" s="28" t="s">
        <v>7689</v>
      </c>
      <c r="I158" s="28" t="s">
        <v>887</v>
      </c>
      <c r="J158" s="28"/>
      <c r="K158" s="29" t="s">
        <v>7689</v>
      </c>
      <c r="L158" s="28"/>
      <c r="M158" s="28" t="s">
        <v>41</v>
      </c>
      <c r="N158" s="106"/>
      <c r="O158" s="101"/>
    </row>
    <row r="159" spans="1:15" ht="14.4">
      <c r="A159" s="28" t="s">
        <v>31</v>
      </c>
      <c r="B159" s="29" t="s">
        <v>6709</v>
      </c>
      <c r="C159" s="28" t="s">
        <v>260</v>
      </c>
      <c r="D159" s="107" t="s">
        <v>1337</v>
      </c>
      <c r="E159" s="28"/>
      <c r="F159" s="28" t="s">
        <v>7692</v>
      </c>
      <c r="G159" s="28"/>
      <c r="H159" s="28" t="s">
        <v>7693</v>
      </c>
      <c r="I159" s="28" t="s">
        <v>887</v>
      </c>
      <c r="J159" s="28"/>
      <c r="K159" s="29" t="s">
        <v>7693</v>
      </c>
      <c r="L159" s="28"/>
      <c r="M159" s="28" t="s">
        <v>41</v>
      </c>
      <c r="N159" s="106"/>
      <c r="O159" s="101"/>
    </row>
    <row r="160" spans="1:15" ht="14.4">
      <c r="A160" s="28" t="s">
        <v>31</v>
      </c>
      <c r="B160" s="29" t="s">
        <v>6709</v>
      </c>
      <c r="C160" s="28" t="s">
        <v>260</v>
      </c>
      <c r="D160" s="107" t="s">
        <v>1337</v>
      </c>
      <c r="E160" s="28"/>
      <c r="F160" s="28" t="s">
        <v>7697</v>
      </c>
      <c r="G160" s="28"/>
      <c r="H160" s="28" t="s">
        <v>7698</v>
      </c>
      <c r="I160" s="28" t="s">
        <v>887</v>
      </c>
      <c r="J160" s="28"/>
      <c r="K160" s="29" t="s">
        <v>7698</v>
      </c>
      <c r="L160" s="28"/>
      <c r="M160" s="28" t="s">
        <v>41</v>
      </c>
      <c r="N160" s="106"/>
      <c r="O160" s="101"/>
    </row>
    <row r="161" spans="1:15" ht="14.4">
      <c r="A161" s="28" t="s">
        <v>31</v>
      </c>
      <c r="B161" s="29" t="s">
        <v>6709</v>
      </c>
      <c r="C161" s="28" t="s">
        <v>260</v>
      </c>
      <c r="D161" s="107" t="s">
        <v>1337</v>
      </c>
      <c r="E161" s="28"/>
      <c r="F161" s="28" t="s">
        <v>7701</v>
      </c>
      <c r="G161" s="28"/>
      <c r="H161" s="28" t="s">
        <v>7702</v>
      </c>
      <c r="I161" s="28" t="s">
        <v>2714</v>
      </c>
      <c r="J161" s="28"/>
      <c r="K161" s="29" t="s">
        <v>7702</v>
      </c>
      <c r="L161" s="28"/>
      <c r="M161" s="28" t="s">
        <v>41</v>
      </c>
      <c r="N161" s="106"/>
      <c r="O161" s="101"/>
    </row>
    <row r="162" spans="1:15" ht="14.4">
      <c r="A162" s="28" t="s">
        <v>31</v>
      </c>
      <c r="B162" s="29" t="s">
        <v>6709</v>
      </c>
      <c r="C162" s="28" t="s">
        <v>260</v>
      </c>
      <c r="D162" s="107" t="s">
        <v>1337</v>
      </c>
      <c r="E162" s="28"/>
      <c r="F162" s="28" t="s">
        <v>7705</v>
      </c>
      <c r="G162" s="28"/>
      <c r="H162" s="28" t="s">
        <v>7707</v>
      </c>
      <c r="I162" s="28" t="s">
        <v>887</v>
      </c>
      <c r="J162" s="28"/>
      <c r="K162" s="29" t="s">
        <v>7707</v>
      </c>
      <c r="L162" s="28"/>
      <c r="M162" s="28" t="s">
        <v>41</v>
      </c>
      <c r="N162" s="106"/>
      <c r="O162" s="101"/>
    </row>
    <row r="163" spans="1:15" ht="14.4">
      <c r="A163" s="28" t="s">
        <v>31</v>
      </c>
      <c r="B163" s="29" t="s">
        <v>6709</v>
      </c>
      <c r="C163" s="28" t="s">
        <v>260</v>
      </c>
      <c r="D163" s="107" t="s">
        <v>1337</v>
      </c>
      <c r="E163" s="28"/>
      <c r="F163" s="28" t="s">
        <v>7709</v>
      </c>
      <c r="G163" s="28"/>
      <c r="H163" s="28" t="s">
        <v>7710</v>
      </c>
      <c r="I163" s="28" t="s">
        <v>887</v>
      </c>
      <c r="J163" s="28"/>
      <c r="K163" s="29" t="s">
        <v>7710</v>
      </c>
      <c r="L163" s="28"/>
      <c r="M163" s="28" t="s">
        <v>41</v>
      </c>
      <c r="N163" s="106"/>
      <c r="O163" s="101"/>
    </row>
    <row r="164" spans="1:15" ht="14.4">
      <c r="A164" s="28" t="s">
        <v>31</v>
      </c>
      <c r="B164" s="29" t="s">
        <v>6709</v>
      </c>
      <c r="C164" s="28" t="s">
        <v>260</v>
      </c>
      <c r="D164" s="107" t="s">
        <v>1337</v>
      </c>
      <c r="E164" s="28"/>
      <c r="F164" s="28" t="s">
        <v>7713</v>
      </c>
      <c r="G164" s="28"/>
      <c r="H164" s="28" t="s">
        <v>7715</v>
      </c>
      <c r="I164" s="28" t="s">
        <v>887</v>
      </c>
      <c r="J164" s="28"/>
      <c r="K164" s="29" t="s">
        <v>7715</v>
      </c>
      <c r="L164" s="28"/>
      <c r="M164" s="28" t="s">
        <v>41</v>
      </c>
      <c r="N164" s="106"/>
      <c r="O164" s="101"/>
    </row>
    <row r="165" spans="1:15" ht="14.4">
      <c r="A165" s="28" t="s">
        <v>31</v>
      </c>
      <c r="B165" s="29" t="s">
        <v>6709</v>
      </c>
      <c r="C165" s="28" t="s">
        <v>260</v>
      </c>
      <c r="D165" s="107" t="s">
        <v>1337</v>
      </c>
      <c r="E165" s="28"/>
      <c r="F165" s="28" t="s">
        <v>7721</v>
      </c>
      <c r="G165" s="28"/>
      <c r="H165" s="28" t="s">
        <v>7722</v>
      </c>
      <c r="I165" s="28" t="s">
        <v>887</v>
      </c>
      <c r="J165" s="28"/>
      <c r="K165" s="29" t="s">
        <v>7722</v>
      </c>
      <c r="L165" s="28"/>
      <c r="M165" s="28" t="s">
        <v>41</v>
      </c>
      <c r="N165" s="106"/>
      <c r="O165" s="101"/>
    </row>
    <row r="166" spans="1:15" ht="14.4">
      <c r="A166" s="28" t="s">
        <v>31</v>
      </c>
      <c r="B166" s="29" t="s">
        <v>6709</v>
      </c>
      <c r="C166" s="28" t="s">
        <v>260</v>
      </c>
      <c r="D166" s="107" t="s">
        <v>1337</v>
      </c>
      <c r="E166" s="28"/>
      <c r="F166" s="28" t="s">
        <v>7725</v>
      </c>
      <c r="G166" s="28"/>
      <c r="H166" s="28" t="s">
        <v>7727</v>
      </c>
      <c r="I166" s="28" t="s">
        <v>2714</v>
      </c>
      <c r="J166" s="28"/>
      <c r="K166" s="29" t="s">
        <v>7727</v>
      </c>
      <c r="L166" s="28"/>
      <c r="M166" s="28" t="s">
        <v>41</v>
      </c>
      <c r="N166" s="106"/>
      <c r="O166" s="101"/>
    </row>
    <row r="167" spans="1:15" ht="14.4">
      <c r="A167" s="28" t="s">
        <v>31</v>
      </c>
      <c r="B167" s="29" t="s">
        <v>6709</v>
      </c>
      <c r="C167" s="28" t="s">
        <v>260</v>
      </c>
      <c r="D167" s="107" t="s">
        <v>1337</v>
      </c>
      <c r="E167" s="28"/>
      <c r="F167" s="28" t="s">
        <v>7731</v>
      </c>
      <c r="G167" s="28"/>
      <c r="H167" s="28" t="s">
        <v>7732</v>
      </c>
      <c r="I167" s="28" t="s">
        <v>887</v>
      </c>
      <c r="J167" s="28"/>
      <c r="K167" s="29" t="s">
        <v>7732</v>
      </c>
      <c r="L167" s="28"/>
      <c r="M167" s="28" t="s">
        <v>41</v>
      </c>
      <c r="N167" s="106"/>
      <c r="O167" s="101"/>
    </row>
    <row r="168" spans="1:15" ht="14.4">
      <c r="A168" s="28" t="s">
        <v>31</v>
      </c>
      <c r="B168" s="29" t="s">
        <v>6955</v>
      </c>
      <c r="C168" s="28" t="s">
        <v>260</v>
      </c>
      <c r="D168" s="107" t="s">
        <v>1337</v>
      </c>
      <c r="E168" s="28"/>
      <c r="F168" s="28" t="s">
        <v>7733</v>
      </c>
      <c r="G168" s="28"/>
      <c r="H168" s="214" t="s">
        <v>7734</v>
      </c>
      <c r="I168" s="28" t="s">
        <v>130</v>
      </c>
      <c r="J168" s="29"/>
      <c r="K168" s="214" t="s">
        <v>7734</v>
      </c>
      <c r="L168" s="28"/>
      <c r="M168" s="28" t="s">
        <v>41</v>
      </c>
      <c r="N168" s="106"/>
      <c r="O168" s="101"/>
    </row>
    <row r="169" spans="1:15" ht="14.4">
      <c r="A169" s="28" t="s">
        <v>31</v>
      </c>
      <c r="B169" s="29" t="s">
        <v>6709</v>
      </c>
      <c r="C169" s="28" t="s">
        <v>20</v>
      </c>
      <c r="D169" s="28" t="s">
        <v>1305</v>
      </c>
      <c r="E169" s="28"/>
      <c r="F169" s="28" t="s">
        <v>7737</v>
      </c>
      <c r="G169" s="28" t="s">
        <v>7739</v>
      </c>
      <c r="H169" s="28" t="s">
        <v>6791</v>
      </c>
      <c r="I169" s="28" t="s">
        <v>1610</v>
      </c>
      <c r="J169" s="28"/>
      <c r="K169" s="214" t="s">
        <v>6791</v>
      </c>
      <c r="L169" s="28"/>
      <c r="M169" s="28" t="s">
        <v>41</v>
      </c>
      <c r="N169" s="106"/>
      <c r="O169" s="101"/>
    </row>
    <row r="170" spans="1:15" ht="14.4">
      <c r="A170" s="28" t="s">
        <v>31</v>
      </c>
      <c r="B170" s="28" t="s">
        <v>6641</v>
      </c>
      <c r="C170" s="107" t="s">
        <v>260</v>
      </c>
      <c r="D170" s="107" t="s">
        <v>1337</v>
      </c>
      <c r="E170" s="28"/>
      <c r="F170" s="28" t="s">
        <v>7747</v>
      </c>
      <c r="G170" s="28"/>
      <c r="H170" s="28" t="s">
        <v>7748</v>
      </c>
      <c r="I170" s="28" t="s">
        <v>7386</v>
      </c>
      <c r="J170" s="37" t="s">
        <v>5652</v>
      </c>
      <c r="K170" s="28" t="s">
        <v>7748</v>
      </c>
      <c r="L170" s="28"/>
      <c r="M170" s="28" t="s">
        <v>41</v>
      </c>
      <c r="N170" s="106"/>
      <c r="O170" s="101"/>
    </row>
    <row r="171" spans="1:15" ht="14.4">
      <c r="A171" s="28" t="s">
        <v>31</v>
      </c>
      <c r="B171" s="28" t="s">
        <v>6641</v>
      </c>
      <c r="C171" s="107" t="s">
        <v>260</v>
      </c>
      <c r="D171" s="107" t="s">
        <v>1337</v>
      </c>
      <c r="E171" s="28"/>
      <c r="F171" s="28" t="s">
        <v>7763</v>
      </c>
      <c r="G171" s="28"/>
      <c r="H171" s="28" t="s">
        <v>7767</v>
      </c>
      <c r="I171" s="28" t="s">
        <v>7386</v>
      </c>
      <c r="J171" s="37" t="s">
        <v>3202</v>
      </c>
      <c r="K171" s="28" t="s">
        <v>7767</v>
      </c>
      <c r="L171" s="28"/>
      <c r="M171" s="28" t="s">
        <v>41</v>
      </c>
      <c r="N171" s="106"/>
      <c r="O171" s="101"/>
    </row>
    <row r="172" spans="1:15" ht="14.4">
      <c r="A172" s="28" t="s">
        <v>31</v>
      </c>
      <c r="B172" s="28" t="s">
        <v>6641</v>
      </c>
      <c r="C172" s="107" t="s">
        <v>260</v>
      </c>
      <c r="D172" s="107" t="s">
        <v>1337</v>
      </c>
      <c r="E172" s="28"/>
      <c r="F172" s="28" t="s">
        <v>7775</v>
      </c>
      <c r="G172" s="28"/>
      <c r="H172" s="28" t="s">
        <v>7777</v>
      </c>
      <c r="I172" s="28" t="s">
        <v>7778</v>
      </c>
      <c r="J172" s="37" t="s">
        <v>3212</v>
      </c>
      <c r="K172" s="28" t="s">
        <v>7777</v>
      </c>
      <c r="L172" s="28"/>
      <c r="M172" s="28" t="s">
        <v>41</v>
      </c>
      <c r="N172" s="106"/>
      <c r="O172" s="101"/>
    </row>
    <row r="173" spans="1:15" ht="14.4">
      <c r="A173" s="28" t="s">
        <v>31</v>
      </c>
      <c r="B173" s="28" t="s">
        <v>6641</v>
      </c>
      <c r="C173" s="107" t="s">
        <v>260</v>
      </c>
      <c r="D173" s="107" t="s">
        <v>1337</v>
      </c>
      <c r="E173" s="28"/>
      <c r="F173" s="28" t="s">
        <v>7784</v>
      </c>
      <c r="G173" s="28"/>
      <c r="H173" s="28" t="s">
        <v>7439</v>
      </c>
      <c r="I173" s="28" t="s">
        <v>7786</v>
      </c>
      <c r="J173" s="37" t="s">
        <v>3223</v>
      </c>
      <c r="K173" s="28" t="s">
        <v>7439</v>
      </c>
      <c r="L173" s="28"/>
      <c r="M173" s="28" t="s">
        <v>41</v>
      </c>
      <c r="N173" s="106"/>
      <c r="O173" s="101"/>
    </row>
    <row r="174" spans="1:15" ht="14.4">
      <c r="A174" s="28" t="s">
        <v>31</v>
      </c>
      <c r="B174" s="28" t="s">
        <v>6641</v>
      </c>
      <c r="C174" s="107" t="s">
        <v>260</v>
      </c>
      <c r="D174" s="107" t="s">
        <v>1337</v>
      </c>
      <c r="E174" s="28"/>
      <c r="F174" s="28" t="s">
        <v>7791</v>
      </c>
      <c r="G174" s="28"/>
      <c r="H174" s="28" t="s">
        <v>7793</v>
      </c>
      <c r="I174" s="28" t="s">
        <v>7778</v>
      </c>
      <c r="J174" s="37" t="s">
        <v>3231</v>
      </c>
      <c r="K174" s="28" t="s">
        <v>7793</v>
      </c>
      <c r="L174" s="28"/>
      <c r="M174" s="28" t="s">
        <v>41</v>
      </c>
      <c r="N174" s="106"/>
      <c r="O174" s="101"/>
    </row>
    <row r="175" spans="1:15" ht="14.4">
      <c r="A175" s="28" t="s">
        <v>31</v>
      </c>
      <c r="B175" s="28" t="s">
        <v>6641</v>
      </c>
      <c r="C175" s="107" t="s">
        <v>260</v>
      </c>
      <c r="D175" s="107" t="s">
        <v>1337</v>
      </c>
      <c r="E175" s="28"/>
      <c r="F175" s="28" t="s">
        <v>7799</v>
      </c>
      <c r="G175" s="28"/>
      <c r="H175" s="28" t="s">
        <v>7800</v>
      </c>
      <c r="I175" s="28" t="s">
        <v>7386</v>
      </c>
      <c r="J175" s="37" t="s">
        <v>3239</v>
      </c>
      <c r="K175" s="28" t="s">
        <v>7800</v>
      </c>
      <c r="L175" s="28"/>
      <c r="M175" s="28" t="s">
        <v>41</v>
      </c>
      <c r="N175" s="106"/>
      <c r="O175" s="101"/>
    </row>
    <row r="176" spans="1:15" ht="14.4">
      <c r="A176" s="28" t="s">
        <v>31</v>
      </c>
      <c r="B176" s="28" t="s">
        <v>6641</v>
      </c>
      <c r="C176" s="107" t="s">
        <v>260</v>
      </c>
      <c r="D176" s="107" t="s">
        <v>1337</v>
      </c>
      <c r="E176" s="28"/>
      <c r="F176" s="28" t="s">
        <v>7806</v>
      </c>
      <c r="G176" s="28"/>
      <c r="H176" s="28" t="s">
        <v>7808</v>
      </c>
      <c r="I176" s="28" t="s">
        <v>7386</v>
      </c>
      <c r="J176" s="37" t="s">
        <v>3250</v>
      </c>
      <c r="K176" s="28" t="s">
        <v>7808</v>
      </c>
      <c r="L176" s="28"/>
      <c r="M176" s="28" t="s">
        <v>41</v>
      </c>
      <c r="N176" s="106"/>
      <c r="O176" s="101"/>
    </row>
    <row r="177" spans="1:26" ht="14.4">
      <c r="A177" s="28" t="s">
        <v>31</v>
      </c>
      <c r="B177" s="28" t="s">
        <v>6641</v>
      </c>
      <c r="C177" s="107" t="s">
        <v>260</v>
      </c>
      <c r="D177" s="107" t="s">
        <v>1337</v>
      </c>
      <c r="E177" s="28"/>
      <c r="F177" s="28" t="s">
        <v>7814</v>
      </c>
      <c r="G177" s="28"/>
      <c r="H177" s="28" t="s">
        <v>7815</v>
      </c>
      <c r="I177" s="28" t="s">
        <v>7386</v>
      </c>
      <c r="J177" s="37" t="s">
        <v>3261</v>
      </c>
      <c r="K177" s="28" t="s">
        <v>7815</v>
      </c>
      <c r="L177" s="28"/>
      <c r="M177" s="28" t="s">
        <v>41</v>
      </c>
      <c r="N177" s="106"/>
      <c r="O177" s="101"/>
    </row>
    <row r="178" spans="1:26" ht="14.4">
      <c r="A178" s="28" t="s">
        <v>31</v>
      </c>
      <c r="B178" s="28" t="s">
        <v>6641</v>
      </c>
      <c r="C178" s="107" t="s">
        <v>260</v>
      </c>
      <c r="D178" s="107" t="s">
        <v>1337</v>
      </c>
      <c r="E178" s="28"/>
      <c r="F178" s="28" t="s">
        <v>7821</v>
      </c>
      <c r="G178" s="28"/>
      <c r="H178" s="28" t="s">
        <v>7823</v>
      </c>
      <c r="I178" s="28" t="s">
        <v>7320</v>
      </c>
      <c r="J178" s="37" t="s">
        <v>3692</v>
      </c>
      <c r="K178" s="28" t="s">
        <v>7823</v>
      </c>
      <c r="L178" s="28"/>
      <c r="M178" s="28" t="s">
        <v>41</v>
      </c>
      <c r="N178" s="106"/>
      <c r="O178" s="101"/>
    </row>
    <row r="179" spans="1:26" ht="14.4">
      <c r="A179" s="28" t="s">
        <v>31</v>
      </c>
      <c r="B179" s="28" t="s">
        <v>6641</v>
      </c>
      <c r="C179" s="107" t="s">
        <v>260</v>
      </c>
      <c r="D179" s="107" t="s">
        <v>1337</v>
      </c>
      <c r="E179" s="28"/>
      <c r="F179" s="28" t="s">
        <v>7830</v>
      </c>
      <c r="G179" s="28"/>
      <c r="H179" s="28" t="s">
        <v>7831</v>
      </c>
      <c r="I179" s="28" t="s">
        <v>7833</v>
      </c>
      <c r="J179" s="37" t="s">
        <v>3705</v>
      </c>
      <c r="K179" s="28" t="s">
        <v>7831</v>
      </c>
      <c r="L179" s="28"/>
      <c r="M179" s="28" t="s">
        <v>41</v>
      </c>
      <c r="N179" s="106"/>
      <c r="O179" s="101"/>
    </row>
    <row r="180" spans="1:26" ht="14.4">
      <c r="A180" s="28" t="s">
        <v>31</v>
      </c>
      <c r="B180" s="28" t="s">
        <v>6641</v>
      </c>
      <c r="C180" s="107" t="s">
        <v>260</v>
      </c>
      <c r="D180" s="107" t="s">
        <v>1337</v>
      </c>
      <c r="E180" s="28"/>
      <c r="F180" s="28" t="s">
        <v>7840</v>
      </c>
      <c r="G180" s="28"/>
      <c r="H180" s="28" t="s">
        <v>7841</v>
      </c>
      <c r="I180" s="28" t="s">
        <v>7778</v>
      </c>
      <c r="J180" s="37" t="s">
        <v>3717</v>
      </c>
      <c r="K180" s="28" t="s">
        <v>7841</v>
      </c>
      <c r="L180" s="28"/>
      <c r="M180" s="28" t="s">
        <v>41</v>
      </c>
      <c r="N180" s="106"/>
      <c r="O180" s="101"/>
    </row>
    <row r="181" spans="1:26" ht="14.4">
      <c r="A181" s="28" t="s">
        <v>31</v>
      </c>
      <c r="B181" s="28" t="s">
        <v>6641</v>
      </c>
      <c r="C181" s="107" t="s">
        <v>260</v>
      </c>
      <c r="D181" s="107" t="s">
        <v>1337</v>
      </c>
      <c r="E181" s="28"/>
      <c r="F181" s="28" t="s">
        <v>7848</v>
      </c>
      <c r="G181" s="28"/>
      <c r="H181" s="28" t="s">
        <v>7849</v>
      </c>
      <c r="I181" s="28" t="s">
        <v>7386</v>
      </c>
      <c r="J181" s="37" t="s">
        <v>3725</v>
      </c>
      <c r="K181" s="28" t="s">
        <v>7849</v>
      </c>
      <c r="L181" s="28"/>
      <c r="M181" s="28" t="s">
        <v>41</v>
      </c>
      <c r="N181" s="106"/>
      <c r="O181" s="101"/>
    </row>
    <row r="182" spans="1:26" ht="14.4">
      <c r="A182" s="28" t="s">
        <v>31</v>
      </c>
      <c r="B182" s="28" t="s">
        <v>6641</v>
      </c>
      <c r="C182" s="107" t="s">
        <v>260</v>
      </c>
      <c r="D182" s="107" t="s">
        <v>1337</v>
      </c>
      <c r="E182" s="28"/>
      <c r="F182" s="28" t="s">
        <v>7856</v>
      </c>
      <c r="G182" s="28"/>
      <c r="H182" s="28" t="s">
        <v>7857</v>
      </c>
      <c r="I182" s="28" t="s">
        <v>7181</v>
      </c>
      <c r="J182" s="37" t="s">
        <v>3275</v>
      </c>
      <c r="K182" s="28" t="s">
        <v>7857</v>
      </c>
      <c r="L182" s="28"/>
      <c r="M182" s="28" t="s">
        <v>41</v>
      </c>
      <c r="N182" s="106"/>
      <c r="O182" s="101"/>
    </row>
    <row r="183" spans="1:26" ht="14.4">
      <c r="A183" s="28" t="s">
        <v>31</v>
      </c>
      <c r="B183" s="28" t="s">
        <v>6641</v>
      </c>
      <c r="C183" s="107" t="s">
        <v>260</v>
      </c>
      <c r="D183" s="107" t="s">
        <v>1337</v>
      </c>
      <c r="E183" s="28"/>
      <c r="F183" s="28" t="s">
        <v>7864</v>
      </c>
      <c r="G183" s="28"/>
      <c r="H183" s="28" t="s">
        <v>7866</v>
      </c>
      <c r="I183" s="28" t="s">
        <v>7386</v>
      </c>
      <c r="J183" s="37" t="s">
        <v>3270</v>
      </c>
      <c r="K183" s="28" t="s">
        <v>7866</v>
      </c>
      <c r="L183" s="28"/>
      <c r="M183" s="28" t="s">
        <v>41</v>
      </c>
      <c r="N183" s="106"/>
      <c r="O183" s="101"/>
    </row>
    <row r="184" spans="1:26" ht="14.4">
      <c r="A184" s="28" t="s">
        <v>31</v>
      </c>
      <c r="B184" s="28" t="s">
        <v>6641</v>
      </c>
      <c r="C184" s="107" t="s">
        <v>260</v>
      </c>
      <c r="D184" s="107" t="s">
        <v>1337</v>
      </c>
      <c r="E184" s="28"/>
      <c r="F184" s="28" t="s">
        <v>7872</v>
      </c>
      <c r="G184" s="28"/>
      <c r="H184" s="28" t="s">
        <v>7873</v>
      </c>
      <c r="I184" s="28" t="s">
        <v>7386</v>
      </c>
      <c r="J184" s="37" t="s">
        <v>3757</v>
      </c>
      <c r="K184" s="28" t="s">
        <v>7873</v>
      </c>
      <c r="L184" s="28"/>
      <c r="M184" s="28" t="s">
        <v>41</v>
      </c>
      <c r="N184" s="106"/>
      <c r="O184" s="101"/>
    </row>
    <row r="185" spans="1:26" ht="14.4">
      <c r="A185" s="28" t="s">
        <v>31</v>
      </c>
      <c r="B185" s="28" t="s">
        <v>6641</v>
      </c>
      <c r="C185" s="107" t="s">
        <v>260</v>
      </c>
      <c r="D185" s="107" t="s">
        <v>1337</v>
      </c>
      <c r="E185" s="28"/>
      <c r="F185" s="28" t="s">
        <v>7880</v>
      </c>
      <c r="G185" s="28"/>
      <c r="H185" s="28" t="s">
        <v>7881</v>
      </c>
      <c r="I185" s="28" t="s">
        <v>7778</v>
      </c>
      <c r="J185" s="37" t="s">
        <v>3768</v>
      </c>
      <c r="K185" s="28" t="s">
        <v>7881</v>
      </c>
      <c r="L185" s="28"/>
      <c r="M185" s="28" t="s">
        <v>41</v>
      </c>
      <c r="N185" s="106"/>
      <c r="O185" s="101"/>
    </row>
    <row r="186" spans="1:26" ht="14.4">
      <c r="A186" s="28" t="s">
        <v>31</v>
      </c>
      <c r="B186" s="28" t="s">
        <v>6641</v>
      </c>
      <c r="C186" s="107" t="s">
        <v>260</v>
      </c>
      <c r="D186" s="107" t="s">
        <v>1337</v>
      </c>
      <c r="E186" s="28"/>
      <c r="F186" s="28" t="s">
        <v>7888</v>
      </c>
      <c r="G186" s="28"/>
      <c r="H186" s="28" t="s">
        <v>7889</v>
      </c>
      <c r="I186" s="28" t="s">
        <v>7778</v>
      </c>
      <c r="J186" s="37" t="s">
        <v>3777</v>
      </c>
      <c r="K186" s="28" t="s">
        <v>7889</v>
      </c>
      <c r="L186" s="28"/>
      <c r="M186" s="28" t="s">
        <v>41</v>
      </c>
      <c r="N186" s="106"/>
      <c r="O186" s="101"/>
    </row>
    <row r="187" spans="1:26" ht="14.4">
      <c r="A187" s="28" t="s">
        <v>31</v>
      </c>
      <c r="B187" s="28" t="s">
        <v>6641</v>
      </c>
      <c r="C187" s="107" t="s">
        <v>260</v>
      </c>
      <c r="D187" s="107" t="s">
        <v>1337</v>
      </c>
      <c r="E187" s="28"/>
      <c r="F187" s="28" t="s">
        <v>7895</v>
      </c>
      <c r="G187" s="28"/>
      <c r="H187" s="28" t="s">
        <v>7896</v>
      </c>
      <c r="I187" s="28" t="s">
        <v>7386</v>
      </c>
      <c r="J187" s="37" t="s">
        <v>3297</v>
      </c>
      <c r="K187" s="28" t="s">
        <v>7896</v>
      </c>
      <c r="L187" s="28"/>
      <c r="M187" s="28" t="s">
        <v>41</v>
      </c>
      <c r="N187" s="106"/>
      <c r="O187" s="101"/>
    </row>
    <row r="188" spans="1:26" ht="14.4">
      <c r="A188" s="28" t="s">
        <v>31</v>
      </c>
      <c r="B188" s="28" t="s">
        <v>6641</v>
      </c>
      <c r="C188" s="107" t="s">
        <v>260</v>
      </c>
      <c r="D188" s="107" t="s">
        <v>1337</v>
      </c>
      <c r="E188" s="28"/>
      <c r="F188" s="28" t="s">
        <v>7902</v>
      </c>
      <c r="G188" s="28"/>
      <c r="H188" s="28" t="s">
        <v>7903</v>
      </c>
      <c r="I188" s="28" t="s">
        <v>7778</v>
      </c>
      <c r="J188" s="37" t="s">
        <v>3291</v>
      </c>
      <c r="K188" s="28" t="s">
        <v>7903</v>
      </c>
      <c r="L188" s="28"/>
      <c r="M188" s="28" t="s">
        <v>41</v>
      </c>
      <c r="N188" s="106"/>
      <c r="O188" s="101"/>
    </row>
    <row r="189" spans="1:26" ht="14.4">
      <c r="A189" s="28" t="s">
        <v>31</v>
      </c>
      <c r="B189" s="28" t="s">
        <v>6641</v>
      </c>
      <c r="C189" s="28" t="s">
        <v>20</v>
      </c>
      <c r="D189" s="28" t="s">
        <v>1305</v>
      </c>
      <c r="E189" s="28"/>
      <c r="F189" s="28" t="s">
        <v>7909</v>
      </c>
      <c r="G189" s="28" t="s">
        <v>7911</v>
      </c>
      <c r="H189" s="28" t="s">
        <v>6385</v>
      </c>
      <c r="I189" s="28" t="s">
        <v>2714</v>
      </c>
      <c r="J189" s="28" t="s">
        <v>7450</v>
      </c>
      <c r="K189" s="28" t="s">
        <v>6385</v>
      </c>
      <c r="L189" s="28"/>
      <c r="M189" s="28" t="s">
        <v>41</v>
      </c>
      <c r="N189" s="106"/>
      <c r="O189" s="101"/>
    </row>
    <row r="190" spans="1:26" ht="14.4">
      <c r="A190" s="28" t="s">
        <v>31</v>
      </c>
      <c r="B190" s="28" t="s">
        <v>6641</v>
      </c>
      <c r="C190" s="28" t="s">
        <v>20</v>
      </c>
      <c r="D190" s="28" t="s">
        <v>1305</v>
      </c>
      <c r="E190" s="28"/>
      <c r="F190" s="28" t="s">
        <v>7921</v>
      </c>
      <c r="G190" s="143" t="s">
        <v>7924</v>
      </c>
      <c r="H190" s="28" t="s">
        <v>6695</v>
      </c>
      <c r="I190" s="28" t="s">
        <v>887</v>
      </c>
      <c r="J190" s="28" t="s">
        <v>7450</v>
      </c>
      <c r="K190" s="28" t="s">
        <v>6695</v>
      </c>
      <c r="L190" s="28"/>
      <c r="M190" s="28" t="s">
        <v>41</v>
      </c>
      <c r="N190" s="106"/>
      <c r="O190" s="101"/>
    </row>
    <row r="191" spans="1:26" ht="14.4">
      <c r="A191" s="218" t="s">
        <v>31</v>
      </c>
      <c r="B191" s="218" t="s">
        <v>6709</v>
      </c>
      <c r="C191" s="107" t="s">
        <v>6621</v>
      </c>
      <c r="D191" s="107" t="s">
        <v>954</v>
      </c>
      <c r="E191" s="218"/>
      <c r="F191" s="247" t="s">
        <v>7940</v>
      </c>
      <c r="G191" s="218"/>
      <c r="H191" s="218"/>
      <c r="I191" s="218"/>
      <c r="J191" s="218"/>
      <c r="K191" s="218"/>
      <c r="L191" s="218"/>
      <c r="M191" s="218"/>
      <c r="N191" s="218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</row>
    <row r="192" spans="1:26" ht="13.2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spans="1:14" ht="13.2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</row>
    <row r="194" spans="1:14" ht="13.2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</row>
    <row r="195" spans="1:14" ht="13.2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</row>
    <row r="196" spans="1:14" ht="13.2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</row>
    <row r="197" spans="1:14" ht="13.2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</row>
    <row r="198" spans="1:14" ht="13.2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</row>
    <row r="199" spans="1:14" ht="13.2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</row>
    <row r="200" spans="1:14" ht="13.2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</row>
    <row r="201" spans="1:14" ht="13.2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</row>
    <row r="202" spans="1:14" ht="13.2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</row>
    <row r="203" spans="1:14" ht="13.2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</row>
    <row r="204" spans="1:14" ht="13.2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</row>
    <row r="205" spans="1:14" ht="13.2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</row>
    <row r="206" spans="1:14" ht="13.2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</row>
  </sheetData>
  <autoFilter ref="A2:M191" xr:uid="{00000000-0009-0000-0000-00000B000000}"/>
  <mergeCells count="1">
    <mergeCell ref="A1:D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A989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/>
  <cols>
    <col min="1" max="1" width="9.44140625" customWidth="1"/>
    <col min="2" max="2" width="14.33203125" customWidth="1"/>
    <col min="3" max="3" width="40" customWidth="1"/>
    <col min="6" max="6" width="22.6640625" customWidth="1"/>
  </cols>
  <sheetData>
    <row r="1" spans="1:27" ht="15.75" customHeight="1">
      <c r="A1" s="99" t="s">
        <v>0</v>
      </c>
      <c r="B1" s="99"/>
      <c r="C1" s="99"/>
      <c r="D1" s="99"/>
      <c r="E1" s="99"/>
      <c r="F1" s="250"/>
      <c r="G1" s="250"/>
      <c r="H1" s="250"/>
      <c r="I1" s="250"/>
      <c r="J1" s="250"/>
      <c r="K1" s="250"/>
      <c r="L1" s="250"/>
      <c r="M1" s="250"/>
      <c r="N1" s="250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</row>
    <row r="2" spans="1:27" ht="15.75" customHeight="1">
      <c r="A2" s="8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8</v>
      </c>
      <c r="G2" s="8" t="s">
        <v>24</v>
      </c>
      <c r="H2" s="8" t="s">
        <v>10</v>
      </c>
      <c r="I2" s="8" t="s">
        <v>11</v>
      </c>
      <c r="J2" s="8" t="s">
        <v>12</v>
      </c>
      <c r="K2" s="8" t="s">
        <v>14</v>
      </c>
      <c r="L2" s="8" t="s">
        <v>15</v>
      </c>
      <c r="M2" s="8" t="s">
        <v>16</v>
      </c>
      <c r="N2" s="8" t="s">
        <v>17</v>
      </c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</row>
    <row r="3" spans="1:27" ht="15.75" customHeight="1">
      <c r="A3" s="28" t="s">
        <v>8217</v>
      </c>
      <c r="B3" s="28" t="s">
        <v>1379</v>
      </c>
      <c r="C3" s="28" t="s">
        <v>275</v>
      </c>
      <c r="D3" s="28" t="s">
        <v>543</v>
      </c>
      <c r="E3" s="28" t="s">
        <v>54</v>
      </c>
      <c r="F3" s="79" t="s">
        <v>8222</v>
      </c>
      <c r="G3" s="28"/>
      <c r="H3" s="28" t="s">
        <v>8223</v>
      </c>
      <c r="I3" s="28" t="s">
        <v>8224</v>
      </c>
      <c r="J3" s="28" t="s">
        <v>8225</v>
      </c>
      <c r="K3" s="28" t="s">
        <v>8226</v>
      </c>
      <c r="L3" s="28" t="s">
        <v>1379</v>
      </c>
      <c r="M3" s="28" t="s">
        <v>41</v>
      </c>
      <c r="N3" s="28" t="s">
        <v>8227</v>
      </c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</row>
    <row r="4" spans="1:27" ht="15.75" customHeight="1">
      <c r="A4" s="28" t="s">
        <v>8217</v>
      </c>
      <c r="B4" s="28" t="s">
        <v>1379</v>
      </c>
      <c r="C4" s="28" t="s">
        <v>85</v>
      </c>
      <c r="D4" s="28" t="s">
        <v>86</v>
      </c>
      <c r="E4" s="28" t="s">
        <v>54</v>
      </c>
      <c r="F4" s="28" t="s">
        <v>8254</v>
      </c>
      <c r="G4" s="28"/>
      <c r="H4" s="28" t="s">
        <v>8255</v>
      </c>
      <c r="I4" s="28" t="s">
        <v>8256</v>
      </c>
      <c r="J4" s="28" t="s">
        <v>8257</v>
      </c>
      <c r="K4" s="28" t="s">
        <v>8258</v>
      </c>
      <c r="L4" s="28" t="s">
        <v>1379</v>
      </c>
      <c r="M4" s="28" t="s">
        <v>41</v>
      </c>
      <c r="N4" s="28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</row>
    <row r="5" spans="1:27" ht="15.75" customHeight="1">
      <c r="A5" s="28" t="s">
        <v>8217</v>
      </c>
      <c r="B5" s="28" t="s">
        <v>1379</v>
      </c>
      <c r="C5" s="28" t="s">
        <v>85</v>
      </c>
      <c r="D5" s="28" t="s">
        <v>86</v>
      </c>
      <c r="E5" s="28" t="s">
        <v>54</v>
      </c>
      <c r="F5" s="28" t="s">
        <v>8266</v>
      </c>
      <c r="G5" s="28"/>
      <c r="H5" s="28" t="s">
        <v>8268</v>
      </c>
      <c r="I5" s="28" t="s">
        <v>1252</v>
      </c>
      <c r="J5" s="28" t="s">
        <v>8269</v>
      </c>
      <c r="K5" s="28" t="s">
        <v>8270</v>
      </c>
      <c r="L5" s="28" t="s">
        <v>1379</v>
      </c>
      <c r="M5" s="28" t="s">
        <v>41</v>
      </c>
      <c r="N5" s="28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</row>
    <row r="6" spans="1:27" ht="15.75" customHeight="1">
      <c r="A6" s="28" t="s">
        <v>8217</v>
      </c>
      <c r="B6" s="28" t="s">
        <v>1379</v>
      </c>
      <c r="C6" s="28" t="s">
        <v>85</v>
      </c>
      <c r="D6" s="28" t="s">
        <v>86</v>
      </c>
      <c r="E6" s="28" t="s">
        <v>54</v>
      </c>
      <c r="F6" s="28" t="s">
        <v>8276</v>
      </c>
      <c r="G6" s="28"/>
      <c r="H6" s="28" t="s">
        <v>8277</v>
      </c>
      <c r="I6" s="28" t="s">
        <v>8278</v>
      </c>
      <c r="J6" s="28" t="s">
        <v>8279</v>
      </c>
      <c r="K6" s="28" t="s">
        <v>8281</v>
      </c>
      <c r="L6" s="28" t="s">
        <v>1379</v>
      </c>
      <c r="M6" s="28" t="s">
        <v>41</v>
      </c>
      <c r="N6" s="28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</row>
    <row r="7" spans="1:27" ht="15.75" customHeight="1">
      <c r="A7" s="28" t="s">
        <v>8217</v>
      </c>
      <c r="B7" s="28" t="s">
        <v>1379</v>
      </c>
      <c r="C7" s="28" t="s">
        <v>85</v>
      </c>
      <c r="D7" s="28" t="s">
        <v>86</v>
      </c>
      <c r="E7" s="28" t="s">
        <v>54</v>
      </c>
      <c r="F7" s="28" t="s">
        <v>8286</v>
      </c>
      <c r="G7" s="28"/>
      <c r="H7" s="28" t="s">
        <v>8288</v>
      </c>
      <c r="I7" s="28" t="s">
        <v>8289</v>
      </c>
      <c r="J7" s="28" t="s">
        <v>8290</v>
      </c>
      <c r="K7" s="28" t="s">
        <v>8292</v>
      </c>
      <c r="L7" s="28" t="s">
        <v>1379</v>
      </c>
      <c r="M7" s="28" t="s">
        <v>41</v>
      </c>
      <c r="N7" s="28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</row>
    <row r="8" spans="1:27" ht="15.75" customHeight="1">
      <c r="A8" s="28" t="s">
        <v>8217</v>
      </c>
      <c r="B8" s="28" t="s">
        <v>1379</v>
      </c>
      <c r="C8" s="28" t="s">
        <v>85</v>
      </c>
      <c r="D8" s="28" t="s">
        <v>86</v>
      </c>
      <c r="E8" s="28" t="s">
        <v>54</v>
      </c>
      <c r="F8" s="28" t="s">
        <v>8295</v>
      </c>
      <c r="G8" s="28"/>
      <c r="H8" s="28" t="s">
        <v>8297</v>
      </c>
      <c r="I8" s="28" t="s">
        <v>8289</v>
      </c>
      <c r="J8" s="28" t="s">
        <v>8298</v>
      </c>
      <c r="K8" s="28" t="s">
        <v>8297</v>
      </c>
      <c r="L8" s="28" t="s">
        <v>1379</v>
      </c>
      <c r="M8" s="28" t="s">
        <v>41</v>
      </c>
      <c r="N8" s="28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</row>
    <row r="9" spans="1:27" ht="15.75" customHeight="1">
      <c r="A9" s="28" t="s">
        <v>8217</v>
      </c>
      <c r="B9" s="28" t="s">
        <v>1379</v>
      </c>
      <c r="C9" s="28" t="s">
        <v>85</v>
      </c>
      <c r="D9" s="28" t="s">
        <v>86</v>
      </c>
      <c r="E9" s="28" t="s">
        <v>54</v>
      </c>
      <c r="F9" s="28" t="s">
        <v>8302</v>
      </c>
      <c r="G9" s="28"/>
      <c r="H9" s="28" t="s">
        <v>8303</v>
      </c>
      <c r="I9" s="28" t="s">
        <v>8304</v>
      </c>
      <c r="J9" s="28" t="s">
        <v>8306</v>
      </c>
      <c r="K9" s="28" t="s">
        <v>8307</v>
      </c>
      <c r="L9" s="28" t="s">
        <v>1379</v>
      </c>
      <c r="M9" s="28" t="s">
        <v>41</v>
      </c>
      <c r="N9" s="28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</row>
    <row r="10" spans="1:27" ht="15.75" customHeight="1">
      <c r="A10" s="28" t="s">
        <v>8217</v>
      </c>
      <c r="B10" s="28" t="s">
        <v>1379</v>
      </c>
      <c r="C10" s="28" t="s">
        <v>85</v>
      </c>
      <c r="D10" s="28" t="s">
        <v>86</v>
      </c>
      <c r="E10" s="28" t="s">
        <v>54</v>
      </c>
      <c r="F10" s="28" t="s">
        <v>8312</v>
      </c>
      <c r="G10" s="28"/>
      <c r="H10" s="28" t="s">
        <v>8313</v>
      </c>
      <c r="I10" s="28" t="s">
        <v>8314</v>
      </c>
      <c r="J10" s="28" t="s">
        <v>8316</v>
      </c>
      <c r="K10" s="28" t="s">
        <v>8318</v>
      </c>
      <c r="L10" s="28" t="s">
        <v>1379</v>
      </c>
      <c r="M10" s="28" t="s">
        <v>41</v>
      </c>
      <c r="N10" s="28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</row>
    <row r="11" spans="1:27" ht="15.75" customHeight="1">
      <c r="A11" s="28" t="s">
        <v>8217</v>
      </c>
      <c r="B11" s="28" t="s">
        <v>1379</v>
      </c>
      <c r="C11" s="28" t="s">
        <v>85</v>
      </c>
      <c r="D11" s="28" t="s">
        <v>86</v>
      </c>
      <c r="E11" s="28" t="s">
        <v>54</v>
      </c>
      <c r="F11" s="28" t="s">
        <v>8322</v>
      </c>
      <c r="G11" s="28"/>
      <c r="H11" s="28" t="s">
        <v>8324</v>
      </c>
      <c r="I11" s="28" t="s">
        <v>8326</v>
      </c>
      <c r="J11" s="28" t="s">
        <v>8328</v>
      </c>
      <c r="K11" s="28" t="s">
        <v>8330</v>
      </c>
      <c r="L11" s="28" t="s">
        <v>1379</v>
      </c>
      <c r="M11" s="28" t="s">
        <v>41</v>
      </c>
      <c r="N11" s="28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</row>
    <row r="12" spans="1:27" ht="15.75" customHeight="1">
      <c r="A12" s="28" t="s">
        <v>8217</v>
      </c>
      <c r="B12" s="28" t="s">
        <v>1379</v>
      </c>
      <c r="C12" s="28" t="s">
        <v>85</v>
      </c>
      <c r="D12" s="28" t="s">
        <v>86</v>
      </c>
      <c r="E12" s="28" t="s">
        <v>54</v>
      </c>
      <c r="F12" s="28" t="s">
        <v>8335</v>
      </c>
      <c r="G12" s="28"/>
      <c r="H12" s="28" t="s">
        <v>8324</v>
      </c>
      <c r="I12" s="28" t="s">
        <v>8326</v>
      </c>
      <c r="J12" s="28" t="s">
        <v>8339</v>
      </c>
      <c r="K12" s="28" t="s">
        <v>8340</v>
      </c>
      <c r="L12" s="28" t="s">
        <v>1379</v>
      </c>
      <c r="M12" s="28" t="s">
        <v>41</v>
      </c>
      <c r="N12" s="28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</row>
    <row r="13" spans="1:27" ht="15.75" customHeight="1">
      <c r="A13" s="28" t="s">
        <v>8217</v>
      </c>
      <c r="B13" s="28" t="s">
        <v>1379</v>
      </c>
      <c r="C13" s="28" t="s">
        <v>85</v>
      </c>
      <c r="D13" s="28" t="s">
        <v>86</v>
      </c>
      <c r="E13" s="28" t="s">
        <v>54</v>
      </c>
      <c r="F13" s="28" t="s">
        <v>8345</v>
      </c>
      <c r="G13" s="28"/>
      <c r="H13" s="28" t="s">
        <v>8347</v>
      </c>
      <c r="I13" s="28" t="s">
        <v>8326</v>
      </c>
      <c r="J13" s="28" t="s">
        <v>8348</v>
      </c>
      <c r="K13" s="28" t="s">
        <v>8349</v>
      </c>
      <c r="L13" s="28" t="s">
        <v>1379</v>
      </c>
      <c r="M13" s="28" t="s">
        <v>41</v>
      </c>
      <c r="N13" s="251" t="s">
        <v>8351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</row>
    <row r="14" spans="1:27" ht="15.75" customHeight="1">
      <c r="A14" s="28" t="s">
        <v>8217</v>
      </c>
      <c r="B14" s="28" t="s">
        <v>1379</v>
      </c>
      <c r="C14" s="28" t="s">
        <v>85</v>
      </c>
      <c r="D14" s="28" t="s">
        <v>86</v>
      </c>
      <c r="E14" s="28" t="s">
        <v>54</v>
      </c>
      <c r="F14" s="28" t="s">
        <v>8355</v>
      </c>
      <c r="G14" s="28"/>
      <c r="H14" s="28" t="s">
        <v>8360</v>
      </c>
      <c r="I14" s="28" t="s">
        <v>8361</v>
      </c>
      <c r="J14" s="28" t="s">
        <v>8362</v>
      </c>
      <c r="K14" s="28" t="s">
        <v>8360</v>
      </c>
      <c r="L14" s="28" t="s">
        <v>1379</v>
      </c>
      <c r="M14" s="28" t="s">
        <v>41</v>
      </c>
      <c r="N14" s="28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</row>
    <row r="15" spans="1:27" ht="15.75" customHeight="1">
      <c r="A15" s="28" t="s">
        <v>8217</v>
      </c>
      <c r="B15" s="28" t="s">
        <v>1379</v>
      </c>
      <c r="C15" s="28" t="s">
        <v>79</v>
      </c>
      <c r="D15" s="28" t="s">
        <v>80</v>
      </c>
      <c r="E15" s="28" t="s">
        <v>54</v>
      </c>
      <c r="F15" s="28" t="s">
        <v>8365</v>
      </c>
      <c r="G15" s="28"/>
      <c r="H15" s="28" t="s">
        <v>8366</v>
      </c>
      <c r="I15" s="28" t="s">
        <v>8367</v>
      </c>
      <c r="J15" s="28" t="s">
        <v>8368</v>
      </c>
      <c r="K15" s="28" t="s">
        <v>8366</v>
      </c>
      <c r="L15" s="28" t="s">
        <v>1379</v>
      </c>
      <c r="M15" s="28" t="s">
        <v>41</v>
      </c>
      <c r="N15" s="28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</row>
    <row r="16" spans="1:27" ht="15.75" customHeight="1">
      <c r="A16" s="28" t="s">
        <v>8217</v>
      </c>
      <c r="B16" s="28" t="s">
        <v>1379</v>
      </c>
      <c r="C16" s="28" t="s">
        <v>79</v>
      </c>
      <c r="D16" s="28" t="s">
        <v>80</v>
      </c>
      <c r="E16" s="28" t="s">
        <v>54</v>
      </c>
      <c r="F16" s="28" t="s">
        <v>8373</v>
      </c>
      <c r="G16" s="28"/>
      <c r="H16" s="28" t="s">
        <v>8360</v>
      </c>
      <c r="I16" s="28" t="s">
        <v>8361</v>
      </c>
      <c r="J16" s="28" t="s">
        <v>8376</v>
      </c>
      <c r="K16" s="28" t="s">
        <v>8360</v>
      </c>
      <c r="L16" s="28" t="s">
        <v>1379</v>
      </c>
      <c r="M16" s="28" t="s">
        <v>41</v>
      </c>
      <c r="N16" s="28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</row>
    <row r="17" spans="1:27" ht="15.75" customHeight="1">
      <c r="A17" s="28" t="s">
        <v>8217</v>
      </c>
      <c r="B17" s="28" t="s">
        <v>1379</v>
      </c>
      <c r="C17" s="28" t="s">
        <v>79</v>
      </c>
      <c r="D17" s="28" t="s">
        <v>80</v>
      </c>
      <c r="E17" s="28" t="s">
        <v>54</v>
      </c>
      <c r="F17" s="28" t="s">
        <v>8383</v>
      </c>
      <c r="G17" s="28"/>
      <c r="H17" s="28" t="s">
        <v>8384</v>
      </c>
      <c r="I17" s="28" t="s">
        <v>8385</v>
      </c>
      <c r="J17" s="28" t="s">
        <v>8387</v>
      </c>
      <c r="K17" s="28" t="s">
        <v>8384</v>
      </c>
      <c r="L17" s="28" t="s">
        <v>1379</v>
      </c>
      <c r="M17" s="28" t="s">
        <v>41</v>
      </c>
      <c r="N17" s="28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</row>
    <row r="18" spans="1:27" ht="14.4">
      <c r="A18" s="28" t="s">
        <v>8217</v>
      </c>
      <c r="B18" s="28" t="s">
        <v>1379</v>
      </c>
      <c r="C18" s="28" t="s">
        <v>233</v>
      </c>
      <c r="D18" s="28" t="s">
        <v>86</v>
      </c>
      <c r="E18" s="28" t="s">
        <v>54</v>
      </c>
      <c r="F18" s="28" t="s">
        <v>8390</v>
      </c>
      <c r="G18" s="28"/>
      <c r="H18" s="28" t="s">
        <v>8360</v>
      </c>
      <c r="I18" s="28" t="s">
        <v>8361</v>
      </c>
      <c r="J18" s="28" t="s">
        <v>8394</v>
      </c>
      <c r="K18" s="28" t="s">
        <v>8360</v>
      </c>
      <c r="L18" s="28" t="s">
        <v>1379</v>
      </c>
      <c r="M18" s="28" t="s">
        <v>41</v>
      </c>
      <c r="N18" s="28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</row>
    <row r="19" spans="1:27" ht="14.4">
      <c r="A19" s="28" t="s">
        <v>8217</v>
      </c>
      <c r="B19" s="28" t="s">
        <v>1379</v>
      </c>
      <c r="C19" s="28" t="s">
        <v>233</v>
      </c>
      <c r="D19" s="28" t="s">
        <v>86</v>
      </c>
      <c r="E19" s="28" t="s">
        <v>54</v>
      </c>
      <c r="F19" s="28" t="s">
        <v>8399</v>
      </c>
      <c r="G19" s="28"/>
      <c r="H19" s="28" t="s">
        <v>8366</v>
      </c>
      <c r="I19" s="28" t="s">
        <v>8367</v>
      </c>
      <c r="J19" s="28" t="s">
        <v>8402</v>
      </c>
      <c r="K19" s="28" t="s">
        <v>8366</v>
      </c>
      <c r="L19" s="28" t="s">
        <v>1379</v>
      </c>
      <c r="M19" s="28" t="s">
        <v>41</v>
      </c>
      <c r="N19" s="28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</row>
    <row r="20" spans="1:27" ht="14.4">
      <c r="A20" s="28" t="s">
        <v>8217</v>
      </c>
      <c r="B20" s="28" t="s">
        <v>1379</v>
      </c>
      <c r="C20" s="28" t="s">
        <v>233</v>
      </c>
      <c r="D20" s="28" t="s">
        <v>86</v>
      </c>
      <c r="E20" s="28" t="s">
        <v>54</v>
      </c>
      <c r="F20" s="28" t="s">
        <v>8409</v>
      </c>
      <c r="G20" s="28"/>
      <c r="H20" s="28" t="s">
        <v>8410</v>
      </c>
      <c r="I20" s="28" t="s">
        <v>335</v>
      </c>
      <c r="J20" s="28" t="s">
        <v>8412</v>
      </c>
      <c r="K20" s="28" t="s">
        <v>8410</v>
      </c>
      <c r="L20" s="28" t="s">
        <v>1379</v>
      </c>
      <c r="M20" s="28" t="s">
        <v>41</v>
      </c>
      <c r="N20" s="28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</row>
    <row r="21" spans="1:27" ht="14.4">
      <c r="A21" s="28" t="s">
        <v>8217</v>
      </c>
      <c r="B21" s="28" t="s">
        <v>1379</v>
      </c>
      <c r="C21" s="28" t="s">
        <v>220</v>
      </c>
      <c r="D21" s="28" t="s">
        <v>234</v>
      </c>
      <c r="E21" s="28" t="s">
        <v>54</v>
      </c>
      <c r="F21" s="28" t="s">
        <v>8418</v>
      </c>
      <c r="G21" s="28"/>
      <c r="H21" s="28" t="s">
        <v>8360</v>
      </c>
      <c r="I21" s="28" t="s">
        <v>8361</v>
      </c>
      <c r="J21" s="28" t="s">
        <v>8422</v>
      </c>
      <c r="K21" s="28" t="s">
        <v>8423</v>
      </c>
      <c r="L21" s="28" t="s">
        <v>1379</v>
      </c>
      <c r="M21" s="28" t="s">
        <v>41</v>
      </c>
      <c r="N21" s="28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</row>
    <row r="22" spans="1:27" ht="14.4">
      <c r="A22" s="28" t="s">
        <v>8217</v>
      </c>
      <c r="B22" s="28" t="s">
        <v>1379</v>
      </c>
      <c r="C22" s="28" t="s">
        <v>220</v>
      </c>
      <c r="D22" s="28" t="s">
        <v>234</v>
      </c>
      <c r="E22" s="28" t="s">
        <v>54</v>
      </c>
      <c r="F22" s="28" t="s">
        <v>8428</v>
      </c>
      <c r="G22" s="28"/>
      <c r="H22" s="28" t="s">
        <v>8429</v>
      </c>
      <c r="I22" s="28" t="s">
        <v>8430</v>
      </c>
      <c r="J22" s="28" t="s">
        <v>8422</v>
      </c>
      <c r="K22" s="28" t="s">
        <v>8433</v>
      </c>
      <c r="L22" s="28" t="s">
        <v>1379</v>
      </c>
      <c r="M22" s="28" t="s">
        <v>41</v>
      </c>
      <c r="N22" s="251" t="s">
        <v>8434</v>
      </c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</row>
    <row r="23" spans="1:27" ht="14.4">
      <c r="A23" s="28" t="s">
        <v>8217</v>
      </c>
      <c r="B23" s="28" t="s">
        <v>1379</v>
      </c>
      <c r="C23" s="28" t="s">
        <v>220</v>
      </c>
      <c r="D23" s="28" t="s">
        <v>234</v>
      </c>
      <c r="E23" s="28" t="s">
        <v>54</v>
      </c>
      <c r="F23" s="28" t="s">
        <v>8438</v>
      </c>
      <c r="G23" s="251"/>
      <c r="H23" s="251" t="s">
        <v>8429</v>
      </c>
      <c r="I23" s="28" t="s">
        <v>8361</v>
      </c>
      <c r="J23" s="28" t="s">
        <v>8422</v>
      </c>
      <c r="K23" s="28" t="s">
        <v>8439</v>
      </c>
      <c r="L23" s="28" t="s">
        <v>1379</v>
      </c>
      <c r="M23" s="28" t="s">
        <v>41</v>
      </c>
      <c r="N23" s="251" t="s">
        <v>8434</v>
      </c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</row>
    <row r="24" spans="1:27" ht="14.4">
      <c r="A24" s="28" t="s">
        <v>8217</v>
      </c>
      <c r="B24" s="28" t="s">
        <v>1379</v>
      </c>
      <c r="C24" s="28" t="s">
        <v>220</v>
      </c>
      <c r="D24" s="28" t="s">
        <v>234</v>
      </c>
      <c r="E24" s="28" t="s">
        <v>54</v>
      </c>
      <c r="F24" s="28" t="s">
        <v>8441</v>
      </c>
      <c r="G24" s="28"/>
      <c r="H24" s="28" t="s">
        <v>8360</v>
      </c>
      <c r="I24" s="28" t="s">
        <v>8361</v>
      </c>
      <c r="J24" s="28" t="s">
        <v>8422</v>
      </c>
      <c r="K24" s="28" t="s">
        <v>8442</v>
      </c>
      <c r="L24" s="28" t="s">
        <v>1379</v>
      </c>
      <c r="M24" s="28" t="s">
        <v>41</v>
      </c>
      <c r="N24" s="28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</row>
    <row r="25" spans="1:27" ht="14.4">
      <c r="A25" s="28" t="s">
        <v>8217</v>
      </c>
      <c r="B25" s="28" t="s">
        <v>1379</v>
      </c>
      <c r="C25" s="28" t="s">
        <v>220</v>
      </c>
      <c r="D25" s="28" t="s">
        <v>234</v>
      </c>
      <c r="E25" s="28" t="s">
        <v>54</v>
      </c>
      <c r="F25" s="28" t="s">
        <v>8447</v>
      </c>
      <c r="G25" s="28"/>
      <c r="H25" s="28" t="s">
        <v>8448</v>
      </c>
      <c r="I25" s="28" t="s">
        <v>8326</v>
      </c>
      <c r="J25" s="28" t="s">
        <v>8449</v>
      </c>
      <c r="K25" s="28" t="s">
        <v>8450</v>
      </c>
      <c r="L25" s="28" t="s">
        <v>1379</v>
      </c>
      <c r="M25" s="28" t="s">
        <v>41</v>
      </c>
      <c r="N25" s="28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</row>
    <row r="26" spans="1:27" ht="14.4">
      <c r="A26" s="28" t="s">
        <v>8217</v>
      </c>
      <c r="B26" s="28" t="s">
        <v>1379</v>
      </c>
      <c r="C26" s="28" t="s">
        <v>233</v>
      </c>
      <c r="D26" s="252">
        <v>75468</v>
      </c>
      <c r="E26" s="28" t="s">
        <v>54</v>
      </c>
      <c r="F26" s="28" t="s">
        <v>8455</v>
      </c>
      <c r="G26" s="28"/>
      <c r="H26" s="28" t="s">
        <v>8457</v>
      </c>
      <c r="I26" s="28" t="s">
        <v>8458</v>
      </c>
      <c r="J26" s="28" t="s">
        <v>8459</v>
      </c>
      <c r="K26" s="28" t="s">
        <v>8461</v>
      </c>
      <c r="L26" s="28" t="s">
        <v>1379</v>
      </c>
      <c r="M26" s="28" t="s">
        <v>41</v>
      </c>
      <c r="N26" s="28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</row>
    <row r="27" spans="1:27" ht="14.4">
      <c r="A27" s="28" t="s">
        <v>8217</v>
      </c>
      <c r="B27" s="28" t="s">
        <v>1379</v>
      </c>
      <c r="C27" s="28" t="s">
        <v>220</v>
      </c>
      <c r="D27" s="28" t="s">
        <v>234</v>
      </c>
      <c r="E27" s="28" t="s">
        <v>54</v>
      </c>
      <c r="F27" s="28" t="s">
        <v>8462</v>
      </c>
      <c r="G27" s="28"/>
      <c r="H27" s="28" t="s">
        <v>8255</v>
      </c>
      <c r="I27" s="28" t="s">
        <v>47</v>
      </c>
      <c r="J27" s="79" t="s">
        <v>8463</v>
      </c>
      <c r="K27" s="28" t="s">
        <v>8464</v>
      </c>
      <c r="L27" s="28" t="s">
        <v>47</v>
      </c>
      <c r="M27" s="28" t="s">
        <v>41</v>
      </c>
      <c r="N27" s="28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</row>
    <row r="28" spans="1:27" ht="14.4">
      <c r="A28" s="28" t="s">
        <v>8217</v>
      </c>
      <c r="B28" s="28" t="s">
        <v>1379</v>
      </c>
      <c r="C28" s="28" t="s">
        <v>220</v>
      </c>
      <c r="D28" s="28" t="s">
        <v>234</v>
      </c>
      <c r="E28" s="28" t="s">
        <v>54</v>
      </c>
      <c r="F28" s="28" t="s">
        <v>8465</v>
      </c>
      <c r="G28" s="28"/>
      <c r="H28" s="28" t="s">
        <v>8255</v>
      </c>
      <c r="I28" s="28" t="s">
        <v>47</v>
      </c>
      <c r="J28" s="79" t="s">
        <v>8463</v>
      </c>
      <c r="K28" s="28" t="s">
        <v>8464</v>
      </c>
      <c r="L28" s="28" t="s">
        <v>47</v>
      </c>
      <c r="M28" s="28" t="s">
        <v>41</v>
      </c>
      <c r="N28" s="28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</row>
    <row r="29" spans="1:27" ht="14.4">
      <c r="A29" s="28" t="s">
        <v>8217</v>
      </c>
      <c r="B29" s="28" t="s">
        <v>1379</v>
      </c>
      <c r="C29" s="28" t="s">
        <v>287</v>
      </c>
      <c r="D29" s="28" t="s">
        <v>8468</v>
      </c>
      <c r="E29" s="28" t="s">
        <v>54</v>
      </c>
      <c r="F29" s="28" t="s">
        <v>8469</v>
      </c>
      <c r="G29" s="28"/>
      <c r="H29" s="28" t="s">
        <v>8470</v>
      </c>
      <c r="I29" s="28" t="s">
        <v>8471</v>
      </c>
      <c r="J29" s="28" t="s">
        <v>8473</v>
      </c>
      <c r="K29" s="28" t="s">
        <v>8470</v>
      </c>
      <c r="L29" s="28" t="s">
        <v>8475</v>
      </c>
      <c r="M29" s="28" t="s">
        <v>41</v>
      </c>
      <c r="N29" s="28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</row>
    <row r="30" spans="1:27" ht="14.4">
      <c r="A30" s="28" t="s">
        <v>8217</v>
      </c>
      <c r="B30" s="28" t="s">
        <v>1379</v>
      </c>
      <c r="C30" s="28" t="s">
        <v>296</v>
      </c>
      <c r="D30" s="29" t="s">
        <v>954</v>
      </c>
      <c r="E30" s="28" t="s">
        <v>54</v>
      </c>
      <c r="F30" s="79" t="s">
        <v>8480</v>
      </c>
      <c r="G30" s="28"/>
      <c r="H30" s="28" t="s">
        <v>8481</v>
      </c>
      <c r="I30" s="28" t="s">
        <v>8482</v>
      </c>
      <c r="J30" s="28" t="s">
        <v>8483</v>
      </c>
      <c r="K30" s="28" t="s">
        <v>8484</v>
      </c>
      <c r="L30" s="28" t="s">
        <v>8475</v>
      </c>
      <c r="M30" s="28" t="s">
        <v>41</v>
      </c>
      <c r="N30" s="28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</row>
    <row r="31" spans="1:27" ht="14.4">
      <c r="A31" s="28" t="s">
        <v>8217</v>
      </c>
      <c r="B31" s="28" t="s">
        <v>1379</v>
      </c>
      <c r="C31" s="28" t="s">
        <v>306</v>
      </c>
      <c r="D31" s="29" t="s">
        <v>341</v>
      </c>
      <c r="E31" s="28" t="s">
        <v>54</v>
      </c>
      <c r="F31" s="28" t="s">
        <v>8486</v>
      </c>
      <c r="G31" s="28"/>
      <c r="H31" s="28" t="s">
        <v>8487</v>
      </c>
      <c r="I31" s="28" t="s">
        <v>8488</v>
      </c>
      <c r="J31" s="79"/>
      <c r="K31" s="28" t="s">
        <v>8487</v>
      </c>
      <c r="L31" s="28" t="s">
        <v>1379</v>
      </c>
      <c r="M31" s="28" t="s">
        <v>41</v>
      </c>
      <c r="N31" s="28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</row>
    <row r="32" spans="1:27" ht="14.4">
      <c r="A32" s="28" t="s">
        <v>8217</v>
      </c>
      <c r="B32" s="28" t="s">
        <v>8494</v>
      </c>
      <c r="C32" s="28" t="s">
        <v>275</v>
      </c>
      <c r="D32" s="28" t="s">
        <v>543</v>
      </c>
      <c r="E32" s="28" t="s">
        <v>54</v>
      </c>
      <c r="F32" s="79" t="s">
        <v>8496</v>
      </c>
      <c r="G32" s="28"/>
      <c r="H32" s="28" t="s">
        <v>8497</v>
      </c>
      <c r="I32" s="28" t="s">
        <v>8498</v>
      </c>
      <c r="J32" s="28" t="s">
        <v>8499</v>
      </c>
      <c r="K32" s="28" t="s">
        <v>8500</v>
      </c>
      <c r="L32" s="28" t="s">
        <v>8501</v>
      </c>
      <c r="M32" s="28" t="s">
        <v>41</v>
      </c>
      <c r="N32" s="28" t="s">
        <v>8227</v>
      </c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</row>
    <row r="33" spans="1:27" ht="14.4">
      <c r="A33" s="28" t="s">
        <v>8217</v>
      </c>
      <c r="B33" s="28" t="s">
        <v>8494</v>
      </c>
      <c r="C33" s="28" t="s">
        <v>85</v>
      </c>
      <c r="D33" s="28" t="s">
        <v>86</v>
      </c>
      <c r="E33" s="28" t="s">
        <v>54</v>
      </c>
      <c r="F33" s="28" t="s">
        <v>8504</v>
      </c>
      <c r="G33" s="28"/>
      <c r="H33" s="28" t="s">
        <v>8505</v>
      </c>
      <c r="I33" s="28" t="s">
        <v>8506</v>
      </c>
      <c r="J33" s="28" t="s">
        <v>4466</v>
      </c>
      <c r="K33" s="28" t="s">
        <v>8508</v>
      </c>
      <c r="L33" s="28" t="s">
        <v>8501</v>
      </c>
      <c r="M33" s="28" t="s">
        <v>41</v>
      </c>
      <c r="N33" s="28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</row>
    <row r="34" spans="1:27" ht="14.4">
      <c r="A34" s="28" t="s">
        <v>8217</v>
      </c>
      <c r="B34" s="28" t="s">
        <v>8494</v>
      </c>
      <c r="C34" s="28" t="s">
        <v>85</v>
      </c>
      <c r="D34" s="28" t="s">
        <v>86</v>
      </c>
      <c r="E34" s="28" t="s">
        <v>54</v>
      </c>
      <c r="F34" s="28" t="s">
        <v>8509</v>
      </c>
      <c r="G34" s="28"/>
      <c r="H34" s="28" t="s">
        <v>8511</v>
      </c>
      <c r="I34" s="28" t="s">
        <v>8512</v>
      </c>
      <c r="J34" s="28" t="s">
        <v>4456</v>
      </c>
      <c r="K34" s="28" t="s">
        <v>8513</v>
      </c>
      <c r="L34" s="28" t="s">
        <v>8501</v>
      </c>
      <c r="M34" s="28" t="s">
        <v>41</v>
      </c>
      <c r="N34" s="28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</row>
    <row r="35" spans="1:27" ht="14.4">
      <c r="A35" s="28" t="s">
        <v>8217</v>
      </c>
      <c r="B35" s="28" t="s">
        <v>8494</v>
      </c>
      <c r="C35" s="28" t="s">
        <v>85</v>
      </c>
      <c r="D35" s="28" t="s">
        <v>86</v>
      </c>
      <c r="E35" s="28" t="s">
        <v>54</v>
      </c>
      <c r="F35" s="28" t="s">
        <v>8517</v>
      </c>
      <c r="G35" s="28"/>
      <c r="H35" s="28" t="s">
        <v>8518</v>
      </c>
      <c r="I35" s="28" t="s">
        <v>8519</v>
      </c>
      <c r="J35" s="28" t="s">
        <v>4461</v>
      </c>
      <c r="K35" s="28" t="s">
        <v>8520</v>
      </c>
      <c r="L35" s="28" t="s">
        <v>8501</v>
      </c>
      <c r="M35" s="28" t="s">
        <v>41</v>
      </c>
      <c r="N35" s="28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</row>
    <row r="36" spans="1:27" ht="14.4">
      <c r="A36" s="28" t="s">
        <v>8217</v>
      </c>
      <c r="B36" s="28" t="s">
        <v>8494</v>
      </c>
      <c r="C36" s="28" t="s">
        <v>85</v>
      </c>
      <c r="D36" s="28" t="s">
        <v>86</v>
      </c>
      <c r="E36" s="28" t="s">
        <v>54</v>
      </c>
      <c r="F36" s="28" t="s">
        <v>8523</v>
      </c>
      <c r="G36" s="28"/>
      <c r="H36" s="28" t="s">
        <v>8525</v>
      </c>
      <c r="I36" s="28" t="s">
        <v>8526</v>
      </c>
      <c r="J36" s="28" t="s">
        <v>8527</v>
      </c>
      <c r="K36" s="28" t="s">
        <v>8528</v>
      </c>
      <c r="L36" s="28" t="s">
        <v>8501</v>
      </c>
      <c r="M36" s="28" t="s">
        <v>41</v>
      </c>
      <c r="N36" s="28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</row>
    <row r="37" spans="1:27" ht="14.4">
      <c r="A37" s="28" t="s">
        <v>8217</v>
      </c>
      <c r="B37" s="28" t="s">
        <v>8494</v>
      </c>
      <c r="C37" s="28" t="s">
        <v>85</v>
      </c>
      <c r="D37" s="28" t="s">
        <v>86</v>
      </c>
      <c r="E37" s="28" t="s">
        <v>54</v>
      </c>
      <c r="F37" s="28" t="s">
        <v>8530</v>
      </c>
      <c r="G37" s="28"/>
      <c r="H37" s="28" t="s">
        <v>8531</v>
      </c>
      <c r="I37" s="28" t="s">
        <v>8533</v>
      </c>
      <c r="J37" s="28" t="s">
        <v>4437</v>
      </c>
      <c r="K37" s="28" t="s">
        <v>8535</v>
      </c>
      <c r="L37" s="28" t="s">
        <v>8501</v>
      </c>
      <c r="M37" s="28" t="s">
        <v>41</v>
      </c>
      <c r="N37" s="28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</row>
    <row r="38" spans="1:27" ht="14.4">
      <c r="A38" s="28" t="s">
        <v>8217</v>
      </c>
      <c r="B38" s="28" t="s">
        <v>8494</v>
      </c>
      <c r="C38" s="28" t="s">
        <v>85</v>
      </c>
      <c r="D38" s="28" t="s">
        <v>86</v>
      </c>
      <c r="E38" s="28" t="s">
        <v>54</v>
      </c>
      <c r="F38" s="28" t="s">
        <v>8537</v>
      </c>
      <c r="G38" s="28"/>
      <c r="H38" s="28" t="s">
        <v>8539</v>
      </c>
      <c r="I38" s="28" t="s">
        <v>8540</v>
      </c>
      <c r="J38" s="28" t="s">
        <v>8542</v>
      </c>
      <c r="K38" s="28" t="s">
        <v>8543</v>
      </c>
      <c r="L38" s="28" t="s">
        <v>8501</v>
      </c>
      <c r="M38" s="28" t="s">
        <v>41</v>
      </c>
      <c r="N38" s="28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</row>
    <row r="39" spans="1:27" ht="14.4">
      <c r="A39" s="28" t="s">
        <v>8217</v>
      </c>
      <c r="B39" s="28" t="s">
        <v>8494</v>
      </c>
      <c r="C39" s="28" t="s">
        <v>85</v>
      </c>
      <c r="D39" s="28" t="s">
        <v>86</v>
      </c>
      <c r="E39" s="28" t="s">
        <v>54</v>
      </c>
      <c r="F39" s="28" t="s">
        <v>8545</v>
      </c>
      <c r="G39" s="28"/>
      <c r="H39" s="28" t="s">
        <v>8546</v>
      </c>
      <c r="I39" s="28" t="s">
        <v>8547</v>
      </c>
      <c r="J39" s="28" t="s">
        <v>4443</v>
      </c>
      <c r="K39" s="28" t="s">
        <v>8548</v>
      </c>
      <c r="L39" s="28" t="s">
        <v>8501</v>
      </c>
      <c r="M39" s="28" t="s">
        <v>41</v>
      </c>
      <c r="N39" s="28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</row>
    <row r="40" spans="1:27" ht="14.4">
      <c r="A40" s="28" t="s">
        <v>8217</v>
      </c>
      <c r="B40" s="28" t="s">
        <v>8494</v>
      </c>
      <c r="C40" s="28" t="s">
        <v>85</v>
      </c>
      <c r="D40" s="28" t="s">
        <v>86</v>
      </c>
      <c r="E40" s="28" t="s">
        <v>54</v>
      </c>
      <c r="F40" s="28" t="s">
        <v>8549</v>
      </c>
      <c r="G40" s="28"/>
      <c r="H40" s="28" t="s">
        <v>8551</v>
      </c>
      <c r="I40" s="28" t="s">
        <v>8552</v>
      </c>
      <c r="J40" s="28" t="s">
        <v>4447</v>
      </c>
      <c r="K40" s="28" t="s">
        <v>8554</v>
      </c>
      <c r="L40" s="28" t="s">
        <v>8501</v>
      </c>
      <c r="M40" s="28" t="s">
        <v>41</v>
      </c>
      <c r="N40" s="28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</row>
    <row r="41" spans="1:27" ht="14.4">
      <c r="A41" s="28" t="s">
        <v>8217</v>
      </c>
      <c r="B41" s="28" t="s">
        <v>8494</v>
      </c>
      <c r="C41" s="28" t="s">
        <v>85</v>
      </c>
      <c r="D41" s="28" t="s">
        <v>86</v>
      </c>
      <c r="E41" s="28" t="s">
        <v>54</v>
      </c>
      <c r="F41" s="28" t="s">
        <v>8555</v>
      </c>
      <c r="G41" s="28"/>
      <c r="H41" s="28" t="s">
        <v>8556</v>
      </c>
      <c r="I41" s="28" t="s">
        <v>8557</v>
      </c>
      <c r="J41" s="28" t="s">
        <v>8558</v>
      </c>
      <c r="K41" s="28" t="s">
        <v>8559</v>
      </c>
      <c r="L41" s="28" t="s">
        <v>8501</v>
      </c>
      <c r="M41" s="28" t="s">
        <v>41</v>
      </c>
      <c r="N41" s="28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</row>
    <row r="42" spans="1:27" ht="14.4">
      <c r="A42" s="28" t="s">
        <v>8217</v>
      </c>
      <c r="B42" s="28" t="s">
        <v>8494</v>
      </c>
      <c r="C42" s="28" t="s">
        <v>85</v>
      </c>
      <c r="D42" s="28" t="s">
        <v>86</v>
      </c>
      <c r="E42" s="28" t="s">
        <v>54</v>
      </c>
      <c r="F42" s="28" t="s">
        <v>8563</v>
      </c>
      <c r="G42" s="28"/>
      <c r="H42" s="28" t="s">
        <v>8497</v>
      </c>
      <c r="I42" s="28" t="s">
        <v>8565</v>
      </c>
      <c r="J42" s="28" t="s">
        <v>4452</v>
      </c>
      <c r="K42" s="28" t="s">
        <v>8497</v>
      </c>
      <c r="L42" s="28" t="s">
        <v>8501</v>
      </c>
      <c r="M42" s="28" t="s">
        <v>41</v>
      </c>
      <c r="N42" s="28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</row>
    <row r="43" spans="1:27" ht="14.4">
      <c r="A43" s="28" t="s">
        <v>8217</v>
      </c>
      <c r="B43" s="28" t="s">
        <v>8494</v>
      </c>
      <c r="C43" s="28" t="s">
        <v>85</v>
      </c>
      <c r="D43" s="28" t="s">
        <v>86</v>
      </c>
      <c r="E43" s="28" t="s">
        <v>54</v>
      </c>
      <c r="F43" s="28" t="s">
        <v>8569</v>
      </c>
      <c r="G43" s="28"/>
      <c r="H43" s="28" t="s">
        <v>8570</v>
      </c>
      <c r="I43" s="28" t="s">
        <v>8571</v>
      </c>
      <c r="J43" s="28" t="s">
        <v>8572</v>
      </c>
      <c r="K43" s="28" t="s">
        <v>8574</v>
      </c>
      <c r="L43" s="28" t="s">
        <v>8501</v>
      </c>
      <c r="M43" s="28" t="s">
        <v>41</v>
      </c>
      <c r="N43" s="28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</row>
    <row r="44" spans="1:27" ht="14.4">
      <c r="A44" s="28" t="s">
        <v>8217</v>
      </c>
      <c r="B44" s="28" t="s">
        <v>8494</v>
      </c>
      <c r="C44" s="28" t="s">
        <v>85</v>
      </c>
      <c r="D44" s="28" t="s">
        <v>86</v>
      </c>
      <c r="E44" s="28" t="s">
        <v>54</v>
      </c>
      <c r="F44" s="28" t="s">
        <v>8578</v>
      </c>
      <c r="G44" s="28"/>
      <c r="H44" s="28" t="s">
        <v>8579</v>
      </c>
      <c r="I44" s="28" t="s">
        <v>8580</v>
      </c>
      <c r="J44" s="28" t="s">
        <v>8581</v>
      </c>
      <c r="K44" s="28" t="s">
        <v>8579</v>
      </c>
      <c r="L44" s="28" t="s">
        <v>8501</v>
      </c>
      <c r="M44" s="28" t="s">
        <v>41</v>
      </c>
      <c r="N44" s="28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</row>
    <row r="45" spans="1:27" ht="14.4">
      <c r="A45" s="28" t="s">
        <v>8217</v>
      </c>
      <c r="B45" s="28" t="s">
        <v>8494</v>
      </c>
      <c r="C45" s="28" t="s">
        <v>79</v>
      </c>
      <c r="D45" s="29" t="s">
        <v>80</v>
      </c>
      <c r="E45" s="28" t="s">
        <v>54</v>
      </c>
      <c r="F45" s="28" t="s">
        <v>8584</v>
      </c>
      <c r="G45" s="28"/>
      <c r="H45" s="28" t="s">
        <v>8585</v>
      </c>
      <c r="I45" s="28" t="s">
        <v>8586</v>
      </c>
      <c r="J45" s="28" t="s">
        <v>8587</v>
      </c>
      <c r="K45" s="28" t="s">
        <v>8585</v>
      </c>
      <c r="L45" s="28" t="s">
        <v>8501</v>
      </c>
      <c r="M45" s="28" t="s">
        <v>41</v>
      </c>
      <c r="N45" s="28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</row>
    <row r="46" spans="1:27" ht="14.4">
      <c r="A46" s="28" t="s">
        <v>8217</v>
      </c>
      <c r="B46" s="28" t="s">
        <v>8494</v>
      </c>
      <c r="C46" s="28" t="s">
        <v>233</v>
      </c>
      <c r="D46" s="28" t="s">
        <v>298</v>
      </c>
      <c r="E46" s="28" t="s">
        <v>54</v>
      </c>
      <c r="F46" s="28" t="s">
        <v>8589</v>
      </c>
      <c r="G46" s="28"/>
      <c r="H46" s="28" t="s">
        <v>8579</v>
      </c>
      <c r="I46" s="28" t="s">
        <v>8580</v>
      </c>
      <c r="J46" s="28" t="s">
        <v>8590</v>
      </c>
      <c r="K46" s="28" t="s">
        <v>8592</v>
      </c>
      <c r="L46" s="28" t="s">
        <v>8501</v>
      </c>
      <c r="M46" s="28" t="s">
        <v>41</v>
      </c>
      <c r="N46" s="28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</row>
    <row r="47" spans="1:27" ht="14.4">
      <c r="A47" s="28" t="s">
        <v>8217</v>
      </c>
      <c r="B47" s="28" t="s">
        <v>8494</v>
      </c>
      <c r="C47" s="28" t="s">
        <v>233</v>
      </c>
      <c r="D47" s="28" t="s">
        <v>298</v>
      </c>
      <c r="E47" s="28" t="s">
        <v>54</v>
      </c>
      <c r="F47" s="28" t="s">
        <v>8593</v>
      </c>
      <c r="G47" s="28"/>
      <c r="H47" s="28" t="s">
        <v>8497</v>
      </c>
      <c r="I47" s="28" t="s">
        <v>8565</v>
      </c>
      <c r="J47" s="28" t="s">
        <v>8595</v>
      </c>
      <c r="K47" s="28" t="s">
        <v>8497</v>
      </c>
      <c r="L47" s="28" t="s">
        <v>8501</v>
      </c>
      <c r="M47" s="28" t="s">
        <v>41</v>
      </c>
      <c r="N47" s="28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</row>
    <row r="48" spans="1:27" ht="14.4">
      <c r="A48" s="28" t="s">
        <v>8217</v>
      </c>
      <c r="B48" s="28" t="s">
        <v>8494</v>
      </c>
      <c r="C48" s="28" t="s">
        <v>233</v>
      </c>
      <c r="D48" s="28" t="s">
        <v>298</v>
      </c>
      <c r="E48" s="28" t="s">
        <v>54</v>
      </c>
      <c r="F48" s="28" t="s">
        <v>8598</v>
      </c>
      <c r="G48" s="28"/>
      <c r="H48" s="28" t="s">
        <v>8599</v>
      </c>
      <c r="I48" s="28" t="s">
        <v>8600</v>
      </c>
      <c r="J48" s="28" t="s">
        <v>8602</v>
      </c>
      <c r="K48" s="28" t="s">
        <v>8599</v>
      </c>
      <c r="L48" s="28" t="s">
        <v>8501</v>
      </c>
      <c r="M48" s="28" t="s">
        <v>41</v>
      </c>
      <c r="N48" s="28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</row>
    <row r="49" spans="1:27" ht="14.4">
      <c r="A49" s="28" t="s">
        <v>8217</v>
      </c>
      <c r="B49" s="28" t="s">
        <v>8494</v>
      </c>
      <c r="C49" s="28" t="s">
        <v>233</v>
      </c>
      <c r="D49" s="28" t="s">
        <v>298</v>
      </c>
      <c r="E49" s="28" t="s">
        <v>54</v>
      </c>
      <c r="F49" s="28" t="s">
        <v>8606</v>
      </c>
      <c r="G49" s="28"/>
      <c r="H49" s="28" t="s">
        <v>8607</v>
      </c>
      <c r="I49" s="28" t="s">
        <v>8608</v>
      </c>
      <c r="J49" s="28" t="s">
        <v>8609</v>
      </c>
      <c r="K49" s="28" t="s">
        <v>8607</v>
      </c>
      <c r="L49" s="28" t="s">
        <v>8501</v>
      </c>
      <c r="M49" s="28" t="s">
        <v>41</v>
      </c>
      <c r="N49" s="28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</row>
    <row r="50" spans="1:27" ht="14.4">
      <c r="A50" s="28" t="s">
        <v>8217</v>
      </c>
      <c r="B50" s="28" t="s">
        <v>8494</v>
      </c>
      <c r="C50" s="28" t="s">
        <v>220</v>
      </c>
      <c r="D50" s="28" t="s">
        <v>234</v>
      </c>
      <c r="E50" s="28" t="s">
        <v>54</v>
      </c>
      <c r="F50" s="28" t="s">
        <v>8612</v>
      </c>
      <c r="G50" s="28"/>
      <c r="H50" s="28" t="s">
        <v>8614</v>
      </c>
      <c r="I50" s="28" t="s">
        <v>8615</v>
      </c>
      <c r="J50" s="28" t="s">
        <v>8616</v>
      </c>
      <c r="K50" s="28" t="s">
        <v>8617</v>
      </c>
      <c r="L50" s="28" t="s">
        <v>8501</v>
      </c>
      <c r="M50" s="28" t="s">
        <v>41</v>
      </c>
      <c r="N50" s="28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</row>
    <row r="51" spans="1:27" ht="14.4">
      <c r="A51" s="28" t="s">
        <v>8217</v>
      </c>
      <c r="B51" s="28" t="s">
        <v>8494</v>
      </c>
      <c r="C51" s="28" t="s">
        <v>220</v>
      </c>
      <c r="D51" s="28" t="s">
        <v>234</v>
      </c>
      <c r="E51" s="28" t="s">
        <v>54</v>
      </c>
      <c r="F51" s="28" t="s">
        <v>8620</v>
      </c>
      <c r="G51" s="28"/>
      <c r="H51" s="28" t="s">
        <v>8614</v>
      </c>
      <c r="I51" s="28" t="s">
        <v>8615</v>
      </c>
      <c r="J51" s="28" t="s">
        <v>8622</v>
      </c>
      <c r="K51" s="28" t="s">
        <v>8623</v>
      </c>
      <c r="L51" s="28" t="s">
        <v>8501</v>
      </c>
      <c r="M51" s="28" t="s">
        <v>41</v>
      </c>
      <c r="N51" s="28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</row>
    <row r="52" spans="1:27" ht="14.4">
      <c r="A52" s="28" t="s">
        <v>8217</v>
      </c>
      <c r="B52" s="28" t="s">
        <v>8494</v>
      </c>
      <c r="C52" s="28" t="s">
        <v>220</v>
      </c>
      <c r="D52" s="28" t="s">
        <v>234</v>
      </c>
      <c r="E52" s="28" t="s">
        <v>54</v>
      </c>
      <c r="F52" s="28" t="s">
        <v>8626</v>
      </c>
      <c r="G52" s="28"/>
      <c r="H52" s="28" t="s">
        <v>8497</v>
      </c>
      <c r="I52" s="28" t="s">
        <v>8565</v>
      </c>
      <c r="J52" s="28" t="s">
        <v>8627</v>
      </c>
      <c r="K52" s="28" t="s">
        <v>8628</v>
      </c>
      <c r="L52" s="28" t="s">
        <v>8501</v>
      </c>
      <c r="M52" s="28" t="s">
        <v>41</v>
      </c>
      <c r="N52" s="28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</row>
    <row r="53" spans="1:27" ht="14.4">
      <c r="A53" s="28" t="s">
        <v>8217</v>
      </c>
      <c r="B53" s="28" t="s">
        <v>8494</v>
      </c>
      <c r="C53" s="28" t="s">
        <v>220</v>
      </c>
      <c r="D53" s="28" t="s">
        <v>234</v>
      </c>
      <c r="E53" s="28" t="s">
        <v>54</v>
      </c>
      <c r="F53" s="28" t="s">
        <v>8633</v>
      </c>
      <c r="G53" s="28"/>
      <c r="H53" s="28" t="s">
        <v>8634</v>
      </c>
      <c r="I53" s="28" t="s">
        <v>8635</v>
      </c>
      <c r="J53" s="28" t="s">
        <v>8637</v>
      </c>
      <c r="K53" s="28" t="s">
        <v>8638</v>
      </c>
      <c r="L53" s="28" t="s">
        <v>8501</v>
      </c>
      <c r="M53" s="28" t="s">
        <v>41</v>
      </c>
      <c r="N53" s="28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</row>
    <row r="54" spans="1:27" ht="14.4">
      <c r="A54" s="28" t="s">
        <v>8217</v>
      </c>
      <c r="B54" s="28" t="s">
        <v>8494</v>
      </c>
      <c r="C54" s="28" t="s">
        <v>51</v>
      </c>
      <c r="D54" s="29" t="s">
        <v>52</v>
      </c>
      <c r="E54" s="28" t="s">
        <v>54</v>
      </c>
      <c r="F54" s="28" t="s">
        <v>7046</v>
      </c>
      <c r="G54" s="28"/>
      <c r="H54" s="28" t="s">
        <v>8641</v>
      </c>
      <c r="I54" s="28" t="s">
        <v>8643</v>
      </c>
      <c r="J54" s="28" t="s">
        <v>8645</v>
      </c>
      <c r="K54" s="28" t="s">
        <v>8641</v>
      </c>
      <c r="L54" s="28" t="s">
        <v>8501</v>
      </c>
      <c r="M54" s="28" t="s">
        <v>41</v>
      </c>
      <c r="N54" s="28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</row>
    <row r="55" spans="1:27" ht="14.4">
      <c r="A55" s="28" t="s">
        <v>8217</v>
      </c>
      <c r="B55" s="28" t="s">
        <v>8494</v>
      </c>
      <c r="C55" s="28" t="s">
        <v>70</v>
      </c>
      <c r="D55" s="29" t="s">
        <v>71</v>
      </c>
      <c r="E55" s="28" t="s">
        <v>54</v>
      </c>
      <c r="F55" s="28" t="s">
        <v>7046</v>
      </c>
      <c r="G55" s="28"/>
      <c r="H55" s="28" t="s">
        <v>8641</v>
      </c>
      <c r="I55" s="28" t="s">
        <v>8643</v>
      </c>
      <c r="J55" s="28" t="s">
        <v>8645</v>
      </c>
      <c r="K55" s="28" t="s">
        <v>8641</v>
      </c>
      <c r="L55" s="28" t="s">
        <v>8501</v>
      </c>
      <c r="M55" s="28" t="s">
        <v>41</v>
      </c>
      <c r="N55" s="28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101"/>
    </row>
    <row r="56" spans="1:27" ht="14.4">
      <c r="A56" s="28" t="s">
        <v>8217</v>
      </c>
      <c r="B56" s="28" t="s">
        <v>8494</v>
      </c>
      <c r="C56" s="28" t="s">
        <v>296</v>
      </c>
      <c r="D56" s="29" t="s">
        <v>954</v>
      </c>
      <c r="E56" s="28" t="s">
        <v>54</v>
      </c>
      <c r="F56" s="79" t="s">
        <v>8652</v>
      </c>
      <c r="G56" s="28"/>
      <c r="H56" s="28" t="s">
        <v>8255</v>
      </c>
      <c r="I56" s="28" t="s">
        <v>8413</v>
      </c>
      <c r="J56" s="28" t="s">
        <v>8654</v>
      </c>
      <c r="K56" s="28"/>
      <c r="L56" s="28" t="s">
        <v>8656</v>
      </c>
      <c r="M56" s="28" t="s">
        <v>41</v>
      </c>
      <c r="N56" s="28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</row>
    <row r="57" spans="1:27" ht="14.4">
      <c r="A57" s="28" t="s">
        <v>8217</v>
      </c>
      <c r="B57" s="28" t="s">
        <v>8661</v>
      </c>
      <c r="C57" s="28" t="s">
        <v>275</v>
      </c>
      <c r="D57" s="28" t="s">
        <v>543</v>
      </c>
      <c r="E57" s="28" t="s">
        <v>54</v>
      </c>
      <c r="F57" s="79" t="s">
        <v>8663</v>
      </c>
      <c r="G57" s="28"/>
      <c r="H57" s="28" t="s">
        <v>8664</v>
      </c>
      <c r="I57" s="28" t="s">
        <v>8665</v>
      </c>
      <c r="J57" s="28" t="s">
        <v>3957</v>
      </c>
      <c r="K57" s="28" t="s">
        <v>8666</v>
      </c>
      <c r="L57" s="28" t="s">
        <v>8667</v>
      </c>
      <c r="M57" s="28" t="s">
        <v>41</v>
      </c>
      <c r="N57" s="28" t="s">
        <v>8227</v>
      </c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</row>
    <row r="58" spans="1:27" ht="14.4">
      <c r="A58" s="28" t="s">
        <v>8217</v>
      </c>
      <c r="B58" s="28" t="s">
        <v>8661</v>
      </c>
      <c r="C58" s="28" t="s">
        <v>85</v>
      </c>
      <c r="D58" s="28" t="s">
        <v>86</v>
      </c>
      <c r="E58" s="28" t="s">
        <v>54</v>
      </c>
      <c r="F58" s="28" t="s">
        <v>8670</v>
      </c>
      <c r="G58" s="28"/>
      <c r="H58" s="28" t="s">
        <v>8671</v>
      </c>
      <c r="I58" s="28" t="s">
        <v>8673</v>
      </c>
      <c r="J58" s="28" t="s">
        <v>2903</v>
      </c>
      <c r="K58" s="28" t="s">
        <v>8671</v>
      </c>
      <c r="L58" s="28" t="s">
        <v>8667</v>
      </c>
      <c r="M58" s="28" t="s">
        <v>41</v>
      </c>
      <c r="N58" s="28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</row>
    <row r="59" spans="1:27" ht="14.4">
      <c r="A59" s="28" t="s">
        <v>8217</v>
      </c>
      <c r="B59" s="28" t="s">
        <v>8661</v>
      </c>
      <c r="C59" s="28" t="s">
        <v>85</v>
      </c>
      <c r="D59" s="28" t="s">
        <v>86</v>
      </c>
      <c r="E59" s="28" t="s">
        <v>54</v>
      </c>
      <c r="F59" s="28" t="s">
        <v>8682</v>
      </c>
      <c r="G59" s="28"/>
      <c r="H59" s="28" t="s">
        <v>8683</v>
      </c>
      <c r="I59" s="28" t="s">
        <v>8684</v>
      </c>
      <c r="J59" s="28" t="s">
        <v>2909</v>
      </c>
      <c r="K59" s="28" t="s">
        <v>8683</v>
      </c>
      <c r="L59" s="28" t="s">
        <v>8667</v>
      </c>
      <c r="M59" s="28" t="s">
        <v>41</v>
      </c>
      <c r="N59" s="28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</row>
    <row r="60" spans="1:27" ht="14.4">
      <c r="A60" s="28" t="s">
        <v>8217</v>
      </c>
      <c r="B60" s="28" t="s">
        <v>8661</v>
      </c>
      <c r="C60" s="28" t="s">
        <v>85</v>
      </c>
      <c r="D60" s="28" t="s">
        <v>86</v>
      </c>
      <c r="E60" s="28" t="s">
        <v>54</v>
      </c>
      <c r="F60" s="28" t="s">
        <v>8693</v>
      </c>
      <c r="G60" s="28"/>
      <c r="H60" s="28" t="s">
        <v>8696</v>
      </c>
      <c r="I60" s="28" t="s">
        <v>8697</v>
      </c>
      <c r="J60" s="28" t="s">
        <v>2915</v>
      </c>
      <c r="K60" s="28" t="s">
        <v>8696</v>
      </c>
      <c r="L60" s="28" t="s">
        <v>8667</v>
      </c>
      <c r="M60" s="28" t="s">
        <v>41</v>
      </c>
      <c r="N60" s="28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</row>
    <row r="61" spans="1:27" ht="14.4">
      <c r="A61" s="28" t="s">
        <v>8217</v>
      </c>
      <c r="B61" s="28" t="s">
        <v>8661</v>
      </c>
      <c r="C61" s="28" t="s">
        <v>85</v>
      </c>
      <c r="D61" s="28" t="s">
        <v>86</v>
      </c>
      <c r="E61" s="28" t="s">
        <v>54</v>
      </c>
      <c r="F61" s="28" t="s">
        <v>8701</v>
      </c>
      <c r="G61" s="28"/>
      <c r="H61" s="28" t="s">
        <v>8664</v>
      </c>
      <c r="I61" s="28" t="s">
        <v>8704</v>
      </c>
      <c r="J61" s="28" t="s">
        <v>2920</v>
      </c>
      <c r="K61" s="28" t="s">
        <v>8705</v>
      </c>
      <c r="L61" s="28" t="s">
        <v>8667</v>
      </c>
      <c r="M61" s="28" t="s">
        <v>41</v>
      </c>
      <c r="N61" s="28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</row>
    <row r="62" spans="1:27" ht="14.4">
      <c r="A62" s="28" t="s">
        <v>8217</v>
      </c>
      <c r="B62" s="28" t="s">
        <v>8661</v>
      </c>
      <c r="C62" s="28" t="s">
        <v>85</v>
      </c>
      <c r="D62" s="28" t="s">
        <v>86</v>
      </c>
      <c r="E62" s="28" t="s">
        <v>54</v>
      </c>
      <c r="F62" s="28" t="s">
        <v>8709</v>
      </c>
      <c r="G62" s="28"/>
      <c r="H62" s="28" t="s">
        <v>8664</v>
      </c>
      <c r="I62" s="28" t="s">
        <v>8704</v>
      </c>
      <c r="J62" s="28" t="s">
        <v>2928</v>
      </c>
      <c r="K62" s="28" t="s">
        <v>8711</v>
      </c>
      <c r="L62" s="28" t="s">
        <v>8667</v>
      </c>
      <c r="M62" s="28" t="s">
        <v>41</v>
      </c>
      <c r="N62" s="28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</row>
    <row r="63" spans="1:27" ht="14.4">
      <c r="A63" s="28" t="s">
        <v>8217</v>
      </c>
      <c r="B63" s="28" t="s">
        <v>8661</v>
      </c>
      <c r="C63" s="28" t="s">
        <v>85</v>
      </c>
      <c r="D63" s="28" t="s">
        <v>86</v>
      </c>
      <c r="E63" s="28" t="s">
        <v>54</v>
      </c>
      <c r="F63" s="28" t="s">
        <v>8716</v>
      </c>
      <c r="G63" s="28"/>
      <c r="H63" s="28" t="s">
        <v>8664</v>
      </c>
      <c r="I63" s="28" t="s">
        <v>8704</v>
      </c>
      <c r="J63" s="28" t="s">
        <v>8717</v>
      </c>
      <c r="K63" s="28" t="s">
        <v>8718</v>
      </c>
      <c r="L63" s="28" t="s">
        <v>8667</v>
      </c>
      <c r="M63" s="28" t="s">
        <v>41</v>
      </c>
      <c r="N63" s="28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</row>
    <row r="64" spans="1:27" ht="14.4">
      <c r="A64" s="28" t="s">
        <v>8217</v>
      </c>
      <c r="B64" s="28" t="s">
        <v>8661</v>
      </c>
      <c r="C64" s="28" t="s">
        <v>85</v>
      </c>
      <c r="D64" s="28" t="s">
        <v>86</v>
      </c>
      <c r="E64" s="28" t="s">
        <v>54</v>
      </c>
      <c r="F64" s="28" t="s">
        <v>8725</v>
      </c>
      <c r="G64" s="28"/>
      <c r="H64" s="28" t="s">
        <v>8664</v>
      </c>
      <c r="I64" s="28" t="s">
        <v>2944</v>
      </c>
      <c r="J64" s="28" t="s">
        <v>2939</v>
      </c>
      <c r="K64" s="28" t="s">
        <v>8727</v>
      </c>
      <c r="L64" s="28" t="s">
        <v>8667</v>
      </c>
      <c r="M64" s="28" t="s">
        <v>41</v>
      </c>
      <c r="N64" s="28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</row>
    <row r="65" spans="1:27" ht="14.4">
      <c r="A65" s="28" t="s">
        <v>8217</v>
      </c>
      <c r="B65" s="28" t="s">
        <v>8661</v>
      </c>
      <c r="C65" s="28" t="s">
        <v>85</v>
      </c>
      <c r="D65" s="28" t="s">
        <v>86</v>
      </c>
      <c r="E65" s="28" t="s">
        <v>54</v>
      </c>
      <c r="F65" s="28" t="s">
        <v>8731</v>
      </c>
      <c r="G65" s="28"/>
      <c r="H65" s="28" t="s">
        <v>8664</v>
      </c>
      <c r="I65" s="28" t="s">
        <v>2944</v>
      </c>
      <c r="J65" s="28" t="s">
        <v>2945</v>
      </c>
      <c r="K65" s="28" t="s">
        <v>8732</v>
      </c>
      <c r="L65" s="28" t="s">
        <v>8667</v>
      </c>
      <c r="M65" s="28" t="s">
        <v>41</v>
      </c>
      <c r="N65" s="28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</row>
    <row r="66" spans="1:27" ht="14.4">
      <c r="A66" s="28" t="s">
        <v>8217</v>
      </c>
      <c r="B66" s="28" t="s">
        <v>8661</v>
      </c>
      <c r="C66" s="28" t="s">
        <v>85</v>
      </c>
      <c r="D66" s="28" t="s">
        <v>86</v>
      </c>
      <c r="E66" s="28" t="s">
        <v>54</v>
      </c>
      <c r="F66" s="28" t="s">
        <v>8741</v>
      </c>
      <c r="G66" s="28"/>
      <c r="H66" s="28" t="s">
        <v>8664</v>
      </c>
      <c r="I66" s="28" t="s">
        <v>2944</v>
      </c>
      <c r="J66" s="28" t="s">
        <v>2951</v>
      </c>
      <c r="K66" s="28" t="s">
        <v>8742</v>
      </c>
      <c r="L66" s="28" t="s">
        <v>8667</v>
      </c>
      <c r="M66" s="28" t="s">
        <v>41</v>
      </c>
      <c r="N66" s="28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</row>
    <row r="67" spans="1:27" ht="14.4">
      <c r="A67" s="28" t="s">
        <v>8217</v>
      </c>
      <c r="B67" s="28" t="s">
        <v>8661</v>
      </c>
      <c r="C67" s="28" t="s">
        <v>85</v>
      </c>
      <c r="D67" s="28" t="s">
        <v>86</v>
      </c>
      <c r="E67" s="28" t="s">
        <v>54</v>
      </c>
      <c r="F67" s="28" t="s">
        <v>8747</v>
      </c>
      <c r="G67" s="28"/>
      <c r="H67" s="28" t="s">
        <v>8664</v>
      </c>
      <c r="I67" s="28" t="s">
        <v>8665</v>
      </c>
      <c r="J67" s="28" t="s">
        <v>2955</v>
      </c>
      <c r="K67" s="28" t="s">
        <v>8749</v>
      </c>
      <c r="L67" s="28" t="s">
        <v>8667</v>
      </c>
      <c r="M67" s="28" t="s">
        <v>41</v>
      </c>
      <c r="N67" s="28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</row>
    <row r="68" spans="1:27" ht="14.4">
      <c r="A68" s="28" t="s">
        <v>8217</v>
      </c>
      <c r="B68" s="28" t="s">
        <v>8661</v>
      </c>
      <c r="C68" s="28" t="s">
        <v>85</v>
      </c>
      <c r="D68" s="28" t="s">
        <v>86</v>
      </c>
      <c r="E68" s="28" t="s">
        <v>54</v>
      </c>
      <c r="F68" s="28" t="s">
        <v>8753</v>
      </c>
      <c r="G68" s="28"/>
      <c r="H68" s="28" t="s">
        <v>8664</v>
      </c>
      <c r="I68" s="28" t="s">
        <v>8704</v>
      </c>
      <c r="J68" s="28" t="s">
        <v>3040</v>
      </c>
      <c r="K68" s="28" t="s">
        <v>8756</v>
      </c>
      <c r="L68" s="28" t="s">
        <v>8667</v>
      </c>
      <c r="M68" s="28" t="s">
        <v>41</v>
      </c>
      <c r="N68" s="28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</row>
    <row r="69" spans="1:27" ht="14.4">
      <c r="A69" s="28" t="s">
        <v>8217</v>
      </c>
      <c r="B69" s="28" t="s">
        <v>8661</v>
      </c>
      <c r="C69" s="28" t="s">
        <v>85</v>
      </c>
      <c r="D69" s="28" t="s">
        <v>86</v>
      </c>
      <c r="E69" s="28" t="s">
        <v>54</v>
      </c>
      <c r="F69" s="28" t="s">
        <v>8760</v>
      </c>
      <c r="G69" s="28"/>
      <c r="H69" s="28" t="s">
        <v>8761</v>
      </c>
      <c r="I69" s="28" t="s">
        <v>8763</v>
      </c>
      <c r="J69" s="28" t="s">
        <v>3633</v>
      </c>
      <c r="K69" s="28" t="s">
        <v>8765</v>
      </c>
      <c r="L69" s="28" t="s">
        <v>8667</v>
      </c>
      <c r="M69" s="28" t="s">
        <v>41</v>
      </c>
      <c r="N69" s="28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</row>
    <row r="70" spans="1:27" ht="14.4">
      <c r="A70" s="28" t="s">
        <v>8217</v>
      </c>
      <c r="B70" s="28" t="s">
        <v>8661</v>
      </c>
      <c r="C70" s="28" t="s">
        <v>79</v>
      </c>
      <c r="D70" s="29" t="s">
        <v>80</v>
      </c>
      <c r="E70" s="28" t="s">
        <v>54</v>
      </c>
      <c r="F70" s="28" t="s">
        <v>8768</v>
      </c>
      <c r="G70" s="28"/>
      <c r="H70" s="28" t="s">
        <v>8664</v>
      </c>
      <c r="I70" s="28" t="s">
        <v>2944</v>
      </c>
      <c r="J70" s="28" t="s">
        <v>8770</v>
      </c>
      <c r="K70" s="28" t="s">
        <v>8664</v>
      </c>
      <c r="L70" s="28" t="s">
        <v>8667</v>
      </c>
      <c r="M70" s="28" t="s">
        <v>41</v>
      </c>
      <c r="N70" s="28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</row>
    <row r="71" spans="1:27" ht="14.4">
      <c r="A71" s="28" t="s">
        <v>8217</v>
      </c>
      <c r="B71" s="28" t="s">
        <v>8661</v>
      </c>
      <c r="C71" s="28" t="s">
        <v>233</v>
      </c>
      <c r="D71" s="29" t="s">
        <v>298</v>
      </c>
      <c r="E71" s="28" t="s">
        <v>54</v>
      </c>
      <c r="F71" s="28" t="s">
        <v>8776</v>
      </c>
      <c r="G71" s="28"/>
      <c r="H71" s="28" t="s">
        <v>8777</v>
      </c>
      <c r="I71" s="28" t="s">
        <v>8778</v>
      </c>
      <c r="J71" s="28" t="s">
        <v>3109</v>
      </c>
      <c r="K71" s="28" t="s">
        <v>8777</v>
      </c>
      <c r="L71" s="28" t="s">
        <v>8667</v>
      </c>
      <c r="M71" s="28" t="s">
        <v>41</v>
      </c>
      <c r="N71" s="28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</row>
    <row r="72" spans="1:27" ht="14.4">
      <c r="A72" s="28" t="s">
        <v>8217</v>
      </c>
      <c r="B72" s="28" t="s">
        <v>8661</v>
      </c>
      <c r="C72" s="28" t="s">
        <v>233</v>
      </c>
      <c r="D72" s="29" t="s">
        <v>298</v>
      </c>
      <c r="E72" s="28" t="s">
        <v>54</v>
      </c>
      <c r="F72" s="28" t="s">
        <v>8781</v>
      </c>
      <c r="G72" s="28"/>
      <c r="H72" s="28" t="s">
        <v>8664</v>
      </c>
      <c r="I72" s="28" t="s">
        <v>2944</v>
      </c>
      <c r="J72" s="28" t="s">
        <v>3123</v>
      </c>
      <c r="K72" s="28" t="s">
        <v>8782</v>
      </c>
      <c r="L72" s="28" t="s">
        <v>8667</v>
      </c>
      <c r="M72" s="28" t="s">
        <v>41</v>
      </c>
      <c r="N72" s="28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</row>
    <row r="73" spans="1:27" ht="14.4">
      <c r="A73" s="28" t="s">
        <v>8217</v>
      </c>
      <c r="B73" s="28" t="s">
        <v>8661</v>
      </c>
      <c r="C73" s="28" t="s">
        <v>233</v>
      </c>
      <c r="D73" s="29" t="s">
        <v>298</v>
      </c>
      <c r="E73" s="28" t="s">
        <v>54</v>
      </c>
      <c r="F73" s="28" t="s">
        <v>8784</v>
      </c>
      <c r="G73" s="28"/>
      <c r="H73" s="28" t="s">
        <v>8664</v>
      </c>
      <c r="I73" s="28" t="s">
        <v>2944</v>
      </c>
      <c r="J73" s="28" t="s">
        <v>3118</v>
      </c>
      <c r="K73" s="28" t="s">
        <v>8786</v>
      </c>
      <c r="L73" s="28" t="s">
        <v>8667</v>
      </c>
      <c r="M73" s="28" t="s">
        <v>41</v>
      </c>
      <c r="N73" s="28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</row>
    <row r="74" spans="1:27" ht="14.4">
      <c r="A74" s="28" t="s">
        <v>8217</v>
      </c>
      <c r="B74" s="28" t="s">
        <v>8661</v>
      </c>
      <c r="C74" s="28" t="s">
        <v>233</v>
      </c>
      <c r="D74" s="29" t="s">
        <v>298</v>
      </c>
      <c r="E74" s="28" t="s">
        <v>54</v>
      </c>
      <c r="F74" s="28" t="s">
        <v>8788</v>
      </c>
      <c r="G74" s="28"/>
      <c r="H74" s="28" t="s">
        <v>8789</v>
      </c>
      <c r="I74" s="28" t="s">
        <v>2128</v>
      </c>
      <c r="J74" s="28" t="s">
        <v>3129</v>
      </c>
      <c r="K74" s="28" t="s">
        <v>8789</v>
      </c>
      <c r="L74" s="28" t="s">
        <v>8667</v>
      </c>
      <c r="M74" s="28" t="s">
        <v>41</v>
      </c>
      <c r="N74" s="28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</row>
    <row r="75" spans="1:27" ht="14.4">
      <c r="A75" s="28" t="s">
        <v>8217</v>
      </c>
      <c r="B75" s="28" t="s">
        <v>8661</v>
      </c>
      <c r="C75" s="28" t="s">
        <v>220</v>
      </c>
      <c r="D75" s="29" t="s">
        <v>234</v>
      </c>
      <c r="E75" s="28" t="s">
        <v>54</v>
      </c>
      <c r="F75" s="28" t="s">
        <v>8792</v>
      </c>
      <c r="G75" s="28"/>
      <c r="H75" s="28" t="s">
        <v>8664</v>
      </c>
      <c r="I75" s="28" t="s">
        <v>2944</v>
      </c>
      <c r="J75" s="28" t="s">
        <v>3351</v>
      </c>
      <c r="K75" s="28" t="s">
        <v>8794</v>
      </c>
      <c r="L75" s="28" t="s">
        <v>8667</v>
      </c>
      <c r="M75" s="28" t="s">
        <v>41</v>
      </c>
      <c r="N75" s="28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</row>
    <row r="76" spans="1:27" ht="14.4">
      <c r="A76" s="28" t="s">
        <v>8217</v>
      </c>
      <c r="B76" s="28" t="s">
        <v>8661</v>
      </c>
      <c r="C76" s="28" t="s">
        <v>220</v>
      </c>
      <c r="D76" s="29" t="s">
        <v>234</v>
      </c>
      <c r="E76" s="28" t="s">
        <v>54</v>
      </c>
      <c r="F76" s="28" t="s">
        <v>8801</v>
      </c>
      <c r="G76" s="28"/>
      <c r="H76" s="28" t="s">
        <v>8664</v>
      </c>
      <c r="I76" s="28" t="s">
        <v>2944</v>
      </c>
      <c r="J76" s="28" t="s">
        <v>3330</v>
      </c>
      <c r="K76" s="28" t="s">
        <v>8802</v>
      </c>
      <c r="L76" s="28" t="s">
        <v>8667</v>
      </c>
      <c r="M76" s="28" t="s">
        <v>41</v>
      </c>
      <c r="N76" s="28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</row>
    <row r="77" spans="1:27" ht="14.4">
      <c r="A77" s="28" t="s">
        <v>8217</v>
      </c>
      <c r="B77" s="28" t="s">
        <v>8661</v>
      </c>
      <c r="C77" s="28" t="s">
        <v>220</v>
      </c>
      <c r="D77" s="29" t="s">
        <v>234</v>
      </c>
      <c r="E77" s="28" t="s">
        <v>54</v>
      </c>
      <c r="F77" s="28" t="s">
        <v>8806</v>
      </c>
      <c r="G77" s="28"/>
      <c r="H77" s="28" t="s">
        <v>8807</v>
      </c>
      <c r="I77" s="28" t="s">
        <v>8808</v>
      </c>
      <c r="J77" s="28" t="s">
        <v>3323</v>
      </c>
      <c r="K77" s="28" t="s">
        <v>8807</v>
      </c>
      <c r="L77" s="28" t="s">
        <v>8667</v>
      </c>
      <c r="M77" s="28" t="s">
        <v>41</v>
      </c>
      <c r="N77" s="28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</row>
    <row r="78" spans="1:27" ht="14.4">
      <c r="A78" s="28" t="s">
        <v>8217</v>
      </c>
      <c r="B78" s="28" t="s">
        <v>8661</v>
      </c>
      <c r="C78" s="28" t="s">
        <v>296</v>
      </c>
      <c r="D78" s="28" t="s">
        <v>954</v>
      </c>
      <c r="E78" s="28" t="s">
        <v>54</v>
      </c>
      <c r="F78" s="79" t="s">
        <v>8813</v>
      </c>
      <c r="G78" s="28"/>
      <c r="H78" s="28" t="s">
        <v>8255</v>
      </c>
      <c r="I78" s="28" t="s">
        <v>8413</v>
      </c>
      <c r="J78" s="28" t="s">
        <v>8654</v>
      </c>
      <c r="K78" s="28"/>
      <c r="L78" s="28" t="s">
        <v>8816</v>
      </c>
      <c r="M78" s="28" t="s">
        <v>41</v>
      </c>
      <c r="N78" s="28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</row>
    <row r="79" spans="1:27" ht="14.4">
      <c r="A79" s="28" t="s">
        <v>8217</v>
      </c>
      <c r="B79" s="28" t="s">
        <v>8661</v>
      </c>
      <c r="C79" s="28" t="s">
        <v>51</v>
      </c>
      <c r="D79" s="29" t="s">
        <v>52</v>
      </c>
      <c r="E79" s="28" t="s">
        <v>54</v>
      </c>
      <c r="F79" s="28" t="s">
        <v>8820</v>
      </c>
      <c r="G79" s="28"/>
      <c r="H79" s="28" t="s">
        <v>8821</v>
      </c>
      <c r="I79" s="28" t="s">
        <v>8822</v>
      </c>
      <c r="J79" s="28" t="s">
        <v>8823</v>
      </c>
      <c r="K79" s="28" t="s">
        <v>8821</v>
      </c>
      <c r="L79" s="28" t="s">
        <v>8816</v>
      </c>
      <c r="M79" s="28" t="s">
        <v>2660</v>
      </c>
      <c r="N79" s="28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</row>
    <row r="80" spans="1:27" ht="14.4">
      <c r="A80" s="28" t="s">
        <v>8217</v>
      </c>
      <c r="B80" s="28" t="s">
        <v>8661</v>
      </c>
      <c r="C80" s="28" t="s">
        <v>70</v>
      </c>
      <c r="D80" s="29" t="s">
        <v>71</v>
      </c>
      <c r="E80" s="28" t="s">
        <v>54</v>
      </c>
      <c r="F80" s="28" t="s">
        <v>8820</v>
      </c>
      <c r="G80" s="28"/>
      <c r="H80" s="28" t="s">
        <v>8821</v>
      </c>
      <c r="I80" s="28" t="s">
        <v>8822</v>
      </c>
      <c r="J80" s="28" t="s">
        <v>8827</v>
      </c>
      <c r="K80" s="28" t="s">
        <v>8821</v>
      </c>
      <c r="L80" s="28" t="s">
        <v>8816</v>
      </c>
      <c r="M80" s="28" t="s">
        <v>2660</v>
      </c>
      <c r="N80" s="28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</row>
    <row r="81" spans="1:27" ht="14.4">
      <c r="A81" s="28" t="s">
        <v>8217</v>
      </c>
      <c r="B81" s="28" t="s">
        <v>1379</v>
      </c>
      <c r="C81" s="28" t="s">
        <v>319</v>
      </c>
      <c r="D81" s="28" t="s">
        <v>796</v>
      </c>
      <c r="E81" s="28" t="s">
        <v>54</v>
      </c>
      <c r="F81" s="79" t="s">
        <v>8836</v>
      </c>
      <c r="G81" s="29"/>
      <c r="H81" s="29" t="s">
        <v>8839</v>
      </c>
      <c r="I81" s="29" t="s">
        <v>5967</v>
      </c>
      <c r="J81" s="28" t="s">
        <v>8841</v>
      </c>
      <c r="K81" s="29" t="s">
        <v>8839</v>
      </c>
      <c r="L81" s="29" t="s">
        <v>8845</v>
      </c>
      <c r="M81" s="28" t="s">
        <v>2660</v>
      </c>
      <c r="N81" s="28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</row>
    <row r="82" spans="1:27" ht="14.4">
      <c r="A82" s="28" t="s">
        <v>8217</v>
      </c>
      <c r="B82" s="28" t="s">
        <v>1379</v>
      </c>
      <c r="C82" s="28" t="s">
        <v>319</v>
      </c>
      <c r="D82" s="28" t="s">
        <v>796</v>
      </c>
      <c r="E82" s="28" t="s">
        <v>54</v>
      </c>
      <c r="F82" s="79" t="s">
        <v>8849</v>
      </c>
      <c r="G82" s="29"/>
      <c r="H82" s="29" t="s">
        <v>8851</v>
      </c>
      <c r="I82" s="29" t="s">
        <v>6744</v>
      </c>
      <c r="J82" s="28" t="s">
        <v>8853</v>
      </c>
      <c r="K82" s="29" t="s">
        <v>8854</v>
      </c>
      <c r="L82" s="29" t="s">
        <v>8855</v>
      </c>
      <c r="M82" s="28" t="s">
        <v>2660</v>
      </c>
      <c r="N82" s="28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</row>
    <row r="83" spans="1:27" ht="14.4">
      <c r="A83" s="28" t="s">
        <v>8217</v>
      </c>
      <c r="B83" s="28" t="s">
        <v>1379</v>
      </c>
      <c r="C83" s="28" t="s">
        <v>319</v>
      </c>
      <c r="D83" s="28" t="s">
        <v>796</v>
      </c>
      <c r="E83" s="28" t="s">
        <v>54</v>
      </c>
      <c r="F83" s="79" t="s">
        <v>8859</v>
      </c>
      <c r="G83" s="29"/>
      <c r="H83" s="29" t="s">
        <v>8860</v>
      </c>
      <c r="I83" s="29" t="s">
        <v>6800</v>
      </c>
      <c r="J83" s="28" t="s">
        <v>8861</v>
      </c>
      <c r="K83" s="29" t="s">
        <v>8862</v>
      </c>
      <c r="L83" s="29" t="s">
        <v>8863</v>
      </c>
      <c r="M83" s="28" t="s">
        <v>2660</v>
      </c>
      <c r="N83" s="28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</row>
    <row r="84" spans="1:27" ht="14.4">
      <c r="A84" s="28" t="s">
        <v>8217</v>
      </c>
      <c r="B84" s="28" t="s">
        <v>1379</v>
      </c>
      <c r="C84" s="28" t="s">
        <v>319</v>
      </c>
      <c r="D84" s="28" t="s">
        <v>796</v>
      </c>
      <c r="E84" s="28" t="s">
        <v>54</v>
      </c>
      <c r="F84" s="79" t="s">
        <v>8868</v>
      </c>
      <c r="G84" s="29"/>
      <c r="H84" s="29" t="s">
        <v>8860</v>
      </c>
      <c r="I84" s="29" t="s">
        <v>6800</v>
      </c>
      <c r="J84" s="28" t="s">
        <v>8869</v>
      </c>
      <c r="K84" s="29" t="s">
        <v>8871</v>
      </c>
      <c r="L84" s="29" t="s">
        <v>8863</v>
      </c>
      <c r="M84" s="28" t="s">
        <v>2660</v>
      </c>
      <c r="N84" s="28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</row>
    <row r="85" spans="1:27" ht="14.4">
      <c r="A85" s="28" t="s">
        <v>8217</v>
      </c>
      <c r="B85" s="28" t="s">
        <v>1379</v>
      </c>
      <c r="C85" s="28" t="s">
        <v>319</v>
      </c>
      <c r="D85" s="28" t="s">
        <v>796</v>
      </c>
      <c r="E85" s="28" t="s">
        <v>54</v>
      </c>
      <c r="F85" s="79" t="s">
        <v>8875</v>
      </c>
      <c r="G85" s="28"/>
      <c r="H85" s="28" t="s">
        <v>8487</v>
      </c>
      <c r="I85" s="28" t="s">
        <v>8488</v>
      </c>
      <c r="J85" s="28" t="s">
        <v>8877</v>
      </c>
      <c r="K85" s="28" t="s">
        <v>8461</v>
      </c>
      <c r="L85" s="28" t="s">
        <v>8880</v>
      </c>
      <c r="M85" s="28" t="s">
        <v>2660</v>
      </c>
      <c r="N85" s="28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</row>
    <row r="86" spans="1:27" ht="14.4">
      <c r="A86" s="28" t="s">
        <v>8217</v>
      </c>
      <c r="B86" s="28" t="s">
        <v>8494</v>
      </c>
      <c r="C86" s="28" t="s">
        <v>319</v>
      </c>
      <c r="D86" s="28" t="s">
        <v>796</v>
      </c>
      <c r="E86" s="28" t="s">
        <v>54</v>
      </c>
      <c r="F86" s="79" t="s">
        <v>8885</v>
      </c>
      <c r="G86" s="29"/>
      <c r="H86" s="29" t="s">
        <v>8497</v>
      </c>
      <c r="I86" s="29" t="s">
        <v>8224</v>
      </c>
      <c r="J86" s="28"/>
      <c r="K86" s="28"/>
      <c r="L86" s="28"/>
      <c r="M86" s="28" t="s">
        <v>2660</v>
      </c>
      <c r="N86" s="28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</row>
    <row r="87" spans="1:27" ht="14.4">
      <c r="A87" s="28" t="s">
        <v>8217</v>
      </c>
      <c r="B87" s="28" t="s">
        <v>8494</v>
      </c>
      <c r="C87" s="28" t="s">
        <v>319</v>
      </c>
      <c r="D87" s="28" t="s">
        <v>796</v>
      </c>
      <c r="E87" s="28" t="s">
        <v>54</v>
      </c>
      <c r="F87" s="79" t="s">
        <v>8893</v>
      </c>
      <c r="G87" s="29"/>
      <c r="H87" s="29" t="s">
        <v>8585</v>
      </c>
      <c r="I87" s="29" t="s">
        <v>8894</v>
      </c>
      <c r="J87" s="28"/>
      <c r="K87" s="28"/>
      <c r="L87" s="28"/>
      <c r="M87" s="28" t="s">
        <v>2660</v>
      </c>
      <c r="N87" s="28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</row>
    <row r="88" spans="1:27" ht="14.4">
      <c r="A88" s="28" t="s">
        <v>8217</v>
      </c>
      <c r="B88" s="28" t="s">
        <v>1379</v>
      </c>
      <c r="C88" s="28" t="s">
        <v>306</v>
      </c>
      <c r="D88" s="29" t="s">
        <v>341</v>
      </c>
      <c r="E88" s="28" t="s">
        <v>54</v>
      </c>
      <c r="F88" s="28" t="s">
        <v>8895</v>
      </c>
      <c r="G88" s="29"/>
      <c r="H88" s="29" t="s">
        <v>8851</v>
      </c>
      <c r="I88" s="29" t="s">
        <v>6744</v>
      </c>
      <c r="J88" s="28"/>
      <c r="K88" s="29" t="s">
        <v>8851</v>
      </c>
      <c r="L88" s="28" t="s">
        <v>8855</v>
      </c>
      <c r="M88" s="28" t="s">
        <v>41</v>
      </c>
      <c r="N88" s="28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</row>
    <row r="89" spans="1:27" ht="14.4">
      <c r="A89" s="28" t="s">
        <v>8217</v>
      </c>
      <c r="B89" s="28" t="s">
        <v>1379</v>
      </c>
      <c r="C89" s="28" t="s">
        <v>306</v>
      </c>
      <c r="D89" s="28" t="s">
        <v>341</v>
      </c>
      <c r="E89" s="28" t="s">
        <v>54</v>
      </c>
      <c r="F89" s="28" t="s">
        <v>8898</v>
      </c>
      <c r="G89" s="29"/>
      <c r="H89" s="29" t="s">
        <v>8900</v>
      </c>
      <c r="I89" s="29" t="s">
        <v>8901</v>
      </c>
      <c r="J89" s="28"/>
      <c r="K89" s="29" t="s">
        <v>8900</v>
      </c>
      <c r="L89" s="28" t="s">
        <v>8903</v>
      </c>
      <c r="M89" s="28" t="s">
        <v>41</v>
      </c>
      <c r="N89" s="28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</row>
    <row r="90" spans="1:27" ht="14.4">
      <c r="A90" s="28" t="s">
        <v>8217</v>
      </c>
      <c r="B90" s="28" t="s">
        <v>8661</v>
      </c>
      <c r="C90" s="28" t="s">
        <v>319</v>
      </c>
      <c r="D90" s="107" t="s">
        <v>796</v>
      </c>
      <c r="E90" s="28" t="s">
        <v>54</v>
      </c>
      <c r="F90" s="79" t="s">
        <v>8909</v>
      </c>
      <c r="G90" s="28"/>
      <c r="H90" s="28" t="s">
        <v>8497</v>
      </c>
      <c r="I90" s="28" t="s">
        <v>8224</v>
      </c>
      <c r="J90" s="28"/>
      <c r="K90" s="28"/>
      <c r="L90" s="28"/>
      <c r="M90" s="28" t="s">
        <v>2660</v>
      </c>
      <c r="N90" s="28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</row>
    <row r="91" spans="1:27" ht="14.4">
      <c r="A91" s="28" t="s">
        <v>8217</v>
      </c>
      <c r="B91" s="28" t="s">
        <v>8661</v>
      </c>
      <c r="C91" s="28" t="s">
        <v>319</v>
      </c>
      <c r="D91" s="107" t="s">
        <v>7704</v>
      </c>
      <c r="E91" s="28" t="s">
        <v>54</v>
      </c>
      <c r="F91" s="79" t="s">
        <v>8914</v>
      </c>
      <c r="G91" s="28"/>
      <c r="H91" s="28" t="s">
        <v>8497</v>
      </c>
      <c r="I91" s="28" t="s">
        <v>8224</v>
      </c>
      <c r="J91" s="28"/>
      <c r="K91" s="28"/>
      <c r="L91" s="28"/>
      <c r="M91" s="28" t="s">
        <v>2660</v>
      </c>
      <c r="N91" s="28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</row>
    <row r="92" spans="1:27" ht="14.4">
      <c r="A92" s="28" t="s">
        <v>8217</v>
      </c>
      <c r="B92" s="28" t="s">
        <v>8661</v>
      </c>
      <c r="C92" s="28" t="s">
        <v>319</v>
      </c>
      <c r="D92" s="107" t="s">
        <v>8918</v>
      </c>
      <c r="E92" s="28" t="s">
        <v>54</v>
      </c>
      <c r="F92" s="79" t="s">
        <v>8919</v>
      </c>
      <c r="G92" s="28"/>
      <c r="H92" s="28" t="s">
        <v>8497</v>
      </c>
      <c r="I92" s="28" t="s">
        <v>8224</v>
      </c>
      <c r="J92" s="28"/>
      <c r="K92" s="28"/>
      <c r="L92" s="28"/>
      <c r="M92" s="28" t="s">
        <v>2660</v>
      </c>
      <c r="N92" s="28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  <c r="AA92" s="101"/>
    </row>
    <row r="93" spans="1:27" ht="14.4">
      <c r="A93" s="28" t="s">
        <v>8217</v>
      </c>
      <c r="B93" s="28" t="s">
        <v>8661</v>
      </c>
      <c r="C93" s="28" t="s">
        <v>319</v>
      </c>
      <c r="D93" s="107" t="s">
        <v>8924</v>
      </c>
      <c r="E93" s="28" t="s">
        <v>54</v>
      </c>
      <c r="F93" s="79" t="s">
        <v>8927</v>
      </c>
      <c r="G93" s="28"/>
      <c r="H93" s="28" t="s">
        <v>8497</v>
      </c>
      <c r="I93" s="28" t="s">
        <v>8224</v>
      </c>
      <c r="J93" s="28"/>
      <c r="K93" s="28"/>
      <c r="L93" s="28"/>
      <c r="M93" s="28" t="s">
        <v>2660</v>
      </c>
      <c r="N93" s="28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</row>
    <row r="94" spans="1:27" ht="14.4">
      <c r="A94" s="28" t="s">
        <v>8217</v>
      </c>
      <c r="B94" s="28" t="s">
        <v>8661</v>
      </c>
      <c r="C94" s="28" t="s">
        <v>319</v>
      </c>
      <c r="D94" s="107" t="s">
        <v>8931</v>
      </c>
      <c r="E94" s="28" t="s">
        <v>54</v>
      </c>
      <c r="F94" s="79" t="s">
        <v>8932</v>
      </c>
      <c r="G94" s="28"/>
      <c r="H94" s="28" t="s">
        <v>8497</v>
      </c>
      <c r="I94" s="28" t="s">
        <v>8224</v>
      </c>
      <c r="J94" s="28"/>
      <c r="K94" s="28"/>
      <c r="L94" s="28"/>
      <c r="M94" s="28" t="s">
        <v>2660</v>
      </c>
      <c r="N94" s="28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  <c r="AA94" s="101"/>
    </row>
    <row r="95" spans="1:27" ht="14.4">
      <c r="A95" s="28" t="s">
        <v>8217</v>
      </c>
      <c r="B95" s="28" t="s">
        <v>8661</v>
      </c>
      <c r="C95" s="28" t="s">
        <v>319</v>
      </c>
      <c r="D95" s="107" t="s">
        <v>8934</v>
      </c>
      <c r="E95" s="28" t="s">
        <v>54</v>
      </c>
      <c r="F95" s="79" t="s">
        <v>8935</v>
      </c>
      <c r="G95" s="28"/>
      <c r="H95" s="28" t="s">
        <v>8497</v>
      </c>
      <c r="I95" s="28" t="s">
        <v>8224</v>
      </c>
      <c r="J95" s="28"/>
      <c r="K95" s="28"/>
      <c r="L95" s="28"/>
      <c r="M95" s="28" t="s">
        <v>2660</v>
      </c>
      <c r="N95" s="28"/>
      <c r="O95" s="101"/>
      <c r="P95" s="101"/>
      <c r="Q95" s="101"/>
      <c r="R95" s="101"/>
      <c r="S95" s="28" t="s">
        <v>54</v>
      </c>
      <c r="T95" s="253"/>
      <c r="U95" s="253"/>
      <c r="V95" s="253"/>
      <c r="W95" s="253"/>
      <c r="X95" s="253"/>
      <c r="Y95" s="253"/>
      <c r="Z95" s="253"/>
      <c r="AA95" s="253"/>
    </row>
    <row r="96" spans="1:27" ht="14.4">
      <c r="A96" s="28" t="s">
        <v>8217</v>
      </c>
      <c r="B96" s="28" t="s">
        <v>8661</v>
      </c>
      <c r="C96" s="28" t="s">
        <v>319</v>
      </c>
      <c r="D96" s="107" t="s">
        <v>8943</v>
      </c>
      <c r="E96" s="28" t="s">
        <v>54</v>
      </c>
      <c r="F96" s="79" t="s">
        <v>8944</v>
      </c>
      <c r="G96" s="28"/>
      <c r="H96" s="28" t="s">
        <v>8497</v>
      </c>
      <c r="I96" s="28" t="s">
        <v>8224</v>
      </c>
      <c r="J96" s="28"/>
      <c r="K96" s="28"/>
      <c r="L96" s="28"/>
      <c r="M96" s="28" t="s">
        <v>2660</v>
      </c>
      <c r="N96" s="28"/>
      <c r="O96" s="101"/>
      <c r="P96" s="101"/>
      <c r="Q96" s="101"/>
      <c r="R96" s="101"/>
      <c r="S96" s="28" t="s">
        <v>54</v>
      </c>
      <c r="T96" s="254"/>
      <c r="U96" s="254"/>
      <c r="V96" s="254"/>
      <c r="W96" s="254"/>
      <c r="X96" s="254"/>
      <c r="Y96" s="254"/>
      <c r="Z96" s="254"/>
      <c r="AA96" s="254"/>
    </row>
    <row r="97" spans="1:27" ht="14.4">
      <c r="A97" s="28" t="s">
        <v>8217</v>
      </c>
      <c r="B97" s="28" t="s">
        <v>8661</v>
      </c>
      <c r="C97" s="28" t="s">
        <v>319</v>
      </c>
      <c r="D97" s="107" t="s">
        <v>8949</v>
      </c>
      <c r="E97" s="28" t="s">
        <v>54</v>
      </c>
      <c r="F97" s="79" t="s">
        <v>8950</v>
      </c>
      <c r="G97" s="28"/>
      <c r="H97" s="28" t="s">
        <v>8497</v>
      </c>
      <c r="I97" s="28" t="s">
        <v>8224</v>
      </c>
      <c r="J97" s="28"/>
      <c r="K97" s="28"/>
      <c r="L97" s="28"/>
      <c r="M97" s="28" t="s">
        <v>2660</v>
      </c>
      <c r="N97" s="28"/>
      <c r="O97" s="101"/>
      <c r="P97" s="101"/>
      <c r="Q97" s="101"/>
      <c r="R97" s="101"/>
      <c r="S97" s="28" t="s">
        <v>54</v>
      </c>
      <c r="T97" s="253"/>
      <c r="U97" s="253"/>
      <c r="V97" s="253"/>
      <c r="W97" s="253"/>
      <c r="X97" s="253"/>
      <c r="Y97" s="253"/>
      <c r="Z97" s="253"/>
      <c r="AA97" s="253"/>
    </row>
    <row r="98" spans="1:27" ht="14.4">
      <c r="A98" s="28" t="s">
        <v>8217</v>
      </c>
      <c r="B98" s="28" t="s">
        <v>8661</v>
      </c>
      <c r="C98" s="28" t="s">
        <v>319</v>
      </c>
      <c r="D98" s="107" t="s">
        <v>8955</v>
      </c>
      <c r="E98" s="28" t="s">
        <v>54</v>
      </c>
      <c r="F98" s="79" t="s">
        <v>8956</v>
      </c>
      <c r="G98" s="28"/>
      <c r="H98" s="28" t="s">
        <v>8497</v>
      </c>
      <c r="I98" s="28" t="s">
        <v>8224</v>
      </c>
      <c r="J98" s="28"/>
      <c r="K98" s="28"/>
      <c r="L98" s="28"/>
      <c r="M98" s="28" t="s">
        <v>2660</v>
      </c>
      <c r="N98" s="28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</row>
    <row r="99" spans="1:27" ht="14.4">
      <c r="A99" s="28" t="s">
        <v>8217</v>
      </c>
      <c r="B99" s="28" t="s">
        <v>1379</v>
      </c>
      <c r="C99" s="28" t="s">
        <v>20</v>
      </c>
      <c r="D99" s="28" t="s">
        <v>1305</v>
      </c>
      <c r="E99" s="28" t="s">
        <v>54</v>
      </c>
      <c r="F99" s="28" t="s">
        <v>8962</v>
      </c>
      <c r="G99" s="28" t="s">
        <v>8963</v>
      </c>
      <c r="H99" s="28" t="s">
        <v>8366</v>
      </c>
      <c r="I99" s="28" t="s">
        <v>8367</v>
      </c>
      <c r="J99" s="28" t="s">
        <v>8966</v>
      </c>
      <c r="K99" s="28" t="s">
        <v>8366</v>
      </c>
      <c r="L99" s="28" t="s">
        <v>8880</v>
      </c>
      <c r="M99" s="28" t="s">
        <v>41</v>
      </c>
      <c r="N99" s="28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</row>
    <row r="100" spans="1:27" ht="14.4">
      <c r="A100" s="28" t="s">
        <v>8217</v>
      </c>
      <c r="B100" s="28" t="s">
        <v>1379</v>
      </c>
      <c r="C100" s="28" t="s">
        <v>20</v>
      </c>
      <c r="D100" s="28" t="s">
        <v>1305</v>
      </c>
      <c r="E100" s="28" t="s">
        <v>54</v>
      </c>
      <c r="F100" s="28" t="s">
        <v>8970</v>
      </c>
      <c r="G100" s="28" t="s">
        <v>1559</v>
      </c>
      <c r="H100" s="28" t="s">
        <v>8410</v>
      </c>
      <c r="I100" s="28" t="s">
        <v>335</v>
      </c>
      <c r="J100" s="28" t="s">
        <v>8972</v>
      </c>
      <c r="K100" s="28" t="s">
        <v>8410</v>
      </c>
      <c r="L100" s="28" t="s">
        <v>1379</v>
      </c>
      <c r="M100" s="28" t="s">
        <v>41</v>
      </c>
      <c r="N100" s="28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  <c r="AA100" s="101"/>
    </row>
    <row r="101" spans="1:27" ht="14.4">
      <c r="A101" s="28" t="s">
        <v>8217</v>
      </c>
      <c r="B101" s="28" t="s">
        <v>1379</v>
      </c>
      <c r="C101" s="28" t="s">
        <v>20</v>
      </c>
      <c r="D101" s="28" t="s">
        <v>1305</v>
      </c>
      <c r="E101" s="28" t="s">
        <v>54</v>
      </c>
      <c r="F101" s="28" t="s">
        <v>8978</v>
      </c>
      <c r="G101" s="28" t="s">
        <v>8980</v>
      </c>
      <c r="H101" s="28" t="s">
        <v>8255</v>
      </c>
      <c r="I101" s="28" t="s">
        <v>8983</v>
      </c>
      <c r="J101" s="28" t="s">
        <v>8984</v>
      </c>
      <c r="K101" s="28" t="s">
        <v>8360</v>
      </c>
      <c r="L101" s="28" t="s">
        <v>1379</v>
      </c>
      <c r="M101" s="28" t="s">
        <v>41</v>
      </c>
      <c r="N101" s="28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</row>
    <row r="102" spans="1:27" ht="14.4">
      <c r="A102" s="28" t="s">
        <v>8217</v>
      </c>
      <c r="B102" s="28" t="s">
        <v>8494</v>
      </c>
      <c r="C102" s="28" t="s">
        <v>20</v>
      </c>
      <c r="D102" s="28" t="s">
        <v>1305</v>
      </c>
      <c r="E102" s="28" t="s">
        <v>54</v>
      </c>
      <c r="F102" s="28" t="s">
        <v>8989</v>
      </c>
      <c r="G102" s="28" t="s">
        <v>8990</v>
      </c>
      <c r="H102" s="28" t="s">
        <v>8991</v>
      </c>
      <c r="I102" s="28" t="s">
        <v>8992</v>
      </c>
      <c r="J102" s="28" t="s">
        <v>8993</v>
      </c>
      <c r="K102" s="28" t="s">
        <v>8991</v>
      </c>
      <c r="L102" s="28" t="s">
        <v>8501</v>
      </c>
      <c r="M102" s="28" t="s">
        <v>41</v>
      </c>
      <c r="N102" s="28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  <c r="AA102" s="101"/>
    </row>
    <row r="103" spans="1:27" ht="14.4">
      <c r="A103" s="28" t="s">
        <v>8217</v>
      </c>
      <c r="B103" s="28" t="s">
        <v>8494</v>
      </c>
      <c r="C103" s="107" t="s">
        <v>260</v>
      </c>
      <c r="D103" s="107" t="s">
        <v>1337</v>
      </c>
      <c r="E103" s="28" t="s">
        <v>54</v>
      </c>
      <c r="F103" s="28" t="s">
        <v>9001</v>
      </c>
      <c r="G103" s="28"/>
      <c r="H103" s="28" t="s">
        <v>9002</v>
      </c>
      <c r="I103" s="28" t="s">
        <v>887</v>
      </c>
      <c r="J103" s="28" t="s">
        <v>9003</v>
      </c>
      <c r="K103" s="28" t="s">
        <v>9004</v>
      </c>
      <c r="L103" s="28" t="s">
        <v>8501</v>
      </c>
      <c r="M103" s="28" t="s">
        <v>41</v>
      </c>
      <c r="N103" s="28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  <c r="AA103" s="101"/>
    </row>
    <row r="104" spans="1:27" ht="14.4">
      <c r="A104" s="28" t="s">
        <v>8217</v>
      </c>
      <c r="B104" s="28" t="s">
        <v>8494</v>
      </c>
      <c r="C104" s="107" t="s">
        <v>260</v>
      </c>
      <c r="D104" s="107" t="s">
        <v>1337</v>
      </c>
      <c r="E104" s="28" t="s">
        <v>54</v>
      </c>
      <c r="F104" s="28" t="s">
        <v>9009</v>
      </c>
      <c r="G104" s="28"/>
      <c r="H104" s="28" t="s">
        <v>8641</v>
      </c>
      <c r="I104" s="28" t="s">
        <v>8643</v>
      </c>
      <c r="J104" s="28" t="s">
        <v>9010</v>
      </c>
      <c r="K104" s="28" t="s">
        <v>9011</v>
      </c>
      <c r="L104" s="28" t="s">
        <v>8501</v>
      </c>
      <c r="M104" s="28" t="s">
        <v>41</v>
      </c>
      <c r="N104" s="28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</row>
    <row r="105" spans="1:27" ht="14.4">
      <c r="A105" s="28" t="s">
        <v>8217</v>
      </c>
      <c r="B105" s="28" t="s">
        <v>8494</v>
      </c>
      <c r="C105" s="107" t="s">
        <v>260</v>
      </c>
      <c r="D105" s="107" t="s">
        <v>1337</v>
      </c>
      <c r="E105" s="28" t="s">
        <v>54</v>
      </c>
      <c r="F105" s="28" t="s">
        <v>9016</v>
      </c>
      <c r="G105" s="28"/>
      <c r="H105" s="28" t="s">
        <v>9019</v>
      </c>
      <c r="I105" s="28" t="s">
        <v>9021</v>
      </c>
      <c r="J105" s="28" t="s">
        <v>9023</v>
      </c>
      <c r="K105" s="28" t="s">
        <v>9025</v>
      </c>
      <c r="L105" s="28" t="s">
        <v>8501</v>
      </c>
      <c r="M105" s="28" t="s">
        <v>41</v>
      </c>
      <c r="N105" s="28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</row>
    <row r="106" spans="1:27" ht="14.4">
      <c r="A106" s="28" t="s">
        <v>8217</v>
      </c>
      <c r="B106" s="28" t="s">
        <v>8494</v>
      </c>
      <c r="C106" s="107" t="s">
        <v>260</v>
      </c>
      <c r="D106" s="107" t="s">
        <v>1337</v>
      </c>
      <c r="E106" s="28" t="s">
        <v>54</v>
      </c>
      <c r="F106" s="28" t="s">
        <v>9028</v>
      </c>
      <c r="G106" s="28"/>
      <c r="H106" s="28" t="s">
        <v>8614</v>
      </c>
      <c r="I106" s="28" t="s">
        <v>9030</v>
      </c>
      <c r="J106" s="28" t="s">
        <v>9031</v>
      </c>
      <c r="K106" s="28" t="s">
        <v>9032</v>
      </c>
      <c r="L106" s="28" t="s">
        <v>8501</v>
      </c>
      <c r="M106" s="28" t="s">
        <v>41</v>
      </c>
      <c r="N106" s="28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</row>
    <row r="107" spans="1:27" ht="14.4">
      <c r="A107" s="28" t="s">
        <v>8217</v>
      </c>
      <c r="B107" s="28" t="s">
        <v>8661</v>
      </c>
      <c r="C107" s="107" t="s">
        <v>260</v>
      </c>
      <c r="D107" s="107" t="s">
        <v>1337</v>
      </c>
      <c r="E107" s="28" t="s">
        <v>54</v>
      </c>
      <c r="F107" s="28" t="s">
        <v>9037</v>
      </c>
      <c r="G107" s="28"/>
      <c r="H107" s="28" t="s">
        <v>9038</v>
      </c>
      <c r="I107" s="28" t="s">
        <v>9039</v>
      </c>
      <c r="J107" s="28" t="s">
        <v>9040</v>
      </c>
      <c r="K107" s="28" t="s">
        <v>9038</v>
      </c>
      <c r="L107" s="28" t="s">
        <v>8667</v>
      </c>
      <c r="M107" s="28" t="s">
        <v>41</v>
      </c>
      <c r="N107" s="28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</row>
    <row r="108" spans="1:27" ht="14.4">
      <c r="A108" s="28" t="s">
        <v>8217</v>
      </c>
      <c r="B108" s="28" t="s">
        <v>8661</v>
      </c>
      <c r="C108" s="107" t="s">
        <v>260</v>
      </c>
      <c r="D108" s="107" t="s">
        <v>1337</v>
      </c>
      <c r="E108" s="28" t="s">
        <v>54</v>
      </c>
      <c r="F108" s="28" t="s">
        <v>9044</v>
      </c>
      <c r="G108" s="28"/>
      <c r="H108" s="28" t="s">
        <v>9046</v>
      </c>
      <c r="I108" s="28" t="s">
        <v>9047</v>
      </c>
      <c r="J108" s="28" t="s">
        <v>3360</v>
      </c>
      <c r="K108" s="28" t="s">
        <v>9046</v>
      </c>
      <c r="L108" s="28" t="s">
        <v>8667</v>
      </c>
      <c r="M108" s="28" t="s">
        <v>41</v>
      </c>
      <c r="N108" s="28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</row>
    <row r="109" spans="1:27" ht="14.4">
      <c r="A109" s="28" t="s">
        <v>8217</v>
      </c>
      <c r="B109" s="28" t="s">
        <v>8661</v>
      </c>
      <c r="C109" s="107" t="s">
        <v>260</v>
      </c>
      <c r="D109" s="107" t="s">
        <v>1337</v>
      </c>
      <c r="E109" s="28" t="s">
        <v>54</v>
      </c>
      <c r="F109" s="28" t="s">
        <v>9055</v>
      </c>
      <c r="G109" s="28"/>
      <c r="H109" s="28" t="s">
        <v>9056</v>
      </c>
      <c r="I109" s="28" t="s">
        <v>9057</v>
      </c>
      <c r="J109" s="28" t="s">
        <v>9058</v>
      </c>
      <c r="K109" s="28" t="s">
        <v>9056</v>
      </c>
      <c r="L109" s="28" t="s">
        <v>8667</v>
      </c>
      <c r="M109" s="28" t="s">
        <v>41</v>
      </c>
      <c r="N109" s="28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</row>
    <row r="110" spans="1:27" ht="14.4">
      <c r="A110" s="28" t="s">
        <v>8217</v>
      </c>
      <c r="B110" s="28" t="s">
        <v>8661</v>
      </c>
      <c r="C110" s="107" t="s">
        <v>260</v>
      </c>
      <c r="D110" s="107" t="s">
        <v>1337</v>
      </c>
      <c r="E110" s="28" t="s">
        <v>54</v>
      </c>
      <c r="F110" s="28" t="s">
        <v>9063</v>
      </c>
      <c r="G110" s="28"/>
      <c r="H110" s="28" t="s">
        <v>9064</v>
      </c>
      <c r="I110" s="28" t="s">
        <v>9065</v>
      </c>
      <c r="J110" s="28" t="s">
        <v>9067</v>
      </c>
      <c r="K110" s="28" t="s">
        <v>9064</v>
      </c>
      <c r="L110" s="28" t="s">
        <v>8667</v>
      </c>
      <c r="M110" s="28" t="s">
        <v>41</v>
      </c>
      <c r="N110" s="28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</row>
    <row r="111" spans="1:27" ht="14.4">
      <c r="A111" s="28" t="s">
        <v>8217</v>
      </c>
      <c r="B111" s="28" t="s">
        <v>8661</v>
      </c>
      <c r="C111" s="28" t="s">
        <v>20</v>
      </c>
      <c r="D111" s="107" t="s">
        <v>1305</v>
      </c>
      <c r="E111" s="28" t="s">
        <v>54</v>
      </c>
      <c r="F111" s="28" t="s">
        <v>9071</v>
      </c>
      <c r="G111" s="28" t="s">
        <v>9072</v>
      </c>
      <c r="H111" s="28" t="s">
        <v>9074</v>
      </c>
      <c r="I111" s="28" t="s">
        <v>9076</v>
      </c>
      <c r="J111" s="28" t="s">
        <v>4293</v>
      </c>
      <c r="K111" s="28" t="s">
        <v>9074</v>
      </c>
      <c r="L111" s="28" t="s">
        <v>8667</v>
      </c>
      <c r="M111" s="28" t="s">
        <v>41</v>
      </c>
      <c r="N111" s="28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</row>
    <row r="112" spans="1:27" ht="14.4">
      <c r="A112" s="28" t="s">
        <v>8217</v>
      </c>
      <c r="B112" s="246" t="s">
        <v>1379</v>
      </c>
      <c r="C112" s="246" t="s">
        <v>337</v>
      </c>
      <c r="D112" s="246"/>
      <c r="E112" s="246"/>
      <c r="F112" s="246" t="s">
        <v>9085</v>
      </c>
      <c r="G112" s="246"/>
      <c r="H112" s="246"/>
      <c r="I112" s="246"/>
      <c r="J112" s="246"/>
      <c r="K112" s="246"/>
      <c r="L112" s="246"/>
      <c r="M112" s="246"/>
      <c r="N112" s="246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</row>
    <row r="113" spans="1:27" ht="13.8">
      <c r="A113" s="106"/>
      <c r="B113" s="106"/>
      <c r="C113" s="106"/>
      <c r="D113" s="106"/>
      <c r="E113" s="106"/>
      <c r="F113" s="106" t="s">
        <v>8130</v>
      </c>
      <c r="G113" s="106"/>
      <c r="H113" s="106"/>
      <c r="I113" s="106"/>
      <c r="J113" s="106"/>
      <c r="K113" s="106"/>
      <c r="L113" s="106"/>
      <c r="M113" s="106"/>
      <c r="N113" s="106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  <c r="AA113" s="101"/>
    </row>
    <row r="114" spans="1:27" ht="13.8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</row>
    <row r="115" spans="1:27" ht="14.4">
      <c r="A115" s="28" t="s">
        <v>9091</v>
      </c>
      <c r="B115" s="28"/>
      <c r="C115" s="107"/>
      <c r="D115" s="107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</row>
    <row r="116" spans="1:27" ht="14.4">
      <c r="A116" s="255" t="s">
        <v>9099</v>
      </c>
      <c r="B116" s="256"/>
      <c r="C116" s="256"/>
      <c r="D116" s="257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</row>
    <row r="117" spans="1:27" ht="14.4">
      <c r="A117" s="255" t="s">
        <v>9105</v>
      </c>
      <c r="B117" s="256"/>
      <c r="C117" s="256"/>
      <c r="D117" s="257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06"/>
    </row>
    <row r="118" spans="1:27" ht="13.8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</row>
    <row r="119" spans="1:27" ht="13.8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</row>
    <row r="120" spans="1:27" ht="13.8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  <c r="AA120" s="101"/>
    </row>
    <row r="121" spans="1:27" ht="13.8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  <c r="AA121" s="101"/>
    </row>
    <row r="122" spans="1:27" ht="13.8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</row>
    <row r="123" spans="1:27" ht="13.8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</row>
    <row r="124" spans="1:27" ht="13.8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  <c r="AA124" s="101"/>
    </row>
    <row r="125" spans="1:27" ht="13.8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</row>
    <row r="126" spans="1:27" ht="13.8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  <c r="AA126" s="101"/>
    </row>
    <row r="127" spans="1:27" ht="13.8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  <c r="AA127" s="101"/>
    </row>
    <row r="128" spans="1:27" ht="13.8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  <c r="AA128" s="101"/>
    </row>
    <row r="129" spans="1:27" ht="13.8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  <c r="AA129" s="101"/>
    </row>
    <row r="130" spans="1:27" ht="13.8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  <c r="AA130" s="101"/>
    </row>
    <row r="131" spans="1:27" ht="13.8">
      <c r="A131" s="101"/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  <c r="AA131" s="101"/>
    </row>
    <row r="132" spans="1:27" ht="13.8">
      <c r="A132" s="101"/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  <c r="AA132" s="101"/>
    </row>
    <row r="133" spans="1:27" ht="13.8">
      <c r="A133" s="101"/>
      <c r="B133" s="101"/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  <c r="AA133" s="101"/>
    </row>
    <row r="134" spans="1:27" ht="13.8">
      <c r="A134" s="101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/>
    </row>
    <row r="135" spans="1:27" ht="13.8">
      <c r="A135" s="101"/>
      <c r="B135" s="101"/>
      <c r="C135" s="101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  <c r="AA135" s="101"/>
    </row>
    <row r="136" spans="1:27" ht="13.8">
      <c r="A136" s="101"/>
      <c r="B136" s="101"/>
      <c r="C136" s="101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  <c r="AA136" s="101"/>
    </row>
    <row r="137" spans="1:27" ht="13.8">
      <c r="A137" s="101"/>
      <c r="B137" s="101"/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  <c r="AA137" s="101"/>
    </row>
    <row r="138" spans="1:27" ht="13.8">
      <c r="A138" s="101"/>
      <c r="B138" s="101"/>
      <c r="C138" s="101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  <c r="AA138" s="101"/>
    </row>
    <row r="139" spans="1:27" ht="13.8">
      <c r="A139" s="101"/>
      <c r="B139" s="101"/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  <c r="AA139" s="101"/>
    </row>
    <row r="140" spans="1:27" ht="13.8">
      <c r="A140" s="101"/>
      <c r="B140" s="101"/>
      <c r="C140" s="101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  <c r="AA140" s="101"/>
    </row>
    <row r="141" spans="1:27" ht="13.8">
      <c r="A141" s="101"/>
      <c r="B141" s="101"/>
      <c r="C141" s="101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</row>
    <row r="142" spans="1:27" ht="13.8">
      <c r="A142" s="101"/>
      <c r="B142" s="101"/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</row>
    <row r="143" spans="1:27" ht="13.8">
      <c r="A143" s="101"/>
      <c r="B143" s="101"/>
      <c r="C143" s="101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  <c r="AA143" s="101"/>
    </row>
    <row r="144" spans="1:27" ht="13.8">
      <c r="A144" s="101"/>
      <c r="B144" s="101"/>
      <c r="C144" s="101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  <c r="AA144" s="101"/>
    </row>
    <row r="145" spans="1:27" ht="13.8">
      <c r="A145" s="101"/>
      <c r="B145" s="101"/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  <c r="AA145" s="101"/>
    </row>
    <row r="146" spans="1:27" ht="13.8">
      <c r="A146" s="101"/>
      <c r="B146" s="101"/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  <c r="AA146" s="101"/>
    </row>
    <row r="147" spans="1:27" ht="13.8">
      <c r="A147" s="101"/>
      <c r="B147" s="101"/>
      <c r="C147" s="101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  <c r="AA147" s="101"/>
    </row>
    <row r="148" spans="1:27" ht="13.8">
      <c r="A148" s="101"/>
      <c r="B148" s="101"/>
      <c r="C148" s="101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  <c r="AA148" s="101"/>
    </row>
    <row r="149" spans="1:27" ht="13.8">
      <c r="A149" s="101"/>
      <c r="B149" s="101"/>
      <c r="C149" s="101"/>
      <c r="D149" s="101"/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  <c r="AA149" s="101"/>
    </row>
    <row r="150" spans="1:27" ht="13.8">
      <c r="A150" s="101"/>
      <c r="B150" s="101"/>
      <c r="C150" s="101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  <c r="AA150" s="101"/>
    </row>
    <row r="151" spans="1:27" ht="13.8">
      <c r="A151" s="101"/>
      <c r="B151" s="101"/>
      <c r="C151" s="101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  <c r="AA151" s="101"/>
    </row>
    <row r="152" spans="1:27" ht="13.8">
      <c r="A152" s="101"/>
      <c r="B152" s="101"/>
      <c r="C152" s="101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  <c r="AA152" s="101"/>
    </row>
    <row r="153" spans="1:27" ht="13.8">
      <c r="A153" s="101"/>
      <c r="B153" s="101"/>
      <c r="C153" s="101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  <c r="AA153" s="101"/>
    </row>
    <row r="154" spans="1:27" ht="13.8">
      <c r="A154" s="101"/>
      <c r="B154" s="101"/>
      <c r="C154" s="101"/>
      <c r="D154" s="101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  <c r="AA154" s="101"/>
    </row>
    <row r="155" spans="1:27" ht="13.8">
      <c r="A155" s="101"/>
      <c r="B155" s="101"/>
      <c r="C155" s="101"/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  <c r="AA155" s="101"/>
    </row>
    <row r="156" spans="1:27" ht="13.8">
      <c r="A156" s="101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</row>
    <row r="157" spans="1:27" ht="13.8">
      <c r="A157" s="101"/>
      <c r="B157" s="101"/>
      <c r="C157" s="101"/>
      <c r="D157" s="101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  <c r="AA157" s="101"/>
    </row>
    <row r="158" spans="1:27" ht="13.8">
      <c r="A158" s="101"/>
      <c r="B158" s="101"/>
      <c r="C158" s="101"/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  <c r="AA158" s="101"/>
    </row>
    <row r="159" spans="1:27" ht="13.8">
      <c r="A159" s="101"/>
      <c r="B159" s="101"/>
      <c r="C159" s="101"/>
      <c r="D159" s="101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  <c r="AA159" s="101"/>
    </row>
    <row r="160" spans="1:27" ht="13.8">
      <c r="A160" s="101"/>
      <c r="B160" s="101"/>
      <c r="C160" s="101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  <c r="AA160" s="101"/>
    </row>
    <row r="161" spans="1:27" ht="13.8">
      <c r="A161" s="101"/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  <c r="AA161" s="101"/>
    </row>
    <row r="162" spans="1:27" ht="13.8">
      <c r="A162" s="101"/>
      <c r="B162" s="101"/>
      <c r="C162" s="101"/>
      <c r="D162" s="101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  <c r="AA162" s="101"/>
    </row>
    <row r="163" spans="1:27" ht="13.8">
      <c r="A163" s="101"/>
      <c r="B163" s="101"/>
      <c r="C163" s="101"/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  <c r="AA163" s="101"/>
    </row>
    <row r="164" spans="1:27" ht="13.8">
      <c r="A164" s="101"/>
      <c r="B164" s="101"/>
      <c r="C164" s="101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</row>
    <row r="165" spans="1:27" ht="13.8">
      <c r="A165" s="101"/>
      <c r="B165" s="101"/>
      <c r="C165" s="101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</row>
    <row r="166" spans="1:27" ht="13.8">
      <c r="A166" s="101"/>
      <c r="B166" s="101"/>
      <c r="C166" s="101"/>
      <c r="D166" s="101"/>
      <c r="E166" s="101"/>
      <c r="F166" s="10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  <c r="AA166" s="101"/>
    </row>
    <row r="167" spans="1:27" ht="13.8">
      <c r="A167" s="101"/>
      <c r="B167" s="101"/>
      <c r="C167" s="101"/>
      <c r="D167" s="101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  <c r="AA167" s="101"/>
    </row>
    <row r="168" spans="1:27" ht="13.8">
      <c r="A168" s="101"/>
      <c r="B168" s="101"/>
      <c r="C168" s="101"/>
      <c r="D168" s="101"/>
      <c r="E168" s="101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  <c r="AA168" s="101"/>
    </row>
    <row r="169" spans="1:27" ht="13.8">
      <c r="A169" s="101"/>
      <c r="B169" s="101"/>
      <c r="C169" s="101"/>
      <c r="D169" s="101"/>
      <c r="E169" s="101"/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  <c r="AA169" s="101"/>
    </row>
    <row r="170" spans="1:27" ht="13.8">
      <c r="A170" s="101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</row>
    <row r="171" spans="1:27" ht="13.8">
      <c r="A171" s="101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</row>
    <row r="172" spans="1:27" ht="13.8">
      <c r="A172" s="101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</row>
    <row r="173" spans="1:27" ht="13.8">
      <c r="A173" s="101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</row>
    <row r="174" spans="1:27" ht="13.8">
      <c r="A174" s="101"/>
      <c r="B174" s="101"/>
      <c r="C174" s="101"/>
      <c r="D174" s="101"/>
      <c r="E174" s="101"/>
      <c r="F174" s="10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  <c r="AA174" s="101"/>
    </row>
    <row r="175" spans="1:27" ht="13.8">
      <c r="A175" s="101"/>
      <c r="B175" s="101"/>
      <c r="C175" s="101"/>
      <c r="D175" s="101"/>
      <c r="E175" s="101"/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  <c r="AA175" s="101"/>
    </row>
    <row r="176" spans="1:27" ht="13.8">
      <c r="A176" s="101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  <c r="AA176" s="101"/>
    </row>
    <row r="177" spans="1:27" ht="13.8">
      <c r="A177" s="101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  <c r="AA177" s="101"/>
    </row>
    <row r="178" spans="1:27" ht="13.8">
      <c r="A178" s="101"/>
      <c r="B178" s="101"/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  <c r="AA178" s="101"/>
    </row>
    <row r="179" spans="1:27" ht="13.8">
      <c r="A179" s="101"/>
      <c r="B179" s="101"/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  <c r="AA179" s="101"/>
    </row>
    <row r="180" spans="1:27" ht="13.8">
      <c r="A180" s="101"/>
      <c r="B180" s="101"/>
      <c r="C180" s="101"/>
      <c r="D180" s="101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  <c r="AA180" s="101"/>
    </row>
    <row r="181" spans="1:27" ht="13.8">
      <c r="A181" s="101"/>
      <c r="B181" s="10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  <c r="AA181" s="101"/>
    </row>
    <row r="182" spans="1:27" ht="13.8">
      <c r="A182" s="101"/>
      <c r="B182" s="101"/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  <c r="AA182" s="101"/>
    </row>
    <row r="183" spans="1:27" ht="13.8">
      <c r="A183" s="101"/>
      <c r="B183" s="101"/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  <c r="AA183" s="101"/>
    </row>
    <row r="184" spans="1:27" ht="13.8">
      <c r="A184" s="101"/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  <c r="AA184" s="101"/>
    </row>
    <row r="185" spans="1:27" ht="13.8">
      <c r="A185" s="101"/>
      <c r="B185" s="101"/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  <c r="AA185" s="101"/>
    </row>
    <row r="186" spans="1:27" ht="13.8">
      <c r="A186" s="101"/>
      <c r="B186" s="101"/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  <c r="AA186" s="101"/>
    </row>
    <row r="187" spans="1:27" ht="13.8">
      <c r="A187" s="101"/>
      <c r="B187" s="101"/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</row>
    <row r="188" spans="1:27" ht="13.8">
      <c r="A188" s="101"/>
      <c r="B188" s="101"/>
      <c r="C188" s="101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</row>
    <row r="189" spans="1:27" ht="13.8">
      <c r="A189" s="101"/>
      <c r="B189" s="101"/>
      <c r="C189" s="101"/>
      <c r="D189" s="101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  <c r="AA189" s="101"/>
    </row>
    <row r="190" spans="1:27" ht="13.8">
      <c r="A190" s="101"/>
      <c r="B190" s="101"/>
      <c r="C190" s="101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  <c r="AA190" s="101"/>
    </row>
    <row r="191" spans="1:27" ht="13.8">
      <c r="A191" s="101"/>
      <c r="B191" s="101"/>
      <c r="C191" s="101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  <c r="AA191" s="101"/>
    </row>
    <row r="192" spans="1:27" ht="13.8">
      <c r="A192" s="101"/>
      <c r="B192" s="101"/>
      <c r="C192" s="101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  <c r="AA192" s="101"/>
    </row>
    <row r="193" spans="1:27" ht="13.8">
      <c r="A193" s="101"/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</row>
    <row r="194" spans="1:27" ht="13.8">
      <c r="A194" s="101"/>
      <c r="B194" s="101"/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  <c r="AA194" s="101"/>
    </row>
    <row r="195" spans="1:27" ht="13.8">
      <c r="A195" s="101"/>
      <c r="B195" s="101"/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  <c r="AA195" s="101"/>
    </row>
    <row r="196" spans="1:27" ht="13.8">
      <c r="A196" s="101"/>
      <c r="B196" s="101"/>
      <c r="C196" s="101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  <c r="AA196" s="101"/>
    </row>
    <row r="197" spans="1:27" ht="13.8">
      <c r="A197" s="101"/>
      <c r="B197" s="101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  <c r="AA197" s="101"/>
    </row>
    <row r="198" spans="1:27" ht="13.8">
      <c r="A198" s="101"/>
      <c r="B198" s="101"/>
      <c r="C198" s="101"/>
      <c r="D198" s="101"/>
      <c r="E198" s="101"/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  <c r="AA198" s="101"/>
    </row>
    <row r="199" spans="1:27" ht="13.8">
      <c r="A199" s="101"/>
      <c r="B199" s="101"/>
      <c r="C199" s="101"/>
      <c r="D199" s="101"/>
      <c r="E199" s="101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  <c r="AA199" s="101"/>
    </row>
    <row r="200" spans="1:27" ht="13.8">
      <c r="A200" s="101"/>
      <c r="B200" s="101"/>
      <c r="C200" s="101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  <c r="AA200" s="101"/>
    </row>
    <row r="201" spans="1:27" ht="13.8">
      <c r="A201" s="101"/>
      <c r="B201" s="101"/>
      <c r="C201" s="101"/>
      <c r="D201" s="101"/>
      <c r="E201" s="101"/>
      <c r="F201" s="10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  <c r="AA201" s="101"/>
    </row>
    <row r="202" spans="1:27" ht="13.8">
      <c r="A202" s="101"/>
      <c r="B202" s="101"/>
      <c r="C202" s="101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  <c r="AA202" s="101"/>
    </row>
    <row r="203" spans="1:27" ht="13.8">
      <c r="A203" s="101"/>
      <c r="B203" s="101"/>
      <c r="C203" s="101"/>
      <c r="D203" s="101"/>
      <c r="E203" s="101"/>
      <c r="F203" s="101"/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  <c r="AA203" s="101"/>
    </row>
    <row r="204" spans="1:27" ht="13.8">
      <c r="A204" s="101"/>
      <c r="B204" s="101"/>
      <c r="C204" s="101"/>
      <c r="D204" s="101"/>
      <c r="E204" s="101"/>
      <c r="F204" s="101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  <c r="AA204" s="101"/>
    </row>
    <row r="205" spans="1:27" ht="13.8">
      <c r="A205" s="101"/>
      <c r="B205" s="101"/>
      <c r="C205" s="101"/>
      <c r="D205" s="101"/>
      <c r="E205" s="101"/>
      <c r="F205" s="101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  <c r="AA205" s="101"/>
    </row>
    <row r="206" spans="1:27" ht="13.8">
      <c r="A206" s="101"/>
      <c r="B206" s="101"/>
      <c r="C206" s="101"/>
      <c r="D206" s="101"/>
      <c r="E206" s="101"/>
      <c r="F206" s="101"/>
      <c r="G206" s="101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  <c r="AA206" s="101"/>
    </row>
    <row r="207" spans="1:27" ht="13.8">
      <c r="A207" s="101"/>
      <c r="B207" s="101"/>
      <c r="C207" s="101"/>
      <c r="D207" s="101"/>
      <c r="E207" s="101"/>
      <c r="F207" s="101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  <c r="AA207" s="101"/>
    </row>
    <row r="208" spans="1:27" ht="13.8">
      <c r="A208" s="101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  <c r="AA208" s="101"/>
    </row>
    <row r="209" spans="1:27" ht="13.8">
      <c r="A209" s="101"/>
      <c r="B209" s="101"/>
      <c r="C209" s="101"/>
      <c r="D209" s="101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  <c r="AA209" s="101"/>
    </row>
    <row r="210" spans="1:27" ht="13.8">
      <c r="A210" s="101"/>
      <c r="B210" s="101"/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</row>
    <row r="211" spans="1:27" ht="13.8">
      <c r="A211" s="101"/>
      <c r="B211" s="101"/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</row>
    <row r="212" spans="1:27" ht="13.8">
      <c r="A212" s="101"/>
      <c r="B212" s="101"/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  <c r="AA212" s="101"/>
    </row>
    <row r="213" spans="1:27" ht="13.8">
      <c r="A213" s="101"/>
      <c r="B213" s="101"/>
      <c r="C213" s="101"/>
      <c r="D213" s="101"/>
      <c r="E213" s="101"/>
      <c r="F213" s="101"/>
      <c r="G213" s="101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  <c r="AA213" s="101"/>
    </row>
    <row r="214" spans="1:27" ht="13.8">
      <c r="A214" s="101"/>
      <c r="B214" s="101"/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</row>
    <row r="215" spans="1:27" ht="13.8">
      <c r="A215" s="101"/>
      <c r="B215" s="101"/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  <c r="AA215" s="101"/>
    </row>
    <row r="216" spans="1:27" ht="13.8">
      <c r="A216" s="101"/>
      <c r="B216" s="101"/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  <c r="AA216" s="101"/>
    </row>
    <row r="217" spans="1:27" ht="13.8">
      <c r="A217" s="101"/>
      <c r="B217" s="101"/>
      <c r="C217" s="101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  <c r="AA217" s="101"/>
    </row>
    <row r="218" spans="1:27" ht="13.8">
      <c r="A218" s="101"/>
      <c r="B218" s="101"/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  <c r="AA218" s="101"/>
    </row>
    <row r="219" spans="1:27" ht="13.8">
      <c r="A219" s="101"/>
      <c r="B219" s="101"/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  <c r="AA219" s="101"/>
    </row>
    <row r="220" spans="1:27" ht="13.8">
      <c r="A220" s="101"/>
      <c r="B220" s="101"/>
      <c r="C220" s="101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  <c r="AA220" s="101"/>
    </row>
    <row r="221" spans="1:27" ht="13.8">
      <c r="A221" s="101"/>
      <c r="B221" s="101"/>
      <c r="C221" s="101"/>
      <c r="D221" s="101"/>
      <c r="E221" s="101"/>
      <c r="F221" s="101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  <c r="AA221" s="101"/>
    </row>
    <row r="222" spans="1:27" ht="13.8">
      <c r="A222" s="101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</row>
    <row r="223" spans="1:27" ht="13.8">
      <c r="A223" s="101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</row>
    <row r="224" spans="1:27" ht="13.8">
      <c r="A224" s="101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</row>
    <row r="225" spans="1:27" ht="13.8">
      <c r="A225" s="101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</row>
    <row r="226" spans="1:27" ht="13.8">
      <c r="A226" s="101"/>
      <c r="B226" s="101"/>
      <c r="C226" s="101"/>
      <c r="D226" s="101"/>
      <c r="E226" s="101"/>
      <c r="F226" s="101"/>
      <c r="G226" s="101"/>
      <c r="H226" s="101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  <c r="AA226" s="101"/>
    </row>
    <row r="227" spans="1:27" ht="13.8">
      <c r="A227" s="101"/>
      <c r="B227" s="101"/>
      <c r="C227" s="101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  <c r="AA227" s="101"/>
    </row>
    <row r="228" spans="1:27" ht="13.8">
      <c r="A228" s="101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  <c r="AA228" s="101"/>
    </row>
    <row r="229" spans="1:27" ht="13.8">
      <c r="A229" s="101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  <c r="AA229" s="101"/>
    </row>
    <row r="230" spans="1:27" ht="13.8">
      <c r="A230" s="101"/>
      <c r="B230" s="101"/>
      <c r="C230" s="101"/>
      <c r="D230" s="101"/>
      <c r="E230" s="101"/>
      <c r="F230" s="101"/>
      <c r="G230" s="101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  <c r="AA230" s="101"/>
    </row>
    <row r="231" spans="1:27" ht="13.8">
      <c r="A231" s="101"/>
      <c r="B231" s="101"/>
      <c r="C231" s="101"/>
      <c r="D231" s="101"/>
      <c r="E231" s="101"/>
      <c r="F231" s="101"/>
      <c r="G231" s="101"/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  <c r="AA231" s="101"/>
    </row>
    <row r="232" spans="1:27" ht="13.8">
      <c r="A232" s="101"/>
      <c r="B232" s="101"/>
      <c r="C232" s="101"/>
      <c r="D232" s="101"/>
      <c r="E232" s="101"/>
      <c r="F232" s="101"/>
      <c r="G232" s="101"/>
      <c r="H232" s="101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  <c r="Z232" s="101"/>
      <c r="AA232" s="101"/>
    </row>
    <row r="233" spans="1:27" ht="13.8">
      <c r="A233" s="101"/>
      <c r="B233" s="101"/>
      <c r="C233" s="101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</row>
    <row r="234" spans="1:27" ht="13.8">
      <c r="A234" s="101"/>
      <c r="B234" s="101"/>
      <c r="C234" s="101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</row>
    <row r="235" spans="1:27" ht="13.8">
      <c r="A235" s="101"/>
      <c r="B235" s="101"/>
      <c r="C235" s="101"/>
      <c r="D235" s="101"/>
      <c r="E235" s="101"/>
      <c r="F235" s="101"/>
      <c r="G235" s="101"/>
      <c r="H235" s="101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  <c r="AA235" s="101"/>
    </row>
    <row r="236" spans="1:27" ht="13.8">
      <c r="A236" s="101"/>
      <c r="B236" s="101"/>
      <c r="C236" s="101"/>
      <c r="D236" s="101"/>
      <c r="E236" s="101"/>
      <c r="F236" s="101"/>
      <c r="G236" s="101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  <c r="AA236" s="101"/>
    </row>
    <row r="237" spans="1:27" ht="13.8">
      <c r="A237" s="101"/>
      <c r="B237" s="101"/>
      <c r="C237" s="101"/>
      <c r="D237" s="101"/>
      <c r="E237" s="101"/>
      <c r="F237" s="101"/>
      <c r="G237" s="101"/>
      <c r="H237" s="101"/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  <c r="AA237" s="101"/>
    </row>
    <row r="238" spans="1:27" ht="13.8">
      <c r="A238" s="101"/>
      <c r="B238" s="101"/>
      <c r="C238" s="101"/>
      <c r="D238" s="101"/>
      <c r="E238" s="101"/>
      <c r="F238" s="101"/>
      <c r="G238" s="101"/>
      <c r="H238" s="101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  <c r="AA238" s="101"/>
    </row>
    <row r="239" spans="1:27" ht="13.8">
      <c r="A239" s="101"/>
      <c r="B239" s="101"/>
      <c r="C239" s="101"/>
      <c r="D239" s="101"/>
      <c r="E239" s="101"/>
      <c r="F239" s="101"/>
      <c r="G239" s="101"/>
      <c r="H239" s="101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  <c r="Z239" s="101"/>
      <c r="AA239" s="101"/>
    </row>
    <row r="240" spans="1:27" ht="13.8">
      <c r="A240" s="101"/>
      <c r="B240" s="101"/>
      <c r="C240" s="101"/>
      <c r="D240" s="101"/>
      <c r="E240" s="101"/>
      <c r="F240" s="101"/>
      <c r="G240" s="101"/>
      <c r="H240" s="101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  <c r="AA240" s="101"/>
    </row>
    <row r="241" spans="1:27" ht="13.8">
      <c r="A241" s="101"/>
      <c r="B241" s="101"/>
      <c r="C241" s="101"/>
      <c r="D241" s="101"/>
      <c r="E241" s="101"/>
      <c r="F241" s="101"/>
      <c r="G241" s="101"/>
      <c r="H241" s="101"/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  <c r="Z241" s="101"/>
      <c r="AA241" s="101"/>
    </row>
    <row r="242" spans="1:27" ht="13.8">
      <c r="A242" s="101"/>
      <c r="B242" s="101"/>
      <c r="C242" s="101"/>
      <c r="D242" s="101"/>
      <c r="E242" s="101"/>
      <c r="F242" s="101"/>
      <c r="G242" s="101"/>
      <c r="H242" s="101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  <c r="AA242" s="101"/>
    </row>
    <row r="243" spans="1:27" ht="13.8">
      <c r="A243" s="101"/>
      <c r="B243" s="101"/>
      <c r="C243" s="101"/>
      <c r="D243" s="101"/>
      <c r="E243" s="101"/>
      <c r="F243" s="101"/>
      <c r="G243" s="101"/>
      <c r="H243" s="101"/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  <c r="AA243" s="101"/>
    </row>
    <row r="244" spans="1:27" ht="13.8">
      <c r="A244" s="101"/>
      <c r="B244" s="101"/>
      <c r="C244" s="101"/>
      <c r="D244" s="101"/>
      <c r="E244" s="101"/>
      <c r="F244" s="101"/>
      <c r="G244" s="101"/>
      <c r="H244" s="101"/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  <c r="AA244" s="101"/>
    </row>
    <row r="245" spans="1:27" ht="13.8">
      <c r="A245" s="101"/>
      <c r="B245" s="101"/>
      <c r="C245" s="101"/>
      <c r="D245" s="101"/>
      <c r="E245" s="101"/>
      <c r="F245" s="101"/>
      <c r="G245" s="101"/>
      <c r="H245" s="101"/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  <c r="AA245" s="101"/>
    </row>
    <row r="246" spans="1:27" ht="13.8">
      <c r="A246" s="101"/>
      <c r="B246" s="101"/>
      <c r="C246" s="101"/>
      <c r="D246" s="101"/>
      <c r="E246" s="101"/>
      <c r="F246" s="101"/>
      <c r="G246" s="101"/>
      <c r="H246" s="101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  <c r="AA246" s="101"/>
    </row>
    <row r="247" spans="1:27" ht="13.8">
      <c r="A247" s="101"/>
      <c r="B247" s="101"/>
      <c r="C247" s="101"/>
      <c r="D247" s="101"/>
      <c r="E247" s="101"/>
      <c r="F247" s="101"/>
      <c r="G247" s="101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  <c r="AA247" s="101"/>
    </row>
    <row r="248" spans="1:27" ht="13.8">
      <c r="A248" s="101"/>
      <c r="B248" s="101"/>
      <c r="C248" s="101"/>
      <c r="D248" s="101"/>
      <c r="E248" s="101"/>
      <c r="F248" s="101"/>
      <c r="G248" s="101"/>
      <c r="H248" s="101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  <c r="AA248" s="101"/>
    </row>
    <row r="249" spans="1:27" ht="13.8">
      <c r="A249" s="101"/>
      <c r="B249" s="101"/>
      <c r="C249" s="101"/>
      <c r="D249" s="101"/>
      <c r="E249" s="101"/>
      <c r="F249" s="101"/>
      <c r="G249" s="101"/>
      <c r="H249" s="101"/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  <c r="AA249" s="101"/>
    </row>
    <row r="250" spans="1:27" ht="13.8">
      <c r="A250" s="101"/>
      <c r="B250" s="101"/>
      <c r="C250" s="101"/>
      <c r="D250" s="101"/>
      <c r="E250" s="101"/>
      <c r="F250" s="101"/>
      <c r="G250" s="101"/>
      <c r="H250" s="101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  <c r="AA250" s="101"/>
    </row>
    <row r="251" spans="1:27" ht="13.8">
      <c r="A251" s="101"/>
      <c r="B251" s="101"/>
      <c r="C251" s="101"/>
      <c r="D251" s="101"/>
      <c r="E251" s="101"/>
      <c r="F251" s="101"/>
      <c r="G251" s="101"/>
      <c r="H251" s="101"/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  <c r="AA251" s="101"/>
    </row>
    <row r="252" spans="1:27" ht="13.8">
      <c r="A252" s="101"/>
      <c r="B252" s="101"/>
      <c r="C252" s="101"/>
      <c r="D252" s="101"/>
      <c r="E252" s="101"/>
      <c r="F252" s="101"/>
      <c r="G252" s="101"/>
      <c r="H252" s="101"/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  <c r="AA252" s="101"/>
    </row>
    <row r="253" spans="1:27" ht="13.8">
      <c r="A253" s="101"/>
      <c r="B253" s="101"/>
      <c r="C253" s="101"/>
      <c r="D253" s="101"/>
      <c r="E253" s="101"/>
      <c r="F253" s="101"/>
      <c r="G253" s="101"/>
      <c r="H253" s="101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  <c r="AA253" s="101"/>
    </row>
    <row r="254" spans="1:27" ht="13.8">
      <c r="A254" s="101"/>
      <c r="B254" s="101"/>
      <c r="C254" s="101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  <c r="AA254" s="101"/>
    </row>
    <row r="255" spans="1:27" ht="13.8">
      <c r="A255" s="101"/>
      <c r="B255" s="101"/>
      <c r="C255" s="101"/>
      <c r="D255" s="101"/>
      <c r="E255" s="101"/>
      <c r="F255" s="101"/>
      <c r="G255" s="101"/>
      <c r="H255" s="101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  <c r="AA255" s="101"/>
    </row>
    <row r="256" spans="1:27" ht="13.8">
      <c r="A256" s="101"/>
      <c r="B256" s="101"/>
      <c r="C256" s="101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</row>
    <row r="257" spans="1:27" ht="13.8">
      <c r="A257" s="101"/>
      <c r="B257" s="101"/>
      <c r="C257" s="101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</row>
    <row r="258" spans="1:27" ht="13.8">
      <c r="A258" s="101"/>
      <c r="B258" s="101"/>
      <c r="C258" s="101"/>
      <c r="D258" s="101"/>
      <c r="E258" s="101"/>
      <c r="F258" s="101"/>
      <c r="G258" s="101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  <c r="AA258" s="101"/>
    </row>
    <row r="259" spans="1:27" ht="13.8">
      <c r="A259" s="101"/>
      <c r="B259" s="101"/>
      <c r="C259" s="101"/>
      <c r="D259" s="101"/>
      <c r="E259" s="101"/>
      <c r="F259" s="101"/>
      <c r="G259" s="101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  <c r="AA259" s="101"/>
    </row>
    <row r="260" spans="1:27" ht="13.8">
      <c r="A260" s="101"/>
      <c r="B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  <c r="AA260" s="101"/>
    </row>
    <row r="261" spans="1:27" ht="13.8">
      <c r="A261" s="101"/>
      <c r="B261" s="101"/>
      <c r="C261" s="101"/>
      <c r="D261" s="101"/>
      <c r="E261" s="101"/>
      <c r="F261" s="101"/>
      <c r="G261" s="101"/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  <c r="AA261" s="101"/>
    </row>
    <row r="262" spans="1:27" ht="13.8">
      <c r="A262" s="101"/>
      <c r="B262" s="101"/>
      <c r="C262" s="101"/>
      <c r="D262" s="101"/>
      <c r="E262" s="101"/>
      <c r="F262" s="101"/>
      <c r="G262" s="101"/>
      <c r="H262" s="101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  <c r="AA262" s="101"/>
    </row>
    <row r="263" spans="1:27" ht="13.8">
      <c r="A263" s="101"/>
      <c r="B263" s="101"/>
      <c r="C263" s="101"/>
      <c r="D263" s="101"/>
      <c r="E263" s="101"/>
      <c r="F263" s="101"/>
      <c r="G263" s="101"/>
      <c r="H263" s="101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  <c r="AA263" s="101"/>
    </row>
    <row r="264" spans="1:27" ht="13.8">
      <c r="A264" s="101"/>
      <c r="B264" s="101"/>
      <c r="C264" s="101"/>
      <c r="D264" s="101"/>
      <c r="E264" s="101"/>
      <c r="F264" s="101"/>
      <c r="G264" s="101"/>
      <c r="H264" s="101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  <c r="AA264" s="101"/>
    </row>
    <row r="265" spans="1:27" ht="13.8">
      <c r="A265" s="101"/>
      <c r="B265" s="101"/>
      <c r="C265" s="101"/>
      <c r="D265" s="101"/>
      <c r="E265" s="101"/>
      <c r="F265" s="101"/>
      <c r="G265" s="101"/>
      <c r="H265" s="101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  <c r="Z265" s="101"/>
      <c r="AA265" s="101"/>
    </row>
    <row r="266" spans="1:27" ht="13.8">
      <c r="A266" s="101"/>
      <c r="B266" s="101"/>
      <c r="C266" s="101"/>
      <c r="D266" s="101"/>
      <c r="E266" s="101"/>
      <c r="F266" s="101"/>
      <c r="G266" s="101"/>
      <c r="H266" s="101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  <c r="AA266" s="101"/>
    </row>
    <row r="267" spans="1:27" ht="13.8">
      <c r="A267" s="101"/>
      <c r="B267" s="101"/>
      <c r="C267" s="101"/>
      <c r="D267" s="101"/>
      <c r="E267" s="101"/>
      <c r="F267" s="101"/>
      <c r="G267" s="101"/>
      <c r="H267" s="101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  <c r="Z267" s="101"/>
      <c r="AA267" s="101"/>
    </row>
    <row r="268" spans="1:27" ht="13.8">
      <c r="A268" s="101"/>
      <c r="B268" s="101"/>
      <c r="C268" s="101"/>
      <c r="D268" s="101"/>
      <c r="E268" s="101"/>
      <c r="F268" s="101"/>
      <c r="G268" s="101"/>
      <c r="H268" s="101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  <c r="Z268" s="101"/>
      <c r="AA268" s="101"/>
    </row>
    <row r="269" spans="1:27" ht="13.8">
      <c r="A269" s="101"/>
      <c r="B269" s="101"/>
      <c r="C269" s="101"/>
      <c r="D269" s="101"/>
      <c r="E269" s="101"/>
      <c r="F269" s="101"/>
      <c r="G269" s="101"/>
      <c r="H269" s="101"/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  <c r="Z269" s="101"/>
      <c r="AA269" s="101"/>
    </row>
    <row r="270" spans="1:27" ht="13.8">
      <c r="A270" s="101"/>
      <c r="B270" s="101"/>
      <c r="C270" s="101"/>
      <c r="D270" s="101"/>
      <c r="E270" s="101"/>
      <c r="F270" s="101"/>
      <c r="G270" s="101"/>
      <c r="H270" s="101"/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  <c r="AA270" s="101"/>
    </row>
    <row r="271" spans="1:27" ht="13.8">
      <c r="A271" s="101"/>
      <c r="B271" s="101"/>
      <c r="C271" s="101"/>
      <c r="D271" s="101"/>
      <c r="E271" s="101"/>
      <c r="F271" s="101"/>
      <c r="G271" s="101"/>
      <c r="H271" s="101"/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  <c r="AA271" s="101"/>
    </row>
    <row r="272" spans="1:27" ht="13.8">
      <c r="A272" s="101"/>
      <c r="B272" s="101"/>
      <c r="C272" s="101"/>
      <c r="D272" s="101"/>
      <c r="E272" s="101"/>
      <c r="F272" s="101"/>
      <c r="G272" s="101"/>
      <c r="H272" s="101"/>
      <c r="I272" s="101"/>
      <c r="J272" s="101"/>
      <c r="K272" s="101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  <c r="Z272" s="101"/>
      <c r="AA272" s="101"/>
    </row>
    <row r="273" spans="1:27" ht="13.8">
      <c r="A273" s="101"/>
      <c r="B273" s="101"/>
      <c r="C273" s="101"/>
      <c r="D273" s="101"/>
      <c r="E273" s="101"/>
      <c r="F273" s="101"/>
      <c r="G273" s="101"/>
      <c r="H273" s="101"/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  <c r="AA273" s="101"/>
    </row>
    <row r="274" spans="1:27" ht="13.8">
      <c r="A274" s="101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</row>
    <row r="275" spans="1:27" ht="13.8">
      <c r="A275" s="101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</row>
    <row r="276" spans="1:27" ht="13.8">
      <c r="A276" s="101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</row>
    <row r="277" spans="1:27" ht="13.8">
      <c r="A277" s="101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</row>
    <row r="278" spans="1:27" ht="13.8">
      <c r="A278" s="101"/>
      <c r="B278" s="101"/>
      <c r="C278" s="101"/>
      <c r="D278" s="101"/>
      <c r="E278" s="101"/>
      <c r="F278" s="101"/>
      <c r="G278" s="101"/>
      <c r="H278" s="101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  <c r="AA278" s="101"/>
    </row>
    <row r="279" spans="1:27" ht="13.8">
      <c r="A279" s="101"/>
      <c r="B279" s="101"/>
      <c r="C279" s="101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</row>
    <row r="280" spans="1:27" ht="13.8">
      <c r="A280" s="101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</row>
    <row r="281" spans="1:27" ht="13.8">
      <c r="A281" s="101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  <c r="AA281" s="101"/>
    </row>
    <row r="282" spans="1:27" ht="13.8">
      <c r="A282" s="101"/>
      <c r="B282" s="101"/>
      <c r="C282" s="101"/>
      <c r="D282" s="101"/>
      <c r="E282" s="101"/>
      <c r="F282" s="101"/>
      <c r="G282" s="101"/>
      <c r="H282" s="101"/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  <c r="Z282" s="101"/>
      <c r="AA282" s="101"/>
    </row>
    <row r="283" spans="1:27" ht="13.8">
      <c r="A283" s="101"/>
      <c r="B283" s="101"/>
      <c r="C283" s="101"/>
      <c r="D283" s="101"/>
      <c r="E283" s="101"/>
      <c r="F283" s="101"/>
      <c r="G283" s="101"/>
      <c r="H283" s="101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  <c r="AA283" s="101"/>
    </row>
    <row r="284" spans="1:27" ht="13.8">
      <c r="A284" s="101"/>
      <c r="B284" s="101"/>
      <c r="C284" s="101"/>
      <c r="D284" s="101"/>
      <c r="E284" s="101"/>
      <c r="F284" s="101"/>
      <c r="G284" s="101"/>
      <c r="H284" s="101"/>
      <c r="I284" s="101"/>
      <c r="J284" s="101"/>
      <c r="K284" s="101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  <c r="Z284" s="101"/>
      <c r="AA284" s="101"/>
    </row>
    <row r="285" spans="1:27" ht="13.8">
      <c r="A285" s="101"/>
      <c r="B285" s="101"/>
      <c r="C285" s="101"/>
      <c r="D285" s="101"/>
      <c r="E285" s="101"/>
      <c r="F285" s="101"/>
      <c r="G285" s="101"/>
      <c r="H285" s="101"/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  <c r="AA285" s="101"/>
    </row>
    <row r="286" spans="1:27" ht="13.8">
      <c r="A286" s="101"/>
      <c r="B286" s="101"/>
      <c r="C286" s="101"/>
      <c r="D286" s="101"/>
      <c r="E286" s="101"/>
      <c r="F286" s="101"/>
      <c r="G286" s="101"/>
      <c r="H286" s="101"/>
      <c r="I286" s="101"/>
      <c r="J286" s="101"/>
      <c r="K286" s="101"/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  <c r="Z286" s="101"/>
      <c r="AA286" s="101"/>
    </row>
    <row r="287" spans="1:27" ht="13.8">
      <c r="A287" s="101"/>
      <c r="B287" s="101"/>
      <c r="C287" s="101"/>
      <c r="D287" s="101"/>
      <c r="E287" s="101"/>
      <c r="F287" s="101"/>
      <c r="G287" s="101"/>
      <c r="H287" s="101"/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  <c r="AA287" s="101"/>
    </row>
    <row r="288" spans="1:27" ht="13.8">
      <c r="A288" s="101"/>
      <c r="B288" s="101"/>
      <c r="C288" s="101"/>
      <c r="D288" s="101"/>
      <c r="E288" s="101"/>
      <c r="F288" s="101"/>
      <c r="G288" s="101"/>
      <c r="H288" s="101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  <c r="AA288" s="101"/>
    </row>
    <row r="289" spans="1:27" ht="13.8">
      <c r="A289" s="101"/>
      <c r="B289" s="101"/>
      <c r="C289" s="101"/>
      <c r="D289" s="101"/>
      <c r="E289" s="101"/>
      <c r="F289" s="101"/>
      <c r="G289" s="101"/>
      <c r="H289" s="101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  <c r="AA289" s="101"/>
    </row>
    <row r="290" spans="1:27" ht="13.8">
      <c r="A290" s="101"/>
      <c r="B290" s="101"/>
      <c r="C290" s="101"/>
      <c r="D290" s="101"/>
      <c r="E290" s="101"/>
      <c r="F290" s="101"/>
      <c r="G290" s="101"/>
      <c r="H290" s="101"/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  <c r="Z290" s="101"/>
      <c r="AA290" s="101"/>
    </row>
    <row r="291" spans="1:27" ht="13.8">
      <c r="A291" s="101"/>
      <c r="B291" s="101"/>
      <c r="C291" s="101"/>
      <c r="D291" s="101"/>
      <c r="E291" s="101"/>
      <c r="F291" s="101"/>
      <c r="G291" s="101"/>
      <c r="H291" s="101"/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  <c r="AA291" s="101"/>
    </row>
    <row r="292" spans="1:27" ht="13.8">
      <c r="A292" s="101"/>
      <c r="B292" s="101"/>
      <c r="C292" s="101"/>
      <c r="D292" s="101"/>
      <c r="E292" s="101"/>
      <c r="F292" s="101"/>
      <c r="G292" s="101"/>
      <c r="H292" s="101"/>
      <c r="I292" s="101"/>
      <c r="J292" s="101"/>
      <c r="K292" s="101"/>
      <c r="L292" s="101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  <c r="Z292" s="101"/>
      <c r="AA292" s="101"/>
    </row>
    <row r="293" spans="1:27" ht="13.8">
      <c r="A293" s="101"/>
      <c r="B293" s="101"/>
      <c r="C293" s="101"/>
      <c r="D293" s="101"/>
      <c r="E293" s="101"/>
      <c r="F293" s="101"/>
      <c r="G293" s="101"/>
      <c r="H293" s="101"/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  <c r="Z293" s="101"/>
      <c r="AA293" s="101"/>
    </row>
    <row r="294" spans="1:27" ht="13.8">
      <c r="A294" s="101"/>
      <c r="B294" s="101"/>
      <c r="C294" s="101"/>
      <c r="D294" s="101"/>
      <c r="E294" s="101"/>
      <c r="F294" s="101"/>
      <c r="G294" s="101"/>
      <c r="H294" s="101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  <c r="Z294" s="101"/>
      <c r="AA294" s="101"/>
    </row>
    <row r="295" spans="1:27" ht="13.8">
      <c r="A295" s="101"/>
      <c r="B295" s="101"/>
      <c r="C295" s="101"/>
      <c r="D295" s="101"/>
      <c r="E295" s="101"/>
      <c r="F295" s="101"/>
      <c r="G295" s="101"/>
      <c r="H295" s="101"/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  <c r="AA295" s="101"/>
    </row>
    <row r="296" spans="1:27" ht="13.8">
      <c r="A296" s="101"/>
      <c r="B296" s="101"/>
      <c r="C296" s="101"/>
      <c r="D296" s="101"/>
      <c r="E296" s="101"/>
      <c r="F296" s="101"/>
      <c r="G296" s="101"/>
      <c r="H296" s="101"/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  <c r="AA296" s="101"/>
    </row>
    <row r="297" spans="1:27" ht="13.8">
      <c r="A297" s="101"/>
      <c r="B297" s="101"/>
      <c r="C297" s="101"/>
      <c r="D297" s="101"/>
      <c r="E297" s="101"/>
      <c r="F297" s="101"/>
      <c r="G297" s="101"/>
      <c r="H297" s="101"/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  <c r="Z297" s="101"/>
      <c r="AA297" s="101"/>
    </row>
    <row r="298" spans="1:27" ht="13.8">
      <c r="A298" s="101"/>
      <c r="B298" s="101"/>
      <c r="C298" s="101"/>
      <c r="D298" s="101"/>
      <c r="E298" s="101"/>
      <c r="F298" s="101"/>
      <c r="G298" s="101"/>
      <c r="H298" s="101"/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  <c r="AA298" s="101"/>
    </row>
    <row r="299" spans="1:27" ht="13.8">
      <c r="A299" s="101"/>
      <c r="B299" s="101"/>
      <c r="C299" s="101"/>
      <c r="D299" s="101"/>
      <c r="E299" s="101"/>
      <c r="F299" s="101"/>
      <c r="G299" s="101"/>
      <c r="H299" s="101"/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  <c r="AA299" s="101"/>
    </row>
    <row r="300" spans="1:27" ht="13.8">
      <c r="A300" s="101"/>
      <c r="B300" s="101"/>
      <c r="C300" s="101"/>
      <c r="D300" s="101"/>
      <c r="E300" s="101"/>
      <c r="F300" s="101"/>
      <c r="G300" s="101"/>
      <c r="H300" s="101"/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  <c r="Z300" s="101"/>
      <c r="AA300" s="101"/>
    </row>
    <row r="301" spans="1:27" ht="13.8">
      <c r="A301" s="101"/>
      <c r="B301" s="101"/>
      <c r="C301" s="101"/>
      <c r="D301" s="101"/>
      <c r="E301" s="101"/>
      <c r="F301" s="101"/>
      <c r="G301" s="101"/>
      <c r="H301" s="101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  <c r="AA301" s="101"/>
    </row>
    <row r="302" spans="1:27" ht="13.8">
      <c r="A302" s="101"/>
      <c r="B302" s="101"/>
      <c r="C302" s="101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</row>
    <row r="303" spans="1:27" ht="13.8">
      <c r="A303" s="101"/>
      <c r="B303" s="101"/>
      <c r="C303" s="101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</row>
    <row r="304" spans="1:27" ht="13.8">
      <c r="A304" s="101"/>
      <c r="B304" s="101"/>
      <c r="C304" s="101"/>
      <c r="D304" s="101"/>
      <c r="E304" s="101"/>
      <c r="F304" s="101"/>
      <c r="G304" s="101"/>
      <c r="H304" s="101"/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  <c r="Z304" s="101"/>
      <c r="AA304" s="101"/>
    </row>
    <row r="305" spans="1:27" ht="13.8">
      <c r="A305" s="101"/>
      <c r="B305" s="101"/>
      <c r="C305" s="101"/>
      <c r="D305" s="101"/>
      <c r="E305" s="101"/>
      <c r="F305" s="101"/>
      <c r="G305" s="101"/>
      <c r="H305" s="101"/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  <c r="AA305" s="101"/>
    </row>
    <row r="306" spans="1:27" ht="13.8">
      <c r="A306" s="101"/>
      <c r="B306" s="101"/>
      <c r="C306" s="101"/>
      <c r="D306" s="101"/>
      <c r="E306" s="101"/>
      <c r="F306" s="101"/>
      <c r="G306" s="101"/>
      <c r="H306" s="101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  <c r="AA306" s="101"/>
    </row>
    <row r="307" spans="1:27" ht="13.8">
      <c r="A307" s="101"/>
      <c r="B307" s="101"/>
      <c r="C307" s="101"/>
      <c r="D307" s="101"/>
      <c r="E307" s="101"/>
      <c r="F307" s="101"/>
      <c r="G307" s="101"/>
      <c r="H307" s="101"/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  <c r="AA307" s="101"/>
    </row>
    <row r="308" spans="1:27" ht="13.8">
      <c r="A308" s="101"/>
      <c r="B308" s="101"/>
      <c r="C308" s="101"/>
      <c r="D308" s="101"/>
      <c r="E308" s="101"/>
      <c r="F308" s="101"/>
      <c r="G308" s="101"/>
      <c r="H308" s="101"/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  <c r="AA308" s="101"/>
    </row>
    <row r="309" spans="1:27" ht="13.8">
      <c r="A309" s="101"/>
      <c r="B309" s="101"/>
      <c r="C309" s="101"/>
      <c r="D309" s="101"/>
      <c r="E309" s="101"/>
      <c r="F309" s="101"/>
      <c r="G309" s="101"/>
      <c r="H309" s="101"/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  <c r="Z309" s="101"/>
      <c r="AA309" s="101"/>
    </row>
    <row r="310" spans="1:27" ht="13.8">
      <c r="A310" s="101"/>
      <c r="B310" s="101"/>
      <c r="C310" s="101"/>
      <c r="D310" s="101"/>
      <c r="E310" s="101"/>
      <c r="F310" s="101"/>
      <c r="G310" s="101"/>
      <c r="H310" s="101"/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  <c r="AA310" s="101"/>
    </row>
    <row r="311" spans="1:27" ht="13.8">
      <c r="A311" s="101"/>
      <c r="B311" s="101"/>
      <c r="C311" s="101"/>
      <c r="D311" s="101"/>
      <c r="E311" s="101"/>
      <c r="F311" s="101"/>
      <c r="G311" s="101"/>
      <c r="H311" s="101"/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  <c r="AA311" s="101"/>
    </row>
    <row r="312" spans="1:27" ht="13.8">
      <c r="A312" s="101"/>
      <c r="B312" s="101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  <c r="AA312" s="101"/>
    </row>
    <row r="313" spans="1:27" ht="13.8">
      <c r="A313" s="101"/>
      <c r="B313" s="101"/>
      <c r="C313" s="101"/>
      <c r="D313" s="101"/>
      <c r="E313" s="101"/>
      <c r="F313" s="101"/>
      <c r="G313" s="101"/>
      <c r="H313" s="101"/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  <c r="Z313" s="101"/>
      <c r="AA313" s="101"/>
    </row>
    <row r="314" spans="1:27" ht="13.8">
      <c r="A314" s="101"/>
      <c r="B314" s="101"/>
      <c r="C314" s="101"/>
      <c r="D314" s="101"/>
      <c r="E314" s="101"/>
      <c r="F314" s="101"/>
      <c r="G314" s="101"/>
      <c r="H314" s="101"/>
      <c r="I314" s="101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  <c r="AA314" s="101"/>
    </row>
    <row r="315" spans="1:27" ht="13.8">
      <c r="A315" s="101"/>
      <c r="B315" s="101"/>
      <c r="C315" s="101"/>
      <c r="D315" s="101"/>
      <c r="E315" s="101"/>
      <c r="F315" s="101"/>
      <c r="G315" s="101"/>
      <c r="H315" s="101"/>
      <c r="I315" s="101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  <c r="Z315" s="101"/>
      <c r="AA315" s="101"/>
    </row>
    <row r="316" spans="1:27" ht="13.8">
      <c r="A316" s="101"/>
      <c r="B316" s="101"/>
      <c r="C316" s="101"/>
      <c r="D316" s="101"/>
      <c r="E316" s="101"/>
      <c r="F316" s="101"/>
      <c r="G316" s="101"/>
      <c r="H316" s="101"/>
      <c r="I316" s="101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  <c r="Z316" s="101"/>
      <c r="AA316" s="101"/>
    </row>
    <row r="317" spans="1:27" ht="13.8">
      <c r="A317" s="101"/>
      <c r="B317" s="101"/>
      <c r="C317" s="101"/>
      <c r="D317" s="101"/>
      <c r="E317" s="101"/>
      <c r="F317" s="101"/>
      <c r="G317" s="101"/>
      <c r="H317" s="101"/>
      <c r="I317" s="101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  <c r="Z317" s="101"/>
      <c r="AA317" s="101"/>
    </row>
    <row r="318" spans="1:27" ht="13.8">
      <c r="A318" s="101"/>
      <c r="B318" s="101"/>
      <c r="C318" s="101"/>
      <c r="D318" s="101"/>
      <c r="E318" s="101"/>
      <c r="F318" s="101"/>
      <c r="G318" s="101"/>
      <c r="H318" s="101"/>
      <c r="I318" s="101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  <c r="AA318" s="101"/>
    </row>
    <row r="319" spans="1:27" ht="13.8">
      <c r="A319" s="101"/>
      <c r="B319" s="101"/>
      <c r="C319" s="101"/>
      <c r="D319" s="101"/>
      <c r="E319" s="101"/>
      <c r="F319" s="101"/>
      <c r="G319" s="101"/>
      <c r="H319" s="101"/>
      <c r="I319" s="101"/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  <c r="AA319" s="101"/>
    </row>
    <row r="320" spans="1:27" ht="13.8">
      <c r="A320" s="101"/>
      <c r="B320" s="101"/>
      <c r="C320" s="101"/>
      <c r="D320" s="101"/>
      <c r="E320" s="101"/>
      <c r="F320" s="101"/>
      <c r="G320" s="101"/>
      <c r="H320" s="101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  <c r="AA320" s="101"/>
    </row>
    <row r="321" spans="1:27" ht="13.8">
      <c r="A321" s="101"/>
      <c r="B321" s="101"/>
      <c r="C321" s="101"/>
      <c r="D321" s="101"/>
      <c r="E321" s="101"/>
      <c r="F321" s="101"/>
      <c r="G321" s="101"/>
      <c r="H321" s="101"/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  <c r="AA321" s="101"/>
    </row>
    <row r="322" spans="1:27" ht="13.8">
      <c r="A322" s="101"/>
      <c r="B322" s="101"/>
      <c r="C322" s="101"/>
      <c r="D322" s="101"/>
      <c r="E322" s="101"/>
      <c r="F322" s="101"/>
      <c r="G322" s="101"/>
      <c r="H322" s="101"/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  <c r="Z322" s="101"/>
      <c r="AA322" s="101"/>
    </row>
    <row r="323" spans="1:27" ht="13.8">
      <c r="A323" s="101"/>
      <c r="B323" s="101"/>
      <c r="C323" s="101"/>
      <c r="D323" s="101"/>
      <c r="E323" s="101"/>
      <c r="F323" s="101"/>
      <c r="G323" s="101"/>
      <c r="H323" s="101"/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  <c r="AA323" s="101"/>
    </row>
    <row r="324" spans="1:27" ht="13.8">
      <c r="A324" s="101"/>
      <c r="B324" s="101"/>
      <c r="C324" s="101"/>
      <c r="D324" s="101"/>
      <c r="E324" s="101"/>
      <c r="F324" s="101"/>
      <c r="G324" s="101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  <c r="Z324" s="101"/>
      <c r="AA324" s="101"/>
    </row>
    <row r="325" spans="1:27" ht="13.8">
      <c r="A325" s="101"/>
      <c r="B325" s="101"/>
      <c r="C325" s="101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</row>
    <row r="326" spans="1:27" ht="13.8">
      <c r="A326" s="101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</row>
    <row r="327" spans="1:27" ht="13.8">
      <c r="A327" s="101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</row>
    <row r="328" spans="1:27" ht="13.8">
      <c r="A328" s="101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</row>
    <row r="329" spans="1:27" ht="13.8">
      <c r="A329" s="101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</row>
    <row r="330" spans="1:27" ht="13.8">
      <c r="A330" s="101"/>
      <c r="B330" s="101"/>
      <c r="C330" s="101"/>
      <c r="D330" s="101"/>
      <c r="E330" s="101"/>
      <c r="F330" s="101"/>
      <c r="G330" s="101"/>
      <c r="H330" s="101"/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  <c r="Z330" s="101"/>
      <c r="AA330" s="101"/>
    </row>
    <row r="331" spans="1:27" ht="13.8">
      <c r="A331" s="101"/>
      <c r="B331" s="101"/>
      <c r="C331" s="101"/>
      <c r="D331" s="101"/>
      <c r="E331" s="101"/>
      <c r="F331" s="101"/>
      <c r="G331" s="101"/>
      <c r="H331" s="101"/>
      <c r="I331" s="101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  <c r="Z331" s="101"/>
      <c r="AA331" s="101"/>
    </row>
    <row r="332" spans="1:27" ht="13.8">
      <c r="A332" s="101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  <c r="Z332" s="101"/>
      <c r="AA332" s="101"/>
    </row>
    <row r="333" spans="1:27" ht="13.8">
      <c r="A333" s="101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  <c r="AA333" s="101"/>
    </row>
    <row r="334" spans="1:27" ht="13.8">
      <c r="A334" s="101"/>
      <c r="B334" s="101"/>
      <c r="C334" s="101"/>
      <c r="D334" s="101"/>
      <c r="E334" s="101"/>
      <c r="F334" s="101"/>
      <c r="G334" s="101"/>
      <c r="H334" s="101"/>
      <c r="I334" s="101"/>
      <c r="J334" s="101"/>
      <c r="K334" s="101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  <c r="AA334" s="101"/>
    </row>
    <row r="335" spans="1:27" ht="13.8">
      <c r="A335" s="101"/>
      <c r="B335" s="101"/>
      <c r="C335" s="101"/>
      <c r="D335" s="101"/>
      <c r="E335" s="101"/>
      <c r="F335" s="101"/>
      <c r="G335" s="101"/>
      <c r="H335" s="101"/>
      <c r="I335" s="101"/>
      <c r="J335" s="101"/>
      <c r="K335" s="101"/>
      <c r="L335" s="101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  <c r="Z335" s="101"/>
      <c r="AA335" s="101"/>
    </row>
    <row r="336" spans="1:27" ht="13.8">
      <c r="A336" s="101"/>
      <c r="B336" s="101"/>
      <c r="C336" s="101"/>
      <c r="D336" s="101"/>
      <c r="E336" s="101"/>
      <c r="F336" s="101"/>
      <c r="G336" s="101"/>
      <c r="H336" s="101"/>
      <c r="I336" s="101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  <c r="AA336" s="101"/>
    </row>
    <row r="337" spans="1:27" ht="13.8">
      <c r="A337" s="101"/>
      <c r="B337" s="101"/>
      <c r="C337" s="101"/>
      <c r="D337" s="101"/>
      <c r="E337" s="101"/>
      <c r="F337" s="101"/>
      <c r="G337" s="101"/>
      <c r="H337" s="101"/>
      <c r="I337" s="101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  <c r="AA337" s="101"/>
    </row>
    <row r="338" spans="1:27" ht="13.8">
      <c r="A338" s="101"/>
      <c r="B338" s="101"/>
      <c r="C338" s="101"/>
      <c r="D338" s="101"/>
      <c r="E338" s="101"/>
      <c r="F338" s="101"/>
      <c r="G338" s="101"/>
      <c r="H338" s="101"/>
      <c r="I338" s="101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  <c r="Z338" s="101"/>
      <c r="AA338" s="101"/>
    </row>
    <row r="339" spans="1:27" ht="13.8">
      <c r="A339" s="101"/>
      <c r="B339" s="101"/>
      <c r="C339" s="101"/>
      <c r="D339" s="101"/>
      <c r="E339" s="101"/>
      <c r="F339" s="101"/>
      <c r="G339" s="101"/>
      <c r="H339" s="101"/>
      <c r="I339" s="101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  <c r="AA339" s="101"/>
    </row>
    <row r="340" spans="1:27" ht="13.8">
      <c r="A340" s="101"/>
      <c r="B340" s="101"/>
      <c r="C340" s="101"/>
      <c r="D340" s="101"/>
      <c r="E340" s="101"/>
      <c r="F340" s="101"/>
      <c r="G340" s="101"/>
      <c r="H340" s="101"/>
      <c r="I340" s="101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  <c r="AA340" s="101"/>
    </row>
    <row r="341" spans="1:27" ht="13.8">
      <c r="A341" s="101"/>
      <c r="B341" s="101"/>
      <c r="C341" s="101"/>
      <c r="D341" s="101"/>
      <c r="E341" s="101"/>
      <c r="F341" s="101"/>
      <c r="G341" s="101"/>
      <c r="H341" s="101"/>
      <c r="I341" s="101"/>
      <c r="J341" s="101"/>
      <c r="K341" s="101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  <c r="AA341" s="101"/>
    </row>
    <row r="342" spans="1:27" ht="13.8">
      <c r="A342" s="101"/>
      <c r="B342" s="101"/>
      <c r="C342" s="101"/>
      <c r="D342" s="101"/>
      <c r="E342" s="101"/>
      <c r="F342" s="101"/>
      <c r="G342" s="101"/>
      <c r="H342" s="101"/>
      <c r="I342" s="101"/>
      <c r="J342" s="101"/>
      <c r="K342" s="101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  <c r="AA342" s="101"/>
    </row>
    <row r="343" spans="1:27" ht="13.8">
      <c r="A343" s="101"/>
      <c r="B343" s="101"/>
      <c r="C343" s="101"/>
      <c r="D343" s="101"/>
      <c r="E343" s="101"/>
      <c r="F343" s="101"/>
      <c r="G343" s="101"/>
      <c r="H343" s="101"/>
      <c r="I343" s="101"/>
      <c r="J343" s="101"/>
      <c r="K343" s="101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  <c r="AA343" s="101"/>
    </row>
    <row r="344" spans="1:27" ht="13.8">
      <c r="A344" s="101"/>
      <c r="B344" s="101"/>
      <c r="C344" s="101"/>
      <c r="D344" s="101"/>
      <c r="E344" s="101"/>
      <c r="F344" s="101"/>
      <c r="G344" s="101"/>
      <c r="H344" s="101"/>
      <c r="I344" s="101"/>
      <c r="J344" s="101"/>
      <c r="K344" s="101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  <c r="AA344" s="101"/>
    </row>
    <row r="345" spans="1:27" ht="13.8">
      <c r="A345" s="101"/>
      <c r="B345" s="101"/>
      <c r="C345" s="101"/>
      <c r="D345" s="101"/>
      <c r="E345" s="101"/>
      <c r="F345" s="101"/>
      <c r="G345" s="101"/>
      <c r="H345" s="101"/>
      <c r="I345" s="101"/>
      <c r="J345" s="101"/>
      <c r="K345" s="101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  <c r="AA345" s="101"/>
    </row>
    <row r="346" spans="1:27" ht="13.8">
      <c r="A346" s="101"/>
      <c r="B346" s="101"/>
      <c r="C346" s="101"/>
      <c r="D346" s="101"/>
      <c r="E346" s="101"/>
      <c r="F346" s="101"/>
      <c r="G346" s="101"/>
      <c r="H346" s="101"/>
      <c r="I346" s="101"/>
      <c r="J346" s="101"/>
      <c r="K346" s="101"/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  <c r="Z346" s="101"/>
      <c r="AA346" s="101"/>
    </row>
    <row r="347" spans="1:27" ht="13.8">
      <c r="A347" s="101"/>
      <c r="B347" s="101"/>
      <c r="C347" s="101"/>
      <c r="D347" s="101"/>
      <c r="E347" s="101"/>
      <c r="F347" s="101"/>
      <c r="G347" s="101"/>
      <c r="H347" s="101"/>
      <c r="I347" s="101"/>
      <c r="J347" s="101"/>
      <c r="K347" s="101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  <c r="AA347" s="101"/>
    </row>
    <row r="348" spans="1:27" ht="13.8">
      <c r="A348" s="101"/>
      <c r="B348" s="101"/>
      <c r="C348" s="101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</row>
    <row r="349" spans="1:27" ht="13.8">
      <c r="A349" s="101"/>
      <c r="B349" s="101"/>
      <c r="C349" s="101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</row>
    <row r="350" spans="1:27" ht="13.8">
      <c r="A350" s="101"/>
      <c r="B350" s="101"/>
      <c r="C350" s="101"/>
      <c r="D350" s="101"/>
      <c r="E350" s="101"/>
      <c r="F350" s="101"/>
      <c r="G350" s="101"/>
      <c r="H350" s="101"/>
      <c r="I350" s="101"/>
      <c r="J350" s="101"/>
      <c r="K350" s="101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  <c r="AA350" s="101"/>
    </row>
    <row r="351" spans="1:27" ht="13.8">
      <c r="A351" s="101"/>
      <c r="B351" s="101"/>
      <c r="C351" s="101"/>
      <c r="D351" s="101"/>
      <c r="E351" s="101"/>
      <c r="F351" s="101"/>
      <c r="G351" s="101"/>
      <c r="H351" s="101"/>
      <c r="I351" s="101"/>
      <c r="J351" s="101"/>
      <c r="K351" s="101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  <c r="Z351" s="101"/>
      <c r="AA351" s="101"/>
    </row>
    <row r="352" spans="1:27" ht="13.8">
      <c r="A352" s="101"/>
      <c r="B352" s="101"/>
      <c r="C352" s="101"/>
      <c r="D352" s="101"/>
      <c r="E352" s="101"/>
      <c r="F352" s="101"/>
      <c r="G352" s="101"/>
      <c r="H352" s="101"/>
      <c r="I352" s="101"/>
      <c r="J352" s="101"/>
      <c r="K352" s="101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  <c r="AA352" s="101"/>
    </row>
    <row r="353" spans="1:27" ht="13.8">
      <c r="A353" s="101"/>
      <c r="B353" s="101"/>
      <c r="C353" s="101"/>
      <c r="D353" s="101"/>
      <c r="E353" s="101"/>
      <c r="F353" s="101"/>
      <c r="G353" s="101"/>
      <c r="H353" s="101"/>
      <c r="I353" s="101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  <c r="AA353" s="101"/>
    </row>
    <row r="354" spans="1:27" ht="13.8">
      <c r="A354" s="101"/>
      <c r="B354" s="101"/>
      <c r="C354" s="101"/>
      <c r="D354" s="101"/>
      <c r="E354" s="101"/>
      <c r="F354" s="101"/>
      <c r="G354" s="101"/>
      <c r="H354" s="101"/>
      <c r="I354" s="101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  <c r="AA354" s="101"/>
    </row>
    <row r="355" spans="1:27" ht="13.8">
      <c r="A355" s="101"/>
      <c r="B355" s="101"/>
      <c r="C355" s="101"/>
      <c r="D355" s="101"/>
      <c r="E355" s="101"/>
      <c r="F355" s="101"/>
      <c r="G355" s="101"/>
      <c r="H355" s="101"/>
      <c r="I355" s="101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  <c r="AA355" s="101"/>
    </row>
    <row r="356" spans="1:27" ht="13.8">
      <c r="A356" s="101"/>
      <c r="B356" s="101"/>
      <c r="C356" s="101"/>
      <c r="D356" s="101"/>
      <c r="E356" s="101"/>
      <c r="F356" s="101"/>
      <c r="G356" s="101"/>
      <c r="H356" s="101"/>
      <c r="I356" s="101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  <c r="AA356" s="101"/>
    </row>
    <row r="357" spans="1:27" ht="13.8">
      <c r="A357" s="101"/>
      <c r="B357" s="101"/>
      <c r="C357" s="101"/>
      <c r="D357" s="101"/>
      <c r="E357" s="101"/>
      <c r="F357" s="101"/>
      <c r="G357" s="101"/>
      <c r="H357" s="101"/>
      <c r="I357" s="101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  <c r="AA357" s="101"/>
    </row>
    <row r="358" spans="1:27" ht="13.8">
      <c r="A358" s="101"/>
      <c r="B358" s="101"/>
      <c r="C358" s="101"/>
      <c r="D358" s="101"/>
      <c r="E358" s="101"/>
      <c r="F358" s="101"/>
      <c r="G358" s="101"/>
      <c r="H358" s="101"/>
      <c r="I358" s="101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  <c r="AA358" s="101"/>
    </row>
    <row r="359" spans="1:27" ht="13.8">
      <c r="A359" s="101"/>
      <c r="B359" s="101"/>
      <c r="C359" s="101"/>
      <c r="D359" s="101"/>
      <c r="E359" s="101"/>
      <c r="F359" s="101"/>
      <c r="G359" s="101"/>
      <c r="H359" s="101"/>
      <c r="I359" s="101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  <c r="AA359" s="101"/>
    </row>
    <row r="360" spans="1:27" ht="13.8">
      <c r="A360" s="101"/>
      <c r="B360" s="101"/>
      <c r="C360" s="101"/>
      <c r="D360" s="101"/>
      <c r="E360" s="101"/>
      <c r="F360" s="101"/>
      <c r="G360" s="101"/>
      <c r="H360" s="101"/>
      <c r="I360" s="101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  <c r="AA360" s="101"/>
    </row>
    <row r="361" spans="1:27" ht="13.8">
      <c r="A361" s="101"/>
      <c r="B361" s="101"/>
      <c r="C361" s="101"/>
      <c r="D361" s="101"/>
      <c r="E361" s="101"/>
      <c r="F361" s="101"/>
      <c r="G361" s="101"/>
      <c r="H361" s="101"/>
      <c r="I361" s="101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  <c r="AA361" s="101"/>
    </row>
    <row r="362" spans="1:27" ht="13.8">
      <c r="A362" s="101"/>
      <c r="B362" s="101"/>
      <c r="C362" s="101"/>
      <c r="D362" s="101"/>
      <c r="E362" s="101"/>
      <c r="F362" s="101"/>
      <c r="G362" s="101"/>
      <c r="H362" s="101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  <c r="AA362" s="101"/>
    </row>
    <row r="363" spans="1:27" ht="13.8">
      <c r="A363" s="101"/>
      <c r="B363" s="101"/>
      <c r="C363" s="101"/>
      <c r="D363" s="101"/>
      <c r="E363" s="101"/>
      <c r="F363" s="101"/>
      <c r="G363" s="101"/>
      <c r="H363" s="101"/>
      <c r="I363" s="101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  <c r="AA363" s="101"/>
    </row>
    <row r="364" spans="1:27" ht="13.8">
      <c r="A364" s="101"/>
      <c r="B364" s="101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</row>
    <row r="365" spans="1:27" ht="13.8">
      <c r="A365" s="101"/>
      <c r="B365" s="101"/>
      <c r="C365" s="101"/>
      <c r="D365" s="101"/>
      <c r="E365" s="101"/>
      <c r="F365" s="101"/>
      <c r="G365" s="101"/>
      <c r="H365" s="101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  <c r="AA365" s="101"/>
    </row>
    <row r="366" spans="1:27" ht="13.8">
      <c r="A366" s="101"/>
      <c r="B366" s="101"/>
      <c r="C366" s="101"/>
      <c r="D366" s="101"/>
      <c r="E366" s="101"/>
      <c r="F366" s="101"/>
      <c r="G366" s="101"/>
      <c r="H366" s="101"/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  <c r="AA366" s="101"/>
    </row>
    <row r="367" spans="1:27" ht="13.8">
      <c r="A367" s="101"/>
      <c r="B367" s="101"/>
      <c r="C367" s="101"/>
      <c r="D367" s="101"/>
      <c r="E367" s="101"/>
      <c r="F367" s="101"/>
      <c r="G367" s="101"/>
      <c r="H367" s="101"/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  <c r="AA367" s="101"/>
    </row>
    <row r="368" spans="1:27" ht="13.8">
      <c r="A368" s="101"/>
      <c r="B368" s="101"/>
      <c r="C368" s="101"/>
      <c r="D368" s="101"/>
      <c r="E368" s="101"/>
      <c r="F368" s="101"/>
      <c r="G368" s="101"/>
      <c r="H368" s="101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  <c r="AA368" s="101"/>
    </row>
    <row r="369" spans="1:27" ht="13.8">
      <c r="A369" s="101"/>
      <c r="B369" s="101"/>
      <c r="C369" s="101"/>
      <c r="D369" s="101"/>
      <c r="E369" s="101"/>
      <c r="F369" s="101"/>
      <c r="G369" s="101"/>
      <c r="H369" s="101"/>
      <c r="I369" s="101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  <c r="AA369" s="101"/>
    </row>
    <row r="370" spans="1:27" ht="13.8">
      <c r="A370" s="101"/>
      <c r="B370" s="101"/>
      <c r="C370" s="101"/>
      <c r="D370" s="101"/>
      <c r="E370" s="101"/>
      <c r="F370" s="101"/>
      <c r="G370" s="101"/>
      <c r="H370" s="101"/>
      <c r="I370" s="101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  <c r="Z370" s="101"/>
      <c r="AA370" s="101"/>
    </row>
    <row r="371" spans="1:27" ht="13.8">
      <c r="A371" s="101"/>
      <c r="B371" s="101"/>
      <c r="C371" s="101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</row>
    <row r="372" spans="1:27" ht="13.8">
      <c r="A372" s="101"/>
      <c r="B372" s="101"/>
      <c r="C372" s="101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</row>
    <row r="373" spans="1:27" ht="13.8">
      <c r="A373" s="101"/>
      <c r="B373" s="101"/>
      <c r="C373" s="101"/>
      <c r="D373" s="101"/>
      <c r="E373" s="101"/>
      <c r="F373" s="101"/>
      <c r="G373" s="101"/>
      <c r="H373" s="101"/>
      <c r="I373" s="101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  <c r="Z373" s="101"/>
      <c r="AA373" s="101"/>
    </row>
    <row r="374" spans="1:27" ht="13.8">
      <c r="A374" s="101"/>
      <c r="B374" s="101"/>
      <c r="C374" s="101"/>
      <c r="D374" s="101"/>
      <c r="E374" s="101"/>
      <c r="F374" s="101"/>
      <c r="G374" s="101"/>
      <c r="H374" s="101"/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  <c r="AA374" s="101"/>
    </row>
    <row r="375" spans="1:27" ht="13.8">
      <c r="A375" s="101"/>
      <c r="B375" s="101"/>
      <c r="C375" s="101"/>
      <c r="D375" s="101"/>
      <c r="E375" s="101"/>
      <c r="F375" s="101"/>
      <c r="G375" s="101"/>
      <c r="H375" s="101"/>
      <c r="I375" s="101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  <c r="Z375" s="101"/>
      <c r="AA375" s="101"/>
    </row>
    <row r="376" spans="1:27" ht="13.8">
      <c r="A376" s="101"/>
      <c r="B376" s="101"/>
      <c r="C376" s="101"/>
      <c r="D376" s="101"/>
      <c r="E376" s="101"/>
      <c r="F376" s="101"/>
      <c r="G376" s="101"/>
      <c r="H376" s="101"/>
      <c r="I376" s="101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  <c r="AA376" s="101"/>
    </row>
    <row r="377" spans="1:27" ht="13.8">
      <c r="A377" s="101"/>
      <c r="B377" s="101"/>
      <c r="C377" s="101"/>
      <c r="D377" s="101"/>
      <c r="E377" s="101"/>
      <c r="F377" s="101"/>
      <c r="G377" s="101"/>
      <c r="H377" s="101"/>
      <c r="I377" s="101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  <c r="AA377" s="101"/>
    </row>
    <row r="378" spans="1:27" ht="13.8">
      <c r="A378" s="101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</row>
    <row r="379" spans="1:27" ht="13.8">
      <c r="A379" s="101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</row>
    <row r="380" spans="1:27" ht="13.8">
      <c r="A380" s="101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</row>
    <row r="381" spans="1:27" ht="13.8">
      <c r="A381" s="101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</row>
    <row r="382" spans="1:27" ht="13.8">
      <c r="A382" s="101"/>
      <c r="B382" s="101"/>
      <c r="C382" s="101"/>
      <c r="D382" s="101"/>
      <c r="E382" s="101"/>
      <c r="F382" s="101"/>
      <c r="G382" s="101"/>
      <c r="H382" s="101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  <c r="AA382" s="101"/>
    </row>
    <row r="383" spans="1:27" ht="13.8">
      <c r="A383" s="101"/>
      <c r="B383" s="101"/>
      <c r="C383" s="101"/>
      <c r="D383" s="101"/>
      <c r="E383" s="101"/>
      <c r="F383" s="101"/>
      <c r="G383" s="101"/>
      <c r="H383" s="101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  <c r="AA383" s="101"/>
    </row>
    <row r="384" spans="1:27" ht="13.8">
      <c r="A384" s="101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  <c r="AA384" s="101"/>
    </row>
    <row r="385" spans="1:27" ht="13.8">
      <c r="A385" s="101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  <c r="AA385" s="101"/>
    </row>
    <row r="386" spans="1:27" ht="13.8">
      <c r="A386" s="101"/>
      <c r="B386" s="101"/>
      <c r="C386" s="101"/>
      <c r="D386" s="101"/>
      <c r="E386" s="101"/>
      <c r="F386" s="101"/>
      <c r="G386" s="101"/>
      <c r="H386" s="101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  <c r="AA386" s="101"/>
    </row>
    <row r="387" spans="1:27" ht="13.8">
      <c r="A387" s="101"/>
      <c r="B387" s="101"/>
      <c r="C387" s="101"/>
      <c r="D387" s="101"/>
      <c r="E387" s="101"/>
      <c r="F387" s="101"/>
      <c r="G387" s="101"/>
      <c r="H387" s="101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  <c r="AA387" s="101"/>
    </row>
    <row r="388" spans="1:27" ht="13.8">
      <c r="A388" s="101"/>
      <c r="B388" s="101"/>
      <c r="C388" s="101"/>
      <c r="D388" s="101"/>
      <c r="E388" s="101"/>
      <c r="F388" s="101"/>
      <c r="G388" s="101"/>
      <c r="H388" s="101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  <c r="AA388" s="101"/>
    </row>
    <row r="389" spans="1:27" ht="13.8">
      <c r="A389" s="101"/>
      <c r="B389" s="101"/>
      <c r="C389" s="101"/>
      <c r="D389" s="101"/>
      <c r="E389" s="101"/>
      <c r="F389" s="101"/>
      <c r="G389" s="101"/>
      <c r="H389" s="101"/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  <c r="AA389" s="101"/>
    </row>
    <row r="390" spans="1:27" ht="13.8">
      <c r="A390" s="101"/>
      <c r="B390" s="101"/>
      <c r="C390" s="101"/>
      <c r="D390" s="101"/>
      <c r="E390" s="101"/>
      <c r="F390" s="101"/>
      <c r="G390" s="101"/>
      <c r="H390" s="101"/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  <c r="AA390" s="101"/>
    </row>
    <row r="391" spans="1:27" ht="13.8">
      <c r="A391" s="101"/>
      <c r="B391" s="101"/>
      <c r="C391" s="101"/>
      <c r="D391" s="101"/>
      <c r="E391" s="101"/>
      <c r="F391" s="101"/>
      <c r="G391" s="101"/>
      <c r="H391" s="101"/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  <c r="AA391" s="101"/>
    </row>
    <row r="392" spans="1:27" ht="13.8">
      <c r="A392" s="101"/>
      <c r="B392" s="101"/>
      <c r="C392" s="101"/>
      <c r="D392" s="101"/>
      <c r="E392" s="101"/>
      <c r="F392" s="101"/>
      <c r="G392" s="101"/>
      <c r="H392" s="101"/>
      <c r="I392" s="101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  <c r="AA392" s="101"/>
    </row>
    <row r="393" spans="1:27" ht="13.8">
      <c r="A393" s="101"/>
      <c r="B393" s="101"/>
      <c r="C393" s="101"/>
      <c r="D393" s="101"/>
      <c r="E393" s="101"/>
      <c r="F393" s="101"/>
      <c r="G393" s="101"/>
      <c r="H393" s="101"/>
      <c r="I393" s="101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  <c r="AA393" s="101"/>
    </row>
    <row r="394" spans="1:27" ht="13.8">
      <c r="A394" s="101"/>
      <c r="B394" s="101"/>
      <c r="C394" s="101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</row>
    <row r="395" spans="1:27" ht="13.8">
      <c r="A395" s="101"/>
      <c r="B395" s="101"/>
      <c r="C395" s="101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</row>
    <row r="396" spans="1:27" ht="13.8">
      <c r="A396" s="101"/>
      <c r="B396" s="101"/>
      <c r="C396" s="101"/>
      <c r="D396" s="101"/>
      <c r="E396" s="101"/>
      <c r="F396" s="101"/>
      <c r="G396" s="101"/>
      <c r="H396" s="101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  <c r="AA396" s="101"/>
    </row>
    <row r="397" spans="1:27" ht="13.8">
      <c r="A397" s="101"/>
      <c r="B397" s="101"/>
      <c r="C397" s="101"/>
      <c r="D397" s="101"/>
      <c r="E397" s="101"/>
      <c r="F397" s="101"/>
      <c r="G397" s="101"/>
      <c r="H397" s="101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  <c r="AA397" s="101"/>
    </row>
    <row r="398" spans="1:27" ht="13.8">
      <c r="A398" s="101"/>
      <c r="B398" s="101"/>
      <c r="C398" s="101"/>
      <c r="D398" s="101"/>
      <c r="E398" s="101"/>
      <c r="F398" s="101"/>
      <c r="G398" s="101"/>
      <c r="H398" s="101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  <c r="AA398" s="101"/>
    </row>
    <row r="399" spans="1:27" ht="13.8">
      <c r="A399" s="101"/>
      <c r="B399" s="101"/>
      <c r="C399" s="101"/>
      <c r="D399" s="101"/>
      <c r="E399" s="101"/>
      <c r="F399" s="101"/>
      <c r="G399" s="101"/>
      <c r="H399" s="101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  <c r="AA399" s="101"/>
    </row>
    <row r="400" spans="1:27" ht="13.8">
      <c r="A400" s="101"/>
      <c r="B400" s="101"/>
      <c r="C400" s="101"/>
      <c r="D400" s="101"/>
      <c r="E400" s="101"/>
      <c r="F400" s="101"/>
      <c r="G400" s="101"/>
      <c r="H400" s="101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  <c r="AA400" s="101"/>
    </row>
    <row r="401" spans="1:27" ht="13.8">
      <c r="A401" s="101"/>
      <c r="B401" s="101"/>
      <c r="C401" s="101"/>
      <c r="D401" s="101"/>
      <c r="E401" s="101"/>
      <c r="F401" s="101"/>
      <c r="G401" s="101"/>
      <c r="H401" s="101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  <c r="AA401" s="101"/>
    </row>
    <row r="402" spans="1:27" ht="13.8">
      <c r="A402" s="101"/>
      <c r="B402" s="101"/>
      <c r="C402" s="101"/>
      <c r="D402" s="101"/>
      <c r="E402" s="101"/>
      <c r="F402" s="101"/>
      <c r="G402" s="101"/>
      <c r="H402" s="101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  <c r="AA402" s="101"/>
    </row>
    <row r="403" spans="1:27" ht="13.8">
      <c r="A403" s="101"/>
      <c r="B403" s="101"/>
      <c r="C403" s="101"/>
      <c r="D403" s="101"/>
      <c r="E403" s="101"/>
      <c r="F403" s="101"/>
      <c r="G403" s="101"/>
      <c r="H403" s="101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  <c r="AA403" s="101"/>
    </row>
    <row r="404" spans="1:27" ht="13.8">
      <c r="A404" s="101"/>
      <c r="B404" s="101"/>
      <c r="C404" s="101"/>
      <c r="D404" s="101"/>
      <c r="E404" s="101"/>
      <c r="F404" s="101"/>
      <c r="G404" s="101"/>
      <c r="H404" s="101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  <c r="AA404" s="101"/>
    </row>
    <row r="405" spans="1:27" ht="13.8">
      <c r="A405" s="101"/>
      <c r="B405" s="101"/>
      <c r="C405" s="101"/>
      <c r="D405" s="101"/>
      <c r="E405" s="101"/>
      <c r="F405" s="101"/>
      <c r="G405" s="101"/>
      <c r="H405" s="101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  <c r="AA405" s="101"/>
    </row>
    <row r="406" spans="1:27" ht="13.8">
      <c r="A406" s="101"/>
      <c r="B406" s="101"/>
      <c r="C406" s="101"/>
      <c r="D406" s="101"/>
      <c r="E406" s="101"/>
      <c r="F406" s="101"/>
      <c r="G406" s="101"/>
      <c r="H406" s="101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  <c r="AA406" s="101"/>
    </row>
    <row r="407" spans="1:27" ht="13.8">
      <c r="A407" s="101"/>
      <c r="B407" s="101"/>
      <c r="C407" s="101"/>
      <c r="D407" s="101"/>
      <c r="E407" s="101"/>
      <c r="F407" s="101"/>
      <c r="G407" s="101"/>
      <c r="H407" s="101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  <c r="Z407" s="101"/>
      <c r="AA407" s="101"/>
    </row>
    <row r="408" spans="1:27" ht="13.8">
      <c r="A408" s="101"/>
      <c r="B408" s="101"/>
      <c r="C408" s="101"/>
      <c r="D408" s="101"/>
      <c r="E408" s="101"/>
      <c r="F408" s="101"/>
      <c r="G408" s="101"/>
      <c r="H408" s="101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  <c r="AA408" s="101"/>
    </row>
    <row r="409" spans="1:27" ht="13.8">
      <c r="A409" s="101"/>
      <c r="B409" s="101"/>
      <c r="C409" s="101"/>
      <c r="D409" s="101"/>
      <c r="E409" s="101"/>
      <c r="F409" s="101"/>
      <c r="G409" s="101"/>
      <c r="H409" s="101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  <c r="AA409" s="101"/>
    </row>
    <row r="410" spans="1:27" ht="13.8">
      <c r="A410" s="101"/>
      <c r="B410" s="101"/>
      <c r="C410" s="101"/>
      <c r="D410" s="101"/>
      <c r="E410" s="101"/>
      <c r="F410" s="101"/>
      <c r="G410" s="101"/>
      <c r="H410" s="101"/>
      <c r="I410" s="101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  <c r="Z410" s="101"/>
      <c r="AA410" s="101"/>
    </row>
    <row r="411" spans="1:27" ht="13.8">
      <c r="A411" s="101"/>
      <c r="B411" s="101"/>
      <c r="C411" s="101"/>
      <c r="D411" s="101"/>
      <c r="E411" s="101"/>
      <c r="F411" s="101"/>
      <c r="G411" s="101"/>
      <c r="H411" s="101"/>
      <c r="I411" s="101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  <c r="AA411" s="101"/>
    </row>
    <row r="412" spans="1:27" ht="13.8">
      <c r="A412" s="101"/>
      <c r="B412" s="101"/>
      <c r="C412" s="101"/>
      <c r="D412" s="101"/>
      <c r="E412" s="101"/>
      <c r="F412" s="101"/>
      <c r="G412" s="101"/>
      <c r="H412" s="101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  <c r="Z412" s="101"/>
      <c r="AA412" s="101"/>
    </row>
    <row r="413" spans="1:27" ht="13.8">
      <c r="A413" s="101"/>
      <c r="B413" s="101"/>
      <c r="C413" s="101"/>
      <c r="D413" s="101"/>
      <c r="E413" s="101"/>
      <c r="F413" s="101"/>
      <c r="G413" s="101"/>
      <c r="H413" s="101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  <c r="AA413" s="101"/>
    </row>
    <row r="414" spans="1:27" ht="13.8">
      <c r="A414" s="101"/>
      <c r="B414" s="101"/>
      <c r="C414" s="101"/>
      <c r="D414" s="101"/>
      <c r="E414" s="101"/>
      <c r="F414" s="101"/>
      <c r="G414" s="101"/>
      <c r="H414" s="101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  <c r="AA414" s="101"/>
    </row>
    <row r="415" spans="1:27" ht="13.8">
      <c r="A415" s="101"/>
      <c r="B415" s="101"/>
      <c r="C415" s="101"/>
      <c r="D415" s="101"/>
      <c r="E415" s="101"/>
      <c r="F415" s="101"/>
      <c r="G415" s="101"/>
      <c r="H415" s="101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  <c r="Z415" s="101"/>
      <c r="AA415" s="101"/>
    </row>
    <row r="416" spans="1:27" ht="13.8">
      <c r="A416" s="101"/>
      <c r="B416" s="101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  <c r="AA416" s="101"/>
    </row>
    <row r="417" spans="1:27" ht="13.8">
      <c r="A417" s="101"/>
      <c r="B417" s="101"/>
      <c r="C417" s="101"/>
      <c r="D417" s="101"/>
      <c r="E417" s="101"/>
      <c r="F417" s="101"/>
      <c r="G417" s="10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</row>
    <row r="418" spans="1:27" ht="13.8">
      <c r="A418" s="101"/>
      <c r="B418" s="101"/>
      <c r="C418" s="101"/>
      <c r="D418" s="101"/>
      <c r="E418" s="101"/>
      <c r="F418" s="101"/>
      <c r="G418" s="101"/>
      <c r="H418" s="101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</row>
    <row r="419" spans="1:27" ht="13.8">
      <c r="A419" s="101"/>
      <c r="B419" s="101"/>
      <c r="C419" s="101"/>
      <c r="D419" s="101"/>
      <c r="E419" s="101"/>
      <c r="F419" s="101"/>
      <c r="G419" s="101"/>
      <c r="H419" s="101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  <c r="Z419" s="101"/>
      <c r="AA419" s="101"/>
    </row>
    <row r="420" spans="1:27" ht="13.8">
      <c r="A420" s="101"/>
      <c r="B420" s="101"/>
      <c r="C420" s="101"/>
      <c r="D420" s="101"/>
      <c r="E420" s="101"/>
      <c r="F420" s="101"/>
      <c r="G420" s="10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  <c r="AA420" s="101"/>
    </row>
    <row r="421" spans="1:27" ht="13.8">
      <c r="A421" s="101"/>
      <c r="B421" s="101"/>
      <c r="C421" s="101"/>
      <c r="D421" s="101"/>
      <c r="E421" s="101"/>
      <c r="F421" s="101"/>
      <c r="G421" s="10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  <c r="AA421" s="101"/>
    </row>
    <row r="422" spans="1:27" ht="13.8">
      <c r="A422" s="101"/>
      <c r="B422" s="101"/>
      <c r="C422" s="101"/>
      <c r="D422" s="101"/>
      <c r="E422" s="101"/>
      <c r="F422" s="101"/>
      <c r="G422" s="101"/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  <c r="AA422" s="101"/>
    </row>
    <row r="423" spans="1:27" ht="13.8">
      <c r="A423" s="101"/>
      <c r="B423" s="101"/>
      <c r="C423" s="101"/>
      <c r="D423" s="101"/>
      <c r="E423" s="101"/>
      <c r="F423" s="101"/>
      <c r="G423" s="10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  <c r="AA423" s="101"/>
    </row>
    <row r="424" spans="1:27" ht="13.8">
      <c r="A424" s="101"/>
      <c r="B424" s="101"/>
      <c r="C424" s="101"/>
      <c r="D424" s="101"/>
      <c r="E424" s="101"/>
      <c r="F424" s="101"/>
      <c r="G424" s="10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  <c r="AA424" s="101"/>
    </row>
    <row r="425" spans="1:27" ht="13.8">
      <c r="A425" s="101"/>
      <c r="B425" s="101"/>
      <c r="C425" s="101"/>
      <c r="D425" s="101"/>
      <c r="E425" s="101"/>
      <c r="F425" s="101"/>
      <c r="G425" s="101"/>
      <c r="H425" s="101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  <c r="AA425" s="101"/>
    </row>
    <row r="426" spans="1:27" ht="13.8">
      <c r="A426" s="101"/>
      <c r="B426" s="101"/>
      <c r="C426" s="101"/>
      <c r="D426" s="101"/>
      <c r="E426" s="101"/>
      <c r="F426" s="101"/>
      <c r="G426" s="101"/>
      <c r="H426" s="101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  <c r="AA426" s="101"/>
    </row>
    <row r="427" spans="1:27" ht="13.8">
      <c r="A427" s="101"/>
      <c r="B427" s="101"/>
      <c r="C427" s="101"/>
      <c r="D427" s="101"/>
      <c r="E427" s="101"/>
      <c r="F427" s="101"/>
      <c r="G427" s="101"/>
      <c r="H427" s="101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  <c r="AA427" s="101"/>
    </row>
    <row r="428" spans="1:27" ht="13.8">
      <c r="A428" s="101"/>
      <c r="B428" s="101"/>
      <c r="C428" s="101"/>
      <c r="D428" s="101"/>
      <c r="E428" s="101"/>
      <c r="F428" s="101"/>
      <c r="G428" s="101"/>
      <c r="H428" s="101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  <c r="AA428" s="101"/>
    </row>
    <row r="429" spans="1:27" ht="13.8">
      <c r="A429" s="101"/>
      <c r="B429" s="101"/>
      <c r="C429" s="101"/>
      <c r="D429" s="101"/>
      <c r="E429" s="101"/>
      <c r="F429" s="101"/>
      <c r="G429" s="101"/>
      <c r="H429" s="101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  <c r="AA429" s="101"/>
    </row>
    <row r="430" spans="1:27" ht="13.8">
      <c r="A430" s="101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</row>
    <row r="431" spans="1:27" ht="13.8">
      <c r="A431" s="101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</row>
    <row r="432" spans="1:27" ht="13.8">
      <c r="A432" s="101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</row>
    <row r="433" spans="1:27" ht="13.8">
      <c r="A433" s="101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</row>
    <row r="434" spans="1:27" ht="13.8">
      <c r="A434" s="101"/>
      <c r="B434" s="101"/>
      <c r="C434" s="101"/>
      <c r="D434" s="101"/>
      <c r="E434" s="101"/>
      <c r="F434" s="101"/>
      <c r="G434" s="101"/>
      <c r="H434" s="101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  <c r="AA434" s="101"/>
    </row>
    <row r="435" spans="1:27" ht="13.8">
      <c r="A435" s="101"/>
      <c r="B435" s="101"/>
      <c r="C435" s="101"/>
      <c r="D435" s="101"/>
      <c r="E435" s="101"/>
      <c r="F435" s="101"/>
      <c r="G435" s="101"/>
      <c r="H435" s="101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  <c r="AA435" s="101"/>
    </row>
    <row r="436" spans="1:27" ht="13.8">
      <c r="A436" s="101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  <c r="AA436" s="101"/>
    </row>
    <row r="437" spans="1:27" ht="13.8">
      <c r="A437" s="101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  <c r="AA437" s="101"/>
    </row>
    <row r="438" spans="1:27" ht="13.8">
      <c r="A438" s="101"/>
      <c r="B438" s="101"/>
      <c r="C438" s="101"/>
      <c r="D438" s="101"/>
      <c r="E438" s="101"/>
      <c r="F438" s="101"/>
      <c r="G438" s="101"/>
      <c r="H438" s="101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  <c r="AA438" s="101"/>
    </row>
    <row r="439" spans="1:27" ht="13.8">
      <c r="A439" s="101"/>
      <c r="B439" s="101"/>
      <c r="C439" s="101"/>
      <c r="D439" s="101"/>
      <c r="E439" s="101"/>
      <c r="F439" s="101"/>
      <c r="G439" s="101"/>
      <c r="H439" s="101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  <c r="AA439" s="101"/>
    </row>
    <row r="440" spans="1:27" ht="13.8">
      <c r="A440" s="101"/>
      <c r="B440" s="101"/>
      <c r="C440" s="101"/>
      <c r="D440" s="101"/>
      <c r="E440" s="101"/>
      <c r="F440" s="101"/>
      <c r="G440" s="101"/>
      <c r="H440" s="101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  <c r="AA440" s="101"/>
    </row>
    <row r="441" spans="1:27" ht="13.8">
      <c r="A441" s="101"/>
      <c r="B441" s="101"/>
      <c r="C441" s="101"/>
      <c r="D441" s="101"/>
      <c r="E441" s="101"/>
      <c r="F441" s="101"/>
      <c r="G441" s="101"/>
      <c r="H441" s="101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  <c r="AA441" s="101"/>
    </row>
    <row r="442" spans="1:27" ht="13.8">
      <c r="A442" s="101"/>
      <c r="B442" s="101"/>
      <c r="C442" s="101"/>
      <c r="D442" s="101"/>
      <c r="E442" s="101"/>
      <c r="F442" s="101"/>
      <c r="G442" s="101"/>
      <c r="H442" s="101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  <c r="AA442" s="101"/>
    </row>
    <row r="443" spans="1:27" ht="13.8">
      <c r="A443" s="101"/>
      <c r="B443" s="101"/>
      <c r="C443" s="101"/>
      <c r="D443" s="101"/>
      <c r="E443" s="101"/>
      <c r="F443" s="101"/>
      <c r="G443" s="101"/>
      <c r="H443" s="101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  <c r="AA443" s="101"/>
    </row>
    <row r="444" spans="1:27" ht="13.8">
      <c r="A444" s="101"/>
      <c r="B444" s="101"/>
      <c r="C444" s="101"/>
      <c r="D444" s="101"/>
      <c r="E444" s="101"/>
      <c r="F444" s="101"/>
      <c r="G444" s="101"/>
      <c r="H444" s="101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  <c r="AA444" s="101"/>
    </row>
    <row r="445" spans="1:27" ht="13.8">
      <c r="A445" s="101"/>
      <c r="B445" s="101"/>
      <c r="C445" s="101"/>
      <c r="D445" s="101"/>
      <c r="E445" s="101"/>
      <c r="F445" s="101"/>
      <c r="G445" s="101"/>
      <c r="H445" s="101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  <c r="AA445" s="101"/>
    </row>
    <row r="446" spans="1:27" ht="13.8">
      <c r="A446" s="101"/>
      <c r="B446" s="101"/>
      <c r="C446" s="101"/>
      <c r="D446" s="101"/>
      <c r="E446" s="101"/>
      <c r="F446" s="101"/>
      <c r="G446" s="101"/>
      <c r="H446" s="101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  <c r="AA446" s="101"/>
    </row>
    <row r="447" spans="1:27" ht="13.8">
      <c r="A447" s="101"/>
      <c r="B447" s="101"/>
      <c r="C447" s="101"/>
      <c r="D447" s="101"/>
      <c r="E447" s="101"/>
      <c r="F447" s="101"/>
      <c r="G447" s="10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  <c r="AA447" s="101"/>
    </row>
    <row r="448" spans="1:27" ht="13.8">
      <c r="A448" s="101"/>
      <c r="B448" s="101"/>
      <c r="C448" s="101"/>
      <c r="D448" s="101"/>
      <c r="E448" s="101"/>
      <c r="F448" s="101"/>
      <c r="G448" s="10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  <c r="AA448" s="101"/>
    </row>
    <row r="449" spans="1:27" ht="13.8">
      <c r="A449" s="101"/>
      <c r="B449" s="101"/>
      <c r="C449" s="101"/>
      <c r="D449" s="101"/>
      <c r="E449" s="101"/>
      <c r="F449" s="101"/>
      <c r="G449" s="10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  <c r="AA449" s="101"/>
    </row>
    <row r="450" spans="1:27" ht="13.8">
      <c r="A450" s="101"/>
      <c r="B450" s="101"/>
      <c r="C450" s="101"/>
      <c r="D450" s="101"/>
      <c r="E450" s="101"/>
      <c r="F450" s="101"/>
      <c r="G450" s="10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  <c r="AA450" s="101"/>
    </row>
    <row r="451" spans="1:27" ht="13.8">
      <c r="A451" s="101"/>
      <c r="B451" s="101"/>
      <c r="C451" s="101"/>
      <c r="D451" s="101"/>
      <c r="E451" s="101"/>
      <c r="F451" s="101"/>
      <c r="G451" s="10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  <c r="AA451" s="101"/>
    </row>
    <row r="452" spans="1:27" ht="13.8">
      <c r="A452" s="101"/>
      <c r="B452" s="101"/>
      <c r="C452" s="101"/>
      <c r="D452" s="101"/>
      <c r="E452" s="101"/>
      <c r="F452" s="101"/>
      <c r="G452" s="101"/>
      <c r="H452" s="101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  <c r="AA452" s="101"/>
    </row>
    <row r="453" spans="1:27" ht="13.8">
      <c r="A453" s="101"/>
      <c r="B453" s="101"/>
      <c r="C453" s="101"/>
      <c r="D453" s="101"/>
      <c r="E453" s="101"/>
      <c r="F453" s="101"/>
      <c r="G453" s="101"/>
      <c r="H453" s="101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  <c r="AA453" s="101"/>
    </row>
    <row r="454" spans="1:27" ht="13.8">
      <c r="A454" s="101"/>
      <c r="B454" s="101"/>
      <c r="C454" s="101"/>
      <c r="D454" s="101"/>
      <c r="E454" s="101"/>
      <c r="F454" s="101"/>
      <c r="G454" s="101"/>
      <c r="H454" s="101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  <c r="AA454" s="101"/>
    </row>
    <row r="455" spans="1:27" ht="13.8">
      <c r="A455" s="101"/>
      <c r="B455" s="101"/>
      <c r="C455" s="101"/>
      <c r="D455" s="101"/>
      <c r="E455" s="101"/>
      <c r="F455" s="101"/>
      <c r="G455" s="10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  <c r="AA455" s="101"/>
    </row>
    <row r="456" spans="1:27" ht="13.8">
      <c r="A456" s="101"/>
      <c r="B456" s="101"/>
      <c r="C456" s="101"/>
      <c r="D456" s="101"/>
      <c r="E456" s="101"/>
      <c r="F456" s="101"/>
      <c r="G456" s="101"/>
      <c r="H456" s="101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  <c r="AA456" s="101"/>
    </row>
    <row r="457" spans="1:27" ht="13.8">
      <c r="A457" s="101"/>
      <c r="B457" s="101"/>
      <c r="C457" s="101"/>
      <c r="D457" s="101"/>
      <c r="E457" s="101"/>
      <c r="F457" s="101"/>
      <c r="G457" s="101"/>
      <c r="H457" s="101"/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  <c r="AA457" s="101"/>
    </row>
    <row r="458" spans="1:27" ht="13.8">
      <c r="A458" s="101"/>
      <c r="B458" s="101"/>
      <c r="C458" s="101"/>
      <c r="D458" s="101"/>
      <c r="E458" s="101"/>
      <c r="F458" s="101"/>
      <c r="G458" s="101"/>
      <c r="H458" s="101"/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  <c r="AA458" s="101"/>
    </row>
    <row r="459" spans="1:27" ht="13.8">
      <c r="A459" s="101"/>
      <c r="B459" s="101"/>
      <c r="C459" s="101"/>
      <c r="D459" s="101"/>
      <c r="E459" s="101"/>
      <c r="F459" s="101"/>
      <c r="G459" s="101"/>
      <c r="H459" s="101"/>
      <c r="I459" s="101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  <c r="AA459" s="101"/>
    </row>
    <row r="460" spans="1:27" ht="13.8">
      <c r="A460" s="101"/>
      <c r="B460" s="101"/>
      <c r="C460" s="101"/>
      <c r="D460" s="101"/>
      <c r="E460" s="101"/>
      <c r="F460" s="101"/>
      <c r="G460" s="101"/>
      <c r="H460" s="101"/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  <c r="AA460" s="101"/>
    </row>
    <row r="461" spans="1:27" ht="13.8">
      <c r="A461" s="101"/>
      <c r="B461" s="101"/>
      <c r="C461" s="101"/>
      <c r="D461" s="101"/>
      <c r="E461" s="101"/>
      <c r="F461" s="101"/>
      <c r="G461" s="101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  <c r="AA461" s="101"/>
    </row>
    <row r="462" spans="1:27" ht="13.8">
      <c r="A462" s="101"/>
      <c r="B462" s="101"/>
      <c r="C462" s="101"/>
      <c r="D462" s="101"/>
      <c r="E462" s="101"/>
      <c r="F462" s="101"/>
      <c r="G462" s="101"/>
      <c r="H462" s="101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  <c r="AA462" s="101"/>
    </row>
    <row r="463" spans="1:27" ht="13.8">
      <c r="A463" s="101"/>
      <c r="B463" s="101"/>
      <c r="C463" s="101"/>
      <c r="D463" s="101"/>
      <c r="E463" s="101"/>
      <c r="F463" s="101"/>
      <c r="G463" s="101"/>
      <c r="H463" s="101"/>
      <c r="I463" s="101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  <c r="AA463" s="101"/>
    </row>
    <row r="464" spans="1:27" ht="13.8">
      <c r="A464" s="101"/>
      <c r="B464" s="101"/>
      <c r="C464" s="101"/>
      <c r="D464" s="101"/>
      <c r="E464" s="101"/>
      <c r="F464" s="101"/>
      <c r="G464" s="101"/>
      <c r="H464" s="101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  <c r="AA464" s="101"/>
    </row>
    <row r="465" spans="1:27" ht="13.8">
      <c r="A465" s="101"/>
      <c r="B465" s="101"/>
      <c r="C465" s="101"/>
      <c r="D465" s="101"/>
      <c r="E465" s="101"/>
      <c r="F465" s="101"/>
      <c r="G465" s="101"/>
      <c r="H465" s="101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  <c r="AA465" s="101"/>
    </row>
    <row r="466" spans="1:27" ht="13.8">
      <c r="A466" s="101"/>
      <c r="B466" s="101"/>
      <c r="C466" s="101"/>
      <c r="D466" s="101"/>
      <c r="E466" s="101"/>
      <c r="F466" s="101"/>
      <c r="G466" s="101"/>
      <c r="H466" s="101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  <c r="AA466" s="101"/>
    </row>
    <row r="467" spans="1:27" ht="13.8">
      <c r="A467" s="101"/>
      <c r="B467" s="101"/>
      <c r="C467" s="101"/>
      <c r="D467" s="101"/>
      <c r="E467" s="101"/>
      <c r="F467" s="101"/>
      <c r="G467" s="101"/>
      <c r="H467" s="101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  <c r="AA467" s="101"/>
    </row>
    <row r="468" spans="1:27" ht="13.8">
      <c r="A468" s="101"/>
      <c r="B468" s="101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  <c r="AA468" s="101"/>
    </row>
    <row r="469" spans="1:27" ht="13.8">
      <c r="A469" s="101"/>
      <c r="B469" s="101"/>
      <c r="C469" s="101"/>
      <c r="D469" s="101"/>
      <c r="E469" s="101"/>
      <c r="F469" s="101"/>
      <c r="G469" s="101"/>
      <c r="H469" s="101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  <c r="AA469" s="101"/>
    </row>
    <row r="470" spans="1:27" ht="13.8">
      <c r="A470" s="101"/>
      <c r="B470" s="101"/>
      <c r="C470" s="101"/>
      <c r="D470" s="101"/>
      <c r="E470" s="101"/>
      <c r="F470" s="101"/>
      <c r="G470" s="101"/>
      <c r="H470" s="101"/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  <c r="AA470" s="101"/>
    </row>
    <row r="471" spans="1:27" ht="13.8">
      <c r="A471" s="101"/>
      <c r="B471" s="101"/>
      <c r="C471" s="101"/>
      <c r="D471" s="101"/>
      <c r="E471" s="101"/>
      <c r="F471" s="101"/>
      <c r="G471" s="101"/>
      <c r="H471" s="101"/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  <c r="AA471" s="101"/>
    </row>
    <row r="472" spans="1:27" ht="13.8">
      <c r="A472" s="101"/>
      <c r="B472" s="101"/>
      <c r="C472" s="101"/>
      <c r="D472" s="101"/>
      <c r="E472" s="101"/>
      <c r="F472" s="101"/>
      <c r="G472" s="101"/>
      <c r="H472" s="101"/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  <c r="AA472" s="101"/>
    </row>
    <row r="473" spans="1:27" ht="13.8">
      <c r="A473" s="101"/>
      <c r="B473" s="101"/>
      <c r="C473" s="101"/>
      <c r="D473" s="101"/>
      <c r="E473" s="101"/>
      <c r="F473" s="101"/>
      <c r="G473" s="10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  <c r="AA473" s="101"/>
    </row>
    <row r="474" spans="1:27" ht="13.8">
      <c r="A474" s="101"/>
      <c r="B474" s="101"/>
      <c r="C474" s="101"/>
      <c r="D474" s="101"/>
      <c r="E474" s="101"/>
      <c r="F474" s="101"/>
      <c r="G474" s="101"/>
      <c r="H474" s="101"/>
      <c r="I474" s="101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  <c r="AA474" s="101"/>
    </row>
    <row r="475" spans="1:27" ht="13.8">
      <c r="A475" s="101"/>
      <c r="B475" s="101"/>
      <c r="C475" s="101"/>
      <c r="D475" s="101"/>
      <c r="E475" s="101"/>
      <c r="F475" s="101"/>
      <c r="G475" s="101"/>
      <c r="H475" s="101"/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  <c r="AA475" s="101"/>
    </row>
    <row r="476" spans="1:27" ht="13.8">
      <c r="A476" s="101"/>
      <c r="B476" s="101"/>
      <c r="C476" s="101"/>
      <c r="D476" s="101"/>
      <c r="E476" s="101"/>
      <c r="F476" s="101"/>
      <c r="G476" s="101"/>
      <c r="H476" s="101"/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  <c r="AA476" s="101"/>
    </row>
    <row r="477" spans="1:27" ht="13.8">
      <c r="A477" s="101"/>
      <c r="B477" s="101"/>
      <c r="C477" s="101"/>
      <c r="D477" s="101"/>
      <c r="E477" s="101"/>
      <c r="F477" s="101"/>
      <c r="G477" s="101"/>
      <c r="H477" s="101"/>
      <c r="I477" s="101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  <c r="AA477" s="101"/>
    </row>
    <row r="478" spans="1:27" ht="13.8">
      <c r="A478" s="101"/>
      <c r="B478" s="101"/>
      <c r="C478" s="101"/>
      <c r="D478" s="101"/>
      <c r="E478" s="101"/>
      <c r="F478" s="101"/>
      <c r="G478" s="101"/>
      <c r="H478" s="101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  <c r="AA478" s="101"/>
    </row>
    <row r="479" spans="1:27" ht="13.8">
      <c r="A479" s="101"/>
      <c r="B479" s="101"/>
      <c r="C479" s="101"/>
      <c r="D479" s="101"/>
      <c r="E479" s="101"/>
      <c r="F479" s="101"/>
      <c r="G479" s="101"/>
      <c r="H479" s="101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  <c r="AA479" s="101"/>
    </row>
    <row r="480" spans="1:27" ht="13.8">
      <c r="A480" s="101"/>
      <c r="B480" s="101"/>
      <c r="C480" s="101"/>
      <c r="D480" s="101"/>
      <c r="E480" s="101"/>
      <c r="F480" s="101"/>
      <c r="G480" s="101"/>
      <c r="H480" s="101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  <c r="AA480" s="101"/>
    </row>
    <row r="481" spans="1:27" ht="13.8">
      <c r="A481" s="101"/>
      <c r="B481" s="101"/>
      <c r="C481" s="101"/>
      <c r="D481" s="101"/>
      <c r="E481" s="101"/>
      <c r="F481" s="101"/>
      <c r="G481" s="101"/>
      <c r="H481" s="101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  <c r="AA481" s="101"/>
    </row>
    <row r="482" spans="1:27" ht="13.8">
      <c r="A482" s="101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</row>
    <row r="483" spans="1:27" ht="13.8">
      <c r="A483" s="101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</row>
    <row r="484" spans="1:27" ht="13.8">
      <c r="A484" s="101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</row>
    <row r="485" spans="1:27" ht="13.8">
      <c r="A485" s="101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</row>
    <row r="486" spans="1:27" ht="13.8">
      <c r="A486" s="101"/>
      <c r="B486" s="101"/>
      <c r="C486" s="101"/>
      <c r="D486" s="101"/>
      <c r="E486" s="101"/>
      <c r="F486" s="101"/>
      <c r="G486" s="101"/>
      <c r="H486" s="101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  <c r="AA486" s="101"/>
    </row>
    <row r="487" spans="1:27" ht="13.8">
      <c r="A487" s="101"/>
      <c r="B487" s="101"/>
      <c r="C487" s="101"/>
      <c r="D487" s="101"/>
      <c r="E487" s="101"/>
      <c r="F487" s="101"/>
      <c r="G487" s="101"/>
      <c r="H487" s="101"/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  <c r="AA487" s="101"/>
    </row>
    <row r="488" spans="1:27" ht="13.8">
      <c r="A488" s="101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  <c r="AA488" s="101"/>
    </row>
    <row r="489" spans="1:27" ht="13.8">
      <c r="A489" s="101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  <c r="AA489" s="101"/>
    </row>
    <row r="490" spans="1:27" ht="13.8">
      <c r="A490" s="101"/>
      <c r="B490" s="101"/>
      <c r="C490" s="101"/>
      <c r="D490" s="101"/>
      <c r="E490" s="101"/>
      <c r="F490" s="101"/>
      <c r="G490" s="101"/>
      <c r="H490" s="101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  <c r="AA490" s="101"/>
    </row>
    <row r="491" spans="1:27" ht="13.8">
      <c r="A491" s="101"/>
      <c r="B491" s="101"/>
      <c r="C491" s="101"/>
      <c r="D491" s="101"/>
      <c r="E491" s="101"/>
      <c r="F491" s="101"/>
      <c r="G491" s="101"/>
      <c r="H491" s="101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  <c r="AA491" s="101"/>
    </row>
    <row r="492" spans="1:27" ht="13.8">
      <c r="A492" s="101"/>
      <c r="B492" s="101"/>
      <c r="C492" s="101"/>
      <c r="D492" s="101"/>
      <c r="E492" s="101"/>
      <c r="F492" s="101"/>
      <c r="G492" s="101"/>
      <c r="H492" s="101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  <c r="AA492" s="101"/>
    </row>
    <row r="493" spans="1:27" ht="13.8">
      <c r="A493" s="101"/>
      <c r="B493" s="101"/>
      <c r="C493" s="101"/>
      <c r="D493" s="101"/>
      <c r="E493" s="101"/>
      <c r="F493" s="101"/>
      <c r="G493" s="101"/>
      <c r="H493" s="101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  <c r="AA493" s="101"/>
    </row>
    <row r="494" spans="1:27" ht="13.8">
      <c r="A494" s="101"/>
      <c r="B494" s="101"/>
      <c r="C494" s="101"/>
      <c r="D494" s="101"/>
      <c r="E494" s="101"/>
      <c r="F494" s="101"/>
      <c r="G494" s="101"/>
      <c r="H494" s="101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  <c r="AA494" s="101"/>
    </row>
    <row r="495" spans="1:27" ht="13.8">
      <c r="A495" s="101"/>
      <c r="B495" s="101"/>
      <c r="C495" s="101"/>
      <c r="D495" s="101"/>
      <c r="E495" s="101"/>
      <c r="F495" s="101"/>
      <c r="G495" s="101"/>
      <c r="H495" s="101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  <c r="AA495" s="101"/>
    </row>
    <row r="496" spans="1:27" ht="13.8">
      <c r="A496" s="101"/>
      <c r="B496" s="101"/>
      <c r="C496" s="101"/>
      <c r="D496" s="101"/>
      <c r="E496" s="101"/>
      <c r="F496" s="101"/>
      <c r="G496" s="101"/>
      <c r="H496" s="101"/>
      <c r="I496" s="101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  <c r="AA496" s="101"/>
    </row>
    <row r="497" spans="1:27" ht="13.8">
      <c r="A497" s="101"/>
      <c r="B497" s="101"/>
      <c r="C497" s="101"/>
      <c r="D497" s="101"/>
      <c r="E497" s="101"/>
      <c r="F497" s="101"/>
      <c r="G497" s="101"/>
      <c r="H497" s="101"/>
      <c r="I497" s="101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  <c r="AA497" s="101"/>
    </row>
    <row r="498" spans="1:27" ht="13.8">
      <c r="A498" s="101"/>
      <c r="B498" s="101"/>
      <c r="C498" s="101"/>
      <c r="D498" s="101"/>
      <c r="E498" s="101"/>
      <c r="F498" s="101"/>
      <c r="G498" s="101"/>
      <c r="H498" s="101"/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  <c r="AA498" s="101"/>
    </row>
    <row r="499" spans="1:27" ht="13.8">
      <c r="A499" s="101"/>
      <c r="B499" s="101"/>
      <c r="C499" s="101"/>
      <c r="D499" s="101"/>
      <c r="E499" s="101"/>
      <c r="F499" s="101"/>
      <c r="G499" s="101"/>
      <c r="H499" s="101"/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  <c r="AA499" s="101"/>
    </row>
    <row r="500" spans="1:27" ht="13.8">
      <c r="A500" s="101"/>
      <c r="B500" s="101"/>
      <c r="C500" s="101"/>
      <c r="D500" s="101"/>
      <c r="E500" s="101"/>
      <c r="F500" s="101"/>
      <c r="G500" s="101"/>
      <c r="H500" s="101"/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  <c r="AA500" s="101"/>
    </row>
    <row r="501" spans="1:27" ht="13.8">
      <c r="A501" s="101"/>
      <c r="B501" s="101"/>
      <c r="C501" s="101"/>
      <c r="D501" s="101"/>
      <c r="E501" s="101"/>
      <c r="F501" s="101"/>
      <c r="G501" s="101"/>
      <c r="H501" s="101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  <c r="AA501" s="101"/>
    </row>
    <row r="502" spans="1:27" ht="13.8">
      <c r="A502" s="101"/>
      <c r="B502" s="101"/>
      <c r="C502" s="101"/>
      <c r="D502" s="101"/>
      <c r="E502" s="101"/>
      <c r="F502" s="101"/>
      <c r="G502" s="101"/>
      <c r="H502" s="101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  <c r="AA502" s="101"/>
    </row>
    <row r="503" spans="1:27" ht="13.8">
      <c r="A503" s="101"/>
      <c r="B503" s="101"/>
      <c r="C503" s="101"/>
      <c r="D503" s="101"/>
      <c r="E503" s="101"/>
      <c r="F503" s="101"/>
      <c r="G503" s="101"/>
      <c r="H503" s="101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  <c r="AA503" s="101"/>
    </row>
    <row r="504" spans="1:27" ht="13.8">
      <c r="A504" s="101"/>
      <c r="B504" s="101"/>
      <c r="C504" s="101"/>
      <c r="D504" s="101"/>
      <c r="E504" s="101"/>
      <c r="F504" s="101"/>
      <c r="G504" s="101"/>
      <c r="H504" s="101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  <c r="AA504" s="101"/>
    </row>
    <row r="505" spans="1:27" ht="13.8">
      <c r="A505" s="101"/>
      <c r="B505" s="101"/>
      <c r="C505" s="101"/>
      <c r="D505" s="101"/>
      <c r="E505" s="101"/>
      <c r="F505" s="101"/>
      <c r="G505" s="101"/>
      <c r="H505" s="101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  <c r="AA505" s="101"/>
    </row>
    <row r="506" spans="1:27" ht="13.8">
      <c r="A506" s="101"/>
      <c r="B506" s="101"/>
      <c r="C506" s="101"/>
      <c r="D506" s="101"/>
      <c r="E506" s="101"/>
      <c r="F506" s="101"/>
      <c r="G506" s="101"/>
      <c r="H506" s="101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  <c r="AA506" s="101"/>
    </row>
    <row r="507" spans="1:27" ht="13.8">
      <c r="A507" s="101"/>
      <c r="B507" s="101"/>
      <c r="C507" s="101"/>
      <c r="D507" s="101"/>
      <c r="E507" s="101"/>
      <c r="F507" s="101"/>
      <c r="G507" s="101"/>
      <c r="H507" s="101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  <c r="AA507" s="101"/>
    </row>
    <row r="508" spans="1:27" ht="13.8">
      <c r="A508" s="101"/>
      <c r="B508" s="101"/>
      <c r="C508" s="101"/>
      <c r="D508" s="101"/>
      <c r="E508" s="101"/>
      <c r="F508" s="101"/>
      <c r="G508" s="101"/>
      <c r="H508" s="101"/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  <c r="AA508" s="101"/>
    </row>
    <row r="509" spans="1:27" ht="13.8">
      <c r="A509" s="101"/>
      <c r="B509" s="101"/>
      <c r="C509" s="101"/>
      <c r="D509" s="101"/>
      <c r="E509" s="101"/>
      <c r="F509" s="101"/>
      <c r="G509" s="101"/>
      <c r="H509" s="101"/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  <c r="AA509" s="101"/>
    </row>
    <row r="510" spans="1:27" ht="13.8">
      <c r="A510" s="101"/>
      <c r="B510" s="101"/>
      <c r="C510" s="101"/>
      <c r="D510" s="101"/>
      <c r="E510" s="101"/>
      <c r="F510" s="101"/>
      <c r="G510" s="101"/>
      <c r="H510" s="101"/>
      <c r="I510" s="101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  <c r="AA510" s="101"/>
    </row>
    <row r="511" spans="1:27" ht="13.8">
      <c r="A511" s="101"/>
      <c r="B511" s="101"/>
      <c r="C511" s="101"/>
      <c r="D511" s="101"/>
      <c r="E511" s="101"/>
      <c r="F511" s="101"/>
      <c r="G511" s="101"/>
      <c r="H511" s="101"/>
      <c r="I511" s="101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  <c r="AA511" s="101"/>
    </row>
    <row r="512" spans="1:27" ht="13.8">
      <c r="A512" s="101"/>
      <c r="B512" s="101"/>
      <c r="C512" s="101"/>
      <c r="D512" s="101"/>
      <c r="E512" s="101"/>
      <c r="F512" s="101"/>
      <c r="G512" s="101"/>
      <c r="H512" s="101"/>
      <c r="I512" s="101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  <c r="AA512" s="101"/>
    </row>
    <row r="513" spans="1:27" ht="13.8">
      <c r="A513" s="101"/>
      <c r="B513" s="101"/>
      <c r="C513" s="101"/>
      <c r="D513" s="101"/>
      <c r="E513" s="101"/>
      <c r="F513" s="101"/>
      <c r="G513" s="101"/>
      <c r="H513" s="101"/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  <c r="AA513" s="101"/>
    </row>
    <row r="514" spans="1:27" ht="13.8">
      <c r="A514" s="101"/>
      <c r="B514" s="101"/>
      <c r="C514" s="101"/>
      <c r="D514" s="101"/>
      <c r="E514" s="101"/>
      <c r="F514" s="101"/>
      <c r="G514" s="101"/>
      <c r="H514" s="101"/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  <c r="AA514" s="101"/>
    </row>
    <row r="515" spans="1:27" ht="13.8">
      <c r="A515" s="101"/>
      <c r="B515" s="101"/>
      <c r="C515" s="101"/>
      <c r="D515" s="101"/>
      <c r="E515" s="101"/>
      <c r="F515" s="101"/>
      <c r="G515" s="101"/>
      <c r="H515" s="101"/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  <c r="AA515" s="101"/>
    </row>
    <row r="516" spans="1:27" ht="13.8">
      <c r="A516" s="101"/>
      <c r="B516" s="101"/>
      <c r="C516" s="101"/>
      <c r="D516" s="101"/>
      <c r="E516" s="101"/>
      <c r="F516" s="101"/>
      <c r="G516" s="101"/>
      <c r="H516" s="101"/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  <c r="AA516" s="101"/>
    </row>
    <row r="517" spans="1:27" ht="13.8">
      <c r="A517" s="101"/>
      <c r="B517" s="101"/>
      <c r="C517" s="101"/>
      <c r="D517" s="101"/>
      <c r="E517" s="101"/>
      <c r="F517" s="101"/>
      <c r="G517" s="101"/>
      <c r="H517" s="101"/>
      <c r="I517" s="101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  <c r="AA517" s="101"/>
    </row>
    <row r="518" spans="1:27" ht="13.8">
      <c r="A518" s="101"/>
      <c r="B518" s="101"/>
      <c r="C518" s="101"/>
      <c r="D518" s="101"/>
      <c r="E518" s="101"/>
      <c r="F518" s="101"/>
      <c r="G518" s="101"/>
      <c r="H518" s="101"/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  <c r="AA518" s="101"/>
    </row>
    <row r="519" spans="1:27" ht="13.8">
      <c r="A519" s="101"/>
      <c r="B519" s="101"/>
      <c r="C519" s="101"/>
      <c r="D519" s="101"/>
      <c r="E519" s="101"/>
      <c r="F519" s="101"/>
      <c r="G519" s="101"/>
      <c r="H519" s="101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  <c r="AA519" s="101"/>
    </row>
    <row r="520" spans="1:27" ht="13.8">
      <c r="A520" s="101"/>
      <c r="B520" s="101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  <c r="AA520" s="101"/>
    </row>
    <row r="521" spans="1:27" ht="13.8">
      <c r="A521" s="101"/>
      <c r="B521" s="101"/>
      <c r="C521" s="101"/>
      <c r="D521" s="101"/>
      <c r="E521" s="101"/>
      <c r="F521" s="101"/>
      <c r="G521" s="101"/>
      <c r="H521" s="101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  <c r="AA521" s="101"/>
    </row>
    <row r="522" spans="1:27" ht="13.8">
      <c r="A522" s="101"/>
      <c r="B522" s="101"/>
      <c r="C522" s="101"/>
      <c r="D522" s="101"/>
      <c r="E522" s="101"/>
      <c r="F522" s="101"/>
      <c r="G522" s="101"/>
      <c r="H522" s="101"/>
      <c r="I522" s="101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  <c r="AA522" s="101"/>
    </row>
    <row r="523" spans="1:27" ht="13.8">
      <c r="A523" s="101"/>
      <c r="B523" s="101"/>
      <c r="C523" s="101"/>
      <c r="D523" s="101"/>
      <c r="E523" s="101"/>
      <c r="F523" s="101"/>
      <c r="G523" s="101"/>
      <c r="H523" s="101"/>
      <c r="I523" s="101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  <c r="AA523" s="101"/>
    </row>
    <row r="524" spans="1:27" ht="13.8">
      <c r="A524" s="101"/>
      <c r="B524" s="101"/>
      <c r="C524" s="101"/>
      <c r="D524" s="101"/>
      <c r="E524" s="101"/>
      <c r="F524" s="101"/>
      <c r="G524" s="101"/>
      <c r="H524" s="101"/>
      <c r="I524" s="101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  <c r="AA524" s="101"/>
    </row>
    <row r="525" spans="1:27" ht="13.8">
      <c r="A525" s="101"/>
      <c r="B525" s="101"/>
      <c r="C525" s="101"/>
      <c r="D525" s="101"/>
      <c r="E525" s="101"/>
      <c r="F525" s="101"/>
      <c r="G525" s="101"/>
      <c r="H525" s="101"/>
      <c r="I525" s="101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  <c r="AA525" s="101"/>
    </row>
    <row r="526" spans="1:27" ht="13.8">
      <c r="A526" s="101"/>
      <c r="B526" s="101"/>
      <c r="C526" s="101"/>
      <c r="D526" s="101"/>
      <c r="E526" s="101"/>
      <c r="F526" s="101"/>
      <c r="G526" s="101"/>
      <c r="H526" s="101"/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  <c r="AA526" s="101"/>
    </row>
    <row r="527" spans="1:27" ht="13.8">
      <c r="A527" s="101"/>
      <c r="B527" s="101"/>
      <c r="C527" s="101"/>
      <c r="D527" s="101"/>
      <c r="E527" s="101"/>
      <c r="F527" s="101"/>
      <c r="G527" s="101"/>
      <c r="H527" s="101"/>
      <c r="I527" s="101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  <c r="AA527" s="101"/>
    </row>
    <row r="528" spans="1:27" ht="13.8">
      <c r="A528" s="101"/>
      <c r="B528" s="101"/>
      <c r="C528" s="101"/>
      <c r="D528" s="101"/>
      <c r="E528" s="101"/>
      <c r="F528" s="101"/>
      <c r="G528" s="101"/>
      <c r="H528" s="101"/>
      <c r="I528" s="101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  <c r="AA528" s="101"/>
    </row>
    <row r="529" spans="1:27" ht="13.8">
      <c r="A529" s="101"/>
      <c r="B529" s="101"/>
      <c r="C529" s="101"/>
      <c r="D529" s="101"/>
      <c r="E529" s="101"/>
      <c r="F529" s="101"/>
      <c r="G529" s="101"/>
      <c r="H529" s="101"/>
      <c r="I529" s="101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  <c r="AA529" s="101"/>
    </row>
    <row r="530" spans="1:27" ht="13.8">
      <c r="A530" s="101"/>
      <c r="B530" s="101"/>
      <c r="C530" s="101"/>
      <c r="D530" s="101"/>
      <c r="E530" s="101"/>
      <c r="F530" s="101"/>
      <c r="G530" s="101"/>
      <c r="H530" s="101"/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  <c r="AA530" s="101"/>
    </row>
    <row r="531" spans="1:27" ht="13.8">
      <c r="A531" s="101"/>
      <c r="B531" s="101"/>
      <c r="C531" s="101"/>
      <c r="D531" s="101"/>
      <c r="E531" s="101"/>
      <c r="F531" s="101"/>
      <c r="G531" s="101"/>
      <c r="H531" s="101"/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  <c r="AA531" s="101"/>
    </row>
    <row r="532" spans="1:27" ht="13.8">
      <c r="A532" s="101"/>
      <c r="B532" s="101"/>
      <c r="C532" s="101"/>
      <c r="D532" s="101"/>
      <c r="E532" s="101"/>
      <c r="F532" s="101"/>
      <c r="G532" s="101"/>
      <c r="H532" s="101"/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  <c r="AA532" s="101"/>
    </row>
    <row r="533" spans="1:27" ht="13.8">
      <c r="A533" s="101"/>
      <c r="B533" s="101"/>
      <c r="C533" s="101"/>
      <c r="D533" s="101"/>
      <c r="E533" s="101"/>
      <c r="F533" s="101"/>
      <c r="G533" s="101"/>
      <c r="H533" s="101"/>
      <c r="I533" s="101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  <c r="AA533" s="101"/>
    </row>
    <row r="534" spans="1:27" ht="13.8">
      <c r="A534" s="101"/>
      <c r="B534" s="101"/>
      <c r="C534" s="101"/>
      <c r="D534" s="101"/>
      <c r="E534" s="101"/>
      <c r="F534" s="101"/>
      <c r="G534" s="101"/>
      <c r="H534" s="101"/>
      <c r="I534" s="101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  <c r="AA534" s="101"/>
    </row>
    <row r="535" spans="1:27" ht="13.8">
      <c r="A535" s="101"/>
      <c r="B535" s="101"/>
      <c r="C535" s="101"/>
      <c r="D535" s="101"/>
      <c r="E535" s="101"/>
      <c r="F535" s="101"/>
      <c r="G535" s="101"/>
      <c r="H535" s="101"/>
      <c r="I535" s="101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  <c r="AA535" s="101"/>
    </row>
    <row r="536" spans="1:27" ht="13.8">
      <c r="A536" s="101"/>
      <c r="B536" s="101"/>
      <c r="C536" s="101"/>
      <c r="D536" s="101"/>
      <c r="E536" s="101"/>
      <c r="F536" s="101"/>
      <c r="G536" s="101"/>
      <c r="H536" s="101"/>
      <c r="I536" s="101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  <c r="AA536" s="101"/>
    </row>
    <row r="537" spans="1:27" ht="13.8">
      <c r="A537" s="101"/>
      <c r="B537" s="101"/>
      <c r="C537" s="101"/>
      <c r="D537" s="101"/>
      <c r="E537" s="101"/>
      <c r="F537" s="101"/>
      <c r="G537" s="101"/>
      <c r="H537" s="101"/>
      <c r="I537" s="101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  <c r="AA537" s="101"/>
    </row>
    <row r="538" spans="1:27" ht="13.8">
      <c r="A538" s="101"/>
      <c r="B538" s="101"/>
      <c r="C538" s="101"/>
      <c r="D538" s="101"/>
      <c r="E538" s="101"/>
      <c r="F538" s="101"/>
      <c r="G538" s="101"/>
      <c r="H538" s="101"/>
      <c r="I538" s="101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  <c r="AA538" s="101"/>
    </row>
    <row r="539" spans="1:27" ht="13.8">
      <c r="A539" s="101"/>
      <c r="B539" s="101"/>
      <c r="C539" s="101"/>
      <c r="D539" s="101"/>
      <c r="E539" s="101"/>
      <c r="F539" s="101"/>
      <c r="G539" s="101"/>
      <c r="H539" s="101"/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  <c r="AA539" s="101"/>
    </row>
    <row r="540" spans="1:27" ht="13.8">
      <c r="A540" s="101"/>
      <c r="B540" s="101"/>
      <c r="C540" s="101"/>
      <c r="D540" s="101"/>
      <c r="E540" s="101"/>
      <c r="F540" s="101"/>
      <c r="G540" s="101"/>
      <c r="H540" s="101"/>
      <c r="I540" s="101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  <c r="AA540" s="101"/>
    </row>
    <row r="541" spans="1:27" ht="13.8">
      <c r="A541" s="101"/>
      <c r="B541" s="101"/>
      <c r="C541" s="101"/>
      <c r="D541" s="101"/>
      <c r="E541" s="101"/>
      <c r="F541" s="101"/>
      <c r="G541" s="101"/>
      <c r="H541" s="101"/>
      <c r="I541" s="101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  <c r="AA541" s="101"/>
    </row>
    <row r="542" spans="1:27" ht="13.8">
      <c r="A542" s="101"/>
      <c r="B542" s="101"/>
      <c r="C542" s="101"/>
      <c r="D542" s="101"/>
      <c r="E542" s="101"/>
      <c r="F542" s="101"/>
      <c r="G542" s="101"/>
      <c r="H542" s="101"/>
      <c r="I542" s="101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  <c r="AA542" s="101"/>
    </row>
    <row r="543" spans="1:27" ht="13.8">
      <c r="A543" s="101"/>
      <c r="B543" s="101"/>
      <c r="C543" s="101"/>
      <c r="D543" s="101"/>
      <c r="E543" s="101"/>
      <c r="F543" s="101"/>
      <c r="G543" s="101"/>
      <c r="H543" s="101"/>
      <c r="I543" s="101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  <c r="AA543" s="101"/>
    </row>
    <row r="544" spans="1:27" ht="13.8">
      <c r="A544" s="101"/>
      <c r="B544" s="101"/>
      <c r="C544" s="101"/>
      <c r="D544" s="101"/>
      <c r="E544" s="101"/>
      <c r="F544" s="101"/>
      <c r="G544" s="101"/>
      <c r="H544" s="101"/>
      <c r="I544" s="101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  <c r="AA544" s="101"/>
    </row>
    <row r="545" spans="1:27" ht="13.8">
      <c r="A545" s="101"/>
      <c r="B545" s="101"/>
      <c r="C545" s="101"/>
      <c r="D545" s="101"/>
      <c r="E545" s="101"/>
      <c r="F545" s="101"/>
      <c r="G545" s="101"/>
      <c r="H545" s="101"/>
      <c r="I545" s="101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  <c r="AA545" s="101"/>
    </row>
    <row r="546" spans="1:27" ht="13.8">
      <c r="A546" s="101"/>
      <c r="B546" s="101"/>
      <c r="C546" s="101"/>
      <c r="D546" s="101"/>
      <c r="E546" s="101"/>
      <c r="F546" s="101"/>
      <c r="G546" s="101"/>
      <c r="H546" s="101"/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  <c r="AA546" s="101"/>
    </row>
    <row r="547" spans="1:27" ht="13.8">
      <c r="A547" s="101"/>
      <c r="B547" s="101"/>
      <c r="C547" s="101"/>
      <c r="D547" s="101"/>
      <c r="E547" s="101"/>
      <c r="F547" s="101"/>
      <c r="G547" s="101"/>
      <c r="H547" s="101"/>
      <c r="I547" s="101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  <c r="AA547" s="101"/>
    </row>
    <row r="548" spans="1:27" ht="13.8">
      <c r="A548" s="101"/>
      <c r="B548" s="101"/>
      <c r="C548" s="101"/>
      <c r="D548" s="101"/>
      <c r="E548" s="101"/>
      <c r="F548" s="101"/>
      <c r="G548" s="101"/>
      <c r="H548" s="101"/>
      <c r="I548" s="101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  <c r="AA548" s="101"/>
    </row>
    <row r="549" spans="1:27" ht="13.8">
      <c r="A549" s="101"/>
      <c r="B549" s="101"/>
      <c r="C549" s="101"/>
      <c r="D549" s="101"/>
      <c r="E549" s="101"/>
      <c r="F549" s="101"/>
      <c r="G549" s="101"/>
      <c r="H549" s="101"/>
      <c r="I549" s="101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  <c r="AA549" s="101"/>
    </row>
    <row r="550" spans="1:27" ht="13.8">
      <c r="A550" s="101"/>
      <c r="B550" s="101"/>
      <c r="C550" s="101"/>
      <c r="D550" s="101"/>
      <c r="E550" s="101"/>
      <c r="F550" s="101"/>
      <c r="G550" s="101"/>
      <c r="H550" s="101"/>
      <c r="I550" s="101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  <c r="AA550" s="101"/>
    </row>
    <row r="551" spans="1:27" ht="13.8">
      <c r="A551" s="101"/>
      <c r="B551" s="101"/>
      <c r="C551" s="101"/>
      <c r="D551" s="101"/>
      <c r="E551" s="101"/>
      <c r="F551" s="101"/>
      <c r="G551" s="101"/>
      <c r="H551" s="101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  <c r="AA551" s="101"/>
    </row>
    <row r="552" spans="1:27" ht="13.8">
      <c r="A552" s="101"/>
      <c r="B552" s="101"/>
      <c r="C552" s="101"/>
      <c r="D552" s="101"/>
      <c r="E552" s="101"/>
      <c r="F552" s="101"/>
      <c r="G552" s="101"/>
      <c r="H552" s="101"/>
      <c r="I552" s="101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  <c r="Z552" s="101"/>
      <c r="AA552" s="101"/>
    </row>
    <row r="553" spans="1:27" ht="13.8">
      <c r="A553" s="101"/>
      <c r="B553" s="101"/>
      <c r="C553" s="101"/>
      <c r="D553" s="101"/>
      <c r="E553" s="101"/>
      <c r="F553" s="101"/>
      <c r="G553" s="101"/>
      <c r="H553" s="101"/>
      <c r="I553" s="101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  <c r="Z553" s="101"/>
      <c r="AA553" s="101"/>
    </row>
    <row r="554" spans="1:27" ht="13.8">
      <c r="A554" s="101"/>
      <c r="B554" s="101"/>
      <c r="C554" s="101"/>
      <c r="D554" s="101"/>
      <c r="E554" s="101"/>
      <c r="F554" s="101"/>
      <c r="G554" s="101"/>
      <c r="H554" s="101"/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  <c r="Z554" s="101"/>
      <c r="AA554" s="101"/>
    </row>
    <row r="555" spans="1:27" ht="13.8">
      <c r="A555" s="101"/>
      <c r="B555" s="101"/>
      <c r="C555" s="101"/>
      <c r="D555" s="101"/>
      <c r="E555" s="101"/>
      <c r="F555" s="101"/>
      <c r="G555" s="101"/>
      <c r="H555" s="101"/>
      <c r="I555" s="101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  <c r="Z555" s="101"/>
      <c r="AA555" s="101"/>
    </row>
    <row r="556" spans="1:27" ht="13.8">
      <c r="A556" s="101"/>
      <c r="B556" s="101"/>
      <c r="C556" s="101"/>
      <c r="D556" s="101"/>
      <c r="E556" s="101"/>
      <c r="F556" s="101"/>
      <c r="G556" s="101"/>
      <c r="H556" s="101"/>
      <c r="I556" s="101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  <c r="Z556" s="101"/>
      <c r="AA556" s="101"/>
    </row>
    <row r="557" spans="1:27" ht="13.8">
      <c r="A557" s="101"/>
      <c r="B557" s="101"/>
      <c r="C557" s="101"/>
      <c r="D557" s="101"/>
      <c r="E557" s="101"/>
      <c r="F557" s="101"/>
      <c r="G557" s="101"/>
      <c r="H557" s="101"/>
      <c r="I557" s="101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  <c r="Z557" s="101"/>
      <c r="AA557" s="101"/>
    </row>
    <row r="558" spans="1:27" ht="13.8">
      <c r="A558" s="101"/>
      <c r="B558" s="101"/>
      <c r="C558" s="101"/>
      <c r="D558" s="101"/>
      <c r="E558" s="101"/>
      <c r="F558" s="101"/>
      <c r="G558" s="101"/>
      <c r="H558" s="101"/>
      <c r="I558" s="101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  <c r="Z558" s="101"/>
      <c r="AA558" s="101"/>
    </row>
    <row r="559" spans="1:27" ht="13.8">
      <c r="A559" s="101"/>
      <c r="B559" s="101"/>
      <c r="C559" s="101"/>
      <c r="D559" s="101"/>
      <c r="E559" s="101"/>
      <c r="F559" s="101"/>
      <c r="G559" s="101"/>
      <c r="H559" s="101"/>
      <c r="I559" s="101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  <c r="Z559" s="101"/>
      <c r="AA559" s="101"/>
    </row>
    <row r="560" spans="1:27" ht="13.8">
      <c r="A560" s="101"/>
      <c r="B560" s="101"/>
      <c r="C560" s="101"/>
      <c r="D560" s="101"/>
      <c r="E560" s="101"/>
      <c r="F560" s="101"/>
      <c r="G560" s="101"/>
      <c r="H560" s="101"/>
      <c r="I560" s="101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  <c r="Z560" s="101"/>
      <c r="AA560" s="101"/>
    </row>
    <row r="561" spans="1:27" ht="13.8">
      <c r="A561" s="101"/>
      <c r="B561" s="101"/>
      <c r="C561" s="101"/>
      <c r="D561" s="101"/>
      <c r="E561" s="101"/>
      <c r="F561" s="101"/>
      <c r="G561" s="101"/>
      <c r="H561" s="101"/>
      <c r="I561" s="101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  <c r="Z561" s="101"/>
      <c r="AA561" s="101"/>
    </row>
    <row r="562" spans="1:27" ht="13.8">
      <c r="A562" s="101"/>
      <c r="B562" s="101"/>
      <c r="C562" s="101"/>
      <c r="D562" s="101"/>
      <c r="E562" s="101"/>
      <c r="F562" s="101"/>
      <c r="G562" s="101"/>
      <c r="H562" s="101"/>
      <c r="I562" s="101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  <c r="Z562" s="101"/>
      <c r="AA562" s="101"/>
    </row>
    <row r="563" spans="1:27" ht="13.8">
      <c r="A563" s="101"/>
      <c r="B563" s="101"/>
      <c r="C563" s="101"/>
      <c r="D563" s="101"/>
      <c r="E563" s="101"/>
      <c r="F563" s="101"/>
      <c r="G563" s="101"/>
      <c r="H563" s="101"/>
      <c r="I563" s="101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  <c r="Z563" s="101"/>
      <c r="AA563" s="101"/>
    </row>
    <row r="564" spans="1:27" ht="13.8">
      <c r="A564" s="101"/>
      <c r="B564" s="101"/>
      <c r="C564" s="101"/>
      <c r="D564" s="101"/>
      <c r="E564" s="101"/>
      <c r="F564" s="101"/>
      <c r="G564" s="101"/>
      <c r="H564" s="101"/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  <c r="Z564" s="101"/>
      <c r="AA564" s="101"/>
    </row>
    <row r="565" spans="1:27" ht="13.8">
      <c r="A565" s="101"/>
      <c r="B565" s="101"/>
      <c r="C565" s="101"/>
      <c r="D565" s="101"/>
      <c r="E565" s="101"/>
      <c r="F565" s="101"/>
      <c r="G565" s="101"/>
      <c r="H565" s="101"/>
      <c r="I565" s="101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  <c r="Z565" s="101"/>
      <c r="AA565" s="101"/>
    </row>
    <row r="566" spans="1:27" ht="13.8">
      <c r="A566" s="101"/>
      <c r="B566" s="101"/>
      <c r="C566" s="101"/>
      <c r="D566" s="101"/>
      <c r="E566" s="101"/>
      <c r="F566" s="101"/>
      <c r="G566" s="101"/>
      <c r="H566" s="101"/>
      <c r="I566" s="101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  <c r="Z566" s="101"/>
      <c r="AA566" s="101"/>
    </row>
    <row r="567" spans="1:27" ht="13.8">
      <c r="A567" s="101"/>
      <c r="B567" s="101"/>
      <c r="C567" s="101"/>
      <c r="D567" s="101"/>
      <c r="E567" s="101"/>
      <c r="F567" s="101"/>
      <c r="G567" s="101"/>
      <c r="H567" s="101"/>
      <c r="I567" s="101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  <c r="Z567" s="101"/>
      <c r="AA567" s="101"/>
    </row>
    <row r="568" spans="1:27" ht="13.8">
      <c r="A568" s="101"/>
      <c r="B568" s="101"/>
      <c r="C568" s="101"/>
      <c r="D568" s="101"/>
      <c r="E568" s="101"/>
      <c r="F568" s="101"/>
      <c r="G568" s="101"/>
      <c r="H568" s="101"/>
      <c r="I568" s="101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  <c r="Z568" s="101"/>
      <c r="AA568" s="101"/>
    </row>
    <row r="569" spans="1:27" ht="13.8">
      <c r="A569" s="101"/>
      <c r="B569" s="101"/>
      <c r="C569" s="101"/>
      <c r="D569" s="101"/>
      <c r="E569" s="101"/>
      <c r="F569" s="101"/>
      <c r="G569" s="101"/>
      <c r="H569" s="101"/>
      <c r="I569" s="101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  <c r="Z569" s="101"/>
      <c r="AA569" s="101"/>
    </row>
    <row r="570" spans="1:27" ht="13.8">
      <c r="A570" s="101"/>
      <c r="B570" s="101"/>
      <c r="C570" s="101"/>
      <c r="D570" s="101"/>
      <c r="E570" s="101"/>
      <c r="F570" s="101"/>
      <c r="G570" s="101"/>
      <c r="H570" s="101"/>
      <c r="I570" s="101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  <c r="Z570" s="101"/>
      <c r="AA570" s="101"/>
    </row>
    <row r="571" spans="1:27" ht="13.8">
      <c r="A571" s="101"/>
      <c r="B571" s="101"/>
      <c r="C571" s="101"/>
      <c r="D571" s="101"/>
      <c r="E571" s="101"/>
      <c r="F571" s="101"/>
      <c r="G571" s="101"/>
      <c r="H571" s="101"/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  <c r="Z571" s="101"/>
      <c r="AA571" s="101"/>
    </row>
    <row r="572" spans="1:27" ht="13.8">
      <c r="A572" s="101"/>
      <c r="B572" s="101"/>
      <c r="C572" s="101"/>
      <c r="D572" s="101"/>
      <c r="E572" s="101"/>
      <c r="F572" s="101"/>
      <c r="G572" s="101"/>
      <c r="H572" s="101"/>
      <c r="I572" s="101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  <c r="Z572" s="101"/>
      <c r="AA572" s="101"/>
    </row>
    <row r="573" spans="1:27" ht="13.8">
      <c r="A573" s="101"/>
      <c r="B573" s="101"/>
      <c r="C573" s="101"/>
      <c r="D573" s="101"/>
      <c r="E573" s="101"/>
      <c r="F573" s="101"/>
      <c r="G573" s="101"/>
      <c r="H573" s="101"/>
      <c r="I573" s="101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  <c r="Z573" s="101"/>
      <c r="AA573" s="101"/>
    </row>
    <row r="574" spans="1:27" ht="13.8">
      <c r="A574" s="101"/>
      <c r="B574" s="101"/>
      <c r="C574" s="101"/>
      <c r="D574" s="101"/>
      <c r="E574" s="101"/>
      <c r="F574" s="101"/>
      <c r="G574" s="101"/>
      <c r="H574" s="101"/>
      <c r="I574" s="101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  <c r="Z574" s="101"/>
      <c r="AA574" s="101"/>
    </row>
    <row r="575" spans="1:27" ht="13.8">
      <c r="A575" s="101"/>
      <c r="B575" s="101"/>
      <c r="C575" s="101"/>
      <c r="D575" s="101"/>
      <c r="E575" s="101"/>
      <c r="F575" s="101"/>
      <c r="G575" s="101"/>
      <c r="H575" s="101"/>
      <c r="I575" s="101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  <c r="Z575" s="101"/>
      <c r="AA575" s="101"/>
    </row>
    <row r="576" spans="1:27" ht="13.8">
      <c r="A576" s="101"/>
      <c r="B576" s="101"/>
      <c r="C576" s="101"/>
      <c r="D576" s="101"/>
      <c r="E576" s="101"/>
      <c r="F576" s="101"/>
      <c r="G576" s="101"/>
      <c r="H576" s="101"/>
      <c r="I576" s="101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  <c r="Z576" s="101"/>
      <c r="AA576" s="101"/>
    </row>
    <row r="577" spans="1:27" ht="13.8">
      <c r="A577" s="101"/>
      <c r="B577" s="101"/>
      <c r="C577" s="101"/>
      <c r="D577" s="101"/>
      <c r="E577" s="101"/>
      <c r="F577" s="101"/>
      <c r="G577" s="101"/>
      <c r="H577" s="101"/>
      <c r="I577" s="101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  <c r="Z577" s="101"/>
      <c r="AA577" s="101"/>
    </row>
    <row r="578" spans="1:27" ht="13.8">
      <c r="A578" s="101"/>
      <c r="B578" s="101"/>
      <c r="C578" s="101"/>
      <c r="D578" s="101"/>
      <c r="E578" s="101"/>
      <c r="F578" s="101"/>
      <c r="G578" s="101"/>
      <c r="H578" s="101"/>
      <c r="I578" s="101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  <c r="Z578" s="101"/>
      <c r="AA578" s="101"/>
    </row>
    <row r="579" spans="1:27" ht="13.8">
      <c r="A579" s="101"/>
      <c r="B579" s="101"/>
      <c r="C579" s="101"/>
      <c r="D579" s="101"/>
      <c r="E579" s="101"/>
      <c r="F579" s="101"/>
      <c r="G579" s="101"/>
      <c r="H579" s="101"/>
      <c r="I579" s="101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  <c r="Z579" s="101"/>
      <c r="AA579" s="101"/>
    </row>
    <row r="580" spans="1:27" ht="13.8">
      <c r="A580" s="101"/>
      <c r="B580" s="101"/>
      <c r="C580" s="101"/>
      <c r="D580" s="101"/>
      <c r="E580" s="101"/>
      <c r="F580" s="101"/>
      <c r="G580" s="101"/>
      <c r="H580" s="101"/>
      <c r="I580" s="101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  <c r="Z580" s="101"/>
      <c r="AA580" s="101"/>
    </row>
    <row r="581" spans="1:27" ht="13.8">
      <c r="A581" s="101"/>
      <c r="B581" s="101"/>
      <c r="C581" s="101"/>
      <c r="D581" s="101"/>
      <c r="E581" s="101"/>
      <c r="F581" s="101"/>
      <c r="G581" s="101"/>
      <c r="H581" s="101"/>
      <c r="I581" s="101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  <c r="Z581" s="101"/>
      <c r="AA581" s="101"/>
    </row>
    <row r="582" spans="1:27" ht="13.8">
      <c r="A582" s="101"/>
      <c r="B582" s="101"/>
      <c r="C582" s="101"/>
      <c r="D582" s="101"/>
      <c r="E582" s="101"/>
      <c r="F582" s="101"/>
      <c r="G582" s="101"/>
      <c r="H582" s="101"/>
      <c r="I582" s="101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  <c r="Z582" s="101"/>
      <c r="AA582" s="101"/>
    </row>
    <row r="583" spans="1:27" ht="13.8">
      <c r="A583" s="101"/>
      <c r="B583" s="101"/>
      <c r="C583" s="101"/>
      <c r="D583" s="101"/>
      <c r="E583" s="101"/>
      <c r="F583" s="101"/>
      <c r="G583" s="101"/>
      <c r="H583" s="101"/>
      <c r="I583" s="101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  <c r="Z583" s="101"/>
      <c r="AA583" s="101"/>
    </row>
    <row r="584" spans="1:27" ht="13.8">
      <c r="A584" s="101"/>
      <c r="B584" s="101"/>
      <c r="C584" s="101"/>
      <c r="D584" s="101"/>
      <c r="E584" s="101"/>
      <c r="F584" s="101"/>
      <c r="G584" s="101"/>
      <c r="H584" s="101"/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  <c r="Z584" s="101"/>
      <c r="AA584" s="101"/>
    </row>
    <row r="585" spans="1:27" ht="13.8">
      <c r="A585" s="101"/>
      <c r="B585" s="101"/>
      <c r="C585" s="101"/>
      <c r="D585" s="101"/>
      <c r="E585" s="101"/>
      <c r="F585" s="101"/>
      <c r="G585" s="101"/>
      <c r="H585" s="101"/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  <c r="Z585" s="101"/>
      <c r="AA585" s="101"/>
    </row>
    <row r="586" spans="1:27" ht="13.8">
      <c r="A586" s="101"/>
      <c r="B586" s="101"/>
      <c r="C586" s="101"/>
      <c r="D586" s="101"/>
      <c r="E586" s="101"/>
      <c r="F586" s="101"/>
      <c r="G586" s="101"/>
      <c r="H586" s="101"/>
      <c r="I586" s="101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  <c r="Z586" s="101"/>
      <c r="AA586" s="101"/>
    </row>
    <row r="587" spans="1:27" ht="13.8">
      <c r="A587" s="101"/>
      <c r="B587" s="101"/>
      <c r="C587" s="101"/>
      <c r="D587" s="101"/>
      <c r="E587" s="101"/>
      <c r="F587" s="101"/>
      <c r="G587" s="101"/>
      <c r="H587" s="101"/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  <c r="Z587" s="101"/>
      <c r="AA587" s="101"/>
    </row>
    <row r="588" spans="1:27" ht="13.8">
      <c r="A588" s="101"/>
      <c r="B588" s="101"/>
      <c r="C588" s="101"/>
      <c r="D588" s="101"/>
      <c r="E588" s="101"/>
      <c r="F588" s="101"/>
      <c r="G588" s="101"/>
      <c r="H588" s="101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  <c r="Z588" s="101"/>
      <c r="AA588" s="101"/>
    </row>
    <row r="589" spans="1:27" ht="13.8">
      <c r="A589" s="101"/>
      <c r="B589" s="101"/>
      <c r="C589" s="101"/>
      <c r="D589" s="101"/>
      <c r="E589" s="101"/>
      <c r="F589" s="101"/>
      <c r="G589" s="101"/>
      <c r="H589" s="101"/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  <c r="Z589" s="101"/>
      <c r="AA589" s="101"/>
    </row>
    <row r="590" spans="1:27" ht="13.8">
      <c r="A590" s="101"/>
      <c r="B590" s="101"/>
      <c r="C590" s="101"/>
      <c r="D590" s="101"/>
      <c r="E590" s="101"/>
      <c r="F590" s="101"/>
      <c r="G590" s="101"/>
      <c r="H590" s="101"/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  <c r="Z590" s="101"/>
      <c r="AA590" s="101"/>
    </row>
    <row r="591" spans="1:27" ht="13.8">
      <c r="A591" s="101"/>
      <c r="B591" s="101"/>
      <c r="C591" s="101"/>
      <c r="D591" s="101"/>
      <c r="E591" s="101"/>
      <c r="F591" s="101"/>
      <c r="G591" s="101"/>
      <c r="H591" s="101"/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  <c r="Z591" s="101"/>
      <c r="AA591" s="101"/>
    </row>
    <row r="592" spans="1:27" ht="13.8">
      <c r="A592" s="101"/>
      <c r="B592" s="101"/>
      <c r="C592" s="101"/>
      <c r="D592" s="101"/>
      <c r="E592" s="101"/>
      <c r="F592" s="101"/>
      <c r="G592" s="101"/>
      <c r="H592" s="101"/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  <c r="AA592" s="101"/>
    </row>
    <row r="593" spans="1:27" ht="13.8">
      <c r="A593" s="101"/>
      <c r="B593" s="101"/>
      <c r="C593" s="101"/>
      <c r="D593" s="101"/>
      <c r="E593" s="101"/>
      <c r="F593" s="101"/>
      <c r="G593" s="101"/>
      <c r="H593" s="101"/>
      <c r="I593" s="101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  <c r="Z593" s="101"/>
      <c r="AA593" s="101"/>
    </row>
    <row r="594" spans="1:27" ht="13.8">
      <c r="A594" s="101"/>
      <c r="B594" s="101"/>
      <c r="C594" s="101"/>
      <c r="D594" s="101"/>
      <c r="E594" s="101"/>
      <c r="F594" s="101"/>
      <c r="G594" s="101"/>
      <c r="H594" s="101"/>
      <c r="I594" s="101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  <c r="Z594" s="101"/>
      <c r="AA594" s="101"/>
    </row>
    <row r="595" spans="1:27" ht="13.8">
      <c r="A595" s="101"/>
      <c r="B595" s="101"/>
      <c r="C595" s="101"/>
      <c r="D595" s="101"/>
      <c r="E595" s="101"/>
      <c r="F595" s="101"/>
      <c r="G595" s="101"/>
      <c r="H595" s="101"/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  <c r="Z595" s="101"/>
      <c r="AA595" s="101"/>
    </row>
    <row r="596" spans="1:27" ht="13.8">
      <c r="A596" s="101"/>
      <c r="B596" s="101"/>
      <c r="C596" s="101"/>
      <c r="D596" s="101"/>
      <c r="E596" s="101"/>
      <c r="F596" s="101"/>
      <c r="G596" s="101"/>
      <c r="H596" s="101"/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  <c r="Z596" s="101"/>
      <c r="AA596" s="101"/>
    </row>
    <row r="597" spans="1:27" ht="13.8">
      <c r="A597" s="101"/>
      <c r="B597" s="101"/>
      <c r="C597" s="101"/>
      <c r="D597" s="101"/>
      <c r="E597" s="101"/>
      <c r="F597" s="101"/>
      <c r="G597" s="101"/>
      <c r="H597" s="101"/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  <c r="Z597" s="101"/>
      <c r="AA597" s="101"/>
    </row>
    <row r="598" spans="1:27" ht="13.8">
      <c r="A598" s="101"/>
      <c r="B598" s="101"/>
      <c r="C598" s="101"/>
      <c r="D598" s="101"/>
      <c r="E598" s="101"/>
      <c r="F598" s="101"/>
      <c r="G598" s="101"/>
      <c r="H598" s="101"/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  <c r="Z598" s="101"/>
      <c r="AA598" s="101"/>
    </row>
    <row r="599" spans="1:27" ht="13.8">
      <c r="A599" s="101"/>
      <c r="B599" s="101"/>
      <c r="C599" s="101"/>
      <c r="D599" s="101"/>
      <c r="E599" s="101"/>
      <c r="F599" s="101"/>
      <c r="G599" s="101"/>
      <c r="H599" s="101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  <c r="Z599" s="101"/>
      <c r="AA599" s="101"/>
    </row>
    <row r="600" spans="1:27" ht="13.8">
      <c r="A600" s="101"/>
      <c r="B600" s="101"/>
      <c r="C600" s="101"/>
      <c r="D600" s="101"/>
      <c r="E600" s="101"/>
      <c r="F600" s="101"/>
      <c r="G600" s="101"/>
      <c r="H600" s="101"/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  <c r="Z600" s="101"/>
      <c r="AA600" s="101"/>
    </row>
    <row r="601" spans="1:27" ht="13.8">
      <c r="A601" s="101"/>
      <c r="B601" s="101"/>
      <c r="C601" s="101"/>
      <c r="D601" s="101"/>
      <c r="E601" s="101"/>
      <c r="F601" s="101"/>
      <c r="G601" s="101"/>
      <c r="H601" s="101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  <c r="Z601" s="101"/>
      <c r="AA601" s="101"/>
    </row>
    <row r="602" spans="1:27" ht="13.8">
      <c r="A602" s="101"/>
      <c r="B602" s="101"/>
      <c r="C602" s="101"/>
      <c r="D602" s="101"/>
      <c r="E602" s="101"/>
      <c r="F602" s="101"/>
      <c r="G602" s="101"/>
      <c r="H602" s="101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  <c r="Z602" s="101"/>
      <c r="AA602" s="101"/>
    </row>
    <row r="603" spans="1:27" ht="13.8">
      <c r="A603" s="101"/>
      <c r="B603" s="101"/>
      <c r="C603" s="101"/>
      <c r="D603" s="101"/>
      <c r="E603" s="101"/>
      <c r="F603" s="101"/>
      <c r="G603" s="101"/>
      <c r="H603" s="101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  <c r="Z603" s="101"/>
      <c r="AA603" s="101"/>
    </row>
    <row r="604" spans="1:27" ht="13.8">
      <c r="A604" s="101"/>
      <c r="B604" s="101"/>
      <c r="C604" s="101"/>
      <c r="D604" s="101"/>
      <c r="E604" s="101"/>
      <c r="F604" s="101"/>
      <c r="G604" s="101"/>
      <c r="H604" s="101"/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  <c r="Z604" s="101"/>
      <c r="AA604" s="101"/>
    </row>
    <row r="605" spans="1:27" ht="13.8">
      <c r="A605" s="101"/>
      <c r="B605" s="101"/>
      <c r="C605" s="101"/>
      <c r="D605" s="101"/>
      <c r="E605" s="101"/>
      <c r="F605" s="101"/>
      <c r="G605" s="101"/>
      <c r="H605" s="101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  <c r="Z605" s="101"/>
      <c r="AA605" s="101"/>
    </row>
    <row r="606" spans="1:27" ht="13.8">
      <c r="A606" s="101"/>
      <c r="B606" s="101"/>
      <c r="C606" s="101"/>
      <c r="D606" s="101"/>
      <c r="E606" s="101"/>
      <c r="F606" s="101"/>
      <c r="G606" s="101"/>
      <c r="H606" s="101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  <c r="Z606" s="101"/>
      <c r="AA606" s="101"/>
    </row>
    <row r="607" spans="1:27" ht="13.8">
      <c r="A607" s="101"/>
      <c r="B607" s="101"/>
      <c r="C607" s="101"/>
      <c r="D607" s="101"/>
      <c r="E607" s="101"/>
      <c r="F607" s="101"/>
      <c r="G607" s="101"/>
      <c r="H607" s="101"/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  <c r="Z607" s="101"/>
      <c r="AA607" s="101"/>
    </row>
    <row r="608" spans="1:27" ht="13.8">
      <c r="A608" s="101"/>
      <c r="B608" s="101"/>
      <c r="C608" s="101"/>
      <c r="D608" s="101"/>
      <c r="E608" s="101"/>
      <c r="F608" s="101"/>
      <c r="G608" s="101"/>
      <c r="H608" s="101"/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  <c r="Z608" s="101"/>
      <c r="AA608" s="101"/>
    </row>
    <row r="609" spans="1:27" ht="13.8">
      <c r="A609" s="101"/>
      <c r="B609" s="101"/>
      <c r="C609" s="101"/>
      <c r="D609" s="101"/>
      <c r="E609" s="101"/>
      <c r="F609" s="101"/>
      <c r="G609" s="101"/>
      <c r="H609" s="101"/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  <c r="Z609" s="101"/>
      <c r="AA609" s="101"/>
    </row>
    <row r="610" spans="1:27" ht="13.8">
      <c r="A610" s="101"/>
      <c r="B610" s="101"/>
      <c r="C610" s="101"/>
      <c r="D610" s="101"/>
      <c r="E610" s="101"/>
      <c r="F610" s="101"/>
      <c r="G610" s="101"/>
      <c r="H610" s="101"/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  <c r="Z610" s="101"/>
      <c r="AA610" s="101"/>
    </row>
    <row r="611" spans="1:27" ht="13.8">
      <c r="A611" s="101"/>
      <c r="B611" s="101"/>
      <c r="C611" s="101"/>
      <c r="D611" s="101"/>
      <c r="E611" s="101"/>
      <c r="F611" s="101"/>
      <c r="G611" s="101"/>
      <c r="H611" s="101"/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  <c r="Z611" s="101"/>
      <c r="AA611" s="101"/>
    </row>
    <row r="612" spans="1:27" ht="13.8">
      <c r="A612" s="101"/>
      <c r="B612" s="101"/>
      <c r="C612" s="101"/>
      <c r="D612" s="101"/>
      <c r="E612" s="101"/>
      <c r="F612" s="101"/>
      <c r="G612" s="101"/>
      <c r="H612" s="101"/>
      <c r="I612" s="101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  <c r="Z612" s="101"/>
      <c r="AA612" s="101"/>
    </row>
    <row r="613" spans="1:27" ht="13.8">
      <c r="A613" s="101"/>
      <c r="B613" s="101"/>
      <c r="C613" s="101"/>
      <c r="D613" s="101"/>
      <c r="E613" s="101"/>
      <c r="F613" s="101"/>
      <c r="G613" s="101"/>
      <c r="H613" s="101"/>
      <c r="I613" s="101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  <c r="Z613" s="101"/>
      <c r="AA613" s="101"/>
    </row>
    <row r="614" spans="1:27" ht="13.8">
      <c r="A614" s="101"/>
      <c r="B614" s="101"/>
      <c r="C614" s="101"/>
      <c r="D614" s="101"/>
      <c r="E614" s="101"/>
      <c r="F614" s="101"/>
      <c r="G614" s="101"/>
      <c r="H614" s="101"/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  <c r="Z614" s="101"/>
      <c r="AA614" s="101"/>
    </row>
    <row r="615" spans="1:27" ht="13.8">
      <c r="A615" s="101"/>
      <c r="B615" s="101"/>
      <c r="C615" s="101"/>
      <c r="D615" s="101"/>
      <c r="E615" s="101"/>
      <c r="F615" s="101"/>
      <c r="G615" s="101"/>
      <c r="H615" s="101"/>
      <c r="I615" s="101"/>
      <c r="J615" s="101"/>
      <c r="K615" s="101"/>
      <c r="L615" s="101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  <c r="Z615" s="101"/>
      <c r="AA615" s="101"/>
    </row>
    <row r="616" spans="1:27" ht="13.8">
      <c r="A616" s="101"/>
      <c r="B616" s="101"/>
      <c r="C616" s="101"/>
      <c r="D616" s="101"/>
      <c r="E616" s="101"/>
      <c r="F616" s="101"/>
      <c r="G616" s="101"/>
      <c r="H616" s="101"/>
      <c r="I616" s="101"/>
      <c r="J616" s="101"/>
      <c r="K616" s="101"/>
      <c r="L616" s="101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  <c r="Z616" s="101"/>
      <c r="AA616" s="101"/>
    </row>
    <row r="617" spans="1:27" ht="13.8">
      <c r="A617" s="101"/>
      <c r="B617" s="101"/>
      <c r="C617" s="101"/>
      <c r="D617" s="101"/>
      <c r="E617" s="101"/>
      <c r="F617" s="101"/>
      <c r="G617" s="101"/>
      <c r="H617" s="101"/>
      <c r="I617" s="101"/>
      <c r="J617" s="101"/>
      <c r="K617" s="101"/>
      <c r="L617" s="101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  <c r="Z617" s="101"/>
      <c r="AA617" s="101"/>
    </row>
    <row r="618" spans="1:27" ht="13.8">
      <c r="A618" s="101"/>
      <c r="B618" s="101"/>
      <c r="C618" s="101"/>
      <c r="D618" s="101"/>
      <c r="E618" s="101"/>
      <c r="F618" s="101"/>
      <c r="G618" s="101"/>
      <c r="H618" s="101"/>
      <c r="I618" s="101"/>
      <c r="J618" s="101"/>
      <c r="K618" s="101"/>
      <c r="L618" s="101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01"/>
      <c r="Z618" s="101"/>
      <c r="AA618" s="101"/>
    </row>
    <row r="619" spans="1:27" ht="13.8">
      <c r="A619" s="101"/>
      <c r="B619" s="101"/>
      <c r="C619" s="101"/>
      <c r="D619" s="101"/>
      <c r="E619" s="101"/>
      <c r="F619" s="101"/>
      <c r="G619" s="101"/>
      <c r="H619" s="101"/>
      <c r="I619" s="101"/>
      <c r="J619" s="101"/>
      <c r="K619" s="101"/>
      <c r="L619" s="101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01"/>
      <c r="Z619" s="101"/>
      <c r="AA619" s="101"/>
    </row>
    <row r="620" spans="1:27" ht="13.8">
      <c r="A620" s="101"/>
      <c r="B620" s="101"/>
      <c r="C620" s="101"/>
      <c r="D620" s="101"/>
      <c r="E620" s="101"/>
      <c r="F620" s="101"/>
      <c r="G620" s="101"/>
      <c r="H620" s="101"/>
      <c r="I620" s="101"/>
      <c r="J620" s="101"/>
      <c r="K620" s="101"/>
      <c r="L620" s="101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01"/>
      <c r="Z620" s="101"/>
      <c r="AA620" s="101"/>
    </row>
    <row r="621" spans="1:27" ht="13.8">
      <c r="A621" s="101"/>
      <c r="B621" s="101"/>
      <c r="C621" s="101"/>
      <c r="D621" s="101"/>
      <c r="E621" s="101"/>
      <c r="F621" s="101"/>
      <c r="G621" s="101"/>
      <c r="H621" s="101"/>
      <c r="I621" s="101"/>
      <c r="J621" s="101"/>
      <c r="K621" s="101"/>
      <c r="L621" s="101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01"/>
      <c r="Z621" s="101"/>
      <c r="AA621" s="101"/>
    </row>
    <row r="622" spans="1:27" ht="13.8">
      <c r="A622" s="101"/>
      <c r="B622" s="101"/>
      <c r="C622" s="101"/>
      <c r="D622" s="101"/>
      <c r="E622" s="101"/>
      <c r="F622" s="101"/>
      <c r="G622" s="101"/>
      <c r="H622" s="101"/>
      <c r="I622" s="101"/>
      <c r="J622" s="101"/>
      <c r="K622" s="101"/>
      <c r="L622" s="101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01"/>
      <c r="Z622" s="101"/>
      <c r="AA622" s="101"/>
    </row>
    <row r="623" spans="1:27" ht="13.8">
      <c r="A623" s="101"/>
      <c r="B623" s="101"/>
      <c r="C623" s="101"/>
      <c r="D623" s="101"/>
      <c r="E623" s="101"/>
      <c r="F623" s="101"/>
      <c r="G623" s="101"/>
      <c r="H623" s="101"/>
      <c r="I623" s="101"/>
      <c r="J623" s="101"/>
      <c r="K623" s="101"/>
      <c r="L623" s="101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01"/>
      <c r="Z623" s="101"/>
      <c r="AA623" s="101"/>
    </row>
    <row r="624" spans="1:27" ht="13.8">
      <c r="A624" s="101"/>
      <c r="B624" s="101"/>
      <c r="C624" s="101"/>
      <c r="D624" s="101"/>
      <c r="E624" s="101"/>
      <c r="F624" s="101"/>
      <c r="G624" s="101"/>
      <c r="H624" s="101"/>
      <c r="I624" s="101"/>
      <c r="J624" s="101"/>
      <c r="K624" s="101"/>
      <c r="L624" s="101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01"/>
      <c r="Z624" s="101"/>
      <c r="AA624" s="101"/>
    </row>
    <row r="625" spans="1:27" ht="13.8">
      <c r="A625" s="101"/>
      <c r="B625" s="101"/>
      <c r="C625" s="101"/>
      <c r="D625" s="101"/>
      <c r="E625" s="101"/>
      <c r="F625" s="101"/>
      <c r="G625" s="101"/>
      <c r="H625" s="101"/>
      <c r="I625" s="101"/>
      <c r="J625" s="101"/>
      <c r="K625" s="101"/>
      <c r="L625" s="101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01"/>
      <c r="Z625" s="101"/>
      <c r="AA625" s="101"/>
    </row>
    <row r="626" spans="1:27" ht="13.8">
      <c r="A626" s="101"/>
      <c r="B626" s="101"/>
      <c r="C626" s="101"/>
      <c r="D626" s="101"/>
      <c r="E626" s="101"/>
      <c r="F626" s="101"/>
      <c r="G626" s="101"/>
      <c r="H626" s="101"/>
      <c r="I626" s="101"/>
      <c r="J626" s="101"/>
      <c r="K626" s="101"/>
      <c r="L626" s="101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01"/>
      <c r="Z626" s="101"/>
      <c r="AA626" s="101"/>
    </row>
    <row r="627" spans="1:27" ht="13.8">
      <c r="A627" s="101"/>
      <c r="B627" s="101"/>
      <c r="C627" s="101"/>
      <c r="D627" s="101"/>
      <c r="E627" s="101"/>
      <c r="F627" s="101"/>
      <c r="G627" s="101"/>
      <c r="H627" s="101"/>
      <c r="I627" s="101"/>
      <c r="J627" s="101"/>
      <c r="K627" s="101"/>
      <c r="L627" s="101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01"/>
      <c r="Z627" s="101"/>
      <c r="AA627" s="101"/>
    </row>
    <row r="628" spans="1:27" ht="13.8">
      <c r="A628" s="101"/>
      <c r="B628" s="101"/>
      <c r="C628" s="101"/>
      <c r="D628" s="101"/>
      <c r="E628" s="101"/>
      <c r="F628" s="101"/>
      <c r="G628" s="101"/>
      <c r="H628" s="101"/>
      <c r="I628" s="101"/>
      <c r="J628" s="101"/>
      <c r="K628" s="101"/>
      <c r="L628" s="101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01"/>
      <c r="Z628" s="101"/>
      <c r="AA628" s="101"/>
    </row>
    <row r="629" spans="1:27" ht="13.8">
      <c r="A629" s="101"/>
      <c r="B629" s="101"/>
      <c r="C629" s="101"/>
      <c r="D629" s="101"/>
      <c r="E629" s="101"/>
      <c r="F629" s="101"/>
      <c r="G629" s="101"/>
      <c r="H629" s="101"/>
      <c r="I629" s="101"/>
      <c r="J629" s="101"/>
      <c r="K629" s="101"/>
      <c r="L629" s="101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01"/>
      <c r="Z629" s="101"/>
      <c r="AA629" s="101"/>
    </row>
    <row r="630" spans="1:27" ht="13.8">
      <c r="A630" s="101"/>
      <c r="B630" s="101"/>
      <c r="C630" s="101"/>
      <c r="D630" s="101"/>
      <c r="E630" s="101"/>
      <c r="F630" s="101"/>
      <c r="G630" s="101"/>
      <c r="H630" s="101"/>
      <c r="I630" s="101"/>
      <c r="J630" s="101"/>
      <c r="K630" s="101"/>
      <c r="L630" s="101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  <c r="Z630" s="101"/>
      <c r="AA630" s="101"/>
    </row>
    <row r="631" spans="1:27" ht="13.8">
      <c r="A631" s="101"/>
      <c r="B631" s="101"/>
      <c r="C631" s="101"/>
      <c r="D631" s="101"/>
      <c r="E631" s="101"/>
      <c r="F631" s="101"/>
      <c r="G631" s="101"/>
      <c r="H631" s="101"/>
      <c r="I631" s="101"/>
      <c r="J631" s="101"/>
      <c r="K631" s="101"/>
      <c r="L631" s="101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  <c r="Z631" s="101"/>
      <c r="AA631" s="101"/>
    </row>
    <row r="632" spans="1:27" ht="13.8">
      <c r="A632" s="101"/>
      <c r="B632" s="101"/>
      <c r="C632" s="101"/>
      <c r="D632" s="101"/>
      <c r="E632" s="101"/>
      <c r="F632" s="101"/>
      <c r="G632" s="101"/>
      <c r="H632" s="101"/>
      <c r="I632" s="101"/>
      <c r="J632" s="101"/>
      <c r="K632" s="101"/>
      <c r="L632" s="101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  <c r="Z632" s="101"/>
      <c r="AA632" s="101"/>
    </row>
    <row r="633" spans="1:27" ht="13.8">
      <c r="A633" s="101"/>
      <c r="B633" s="101"/>
      <c r="C633" s="101"/>
      <c r="D633" s="101"/>
      <c r="E633" s="101"/>
      <c r="F633" s="101"/>
      <c r="G633" s="101"/>
      <c r="H633" s="101"/>
      <c r="I633" s="101"/>
      <c r="J633" s="101"/>
      <c r="K633" s="101"/>
      <c r="L633" s="101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  <c r="Z633" s="101"/>
      <c r="AA633" s="101"/>
    </row>
    <row r="634" spans="1:27" ht="13.8">
      <c r="A634" s="101"/>
      <c r="B634" s="101"/>
      <c r="C634" s="101"/>
      <c r="D634" s="101"/>
      <c r="E634" s="101"/>
      <c r="F634" s="101"/>
      <c r="G634" s="101"/>
      <c r="H634" s="101"/>
      <c r="I634" s="101"/>
      <c r="J634" s="101"/>
      <c r="K634" s="101"/>
      <c r="L634" s="101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  <c r="Z634" s="101"/>
      <c r="AA634" s="101"/>
    </row>
    <row r="635" spans="1:27" ht="13.8">
      <c r="A635" s="101"/>
      <c r="B635" s="101"/>
      <c r="C635" s="101"/>
      <c r="D635" s="101"/>
      <c r="E635" s="101"/>
      <c r="F635" s="101"/>
      <c r="G635" s="101"/>
      <c r="H635" s="101"/>
      <c r="I635" s="101"/>
      <c r="J635" s="101"/>
      <c r="K635" s="101"/>
      <c r="L635" s="101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  <c r="Z635" s="101"/>
      <c r="AA635" s="101"/>
    </row>
    <row r="636" spans="1:27" ht="13.8">
      <c r="A636" s="101"/>
      <c r="B636" s="101"/>
      <c r="C636" s="101"/>
      <c r="D636" s="101"/>
      <c r="E636" s="101"/>
      <c r="F636" s="101"/>
      <c r="G636" s="101"/>
      <c r="H636" s="101"/>
      <c r="I636" s="101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  <c r="Z636" s="101"/>
      <c r="AA636" s="101"/>
    </row>
    <row r="637" spans="1:27" ht="13.8">
      <c r="A637" s="101"/>
      <c r="B637" s="101"/>
      <c r="C637" s="101"/>
      <c r="D637" s="101"/>
      <c r="E637" s="101"/>
      <c r="F637" s="101"/>
      <c r="G637" s="101"/>
      <c r="H637" s="101"/>
      <c r="I637" s="101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  <c r="Z637" s="101"/>
      <c r="AA637" s="101"/>
    </row>
    <row r="638" spans="1:27" ht="13.8">
      <c r="A638" s="101"/>
      <c r="B638" s="101"/>
      <c r="C638" s="101"/>
      <c r="D638" s="101"/>
      <c r="E638" s="101"/>
      <c r="F638" s="101"/>
      <c r="G638" s="101"/>
      <c r="H638" s="101"/>
      <c r="I638" s="101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  <c r="Z638" s="101"/>
      <c r="AA638" s="101"/>
    </row>
    <row r="639" spans="1:27" ht="13.8">
      <c r="A639" s="101"/>
      <c r="B639" s="101"/>
      <c r="C639" s="101"/>
      <c r="D639" s="101"/>
      <c r="E639" s="101"/>
      <c r="F639" s="101"/>
      <c r="G639" s="101"/>
      <c r="H639" s="101"/>
      <c r="I639" s="101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  <c r="Z639" s="101"/>
      <c r="AA639" s="101"/>
    </row>
    <row r="640" spans="1:27" ht="13.8">
      <c r="A640" s="101"/>
      <c r="B640" s="101"/>
      <c r="C640" s="101"/>
      <c r="D640" s="101"/>
      <c r="E640" s="101"/>
      <c r="F640" s="101"/>
      <c r="G640" s="101"/>
      <c r="H640" s="101"/>
      <c r="I640" s="101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  <c r="Z640" s="101"/>
      <c r="AA640" s="101"/>
    </row>
    <row r="641" spans="1:27" ht="13.8">
      <c r="A641" s="101"/>
      <c r="B641" s="101"/>
      <c r="C641" s="101"/>
      <c r="D641" s="101"/>
      <c r="E641" s="101"/>
      <c r="F641" s="101"/>
      <c r="G641" s="101"/>
      <c r="H641" s="101"/>
      <c r="I641" s="101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  <c r="Z641" s="101"/>
      <c r="AA641" s="101"/>
    </row>
    <row r="642" spans="1:27" ht="13.8">
      <c r="A642" s="101"/>
      <c r="B642" s="101"/>
      <c r="C642" s="101"/>
      <c r="D642" s="101"/>
      <c r="E642" s="101"/>
      <c r="F642" s="101"/>
      <c r="G642" s="101"/>
      <c r="H642" s="101"/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  <c r="Z642" s="101"/>
      <c r="AA642" s="101"/>
    </row>
    <row r="643" spans="1:27" ht="13.8">
      <c r="A643" s="101"/>
      <c r="B643" s="101"/>
      <c r="C643" s="101"/>
      <c r="D643" s="101"/>
      <c r="E643" s="101"/>
      <c r="F643" s="101"/>
      <c r="G643" s="101"/>
      <c r="H643" s="101"/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  <c r="Z643" s="101"/>
      <c r="AA643" s="101"/>
    </row>
    <row r="644" spans="1:27" ht="13.8">
      <c r="A644" s="101"/>
      <c r="B644" s="101"/>
      <c r="C644" s="101"/>
      <c r="D644" s="101"/>
      <c r="E644" s="101"/>
      <c r="F644" s="101"/>
      <c r="G644" s="101"/>
      <c r="H644" s="101"/>
      <c r="I644" s="101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  <c r="Z644" s="101"/>
      <c r="AA644" s="101"/>
    </row>
    <row r="645" spans="1:27" ht="13.8">
      <c r="A645" s="101"/>
      <c r="B645" s="101"/>
      <c r="C645" s="101"/>
      <c r="D645" s="101"/>
      <c r="E645" s="101"/>
      <c r="F645" s="101"/>
      <c r="G645" s="101"/>
      <c r="H645" s="101"/>
      <c r="I645" s="101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  <c r="Z645" s="101"/>
      <c r="AA645" s="101"/>
    </row>
    <row r="646" spans="1:27" ht="13.8">
      <c r="A646" s="101"/>
      <c r="B646" s="101"/>
      <c r="C646" s="101"/>
      <c r="D646" s="101"/>
      <c r="E646" s="101"/>
      <c r="F646" s="101"/>
      <c r="G646" s="101"/>
      <c r="H646" s="101"/>
      <c r="I646" s="101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  <c r="Z646" s="101"/>
      <c r="AA646" s="101"/>
    </row>
    <row r="647" spans="1:27" ht="13.8">
      <c r="A647" s="101"/>
      <c r="B647" s="101"/>
      <c r="C647" s="101"/>
      <c r="D647" s="101"/>
      <c r="E647" s="101"/>
      <c r="F647" s="101"/>
      <c r="G647" s="101"/>
      <c r="H647" s="101"/>
      <c r="I647" s="101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  <c r="Z647" s="101"/>
      <c r="AA647" s="101"/>
    </row>
    <row r="648" spans="1:27" ht="13.8">
      <c r="A648" s="101"/>
      <c r="B648" s="101"/>
      <c r="C648" s="101"/>
      <c r="D648" s="101"/>
      <c r="E648" s="101"/>
      <c r="F648" s="101"/>
      <c r="G648" s="101"/>
      <c r="H648" s="101"/>
      <c r="I648" s="101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  <c r="Z648" s="101"/>
      <c r="AA648" s="101"/>
    </row>
    <row r="649" spans="1:27" ht="13.8">
      <c r="A649" s="101"/>
      <c r="B649" s="101"/>
      <c r="C649" s="101"/>
      <c r="D649" s="101"/>
      <c r="E649" s="101"/>
      <c r="F649" s="101"/>
      <c r="G649" s="101"/>
      <c r="H649" s="101"/>
      <c r="I649" s="101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  <c r="Z649" s="101"/>
      <c r="AA649" s="101"/>
    </row>
    <row r="650" spans="1:27" ht="13.8">
      <c r="A650" s="101"/>
      <c r="B650" s="101"/>
      <c r="C650" s="101"/>
      <c r="D650" s="101"/>
      <c r="E650" s="101"/>
      <c r="F650" s="101"/>
      <c r="G650" s="101"/>
      <c r="H650" s="101"/>
      <c r="I650" s="101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  <c r="Z650" s="101"/>
      <c r="AA650" s="101"/>
    </row>
    <row r="651" spans="1:27" ht="13.8">
      <c r="A651" s="101"/>
      <c r="B651" s="101"/>
      <c r="C651" s="101"/>
      <c r="D651" s="101"/>
      <c r="E651" s="101"/>
      <c r="F651" s="101"/>
      <c r="G651" s="101"/>
      <c r="H651" s="101"/>
      <c r="I651" s="101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  <c r="Z651" s="101"/>
      <c r="AA651" s="101"/>
    </row>
    <row r="652" spans="1:27" ht="13.8">
      <c r="A652" s="101"/>
      <c r="B652" s="101"/>
      <c r="C652" s="101"/>
      <c r="D652" s="101"/>
      <c r="E652" s="101"/>
      <c r="F652" s="101"/>
      <c r="G652" s="101"/>
      <c r="H652" s="101"/>
      <c r="I652" s="101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  <c r="Z652" s="101"/>
      <c r="AA652" s="101"/>
    </row>
    <row r="653" spans="1:27" ht="13.8">
      <c r="A653" s="101"/>
      <c r="B653" s="101"/>
      <c r="C653" s="101"/>
      <c r="D653" s="101"/>
      <c r="E653" s="101"/>
      <c r="F653" s="101"/>
      <c r="G653" s="101"/>
      <c r="H653" s="101"/>
      <c r="I653" s="101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  <c r="Z653" s="101"/>
      <c r="AA653" s="101"/>
    </row>
    <row r="654" spans="1:27" ht="13.8">
      <c r="A654" s="101"/>
      <c r="B654" s="101"/>
      <c r="C654" s="101"/>
      <c r="D654" s="101"/>
      <c r="E654" s="101"/>
      <c r="F654" s="101"/>
      <c r="G654" s="101"/>
      <c r="H654" s="101"/>
      <c r="I654" s="101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  <c r="Z654" s="101"/>
      <c r="AA654" s="101"/>
    </row>
    <row r="655" spans="1:27" ht="13.8">
      <c r="A655" s="101"/>
      <c r="B655" s="101"/>
      <c r="C655" s="101"/>
      <c r="D655" s="101"/>
      <c r="E655" s="101"/>
      <c r="F655" s="101"/>
      <c r="G655" s="101"/>
      <c r="H655" s="101"/>
      <c r="I655" s="101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  <c r="Z655" s="101"/>
      <c r="AA655" s="101"/>
    </row>
    <row r="656" spans="1:27" ht="13.8">
      <c r="A656" s="101"/>
      <c r="B656" s="101"/>
      <c r="C656" s="101"/>
      <c r="D656" s="101"/>
      <c r="E656" s="101"/>
      <c r="F656" s="101"/>
      <c r="G656" s="101"/>
      <c r="H656" s="101"/>
      <c r="I656" s="101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  <c r="Z656" s="101"/>
      <c r="AA656" s="101"/>
    </row>
    <row r="657" spans="1:27" ht="13.8">
      <c r="A657" s="101"/>
      <c r="B657" s="101"/>
      <c r="C657" s="101"/>
      <c r="D657" s="101"/>
      <c r="E657" s="101"/>
      <c r="F657" s="101"/>
      <c r="G657" s="101"/>
      <c r="H657" s="101"/>
      <c r="I657" s="101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  <c r="Z657" s="101"/>
      <c r="AA657" s="101"/>
    </row>
    <row r="658" spans="1:27" ht="13.8">
      <c r="A658" s="101"/>
      <c r="B658" s="101"/>
      <c r="C658" s="101"/>
      <c r="D658" s="101"/>
      <c r="E658" s="101"/>
      <c r="F658" s="101"/>
      <c r="G658" s="101"/>
      <c r="H658" s="101"/>
      <c r="I658" s="101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  <c r="Z658" s="101"/>
      <c r="AA658" s="101"/>
    </row>
    <row r="659" spans="1:27" ht="13.8">
      <c r="A659" s="101"/>
      <c r="B659" s="101"/>
      <c r="C659" s="101"/>
      <c r="D659" s="101"/>
      <c r="E659" s="101"/>
      <c r="F659" s="101"/>
      <c r="G659" s="101"/>
      <c r="H659" s="101"/>
      <c r="I659" s="101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  <c r="Z659" s="101"/>
      <c r="AA659" s="101"/>
    </row>
    <row r="660" spans="1:27" ht="13.8">
      <c r="A660" s="101"/>
      <c r="B660" s="101"/>
      <c r="C660" s="101"/>
      <c r="D660" s="101"/>
      <c r="E660" s="101"/>
      <c r="F660" s="101"/>
      <c r="G660" s="101"/>
      <c r="H660" s="101"/>
      <c r="I660" s="101"/>
      <c r="J660" s="101"/>
      <c r="K660" s="101"/>
      <c r="L660" s="101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01"/>
      <c r="Z660" s="101"/>
      <c r="AA660" s="101"/>
    </row>
    <row r="661" spans="1:27" ht="13.8">
      <c r="A661" s="101"/>
      <c r="B661" s="101"/>
      <c r="C661" s="101"/>
      <c r="D661" s="101"/>
      <c r="E661" s="101"/>
      <c r="F661" s="101"/>
      <c r="G661" s="101"/>
      <c r="H661" s="101"/>
      <c r="I661" s="101"/>
      <c r="J661" s="101"/>
      <c r="K661" s="101"/>
      <c r="L661" s="101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01"/>
      <c r="Z661" s="101"/>
      <c r="AA661" s="101"/>
    </row>
    <row r="662" spans="1:27" ht="13.8">
      <c r="A662" s="101"/>
      <c r="B662" s="101"/>
      <c r="C662" s="101"/>
      <c r="D662" s="101"/>
      <c r="E662" s="101"/>
      <c r="F662" s="101"/>
      <c r="G662" s="101"/>
      <c r="H662" s="101"/>
      <c r="I662" s="101"/>
      <c r="J662" s="101"/>
      <c r="K662" s="101"/>
      <c r="L662" s="101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01"/>
      <c r="Z662" s="101"/>
      <c r="AA662" s="101"/>
    </row>
    <row r="663" spans="1:27" ht="13.8">
      <c r="A663" s="101"/>
      <c r="B663" s="101"/>
      <c r="C663" s="101"/>
      <c r="D663" s="101"/>
      <c r="E663" s="101"/>
      <c r="F663" s="101"/>
      <c r="G663" s="101"/>
      <c r="H663" s="101"/>
      <c r="I663" s="101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  <c r="Z663" s="101"/>
      <c r="AA663" s="101"/>
    </row>
    <row r="664" spans="1:27" ht="13.8">
      <c r="A664" s="101"/>
      <c r="B664" s="101"/>
      <c r="C664" s="101"/>
      <c r="D664" s="101"/>
      <c r="E664" s="101"/>
      <c r="F664" s="101"/>
      <c r="G664" s="101"/>
      <c r="H664" s="101"/>
      <c r="I664" s="101"/>
      <c r="J664" s="101"/>
      <c r="K664" s="101"/>
      <c r="L664" s="101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01"/>
      <c r="Z664" s="101"/>
      <c r="AA664" s="101"/>
    </row>
    <row r="665" spans="1:27" ht="13.8">
      <c r="A665" s="101"/>
      <c r="B665" s="101"/>
      <c r="C665" s="101"/>
      <c r="D665" s="101"/>
      <c r="E665" s="101"/>
      <c r="F665" s="101"/>
      <c r="G665" s="101"/>
      <c r="H665" s="101"/>
      <c r="I665" s="101"/>
      <c r="J665" s="101"/>
      <c r="K665" s="101"/>
      <c r="L665" s="101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01"/>
      <c r="Z665" s="101"/>
      <c r="AA665" s="101"/>
    </row>
    <row r="666" spans="1:27" ht="13.8">
      <c r="A666" s="101"/>
      <c r="B666" s="101"/>
      <c r="C666" s="101"/>
      <c r="D666" s="101"/>
      <c r="E666" s="101"/>
      <c r="F666" s="101"/>
      <c r="G666" s="101"/>
      <c r="H666" s="101"/>
      <c r="I666" s="101"/>
      <c r="J666" s="101"/>
      <c r="K666" s="101"/>
      <c r="L666" s="101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01"/>
      <c r="Z666" s="101"/>
      <c r="AA666" s="101"/>
    </row>
    <row r="667" spans="1:27" ht="13.8">
      <c r="A667" s="101"/>
      <c r="B667" s="101"/>
      <c r="C667" s="101"/>
      <c r="D667" s="101"/>
      <c r="E667" s="101"/>
      <c r="F667" s="101"/>
      <c r="G667" s="101"/>
      <c r="H667" s="101"/>
      <c r="I667" s="101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  <c r="Z667" s="101"/>
      <c r="AA667" s="101"/>
    </row>
    <row r="668" spans="1:27" ht="13.8">
      <c r="A668" s="101"/>
      <c r="B668" s="101"/>
      <c r="C668" s="101"/>
      <c r="D668" s="101"/>
      <c r="E668" s="101"/>
      <c r="F668" s="101"/>
      <c r="G668" s="101"/>
      <c r="H668" s="101"/>
      <c r="I668" s="101"/>
      <c r="J668" s="101"/>
      <c r="K668" s="101"/>
      <c r="L668" s="101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01"/>
      <c r="Z668" s="101"/>
      <c r="AA668" s="101"/>
    </row>
    <row r="669" spans="1:27" ht="13.8">
      <c r="A669" s="101"/>
      <c r="B669" s="101"/>
      <c r="C669" s="101"/>
      <c r="D669" s="101"/>
      <c r="E669" s="101"/>
      <c r="F669" s="101"/>
      <c r="G669" s="101"/>
      <c r="H669" s="101"/>
      <c r="I669" s="101"/>
      <c r="J669" s="101"/>
      <c r="K669" s="101"/>
      <c r="L669" s="101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01"/>
      <c r="Z669" s="101"/>
      <c r="AA669" s="101"/>
    </row>
    <row r="670" spans="1:27" ht="13.8">
      <c r="A670" s="101"/>
      <c r="B670" s="101"/>
      <c r="C670" s="101"/>
      <c r="D670" s="101"/>
      <c r="E670" s="101"/>
      <c r="F670" s="101"/>
      <c r="G670" s="101"/>
      <c r="H670" s="101"/>
      <c r="I670" s="101"/>
      <c r="J670" s="101"/>
      <c r="K670" s="101"/>
      <c r="L670" s="101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  <c r="Y670" s="101"/>
      <c r="Z670" s="101"/>
      <c r="AA670" s="101"/>
    </row>
    <row r="671" spans="1:27" ht="13.8">
      <c r="A671" s="101"/>
      <c r="B671" s="101"/>
      <c r="C671" s="101"/>
      <c r="D671" s="101"/>
      <c r="E671" s="101"/>
      <c r="F671" s="101"/>
      <c r="G671" s="101"/>
      <c r="H671" s="101"/>
      <c r="I671" s="101"/>
      <c r="J671" s="101"/>
      <c r="K671" s="101"/>
      <c r="L671" s="101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  <c r="Y671" s="101"/>
      <c r="Z671" s="101"/>
      <c r="AA671" s="101"/>
    </row>
    <row r="672" spans="1:27" ht="13.8">
      <c r="A672" s="101"/>
      <c r="B672" s="101"/>
      <c r="C672" s="101"/>
      <c r="D672" s="101"/>
      <c r="E672" s="101"/>
      <c r="F672" s="101"/>
      <c r="G672" s="101"/>
      <c r="H672" s="101"/>
      <c r="I672" s="101"/>
      <c r="J672" s="101"/>
      <c r="K672" s="101"/>
      <c r="L672" s="101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  <c r="Y672" s="101"/>
      <c r="Z672" s="101"/>
      <c r="AA672" s="101"/>
    </row>
    <row r="673" spans="1:27" ht="13.8">
      <c r="A673" s="101"/>
      <c r="B673" s="101"/>
      <c r="C673" s="101"/>
      <c r="D673" s="101"/>
      <c r="E673" s="101"/>
      <c r="F673" s="101"/>
      <c r="G673" s="101"/>
      <c r="H673" s="101"/>
      <c r="I673" s="101"/>
      <c r="J673" s="101"/>
      <c r="K673" s="101"/>
      <c r="L673" s="101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  <c r="Y673" s="101"/>
      <c r="Z673" s="101"/>
      <c r="AA673" s="101"/>
    </row>
    <row r="674" spans="1:27" ht="13.8">
      <c r="A674" s="101"/>
      <c r="B674" s="101"/>
      <c r="C674" s="101"/>
      <c r="D674" s="101"/>
      <c r="E674" s="101"/>
      <c r="F674" s="101"/>
      <c r="G674" s="101"/>
      <c r="H674" s="101"/>
      <c r="I674" s="101"/>
      <c r="J674" s="101"/>
      <c r="K674" s="101"/>
      <c r="L674" s="101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  <c r="Y674" s="101"/>
      <c r="Z674" s="101"/>
      <c r="AA674" s="101"/>
    </row>
    <row r="675" spans="1:27" ht="13.8">
      <c r="A675" s="101"/>
      <c r="B675" s="101"/>
      <c r="C675" s="101"/>
      <c r="D675" s="101"/>
      <c r="E675" s="101"/>
      <c r="F675" s="101"/>
      <c r="G675" s="101"/>
      <c r="H675" s="101"/>
      <c r="I675" s="101"/>
      <c r="J675" s="101"/>
      <c r="K675" s="101"/>
      <c r="L675" s="101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  <c r="Y675" s="101"/>
      <c r="Z675" s="101"/>
      <c r="AA675" s="101"/>
    </row>
    <row r="676" spans="1:27" ht="13.8">
      <c r="A676" s="101"/>
      <c r="B676" s="101"/>
      <c r="C676" s="101"/>
      <c r="D676" s="101"/>
      <c r="E676" s="101"/>
      <c r="F676" s="101"/>
      <c r="G676" s="101"/>
      <c r="H676" s="101"/>
      <c r="I676" s="101"/>
      <c r="J676" s="101"/>
      <c r="K676" s="101"/>
      <c r="L676" s="101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  <c r="Y676" s="101"/>
      <c r="Z676" s="101"/>
      <c r="AA676" s="101"/>
    </row>
    <row r="677" spans="1:27" ht="13.8">
      <c r="A677" s="101"/>
      <c r="B677" s="101"/>
      <c r="C677" s="101"/>
      <c r="D677" s="101"/>
      <c r="E677" s="101"/>
      <c r="F677" s="101"/>
      <c r="G677" s="101"/>
      <c r="H677" s="101"/>
      <c r="I677" s="101"/>
      <c r="J677" s="101"/>
      <c r="K677" s="101"/>
      <c r="L677" s="101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  <c r="Y677" s="101"/>
      <c r="Z677" s="101"/>
      <c r="AA677" s="101"/>
    </row>
    <row r="678" spans="1:27" ht="13.8">
      <c r="A678" s="101"/>
      <c r="B678" s="101"/>
      <c r="C678" s="101"/>
      <c r="D678" s="101"/>
      <c r="E678" s="101"/>
      <c r="F678" s="101"/>
      <c r="G678" s="101"/>
      <c r="H678" s="101"/>
      <c r="I678" s="101"/>
      <c r="J678" s="101"/>
      <c r="K678" s="101"/>
      <c r="L678" s="101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  <c r="Y678" s="101"/>
      <c r="Z678" s="101"/>
      <c r="AA678" s="101"/>
    </row>
    <row r="679" spans="1:27" ht="13.8">
      <c r="A679" s="101"/>
      <c r="B679" s="101"/>
      <c r="C679" s="101"/>
      <c r="D679" s="101"/>
      <c r="E679" s="101"/>
      <c r="F679" s="101"/>
      <c r="G679" s="101"/>
      <c r="H679" s="101"/>
      <c r="I679" s="101"/>
      <c r="J679" s="101"/>
      <c r="K679" s="101"/>
      <c r="L679" s="101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  <c r="Y679" s="101"/>
      <c r="Z679" s="101"/>
      <c r="AA679" s="101"/>
    </row>
    <row r="680" spans="1:27" ht="13.8">
      <c r="A680" s="101"/>
      <c r="B680" s="101"/>
      <c r="C680" s="101"/>
      <c r="D680" s="101"/>
      <c r="E680" s="101"/>
      <c r="F680" s="101"/>
      <c r="G680" s="101"/>
      <c r="H680" s="101"/>
      <c r="I680" s="101"/>
      <c r="J680" s="101"/>
      <c r="K680" s="101"/>
      <c r="L680" s="101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  <c r="Y680" s="101"/>
      <c r="Z680" s="101"/>
      <c r="AA680" s="101"/>
    </row>
    <row r="681" spans="1:27" ht="13.8">
      <c r="A681" s="101"/>
      <c r="B681" s="101"/>
      <c r="C681" s="101"/>
      <c r="D681" s="101"/>
      <c r="E681" s="101"/>
      <c r="F681" s="101"/>
      <c r="G681" s="101"/>
      <c r="H681" s="101"/>
      <c r="I681" s="101"/>
      <c r="J681" s="101"/>
      <c r="K681" s="101"/>
      <c r="L681" s="101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  <c r="Y681" s="101"/>
      <c r="Z681" s="101"/>
      <c r="AA681" s="101"/>
    </row>
    <row r="682" spans="1:27" ht="13.8">
      <c r="A682" s="101"/>
      <c r="B682" s="101"/>
      <c r="C682" s="101"/>
      <c r="D682" s="101"/>
      <c r="E682" s="101"/>
      <c r="F682" s="101"/>
      <c r="G682" s="101"/>
      <c r="H682" s="101"/>
      <c r="I682" s="101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01"/>
      <c r="Z682" s="101"/>
      <c r="AA682" s="101"/>
    </row>
    <row r="683" spans="1:27" ht="13.8">
      <c r="A683" s="101"/>
      <c r="B683" s="101"/>
      <c r="C683" s="101"/>
      <c r="D683" s="101"/>
      <c r="E683" s="101"/>
      <c r="F683" s="101"/>
      <c r="G683" s="101"/>
      <c r="H683" s="101"/>
      <c r="I683" s="101"/>
      <c r="J683" s="101"/>
      <c r="K683" s="101"/>
      <c r="L683" s="101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  <c r="Y683" s="101"/>
      <c r="Z683" s="101"/>
      <c r="AA683" s="101"/>
    </row>
    <row r="684" spans="1:27" ht="13.8">
      <c r="A684" s="101"/>
      <c r="B684" s="101"/>
      <c r="C684" s="101"/>
      <c r="D684" s="101"/>
      <c r="E684" s="101"/>
      <c r="F684" s="101"/>
      <c r="G684" s="101"/>
      <c r="H684" s="101"/>
      <c r="I684" s="101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01"/>
      <c r="Z684" s="101"/>
      <c r="AA684" s="101"/>
    </row>
    <row r="685" spans="1:27" ht="13.8">
      <c r="A685" s="101"/>
      <c r="B685" s="101"/>
      <c r="C685" s="101"/>
      <c r="D685" s="101"/>
      <c r="E685" s="101"/>
      <c r="F685" s="101"/>
      <c r="G685" s="101"/>
      <c r="H685" s="101"/>
      <c r="I685" s="101"/>
      <c r="J685" s="101"/>
      <c r="K685" s="101"/>
      <c r="L685" s="101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01"/>
      <c r="Z685" s="101"/>
      <c r="AA685" s="101"/>
    </row>
    <row r="686" spans="1:27" ht="13.8">
      <c r="A686" s="101"/>
      <c r="B686" s="101"/>
      <c r="C686" s="101"/>
      <c r="D686" s="101"/>
      <c r="E686" s="101"/>
      <c r="F686" s="101"/>
      <c r="G686" s="101"/>
      <c r="H686" s="101"/>
      <c r="I686" s="101"/>
      <c r="J686" s="101"/>
      <c r="K686" s="101"/>
      <c r="L686" s="101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  <c r="Y686" s="101"/>
      <c r="Z686" s="101"/>
      <c r="AA686" s="101"/>
    </row>
    <row r="687" spans="1:27" ht="13.8">
      <c r="A687" s="101"/>
      <c r="B687" s="101"/>
      <c r="C687" s="101"/>
      <c r="D687" s="101"/>
      <c r="E687" s="101"/>
      <c r="F687" s="101"/>
      <c r="G687" s="101"/>
      <c r="H687" s="101"/>
      <c r="I687" s="101"/>
      <c r="J687" s="101"/>
      <c r="K687" s="101"/>
      <c r="L687" s="101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01"/>
      <c r="Z687" s="101"/>
      <c r="AA687" s="101"/>
    </row>
    <row r="688" spans="1:27" ht="13.8">
      <c r="A688" s="101"/>
      <c r="B688" s="101"/>
      <c r="C688" s="101"/>
      <c r="D688" s="101"/>
      <c r="E688" s="101"/>
      <c r="F688" s="101"/>
      <c r="G688" s="101"/>
      <c r="H688" s="101"/>
      <c r="I688" s="101"/>
      <c r="J688" s="101"/>
      <c r="K688" s="101"/>
      <c r="L688" s="101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  <c r="Y688" s="101"/>
      <c r="Z688" s="101"/>
      <c r="AA688" s="101"/>
    </row>
    <row r="689" spans="1:27" ht="13.8">
      <c r="A689" s="101"/>
      <c r="B689" s="101"/>
      <c r="C689" s="101"/>
      <c r="D689" s="101"/>
      <c r="E689" s="101"/>
      <c r="F689" s="101"/>
      <c r="G689" s="101"/>
      <c r="H689" s="101"/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01"/>
      <c r="Z689" s="101"/>
      <c r="AA689" s="101"/>
    </row>
    <row r="690" spans="1:27" ht="13.8">
      <c r="A690" s="101"/>
      <c r="B690" s="101"/>
      <c r="C690" s="101"/>
      <c r="D690" s="101"/>
      <c r="E690" s="101"/>
      <c r="F690" s="101"/>
      <c r="G690" s="101"/>
      <c r="H690" s="101"/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01"/>
      <c r="Z690" s="101"/>
      <c r="AA690" s="101"/>
    </row>
    <row r="691" spans="1:27" ht="13.8">
      <c r="A691" s="101"/>
      <c r="B691" s="101"/>
      <c r="C691" s="101"/>
      <c r="D691" s="101"/>
      <c r="E691" s="101"/>
      <c r="F691" s="101"/>
      <c r="G691" s="101"/>
      <c r="H691" s="101"/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01"/>
      <c r="Z691" s="101"/>
      <c r="AA691" s="101"/>
    </row>
    <row r="692" spans="1:27" ht="13.8">
      <c r="A692" s="101"/>
      <c r="B692" s="101"/>
      <c r="C692" s="101"/>
      <c r="D692" s="101"/>
      <c r="E692" s="101"/>
      <c r="F692" s="101"/>
      <c r="G692" s="101"/>
      <c r="H692" s="101"/>
      <c r="I692" s="101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01"/>
      <c r="Z692" s="101"/>
      <c r="AA692" s="101"/>
    </row>
    <row r="693" spans="1:27" ht="13.8">
      <c r="A693" s="101"/>
      <c r="B693" s="101"/>
      <c r="C693" s="101"/>
      <c r="D693" s="101"/>
      <c r="E693" s="101"/>
      <c r="F693" s="101"/>
      <c r="G693" s="101"/>
      <c r="H693" s="101"/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01"/>
      <c r="Z693" s="101"/>
      <c r="AA693" s="101"/>
    </row>
    <row r="694" spans="1:27" ht="13.8">
      <c r="A694" s="101"/>
      <c r="B694" s="101"/>
      <c r="C694" s="101"/>
      <c r="D694" s="101"/>
      <c r="E694" s="101"/>
      <c r="F694" s="101"/>
      <c r="G694" s="101"/>
      <c r="H694" s="101"/>
      <c r="I694" s="101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01"/>
      <c r="Z694" s="101"/>
      <c r="AA694" s="101"/>
    </row>
    <row r="695" spans="1:27" ht="13.8">
      <c r="A695" s="101"/>
      <c r="B695" s="101"/>
      <c r="C695" s="101"/>
      <c r="D695" s="101"/>
      <c r="E695" s="101"/>
      <c r="F695" s="101"/>
      <c r="G695" s="101"/>
      <c r="H695" s="101"/>
      <c r="I695" s="101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01"/>
      <c r="Z695" s="101"/>
      <c r="AA695" s="101"/>
    </row>
    <row r="696" spans="1:27" ht="13.8">
      <c r="A696" s="101"/>
      <c r="B696" s="101"/>
      <c r="C696" s="101"/>
      <c r="D696" s="101"/>
      <c r="E696" s="101"/>
      <c r="F696" s="101"/>
      <c r="G696" s="101"/>
      <c r="H696" s="101"/>
      <c r="I696" s="101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01"/>
      <c r="Z696" s="101"/>
      <c r="AA696" s="101"/>
    </row>
    <row r="697" spans="1:27" ht="13.8">
      <c r="A697" s="101"/>
      <c r="B697" s="101"/>
      <c r="C697" s="101"/>
      <c r="D697" s="101"/>
      <c r="E697" s="101"/>
      <c r="F697" s="101"/>
      <c r="G697" s="101"/>
      <c r="H697" s="101"/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01"/>
      <c r="Z697" s="101"/>
      <c r="AA697" s="101"/>
    </row>
    <row r="698" spans="1:27" ht="13.8">
      <c r="A698" s="101"/>
      <c r="B698" s="101"/>
      <c r="C698" s="101"/>
      <c r="D698" s="101"/>
      <c r="E698" s="101"/>
      <c r="F698" s="101"/>
      <c r="G698" s="101"/>
      <c r="H698" s="101"/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01"/>
      <c r="Z698" s="101"/>
      <c r="AA698" s="101"/>
    </row>
    <row r="699" spans="1:27" ht="13.8">
      <c r="A699" s="101"/>
      <c r="B699" s="101"/>
      <c r="C699" s="101"/>
      <c r="D699" s="101"/>
      <c r="E699" s="101"/>
      <c r="F699" s="101"/>
      <c r="G699" s="101"/>
      <c r="H699" s="101"/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01"/>
      <c r="Z699" s="101"/>
      <c r="AA699" s="101"/>
    </row>
    <row r="700" spans="1:27" ht="13.8">
      <c r="A700" s="101"/>
      <c r="B700" s="101"/>
      <c r="C700" s="101"/>
      <c r="D700" s="101"/>
      <c r="E700" s="101"/>
      <c r="F700" s="101"/>
      <c r="G700" s="101"/>
      <c r="H700" s="101"/>
      <c r="I700" s="101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01"/>
      <c r="Z700" s="101"/>
      <c r="AA700" s="101"/>
    </row>
    <row r="701" spans="1:27" ht="13.8">
      <c r="A701" s="101"/>
      <c r="B701" s="101"/>
      <c r="C701" s="101"/>
      <c r="D701" s="101"/>
      <c r="E701" s="101"/>
      <c r="F701" s="101"/>
      <c r="G701" s="101"/>
      <c r="H701" s="101"/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01"/>
      <c r="Z701" s="101"/>
      <c r="AA701" s="101"/>
    </row>
    <row r="702" spans="1:27" ht="13.8">
      <c r="A702" s="101"/>
      <c r="B702" s="101"/>
      <c r="C702" s="101"/>
      <c r="D702" s="101"/>
      <c r="E702" s="101"/>
      <c r="F702" s="101"/>
      <c r="G702" s="101"/>
      <c r="H702" s="101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  <c r="Z702" s="101"/>
      <c r="AA702" s="101"/>
    </row>
    <row r="703" spans="1:27" ht="13.8">
      <c r="A703" s="101"/>
      <c r="B703" s="101"/>
      <c r="C703" s="101"/>
      <c r="D703" s="101"/>
      <c r="E703" s="101"/>
      <c r="F703" s="101"/>
      <c r="G703" s="101"/>
      <c r="H703" s="101"/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  <c r="Z703" s="101"/>
      <c r="AA703" s="101"/>
    </row>
    <row r="704" spans="1:27" ht="13.8">
      <c r="A704" s="101"/>
      <c r="B704" s="101"/>
      <c r="C704" s="101"/>
      <c r="D704" s="101"/>
      <c r="E704" s="101"/>
      <c r="F704" s="101"/>
      <c r="G704" s="101"/>
      <c r="H704" s="101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  <c r="Z704" s="101"/>
      <c r="AA704" s="101"/>
    </row>
    <row r="705" spans="1:27" ht="13.8">
      <c r="A705" s="101"/>
      <c r="B705" s="101"/>
      <c r="C705" s="101"/>
      <c r="D705" s="101"/>
      <c r="E705" s="101"/>
      <c r="F705" s="101"/>
      <c r="G705" s="101"/>
      <c r="H705" s="101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  <c r="Z705" s="101"/>
      <c r="AA705" s="101"/>
    </row>
    <row r="706" spans="1:27" ht="13.8">
      <c r="A706" s="101"/>
      <c r="B706" s="101"/>
      <c r="C706" s="101"/>
      <c r="D706" s="101"/>
      <c r="E706" s="101"/>
      <c r="F706" s="101"/>
      <c r="G706" s="101"/>
      <c r="H706" s="101"/>
      <c r="I706" s="101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  <c r="Z706" s="101"/>
      <c r="AA706" s="101"/>
    </row>
    <row r="707" spans="1:27" ht="13.8">
      <c r="A707" s="101"/>
      <c r="B707" s="101"/>
      <c r="C707" s="101"/>
      <c r="D707" s="101"/>
      <c r="E707" s="101"/>
      <c r="F707" s="101"/>
      <c r="G707" s="101"/>
      <c r="H707" s="101"/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  <c r="Z707" s="101"/>
      <c r="AA707" s="101"/>
    </row>
    <row r="708" spans="1:27" ht="13.8">
      <c r="A708" s="101"/>
      <c r="B708" s="101"/>
      <c r="C708" s="101"/>
      <c r="D708" s="101"/>
      <c r="E708" s="101"/>
      <c r="F708" s="101"/>
      <c r="G708" s="101"/>
      <c r="H708" s="101"/>
      <c r="I708" s="101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  <c r="Z708" s="101"/>
      <c r="AA708" s="101"/>
    </row>
    <row r="709" spans="1:27" ht="13.8">
      <c r="A709" s="101"/>
      <c r="B709" s="101"/>
      <c r="C709" s="101"/>
      <c r="D709" s="101"/>
      <c r="E709" s="101"/>
      <c r="F709" s="101"/>
      <c r="G709" s="101"/>
      <c r="H709" s="101"/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  <c r="Z709" s="101"/>
      <c r="AA709" s="101"/>
    </row>
    <row r="710" spans="1:27" ht="13.8">
      <c r="A710" s="101"/>
      <c r="B710" s="101"/>
      <c r="C710" s="101"/>
      <c r="D710" s="101"/>
      <c r="E710" s="101"/>
      <c r="F710" s="101"/>
      <c r="G710" s="101"/>
      <c r="H710" s="101"/>
      <c r="I710" s="101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  <c r="Z710" s="101"/>
      <c r="AA710" s="101"/>
    </row>
    <row r="711" spans="1:27" ht="13.8">
      <c r="A711" s="101"/>
      <c r="B711" s="101"/>
      <c r="C711" s="101"/>
      <c r="D711" s="101"/>
      <c r="E711" s="101"/>
      <c r="F711" s="101"/>
      <c r="G711" s="101"/>
      <c r="H711" s="101"/>
      <c r="I711" s="101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  <c r="Z711" s="101"/>
      <c r="AA711" s="101"/>
    </row>
    <row r="712" spans="1:27" ht="13.8">
      <c r="A712" s="101"/>
      <c r="B712" s="101"/>
      <c r="C712" s="101"/>
      <c r="D712" s="101"/>
      <c r="E712" s="101"/>
      <c r="F712" s="101"/>
      <c r="G712" s="101"/>
      <c r="H712" s="101"/>
      <c r="I712" s="101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  <c r="Z712" s="101"/>
      <c r="AA712" s="101"/>
    </row>
    <row r="713" spans="1:27" ht="13.8">
      <c r="A713" s="101"/>
      <c r="B713" s="101"/>
      <c r="C713" s="101"/>
      <c r="D713" s="101"/>
      <c r="E713" s="101"/>
      <c r="F713" s="101"/>
      <c r="G713" s="101"/>
      <c r="H713" s="101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  <c r="Z713" s="101"/>
      <c r="AA713" s="101"/>
    </row>
    <row r="714" spans="1:27" ht="13.8">
      <c r="A714" s="101"/>
      <c r="B714" s="101"/>
      <c r="C714" s="101"/>
      <c r="D714" s="101"/>
      <c r="E714" s="101"/>
      <c r="F714" s="101"/>
      <c r="G714" s="101"/>
      <c r="H714" s="101"/>
      <c r="I714" s="101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  <c r="Y714" s="101"/>
      <c r="Z714" s="101"/>
      <c r="AA714" s="101"/>
    </row>
    <row r="715" spans="1:27" ht="13.8">
      <c r="A715" s="101"/>
      <c r="B715" s="101"/>
      <c r="C715" s="101"/>
      <c r="D715" s="101"/>
      <c r="E715" s="101"/>
      <c r="F715" s="101"/>
      <c r="G715" s="101"/>
      <c r="H715" s="101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  <c r="Y715" s="101"/>
      <c r="Z715" s="101"/>
      <c r="AA715" s="101"/>
    </row>
    <row r="716" spans="1:27" ht="13.8">
      <c r="A716" s="101"/>
      <c r="B716" s="101"/>
      <c r="C716" s="101"/>
      <c r="D716" s="101"/>
      <c r="E716" s="101"/>
      <c r="F716" s="101"/>
      <c r="G716" s="101"/>
      <c r="H716" s="101"/>
      <c r="I716" s="101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  <c r="Y716" s="101"/>
      <c r="Z716" s="101"/>
      <c r="AA716" s="101"/>
    </row>
    <row r="717" spans="1:27" ht="13.8">
      <c r="A717" s="101"/>
      <c r="B717" s="101"/>
      <c r="C717" s="101"/>
      <c r="D717" s="101"/>
      <c r="E717" s="101"/>
      <c r="F717" s="101"/>
      <c r="G717" s="101"/>
      <c r="H717" s="101"/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  <c r="Y717" s="101"/>
      <c r="Z717" s="101"/>
      <c r="AA717" s="101"/>
    </row>
    <row r="718" spans="1:27" ht="13.8">
      <c r="A718" s="101"/>
      <c r="B718" s="101"/>
      <c r="C718" s="101"/>
      <c r="D718" s="101"/>
      <c r="E718" s="101"/>
      <c r="F718" s="101"/>
      <c r="G718" s="101"/>
      <c r="H718" s="101"/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  <c r="Y718" s="101"/>
      <c r="Z718" s="101"/>
      <c r="AA718" s="101"/>
    </row>
    <row r="719" spans="1:27" ht="13.8">
      <c r="A719" s="101"/>
      <c r="B719" s="101"/>
      <c r="C719" s="101"/>
      <c r="D719" s="101"/>
      <c r="E719" s="101"/>
      <c r="F719" s="101"/>
      <c r="G719" s="101"/>
      <c r="H719" s="101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  <c r="Z719" s="101"/>
      <c r="AA719" s="101"/>
    </row>
    <row r="720" spans="1:27" ht="13.8">
      <c r="A720" s="101"/>
      <c r="B720" s="101"/>
      <c r="C720" s="101"/>
      <c r="D720" s="101"/>
      <c r="E720" s="101"/>
      <c r="F720" s="101"/>
      <c r="G720" s="101"/>
      <c r="H720" s="101"/>
      <c r="I720" s="101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  <c r="Y720" s="101"/>
      <c r="Z720" s="101"/>
      <c r="AA720" s="101"/>
    </row>
    <row r="721" spans="1:27" ht="13.8">
      <c r="A721" s="101"/>
      <c r="B721" s="101"/>
      <c r="C721" s="101"/>
      <c r="D721" s="101"/>
      <c r="E721" s="101"/>
      <c r="F721" s="101"/>
      <c r="G721" s="101"/>
      <c r="H721" s="101"/>
      <c r="I721" s="101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  <c r="Y721" s="101"/>
      <c r="Z721" s="101"/>
      <c r="AA721" s="101"/>
    </row>
    <row r="722" spans="1:27" ht="13.8">
      <c r="A722" s="101"/>
      <c r="B722" s="101"/>
      <c r="C722" s="101"/>
      <c r="D722" s="101"/>
      <c r="E722" s="101"/>
      <c r="F722" s="101"/>
      <c r="G722" s="101"/>
      <c r="H722" s="101"/>
      <c r="I722" s="101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  <c r="Y722" s="101"/>
      <c r="Z722" s="101"/>
      <c r="AA722" s="101"/>
    </row>
    <row r="723" spans="1:27" ht="13.8">
      <c r="A723" s="101"/>
      <c r="B723" s="101"/>
      <c r="C723" s="101"/>
      <c r="D723" s="101"/>
      <c r="E723" s="101"/>
      <c r="F723" s="101"/>
      <c r="G723" s="101"/>
      <c r="H723" s="101"/>
      <c r="I723" s="101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  <c r="Y723" s="101"/>
      <c r="Z723" s="101"/>
      <c r="AA723" s="101"/>
    </row>
    <row r="724" spans="1:27" ht="13.8">
      <c r="A724" s="101"/>
      <c r="B724" s="101"/>
      <c r="C724" s="101"/>
      <c r="D724" s="101"/>
      <c r="E724" s="101"/>
      <c r="F724" s="101"/>
      <c r="G724" s="101"/>
      <c r="H724" s="101"/>
      <c r="I724" s="101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  <c r="Y724" s="101"/>
      <c r="Z724" s="101"/>
      <c r="AA724" s="101"/>
    </row>
    <row r="725" spans="1:27" ht="13.8">
      <c r="A725" s="101"/>
      <c r="B725" s="101"/>
      <c r="C725" s="101"/>
      <c r="D725" s="101"/>
      <c r="E725" s="101"/>
      <c r="F725" s="101"/>
      <c r="G725" s="101"/>
      <c r="H725" s="101"/>
      <c r="I725" s="101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  <c r="Y725" s="101"/>
      <c r="Z725" s="101"/>
      <c r="AA725" s="101"/>
    </row>
    <row r="726" spans="1:27" ht="13.8">
      <c r="A726" s="101"/>
      <c r="B726" s="101"/>
      <c r="C726" s="101"/>
      <c r="D726" s="101"/>
      <c r="E726" s="101"/>
      <c r="F726" s="101"/>
      <c r="G726" s="101"/>
      <c r="H726" s="101"/>
      <c r="I726" s="101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  <c r="Y726" s="101"/>
      <c r="Z726" s="101"/>
      <c r="AA726" s="101"/>
    </row>
    <row r="727" spans="1:27" ht="13.8">
      <c r="A727" s="101"/>
      <c r="B727" s="101"/>
      <c r="C727" s="101"/>
      <c r="D727" s="101"/>
      <c r="E727" s="101"/>
      <c r="F727" s="101"/>
      <c r="G727" s="101"/>
      <c r="H727" s="101"/>
      <c r="I727" s="101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  <c r="Y727" s="101"/>
      <c r="Z727" s="101"/>
      <c r="AA727" s="101"/>
    </row>
    <row r="728" spans="1:27" ht="13.8">
      <c r="A728" s="101"/>
      <c r="B728" s="101"/>
      <c r="C728" s="101"/>
      <c r="D728" s="101"/>
      <c r="E728" s="101"/>
      <c r="F728" s="101"/>
      <c r="G728" s="101"/>
      <c r="H728" s="101"/>
      <c r="I728" s="101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  <c r="Y728" s="101"/>
      <c r="Z728" s="101"/>
      <c r="AA728" s="101"/>
    </row>
    <row r="729" spans="1:27" ht="13.8">
      <c r="A729" s="101"/>
      <c r="B729" s="101"/>
      <c r="C729" s="101"/>
      <c r="D729" s="101"/>
      <c r="E729" s="101"/>
      <c r="F729" s="101"/>
      <c r="G729" s="101"/>
      <c r="H729" s="101"/>
      <c r="I729" s="101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  <c r="Y729" s="101"/>
      <c r="Z729" s="101"/>
      <c r="AA729" s="101"/>
    </row>
    <row r="730" spans="1:27" ht="13.8">
      <c r="A730" s="101"/>
      <c r="B730" s="101"/>
      <c r="C730" s="101"/>
      <c r="D730" s="101"/>
      <c r="E730" s="101"/>
      <c r="F730" s="101"/>
      <c r="G730" s="101"/>
      <c r="H730" s="101"/>
      <c r="I730" s="101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  <c r="Y730" s="101"/>
      <c r="Z730" s="101"/>
      <c r="AA730" s="101"/>
    </row>
    <row r="731" spans="1:27" ht="13.8">
      <c r="A731" s="101"/>
      <c r="B731" s="101"/>
      <c r="C731" s="101"/>
      <c r="D731" s="101"/>
      <c r="E731" s="101"/>
      <c r="F731" s="101"/>
      <c r="G731" s="101"/>
      <c r="H731" s="101"/>
      <c r="I731" s="101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  <c r="Y731" s="101"/>
      <c r="Z731" s="101"/>
      <c r="AA731" s="101"/>
    </row>
    <row r="732" spans="1:27" ht="13.8">
      <c r="A732" s="101"/>
      <c r="B732" s="101"/>
      <c r="C732" s="101"/>
      <c r="D732" s="101"/>
      <c r="E732" s="101"/>
      <c r="F732" s="101"/>
      <c r="G732" s="101"/>
      <c r="H732" s="101"/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  <c r="Y732" s="101"/>
      <c r="Z732" s="101"/>
      <c r="AA732" s="101"/>
    </row>
    <row r="733" spans="1:27" ht="13.8">
      <c r="A733" s="101"/>
      <c r="B733" s="101"/>
      <c r="C733" s="101"/>
      <c r="D733" s="101"/>
      <c r="E733" s="101"/>
      <c r="F733" s="101"/>
      <c r="G733" s="101"/>
      <c r="H733" s="101"/>
      <c r="I733" s="101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  <c r="Y733" s="101"/>
      <c r="Z733" s="101"/>
      <c r="AA733" s="101"/>
    </row>
    <row r="734" spans="1:27" ht="13.8">
      <c r="A734" s="101"/>
      <c r="B734" s="101"/>
      <c r="C734" s="101"/>
      <c r="D734" s="101"/>
      <c r="E734" s="101"/>
      <c r="F734" s="101"/>
      <c r="G734" s="101"/>
      <c r="H734" s="101"/>
      <c r="I734" s="101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  <c r="Y734" s="101"/>
      <c r="Z734" s="101"/>
      <c r="AA734" s="101"/>
    </row>
    <row r="735" spans="1:27" ht="13.8">
      <c r="A735" s="101"/>
      <c r="B735" s="101"/>
      <c r="C735" s="101"/>
      <c r="D735" s="101"/>
      <c r="E735" s="101"/>
      <c r="F735" s="101"/>
      <c r="G735" s="101"/>
      <c r="H735" s="101"/>
      <c r="I735" s="101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  <c r="Y735" s="101"/>
      <c r="Z735" s="101"/>
      <c r="AA735" s="101"/>
    </row>
    <row r="736" spans="1:27" ht="13.8">
      <c r="A736" s="101"/>
      <c r="B736" s="101"/>
      <c r="C736" s="101"/>
      <c r="D736" s="101"/>
      <c r="E736" s="101"/>
      <c r="F736" s="101"/>
      <c r="G736" s="101"/>
      <c r="H736" s="101"/>
      <c r="I736" s="101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  <c r="Y736" s="101"/>
      <c r="Z736" s="101"/>
      <c r="AA736" s="101"/>
    </row>
    <row r="737" spans="1:27" ht="13.8">
      <c r="A737" s="101"/>
      <c r="B737" s="101"/>
      <c r="C737" s="101"/>
      <c r="D737" s="101"/>
      <c r="E737" s="101"/>
      <c r="F737" s="101"/>
      <c r="G737" s="101"/>
      <c r="H737" s="101"/>
      <c r="I737" s="101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  <c r="Y737" s="101"/>
      <c r="Z737" s="101"/>
      <c r="AA737" s="101"/>
    </row>
    <row r="738" spans="1:27" ht="13.8">
      <c r="A738" s="101"/>
      <c r="B738" s="101"/>
      <c r="C738" s="101"/>
      <c r="D738" s="101"/>
      <c r="E738" s="101"/>
      <c r="F738" s="101"/>
      <c r="G738" s="101"/>
      <c r="H738" s="101"/>
      <c r="I738" s="101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  <c r="Y738" s="101"/>
      <c r="Z738" s="101"/>
      <c r="AA738" s="101"/>
    </row>
    <row r="739" spans="1:27" ht="13.8">
      <c r="A739" s="101"/>
      <c r="B739" s="101"/>
      <c r="C739" s="101"/>
      <c r="D739" s="101"/>
      <c r="E739" s="101"/>
      <c r="F739" s="101"/>
      <c r="G739" s="101"/>
      <c r="H739" s="101"/>
      <c r="I739" s="101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  <c r="Y739" s="101"/>
      <c r="Z739" s="101"/>
      <c r="AA739" s="101"/>
    </row>
    <row r="740" spans="1:27" ht="13.8">
      <c r="A740" s="101"/>
      <c r="B740" s="101"/>
      <c r="C740" s="101"/>
      <c r="D740" s="101"/>
      <c r="E740" s="101"/>
      <c r="F740" s="101"/>
      <c r="G740" s="101"/>
      <c r="H740" s="101"/>
      <c r="I740" s="101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  <c r="Y740" s="101"/>
      <c r="Z740" s="101"/>
      <c r="AA740" s="101"/>
    </row>
    <row r="741" spans="1:27" ht="13.8">
      <c r="A741" s="101"/>
      <c r="B741" s="101"/>
      <c r="C741" s="101"/>
      <c r="D741" s="101"/>
      <c r="E741" s="101"/>
      <c r="F741" s="101"/>
      <c r="G741" s="101"/>
      <c r="H741" s="101"/>
      <c r="I741" s="101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  <c r="Y741" s="101"/>
      <c r="Z741" s="101"/>
      <c r="AA741" s="101"/>
    </row>
    <row r="742" spans="1:27" ht="13.8">
      <c r="A742" s="101"/>
      <c r="B742" s="101"/>
      <c r="C742" s="101"/>
      <c r="D742" s="101"/>
      <c r="E742" s="101"/>
      <c r="F742" s="101"/>
      <c r="G742" s="101"/>
      <c r="H742" s="101"/>
      <c r="I742" s="101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  <c r="Y742" s="101"/>
      <c r="Z742" s="101"/>
      <c r="AA742" s="101"/>
    </row>
    <row r="743" spans="1:27" ht="13.8">
      <c r="A743" s="101"/>
      <c r="B743" s="101"/>
      <c r="C743" s="101"/>
      <c r="D743" s="101"/>
      <c r="E743" s="101"/>
      <c r="F743" s="101"/>
      <c r="G743" s="101"/>
      <c r="H743" s="101"/>
      <c r="I743" s="101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  <c r="Y743" s="101"/>
      <c r="Z743" s="101"/>
      <c r="AA743" s="101"/>
    </row>
    <row r="744" spans="1:27" ht="13.8">
      <c r="A744" s="101"/>
      <c r="B744" s="101"/>
      <c r="C744" s="101"/>
      <c r="D744" s="101"/>
      <c r="E744" s="101"/>
      <c r="F744" s="101"/>
      <c r="G744" s="101"/>
      <c r="H744" s="101"/>
      <c r="I744" s="101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  <c r="Y744" s="101"/>
      <c r="Z744" s="101"/>
      <c r="AA744" s="101"/>
    </row>
    <row r="745" spans="1:27" ht="13.8">
      <c r="A745" s="101"/>
      <c r="B745" s="101"/>
      <c r="C745" s="101"/>
      <c r="D745" s="101"/>
      <c r="E745" s="101"/>
      <c r="F745" s="101"/>
      <c r="G745" s="101"/>
      <c r="H745" s="101"/>
      <c r="I745" s="101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  <c r="Y745" s="101"/>
      <c r="Z745" s="101"/>
      <c r="AA745" s="101"/>
    </row>
    <row r="746" spans="1:27" ht="13.8">
      <c r="A746" s="101"/>
      <c r="B746" s="101"/>
      <c r="C746" s="101"/>
      <c r="D746" s="101"/>
      <c r="E746" s="101"/>
      <c r="F746" s="101"/>
      <c r="G746" s="101"/>
      <c r="H746" s="101"/>
      <c r="I746" s="101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  <c r="Y746" s="101"/>
      <c r="Z746" s="101"/>
      <c r="AA746" s="101"/>
    </row>
    <row r="747" spans="1:27" ht="13.8">
      <c r="A747" s="101"/>
      <c r="B747" s="101"/>
      <c r="C747" s="101"/>
      <c r="D747" s="101"/>
      <c r="E747" s="101"/>
      <c r="F747" s="101"/>
      <c r="G747" s="101"/>
      <c r="H747" s="101"/>
      <c r="I747" s="101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  <c r="Y747" s="101"/>
      <c r="Z747" s="101"/>
      <c r="AA747" s="101"/>
    </row>
    <row r="748" spans="1:27" ht="13.8">
      <c r="A748" s="101"/>
      <c r="B748" s="101"/>
      <c r="C748" s="101"/>
      <c r="D748" s="101"/>
      <c r="E748" s="101"/>
      <c r="F748" s="101"/>
      <c r="G748" s="101"/>
      <c r="H748" s="101"/>
      <c r="I748" s="101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  <c r="Y748" s="101"/>
      <c r="Z748" s="101"/>
      <c r="AA748" s="101"/>
    </row>
    <row r="749" spans="1:27" ht="13.8">
      <c r="A749" s="101"/>
      <c r="B749" s="101"/>
      <c r="C749" s="101"/>
      <c r="D749" s="101"/>
      <c r="E749" s="101"/>
      <c r="F749" s="101"/>
      <c r="G749" s="101"/>
      <c r="H749" s="101"/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  <c r="Y749" s="101"/>
      <c r="Z749" s="101"/>
      <c r="AA749" s="101"/>
    </row>
    <row r="750" spans="1:27" ht="13.8">
      <c r="A750" s="101"/>
      <c r="B750" s="101"/>
      <c r="C750" s="101"/>
      <c r="D750" s="101"/>
      <c r="E750" s="101"/>
      <c r="F750" s="101"/>
      <c r="G750" s="101"/>
      <c r="H750" s="101"/>
      <c r="I750" s="101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  <c r="Y750" s="101"/>
      <c r="Z750" s="101"/>
      <c r="AA750" s="101"/>
    </row>
    <row r="751" spans="1:27" ht="13.8">
      <c r="A751" s="101"/>
      <c r="B751" s="101"/>
      <c r="C751" s="101"/>
      <c r="D751" s="101"/>
      <c r="E751" s="101"/>
      <c r="F751" s="101"/>
      <c r="G751" s="101"/>
      <c r="H751" s="101"/>
      <c r="I751" s="101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  <c r="Y751" s="101"/>
      <c r="Z751" s="101"/>
      <c r="AA751" s="101"/>
    </row>
    <row r="752" spans="1:27" ht="13.8">
      <c r="A752" s="101"/>
      <c r="B752" s="101"/>
      <c r="C752" s="101"/>
      <c r="D752" s="101"/>
      <c r="E752" s="101"/>
      <c r="F752" s="101"/>
      <c r="G752" s="101"/>
      <c r="H752" s="101"/>
      <c r="I752" s="101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  <c r="Y752" s="101"/>
      <c r="Z752" s="101"/>
      <c r="AA752" s="101"/>
    </row>
    <row r="753" spans="1:27" ht="13.8">
      <c r="A753" s="101"/>
      <c r="B753" s="101"/>
      <c r="C753" s="101"/>
      <c r="D753" s="101"/>
      <c r="E753" s="101"/>
      <c r="F753" s="101"/>
      <c r="G753" s="101"/>
      <c r="H753" s="101"/>
      <c r="I753" s="101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  <c r="Y753" s="101"/>
      <c r="Z753" s="101"/>
      <c r="AA753" s="101"/>
    </row>
    <row r="754" spans="1:27" ht="13.8">
      <c r="A754" s="101"/>
      <c r="B754" s="101"/>
      <c r="C754" s="101"/>
      <c r="D754" s="101"/>
      <c r="E754" s="101"/>
      <c r="F754" s="101"/>
      <c r="G754" s="101"/>
      <c r="H754" s="101"/>
      <c r="I754" s="101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  <c r="Y754" s="101"/>
      <c r="Z754" s="101"/>
      <c r="AA754" s="101"/>
    </row>
    <row r="755" spans="1:27" ht="13.8">
      <c r="A755" s="101"/>
      <c r="B755" s="101"/>
      <c r="C755" s="101"/>
      <c r="D755" s="101"/>
      <c r="E755" s="101"/>
      <c r="F755" s="101"/>
      <c r="G755" s="101"/>
      <c r="H755" s="101"/>
      <c r="I755" s="101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  <c r="Y755" s="101"/>
      <c r="Z755" s="101"/>
      <c r="AA755" s="101"/>
    </row>
    <row r="756" spans="1:27" ht="13.8">
      <c r="A756" s="101"/>
      <c r="B756" s="101"/>
      <c r="C756" s="101"/>
      <c r="D756" s="101"/>
      <c r="E756" s="101"/>
      <c r="F756" s="101"/>
      <c r="G756" s="101"/>
      <c r="H756" s="101"/>
      <c r="I756" s="101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  <c r="Y756" s="101"/>
      <c r="Z756" s="101"/>
      <c r="AA756" s="101"/>
    </row>
    <row r="757" spans="1:27" ht="13.8">
      <c r="A757" s="101"/>
      <c r="B757" s="101"/>
      <c r="C757" s="101"/>
      <c r="D757" s="101"/>
      <c r="E757" s="101"/>
      <c r="F757" s="101"/>
      <c r="G757" s="101"/>
      <c r="H757" s="101"/>
      <c r="I757" s="101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  <c r="Y757" s="101"/>
      <c r="Z757" s="101"/>
      <c r="AA757" s="101"/>
    </row>
    <row r="758" spans="1:27" ht="13.8">
      <c r="A758" s="101"/>
      <c r="B758" s="101"/>
      <c r="C758" s="101"/>
      <c r="D758" s="101"/>
      <c r="E758" s="101"/>
      <c r="F758" s="101"/>
      <c r="G758" s="101"/>
      <c r="H758" s="101"/>
      <c r="I758" s="101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  <c r="Y758" s="101"/>
      <c r="Z758" s="101"/>
      <c r="AA758" s="101"/>
    </row>
    <row r="759" spans="1:27" ht="13.8">
      <c r="A759" s="101"/>
      <c r="B759" s="101"/>
      <c r="C759" s="101"/>
      <c r="D759" s="101"/>
      <c r="E759" s="101"/>
      <c r="F759" s="101"/>
      <c r="G759" s="101"/>
      <c r="H759" s="101"/>
      <c r="I759" s="101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  <c r="Y759" s="101"/>
      <c r="Z759" s="101"/>
      <c r="AA759" s="101"/>
    </row>
    <row r="760" spans="1:27" ht="13.8">
      <c r="A760" s="101"/>
      <c r="B760" s="101"/>
      <c r="C760" s="101"/>
      <c r="D760" s="101"/>
      <c r="E760" s="101"/>
      <c r="F760" s="101"/>
      <c r="G760" s="101"/>
      <c r="H760" s="101"/>
      <c r="I760" s="101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  <c r="Y760" s="101"/>
      <c r="Z760" s="101"/>
      <c r="AA760" s="101"/>
    </row>
    <row r="761" spans="1:27" ht="13.8">
      <c r="A761" s="101"/>
      <c r="B761" s="101"/>
      <c r="C761" s="101"/>
      <c r="D761" s="101"/>
      <c r="E761" s="101"/>
      <c r="F761" s="101"/>
      <c r="G761" s="101"/>
      <c r="H761" s="101"/>
      <c r="I761" s="101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  <c r="Y761" s="101"/>
      <c r="Z761" s="101"/>
      <c r="AA761" s="101"/>
    </row>
    <row r="762" spans="1:27" ht="13.8">
      <c r="A762" s="101"/>
      <c r="B762" s="101"/>
      <c r="C762" s="101"/>
      <c r="D762" s="101"/>
      <c r="E762" s="101"/>
      <c r="F762" s="101"/>
      <c r="G762" s="101"/>
      <c r="H762" s="101"/>
      <c r="I762" s="101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  <c r="Y762" s="101"/>
      <c r="Z762" s="101"/>
      <c r="AA762" s="101"/>
    </row>
    <row r="763" spans="1:27" ht="13.8">
      <c r="A763" s="101"/>
      <c r="B763" s="101"/>
      <c r="C763" s="101"/>
      <c r="D763" s="101"/>
      <c r="E763" s="101"/>
      <c r="F763" s="101"/>
      <c r="G763" s="101"/>
      <c r="H763" s="101"/>
      <c r="I763" s="101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  <c r="Y763" s="101"/>
      <c r="Z763" s="101"/>
      <c r="AA763" s="101"/>
    </row>
    <row r="764" spans="1:27" ht="13.8">
      <c r="A764" s="101"/>
      <c r="B764" s="101"/>
      <c r="C764" s="101"/>
      <c r="D764" s="101"/>
      <c r="E764" s="101"/>
      <c r="F764" s="101"/>
      <c r="G764" s="101"/>
      <c r="H764" s="101"/>
      <c r="I764" s="101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  <c r="Y764" s="101"/>
      <c r="Z764" s="101"/>
      <c r="AA764" s="101"/>
    </row>
    <row r="765" spans="1:27" ht="13.8">
      <c r="A765" s="101"/>
      <c r="B765" s="101"/>
      <c r="C765" s="101"/>
      <c r="D765" s="101"/>
      <c r="E765" s="101"/>
      <c r="F765" s="101"/>
      <c r="G765" s="101"/>
      <c r="H765" s="101"/>
      <c r="I765" s="101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  <c r="Y765" s="101"/>
      <c r="Z765" s="101"/>
      <c r="AA765" s="101"/>
    </row>
    <row r="766" spans="1:27" ht="13.8">
      <c r="A766" s="101"/>
      <c r="B766" s="101"/>
      <c r="C766" s="101"/>
      <c r="D766" s="101"/>
      <c r="E766" s="101"/>
      <c r="F766" s="101"/>
      <c r="G766" s="101"/>
      <c r="H766" s="101"/>
      <c r="I766" s="101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  <c r="Y766" s="101"/>
      <c r="Z766" s="101"/>
      <c r="AA766" s="101"/>
    </row>
    <row r="767" spans="1:27" ht="13.8">
      <c r="A767" s="101"/>
      <c r="B767" s="101"/>
      <c r="C767" s="101"/>
      <c r="D767" s="101"/>
      <c r="E767" s="101"/>
      <c r="F767" s="101"/>
      <c r="G767" s="101"/>
      <c r="H767" s="101"/>
      <c r="I767" s="101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  <c r="Y767" s="101"/>
      <c r="Z767" s="101"/>
      <c r="AA767" s="101"/>
    </row>
    <row r="768" spans="1:27" ht="13.8">
      <c r="A768" s="101"/>
      <c r="B768" s="101"/>
      <c r="C768" s="101"/>
      <c r="D768" s="101"/>
      <c r="E768" s="101"/>
      <c r="F768" s="101"/>
      <c r="G768" s="101"/>
      <c r="H768" s="101"/>
      <c r="I768" s="101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  <c r="Y768" s="101"/>
      <c r="Z768" s="101"/>
      <c r="AA768" s="101"/>
    </row>
    <row r="769" spans="1:27" ht="13.8">
      <c r="A769" s="101"/>
      <c r="B769" s="101"/>
      <c r="C769" s="101"/>
      <c r="D769" s="101"/>
      <c r="E769" s="101"/>
      <c r="F769" s="101"/>
      <c r="G769" s="101"/>
      <c r="H769" s="101"/>
      <c r="I769" s="101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  <c r="Y769" s="101"/>
      <c r="Z769" s="101"/>
      <c r="AA769" s="101"/>
    </row>
    <row r="770" spans="1:27" ht="13.8">
      <c r="A770" s="101"/>
      <c r="B770" s="101"/>
      <c r="C770" s="101"/>
      <c r="D770" s="101"/>
      <c r="E770" s="101"/>
      <c r="F770" s="101"/>
      <c r="G770" s="101"/>
      <c r="H770" s="101"/>
      <c r="I770" s="101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  <c r="Y770" s="101"/>
      <c r="Z770" s="101"/>
      <c r="AA770" s="101"/>
    </row>
    <row r="771" spans="1:27" ht="13.8">
      <c r="A771" s="101"/>
      <c r="B771" s="101"/>
      <c r="C771" s="101"/>
      <c r="D771" s="101"/>
      <c r="E771" s="101"/>
      <c r="F771" s="101"/>
      <c r="G771" s="101"/>
      <c r="H771" s="101"/>
      <c r="I771" s="101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  <c r="Y771" s="101"/>
      <c r="Z771" s="101"/>
      <c r="AA771" s="101"/>
    </row>
    <row r="772" spans="1:27" ht="13.8">
      <c r="A772" s="101"/>
      <c r="B772" s="101"/>
      <c r="C772" s="101"/>
      <c r="D772" s="101"/>
      <c r="E772" s="101"/>
      <c r="F772" s="101"/>
      <c r="G772" s="101"/>
      <c r="H772" s="101"/>
      <c r="I772" s="101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  <c r="Y772" s="101"/>
      <c r="Z772" s="101"/>
      <c r="AA772" s="101"/>
    </row>
    <row r="773" spans="1:27" ht="13.8">
      <c r="A773" s="101"/>
      <c r="B773" s="101"/>
      <c r="C773" s="101"/>
      <c r="D773" s="101"/>
      <c r="E773" s="101"/>
      <c r="F773" s="101"/>
      <c r="G773" s="101"/>
      <c r="H773" s="101"/>
      <c r="I773" s="101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  <c r="Y773" s="101"/>
      <c r="Z773" s="101"/>
      <c r="AA773" s="101"/>
    </row>
    <row r="774" spans="1:27" ht="13.8">
      <c r="A774" s="101"/>
      <c r="B774" s="101"/>
      <c r="C774" s="101"/>
      <c r="D774" s="101"/>
      <c r="E774" s="101"/>
      <c r="F774" s="101"/>
      <c r="G774" s="101"/>
      <c r="H774" s="101"/>
      <c r="I774" s="101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  <c r="Y774" s="101"/>
      <c r="Z774" s="101"/>
      <c r="AA774" s="101"/>
    </row>
    <row r="775" spans="1:27" ht="13.8">
      <c r="A775" s="101"/>
      <c r="B775" s="101"/>
      <c r="C775" s="101"/>
      <c r="D775" s="101"/>
      <c r="E775" s="101"/>
      <c r="F775" s="101"/>
      <c r="G775" s="101"/>
      <c r="H775" s="101"/>
      <c r="I775" s="101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  <c r="Y775" s="101"/>
      <c r="Z775" s="101"/>
      <c r="AA775" s="101"/>
    </row>
    <row r="776" spans="1:27" ht="13.8">
      <c r="A776" s="101"/>
      <c r="B776" s="101"/>
      <c r="C776" s="101"/>
      <c r="D776" s="101"/>
      <c r="E776" s="101"/>
      <c r="F776" s="101"/>
      <c r="G776" s="101"/>
      <c r="H776" s="101"/>
      <c r="I776" s="101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  <c r="Y776" s="101"/>
      <c r="Z776" s="101"/>
      <c r="AA776" s="101"/>
    </row>
    <row r="777" spans="1:27" ht="13.8">
      <c r="A777" s="101"/>
      <c r="B777" s="101"/>
      <c r="C777" s="101"/>
      <c r="D777" s="101"/>
      <c r="E777" s="101"/>
      <c r="F777" s="101"/>
      <c r="G777" s="101"/>
      <c r="H777" s="101"/>
      <c r="I777" s="101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  <c r="Y777" s="101"/>
      <c r="Z777" s="101"/>
      <c r="AA777" s="101"/>
    </row>
    <row r="778" spans="1:27" ht="13.8">
      <c r="A778" s="101"/>
      <c r="B778" s="101"/>
      <c r="C778" s="101"/>
      <c r="D778" s="101"/>
      <c r="E778" s="101"/>
      <c r="F778" s="101"/>
      <c r="G778" s="101"/>
      <c r="H778" s="101"/>
      <c r="I778" s="101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  <c r="Y778" s="101"/>
      <c r="Z778" s="101"/>
      <c r="AA778" s="101"/>
    </row>
    <row r="779" spans="1:27" ht="13.8">
      <c r="A779" s="101"/>
      <c r="B779" s="101"/>
      <c r="C779" s="101"/>
      <c r="D779" s="101"/>
      <c r="E779" s="101"/>
      <c r="F779" s="101"/>
      <c r="G779" s="101"/>
      <c r="H779" s="101"/>
      <c r="I779" s="101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  <c r="Y779" s="101"/>
      <c r="Z779" s="101"/>
      <c r="AA779" s="101"/>
    </row>
    <row r="780" spans="1:27" ht="13.8">
      <c r="A780" s="101"/>
      <c r="B780" s="101"/>
      <c r="C780" s="101"/>
      <c r="D780" s="101"/>
      <c r="E780" s="101"/>
      <c r="F780" s="101"/>
      <c r="G780" s="101"/>
      <c r="H780" s="101"/>
      <c r="I780" s="101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  <c r="Y780" s="101"/>
      <c r="Z780" s="101"/>
      <c r="AA780" s="101"/>
    </row>
    <row r="781" spans="1:27" ht="13.8">
      <c r="A781" s="101"/>
      <c r="B781" s="101"/>
      <c r="C781" s="101"/>
      <c r="D781" s="101"/>
      <c r="E781" s="101"/>
      <c r="F781" s="101"/>
      <c r="G781" s="101"/>
      <c r="H781" s="101"/>
      <c r="I781" s="101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  <c r="Y781" s="101"/>
      <c r="Z781" s="101"/>
      <c r="AA781" s="101"/>
    </row>
    <row r="782" spans="1:27" ht="13.8">
      <c r="A782" s="101"/>
      <c r="B782" s="101"/>
      <c r="C782" s="101"/>
      <c r="D782" s="101"/>
      <c r="E782" s="101"/>
      <c r="F782" s="101"/>
      <c r="G782" s="101"/>
      <c r="H782" s="101"/>
      <c r="I782" s="101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  <c r="Y782" s="101"/>
      <c r="Z782" s="101"/>
      <c r="AA782" s="101"/>
    </row>
    <row r="783" spans="1:27" ht="13.8">
      <c r="A783" s="101"/>
      <c r="B783" s="101"/>
      <c r="C783" s="101"/>
      <c r="D783" s="101"/>
      <c r="E783" s="101"/>
      <c r="F783" s="101"/>
      <c r="G783" s="101"/>
      <c r="H783" s="101"/>
      <c r="I783" s="101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  <c r="Y783" s="101"/>
      <c r="Z783" s="101"/>
      <c r="AA783" s="101"/>
    </row>
    <row r="784" spans="1:27" ht="13.8">
      <c r="A784" s="101"/>
      <c r="B784" s="101"/>
      <c r="C784" s="101"/>
      <c r="D784" s="101"/>
      <c r="E784" s="101"/>
      <c r="F784" s="101"/>
      <c r="G784" s="101"/>
      <c r="H784" s="101"/>
      <c r="I784" s="101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  <c r="Y784" s="101"/>
      <c r="Z784" s="101"/>
      <c r="AA784" s="101"/>
    </row>
    <row r="785" spans="1:27" ht="13.8">
      <c r="A785" s="101"/>
      <c r="B785" s="101"/>
      <c r="C785" s="101"/>
      <c r="D785" s="101"/>
      <c r="E785" s="101"/>
      <c r="F785" s="101"/>
      <c r="G785" s="101"/>
      <c r="H785" s="101"/>
      <c r="I785" s="101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  <c r="Y785" s="101"/>
      <c r="Z785" s="101"/>
      <c r="AA785" s="101"/>
    </row>
    <row r="786" spans="1:27" ht="13.8">
      <c r="A786" s="101"/>
      <c r="B786" s="101"/>
      <c r="C786" s="101"/>
      <c r="D786" s="101"/>
      <c r="E786" s="101"/>
      <c r="F786" s="101"/>
      <c r="G786" s="101"/>
      <c r="H786" s="101"/>
      <c r="I786" s="101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  <c r="Y786" s="101"/>
      <c r="Z786" s="101"/>
      <c r="AA786" s="101"/>
    </row>
    <row r="787" spans="1:27" ht="13.8">
      <c r="A787" s="101"/>
      <c r="B787" s="101"/>
      <c r="C787" s="101"/>
      <c r="D787" s="101"/>
      <c r="E787" s="101"/>
      <c r="F787" s="101"/>
      <c r="G787" s="101"/>
      <c r="H787" s="101"/>
      <c r="I787" s="101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  <c r="Y787" s="101"/>
      <c r="Z787" s="101"/>
      <c r="AA787" s="101"/>
    </row>
    <row r="788" spans="1:27" ht="13.8">
      <c r="A788" s="101"/>
      <c r="B788" s="101"/>
      <c r="C788" s="101"/>
      <c r="D788" s="101"/>
      <c r="E788" s="101"/>
      <c r="F788" s="101"/>
      <c r="G788" s="101"/>
      <c r="H788" s="101"/>
      <c r="I788" s="101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  <c r="Y788" s="101"/>
      <c r="Z788" s="101"/>
      <c r="AA788" s="101"/>
    </row>
    <row r="789" spans="1:27" ht="13.8">
      <c r="A789" s="101"/>
      <c r="B789" s="101"/>
      <c r="C789" s="101"/>
      <c r="D789" s="101"/>
      <c r="E789" s="101"/>
      <c r="F789" s="101"/>
      <c r="G789" s="101"/>
      <c r="H789" s="101"/>
      <c r="I789" s="101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  <c r="Y789" s="101"/>
      <c r="Z789" s="101"/>
      <c r="AA789" s="101"/>
    </row>
    <row r="790" spans="1:27" ht="13.8">
      <c r="A790" s="101"/>
      <c r="B790" s="101"/>
      <c r="C790" s="101"/>
      <c r="D790" s="101"/>
      <c r="E790" s="101"/>
      <c r="F790" s="101"/>
      <c r="G790" s="101"/>
      <c r="H790" s="101"/>
      <c r="I790" s="101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  <c r="Y790" s="101"/>
      <c r="Z790" s="101"/>
      <c r="AA790" s="101"/>
    </row>
    <row r="791" spans="1:27" ht="13.8">
      <c r="A791" s="101"/>
      <c r="B791" s="101"/>
      <c r="C791" s="101"/>
      <c r="D791" s="101"/>
      <c r="E791" s="101"/>
      <c r="F791" s="101"/>
      <c r="G791" s="101"/>
      <c r="H791" s="101"/>
      <c r="I791" s="101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  <c r="Y791" s="101"/>
      <c r="Z791" s="101"/>
      <c r="AA791" s="101"/>
    </row>
    <row r="792" spans="1:27" ht="13.8">
      <c r="A792" s="101"/>
      <c r="B792" s="101"/>
      <c r="C792" s="101"/>
      <c r="D792" s="101"/>
      <c r="E792" s="101"/>
      <c r="F792" s="101"/>
      <c r="G792" s="101"/>
      <c r="H792" s="101"/>
      <c r="I792" s="101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  <c r="Y792" s="101"/>
      <c r="Z792" s="101"/>
      <c r="AA792" s="101"/>
    </row>
    <row r="793" spans="1:27" ht="13.8">
      <c r="A793" s="101"/>
      <c r="B793" s="101"/>
      <c r="C793" s="101"/>
      <c r="D793" s="101"/>
      <c r="E793" s="101"/>
      <c r="F793" s="101"/>
      <c r="G793" s="101"/>
      <c r="H793" s="101"/>
      <c r="I793" s="101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  <c r="Y793" s="101"/>
      <c r="Z793" s="101"/>
      <c r="AA793" s="101"/>
    </row>
    <row r="794" spans="1:27" ht="13.8">
      <c r="A794" s="101"/>
      <c r="B794" s="101"/>
      <c r="C794" s="101"/>
      <c r="D794" s="101"/>
      <c r="E794" s="101"/>
      <c r="F794" s="101"/>
      <c r="G794" s="101"/>
      <c r="H794" s="101"/>
      <c r="I794" s="101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  <c r="Y794" s="101"/>
      <c r="Z794" s="101"/>
      <c r="AA794" s="101"/>
    </row>
    <row r="795" spans="1:27" ht="13.8">
      <c r="A795" s="101"/>
      <c r="B795" s="101"/>
      <c r="C795" s="101"/>
      <c r="D795" s="101"/>
      <c r="E795" s="101"/>
      <c r="F795" s="101"/>
      <c r="G795" s="101"/>
      <c r="H795" s="101"/>
      <c r="I795" s="101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  <c r="Y795" s="101"/>
      <c r="Z795" s="101"/>
      <c r="AA795" s="101"/>
    </row>
    <row r="796" spans="1:27" ht="13.8">
      <c r="A796" s="101"/>
      <c r="B796" s="101"/>
      <c r="C796" s="101"/>
      <c r="D796" s="101"/>
      <c r="E796" s="101"/>
      <c r="F796" s="101"/>
      <c r="G796" s="101"/>
      <c r="H796" s="101"/>
      <c r="I796" s="101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  <c r="Y796" s="101"/>
      <c r="Z796" s="101"/>
      <c r="AA796" s="101"/>
    </row>
    <row r="797" spans="1:27" ht="13.8">
      <c r="A797" s="101"/>
      <c r="B797" s="101"/>
      <c r="C797" s="101"/>
      <c r="D797" s="101"/>
      <c r="E797" s="101"/>
      <c r="F797" s="101"/>
      <c r="G797" s="101"/>
      <c r="H797" s="101"/>
      <c r="I797" s="101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  <c r="Y797" s="101"/>
      <c r="Z797" s="101"/>
      <c r="AA797" s="101"/>
    </row>
    <row r="798" spans="1:27" ht="13.8">
      <c r="A798" s="101"/>
      <c r="B798" s="101"/>
      <c r="C798" s="101"/>
      <c r="D798" s="101"/>
      <c r="E798" s="101"/>
      <c r="F798" s="101"/>
      <c r="G798" s="101"/>
      <c r="H798" s="101"/>
      <c r="I798" s="101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  <c r="Y798" s="101"/>
      <c r="Z798" s="101"/>
      <c r="AA798" s="101"/>
    </row>
    <row r="799" spans="1:27" ht="13.8">
      <c r="A799" s="101"/>
      <c r="B799" s="101"/>
      <c r="C799" s="101"/>
      <c r="D799" s="101"/>
      <c r="E799" s="101"/>
      <c r="F799" s="101"/>
      <c r="G799" s="101"/>
      <c r="H799" s="101"/>
      <c r="I799" s="101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  <c r="Y799" s="101"/>
      <c r="Z799" s="101"/>
      <c r="AA799" s="101"/>
    </row>
    <row r="800" spans="1:27" ht="13.8">
      <c r="A800" s="101"/>
      <c r="B800" s="101"/>
      <c r="C800" s="101"/>
      <c r="D800" s="101"/>
      <c r="E800" s="101"/>
      <c r="F800" s="101"/>
      <c r="G800" s="101"/>
      <c r="H800" s="101"/>
      <c r="I800" s="101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  <c r="Y800" s="101"/>
      <c r="Z800" s="101"/>
      <c r="AA800" s="101"/>
    </row>
    <row r="801" spans="1:27" ht="13.8">
      <c r="A801" s="101"/>
      <c r="B801" s="101"/>
      <c r="C801" s="101"/>
      <c r="D801" s="101"/>
      <c r="E801" s="101"/>
      <c r="F801" s="101"/>
      <c r="G801" s="101"/>
      <c r="H801" s="101"/>
      <c r="I801" s="101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  <c r="Y801" s="101"/>
      <c r="Z801" s="101"/>
      <c r="AA801" s="101"/>
    </row>
    <row r="802" spans="1:27" ht="13.8">
      <c r="A802" s="101"/>
      <c r="B802" s="101"/>
      <c r="C802" s="101"/>
      <c r="D802" s="101"/>
      <c r="E802" s="101"/>
      <c r="F802" s="101"/>
      <c r="G802" s="101"/>
      <c r="H802" s="101"/>
      <c r="I802" s="101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  <c r="Y802" s="101"/>
      <c r="Z802" s="101"/>
      <c r="AA802" s="101"/>
    </row>
    <row r="803" spans="1:27" ht="13.8">
      <c r="A803" s="101"/>
      <c r="B803" s="101"/>
      <c r="C803" s="101"/>
      <c r="D803" s="101"/>
      <c r="E803" s="101"/>
      <c r="F803" s="101"/>
      <c r="G803" s="101"/>
      <c r="H803" s="101"/>
      <c r="I803" s="101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  <c r="Y803" s="101"/>
      <c r="Z803" s="101"/>
      <c r="AA803" s="101"/>
    </row>
    <row r="804" spans="1:27" ht="13.8">
      <c r="A804" s="101"/>
      <c r="B804" s="101"/>
      <c r="C804" s="101"/>
      <c r="D804" s="101"/>
      <c r="E804" s="101"/>
      <c r="F804" s="101"/>
      <c r="G804" s="101"/>
      <c r="H804" s="101"/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01"/>
      <c r="Z804" s="101"/>
      <c r="AA804" s="101"/>
    </row>
    <row r="805" spans="1:27" ht="13.8">
      <c r="A805" s="101"/>
      <c r="B805" s="101"/>
      <c r="C805" s="101"/>
      <c r="D805" s="101"/>
      <c r="E805" s="101"/>
      <c r="F805" s="101"/>
      <c r="G805" s="101"/>
      <c r="H805" s="101"/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01"/>
      <c r="Z805" s="101"/>
      <c r="AA805" s="101"/>
    </row>
    <row r="806" spans="1:27" ht="13.8">
      <c r="A806" s="101"/>
      <c r="B806" s="101"/>
      <c r="C806" s="101"/>
      <c r="D806" s="101"/>
      <c r="E806" s="101"/>
      <c r="F806" s="101"/>
      <c r="G806" s="101"/>
      <c r="H806" s="101"/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01"/>
      <c r="Z806" s="101"/>
      <c r="AA806" s="101"/>
    </row>
    <row r="807" spans="1:27" ht="13.8">
      <c r="A807" s="101"/>
      <c r="B807" s="101"/>
      <c r="C807" s="101"/>
      <c r="D807" s="101"/>
      <c r="E807" s="101"/>
      <c r="F807" s="101"/>
      <c r="G807" s="101"/>
      <c r="H807" s="101"/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01"/>
      <c r="Z807" s="101"/>
      <c r="AA807" s="101"/>
    </row>
    <row r="808" spans="1:27" ht="13.8">
      <c r="A808" s="101"/>
      <c r="B808" s="101"/>
      <c r="C808" s="101"/>
      <c r="D808" s="101"/>
      <c r="E808" s="101"/>
      <c r="F808" s="101"/>
      <c r="G808" s="101"/>
      <c r="H808" s="101"/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01"/>
      <c r="Z808" s="101"/>
      <c r="AA808" s="101"/>
    </row>
    <row r="809" spans="1:27" ht="13.8">
      <c r="A809" s="101"/>
      <c r="B809" s="101"/>
      <c r="C809" s="101"/>
      <c r="D809" s="101"/>
      <c r="E809" s="101"/>
      <c r="F809" s="101"/>
      <c r="G809" s="101"/>
      <c r="H809" s="101"/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01"/>
      <c r="Z809" s="101"/>
      <c r="AA809" s="101"/>
    </row>
    <row r="810" spans="1:27" ht="13.8">
      <c r="A810" s="101"/>
      <c r="B810" s="101"/>
      <c r="C810" s="101"/>
      <c r="D810" s="101"/>
      <c r="E810" s="101"/>
      <c r="F810" s="101"/>
      <c r="G810" s="10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  <c r="Z810" s="101"/>
      <c r="AA810" s="101"/>
    </row>
    <row r="811" spans="1:27" ht="13.8">
      <c r="A811" s="101"/>
      <c r="B811" s="101"/>
      <c r="C811" s="101"/>
      <c r="D811" s="101"/>
      <c r="E811" s="101"/>
      <c r="F811" s="101"/>
      <c r="G811" s="101"/>
      <c r="H811" s="101"/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01"/>
      <c r="Z811" s="101"/>
      <c r="AA811" s="101"/>
    </row>
    <row r="812" spans="1:27" ht="13.8">
      <c r="A812" s="101"/>
      <c r="B812" s="101"/>
      <c r="C812" s="101"/>
      <c r="D812" s="101"/>
      <c r="E812" s="101"/>
      <c r="F812" s="101"/>
      <c r="G812" s="101"/>
      <c r="H812" s="101"/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01"/>
      <c r="Z812" s="101"/>
      <c r="AA812" s="101"/>
    </row>
    <row r="813" spans="1:27" ht="13.8">
      <c r="A813" s="101"/>
      <c r="B813" s="101"/>
      <c r="C813" s="101"/>
      <c r="D813" s="101"/>
      <c r="E813" s="101"/>
      <c r="F813" s="101"/>
      <c r="G813" s="101"/>
      <c r="H813" s="101"/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01"/>
      <c r="Z813" s="101"/>
      <c r="AA813" s="101"/>
    </row>
    <row r="814" spans="1:27" ht="13.8">
      <c r="A814" s="101"/>
      <c r="B814" s="101"/>
      <c r="C814" s="101"/>
      <c r="D814" s="101"/>
      <c r="E814" s="101"/>
      <c r="F814" s="101"/>
      <c r="G814" s="101"/>
      <c r="H814" s="101"/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01"/>
      <c r="Z814" s="101"/>
      <c r="AA814" s="101"/>
    </row>
    <row r="815" spans="1:27" ht="13.8">
      <c r="A815" s="101"/>
      <c r="B815" s="101"/>
      <c r="C815" s="101"/>
      <c r="D815" s="101"/>
      <c r="E815" s="101"/>
      <c r="F815" s="101"/>
      <c r="G815" s="101"/>
      <c r="H815" s="101"/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01"/>
      <c r="Z815" s="101"/>
      <c r="AA815" s="101"/>
    </row>
    <row r="816" spans="1:27" ht="13.8">
      <c r="A816" s="101"/>
      <c r="B816" s="101"/>
      <c r="C816" s="101"/>
      <c r="D816" s="101"/>
      <c r="E816" s="101"/>
      <c r="F816" s="101"/>
      <c r="G816" s="101"/>
      <c r="H816" s="101"/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01"/>
      <c r="Z816" s="101"/>
      <c r="AA816" s="101"/>
    </row>
    <row r="817" spans="1:27" ht="13.8">
      <c r="A817" s="101"/>
      <c r="B817" s="101"/>
      <c r="C817" s="101"/>
      <c r="D817" s="101"/>
      <c r="E817" s="101"/>
      <c r="F817" s="101"/>
      <c r="G817" s="101"/>
      <c r="H817" s="101"/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01"/>
      <c r="Z817" s="101"/>
      <c r="AA817" s="101"/>
    </row>
    <row r="818" spans="1:27" ht="13.8">
      <c r="A818" s="101"/>
      <c r="B818" s="101"/>
      <c r="C818" s="101"/>
      <c r="D818" s="101"/>
      <c r="E818" s="101"/>
      <c r="F818" s="101"/>
      <c r="G818" s="101"/>
      <c r="H818" s="101"/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01"/>
      <c r="Z818" s="101"/>
      <c r="AA818" s="101"/>
    </row>
    <row r="819" spans="1:27" ht="13.8">
      <c r="A819" s="101"/>
      <c r="B819" s="101"/>
      <c r="C819" s="101"/>
      <c r="D819" s="101"/>
      <c r="E819" s="101"/>
      <c r="F819" s="101"/>
      <c r="G819" s="101"/>
      <c r="H819" s="101"/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01"/>
      <c r="Z819" s="101"/>
      <c r="AA819" s="101"/>
    </row>
    <row r="820" spans="1:27" ht="13.8">
      <c r="A820" s="101"/>
      <c r="B820" s="101"/>
      <c r="C820" s="101"/>
      <c r="D820" s="101"/>
      <c r="E820" s="101"/>
      <c r="F820" s="101"/>
      <c r="G820" s="101"/>
      <c r="H820" s="101"/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01"/>
      <c r="Z820" s="101"/>
      <c r="AA820" s="101"/>
    </row>
    <row r="821" spans="1:27" ht="13.8">
      <c r="A821" s="101"/>
      <c r="B821" s="101"/>
      <c r="C821" s="101"/>
      <c r="D821" s="101"/>
      <c r="E821" s="101"/>
      <c r="F821" s="101"/>
      <c r="G821" s="101"/>
      <c r="H821" s="101"/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01"/>
      <c r="Z821" s="101"/>
      <c r="AA821" s="101"/>
    </row>
    <row r="822" spans="1:27" ht="13.8">
      <c r="A822" s="101"/>
      <c r="B822" s="101"/>
      <c r="C822" s="101"/>
      <c r="D822" s="101"/>
      <c r="E822" s="101"/>
      <c r="F822" s="101"/>
      <c r="G822" s="101"/>
      <c r="H822" s="101"/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01"/>
      <c r="Z822" s="101"/>
      <c r="AA822" s="101"/>
    </row>
    <row r="823" spans="1:27" ht="13.8">
      <c r="A823" s="101"/>
      <c r="B823" s="101"/>
      <c r="C823" s="101"/>
      <c r="D823" s="101"/>
      <c r="E823" s="101"/>
      <c r="F823" s="101"/>
      <c r="G823" s="101"/>
      <c r="H823" s="101"/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01"/>
      <c r="Z823" s="101"/>
      <c r="AA823" s="101"/>
    </row>
    <row r="824" spans="1:27" ht="13.8">
      <c r="A824" s="101"/>
      <c r="B824" s="101"/>
      <c r="C824" s="101"/>
      <c r="D824" s="101"/>
      <c r="E824" s="101"/>
      <c r="F824" s="101"/>
      <c r="G824" s="101"/>
      <c r="H824" s="101"/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01"/>
      <c r="Z824" s="101"/>
      <c r="AA824" s="101"/>
    </row>
    <row r="825" spans="1:27" ht="13.8">
      <c r="A825" s="101"/>
      <c r="B825" s="101"/>
      <c r="C825" s="101"/>
      <c r="D825" s="101"/>
      <c r="E825" s="101"/>
      <c r="F825" s="101"/>
      <c r="G825" s="101"/>
      <c r="H825" s="101"/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01"/>
      <c r="Z825" s="101"/>
      <c r="AA825" s="101"/>
    </row>
    <row r="826" spans="1:27" ht="13.8">
      <c r="A826" s="101"/>
      <c r="B826" s="101"/>
      <c r="C826" s="101"/>
      <c r="D826" s="101"/>
      <c r="E826" s="101"/>
      <c r="F826" s="101"/>
      <c r="G826" s="101"/>
      <c r="H826" s="101"/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01"/>
      <c r="Z826" s="101"/>
      <c r="AA826" s="101"/>
    </row>
    <row r="827" spans="1:27" ht="13.8">
      <c r="A827" s="101"/>
      <c r="B827" s="101"/>
      <c r="C827" s="101"/>
      <c r="D827" s="101"/>
      <c r="E827" s="101"/>
      <c r="F827" s="101"/>
      <c r="G827" s="101"/>
      <c r="H827" s="101"/>
      <c r="I827" s="101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  <c r="Y827" s="101"/>
      <c r="Z827" s="101"/>
      <c r="AA827" s="101"/>
    </row>
    <row r="828" spans="1:27" ht="13.8">
      <c r="A828" s="101"/>
      <c r="B828" s="101"/>
      <c r="C828" s="101"/>
      <c r="D828" s="101"/>
      <c r="E828" s="101"/>
      <c r="F828" s="101"/>
      <c r="G828" s="101"/>
      <c r="H828" s="101"/>
      <c r="I828" s="101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  <c r="Y828" s="101"/>
      <c r="Z828" s="101"/>
      <c r="AA828" s="101"/>
    </row>
    <row r="829" spans="1:27" ht="13.8">
      <c r="A829" s="101"/>
      <c r="B829" s="101"/>
      <c r="C829" s="101"/>
      <c r="D829" s="101"/>
      <c r="E829" s="101"/>
      <c r="F829" s="101"/>
      <c r="G829" s="101"/>
      <c r="H829" s="101"/>
      <c r="I829" s="101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  <c r="Y829" s="101"/>
      <c r="Z829" s="101"/>
      <c r="AA829" s="101"/>
    </row>
    <row r="830" spans="1:27" ht="13.8">
      <c r="A830" s="101"/>
      <c r="B830" s="101"/>
      <c r="C830" s="101"/>
      <c r="D830" s="101"/>
      <c r="E830" s="101"/>
      <c r="F830" s="101"/>
      <c r="G830" s="101"/>
      <c r="H830" s="101"/>
      <c r="I830" s="101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  <c r="Y830" s="101"/>
      <c r="Z830" s="101"/>
      <c r="AA830" s="101"/>
    </row>
    <row r="831" spans="1:27" ht="13.8">
      <c r="A831" s="101"/>
      <c r="B831" s="101"/>
      <c r="C831" s="101"/>
      <c r="D831" s="101"/>
      <c r="E831" s="101"/>
      <c r="F831" s="101"/>
      <c r="G831" s="101"/>
      <c r="H831" s="101"/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01"/>
      <c r="Z831" s="101"/>
      <c r="AA831" s="101"/>
    </row>
    <row r="832" spans="1:27" ht="13.8">
      <c r="A832" s="101"/>
      <c r="B832" s="101"/>
      <c r="C832" s="101"/>
      <c r="D832" s="101"/>
      <c r="E832" s="101"/>
      <c r="F832" s="101"/>
      <c r="G832" s="101"/>
      <c r="H832" s="101"/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01"/>
      <c r="Z832" s="101"/>
      <c r="AA832" s="101"/>
    </row>
    <row r="833" spans="1:27" ht="13.8">
      <c r="A833" s="101"/>
      <c r="B833" s="101"/>
      <c r="C833" s="101"/>
      <c r="D833" s="101"/>
      <c r="E833" s="101"/>
      <c r="F833" s="101"/>
      <c r="G833" s="101"/>
      <c r="H833" s="101"/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01"/>
      <c r="Z833" s="101"/>
      <c r="AA833" s="101"/>
    </row>
    <row r="834" spans="1:27" ht="13.8">
      <c r="A834" s="101"/>
      <c r="B834" s="101"/>
      <c r="C834" s="101"/>
      <c r="D834" s="101"/>
      <c r="E834" s="101"/>
      <c r="F834" s="101"/>
      <c r="G834" s="101"/>
      <c r="H834" s="101"/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01"/>
      <c r="Z834" s="101"/>
      <c r="AA834" s="101"/>
    </row>
    <row r="835" spans="1:27" ht="13.8">
      <c r="A835" s="101"/>
      <c r="B835" s="101"/>
      <c r="C835" s="101"/>
      <c r="D835" s="101"/>
      <c r="E835" s="101"/>
      <c r="F835" s="101"/>
      <c r="G835" s="101"/>
      <c r="H835" s="101"/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01"/>
      <c r="Z835" s="101"/>
      <c r="AA835" s="101"/>
    </row>
    <row r="836" spans="1:27" ht="13.8">
      <c r="A836" s="101"/>
      <c r="B836" s="101"/>
      <c r="C836" s="101"/>
      <c r="D836" s="101"/>
      <c r="E836" s="101"/>
      <c r="F836" s="101"/>
      <c r="G836" s="101"/>
      <c r="H836" s="101"/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01"/>
      <c r="Z836" s="101"/>
      <c r="AA836" s="101"/>
    </row>
    <row r="837" spans="1:27" ht="13.8">
      <c r="A837" s="101"/>
      <c r="B837" s="101"/>
      <c r="C837" s="101"/>
      <c r="D837" s="101"/>
      <c r="E837" s="101"/>
      <c r="F837" s="101"/>
      <c r="G837" s="101"/>
      <c r="H837" s="101"/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01"/>
      <c r="Z837" s="101"/>
      <c r="AA837" s="101"/>
    </row>
    <row r="838" spans="1:27" ht="13.8">
      <c r="A838" s="101"/>
      <c r="B838" s="101"/>
      <c r="C838" s="101"/>
      <c r="D838" s="101"/>
      <c r="E838" s="101"/>
      <c r="F838" s="101"/>
      <c r="G838" s="101"/>
      <c r="H838" s="101"/>
      <c r="I838" s="101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  <c r="Y838" s="101"/>
      <c r="Z838" s="101"/>
      <c r="AA838" s="101"/>
    </row>
    <row r="839" spans="1:27" ht="13.8">
      <c r="A839" s="101"/>
      <c r="B839" s="101"/>
      <c r="C839" s="101"/>
      <c r="D839" s="101"/>
      <c r="E839" s="101"/>
      <c r="F839" s="101"/>
      <c r="G839" s="101"/>
      <c r="H839" s="101"/>
      <c r="I839" s="101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  <c r="Y839" s="101"/>
      <c r="Z839" s="101"/>
      <c r="AA839" s="101"/>
    </row>
    <row r="840" spans="1:27" ht="13.8">
      <c r="A840" s="101"/>
      <c r="B840" s="101"/>
      <c r="C840" s="101"/>
      <c r="D840" s="101"/>
      <c r="E840" s="101"/>
      <c r="F840" s="101"/>
      <c r="G840" s="101"/>
      <c r="H840" s="101"/>
      <c r="I840" s="101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  <c r="Y840" s="101"/>
      <c r="Z840" s="101"/>
      <c r="AA840" s="101"/>
    </row>
    <row r="841" spans="1:27" ht="13.8">
      <c r="A841" s="101"/>
      <c r="B841" s="101"/>
      <c r="C841" s="101"/>
      <c r="D841" s="101"/>
      <c r="E841" s="101"/>
      <c r="F841" s="101"/>
      <c r="G841" s="101"/>
      <c r="H841" s="101"/>
      <c r="I841" s="101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  <c r="Y841" s="101"/>
      <c r="Z841" s="101"/>
      <c r="AA841" s="101"/>
    </row>
    <row r="842" spans="1:27" ht="13.8">
      <c r="A842" s="101"/>
      <c r="B842" s="101"/>
      <c r="C842" s="101"/>
      <c r="D842" s="101"/>
      <c r="E842" s="101"/>
      <c r="F842" s="101"/>
      <c r="G842" s="101"/>
      <c r="H842" s="101"/>
      <c r="I842" s="101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  <c r="Y842" s="101"/>
      <c r="Z842" s="101"/>
      <c r="AA842" s="101"/>
    </row>
    <row r="843" spans="1:27" ht="13.8">
      <c r="A843" s="101"/>
      <c r="B843" s="101"/>
      <c r="C843" s="101"/>
      <c r="D843" s="101"/>
      <c r="E843" s="101"/>
      <c r="F843" s="101"/>
      <c r="G843" s="101"/>
      <c r="H843" s="101"/>
      <c r="I843" s="101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  <c r="Y843" s="101"/>
      <c r="Z843" s="101"/>
      <c r="AA843" s="101"/>
    </row>
    <row r="844" spans="1:27" ht="13.8">
      <c r="A844" s="101"/>
      <c r="B844" s="101"/>
      <c r="C844" s="101"/>
      <c r="D844" s="101"/>
      <c r="E844" s="101"/>
      <c r="F844" s="101"/>
      <c r="G844" s="101"/>
      <c r="H844" s="101"/>
      <c r="I844" s="101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  <c r="Y844" s="101"/>
      <c r="Z844" s="101"/>
      <c r="AA844" s="101"/>
    </row>
    <row r="845" spans="1:27" ht="13.8">
      <c r="A845" s="101"/>
      <c r="B845" s="101"/>
      <c r="C845" s="101"/>
      <c r="D845" s="101"/>
      <c r="E845" s="101"/>
      <c r="F845" s="101"/>
      <c r="G845" s="101"/>
      <c r="H845" s="101"/>
      <c r="I845" s="101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  <c r="Y845" s="101"/>
      <c r="Z845" s="101"/>
      <c r="AA845" s="101"/>
    </row>
    <row r="846" spans="1:27" ht="13.8">
      <c r="A846" s="101"/>
      <c r="B846" s="101"/>
      <c r="C846" s="101"/>
      <c r="D846" s="101"/>
      <c r="E846" s="101"/>
      <c r="F846" s="101"/>
      <c r="G846" s="101"/>
      <c r="H846" s="101"/>
      <c r="I846" s="101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  <c r="Y846" s="101"/>
      <c r="Z846" s="101"/>
      <c r="AA846" s="101"/>
    </row>
    <row r="847" spans="1:27" ht="13.8">
      <c r="A847" s="101"/>
      <c r="B847" s="101"/>
      <c r="C847" s="101"/>
      <c r="D847" s="101"/>
      <c r="E847" s="101"/>
      <c r="F847" s="101"/>
      <c r="G847" s="101"/>
      <c r="H847" s="101"/>
      <c r="I847" s="101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  <c r="Y847" s="101"/>
      <c r="Z847" s="101"/>
      <c r="AA847" s="101"/>
    </row>
    <row r="848" spans="1:27" ht="13.8">
      <c r="A848" s="101"/>
      <c r="B848" s="101"/>
      <c r="C848" s="101"/>
      <c r="D848" s="101"/>
      <c r="E848" s="101"/>
      <c r="F848" s="101"/>
      <c r="G848" s="101"/>
      <c r="H848" s="101"/>
      <c r="I848" s="101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  <c r="Y848" s="101"/>
      <c r="Z848" s="101"/>
      <c r="AA848" s="101"/>
    </row>
    <row r="849" spans="1:27" ht="13.8">
      <c r="A849" s="101"/>
      <c r="B849" s="101"/>
      <c r="C849" s="101"/>
      <c r="D849" s="101"/>
      <c r="E849" s="101"/>
      <c r="F849" s="101"/>
      <c r="G849" s="101"/>
      <c r="H849" s="101"/>
      <c r="I849" s="101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  <c r="Y849" s="101"/>
      <c r="Z849" s="101"/>
      <c r="AA849" s="101"/>
    </row>
    <row r="850" spans="1:27" ht="13.8">
      <c r="A850" s="101"/>
      <c r="B850" s="101"/>
      <c r="C850" s="101"/>
      <c r="D850" s="101"/>
      <c r="E850" s="101"/>
      <c r="F850" s="101"/>
      <c r="G850" s="101"/>
      <c r="H850" s="101"/>
      <c r="I850" s="101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  <c r="Y850" s="101"/>
      <c r="Z850" s="101"/>
      <c r="AA850" s="101"/>
    </row>
    <row r="851" spans="1:27" ht="13.8">
      <c r="A851" s="101"/>
      <c r="B851" s="101"/>
      <c r="C851" s="101"/>
      <c r="D851" s="101"/>
      <c r="E851" s="101"/>
      <c r="F851" s="101"/>
      <c r="G851" s="101"/>
      <c r="H851" s="101"/>
      <c r="I851" s="101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  <c r="Y851" s="101"/>
      <c r="Z851" s="101"/>
      <c r="AA851" s="101"/>
    </row>
    <row r="852" spans="1:27" ht="13.8">
      <c r="A852" s="101"/>
      <c r="B852" s="101"/>
      <c r="C852" s="101"/>
      <c r="D852" s="101"/>
      <c r="E852" s="101"/>
      <c r="F852" s="101"/>
      <c r="G852" s="101"/>
      <c r="H852" s="101"/>
      <c r="I852" s="101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  <c r="Y852" s="101"/>
      <c r="Z852" s="101"/>
      <c r="AA852" s="101"/>
    </row>
    <row r="853" spans="1:27" ht="13.8">
      <c r="A853" s="101"/>
      <c r="B853" s="101"/>
      <c r="C853" s="101"/>
      <c r="D853" s="101"/>
      <c r="E853" s="101"/>
      <c r="F853" s="101"/>
      <c r="G853" s="101"/>
      <c r="H853" s="101"/>
      <c r="I853" s="101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  <c r="Y853" s="101"/>
      <c r="Z853" s="101"/>
      <c r="AA853" s="101"/>
    </row>
    <row r="854" spans="1:27" ht="13.8">
      <c r="A854" s="101"/>
      <c r="B854" s="101"/>
      <c r="C854" s="101"/>
      <c r="D854" s="101"/>
      <c r="E854" s="101"/>
      <c r="F854" s="101"/>
      <c r="G854" s="101"/>
      <c r="H854" s="101"/>
      <c r="I854" s="101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  <c r="Y854" s="101"/>
      <c r="Z854" s="101"/>
      <c r="AA854" s="101"/>
    </row>
    <row r="855" spans="1:27" ht="13.8">
      <c r="A855" s="101"/>
      <c r="B855" s="101"/>
      <c r="C855" s="101"/>
      <c r="D855" s="101"/>
      <c r="E855" s="101"/>
      <c r="F855" s="101"/>
      <c r="G855" s="101"/>
      <c r="H855" s="101"/>
      <c r="I855" s="101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  <c r="Y855" s="101"/>
      <c r="Z855" s="101"/>
      <c r="AA855" s="101"/>
    </row>
    <row r="856" spans="1:27" ht="13.8">
      <c r="A856" s="101"/>
      <c r="B856" s="101"/>
      <c r="C856" s="101"/>
      <c r="D856" s="101"/>
      <c r="E856" s="101"/>
      <c r="F856" s="101"/>
      <c r="G856" s="101"/>
      <c r="H856" s="101"/>
      <c r="I856" s="101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  <c r="Y856" s="101"/>
      <c r="Z856" s="101"/>
      <c r="AA856" s="101"/>
    </row>
    <row r="857" spans="1:27" ht="13.8">
      <c r="A857" s="101"/>
      <c r="B857" s="101"/>
      <c r="C857" s="101"/>
      <c r="D857" s="101"/>
      <c r="E857" s="101"/>
      <c r="F857" s="101"/>
      <c r="G857" s="101"/>
      <c r="H857" s="101"/>
      <c r="I857" s="101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  <c r="Y857" s="101"/>
      <c r="Z857" s="101"/>
      <c r="AA857" s="101"/>
    </row>
    <row r="858" spans="1:27" ht="13.8">
      <c r="A858" s="101"/>
      <c r="B858" s="101"/>
      <c r="C858" s="101"/>
      <c r="D858" s="101"/>
      <c r="E858" s="101"/>
      <c r="F858" s="101"/>
      <c r="G858" s="101"/>
      <c r="H858" s="101"/>
      <c r="I858" s="101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  <c r="Y858" s="101"/>
      <c r="Z858" s="101"/>
      <c r="AA858" s="101"/>
    </row>
    <row r="859" spans="1:27" ht="13.8">
      <c r="A859" s="101"/>
      <c r="B859" s="101"/>
      <c r="C859" s="101"/>
      <c r="D859" s="101"/>
      <c r="E859" s="101"/>
      <c r="F859" s="101"/>
      <c r="G859" s="101"/>
      <c r="H859" s="101"/>
      <c r="I859" s="101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  <c r="Y859" s="101"/>
      <c r="Z859" s="101"/>
      <c r="AA859" s="101"/>
    </row>
    <row r="860" spans="1:27" ht="13.8">
      <c r="A860" s="101"/>
      <c r="B860" s="101"/>
      <c r="C860" s="101"/>
      <c r="D860" s="101"/>
      <c r="E860" s="101"/>
      <c r="F860" s="101"/>
      <c r="G860" s="101"/>
      <c r="H860" s="101"/>
      <c r="I860" s="101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  <c r="Y860" s="101"/>
      <c r="Z860" s="101"/>
      <c r="AA860" s="101"/>
    </row>
    <row r="861" spans="1:27" ht="13.8">
      <c r="A861" s="101"/>
      <c r="B861" s="101"/>
      <c r="C861" s="101"/>
      <c r="D861" s="101"/>
      <c r="E861" s="101"/>
      <c r="F861" s="101"/>
      <c r="G861" s="101"/>
      <c r="H861" s="101"/>
      <c r="I861" s="101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  <c r="Y861" s="101"/>
      <c r="Z861" s="101"/>
      <c r="AA861" s="101"/>
    </row>
    <row r="862" spans="1:27" ht="13.8">
      <c r="A862" s="101"/>
      <c r="B862" s="101"/>
      <c r="C862" s="101"/>
      <c r="D862" s="101"/>
      <c r="E862" s="101"/>
      <c r="F862" s="101"/>
      <c r="G862" s="101"/>
      <c r="H862" s="101"/>
      <c r="I862" s="101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  <c r="Y862" s="101"/>
      <c r="Z862" s="101"/>
      <c r="AA862" s="101"/>
    </row>
    <row r="863" spans="1:27" ht="13.8">
      <c r="A863" s="101"/>
      <c r="B863" s="101"/>
      <c r="C863" s="101"/>
      <c r="D863" s="101"/>
      <c r="E863" s="101"/>
      <c r="F863" s="101"/>
      <c r="G863" s="101"/>
      <c r="H863" s="101"/>
      <c r="I863" s="101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  <c r="Y863" s="101"/>
      <c r="Z863" s="101"/>
      <c r="AA863" s="101"/>
    </row>
    <row r="864" spans="1:27" ht="13.8">
      <c r="A864" s="101"/>
      <c r="B864" s="101"/>
      <c r="C864" s="101"/>
      <c r="D864" s="101"/>
      <c r="E864" s="101"/>
      <c r="F864" s="101"/>
      <c r="G864" s="101"/>
      <c r="H864" s="101"/>
      <c r="I864" s="101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  <c r="Y864" s="101"/>
      <c r="Z864" s="101"/>
      <c r="AA864" s="101"/>
    </row>
    <row r="865" spans="1:27" ht="13.8">
      <c r="A865" s="101"/>
      <c r="B865" s="101"/>
      <c r="C865" s="101"/>
      <c r="D865" s="101"/>
      <c r="E865" s="101"/>
      <c r="F865" s="101"/>
      <c r="G865" s="101"/>
      <c r="H865" s="101"/>
      <c r="I865" s="101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  <c r="Y865" s="101"/>
      <c r="Z865" s="101"/>
      <c r="AA865" s="101"/>
    </row>
    <row r="866" spans="1:27" ht="13.8">
      <c r="A866" s="101"/>
      <c r="B866" s="101"/>
      <c r="C866" s="101"/>
      <c r="D866" s="101"/>
      <c r="E866" s="101"/>
      <c r="F866" s="101"/>
      <c r="G866" s="101"/>
      <c r="H866" s="101"/>
      <c r="I866" s="101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  <c r="Y866" s="101"/>
      <c r="Z866" s="101"/>
      <c r="AA866" s="101"/>
    </row>
    <row r="867" spans="1:27" ht="13.8">
      <c r="A867" s="101"/>
      <c r="B867" s="101"/>
      <c r="C867" s="101"/>
      <c r="D867" s="101"/>
      <c r="E867" s="101"/>
      <c r="F867" s="101"/>
      <c r="G867" s="101"/>
      <c r="H867" s="101"/>
      <c r="I867" s="101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  <c r="Y867" s="101"/>
      <c r="Z867" s="101"/>
      <c r="AA867" s="101"/>
    </row>
    <row r="868" spans="1:27" ht="13.8">
      <c r="A868" s="101"/>
      <c r="B868" s="101"/>
      <c r="C868" s="101"/>
      <c r="D868" s="101"/>
      <c r="E868" s="101"/>
      <c r="F868" s="101"/>
      <c r="G868" s="101"/>
      <c r="H868" s="101"/>
      <c r="I868" s="101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  <c r="Y868" s="101"/>
      <c r="Z868" s="101"/>
      <c r="AA868" s="101"/>
    </row>
    <row r="869" spans="1:27" ht="13.8">
      <c r="A869" s="101"/>
      <c r="B869" s="101"/>
      <c r="C869" s="101"/>
      <c r="D869" s="101"/>
      <c r="E869" s="101"/>
      <c r="F869" s="101"/>
      <c r="G869" s="101"/>
      <c r="H869" s="101"/>
      <c r="I869" s="101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  <c r="Y869" s="101"/>
      <c r="Z869" s="101"/>
      <c r="AA869" s="101"/>
    </row>
    <row r="870" spans="1:27" ht="13.8">
      <c r="A870" s="101"/>
      <c r="B870" s="101"/>
      <c r="C870" s="101"/>
      <c r="D870" s="101"/>
      <c r="E870" s="101"/>
      <c r="F870" s="101"/>
      <c r="G870" s="101"/>
      <c r="H870" s="101"/>
      <c r="I870" s="101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  <c r="Y870" s="101"/>
      <c r="Z870" s="101"/>
      <c r="AA870" s="101"/>
    </row>
    <row r="871" spans="1:27" ht="13.8">
      <c r="A871" s="101"/>
      <c r="B871" s="101"/>
      <c r="C871" s="101"/>
      <c r="D871" s="101"/>
      <c r="E871" s="101"/>
      <c r="F871" s="101"/>
      <c r="G871" s="101"/>
      <c r="H871" s="101"/>
      <c r="I871" s="101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  <c r="Y871" s="101"/>
      <c r="Z871" s="101"/>
      <c r="AA871" s="101"/>
    </row>
    <row r="872" spans="1:27" ht="13.8">
      <c r="A872" s="101"/>
      <c r="B872" s="101"/>
      <c r="C872" s="101"/>
      <c r="D872" s="101"/>
      <c r="E872" s="101"/>
      <c r="F872" s="101"/>
      <c r="G872" s="101"/>
      <c r="H872" s="101"/>
      <c r="I872" s="101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  <c r="Y872" s="101"/>
      <c r="Z872" s="101"/>
      <c r="AA872" s="101"/>
    </row>
    <row r="873" spans="1:27" ht="13.8">
      <c r="A873" s="101"/>
      <c r="B873" s="101"/>
      <c r="C873" s="101"/>
      <c r="D873" s="101"/>
      <c r="E873" s="101"/>
      <c r="F873" s="101"/>
      <c r="G873" s="101"/>
      <c r="H873" s="101"/>
      <c r="I873" s="101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  <c r="Y873" s="101"/>
      <c r="Z873" s="101"/>
      <c r="AA873" s="101"/>
    </row>
    <row r="874" spans="1:27" ht="13.8">
      <c r="A874" s="101"/>
      <c r="B874" s="101"/>
      <c r="C874" s="101"/>
      <c r="D874" s="101"/>
      <c r="E874" s="101"/>
      <c r="F874" s="101"/>
      <c r="G874" s="101"/>
      <c r="H874" s="101"/>
      <c r="I874" s="101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  <c r="Y874" s="101"/>
      <c r="Z874" s="101"/>
      <c r="AA874" s="101"/>
    </row>
    <row r="875" spans="1:27" ht="13.8">
      <c r="A875" s="101"/>
      <c r="B875" s="101"/>
      <c r="C875" s="101"/>
      <c r="D875" s="101"/>
      <c r="E875" s="101"/>
      <c r="F875" s="101"/>
      <c r="G875" s="101"/>
      <c r="H875" s="101"/>
      <c r="I875" s="101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  <c r="Y875" s="101"/>
      <c r="Z875" s="101"/>
      <c r="AA875" s="101"/>
    </row>
    <row r="876" spans="1:27" ht="13.8">
      <c r="A876" s="101"/>
      <c r="B876" s="101"/>
      <c r="C876" s="101"/>
      <c r="D876" s="101"/>
      <c r="E876" s="101"/>
      <c r="F876" s="101"/>
      <c r="G876" s="101"/>
      <c r="H876" s="101"/>
      <c r="I876" s="101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  <c r="Y876" s="101"/>
      <c r="Z876" s="101"/>
      <c r="AA876" s="101"/>
    </row>
    <row r="877" spans="1:27" ht="13.8">
      <c r="A877" s="101"/>
      <c r="B877" s="101"/>
      <c r="C877" s="101"/>
      <c r="D877" s="101"/>
      <c r="E877" s="101"/>
      <c r="F877" s="101"/>
      <c r="G877" s="101"/>
      <c r="H877" s="101"/>
      <c r="I877" s="101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  <c r="Y877" s="101"/>
      <c r="Z877" s="101"/>
      <c r="AA877" s="101"/>
    </row>
    <row r="878" spans="1:27" ht="13.8">
      <c r="A878" s="101"/>
      <c r="B878" s="101"/>
      <c r="C878" s="101"/>
      <c r="D878" s="101"/>
      <c r="E878" s="101"/>
      <c r="F878" s="101"/>
      <c r="G878" s="101"/>
      <c r="H878" s="101"/>
      <c r="I878" s="101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  <c r="Y878" s="101"/>
      <c r="Z878" s="101"/>
      <c r="AA878" s="101"/>
    </row>
    <row r="879" spans="1:27" ht="13.8">
      <c r="A879" s="101"/>
      <c r="B879" s="101"/>
      <c r="C879" s="101"/>
      <c r="D879" s="101"/>
      <c r="E879" s="101"/>
      <c r="F879" s="101"/>
      <c r="G879" s="101"/>
      <c r="H879" s="101"/>
      <c r="I879" s="101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  <c r="Y879" s="101"/>
      <c r="Z879" s="101"/>
      <c r="AA879" s="101"/>
    </row>
    <row r="880" spans="1:27" ht="13.8">
      <c r="A880" s="101"/>
      <c r="B880" s="101"/>
      <c r="C880" s="101"/>
      <c r="D880" s="101"/>
      <c r="E880" s="101"/>
      <c r="F880" s="101"/>
      <c r="G880" s="101"/>
      <c r="H880" s="101"/>
      <c r="I880" s="101"/>
      <c r="J880" s="101"/>
      <c r="K880" s="101"/>
      <c r="L880" s="101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  <c r="Y880" s="101"/>
      <c r="Z880" s="101"/>
      <c r="AA880" s="101"/>
    </row>
    <row r="881" spans="1:27" ht="13.8">
      <c r="A881" s="101"/>
      <c r="B881" s="101"/>
      <c r="C881" s="101"/>
      <c r="D881" s="101"/>
      <c r="E881" s="101"/>
      <c r="F881" s="101"/>
      <c r="G881" s="101"/>
      <c r="H881" s="101"/>
      <c r="I881" s="101"/>
      <c r="J881" s="101"/>
      <c r="K881" s="101"/>
      <c r="L881" s="101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  <c r="Y881" s="101"/>
      <c r="Z881" s="101"/>
      <c r="AA881" s="101"/>
    </row>
    <row r="882" spans="1:27" ht="13.8">
      <c r="A882" s="101"/>
      <c r="B882" s="101"/>
      <c r="C882" s="101"/>
      <c r="D882" s="101"/>
      <c r="E882" s="101"/>
      <c r="F882" s="101"/>
      <c r="G882" s="101"/>
      <c r="H882" s="101"/>
      <c r="I882" s="101"/>
      <c r="J882" s="101"/>
      <c r="K882" s="101"/>
      <c r="L882" s="101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  <c r="Y882" s="101"/>
      <c r="Z882" s="101"/>
      <c r="AA882" s="101"/>
    </row>
    <row r="883" spans="1:27" ht="13.8">
      <c r="A883" s="101"/>
      <c r="B883" s="101"/>
      <c r="C883" s="101"/>
      <c r="D883" s="101"/>
      <c r="E883" s="101"/>
      <c r="F883" s="101"/>
      <c r="G883" s="101"/>
      <c r="H883" s="101"/>
      <c r="I883" s="101"/>
      <c r="J883" s="101"/>
      <c r="K883" s="101"/>
      <c r="L883" s="101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  <c r="Y883" s="101"/>
      <c r="Z883" s="101"/>
      <c r="AA883" s="101"/>
    </row>
    <row r="884" spans="1:27" ht="13.8">
      <c r="A884" s="101"/>
      <c r="B884" s="101"/>
      <c r="C884" s="101"/>
      <c r="D884" s="101"/>
      <c r="E884" s="101"/>
      <c r="F884" s="101"/>
      <c r="G884" s="101"/>
      <c r="H884" s="101"/>
      <c r="I884" s="101"/>
      <c r="J884" s="101"/>
      <c r="K884" s="101"/>
      <c r="L884" s="101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  <c r="Y884" s="101"/>
      <c r="Z884" s="101"/>
      <c r="AA884" s="101"/>
    </row>
    <row r="885" spans="1:27" ht="13.8">
      <c r="A885" s="101"/>
      <c r="B885" s="101"/>
      <c r="C885" s="101"/>
      <c r="D885" s="101"/>
      <c r="E885" s="101"/>
      <c r="F885" s="101"/>
      <c r="G885" s="101"/>
      <c r="H885" s="101"/>
      <c r="I885" s="101"/>
      <c r="J885" s="101"/>
      <c r="K885" s="101"/>
      <c r="L885" s="101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  <c r="Y885" s="101"/>
      <c r="Z885" s="101"/>
      <c r="AA885" s="101"/>
    </row>
    <row r="886" spans="1:27" ht="13.8">
      <c r="A886" s="101"/>
      <c r="B886" s="101"/>
      <c r="C886" s="101"/>
      <c r="D886" s="101"/>
      <c r="E886" s="101"/>
      <c r="F886" s="101"/>
      <c r="G886" s="101"/>
      <c r="H886" s="101"/>
      <c r="I886" s="101"/>
      <c r="J886" s="101"/>
      <c r="K886" s="101"/>
      <c r="L886" s="101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  <c r="Y886" s="101"/>
      <c r="Z886" s="101"/>
      <c r="AA886" s="101"/>
    </row>
    <row r="887" spans="1:27" ht="13.8">
      <c r="A887" s="101"/>
      <c r="B887" s="101"/>
      <c r="C887" s="101"/>
      <c r="D887" s="101"/>
      <c r="E887" s="101"/>
      <c r="F887" s="101"/>
      <c r="G887" s="101"/>
      <c r="H887" s="101"/>
      <c r="I887" s="101"/>
      <c r="J887" s="101"/>
      <c r="K887" s="101"/>
      <c r="L887" s="101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  <c r="Y887" s="101"/>
      <c r="Z887" s="101"/>
      <c r="AA887" s="101"/>
    </row>
    <row r="888" spans="1:27" ht="13.8">
      <c r="A888" s="101"/>
      <c r="B888" s="101"/>
      <c r="C888" s="101"/>
      <c r="D888" s="101"/>
      <c r="E888" s="101"/>
      <c r="F888" s="101"/>
      <c r="G888" s="101"/>
      <c r="H888" s="101"/>
      <c r="I888" s="101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  <c r="Y888" s="101"/>
      <c r="Z888" s="101"/>
      <c r="AA888" s="101"/>
    </row>
    <row r="889" spans="1:27" ht="13.8">
      <c r="A889" s="101"/>
      <c r="B889" s="101"/>
      <c r="C889" s="101"/>
      <c r="D889" s="101"/>
      <c r="E889" s="101"/>
      <c r="F889" s="101"/>
      <c r="G889" s="101"/>
      <c r="H889" s="101"/>
      <c r="I889" s="101"/>
      <c r="J889" s="101"/>
      <c r="K889" s="101"/>
      <c r="L889" s="101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  <c r="Y889" s="101"/>
      <c r="Z889" s="101"/>
      <c r="AA889" s="101"/>
    </row>
    <row r="890" spans="1:27" ht="13.8">
      <c r="A890" s="101"/>
      <c r="B890" s="101"/>
      <c r="C890" s="101"/>
      <c r="D890" s="101"/>
      <c r="E890" s="101"/>
      <c r="F890" s="101"/>
      <c r="G890" s="101"/>
      <c r="H890" s="101"/>
      <c r="I890" s="101"/>
      <c r="J890" s="101"/>
      <c r="K890" s="101"/>
      <c r="L890" s="101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  <c r="Y890" s="101"/>
      <c r="Z890" s="101"/>
      <c r="AA890" s="101"/>
    </row>
    <row r="891" spans="1:27" ht="13.8">
      <c r="A891" s="101"/>
      <c r="B891" s="101"/>
      <c r="C891" s="101"/>
      <c r="D891" s="101"/>
      <c r="E891" s="101"/>
      <c r="F891" s="101"/>
      <c r="G891" s="101"/>
      <c r="H891" s="101"/>
      <c r="I891" s="101"/>
      <c r="J891" s="101"/>
      <c r="K891" s="101"/>
      <c r="L891" s="101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  <c r="Y891" s="101"/>
      <c r="Z891" s="101"/>
      <c r="AA891" s="101"/>
    </row>
    <row r="892" spans="1:27" ht="13.8">
      <c r="A892" s="101"/>
      <c r="B892" s="101"/>
      <c r="C892" s="101"/>
      <c r="D892" s="101"/>
      <c r="E892" s="101"/>
      <c r="F892" s="101"/>
      <c r="G892" s="101"/>
      <c r="H892" s="101"/>
      <c r="I892" s="101"/>
      <c r="J892" s="101"/>
      <c r="K892" s="101"/>
      <c r="L892" s="101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  <c r="Y892" s="101"/>
      <c r="Z892" s="101"/>
      <c r="AA892" s="101"/>
    </row>
    <row r="893" spans="1:27" ht="13.8">
      <c r="A893" s="101"/>
      <c r="B893" s="101"/>
      <c r="C893" s="101"/>
      <c r="D893" s="101"/>
      <c r="E893" s="101"/>
      <c r="F893" s="101"/>
      <c r="G893" s="101"/>
      <c r="H893" s="101"/>
      <c r="I893" s="101"/>
      <c r="J893" s="101"/>
      <c r="K893" s="101"/>
      <c r="L893" s="101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  <c r="Y893" s="101"/>
      <c r="Z893" s="101"/>
      <c r="AA893" s="101"/>
    </row>
    <row r="894" spans="1:27" ht="13.8">
      <c r="A894" s="101"/>
      <c r="B894" s="101"/>
      <c r="C894" s="101"/>
      <c r="D894" s="101"/>
      <c r="E894" s="101"/>
      <c r="F894" s="101"/>
      <c r="G894" s="101"/>
      <c r="H894" s="101"/>
      <c r="I894" s="101"/>
      <c r="J894" s="101"/>
      <c r="K894" s="101"/>
      <c r="L894" s="101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  <c r="Y894" s="101"/>
      <c r="Z894" s="101"/>
      <c r="AA894" s="101"/>
    </row>
    <row r="895" spans="1:27" ht="13.8">
      <c r="A895" s="101"/>
      <c r="B895" s="101"/>
      <c r="C895" s="101"/>
      <c r="D895" s="101"/>
      <c r="E895" s="101"/>
      <c r="F895" s="101"/>
      <c r="G895" s="101"/>
      <c r="H895" s="101"/>
      <c r="I895" s="101"/>
      <c r="J895" s="101"/>
      <c r="K895" s="101"/>
      <c r="L895" s="101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  <c r="Y895" s="101"/>
      <c r="Z895" s="101"/>
      <c r="AA895" s="101"/>
    </row>
    <row r="896" spans="1:27" ht="13.8">
      <c r="A896" s="101"/>
      <c r="B896" s="101"/>
      <c r="C896" s="101"/>
      <c r="D896" s="101"/>
      <c r="E896" s="101"/>
      <c r="F896" s="101"/>
      <c r="G896" s="101"/>
      <c r="H896" s="101"/>
      <c r="I896" s="101"/>
      <c r="J896" s="101"/>
      <c r="K896" s="101"/>
      <c r="L896" s="101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  <c r="Y896" s="101"/>
      <c r="Z896" s="101"/>
      <c r="AA896" s="101"/>
    </row>
    <row r="897" spans="1:27" ht="13.8">
      <c r="A897" s="101"/>
      <c r="B897" s="101"/>
      <c r="C897" s="101"/>
      <c r="D897" s="101"/>
      <c r="E897" s="101"/>
      <c r="F897" s="101"/>
      <c r="G897" s="101"/>
      <c r="H897" s="101"/>
      <c r="I897" s="101"/>
      <c r="J897" s="101"/>
      <c r="K897" s="101"/>
      <c r="L897" s="101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  <c r="Y897" s="101"/>
      <c r="Z897" s="101"/>
      <c r="AA897" s="101"/>
    </row>
    <row r="898" spans="1:27" ht="13.8">
      <c r="A898" s="101"/>
      <c r="B898" s="101"/>
      <c r="C898" s="101"/>
      <c r="D898" s="101"/>
      <c r="E898" s="101"/>
      <c r="F898" s="101"/>
      <c r="G898" s="101"/>
      <c r="H898" s="101"/>
      <c r="I898" s="101"/>
      <c r="J898" s="101"/>
      <c r="K898" s="101"/>
      <c r="L898" s="101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  <c r="Y898" s="101"/>
      <c r="Z898" s="101"/>
      <c r="AA898" s="101"/>
    </row>
    <row r="899" spans="1:27" ht="13.8">
      <c r="A899" s="101"/>
      <c r="B899" s="101"/>
      <c r="C899" s="101"/>
      <c r="D899" s="101"/>
      <c r="E899" s="101"/>
      <c r="F899" s="101"/>
      <c r="G899" s="101"/>
      <c r="H899" s="101"/>
      <c r="I899" s="101"/>
      <c r="J899" s="101"/>
      <c r="K899" s="101"/>
      <c r="L899" s="101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  <c r="Y899" s="101"/>
      <c r="Z899" s="101"/>
      <c r="AA899" s="101"/>
    </row>
    <row r="900" spans="1:27" ht="13.8">
      <c r="A900" s="101"/>
      <c r="B900" s="101"/>
      <c r="C900" s="101"/>
      <c r="D900" s="101"/>
      <c r="E900" s="101"/>
      <c r="F900" s="101"/>
      <c r="G900" s="101"/>
      <c r="H900" s="101"/>
      <c r="I900" s="101"/>
      <c r="J900" s="101"/>
      <c r="K900" s="101"/>
      <c r="L900" s="101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  <c r="Y900" s="101"/>
      <c r="Z900" s="101"/>
      <c r="AA900" s="101"/>
    </row>
    <row r="901" spans="1:27" ht="13.8">
      <c r="A901" s="101"/>
      <c r="B901" s="101"/>
      <c r="C901" s="101"/>
      <c r="D901" s="101"/>
      <c r="E901" s="101"/>
      <c r="F901" s="101"/>
      <c r="G901" s="101"/>
      <c r="H901" s="101"/>
      <c r="I901" s="101"/>
      <c r="J901" s="101"/>
      <c r="K901" s="101"/>
      <c r="L901" s="101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  <c r="Y901" s="101"/>
      <c r="Z901" s="101"/>
      <c r="AA901" s="101"/>
    </row>
    <row r="902" spans="1:27" ht="13.8">
      <c r="A902" s="101"/>
      <c r="B902" s="101"/>
      <c r="C902" s="101"/>
      <c r="D902" s="101"/>
      <c r="E902" s="101"/>
      <c r="F902" s="101"/>
      <c r="G902" s="101"/>
      <c r="H902" s="101"/>
      <c r="I902" s="101"/>
      <c r="J902" s="101"/>
      <c r="K902" s="101"/>
      <c r="L902" s="101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  <c r="Y902" s="101"/>
      <c r="Z902" s="101"/>
      <c r="AA902" s="101"/>
    </row>
    <row r="903" spans="1:27" ht="13.8">
      <c r="A903" s="101"/>
      <c r="B903" s="101"/>
      <c r="C903" s="101"/>
      <c r="D903" s="101"/>
      <c r="E903" s="101"/>
      <c r="F903" s="101"/>
      <c r="G903" s="101"/>
      <c r="H903" s="101"/>
      <c r="I903" s="101"/>
      <c r="J903" s="101"/>
      <c r="K903" s="101"/>
      <c r="L903" s="101"/>
      <c r="M903" s="101"/>
      <c r="N903" s="101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  <c r="Y903" s="101"/>
      <c r="Z903" s="101"/>
      <c r="AA903" s="101"/>
    </row>
    <row r="904" spans="1:27" ht="13.8">
      <c r="A904" s="101"/>
      <c r="B904" s="101"/>
      <c r="C904" s="101"/>
      <c r="D904" s="101"/>
      <c r="E904" s="101"/>
      <c r="F904" s="101"/>
      <c r="G904" s="101"/>
      <c r="H904" s="101"/>
      <c r="I904" s="101"/>
      <c r="J904" s="101"/>
      <c r="K904" s="101"/>
      <c r="L904" s="101"/>
      <c r="M904" s="101"/>
      <c r="N904" s="101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  <c r="Y904" s="101"/>
      <c r="Z904" s="101"/>
      <c r="AA904" s="101"/>
    </row>
    <row r="905" spans="1:27" ht="13.8">
      <c r="A905" s="101"/>
      <c r="B905" s="101"/>
      <c r="C905" s="101"/>
      <c r="D905" s="101"/>
      <c r="E905" s="101"/>
      <c r="F905" s="101"/>
      <c r="G905" s="101"/>
      <c r="H905" s="101"/>
      <c r="I905" s="101"/>
      <c r="J905" s="101"/>
      <c r="K905" s="101"/>
      <c r="L905" s="101"/>
      <c r="M905" s="101"/>
      <c r="N905" s="101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  <c r="Y905" s="101"/>
      <c r="Z905" s="101"/>
      <c r="AA905" s="101"/>
    </row>
    <row r="906" spans="1:27" ht="13.8">
      <c r="A906" s="101"/>
      <c r="B906" s="101"/>
      <c r="C906" s="101"/>
      <c r="D906" s="101"/>
      <c r="E906" s="101"/>
      <c r="F906" s="101"/>
      <c r="G906" s="101"/>
      <c r="H906" s="101"/>
      <c r="I906" s="101"/>
      <c r="J906" s="101"/>
      <c r="K906" s="101"/>
      <c r="L906" s="101"/>
      <c r="M906" s="101"/>
      <c r="N906" s="101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  <c r="Y906" s="101"/>
      <c r="Z906" s="101"/>
      <c r="AA906" s="101"/>
    </row>
    <row r="907" spans="1:27" ht="13.8">
      <c r="A907" s="101"/>
      <c r="B907" s="101"/>
      <c r="C907" s="101"/>
      <c r="D907" s="101"/>
      <c r="E907" s="101"/>
      <c r="F907" s="101"/>
      <c r="G907" s="101"/>
      <c r="H907" s="101"/>
      <c r="I907" s="101"/>
      <c r="J907" s="101"/>
      <c r="K907" s="101"/>
      <c r="L907" s="101"/>
      <c r="M907" s="101"/>
      <c r="N907" s="101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  <c r="Y907" s="101"/>
      <c r="Z907" s="101"/>
      <c r="AA907" s="101"/>
    </row>
    <row r="908" spans="1:27" ht="13.8">
      <c r="A908" s="101"/>
      <c r="B908" s="101"/>
      <c r="C908" s="101"/>
      <c r="D908" s="101"/>
      <c r="E908" s="101"/>
      <c r="F908" s="101"/>
      <c r="G908" s="101"/>
      <c r="H908" s="101"/>
      <c r="I908" s="101"/>
      <c r="J908" s="101"/>
      <c r="K908" s="101"/>
      <c r="L908" s="101"/>
      <c r="M908" s="101"/>
      <c r="N908" s="101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  <c r="Y908" s="101"/>
      <c r="Z908" s="101"/>
      <c r="AA908" s="101"/>
    </row>
    <row r="909" spans="1:27" ht="13.8">
      <c r="A909" s="101"/>
      <c r="B909" s="101"/>
      <c r="C909" s="101"/>
      <c r="D909" s="101"/>
      <c r="E909" s="101"/>
      <c r="F909" s="101"/>
      <c r="G909" s="101"/>
      <c r="H909" s="101"/>
      <c r="I909" s="101"/>
      <c r="J909" s="101"/>
      <c r="K909" s="101"/>
      <c r="L909" s="101"/>
      <c r="M909" s="101"/>
      <c r="N909" s="101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  <c r="Y909" s="101"/>
      <c r="Z909" s="101"/>
      <c r="AA909" s="101"/>
    </row>
    <row r="910" spans="1:27" ht="13.8">
      <c r="A910" s="101"/>
      <c r="B910" s="101"/>
      <c r="C910" s="101"/>
      <c r="D910" s="101"/>
      <c r="E910" s="101"/>
      <c r="F910" s="101"/>
      <c r="G910" s="101"/>
      <c r="H910" s="101"/>
      <c r="I910" s="101"/>
      <c r="J910" s="101"/>
      <c r="K910" s="101"/>
      <c r="L910" s="101"/>
      <c r="M910" s="101"/>
      <c r="N910" s="101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  <c r="Y910" s="101"/>
      <c r="Z910" s="101"/>
      <c r="AA910" s="101"/>
    </row>
    <row r="911" spans="1:27" ht="13.8">
      <c r="A911" s="101"/>
      <c r="B911" s="101"/>
      <c r="C911" s="101"/>
      <c r="D911" s="101"/>
      <c r="E911" s="101"/>
      <c r="F911" s="101"/>
      <c r="G911" s="101"/>
      <c r="H911" s="101"/>
      <c r="I911" s="101"/>
      <c r="J911" s="101"/>
      <c r="K911" s="101"/>
      <c r="L911" s="101"/>
      <c r="M911" s="101"/>
      <c r="N911" s="101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  <c r="Y911" s="101"/>
      <c r="Z911" s="101"/>
      <c r="AA911" s="101"/>
    </row>
    <row r="912" spans="1:27" ht="13.8">
      <c r="A912" s="101"/>
      <c r="B912" s="101"/>
      <c r="C912" s="101"/>
      <c r="D912" s="101"/>
      <c r="E912" s="101"/>
      <c r="F912" s="101"/>
      <c r="G912" s="101"/>
      <c r="H912" s="101"/>
      <c r="I912" s="101"/>
      <c r="J912" s="101"/>
      <c r="K912" s="101"/>
      <c r="L912" s="101"/>
      <c r="M912" s="101"/>
      <c r="N912" s="101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  <c r="Y912" s="101"/>
      <c r="Z912" s="101"/>
      <c r="AA912" s="101"/>
    </row>
    <row r="913" spans="1:27" ht="13.8">
      <c r="A913" s="101"/>
      <c r="B913" s="101"/>
      <c r="C913" s="101"/>
      <c r="D913" s="101"/>
      <c r="E913" s="101"/>
      <c r="F913" s="101"/>
      <c r="G913" s="101"/>
      <c r="H913" s="101"/>
      <c r="I913" s="101"/>
      <c r="J913" s="101"/>
      <c r="K913" s="101"/>
      <c r="L913" s="101"/>
      <c r="M913" s="101"/>
      <c r="N913" s="101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  <c r="Y913" s="101"/>
      <c r="Z913" s="101"/>
      <c r="AA913" s="101"/>
    </row>
    <row r="914" spans="1:27" ht="13.8">
      <c r="A914" s="101"/>
      <c r="B914" s="101"/>
      <c r="C914" s="101"/>
      <c r="D914" s="101"/>
      <c r="E914" s="101"/>
      <c r="F914" s="101"/>
      <c r="G914" s="101"/>
      <c r="H914" s="101"/>
      <c r="I914" s="101"/>
      <c r="J914" s="101"/>
      <c r="K914" s="101"/>
      <c r="L914" s="101"/>
      <c r="M914" s="101"/>
      <c r="N914" s="101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  <c r="Y914" s="101"/>
      <c r="Z914" s="101"/>
      <c r="AA914" s="101"/>
    </row>
    <row r="915" spans="1:27" ht="13.8">
      <c r="A915" s="101"/>
      <c r="B915" s="101"/>
      <c r="C915" s="101"/>
      <c r="D915" s="101"/>
      <c r="E915" s="101"/>
      <c r="F915" s="101"/>
      <c r="G915" s="101"/>
      <c r="H915" s="101"/>
      <c r="I915" s="101"/>
      <c r="J915" s="101"/>
      <c r="K915" s="101"/>
      <c r="L915" s="101"/>
      <c r="M915" s="101"/>
      <c r="N915" s="101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  <c r="Y915" s="101"/>
      <c r="Z915" s="101"/>
      <c r="AA915" s="101"/>
    </row>
    <row r="916" spans="1:27" ht="13.8">
      <c r="A916" s="101"/>
      <c r="B916" s="101"/>
      <c r="C916" s="101"/>
      <c r="D916" s="101"/>
      <c r="E916" s="101"/>
      <c r="F916" s="101"/>
      <c r="G916" s="101"/>
      <c r="H916" s="101"/>
      <c r="I916" s="101"/>
      <c r="J916" s="101"/>
      <c r="K916" s="101"/>
      <c r="L916" s="101"/>
      <c r="M916" s="101"/>
      <c r="N916" s="101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  <c r="Y916" s="101"/>
      <c r="Z916" s="101"/>
      <c r="AA916" s="101"/>
    </row>
    <row r="917" spans="1:27" ht="13.8">
      <c r="A917" s="101"/>
      <c r="B917" s="101"/>
      <c r="C917" s="101"/>
      <c r="D917" s="101"/>
      <c r="E917" s="101"/>
      <c r="F917" s="101"/>
      <c r="G917" s="101"/>
      <c r="H917" s="101"/>
      <c r="I917" s="101"/>
      <c r="J917" s="101"/>
      <c r="K917" s="101"/>
      <c r="L917" s="101"/>
      <c r="M917" s="101"/>
      <c r="N917" s="101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  <c r="Y917" s="101"/>
      <c r="Z917" s="101"/>
      <c r="AA917" s="101"/>
    </row>
    <row r="918" spans="1:27" ht="13.8">
      <c r="A918" s="101"/>
      <c r="B918" s="101"/>
      <c r="C918" s="101"/>
      <c r="D918" s="101"/>
      <c r="E918" s="101"/>
      <c r="F918" s="101"/>
      <c r="G918" s="101"/>
      <c r="H918" s="101"/>
      <c r="I918" s="101"/>
      <c r="J918" s="101"/>
      <c r="K918" s="101"/>
      <c r="L918" s="101"/>
      <c r="M918" s="101"/>
      <c r="N918" s="101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  <c r="Y918" s="101"/>
      <c r="Z918" s="101"/>
      <c r="AA918" s="101"/>
    </row>
    <row r="919" spans="1:27" ht="13.8">
      <c r="A919" s="101"/>
      <c r="B919" s="101"/>
      <c r="C919" s="101"/>
      <c r="D919" s="101"/>
      <c r="E919" s="101"/>
      <c r="F919" s="101"/>
      <c r="G919" s="101"/>
      <c r="H919" s="101"/>
      <c r="I919" s="101"/>
      <c r="J919" s="101"/>
      <c r="K919" s="101"/>
      <c r="L919" s="101"/>
      <c r="M919" s="101"/>
      <c r="N919" s="101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  <c r="Y919" s="101"/>
      <c r="Z919" s="101"/>
      <c r="AA919" s="101"/>
    </row>
    <row r="920" spans="1:27" ht="13.8">
      <c r="A920" s="101"/>
      <c r="B920" s="101"/>
      <c r="C920" s="101"/>
      <c r="D920" s="101"/>
      <c r="E920" s="101"/>
      <c r="F920" s="101"/>
      <c r="G920" s="101"/>
      <c r="H920" s="101"/>
      <c r="I920" s="101"/>
      <c r="J920" s="101"/>
      <c r="K920" s="101"/>
      <c r="L920" s="101"/>
      <c r="M920" s="101"/>
      <c r="N920" s="101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  <c r="Y920" s="101"/>
      <c r="Z920" s="101"/>
      <c r="AA920" s="101"/>
    </row>
    <row r="921" spans="1:27" ht="13.8">
      <c r="A921" s="101"/>
      <c r="B921" s="101"/>
      <c r="C921" s="101"/>
      <c r="D921" s="101"/>
      <c r="E921" s="101"/>
      <c r="F921" s="101"/>
      <c r="G921" s="101"/>
      <c r="H921" s="101"/>
      <c r="I921" s="101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  <c r="Y921" s="101"/>
      <c r="Z921" s="101"/>
      <c r="AA921" s="101"/>
    </row>
    <row r="922" spans="1:27" ht="13.8">
      <c r="A922" s="101"/>
      <c r="B922" s="101"/>
      <c r="C922" s="101"/>
      <c r="D922" s="101"/>
      <c r="E922" s="101"/>
      <c r="F922" s="101"/>
      <c r="G922" s="101"/>
      <c r="H922" s="101"/>
      <c r="I922" s="101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  <c r="Y922" s="101"/>
      <c r="Z922" s="101"/>
      <c r="AA922" s="101"/>
    </row>
    <row r="923" spans="1:27" ht="13.8">
      <c r="A923" s="101"/>
      <c r="B923" s="101"/>
      <c r="C923" s="101"/>
      <c r="D923" s="101"/>
      <c r="E923" s="101"/>
      <c r="F923" s="101"/>
      <c r="G923" s="101"/>
      <c r="H923" s="101"/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01"/>
      <c r="Z923" s="101"/>
      <c r="AA923" s="101"/>
    </row>
    <row r="924" spans="1:27" ht="13.8">
      <c r="A924" s="101"/>
      <c r="B924" s="101"/>
      <c r="C924" s="101"/>
      <c r="D924" s="101"/>
      <c r="E924" s="101"/>
      <c r="F924" s="101"/>
      <c r="G924" s="101"/>
      <c r="H924" s="101"/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01"/>
      <c r="Z924" s="101"/>
      <c r="AA924" s="101"/>
    </row>
    <row r="925" spans="1:27" ht="13.8">
      <c r="A925" s="101"/>
      <c r="B925" s="101"/>
      <c r="C925" s="101"/>
      <c r="D925" s="101"/>
      <c r="E925" s="101"/>
      <c r="F925" s="101"/>
      <c r="G925" s="101"/>
      <c r="H925" s="101"/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01"/>
      <c r="Z925" s="101"/>
      <c r="AA925" s="101"/>
    </row>
    <row r="926" spans="1:27" ht="13.8">
      <c r="A926" s="101"/>
      <c r="B926" s="101"/>
      <c r="C926" s="101"/>
      <c r="D926" s="101"/>
      <c r="E926" s="101"/>
      <c r="F926" s="101"/>
      <c r="G926" s="101"/>
      <c r="H926" s="101"/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01"/>
      <c r="Z926" s="101"/>
      <c r="AA926" s="101"/>
    </row>
    <row r="927" spans="1:27" ht="13.8">
      <c r="A927" s="101"/>
      <c r="B927" s="101"/>
      <c r="C927" s="101"/>
      <c r="D927" s="101"/>
      <c r="E927" s="101"/>
      <c r="F927" s="101"/>
      <c r="G927" s="101"/>
      <c r="H927" s="101"/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01"/>
      <c r="Z927" s="101"/>
      <c r="AA927" s="101"/>
    </row>
    <row r="928" spans="1:27" ht="13.8">
      <c r="A928" s="101"/>
      <c r="B928" s="101"/>
      <c r="C928" s="101"/>
      <c r="D928" s="101"/>
      <c r="E928" s="101"/>
      <c r="F928" s="101"/>
      <c r="G928" s="101"/>
      <c r="H928" s="101"/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01"/>
      <c r="Z928" s="101"/>
      <c r="AA928" s="101"/>
    </row>
    <row r="929" spans="1:27" ht="13.8">
      <c r="A929" s="101"/>
      <c r="B929" s="101"/>
      <c r="C929" s="101"/>
      <c r="D929" s="101"/>
      <c r="E929" s="101"/>
      <c r="F929" s="101"/>
      <c r="G929" s="101"/>
      <c r="H929" s="101"/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01"/>
      <c r="Z929" s="101"/>
      <c r="AA929" s="101"/>
    </row>
    <row r="930" spans="1:27" ht="13.8">
      <c r="A930" s="101"/>
      <c r="B930" s="101"/>
      <c r="C930" s="101"/>
      <c r="D930" s="101"/>
      <c r="E930" s="101"/>
      <c r="F930" s="101"/>
      <c r="G930" s="101"/>
      <c r="H930" s="101"/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01"/>
      <c r="Z930" s="101"/>
      <c r="AA930" s="101"/>
    </row>
    <row r="931" spans="1:27" ht="13.8">
      <c r="A931" s="101"/>
      <c r="B931" s="101"/>
      <c r="C931" s="101"/>
      <c r="D931" s="101"/>
      <c r="E931" s="101"/>
      <c r="F931" s="101"/>
      <c r="G931" s="101"/>
      <c r="H931" s="101"/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01"/>
      <c r="Z931" s="101"/>
      <c r="AA931" s="101"/>
    </row>
    <row r="932" spans="1:27" ht="13.8">
      <c r="A932" s="101"/>
      <c r="B932" s="101"/>
      <c r="C932" s="101"/>
      <c r="D932" s="101"/>
      <c r="E932" s="101"/>
      <c r="F932" s="101"/>
      <c r="G932" s="101"/>
      <c r="H932" s="101"/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01"/>
      <c r="Z932" s="101"/>
      <c r="AA932" s="101"/>
    </row>
    <row r="933" spans="1:27" ht="13.8">
      <c r="A933" s="101"/>
      <c r="B933" s="101"/>
      <c r="C933" s="101"/>
      <c r="D933" s="101"/>
      <c r="E933" s="101"/>
      <c r="F933" s="101"/>
      <c r="G933" s="101"/>
      <c r="H933" s="101"/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01"/>
      <c r="Z933" s="101"/>
      <c r="AA933" s="101"/>
    </row>
    <row r="934" spans="1:27" ht="13.8">
      <c r="A934" s="101"/>
      <c r="B934" s="101"/>
      <c r="C934" s="101"/>
      <c r="D934" s="101"/>
      <c r="E934" s="101"/>
      <c r="F934" s="101"/>
      <c r="G934" s="101"/>
      <c r="H934" s="101"/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01"/>
      <c r="Z934" s="101"/>
      <c r="AA934" s="101"/>
    </row>
    <row r="935" spans="1:27" ht="13.8">
      <c r="A935" s="101"/>
      <c r="B935" s="101"/>
      <c r="C935" s="101"/>
      <c r="D935" s="101"/>
      <c r="E935" s="101"/>
      <c r="F935" s="101"/>
      <c r="G935" s="101"/>
      <c r="H935" s="101"/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01"/>
      <c r="Z935" s="101"/>
      <c r="AA935" s="101"/>
    </row>
    <row r="936" spans="1:27" ht="13.8">
      <c r="A936" s="101"/>
      <c r="B936" s="101"/>
      <c r="C936" s="101"/>
      <c r="D936" s="101"/>
      <c r="E936" s="101"/>
      <c r="F936" s="101"/>
      <c r="G936" s="101"/>
      <c r="H936" s="101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01"/>
      <c r="Z936" s="101"/>
      <c r="AA936" s="101"/>
    </row>
    <row r="937" spans="1:27" ht="13.8">
      <c r="A937" s="101"/>
      <c r="B937" s="101"/>
      <c r="C937" s="101"/>
      <c r="D937" s="101"/>
      <c r="E937" s="101"/>
      <c r="F937" s="101"/>
      <c r="G937" s="101"/>
      <c r="H937" s="101"/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  <c r="Y937" s="101"/>
      <c r="Z937" s="101"/>
      <c r="AA937" s="101"/>
    </row>
    <row r="938" spans="1:27" ht="13.8">
      <c r="A938" s="101"/>
      <c r="B938" s="101"/>
      <c r="C938" s="101"/>
      <c r="D938" s="101"/>
      <c r="E938" s="101"/>
      <c r="F938" s="101"/>
      <c r="G938" s="101"/>
      <c r="H938" s="101"/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  <c r="Y938" s="101"/>
      <c r="Z938" s="101"/>
      <c r="AA938" s="101"/>
    </row>
    <row r="939" spans="1:27" ht="13.8">
      <c r="A939" s="101"/>
      <c r="B939" s="101"/>
      <c r="C939" s="101"/>
      <c r="D939" s="101"/>
      <c r="E939" s="101"/>
      <c r="F939" s="101"/>
      <c r="G939" s="101"/>
      <c r="H939" s="101"/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  <c r="Y939" s="101"/>
      <c r="Z939" s="101"/>
      <c r="AA939" s="101"/>
    </row>
    <row r="940" spans="1:27" ht="13.8">
      <c r="A940" s="101"/>
      <c r="B940" s="101"/>
      <c r="C940" s="101"/>
      <c r="D940" s="101"/>
      <c r="E940" s="101"/>
      <c r="F940" s="101"/>
      <c r="G940" s="101"/>
      <c r="H940" s="101"/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  <c r="Y940" s="101"/>
      <c r="Z940" s="101"/>
      <c r="AA940" s="101"/>
    </row>
    <row r="941" spans="1:27" ht="13.8">
      <c r="A941" s="101"/>
      <c r="B941" s="101"/>
      <c r="C941" s="101"/>
      <c r="D941" s="101"/>
      <c r="E941" s="101"/>
      <c r="F941" s="101"/>
      <c r="G941" s="101"/>
      <c r="H941" s="101"/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  <c r="Y941" s="101"/>
      <c r="Z941" s="101"/>
      <c r="AA941" s="101"/>
    </row>
    <row r="942" spans="1:27" ht="13.8">
      <c r="A942" s="101"/>
      <c r="B942" s="101"/>
      <c r="C942" s="101"/>
      <c r="D942" s="101"/>
      <c r="E942" s="101"/>
      <c r="F942" s="101"/>
      <c r="G942" s="101"/>
      <c r="H942" s="101"/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  <c r="Y942" s="101"/>
      <c r="Z942" s="101"/>
      <c r="AA942" s="101"/>
    </row>
    <row r="943" spans="1:27" ht="13.8">
      <c r="A943" s="101"/>
      <c r="B943" s="101"/>
      <c r="C943" s="101"/>
      <c r="D943" s="101"/>
      <c r="E943" s="101"/>
      <c r="F943" s="101"/>
      <c r="G943" s="101"/>
      <c r="H943" s="101"/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  <c r="Y943" s="101"/>
      <c r="Z943" s="101"/>
      <c r="AA943" s="101"/>
    </row>
    <row r="944" spans="1:27" ht="13.8">
      <c r="A944" s="101"/>
      <c r="B944" s="101"/>
      <c r="C944" s="101"/>
      <c r="D944" s="101"/>
      <c r="E944" s="101"/>
      <c r="F944" s="101"/>
      <c r="G944" s="101"/>
      <c r="H944" s="101"/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  <c r="Y944" s="101"/>
      <c r="Z944" s="101"/>
      <c r="AA944" s="101"/>
    </row>
    <row r="945" spans="1:27" ht="13.8">
      <c r="A945" s="101"/>
      <c r="B945" s="101"/>
      <c r="C945" s="101"/>
      <c r="D945" s="101"/>
      <c r="E945" s="101"/>
      <c r="F945" s="101"/>
      <c r="G945" s="101"/>
      <c r="H945" s="101"/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  <c r="Y945" s="101"/>
      <c r="Z945" s="101"/>
      <c r="AA945" s="101"/>
    </row>
    <row r="946" spans="1:27" ht="13.8">
      <c r="A946" s="101"/>
      <c r="B946" s="101"/>
      <c r="C946" s="101"/>
      <c r="D946" s="101"/>
      <c r="E946" s="101"/>
      <c r="F946" s="101"/>
      <c r="G946" s="101"/>
      <c r="H946" s="101"/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  <c r="Y946" s="101"/>
      <c r="Z946" s="101"/>
      <c r="AA946" s="101"/>
    </row>
    <row r="947" spans="1:27" ht="13.8">
      <c r="A947" s="101"/>
      <c r="B947" s="101"/>
      <c r="C947" s="101"/>
      <c r="D947" s="101"/>
      <c r="E947" s="101"/>
      <c r="F947" s="101"/>
      <c r="G947" s="101"/>
      <c r="H947" s="101"/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  <c r="Y947" s="101"/>
      <c r="Z947" s="101"/>
      <c r="AA947" s="101"/>
    </row>
    <row r="948" spans="1:27" ht="13.8">
      <c r="A948" s="101"/>
      <c r="B948" s="101"/>
      <c r="C948" s="101"/>
      <c r="D948" s="101"/>
      <c r="E948" s="101"/>
      <c r="F948" s="101"/>
      <c r="G948" s="101"/>
      <c r="H948" s="101"/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  <c r="Y948" s="101"/>
      <c r="Z948" s="101"/>
      <c r="AA948" s="101"/>
    </row>
    <row r="949" spans="1:27" ht="13.8">
      <c r="A949" s="101"/>
      <c r="B949" s="101"/>
      <c r="C949" s="101"/>
      <c r="D949" s="101"/>
      <c r="E949" s="101"/>
      <c r="F949" s="101"/>
      <c r="G949" s="101"/>
      <c r="H949" s="101"/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  <c r="Y949" s="101"/>
      <c r="Z949" s="101"/>
      <c r="AA949" s="101"/>
    </row>
    <row r="950" spans="1:27" ht="13.8">
      <c r="A950" s="101"/>
      <c r="B950" s="101"/>
      <c r="C950" s="101"/>
      <c r="D950" s="101"/>
      <c r="E950" s="101"/>
      <c r="F950" s="101"/>
      <c r="G950" s="101"/>
      <c r="H950" s="101"/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  <c r="Y950" s="101"/>
      <c r="Z950" s="101"/>
      <c r="AA950" s="101"/>
    </row>
    <row r="951" spans="1:27" ht="13.8">
      <c r="A951" s="101"/>
      <c r="B951" s="101"/>
      <c r="C951" s="101"/>
      <c r="D951" s="101"/>
      <c r="E951" s="101"/>
      <c r="F951" s="101"/>
      <c r="G951" s="101"/>
      <c r="H951" s="101"/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  <c r="Y951" s="101"/>
      <c r="Z951" s="101"/>
      <c r="AA951" s="101"/>
    </row>
    <row r="952" spans="1:27" ht="13.8">
      <c r="A952" s="101"/>
      <c r="B952" s="101"/>
      <c r="C952" s="101"/>
      <c r="D952" s="101"/>
      <c r="E952" s="101"/>
      <c r="F952" s="101"/>
      <c r="G952" s="101"/>
      <c r="H952" s="101"/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  <c r="Y952" s="101"/>
      <c r="Z952" s="101"/>
      <c r="AA952" s="101"/>
    </row>
    <row r="953" spans="1:27" ht="13.8">
      <c r="A953" s="101"/>
      <c r="B953" s="101"/>
      <c r="C953" s="101"/>
      <c r="D953" s="101"/>
      <c r="E953" s="101"/>
      <c r="F953" s="101"/>
      <c r="G953" s="101"/>
      <c r="H953" s="101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  <c r="Y953" s="101"/>
      <c r="Z953" s="101"/>
      <c r="AA953" s="101"/>
    </row>
    <row r="954" spans="1:27" ht="13.8">
      <c r="A954" s="101"/>
      <c r="B954" s="101"/>
      <c r="C954" s="101"/>
      <c r="D954" s="101"/>
      <c r="E954" s="101"/>
      <c r="F954" s="101"/>
      <c r="G954" s="101"/>
      <c r="H954" s="101"/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  <c r="Y954" s="101"/>
      <c r="Z954" s="101"/>
      <c r="AA954" s="101"/>
    </row>
    <row r="955" spans="1:27" ht="13.8">
      <c r="A955" s="101"/>
      <c r="B955" s="101"/>
      <c r="C955" s="101"/>
      <c r="D955" s="101"/>
      <c r="E955" s="101"/>
      <c r="F955" s="101"/>
      <c r="G955" s="101"/>
      <c r="H955" s="101"/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  <c r="Y955" s="101"/>
      <c r="Z955" s="101"/>
      <c r="AA955" s="101"/>
    </row>
    <row r="956" spans="1:27" ht="13.8">
      <c r="A956" s="101"/>
      <c r="B956" s="101"/>
      <c r="C956" s="101"/>
      <c r="D956" s="101"/>
      <c r="E956" s="101"/>
      <c r="F956" s="101"/>
      <c r="G956" s="101"/>
      <c r="H956" s="101"/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  <c r="Y956" s="101"/>
      <c r="Z956" s="101"/>
      <c r="AA956" s="101"/>
    </row>
    <row r="957" spans="1:27" ht="13.8">
      <c r="A957" s="101"/>
      <c r="B957" s="101"/>
      <c r="C957" s="101"/>
      <c r="D957" s="101"/>
      <c r="E957" s="101"/>
      <c r="F957" s="101"/>
      <c r="G957" s="101"/>
      <c r="H957" s="101"/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  <c r="Y957" s="101"/>
      <c r="Z957" s="101"/>
      <c r="AA957" s="101"/>
    </row>
    <row r="958" spans="1:27" ht="13.8">
      <c r="A958" s="101"/>
      <c r="B958" s="101"/>
      <c r="C958" s="101"/>
      <c r="D958" s="101"/>
      <c r="E958" s="101"/>
      <c r="F958" s="101"/>
      <c r="G958" s="101"/>
      <c r="H958" s="101"/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  <c r="Y958" s="101"/>
      <c r="Z958" s="101"/>
      <c r="AA958" s="101"/>
    </row>
    <row r="959" spans="1:27" ht="13.8">
      <c r="A959" s="101"/>
      <c r="B959" s="101"/>
      <c r="C959" s="101"/>
      <c r="D959" s="101"/>
      <c r="E959" s="101"/>
      <c r="F959" s="101"/>
      <c r="G959" s="101"/>
      <c r="H959" s="101"/>
      <c r="I959" s="101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  <c r="Y959" s="101"/>
      <c r="Z959" s="101"/>
      <c r="AA959" s="101"/>
    </row>
    <row r="960" spans="1:27" ht="13.8">
      <c r="A960" s="101"/>
      <c r="B960" s="101"/>
      <c r="C960" s="101"/>
      <c r="D960" s="101"/>
      <c r="E960" s="101"/>
      <c r="F960" s="101"/>
      <c r="G960" s="101"/>
      <c r="H960" s="101"/>
      <c r="I960" s="101"/>
      <c r="J960" s="101"/>
      <c r="K960" s="101"/>
      <c r="L960" s="101"/>
      <c r="M960" s="101"/>
      <c r="N960" s="101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  <c r="Y960" s="101"/>
      <c r="Z960" s="101"/>
      <c r="AA960" s="101"/>
    </row>
    <row r="961" spans="1:27" ht="13.8">
      <c r="A961" s="101"/>
      <c r="B961" s="101"/>
      <c r="C961" s="101"/>
      <c r="D961" s="101"/>
      <c r="E961" s="101"/>
      <c r="F961" s="101"/>
      <c r="G961" s="101"/>
      <c r="H961" s="101"/>
      <c r="I961" s="101"/>
      <c r="J961" s="101"/>
      <c r="K961" s="101"/>
      <c r="L961" s="101"/>
      <c r="M961" s="101"/>
      <c r="N961" s="101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  <c r="Y961" s="101"/>
      <c r="Z961" s="101"/>
      <c r="AA961" s="101"/>
    </row>
    <row r="962" spans="1:27" ht="13.8">
      <c r="A962" s="101"/>
      <c r="B962" s="101"/>
      <c r="C962" s="101"/>
      <c r="D962" s="101"/>
      <c r="E962" s="101"/>
      <c r="F962" s="101"/>
      <c r="G962" s="101"/>
      <c r="H962" s="101"/>
      <c r="I962" s="101"/>
      <c r="J962" s="101"/>
      <c r="K962" s="101"/>
      <c r="L962" s="101"/>
      <c r="M962" s="101"/>
      <c r="N962" s="101"/>
      <c r="O962" s="101"/>
      <c r="P962" s="101"/>
      <c r="Q962" s="101"/>
      <c r="R962" s="101"/>
      <c r="S962" s="101"/>
      <c r="T962" s="101"/>
      <c r="U962" s="101"/>
      <c r="V962" s="101"/>
      <c r="W962" s="101"/>
      <c r="X962" s="101"/>
      <c r="Y962" s="101"/>
      <c r="Z962" s="101"/>
      <c r="AA962" s="101"/>
    </row>
    <row r="963" spans="1:27" ht="13.8">
      <c r="A963" s="101"/>
      <c r="B963" s="101"/>
      <c r="C963" s="101"/>
      <c r="D963" s="101"/>
      <c r="E963" s="101"/>
      <c r="F963" s="101"/>
      <c r="G963" s="101"/>
      <c r="H963" s="101"/>
      <c r="I963" s="101"/>
      <c r="J963" s="101"/>
      <c r="K963" s="101"/>
      <c r="L963" s="101"/>
      <c r="M963" s="101"/>
      <c r="N963" s="101"/>
      <c r="O963" s="101"/>
      <c r="P963" s="101"/>
      <c r="Q963" s="101"/>
      <c r="R963" s="101"/>
      <c r="S963" s="101"/>
      <c r="T963" s="101"/>
      <c r="U963" s="101"/>
      <c r="V963" s="101"/>
      <c r="W963" s="101"/>
      <c r="X963" s="101"/>
      <c r="Y963" s="101"/>
      <c r="Z963" s="101"/>
      <c r="AA963" s="101"/>
    </row>
    <row r="964" spans="1:27" ht="13.8">
      <c r="A964" s="101"/>
      <c r="B964" s="101"/>
      <c r="C964" s="101"/>
      <c r="D964" s="101"/>
      <c r="E964" s="101"/>
      <c r="F964" s="101"/>
      <c r="G964" s="101"/>
      <c r="H964" s="101"/>
      <c r="I964" s="101"/>
      <c r="J964" s="101"/>
      <c r="K964" s="101"/>
      <c r="L964" s="101"/>
      <c r="M964" s="101"/>
      <c r="N964" s="101"/>
      <c r="O964" s="101"/>
      <c r="P964" s="101"/>
      <c r="Q964" s="101"/>
      <c r="R964" s="101"/>
      <c r="S964" s="101"/>
      <c r="T964" s="101"/>
      <c r="U964" s="101"/>
      <c r="V964" s="101"/>
      <c r="W964" s="101"/>
      <c r="X964" s="101"/>
      <c r="Y964" s="101"/>
      <c r="Z964" s="101"/>
      <c r="AA964" s="101"/>
    </row>
    <row r="965" spans="1:27" ht="13.8">
      <c r="A965" s="101"/>
      <c r="B965" s="101"/>
      <c r="C965" s="101"/>
      <c r="D965" s="101"/>
      <c r="E965" s="101"/>
      <c r="F965" s="101"/>
      <c r="G965" s="101"/>
      <c r="H965" s="101"/>
      <c r="I965" s="101"/>
      <c r="J965" s="101"/>
      <c r="K965" s="101"/>
      <c r="L965" s="101"/>
      <c r="M965" s="101"/>
      <c r="N965" s="101"/>
      <c r="O965" s="101"/>
      <c r="P965" s="101"/>
      <c r="Q965" s="101"/>
      <c r="R965" s="101"/>
      <c r="S965" s="101"/>
      <c r="T965" s="101"/>
      <c r="U965" s="101"/>
      <c r="V965" s="101"/>
      <c r="W965" s="101"/>
      <c r="X965" s="101"/>
      <c r="Y965" s="101"/>
      <c r="Z965" s="101"/>
      <c r="AA965" s="101"/>
    </row>
    <row r="966" spans="1:27" ht="13.8">
      <c r="A966" s="101"/>
      <c r="B966" s="101"/>
      <c r="C966" s="101"/>
      <c r="D966" s="101"/>
      <c r="E966" s="101"/>
      <c r="F966" s="101"/>
      <c r="G966" s="101"/>
      <c r="H966" s="101"/>
      <c r="I966" s="101"/>
      <c r="J966" s="101"/>
      <c r="K966" s="101"/>
      <c r="L966" s="101"/>
      <c r="M966" s="101"/>
      <c r="N966" s="101"/>
      <c r="O966" s="101"/>
      <c r="P966" s="101"/>
      <c r="Q966" s="101"/>
      <c r="R966" s="101"/>
      <c r="S966" s="101"/>
      <c r="T966" s="101"/>
      <c r="U966" s="101"/>
      <c r="V966" s="101"/>
      <c r="W966" s="101"/>
      <c r="X966" s="101"/>
      <c r="Y966" s="101"/>
      <c r="Z966" s="101"/>
      <c r="AA966" s="101"/>
    </row>
    <row r="967" spans="1:27" ht="13.8">
      <c r="A967" s="101"/>
      <c r="B967" s="101"/>
      <c r="C967" s="101"/>
      <c r="D967" s="101"/>
      <c r="E967" s="101"/>
      <c r="F967" s="101"/>
      <c r="G967" s="101"/>
      <c r="H967" s="101"/>
      <c r="I967" s="101"/>
      <c r="J967" s="101"/>
      <c r="K967" s="101"/>
      <c r="L967" s="101"/>
      <c r="M967" s="101"/>
      <c r="N967" s="101"/>
      <c r="O967" s="101"/>
      <c r="P967" s="101"/>
      <c r="Q967" s="101"/>
      <c r="R967" s="101"/>
      <c r="S967" s="101"/>
      <c r="T967" s="101"/>
      <c r="U967" s="101"/>
      <c r="V967" s="101"/>
      <c r="W967" s="101"/>
      <c r="X967" s="101"/>
      <c r="Y967" s="101"/>
      <c r="Z967" s="101"/>
      <c r="AA967" s="101"/>
    </row>
    <row r="968" spans="1:27" ht="13.8">
      <c r="A968" s="101"/>
      <c r="B968" s="101"/>
      <c r="C968" s="101"/>
      <c r="D968" s="101"/>
      <c r="E968" s="101"/>
      <c r="F968" s="101"/>
      <c r="G968" s="101"/>
      <c r="H968" s="101"/>
      <c r="I968" s="101"/>
      <c r="J968" s="101"/>
      <c r="K968" s="101"/>
      <c r="L968" s="101"/>
      <c r="M968" s="101"/>
      <c r="N968" s="101"/>
      <c r="O968" s="101"/>
      <c r="P968" s="101"/>
      <c r="Q968" s="101"/>
      <c r="R968" s="101"/>
      <c r="S968" s="101"/>
      <c r="T968" s="101"/>
      <c r="U968" s="101"/>
      <c r="V968" s="101"/>
      <c r="W968" s="101"/>
      <c r="X968" s="101"/>
      <c r="Y968" s="101"/>
      <c r="Z968" s="101"/>
      <c r="AA968" s="101"/>
    </row>
    <row r="969" spans="1:27" ht="13.8">
      <c r="A969" s="101"/>
      <c r="B969" s="101"/>
      <c r="C969" s="101"/>
      <c r="D969" s="101"/>
      <c r="E969" s="101"/>
      <c r="F969" s="101"/>
      <c r="G969" s="101"/>
      <c r="H969" s="101"/>
      <c r="I969" s="101"/>
      <c r="J969" s="101"/>
      <c r="K969" s="101"/>
      <c r="L969" s="101"/>
      <c r="M969" s="101"/>
      <c r="N969" s="101"/>
      <c r="O969" s="101"/>
      <c r="P969" s="101"/>
      <c r="Q969" s="101"/>
      <c r="R969" s="101"/>
      <c r="S969" s="101"/>
      <c r="T969" s="101"/>
      <c r="U969" s="101"/>
      <c r="V969" s="101"/>
      <c r="W969" s="101"/>
      <c r="X969" s="101"/>
      <c r="Y969" s="101"/>
      <c r="Z969" s="101"/>
      <c r="AA969" s="101"/>
    </row>
    <row r="970" spans="1:27" ht="13.8">
      <c r="A970" s="101"/>
      <c r="B970" s="101"/>
      <c r="C970" s="101"/>
      <c r="D970" s="101"/>
      <c r="E970" s="101"/>
      <c r="F970" s="101"/>
      <c r="G970" s="101"/>
      <c r="H970" s="101"/>
      <c r="I970" s="101"/>
      <c r="J970" s="101"/>
      <c r="K970" s="101"/>
      <c r="L970" s="101"/>
      <c r="M970" s="101"/>
      <c r="N970" s="101"/>
      <c r="O970" s="101"/>
      <c r="P970" s="101"/>
      <c r="Q970" s="101"/>
      <c r="R970" s="101"/>
      <c r="S970" s="101"/>
      <c r="T970" s="101"/>
      <c r="U970" s="101"/>
      <c r="V970" s="101"/>
      <c r="W970" s="101"/>
      <c r="X970" s="101"/>
      <c r="Y970" s="101"/>
      <c r="Z970" s="101"/>
      <c r="AA970" s="101"/>
    </row>
    <row r="971" spans="1:27" ht="13.8">
      <c r="A971" s="101"/>
      <c r="B971" s="101"/>
      <c r="C971" s="101"/>
      <c r="D971" s="101"/>
      <c r="E971" s="101"/>
      <c r="F971" s="101"/>
      <c r="G971" s="101"/>
      <c r="H971" s="101"/>
      <c r="I971" s="101"/>
      <c r="J971" s="101"/>
      <c r="K971" s="101"/>
      <c r="L971" s="101"/>
      <c r="M971" s="101"/>
      <c r="N971" s="101"/>
      <c r="O971" s="101"/>
      <c r="P971" s="101"/>
      <c r="Q971" s="101"/>
      <c r="R971" s="101"/>
      <c r="S971" s="101"/>
      <c r="T971" s="101"/>
      <c r="U971" s="101"/>
      <c r="V971" s="101"/>
      <c r="W971" s="101"/>
      <c r="X971" s="101"/>
      <c r="Y971" s="101"/>
      <c r="Z971" s="101"/>
      <c r="AA971" s="101"/>
    </row>
    <row r="972" spans="1:27" ht="13.8">
      <c r="A972" s="101"/>
      <c r="B972" s="101"/>
      <c r="C972" s="101"/>
      <c r="D972" s="101"/>
      <c r="E972" s="101"/>
      <c r="F972" s="101"/>
      <c r="G972" s="101"/>
      <c r="H972" s="101"/>
      <c r="I972" s="101"/>
      <c r="J972" s="101"/>
      <c r="K972" s="101"/>
      <c r="L972" s="101"/>
      <c r="M972" s="101"/>
      <c r="N972" s="101"/>
      <c r="O972" s="101"/>
      <c r="P972" s="101"/>
      <c r="Q972" s="101"/>
      <c r="R972" s="101"/>
      <c r="S972" s="101"/>
      <c r="T972" s="101"/>
      <c r="U972" s="101"/>
      <c r="V972" s="101"/>
      <c r="W972" s="101"/>
      <c r="X972" s="101"/>
      <c r="Y972" s="101"/>
      <c r="Z972" s="101"/>
      <c r="AA972" s="101"/>
    </row>
    <row r="973" spans="1:27" ht="13.8">
      <c r="A973" s="101"/>
      <c r="B973" s="101"/>
      <c r="C973" s="101"/>
      <c r="D973" s="101"/>
      <c r="E973" s="101"/>
      <c r="F973" s="101"/>
      <c r="G973" s="101"/>
      <c r="H973" s="101"/>
      <c r="I973" s="101"/>
      <c r="J973" s="101"/>
      <c r="K973" s="101"/>
      <c r="L973" s="101"/>
      <c r="M973" s="101"/>
      <c r="N973" s="101"/>
      <c r="O973" s="101"/>
      <c r="P973" s="101"/>
      <c r="Q973" s="101"/>
      <c r="R973" s="101"/>
      <c r="S973" s="101"/>
      <c r="T973" s="101"/>
      <c r="U973" s="101"/>
      <c r="V973" s="101"/>
      <c r="W973" s="101"/>
      <c r="X973" s="101"/>
      <c r="Y973" s="101"/>
      <c r="Z973" s="101"/>
      <c r="AA973" s="101"/>
    </row>
    <row r="974" spans="1:27" ht="13.8">
      <c r="A974" s="101"/>
      <c r="B974" s="101"/>
      <c r="C974" s="101"/>
      <c r="D974" s="101"/>
      <c r="E974" s="101"/>
      <c r="F974" s="101"/>
      <c r="G974" s="101"/>
      <c r="H974" s="101"/>
      <c r="I974" s="101"/>
      <c r="J974" s="101"/>
      <c r="K974" s="101"/>
      <c r="L974" s="101"/>
      <c r="M974" s="101"/>
      <c r="N974" s="101"/>
      <c r="O974" s="101"/>
      <c r="P974" s="101"/>
      <c r="Q974" s="101"/>
      <c r="R974" s="101"/>
      <c r="S974" s="101"/>
      <c r="T974" s="101"/>
      <c r="U974" s="101"/>
      <c r="V974" s="101"/>
      <c r="W974" s="101"/>
      <c r="X974" s="101"/>
      <c r="Y974" s="101"/>
      <c r="Z974" s="101"/>
      <c r="AA974" s="101"/>
    </row>
    <row r="975" spans="1:27" ht="13.8">
      <c r="A975" s="101"/>
      <c r="B975" s="101"/>
      <c r="C975" s="101"/>
      <c r="D975" s="101"/>
      <c r="E975" s="101"/>
      <c r="F975" s="101"/>
      <c r="G975" s="101"/>
      <c r="H975" s="101"/>
      <c r="I975" s="101"/>
      <c r="J975" s="101"/>
      <c r="K975" s="101"/>
      <c r="L975" s="101"/>
      <c r="M975" s="101"/>
      <c r="N975" s="101"/>
      <c r="O975" s="101"/>
      <c r="P975" s="101"/>
      <c r="Q975" s="101"/>
      <c r="R975" s="101"/>
      <c r="S975" s="101"/>
      <c r="T975" s="101"/>
      <c r="U975" s="101"/>
      <c r="V975" s="101"/>
      <c r="W975" s="101"/>
      <c r="X975" s="101"/>
      <c r="Y975" s="101"/>
      <c r="Z975" s="101"/>
      <c r="AA975" s="101"/>
    </row>
    <row r="976" spans="1:27" ht="13.8">
      <c r="A976" s="101"/>
      <c r="B976" s="101"/>
      <c r="C976" s="101"/>
      <c r="D976" s="101"/>
      <c r="E976" s="101"/>
      <c r="F976" s="101"/>
      <c r="G976" s="101"/>
      <c r="H976" s="101"/>
      <c r="I976" s="101"/>
      <c r="J976" s="101"/>
      <c r="K976" s="101"/>
      <c r="L976" s="101"/>
      <c r="M976" s="101"/>
      <c r="N976" s="101"/>
      <c r="O976" s="101"/>
      <c r="P976" s="101"/>
      <c r="Q976" s="101"/>
      <c r="R976" s="101"/>
      <c r="S976" s="101"/>
      <c r="T976" s="101"/>
      <c r="U976" s="101"/>
      <c r="V976" s="101"/>
      <c r="W976" s="101"/>
      <c r="X976" s="101"/>
      <c r="Y976" s="101"/>
      <c r="Z976" s="101"/>
      <c r="AA976" s="101"/>
    </row>
    <row r="977" spans="1:27" ht="13.8">
      <c r="A977" s="101"/>
      <c r="B977" s="101"/>
      <c r="C977" s="101"/>
      <c r="D977" s="101"/>
      <c r="E977" s="101"/>
      <c r="F977" s="101"/>
      <c r="G977" s="101"/>
      <c r="H977" s="101"/>
      <c r="I977" s="101"/>
      <c r="J977" s="101"/>
      <c r="K977" s="101"/>
      <c r="L977" s="101"/>
      <c r="M977" s="101"/>
      <c r="N977" s="101"/>
      <c r="O977" s="101"/>
      <c r="P977" s="101"/>
      <c r="Q977" s="101"/>
      <c r="R977" s="101"/>
      <c r="S977" s="101"/>
      <c r="T977" s="101"/>
      <c r="U977" s="101"/>
      <c r="V977" s="101"/>
      <c r="W977" s="101"/>
      <c r="X977" s="101"/>
      <c r="Y977" s="101"/>
      <c r="Z977" s="101"/>
      <c r="AA977" s="101"/>
    </row>
    <row r="978" spans="1:27" ht="13.8">
      <c r="A978" s="101"/>
      <c r="B978" s="101"/>
      <c r="C978" s="101"/>
      <c r="D978" s="101"/>
      <c r="E978" s="101"/>
      <c r="F978" s="101"/>
      <c r="G978" s="101"/>
      <c r="H978" s="101"/>
      <c r="I978" s="101"/>
      <c r="J978" s="101"/>
      <c r="K978" s="101"/>
      <c r="L978" s="101"/>
      <c r="M978" s="101"/>
      <c r="N978" s="101"/>
      <c r="O978" s="101"/>
      <c r="P978" s="101"/>
      <c r="Q978" s="101"/>
      <c r="R978" s="101"/>
      <c r="S978" s="101"/>
      <c r="T978" s="101"/>
      <c r="U978" s="101"/>
      <c r="V978" s="101"/>
      <c r="W978" s="101"/>
      <c r="X978" s="101"/>
      <c r="Y978" s="101"/>
      <c r="Z978" s="101"/>
      <c r="AA978" s="101"/>
    </row>
    <row r="979" spans="1:27" ht="13.8">
      <c r="A979" s="101"/>
      <c r="B979" s="101"/>
      <c r="C979" s="101"/>
      <c r="D979" s="101"/>
      <c r="E979" s="101"/>
      <c r="F979" s="101"/>
      <c r="G979" s="101"/>
      <c r="H979" s="101"/>
      <c r="I979" s="101"/>
      <c r="J979" s="101"/>
      <c r="K979" s="101"/>
      <c r="L979" s="101"/>
      <c r="M979" s="101"/>
      <c r="N979" s="101"/>
      <c r="O979" s="101"/>
      <c r="P979" s="101"/>
      <c r="Q979" s="101"/>
      <c r="R979" s="101"/>
      <c r="S979" s="101"/>
      <c r="T979" s="101"/>
      <c r="U979" s="101"/>
      <c r="V979" s="101"/>
      <c r="W979" s="101"/>
      <c r="X979" s="101"/>
      <c r="Y979" s="101"/>
      <c r="Z979" s="101"/>
      <c r="AA979" s="101"/>
    </row>
    <row r="980" spans="1:27" ht="13.8">
      <c r="A980" s="101"/>
      <c r="B980" s="101"/>
      <c r="C980" s="101"/>
      <c r="D980" s="101"/>
      <c r="E980" s="101"/>
      <c r="F980" s="101"/>
      <c r="G980" s="101"/>
      <c r="H980" s="101"/>
      <c r="I980" s="101"/>
      <c r="J980" s="101"/>
      <c r="K980" s="101"/>
      <c r="L980" s="101"/>
      <c r="M980" s="101"/>
      <c r="N980" s="101"/>
      <c r="O980" s="101"/>
      <c r="P980" s="101"/>
      <c r="Q980" s="101"/>
      <c r="R980" s="101"/>
      <c r="S980" s="101"/>
      <c r="T980" s="101"/>
      <c r="U980" s="101"/>
      <c r="V980" s="101"/>
      <c r="W980" s="101"/>
      <c r="X980" s="101"/>
      <c r="Y980" s="101"/>
      <c r="Z980" s="101"/>
      <c r="AA980" s="101"/>
    </row>
    <row r="981" spans="1:27" ht="13.8">
      <c r="A981" s="101"/>
      <c r="B981" s="101"/>
      <c r="C981" s="101"/>
      <c r="D981" s="101"/>
      <c r="E981" s="101"/>
      <c r="F981" s="101"/>
      <c r="G981" s="101"/>
      <c r="H981" s="101"/>
      <c r="I981" s="101"/>
      <c r="J981" s="101"/>
      <c r="K981" s="101"/>
      <c r="L981" s="101"/>
      <c r="M981" s="101"/>
      <c r="N981" s="101"/>
      <c r="O981" s="101"/>
      <c r="P981" s="101"/>
      <c r="Q981" s="101"/>
      <c r="R981" s="101"/>
      <c r="S981" s="101"/>
      <c r="T981" s="101"/>
      <c r="U981" s="101"/>
      <c r="V981" s="101"/>
      <c r="W981" s="101"/>
      <c r="X981" s="101"/>
      <c r="Y981" s="101"/>
      <c r="Z981" s="101"/>
      <c r="AA981" s="101"/>
    </row>
    <row r="982" spans="1:27" ht="13.8">
      <c r="A982" s="101"/>
      <c r="B982" s="101"/>
      <c r="C982" s="101"/>
      <c r="D982" s="101"/>
      <c r="E982" s="101"/>
      <c r="F982" s="101"/>
      <c r="G982" s="101"/>
      <c r="H982" s="101"/>
      <c r="I982" s="101"/>
      <c r="J982" s="101"/>
      <c r="K982" s="101"/>
      <c r="L982" s="101"/>
      <c r="M982" s="101"/>
      <c r="N982" s="101"/>
      <c r="O982" s="101"/>
      <c r="P982" s="101"/>
      <c r="Q982" s="101"/>
      <c r="R982" s="101"/>
      <c r="S982" s="101"/>
      <c r="T982" s="101"/>
      <c r="U982" s="101"/>
      <c r="V982" s="101"/>
      <c r="W982" s="101"/>
      <c r="X982" s="101"/>
      <c r="Y982" s="101"/>
      <c r="Z982" s="101"/>
      <c r="AA982" s="101"/>
    </row>
    <row r="983" spans="1:27" ht="13.8">
      <c r="A983" s="101"/>
      <c r="B983" s="101"/>
      <c r="C983" s="101"/>
      <c r="D983" s="101"/>
      <c r="E983" s="101"/>
      <c r="F983" s="101"/>
      <c r="G983" s="101"/>
      <c r="H983" s="101"/>
      <c r="I983" s="101"/>
      <c r="J983" s="101"/>
      <c r="K983" s="101"/>
      <c r="L983" s="101"/>
      <c r="M983" s="101"/>
      <c r="N983" s="101"/>
      <c r="O983" s="101"/>
      <c r="P983" s="101"/>
      <c r="Q983" s="101"/>
      <c r="R983" s="101"/>
      <c r="S983" s="101"/>
      <c r="T983" s="101"/>
      <c r="U983" s="101"/>
      <c r="V983" s="101"/>
      <c r="W983" s="101"/>
      <c r="X983" s="101"/>
      <c r="Y983" s="101"/>
      <c r="Z983" s="101"/>
      <c r="AA983" s="101"/>
    </row>
    <row r="984" spans="1:27" ht="13.8">
      <c r="A984" s="101"/>
      <c r="B984" s="101"/>
      <c r="C984" s="101"/>
      <c r="D984" s="101"/>
      <c r="E984" s="101"/>
      <c r="F984" s="101"/>
      <c r="G984" s="101"/>
      <c r="H984" s="101"/>
      <c r="I984" s="101"/>
      <c r="J984" s="101"/>
      <c r="K984" s="101"/>
      <c r="L984" s="101"/>
      <c r="M984" s="101"/>
      <c r="N984" s="101"/>
      <c r="O984" s="101"/>
      <c r="P984" s="101"/>
      <c r="Q984" s="101"/>
      <c r="R984" s="101"/>
      <c r="S984" s="101"/>
      <c r="T984" s="101"/>
      <c r="U984" s="101"/>
      <c r="V984" s="101"/>
      <c r="W984" s="101"/>
      <c r="X984" s="101"/>
      <c r="Y984" s="101"/>
      <c r="Z984" s="101"/>
      <c r="AA984" s="101"/>
    </row>
    <row r="985" spans="1:27" ht="13.8">
      <c r="A985" s="101"/>
      <c r="B985" s="101"/>
      <c r="C985" s="101"/>
      <c r="D985" s="101"/>
      <c r="E985" s="101"/>
      <c r="F985" s="101"/>
      <c r="G985" s="101"/>
      <c r="H985" s="101"/>
      <c r="I985" s="101"/>
      <c r="J985" s="101"/>
      <c r="K985" s="101"/>
      <c r="L985" s="101"/>
      <c r="M985" s="101"/>
      <c r="N985" s="101"/>
      <c r="O985" s="101"/>
      <c r="P985" s="101"/>
      <c r="Q985" s="101"/>
      <c r="R985" s="101"/>
      <c r="S985" s="101"/>
      <c r="T985" s="101"/>
      <c r="U985" s="101"/>
      <c r="V985" s="101"/>
      <c r="W985" s="101"/>
      <c r="X985" s="101"/>
      <c r="Y985" s="101"/>
      <c r="Z985" s="101"/>
      <c r="AA985" s="101"/>
    </row>
    <row r="986" spans="1:27" ht="13.8">
      <c r="A986" s="101"/>
      <c r="B986" s="101"/>
      <c r="C986" s="101"/>
      <c r="D986" s="101"/>
      <c r="E986" s="101"/>
      <c r="F986" s="101"/>
      <c r="G986" s="101"/>
      <c r="H986" s="101"/>
      <c r="I986" s="101"/>
      <c r="J986" s="101"/>
      <c r="K986" s="101"/>
      <c r="L986" s="101"/>
      <c r="M986" s="101"/>
      <c r="N986" s="101"/>
      <c r="O986" s="101"/>
      <c r="P986" s="101"/>
      <c r="Q986" s="101"/>
      <c r="R986" s="101"/>
      <c r="S986" s="101"/>
      <c r="T986" s="101"/>
      <c r="U986" s="101"/>
      <c r="V986" s="101"/>
      <c r="W986" s="101"/>
      <c r="X986" s="101"/>
      <c r="Y986" s="101"/>
      <c r="Z986" s="101"/>
      <c r="AA986" s="101"/>
    </row>
    <row r="987" spans="1:27" ht="13.8">
      <c r="A987" s="101"/>
      <c r="B987" s="101"/>
      <c r="C987" s="101"/>
      <c r="D987" s="101"/>
      <c r="E987" s="101"/>
      <c r="F987" s="101"/>
      <c r="G987" s="101"/>
      <c r="H987" s="101"/>
      <c r="I987" s="101"/>
      <c r="J987" s="101"/>
      <c r="K987" s="101"/>
      <c r="L987" s="101"/>
      <c r="M987" s="101"/>
      <c r="N987" s="101"/>
      <c r="O987" s="101"/>
      <c r="P987" s="101"/>
      <c r="Q987" s="101"/>
      <c r="R987" s="101"/>
      <c r="S987" s="101"/>
      <c r="T987" s="101"/>
      <c r="U987" s="101"/>
      <c r="V987" s="101"/>
      <c r="W987" s="101"/>
      <c r="X987" s="101"/>
      <c r="Y987" s="101"/>
      <c r="Z987" s="101"/>
      <c r="AA987" s="101"/>
    </row>
    <row r="988" spans="1:27" ht="13.8">
      <c r="A988" s="101"/>
      <c r="B988" s="101"/>
      <c r="C988" s="101"/>
      <c r="D988" s="101"/>
      <c r="E988" s="101"/>
      <c r="F988" s="101"/>
      <c r="G988" s="101"/>
      <c r="H988" s="101"/>
      <c r="I988" s="101"/>
      <c r="J988" s="101"/>
      <c r="K988" s="101"/>
      <c r="L988" s="101"/>
      <c r="M988" s="101"/>
      <c r="N988" s="101"/>
      <c r="O988" s="101"/>
      <c r="P988" s="101"/>
      <c r="Q988" s="101"/>
      <c r="R988" s="101"/>
      <c r="S988" s="101"/>
      <c r="T988" s="101"/>
      <c r="U988" s="101"/>
      <c r="V988" s="101"/>
      <c r="W988" s="101"/>
      <c r="X988" s="101"/>
      <c r="Y988" s="101"/>
      <c r="Z988" s="101"/>
      <c r="AA988" s="101"/>
    </row>
    <row r="989" spans="1:27" ht="13.8">
      <c r="A989" s="101"/>
      <c r="B989" s="101"/>
      <c r="C989" s="101"/>
      <c r="D989" s="101"/>
      <c r="E989" s="101"/>
      <c r="F989" s="101"/>
      <c r="G989" s="101"/>
      <c r="H989" s="101"/>
      <c r="I989" s="101"/>
      <c r="J989" s="101"/>
      <c r="K989" s="101"/>
      <c r="L989" s="101"/>
      <c r="M989" s="101"/>
      <c r="N989" s="101"/>
      <c r="O989" s="101"/>
      <c r="P989" s="101"/>
      <c r="Q989" s="101"/>
      <c r="R989" s="101"/>
      <c r="S989" s="101"/>
      <c r="T989" s="101"/>
      <c r="U989" s="101"/>
      <c r="V989" s="101"/>
      <c r="W989" s="101"/>
      <c r="X989" s="101"/>
      <c r="Y989" s="101"/>
      <c r="Z989" s="101"/>
      <c r="AA989" s="101"/>
    </row>
  </sheetData>
  <autoFilter ref="A2:N113" xr:uid="{00000000-0009-0000-0000-00000C000000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F364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/>
  <cols>
    <col min="1" max="1" width="9.77734375" customWidth="1"/>
    <col min="3" max="3" width="40" customWidth="1"/>
    <col min="6" max="6" width="23.77734375" customWidth="1"/>
  </cols>
  <sheetData>
    <row r="1" spans="1:15" ht="14.4">
      <c r="A1" s="348" t="s">
        <v>0</v>
      </c>
      <c r="B1" s="349"/>
      <c r="C1" s="349"/>
      <c r="D1" s="349"/>
      <c r="E1" s="11"/>
      <c r="F1" s="11"/>
      <c r="G1" s="11"/>
      <c r="H1" s="11"/>
      <c r="I1" s="11"/>
      <c r="J1" s="11"/>
      <c r="K1" s="11"/>
      <c r="L1" s="11"/>
      <c r="M1" s="11"/>
      <c r="N1" s="11"/>
      <c r="O1" s="101"/>
    </row>
    <row r="2" spans="1:15" ht="28.5" customHeight="1">
      <c r="A2" s="8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8</v>
      </c>
      <c r="G2" s="8" t="s">
        <v>24</v>
      </c>
      <c r="H2" s="8" t="s">
        <v>10</v>
      </c>
      <c r="I2" s="8" t="s">
        <v>11</v>
      </c>
      <c r="J2" s="8" t="s">
        <v>12</v>
      </c>
      <c r="K2" s="8" t="s">
        <v>14</v>
      </c>
      <c r="L2" s="8" t="s">
        <v>15</v>
      </c>
      <c r="M2" s="8" t="s">
        <v>4813</v>
      </c>
      <c r="N2" s="8" t="s">
        <v>17</v>
      </c>
      <c r="O2" s="101"/>
    </row>
    <row r="3" spans="1:15" ht="14.4">
      <c r="A3" s="28" t="s">
        <v>46</v>
      </c>
      <c r="B3" s="28" t="s">
        <v>49</v>
      </c>
      <c r="C3" s="28" t="s">
        <v>85</v>
      </c>
      <c r="D3" s="28" t="s">
        <v>86</v>
      </c>
      <c r="E3" s="28"/>
      <c r="F3" s="28" t="s">
        <v>8218</v>
      </c>
      <c r="G3" s="28"/>
      <c r="H3" s="28" t="s">
        <v>8219</v>
      </c>
      <c r="I3" s="28" t="s">
        <v>130</v>
      </c>
      <c r="J3" s="28" t="s">
        <v>8220</v>
      </c>
      <c r="K3" s="28" t="s">
        <v>8221</v>
      </c>
      <c r="L3" s="28" t="s">
        <v>2895</v>
      </c>
      <c r="M3" s="28" t="s">
        <v>41</v>
      </c>
      <c r="N3" s="28"/>
      <c r="O3" s="101"/>
    </row>
    <row r="4" spans="1:15" ht="14.4">
      <c r="A4" s="28" t="s">
        <v>46</v>
      </c>
      <c r="B4" s="28" t="s">
        <v>49</v>
      </c>
      <c r="C4" s="28" t="s">
        <v>85</v>
      </c>
      <c r="D4" s="28" t="s">
        <v>86</v>
      </c>
      <c r="E4" s="28"/>
      <c r="F4" s="28" t="s">
        <v>8228</v>
      </c>
      <c r="G4" s="28"/>
      <c r="H4" s="28" t="s">
        <v>8219</v>
      </c>
      <c r="I4" s="28" t="s">
        <v>130</v>
      </c>
      <c r="J4" s="28" t="s">
        <v>8229</v>
      </c>
      <c r="K4" s="28" t="s">
        <v>8230</v>
      </c>
      <c r="L4" s="28" t="s">
        <v>2895</v>
      </c>
      <c r="M4" s="28" t="s">
        <v>41</v>
      </c>
      <c r="N4" s="28"/>
      <c r="O4" s="101"/>
    </row>
    <row r="5" spans="1:15" ht="14.4">
      <c r="A5" s="28" t="s">
        <v>46</v>
      </c>
      <c r="B5" s="28" t="s">
        <v>49</v>
      </c>
      <c r="C5" s="28" t="s">
        <v>85</v>
      </c>
      <c r="D5" s="28" t="s">
        <v>86</v>
      </c>
      <c r="E5" s="28"/>
      <c r="F5" s="28" t="s">
        <v>8231</v>
      </c>
      <c r="G5" s="28"/>
      <c r="H5" s="28" t="s">
        <v>8232</v>
      </c>
      <c r="I5" s="28" t="s">
        <v>8233</v>
      </c>
      <c r="J5" s="28" t="s">
        <v>8234</v>
      </c>
      <c r="K5" s="28" t="s">
        <v>8232</v>
      </c>
      <c r="L5" s="28" t="s">
        <v>8235</v>
      </c>
      <c r="M5" s="28" t="s">
        <v>41</v>
      </c>
      <c r="N5" s="28"/>
      <c r="O5" s="101"/>
    </row>
    <row r="6" spans="1:15" ht="14.4">
      <c r="A6" s="28" t="s">
        <v>46</v>
      </c>
      <c r="B6" s="28" t="s">
        <v>49</v>
      </c>
      <c r="C6" s="28" t="s">
        <v>85</v>
      </c>
      <c r="D6" s="28" t="s">
        <v>86</v>
      </c>
      <c r="E6" s="28"/>
      <c r="F6" s="28" t="s">
        <v>8236</v>
      </c>
      <c r="G6" s="28"/>
      <c r="H6" s="28" t="s">
        <v>8237</v>
      </c>
      <c r="I6" s="28" t="s">
        <v>8238</v>
      </c>
      <c r="J6" s="28" t="s">
        <v>8239</v>
      </c>
      <c r="K6" s="28" t="s">
        <v>8240</v>
      </c>
      <c r="L6" s="28" t="s">
        <v>8241</v>
      </c>
      <c r="M6" s="28" t="s">
        <v>41</v>
      </c>
      <c r="N6" s="28"/>
      <c r="O6" s="101"/>
    </row>
    <row r="7" spans="1:15" ht="14.4">
      <c r="A7" s="28" t="s">
        <v>46</v>
      </c>
      <c r="B7" s="28" t="s">
        <v>49</v>
      </c>
      <c r="C7" s="28" t="s">
        <v>85</v>
      </c>
      <c r="D7" s="28" t="s">
        <v>86</v>
      </c>
      <c r="E7" s="28"/>
      <c r="F7" s="28" t="s">
        <v>8242</v>
      </c>
      <c r="G7" s="28"/>
      <c r="H7" s="28" t="s">
        <v>8243</v>
      </c>
      <c r="I7" s="28" t="s">
        <v>8244</v>
      </c>
      <c r="J7" s="28" t="s">
        <v>8245</v>
      </c>
      <c r="K7" s="28" t="s">
        <v>8246</v>
      </c>
      <c r="L7" s="28" t="s">
        <v>3023</v>
      </c>
      <c r="M7" s="28" t="s">
        <v>41</v>
      </c>
      <c r="N7" s="28"/>
      <c r="O7" s="101"/>
    </row>
    <row r="8" spans="1:15" ht="14.4">
      <c r="A8" s="28" t="s">
        <v>46</v>
      </c>
      <c r="B8" s="28" t="s">
        <v>49</v>
      </c>
      <c r="C8" s="28" t="s">
        <v>85</v>
      </c>
      <c r="D8" s="28" t="s">
        <v>86</v>
      </c>
      <c r="E8" s="28"/>
      <c r="F8" s="28" t="s">
        <v>8247</v>
      </c>
      <c r="G8" s="28"/>
      <c r="H8" s="28" t="s">
        <v>8248</v>
      </c>
      <c r="I8" s="28" t="s">
        <v>8249</v>
      </c>
      <c r="J8" s="28" t="s">
        <v>8250</v>
      </c>
      <c r="K8" s="251" t="s">
        <v>8251</v>
      </c>
      <c r="L8" s="28" t="s">
        <v>8252</v>
      </c>
      <c r="M8" s="28" t="s">
        <v>41</v>
      </c>
      <c r="N8" s="28" t="s">
        <v>8253</v>
      </c>
      <c r="O8" s="101"/>
    </row>
    <row r="9" spans="1:15" ht="14.4">
      <c r="A9" s="28" t="s">
        <v>46</v>
      </c>
      <c r="B9" s="28" t="s">
        <v>49</v>
      </c>
      <c r="C9" s="28" t="s">
        <v>85</v>
      </c>
      <c r="D9" s="28" t="s">
        <v>86</v>
      </c>
      <c r="E9" s="28"/>
      <c r="F9" s="28" t="s">
        <v>8259</v>
      </c>
      <c r="G9" s="28"/>
      <c r="H9" s="28" t="s">
        <v>8260</v>
      </c>
      <c r="I9" s="28" t="s">
        <v>8261</v>
      </c>
      <c r="J9" s="28" t="s">
        <v>8262</v>
      </c>
      <c r="K9" s="28" t="s">
        <v>8260</v>
      </c>
      <c r="L9" s="28" t="s">
        <v>3031</v>
      </c>
      <c r="M9" s="28" t="s">
        <v>41</v>
      </c>
      <c r="N9" s="28"/>
      <c r="O9" s="101"/>
    </row>
    <row r="10" spans="1:15" ht="14.4">
      <c r="A10" s="28" t="s">
        <v>46</v>
      </c>
      <c r="B10" s="28" t="s">
        <v>49</v>
      </c>
      <c r="C10" s="28" t="s">
        <v>85</v>
      </c>
      <c r="D10" s="28" t="s">
        <v>86</v>
      </c>
      <c r="E10" s="28"/>
      <c r="F10" s="28" t="s">
        <v>8263</v>
      </c>
      <c r="G10" s="28"/>
      <c r="H10" s="28" t="s">
        <v>8264</v>
      </c>
      <c r="I10" s="28" t="s">
        <v>8261</v>
      </c>
      <c r="J10" s="28" t="s">
        <v>8265</v>
      </c>
      <c r="K10" s="28" t="s">
        <v>8264</v>
      </c>
      <c r="L10" s="28" t="s">
        <v>8267</v>
      </c>
      <c r="M10" s="28" t="s">
        <v>41</v>
      </c>
      <c r="N10" s="28"/>
      <c r="O10" s="101"/>
    </row>
    <row r="11" spans="1:15" ht="14.4">
      <c r="A11" s="28" t="s">
        <v>46</v>
      </c>
      <c r="B11" s="28" t="s">
        <v>49</v>
      </c>
      <c r="C11" s="28" t="s">
        <v>85</v>
      </c>
      <c r="D11" s="28" t="s">
        <v>86</v>
      </c>
      <c r="E11" s="28"/>
      <c r="F11" s="28" t="s">
        <v>8271</v>
      </c>
      <c r="G11" s="28"/>
      <c r="H11" s="28" t="s">
        <v>8272</v>
      </c>
      <c r="I11" s="28" t="s">
        <v>8273</v>
      </c>
      <c r="J11" s="28" t="s">
        <v>8274</v>
      </c>
      <c r="K11" s="28" t="s">
        <v>8272</v>
      </c>
      <c r="L11" s="28" t="s">
        <v>8275</v>
      </c>
      <c r="M11" s="28" t="s">
        <v>41</v>
      </c>
      <c r="N11" s="28"/>
      <c r="O11" s="101"/>
    </row>
    <row r="12" spans="1:15" ht="14.4">
      <c r="A12" s="28" t="s">
        <v>46</v>
      </c>
      <c r="B12" s="28" t="s">
        <v>49</v>
      </c>
      <c r="C12" s="28" t="s">
        <v>85</v>
      </c>
      <c r="D12" s="28" t="s">
        <v>86</v>
      </c>
      <c r="E12" s="28"/>
      <c r="F12" s="28" t="s">
        <v>8280</v>
      </c>
      <c r="G12" s="28"/>
      <c r="H12" s="28" t="s">
        <v>8282</v>
      </c>
      <c r="I12" s="28" t="s">
        <v>8283</v>
      </c>
      <c r="J12" s="28" t="s">
        <v>8284</v>
      </c>
      <c r="K12" s="28" t="s">
        <v>8285</v>
      </c>
      <c r="L12" s="28" t="s">
        <v>438</v>
      </c>
      <c r="M12" s="28" t="s">
        <v>41</v>
      </c>
      <c r="N12" s="28"/>
      <c r="O12" s="101"/>
    </row>
    <row r="13" spans="1:15" ht="14.4">
      <c r="A13" s="28" t="s">
        <v>46</v>
      </c>
      <c r="B13" s="28" t="s">
        <v>49</v>
      </c>
      <c r="C13" s="28" t="s">
        <v>85</v>
      </c>
      <c r="D13" s="28" t="s">
        <v>86</v>
      </c>
      <c r="E13" s="28"/>
      <c r="F13" s="28" t="s">
        <v>8287</v>
      </c>
      <c r="G13" s="28"/>
      <c r="H13" s="28" t="s">
        <v>8219</v>
      </c>
      <c r="I13" s="28" t="s">
        <v>8291</v>
      </c>
      <c r="J13" s="28" t="s">
        <v>8293</v>
      </c>
      <c r="K13" s="28" t="s">
        <v>8294</v>
      </c>
      <c r="L13" s="28" t="s">
        <v>2895</v>
      </c>
      <c r="M13" s="28" t="s">
        <v>41</v>
      </c>
      <c r="N13" s="28"/>
      <c r="O13" s="101"/>
    </row>
    <row r="14" spans="1:15" ht="14.4">
      <c r="A14" s="28" t="s">
        <v>46</v>
      </c>
      <c r="B14" s="28" t="s">
        <v>49</v>
      </c>
      <c r="C14" s="28" t="s">
        <v>85</v>
      </c>
      <c r="D14" s="28" t="s">
        <v>86</v>
      </c>
      <c r="E14" s="28"/>
      <c r="F14" s="28" t="s">
        <v>8296</v>
      </c>
      <c r="G14" s="28"/>
      <c r="H14" s="28" t="s">
        <v>8248</v>
      </c>
      <c r="I14" s="28" t="s">
        <v>8299</v>
      </c>
      <c r="J14" s="28" t="s">
        <v>8300</v>
      </c>
      <c r="K14" s="28" t="s">
        <v>8301</v>
      </c>
      <c r="L14" s="28" t="s">
        <v>8252</v>
      </c>
      <c r="M14" s="28" t="s">
        <v>41</v>
      </c>
      <c r="N14" s="28"/>
      <c r="O14" s="101"/>
    </row>
    <row r="15" spans="1:15" ht="14.4">
      <c r="A15" s="28" t="s">
        <v>46</v>
      </c>
      <c r="B15" s="28" t="s">
        <v>49</v>
      </c>
      <c r="C15" s="28" t="s">
        <v>85</v>
      </c>
      <c r="D15" s="28" t="s">
        <v>86</v>
      </c>
      <c r="E15" s="28"/>
      <c r="F15" s="28" t="s">
        <v>8305</v>
      </c>
      <c r="G15" s="28"/>
      <c r="H15" s="28" t="s">
        <v>8219</v>
      </c>
      <c r="I15" s="28" t="s">
        <v>8308</v>
      </c>
      <c r="J15" s="28" t="s">
        <v>8309</v>
      </c>
      <c r="K15" s="28" t="s">
        <v>8310</v>
      </c>
      <c r="L15" s="28" t="s">
        <v>8311</v>
      </c>
      <c r="M15" s="28" t="s">
        <v>41</v>
      </c>
      <c r="N15" s="28"/>
      <c r="O15" s="101"/>
    </row>
    <row r="16" spans="1:15" ht="14.4">
      <c r="A16" s="28" t="s">
        <v>46</v>
      </c>
      <c r="B16" s="28" t="s">
        <v>49</v>
      </c>
      <c r="C16" s="28" t="s">
        <v>85</v>
      </c>
      <c r="D16" s="28" t="s">
        <v>86</v>
      </c>
      <c r="E16" s="28"/>
      <c r="F16" s="28" t="s">
        <v>8315</v>
      </c>
      <c r="G16" s="28"/>
      <c r="H16" s="28" t="s">
        <v>8317</v>
      </c>
      <c r="I16" s="28" t="s">
        <v>8319</v>
      </c>
      <c r="J16" s="28" t="s">
        <v>8320</v>
      </c>
      <c r="K16" s="28" t="s">
        <v>8321</v>
      </c>
      <c r="L16" s="28" t="s">
        <v>2764</v>
      </c>
      <c r="M16" s="28" t="s">
        <v>41</v>
      </c>
      <c r="N16" s="28"/>
      <c r="O16" s="101"/>
    </row>
    <row r="17" spans="1:15" ht="14.4">
      <c r="A17" s="28" t="s">
        <v>46</v>
      </c>
      <c r="B17" s="28" t="s">
        <v>49</v>
      </c>
      <c r="C17" s="28" t="s">
        <v>85</v>
      </c>
      <c r="D17" s="28" t="s">
        <v>86</v>
      </c>
      <c r="E17" s="28"/>
      <c r="F17" s="28" t="s">
        <v>8323</v>
      </c>
      <c r="G17" s="28"/>
      <c r="H17" s="28" t="s">
        <v>8325</v>
      </c>
      <c r="I17" s="28" t="s">
        <v>8327</v>
      </c>
      <c r="J17" s="28" t="s">
        <v>8329</v>
      </c>
      <c r="K17" s="28" t="s">
        <v>8331</v>
      </c>
      <c r="L17" s="28" t="s">
        <v>8332</v>
      </c>
      <c r="M17" s="28" t="s">
        <v>41</v>
      </c>
      <c r="N17" s="28"/>
      <c r="O17" s="101"/>
    </row>
    <row r="18" spans="1:15" ht="14.4">
      <c r="A18" s="28" t="s">
        <v>46</v>
      </c>
      <c r="B18" s="28" t="s">
        <v>49</v>
      </c>
      <c r="C18" s="28" t="s">
        <v>85</v>
      </c>
      <c r="D18" s="28" t="s">
        <v>86</v>
      </c>
      <c r="E18" s="28"/>
      <c r="F18" s="28" t="s">
        <v>8333</v>
      </c>
      <c r="G18" s="28"/>
      <c r="H18" s="28" t="s">
        <v>8334</v>
      </c>
      <c r="I18" s="28" t="s">
        <v>8336</v>
      </c>
      <c r="J18" s="28" t="s">
        <v>8337</v>
      </c>
      <c r="K18" s="28" t="s">
        <v>8338</v>
      </c>
      <c r="L18" s="28" t="s">
        <v>3023</v>
      </c>
      <c r="M18" s="28" t="s">
        <v>41</v>
      </c>
      <c r="N18" s="28"/>
      <c r="O18" s="101"/>
    </row>
    <row r="19" spans="1:15" ht="14.4">
      <c r="A19" s="28" t="s">
        <v>46</v>
      </c>
      <c r="B19" s="28" t="s">
        <v>49</v>
      </c>
      <c r="C19" s="28" t="s">
        <v>85</v>
      </c>
      <c r="D19" s="28" t="s">
        <v>86</v>
      </c>
      <c r="E19" s="28"/>
      <c r="F19" s="28" t="s">
        <v>8341</v>
      </c>
      <c r="G19" s="28"/>
      <c r="H19" s="28" t="s">
        <v>8342</v>
      </c>
      <c r="I19" s="28" t="s">
        <v>8343</v>
      </c>
      <c r="J19" s="28" t="s">
        <v>8344</v>
      </c>
      <c r="K19" s="28" t="s">
        <v>8346</v>
      </c>
      <c r="L19" s="28" t="s">
        <v>8235</v>
      </c>
      <c r="M19" s="28" t="s">
        <v>41</v>
      </c>
      <c r="N19" s="28"/>
      <c r="O19" s="101"/>
    </row>
    <row r="20" spans="1:15" ht="14.4">
      <c r="A20" s="28" t="s">
        <v>46</v>
      </c>
      <c r="B20" s="28" t="s">
        <v>49</v>
      </c>
      <c r="C20" s="28" t="s">
        <v>85</v>
      </c>
      <c r="D20" s="28" t="s">
        <v>86</v>
      </c>
      <c r="E20" s="28"/>
      <c r="F20" s="28" t="s">
        <v>8350</v>
      </c>
      <c r="G20" s="28"/>
      <c r="H20" s="28" t="s">
        <v>8219</v>
      </c>
      <c r="I20" s="28" t="s">
        <v>8352</v>
      </c>
      <c r="J20" s="28" t="s">
        <v>8353</v>
      </c>
      <c r="K20" s="28" t="s">
        <v>8354</v>
      </c>
      <c r="L20" s="28" t="s">
        <v>2895</v>
      </c>
      <c r="M20" s="28" t="s">
        <v>41</v>
      </c>
      <c r="N20" s="28"/>
      <c r="O20" s="101"/>
    </row>
    <row r="21" spans="1:15" ht="14.4">
      <c r="A21" s="28" t="s">
        <v>46</v>
      </c>
      <c r="B21" s="28" t="s">
        <v>49</v>
      </c>
      <c r="C21" s="28" t="s">
        <v>220</v>
      </c>
      <c r="D21" s="28" t="s">
        <v>234</v>
      </c>
      <c r="E21" s="28"/>
      <c r="F21" s="28" t="s">
        <v>8356</v>
      </c>
      <c r="G21" s="28"/>
      <c r="H21" s="28" t="s">
        <v>8357</v>
      </c>
      <c r="I21" s="28" t="s">
        <v>3181</v>
      </c>
      <c r="J21" s="28" t="s">
        <v>8358</v>
      </c>
      <c r="K21" s="28" t="s">
        <v>8359</v>
      </c>
      <c r="L21" s="28" t="s">
        <v>2895</v>
      </c>
      <c r="M21" s="28" t="s">
        <v>41</v>
      </c>
      <c r="N21" s="28"/>
      <c r="O21" s="101"/>
    </row>
    <row r="22" spans="1:15" ht="14.4">
      <c r="A22" s="28" t="s">
        <v>46</v>
      </c>
      <c r="B22" s="28" t="s">
        <v>49</v>
      </c>
      <c r="C22" s="28" t="s">
        <v>220</v>
      </c>
      <c r="D22" s="28" t="s">
        <v>234</v>
      </c>
      <c r="E22" s="28"/>
      <c r="F22" s="28" t="s">
        <v>8363</v>
      </c>
      <c r="G22" s="28"/>
      <c r="H22" s="28" t="s">
        <v>8357</v>
      </c>
      <c r="I22" s="28" t="s">
        <v>3181</v>
      </c>
      <c r="J22" s="28" t="s">
        <v>8364</v>
      </c>
      <c r="K22" s="28" t="s">
        <v>8359</v>
      </c>
      <c r="L22" s="28" t="s">
        <v>2895</v>
      </c>
      <c r="M22" s="28" t="s">
        <v>41</v>
      </c>
      <c r="N22" s="28"/>
      <c r="O22" s="101"/>
    </row>
    <row r="23" spans="1:15" ht="14.4">
      <c r="A23" s="28" t="s">
        <v>46</v>
      </c>
      <c r="B23" s="28" t="s">
        <v>49</v>
      </c>
      <c r="C23" s="28" t="s">
        <v>220</v>
      </c>
      <c r="D23" s="28" t="s">
        <v>234</v>
      </c>
      <c r="E23" s="28"/>
      <c r="F23" s="28" t="s">
        <v>8369</v>
      </c>
      <c r="G23" s="28"/>
      <c r="H23" s="28" t="s">
        <v>8248</v>
      </c>
      <c r="I23" s="28" t="s">
        <v>8370</v>
      </c>
      <c r="J23" s="28" t="s">
        <v>8371</v>
      </c>
      <c r="K23" s="28" t="s">
        <v>8372</v>
      </c>
      <c r="L23" s="28" t="s">
        <v>8252</v>
      </c>
      <c r="M23" s="28" t="s">
        <v>41</v>
      </c>
      <c r="N23" s="28"/>
      <c r="O23" s="101"/>
    </row>
    <row r="24" spans="1:15" ht="14.4">
      <c r="A24" s="28" t="s">
        <v>46</v>
      </c>
      <c r="B24" s="28" t="s">
        <v>49</v>
      </c>
      <c r="C24" s="28" t="s">
        <v>220</v>
      </c>
      <c r="D24" s="28" t="s">
        <v>234</v>
      </c>
      <c r="E24" s="28"/>
      <c r="F24" s="28" t="s">
        <v>8374</v>
      </c>
      <c r="G24" s="28"/>
      <c r="H24" s="28" t="s">
        <v>8219</v>
      </c>
      <c r="I24" s="28" t="s">
        <v>8375</v>
      </c>
      <c r="J24" s="28" t="s">
        <v>8377</v>
      </c>
      <c r="K24" s="28" t="s">
        <v>8378</v>
      </c>
      <c r="L24" s="28" t="s">
        <v>2895</v>
      </c>
      <c r="M24" s="28" t="s">
        <v>41</v>
      </c>
      <c r="N24" s="28"/>
      <c r="O24" s="101"/>
    </row>
    <row r="25" spans="1:15" ht="14.4">
      <c r="A25" s="28" t="s">
        <v>46</v>
      </c>
      <c r="B25" s="28" t="s">
        <v>49</v>
      </c>
      <c r="C25" s="28" t="s">
        <v>220</v>
      </c>
      <c r="D25" s="28" t="s">
        <v>234</v>
      </c>
      <c r="E25" s="28"/>
      <c r="F25" s="28" t="s">
        <v>8379</v>
      </c>
      <c r="G25" s="28"/>
      <c r="H25" s="28" t="s">
        <v>8232</v>
      </c>
      <c r="I25" s="28" t="s">
        <v>8380</v>
      </c>
      <c r="J25" s="28" t="s">
        <v>8381</v>
      </c>
      <c r="K25" s="28" t="s">
        <v>8382</v>
      </c>
      <c r="L25" s="28" t="s">
        <v>8235</v>
      </c>
      <c r="M25" s="28" t="s">
        <v>41</v>
      </c>
      <c r="N25" s="28"/>
      <c r="O25" s="101"/>
    </row>
    <row r="26" spans="1:15" ht="14.4">
      <c r="A26" s="28" t="s">
        <v>46</v>
      </c>
      <c r="B26" s="28" t="s">
        <v>49</v>
      </c>
      <c r="C26" s="28" t="s">
        <v>220</v>
      </c>
      <c r="D26" s="28" t="s">
        <v>234</v>
      </c>
      <c r="E26" s="28"/>
      <c r="F26" s="28" t="s">
        <v>8386</v>
      </c>
      <c r="G26" s="28"/>
      <c r="H26" s="28" t="s">
        <v>8388</v>
      </c>
      <c r="I26" s="28" t="s">
        <v>8273</v>
      </c>
      <c r="J26" s="28" t="s">
        <v>8389</v>
      </c>
      <c r="K26" s="28" t="s">
        <v>8388</v>
      </c>
      <c r="L26" s="28" t="s">
        <v>8275</v>
      </c>
      <c r="M26" s="28" t="s">
        <v>41</v>
      </c>
      <c r="N26" s="28"/>
      <c r="O26" s="101"/>
    </row>
    <row r="27" spans="1:15" ht="14.4">
      <c r="A27" s="28" t="s">
        <v>46</v>
      </c>
      <c r="B27" s="28" t="s">
        <v>49</v>
      </c>
      <c r="C27" s="28" t="s">
        <v>233</v>
      </c>
      <c r="D27" s="29" t="s">
        <v>298</v>
      </c>
      <c r="E27" s="29"/>
      <c r="F27" s="28" t="s">
        <v>8391</v>
      </c>
      <c r="G27" s="28"/>
      <c r="H27" s="28" t="s">
        <v>8392</v>
      </c>
      <c r="I27" s="28" t="s">
        <v>8393</v>
      </c>
      <c r="J27" s="28" t="s">
        <v>8395</v>
      </c>
      <c r="K27" s="28" t="s">
        <v>8392</v>
      </c>
      <c r="L27" s="28" t="s">
        <v>8396</v>
      </c>
      <c r="M27" s="28" t="s">
        <v>41</v>
      </c>
      <c r="N27" s="28"/>
      <c r="O27" s="101"/>
    </row>
    <row r="28" spans="1:15" ht="14.4">
      <c r="A28" s="28" t="s">
        <v>46</v>
      </c>
      <c r="B28" s="28" t="s">
        <v>49</v>
      </c>
      <c r="C28" s="28" t="s">
        <v>233</v>
      </c>
      <c r="D28" s="29" t="s">
        <v>298</v>
      </c>
      <c r="E28" s="29"/>
      <c r="F28" s="28" t="s">
        <v>8397</v>
      </c>
      <c r="G28" s="28"/>
      <c r="H28" s="28" t="s">
        <v>8359</v>
      </c>
      <c r="I28" s="28" t="s">
        <v>3181</v>
      </c>
      <c r="J28" s="28" t="s">
        <v>8398</v>
      </c>
      <c r="K28" s="28" t="s">
        <v>8359</v>
      </c>
      <c r="L28" s="28" t="s">
        <v>2895</v>
      </c>
      <c r="M28" s="28" t="s">
        <v>41</v>
      </c>
      <c r="N28" s="28"/>
      <c r="O28" s="101"/>
    </row>
    <row r="29" spans="1:15" ht="14.4">
      <c r="A29" s="28" t="s">
        <v>46</v>
      </c>
      <c r="B29" s="28" t="s">
        <v>49</v>
      </c>
      <c r="C29" s="28" t="s">
        <v>233</v>
      </c>
      <c r="D29" s="29" t="s">
        <v>298</v>
      </c>
      <c r="E29" s="29"/>
      <c r="F29" s="28" t="s">
        <v>8400</v>
      </c>
      <c r="G29" s="28"/>
      <c r="H29" s="28" t="s">
        <v>8219</v>
      </c>
      <c r="I29" s="28" t="s">
        <v>8401</v>
      </c>
      <c r="J29" s="28" t="s">
        <v>8403</v>
      </c>
      <c r="K29" s="28" t="s">
        <v>8219</v>
      </c>
      <c r="L29" s="28" t="s">
        <v>2895</v>
      </c>
      <c r="M29" s="28" t="s">
        <v>41</v>
      </c>
      <c r="N29" s="28"/>
      <c r="O29" s="101"/>
    </row>
    <row r="30" spans="1:15" ht="14.4">
      <c r="A30" s="28" t="s">
        <v>46</v>
      </c>
      <c r="B30" s="28" t="s">
        <v>49</v>
      </c>
      <c r="C30" s="28" t="s">
        <v>233</v>
      </c>
      <c r="D30" s="29" t="s">
        <v>298</v>
      </c>
      <c r="E30" s="29"/>
      <c r="F30" s="28" t="s">
        <v>8404</v>
      </c>
      <c r="G30" s="28"/>
      <c r="H30" s="28" t="s">
        <v>8405</v>
      </c>
      <c r="I30" s="28" t="s">
        <v>335</v>
      </c>
      <c r="J30" s="28" t="s">
        <v>8406</v>
      </c>
      <c r="K30" s="28" t="s">
        <v>8405</v>
      </c>
      <c r="L30" s="28" t="s">
        <v>8407</v>
      </c>
      <c r="M30" s="28" t="s">
        <v>41</v>
      </c>
      <c r="N30" s="28"/>
      <c r="O30" s="101"/>
    </row>
    <row r="31" spans="1:15" ht="14.4">
      <c r="A31" s="28" t="s">
        <v>46</v>
      </c>
      <c r="B31" s="28" t="s">
        <v>8408</v>
      </c>
      <c r="C31" s="28" t="s">
        <v>79</v>
      </c>
      <c r="D31" s="43" t="s">
        <v>80</v>
      </c>
      <c r="E31" s="29"/>
      <c r="F31" s="28" t="s">
        <v>8411</v>
      </c>
      <c r="G31" s="28"/>
      <c r="H31" s="28" t="s">
        <v>8264</v>
      </c>
      <c r="I31" s="28" t="s">
        <v>8413</v>
      </c>
      <c r="J31" s="28" t="s">
        <v>8414</v>
      </c>
      <c r="K31" s="28" t="s">
        <v>8264</v>
      </c>
      <c r="L31" s="28" t="s">
        <v>8415</v>
      </c>
      <c r="M31" s="28" t="s">
        <v>41</v>
      </c>
      <c r="N31" s="28"/>
      <c r="O31" s="101"/>
    </row>
    <row r="32" spans="1:15" ht="14.4">
      <c r="A32" s="28" t="s">
        <v>46</v>
      </c>
      <c r="B32" s="28" t="s">
        <v>49</v>
      </c>
      <c r="C32" s="28" t="s">
        <v>79</v>
      </c>
      <c r="D32" s="43" t="s">
        <v>80</v>
      </c>
      <c r="E32" s="29"/>
      <c r="F32" s="28" t="s">
        <v>8416</v>
      </c>
      <c r="G32" s="28"/>
      <c r="H32" s="28" t="s">
        <v>8359</v>
      </c>
      <c r="I32" s="28" t="s">
        <v>3181</v>
      </c>
      <c r="J32" s="28" t="s">
        <v>8417</v>
      </c>
      <c r="K32" s="28" t="s">
        <v>8359</v>
      </c>
      <c r="L32" s="28" t="s">
        <v>2895</v>
      </c>
      <c r="M32" s="28" t="s">
        <v>41</v>
      </c>
      <c r="N32" s="28"/>
      <c r="O32" s="101"/>
    </row>
    <row r="33" spans="1:32" ht="14.4">
      <c r="A33" s="28" t="s">
        <v>46</v>
      </c>
      <c r="B33" s="28" t="s">
        <v>49</v>
      </c>
      <c r="C33" s="28" t="s">
        <v>287</v>
      </c>
      <c r="D33" s="28" t="s">
        <v>71</v>
      </c>
      <c r="E33" s="28"/>
      <c r="F33" s="28" t="s">
        <v>8419</v>
      </c>
      <c r="G33" s="28"/>
      <c r="H33" s="28" t="s">
        <v>8420</v>
      </c>
      <c r="I33" s="28" t="s">
        <v>8421</v>
      </c>
      <c r="J33" s="28" t="s">
        <v>8395</v>
      </c>
      <c r="K33" s="28" t="s">
        <v>8420</v>
      </c>
      <c r="L33" s="28" t="s">
        <v>2895</v>
      </c>
      <c r="M33" s="28" t="s">
        <v>41</v>
      </c>
      <c r="N33" s="28"/>
      <c r="O33" s="101"/>
    </row>
    <row r="34" spans="1:32" ht="14.4">
      <c r="A34" s="28" t="s">
        <v>46</v>
      </c>
      <c r="B34" s="28" t="s">
        <v>49</v>
      </c>
      <c r="C34" s="28" t="s">
        <v>296</v>
      </c>
      <c r="D34" s="28" t="s">
        <v>954</v>
      </c>
      <c r="E34" s="28"/>
      <c r="F34" s="79" t="s">
        <v>8424</v>
      </c>
      <c r="G34" s="28"/>
      <c r="H34" s="28" t="s">
        <v>8425</v>
      </c>
      <c r="I34" s="28" t="s">
        <v>335</v>
      </c>
      <c r="J34" s="28" t="s">
        <v>8426</v>
      </c>
      <c r="K34" s="28"/>
      <c r="L34" s="28" t="s">
        <v>8427</v>
      </c>
      <c r="M34" s="28" t="s">
        <v>41</v>
      </c>
      <c r="N34" s="28"/>
      <c r="O34" s="101"/>
    </row>
    <row r="35" spans="1:32" ht="14.4">
      <c r="A35" s="28" t="s">
        <v>46</v>
      </c>
      <c r="B35" s="28" t="s">
        <v>49</v>
      </c>
      <c r="C35" s="28" t="s">
        <v>306</v>
      </c>
      <c r="D35" s="28" t="s">
        <v>341</v>
      </c>
      <c r="E35" s="28"/>
      <c r="F35" s="28" t="s">
        <v>8431</v>
      </c>
      <c r="G35" s="28"/>
      <c r="H35" s="28" t="s">
        <v>8432</v>
      </c>
      <c r="I35" s="28" t="s">
        <v>1800</v>
      </c>
      <c r="J35" s="28"/>
      <c r="K35" s="28" t="s">
        <v>8432</v>
      </c>
      <c r="L35" s="28" t="s">
        <v>8427</v>
      </c>
      <c r="M35" s="28" t="s">
        <v>41</v>
      </c>
      <c r="N35" s="28"/>
      <c r="O35" s="101"/>
    </row>
    <row r="36" spans="1:32" ht="14.4">
      <c r="A36" s="28" t="s">
        <v>46</v>
      </c>
      <c r="B36" s="28" t="s">
        <v>8435</v>
      </c>
      <c r="C36" s="28" t="s">
        <v>220</v>
      </c>
      <c r="D36" s="28" t="s">
        <v>234</v>
      </c>
      <c r="E36" s="28"/>
      <c r="F36" s="28" t="s">
        <v>8436</v>
      </c>
      <c r="G36" s="28"/>
      <c r="H36" s="28" t="s">
        <v>8437</v>
      </c>
      <c r="I36" s="28" t="s">
        <v>2714</v>
      </c>
      <c r="J36" s="226">
        <v>45146</v>
      </c>
      <c r="K36" s="28" t="s">
        <v>8437</v>
      </c>
      <c r="L36" s="28" t="s">
        <v>8440</v>
      </c>
      <c r="M36" s="28" t="s">
        <v>41</v>
      </c>
      <c r="N36" s="28"/>
      <c r="O36" s="101"/>
    </row>
    <row r="37" spans="1:32" ht="14.4">
      <c r="A37" s="28" t="s">
        <v>46</v>
      </c>
      <c r="B37" s="28" t="s">
        <v>8435</v>
      </c>
      <c r="C37" s="28" t="s">
        <v>220</v>
      </c>
      <c r="D37" s="28" t="s">
        <v>234</v>
      </c>
      <c r="E37" s="28"/>
      <c r="F37" s="28" t="s">
        <v>8443</v>
      </c>
      <c r="G37" s="28"/>
      <c r="H37" s="28" t="s">
        <v>8444</v>
      </c>
      <c r="I37" s="28" t="s">
        <v>887</v>
      </c>
      <c r="J37" s="226">
        <v>45146</v>
      </c>
      <c r="K37" s="28" t="s">
        <v>8444</v>
      </c>
      <c r="L37" s="28" t="s">
        <v>8440</v>
      </c>
      <c r="M37" s="28" t="s">
        <v>41</v>
      </c>
      <c r="N37" s="28"/>
      <c r="O37" s="101"/>
    </row>
    <row r="38" spans="1:32" ht="14.4">
      <c r="A38" s="28" t="s">
        <v>46</v>
      </c>
      <c r="B38" s="28" t="s">
        <v>8435</v>
      </c>
      <c r="C38" s="28" t="s">
        <v>220</v>
      </c>
      <c r="D38" s="28" t="s">
        <v>234</v>
      </c>
      <c r="E38" s="28"/>
      <c r="F38" s="28" t="s">
        <v>8445</v>
      </c>
      <c r="G38" s="28"/>
      <c r="H38" s="28" t="s">
        <v>8446</v>
      </c>
      <c r="I38" s="28" t="s">
        <v>2714</v>
      </c>
      <c r="J38" s="226">
        <v>45146</v>
      </c>
      <c r="K38" s="28" t="s">
        <v>8446</v>
      </c>
      <c r="L38" s="28" t="s">
        <v>8440</v>
      </c>
      <c r="M38" s="28" t="s">
        <v>41</v>
      </c>
      <c r="N38" s="28"/>
      <c r="O38" s="101"/>
    </row>
    <row r="39" spans="1:32" ht="14.4">
      <c r="A39" s="28" t="s">
        <v>46</v>
      </c>
      <c r="B39" s="28" t="s">
        <v>8435</v>
      </c>
      <c r="C39" s="28" t="s">
        <v>220</v>
      </c>
      <c r="D39" s="28" t="s">
        <v>234</v>
      </c>
      <c r="E39" s="28"/>
      <c r="F39" s="28" t="s">
        <v>8451</v>
      </c>
      <c r="G39" s="28"/>
      <c r="H39" s="28" t="s">
        <v>8452</v>
      </c>
      <c r="I39" s="28" t="s">
        <v>2714</v>
      </c>
      <c r="J39" s="226">
        <v>45216</v>
      </c>
      <c r="K39" s="28" t="s">
        <v>8452</v>
      </c>
      <c r="L39" s="28" t="s">
        <v>8440</v>
      </c>
      <c r="M39" s="28" t="s">
        <v>41</v>
      </c>
      <c r="N39" s="28"/>
      <c r="O39" s="101"/>
    </row>
    <row r="40" spans="1:32" ht="14.4">
      <c r="A40" s="28" t="s">
        <v>46</v>
      </c>
      <c r="B40" s="28" t="s">
        <v>8435</v>
      </c>
      <c r="C40" s="28" t="s">
        <v>220</v>
      </c>
      <c r="D40" s="28" t="s">
        <v>234</v>
      </c>
      <c r="E40" s="28"/>
      <c r="F40" s="28" t="s">
        <v>8453</v>
      </c>
      <c r="G40" s="28"/>
      <c r="H40" s="28" t="s">
        <v>8454</v>
      </c>
      <c r="I40" s="28" t="s">
        <v>887</v>
      </c>
      <c r="J40" s="226">
        <v>45216</v>
      </c>
      <c r="K40" s="28" t="s">
        <v>8454</v>
      </c>
      <c r="L40" s="28" t="s">
        <v>8440</v>
      </c>
      <c r="M40" s="28" t="s">
        <v>41</v>
      </c>
      <c r="N40" s="28"/>
      <c r="O40" s="101"/>
    </row>
    <row r="41" spans="1:32" ht="14.4">
      <c r="A41" s="28" t="s">
        <v>46</v>
      </c>
      <c r="B41" s="28" t="s">
        <v>8435</v>
      </c>
      <c r="C41" s="28" t="s">
        <v>275</v>
      </c>
      <c r="D41" s="28" t="s">
        <v>543</v>
      </c>
      <c r="E41" s="28"/>
      <c r="F41" s="79" t="s">
        <v>8456</v>
      </c>
      <c r="G41" s="28"/>
      <c r="H41" s="28" t="s">
        <v>8446</v>
      </c>
      <c r="I41" s="28" t="s">
        <v>2714</v>
      </c>
      <c r="J41" s="28" t="s">
        <v>8460</v>
      </c>
      <c r="K41" s="28" t="s">
        <v>8446</v>
      </c>
      <c r="L41" s="28" t="s">
        <v>8440</v>
      </c>
      <c r="M41" s="28" t="s">
        <v>41</v>
      </c>
      <c r="N41" s="28"/>
      <c r="O41" s="106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</row>
    <row r="42" spans="1:32" ht="14.4">
      <c r="A42" s="28" t="s">
        <v>46</v>
      </c>
      <c r="B42" s="28" t="s">
        <v>8435</v>
      </c>
      <c r="C42" s="28" t="s">
        <v>233</v>
      </c>
      <c r="D42" s="29" t="s">
        <v>298</v>
      </c>
      <c r="E42" s="29"/>
      <c r="F42" s="28" t="s">
        <v>8453</v>
      </c>
      <c r="G42" s="28"/>
      <c r="H42" s="28" t="s">
        <v>8466</v>
      </c>
      <c r="I42" s="28" t="s">
        <v>8467</v>
      </c>
      <c r="J42" s="28" t="s">
        <v>8460</v>
      </c>
      <c r="K42" s="28" t="s">
        <v>8466</v>
      </c>
      <c r="L42" s="28" t="s">
        <v>8440</v>
      </c>
      <c r="M42" s="28" t="s">
        <v>41</v>
      </c>
      <c r="N42" s="28"/>
      <c r="O42" s="101"/>
    </row>
    <row r="43" spans="1:32" ht="14.4">
      <c r="A43" s="28" t="s">
        <v>46</v>
      </c>
      <c r="B43" s="28" t="s">
        <v>8435</v>
      </c>
      <c r="C43" s="28" t="s">
        <v>85</v>
      </c>
      <c r="D43" s="28" t="s">
        <v>86</v>
      </c>
      <c r="E43" s="28"/>
      <c r="F43" s="28" t="s">
        <v>8472</v>
      </c>
      <c r="G43" s="28"/>
      <c r="H43" s="28" t="s">
        <v>8474</v>
      </c>
      <c r="I43" s="28" t="s">
        <v>8476</v>
      </c>
      <c r="J43" s="28" t="s">
        <v>8477</v>
      </c>
      <c r="K43" s="28" t="s">
        <v>8474</v>
      </c>
      <c r="L43" s="28" t="s">
        <v>8478</v>
      </c>
      <c r="M43" s="28" t="s">
        <v>41</v>
      </c>
      <c r="N43" s="28"/>
      <c r="O43" s="101"/>
    </row>
    <row r="44" spans="1:32" ht="14.4">
      <c r="A44" s="28" t="s">
        <v>46</v>
      </c>
      <c r="B44" s="28" t="s">
        <v>8435</v>
      </c>
      <c r="C44" s="28" t="s">
        <v>85</v>
      </c>
      <c r="D44" s="28" t="s">
        <v>86</v>
      </c>
      <c r="E44" s="28"/>
      <c r="F44" s="28" t="s">
        <v>8479</v>
      </c>
      <c r="G44" s="28"/>
      <c r="H44" s="28" t="s">
        <v>8474</v>
      </c>
      <c r="I44" s="28" t="s">
        <v>8476</v>
      </c>
      <c r="J44" s="28" t="s">
        <v>8477</v>
      </c>
      <c r="K44" s="28" t="s">
        <v>8474</v>
      </c>
      <c r="L44" s="28" t="s">
        <v>8478</v>
      </c>
      <c r="M44" s="28" t="s">
        <v>41</v>
      </c>
      <c r="N44" s="28"/>
      <c r="O44" s="101"/>
    </row>
    <row r="45" spans="1:32" ht="14.4">
      <c r="A45" s="28" t="s">
        <v>46</v>
      </c>
      <c r="B45" s="28" t="s">
        <v>8435</v>
      </c>
      <c r="C45" s="28" t="s">
        <v>85</v>
      </c>
      <c r="D45" s="28" t="s">
        <v>86</v>
      </c>
      <c r="E45" s="28"/>
      <c r="F45" s="28" t="s">
        <v>8485</v>
      </c>
      <c r="G45" s="28"/>
      <c r="H45" s="28" t="s">
        <v>8474</v>
      </c>
      <c r="I45" s="28" t="s">
        <v>8476</v>
      </c>
      <c r="J45" s="28" t="s">
        <v>8477</v>
      </c>
      <c r="K45" s="28" t="s">
        <v>8474</v>
      </c>
      <c r="L45" s="28" t="s">
        <v>8478</v>
      </c>
      <c r="M45" s="28" t="s">
        <v>41</v>
      </c>
      <c r="N45" s="28"/>
      <c r="O45" s="101"/>
    </row>
    <row r="46" spans="1:32" ht="14.4">
      <c r="A46" s="28" t="s">
        <v>46</v>
      </c>
      <c r="B46" s="28" t="s">
        <v>8435</v>
      </c>
      <c r="C46" s="28" t="s">
        <v>85</v>
      </c>
      <c r="D46" s="28" t="s">
        <v>86</v>
      </c>
      <c r="E46" s="28"/>
      <c r="F46" s="28" t="s">
        <v>8489</v>
      </c>
      <c r="G46" s="28"/>
      <c r="H46" s="28" t="s">
        <v>8474</v>
      </c>
      <c r="I46" s="28" t="s">
        <v>8476</v>
      </c>
      <c r="J46" s="28" t="s">
        <v>8477</v>
      </c>
      <c r="K46" s="28" t="s">
        <v>8474</v>
      </c>
      <c r="L46" s="28" t="s">
        <v>8478</v>
      </c>
      <c r="M46" s="28" t="s">
        <v>41</v>
      </c>
      <c r="N46" s="28"/>
      <c r="O46" s="101"/>
    </row>
    <row r="47" spans="1:32" ht="14.4">
      <c r="A47" s="28" t="s">
        <v>46</v>
      </c>
      <c r="B47" s="28" t="s">
        <v>8490</v>
      </c>
      <c r="C47" s="28" t="s">
        <v>275</v>
      </c>
      <c r="D47" s="28" t="s">
        <v>543</v>
      </c>
      <c r="E47" s="28"/>
      <c r="F47" s="79" t="s">
        <v>8491</v>
      </c>
      <c r="G47" s="28"/>
      <c r="H47" s="28" t="s">
        <v>8492</v>
      </c>
      <c r="I47" s="28" t="s">
        <v>887</v>
      </c>
      <c r="J47" s="28">
        <v>23022</v>
      </c>
      <c r="K47" s="28" t="s">
        <v>8493</v>
      </c>
      <c r="L47" s="28" t="s">
        <v>2895</v>
      </c>
      <c r="M47" s="28" t="s">
        <v>41</v>
      </c>
      <c r="N47" s="28" t="s">
        <v>8495</v>
      </c>
      <c r="O47" s="106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</row>
    <row r="48" spans="1:32" ht="14.4">
      <c r="A48" s="28" t="s">
        <v>46</v>
      </c>
      <c r="B48" s="28" t="s">
        <v>8490</v>
      </c>
      <c r="C48" s="28" t="s">
        <v>79</v>
      </c>
      <c r="D48" s="43" t="s">
        <v>80</v>
      </c>
      <c r="E48" s="29"/>
      <c r="F48" s="28" t="s">
        <v>8502</v>
      </c>
      <c r="G48" s="28"/>
      <c r="H48" s="28" t="s">
        <v>8503</v>
      </c>
      <c r="I48" s="28" t="s">
        <v>3181</v>
      </c>
      <c r="J48" s="28">
        <v>23019</v>
      </c>
      <c r="K48" s="28" t="s">
        <v>8503</v>
      </c>
      <c r="L48" s="28" t="s">
        <v>2895</v>
      </c>
      <c r="M48" s="28" t="s">
        <v>41</v>
      </c>
      <c r="N48" s="28"/>
      <c r="O48" s="101"/>
    </row>
    <row r="49" spans="1:15" ht="14.4">
      <c r="A49" s="28" t="s">
        <v>46</v>
      </c>
      <c r="B49" s="28" t="s">
        <v>8490</v>
      </c>
      <c r="C49" s="28" t="s">
        <v>51</v>
      </c>
      <c r="D49" s="29" t="s">
        <v>52</v>
      </c>
      <c r="E49" s="29"/>
      <c r="F49" s="28" t="s">
        <v>8507</v>
      </c>
      <c r="G49" s="28"/>
      <c r="H49" s="28" t="s">
        <v>8503</v>
      </c>
      <c r="I49" s="28" t="s">
        <v>3181</v>
      </c>
      <c r="J49" s="28">
        <v>23018</v>
      </c>
      <c r="K49" s="28" t="s">
        <v>8503</v>
      </c>
      <c r="L49" s="28" t="s">
        <v>2895</v>
      </c>
      <c r="M49" s="28" t="s">
        <v>1807</v>
      </c>
      <c r="N49" s="28"/>
      <c r="O49" s="101"/>
    </row>
    <row r="50" spans="1:15" ht="14.4">
      <c r="A50" s="28" t="s">
        <v>46</v>
      </c>
      <c r="B50" s="28" t="s">
        <v>8490</v>
      </c>
      <c r="C50" s="28" t="s">
        <v>70</v>
      </c>
      <c r="D50" s="29" t="s">
        <v>71</v>
      </c>
      <c r="E50" s="29"/>
      <c r="F50" s="28" t="s">
        <v>8510</v>
      </c>
      <c r="G50" s="28"/>
      <c r="H50" s="28" t="s">
        <v>8503</v>
      </c>
      <c r="I50" s="28" t="s">
        <v>3181</v>
      </c>
      <c r="J50" s="28">
        <v>23017</v>
      </c>
      <c r="K50" s="28" t="s">
        <v>8503</v>
      </c>
      <c r="L50" s="28" t="s">
        <v>2895</v>
      </c>
      <c r="M50" s="28" t="s">
        <v>41</v>
      </c>
      <c r="N50" s="28"/>
      <c r="O50" s="101"/>
    </row>
    <row r="51" spans="1:15" ht="14.4">
      <c r="A51" s="28" t="s">
        <v>46</v>
      </c>
      <c r="B51" s="28" t="s">
        <v>8490</v>
      </c>
      <c r="C51" s="28" t="s">
        <v>220</v>
      </c>
      <c r="D51" s="28" t="s">
        <v>234</v>
      </c>
      <c r="E51" s="28"/>
      <c r="F51" s="28" t="s">
        <v>8514</v>
      </c>
      <c r="G51" s="28"/>
      <c r="H51" s="28" t="s">
        <v>8515</v>
      </c>
      <c r="I51" s="28" t="s">
        <v>521</v>
      </c>
      <c r="J51" s="28">
        <v>23036</v>
      </c>
      <c r="K51" s="28" t="s">
        <v>8515</v>
      </c>
      <c r="L51" s="28" t="s">
        <v>8516</v>
      </c>
      <c r="M51" s="28" t="s">
        <v>41</v>
      </c>
      <c r="N51" s="28"/>
      <c r="O51" s="101"/>
    </row>
    <row r="52" spans="1:15" ht="14.4">
      <c r="A52" s="28" t="s">
        <v>46</v>
      </c>
      <c r="B52" s="28" t="s">
        <v>8490</v>
      </c>
      <c r="C52" s="28" t="s">
        <v>220</v>
      </c>
      <c r="D52" s="28" t="s">
        <v>234</v>
      </c>
      <c r="E52" s="28"/>
      <c r="F52" s="28" t="s">
        <v>8521</v>
      </c>
      <c r="G52" s="28"/>
      <c r="H52" s="28" t="s">
        <v>8522</v>
      </c>
      <c r="I52" s="28" t="s">
        <v>4007</v>
      </c>
      <c r="J52" s="28">
        <v>23033</v>
      </c>
      <c r="K52" s="28" t="s">
        <v>8522</v>
      </c>
      <c r="L52" s="28" t="s">
        <v>2336</v>
      </c>
      <c r="M52" s="28" t="s">
        <v>41</v>
      </c>
      <c r="N52" s="28" t="s">
        <v>8524</v>
      </c>
      <c r="O52" s="101"/>
    </row>
    <row r="53" spans="1:15" ht="14.4">
      <c r="A53" s="28" t="s">
        <v>46</v>
      </c>
      <c r="B53" s="28" t="s">
        <v>8490</v>
      </c>
      <c r="C53" s="28" t="s">
        <v>220</v>
      </c>
      <c r="D53" s="28" t="s">
        <v>234</v>
      </c>
      <c r="E53" s="28"/>
      <c r="F53" s="28" t="s">
        <v>8529</v>
      </c>
      <c r="G53" s="28"/>
      <c r="H53" s="28" t="s">
        <v>8522</v>
      </c>
      <c r="I53" s="28" t="s">
        <v>4007</v>
      </c>
      <c r="J53" s="28">
        <v>23033</v>
      </c>
      <c r="K53" s="28" t="s">
        <v>8522</v>
      </c>
      <c r="L53" s="28" t="s">
        <v>2336</v>
      </c>
      <c r="M53" s="28" t="s">
        <v>41</v>
      </c>
      <c r="N53" s="28"/>
      <c r="O53" s="101"/>
    </row>
    <row r="54" spans="1:15" ht="14.4">
      <c r="A54" s="28" t="s">
        <v>46</v>
      </c>
      <c r="B54" s="28" t="s">
        <v>8490</v>
      </c>
      <c r="C54" s="28" t="s">
        <v>220</v>
      </c>
      <c r="D54" s="28" t="s">
        <v>234</v>
      </c>
      <c r="E54" s="28"/>
      <c r="F54" s="28" t="s">
        <v>8532</v>
      </c>
      <c r="G54" s="28"/>
      <c r="H54" s="28" t="s">
        <v>8534</v>
      </c>
      <c r="I54" s="28" t="s">
        <v>592</v>
      </c>
      <c r="J54" s="28">
        <v>23035</v>
      </c>
      <c r="K54" s="28" t="s">
        <v>8534</v>
      </c>
      <c r="L54" s="28" t="s">
        <v>2764</v>
      </c>
      <c r="M54" s="28" t="s">
        <v>41</v>
      </c>
      <c r="N54" s="28"/>
      <c r="O54" s="101"/>
    </row>
    <row r="55" spans="1:15" ht="14.4">
      <c r="A55" s="28" t="s">
        <v>46</v>
      </c>
      <c r="B55" s="28" t="s">
        <v>8490</v>
      </c>
      <c r="C55" s="28" t="s">
        <v>220</v>
      </c>
      <c r="D55" s="28" t="s">
        <v>234</v>
      </c>
      <c r="E55" s="28"/>
      <c r="F55" s="28" t="s">
        <v>8536</v>
      </c>
      <c r="G55" s="28"/>
      <c r="H55" s="28" t="s">
        <v>8538</v>
      </c>
      <c r="I55" s="28" t="s">
        <v>700</v>
      </c>
      <c r="J55" s="28">
        <v>23034</v>
      </c>
      <c r="K55" s="28" t="s">
        <v>8538</v>
      </c>
      <c r="L55" s="28" t="s">
        <v>8541</v>
      </c>
      <c r="M55" s="28" t="s">
        <v>41</v>
      </c>
      <c r="N55" s="28" t="s">
        <v>8524</v>
      </c>
      <c r="O55" s="101"/>
    </row>
    <row r="56" spans="1:15" ht="14.4">
      <c r="A56" s="28" t="s">
        <v>46</v>
      </c>
      <c r="B56" s="28" t="s">
        <v>8490</v>
      </c>
      <c r="C56" s="28" t="s">
        <v>233</v>
      </c>
      <c r="D56" s="29" t="s">
        <v>298</v>
      </c>
      <c r="E56" s="29"/>
      <c r="F56" s="28" t="s">
        <v>8544</v>
      </c>
      <c r="G56" s="28"/>
      <c r="H56" s="28" t="s">
        <v>8550</v>
      </c>
      <c r="I56" s="28" t="s">
        <v>933</v>
      </c>
      <c r="J56" s="28">
        <v>23039</v>
      </c>
      <c r="K56" s="28" t="s">
        <v>8550</v>
      </c>
      <c r="L56" s="28" t="s">
        <v>8553</v>
      </c>
      <c r="M56" s="28" t="s">
        <v>41</v>
      </c>
      <c r="N56" s="28"/>
      <c r="O56" s="101"/>
    </row>
    <row r="57" spans="1:15" ht="14.4">
      <c r="A57" s="28" t="s">
        <v>46</v>
      </c>
      <c r="B57" s="28" t="s">
        <v>8490</v>
      </c>
      <c r="C57" s="28" t="s">
        <v>233</v>
      </c>
      <c r="D57" s="29" t="s">
        <v>298</v>
      </c>
      <c r="E57" s="29"/>
      <c r="F57" s="28" t="s">
        <v>8560</v>
      </c>
      <c r="G57" s="28"/>
      <c r="H57" s="28" t="s">
        <v>8561</v>
      </c>
      <c r="I57" s="28" t="s">
        <v>887</v>
      </c>
      <c r="J57" s="28">
        <v>23040</v>
      </c>
      <c r="K57" s="28" t="s">
        <v>8561</v>
      </c>
      <c r="L57" s="28" t="s">
        <v>2895</v>
      </c>
      <c r="M57" s="28" t="s">
        <v>41</v>
      </c>
      <c r="N57" s="28"/>
      <c r="O57" s="101"/>
    </row>
    <row r="58" spans="1:15" ht="14.4">
      <c r="A58" s="28" t="s">
        <v>46</v>
      </c>
      <c r="B58" s="28" t="s">
        <v>8490</v>
      </c>
      <c r="C58" s="28" t="s">
        <v>233</v>
      </c>
      <c r="D58" s="29" t="s">
        <v>298</v>
      </c>
      <c r="E58" s="29"/>
      <c r="F58" s="28" t="s">
        <v>8562</v>
      </c>
      <c r="G58" s="28"/>
      <c r="H58" s="28" t="s">
        <v>8564</v>
      </c>
      <c r="I58" s="28" t="s">
        <v>887</v>
      </c>
      <c r="J58" s="28">
        <v>23038</v>
      </c>
      <c r="K58" s="28" t="s">
        <v>8566</v>
      </c>
      <c r="L58" s="28" t="s">
        <v>2895</v>
      </c>
      <c r="M58" s="28" t="s">
        <v>41</v>
      </c>
      <c r="N58" s="28"/>
      <c r="O58" s="101"/>
    </row>
    <row r="59" spans="1:15" ht="14.4">
      <c r="A59" s="28" t="s">
        <v>46</v>
      </c>
      <c r="B59" s="28" t="s">
        <v>8490</v>
      </c>
      <c r="C59" s="28" t="s">
        <v>233</v>
      </c>
      <c r="D59" s="29" t="s">
        <v>298</v>
      </c>
      <c r="E59" s="29"/>
      <c r="F59" s="28" t="s">
        <v>8567</v>
      </c>
      <c r="G59" s="28"/>
      <c r="H59" s="28" t="s">
        <v>8568</v>
      </c>
      <c r="I59" s="28" t="s">
        <v>966</v>
      </c>
      <c r="J59" s="28">
        <v>23037</v>
      </c>
      <c r="K59" s="28" t="s">
        <v>8568</v>
      </c>
      <c r="L59" s="28" t="s">
        <v>2895</v>
      </c>
      <c r="M59" s="28" t="s">
        <v>41</v>
      </c>
      <c r="N59" s="28"/>
      <c r="O59" s="101"/>
    </row>
    <row r="60" spans="1:15" ht="14.4">
      <c r="A60" s="28" t="s">
        <v>46</v>
      </c>
      <c r="B60" s="28" t="s">
        <v>8490</v>
      </c>
      <c r="C60" s="28" t="s">
        <v>85</v>
      </c>
      <c r="D60" s="28" t="s">
        <v>86</v>
      </c>
      <c r="E60" s="28"/>
      <c r="F60" s="28" t="s">
        <v>8573</v>
      </c>
      <c r="G60" s="28"/>
      <c r="H60" s="28" t="s">
        <v>8575</v>
      </c>
      <c r="I60" s="28" t="s">
        <v>887</v>
      </c>
      <c r="J60" s="28">
        <v>23032</v>
      </c>
      <c r="K60" s="28" t="s">
        <v>8576</v>
      </c>
      <c r="L60" s="28" t="s">
        <v>8577</v>
      </c>
      <c r="M60" s="28" t="s">
        <v>41</v>
      </c>
      <c r="N60" s="28"/>
      <c r="O60" s="101"/>
    </row>
    <row r="61" spans="1:15" ht="14.4">
      <c r="A61" s="28" t="s">
        <v>46</v>
      </c>
      <c r="B61" s="28" t="s">
        <v>8490</v>
      </c>
      <c r="C61" s="28" t="s">
        <v>85</v>
      </c>
      <c r="D61" s="28" t="s">
        <v>86</v>
      </c>
      <c r="E61" s="28"/>
      <c r="F61" s="28" t="s">
        <v>8582</v>
      </c>
      <c r="G61" s="28"/>
      <c r="H61" s="28" t="s">
        <v>8564</v>
      </c>
      <c r="I61" s="28" t="s">
        <v>887</v>
      </c>
      <c r="J61" s="28">
        <v>23028</v>
      </c>
      <c r="K61" s="28" t="s">
        <v>8583</v>
      </c>
      <c r="L61" s="28" t="s">
        <v>2895</v>
      </c>
      <c r="M61" s="28" t="s">
        <v>41</v>
      </c>
      <c r="N61" s="28"/>
      <c r="O61" s="101"/>
    </row>
    <row r="62" spans="1:15" ht="14.4">
      <c r="A62" s="28" t="s">
        <v>46</v>
      </c>
      <c r="B62" s="28" t="s">
        <v>8490</v>
      </c>
      <c r="C62" s="28" t="s">
        <v>85</v>
      </c>
      <c r="D62" s="28" t="s">
        <v>86</v>
      </c>
      <c r="E62" s="28"/>
      <c r="F62" s="28" t="s">
        <v>8588</v>
      </c>
      <c r="G62" s="28"/>
      <c r="H62" s="28" t="s">
        <v>8503</v>
      </c>
      <c r="I62" s="28" t="s">
        <v>3181</v>
      </c>
      <c r="J62" s="28">
        <v>23029</v>
      </c>
      <c r="K62" s="28" t="s">
        <v>8503</v>
      </c>
      <c r="L62" s="28" t="s">
        <v>2895</v>
      </c>
      <c r="M62" s="28" t="s">
        <v>41</v>
      </c>
      <c r="N62" s="28"/>
      <c r="O62" s="101"/>
    </row>
    <row r="63" spans="1:15" ht="14.4">
      <c r="A63" s="28" t="s">
        <v>46</v>
      </c>
      <c r="B63" s="28" t="s">
        <v>8490</v>
      </c>
      <c r="C63" s="28" t="s">
        <v>85</v>
      </c>
      <c r="D63" s="28" t="s">
        <v>86</v>
      </c>
      <c r="E63" s="28"/>
      <c r="F63" s="28" t="s">
        <v>8591</v>
      </c>
      <c r="G63" s="28"/>
      <c r="H63" s="28" t="s">
        <v>8564</v>
      </c>
      <c r="I63" s="28" t="s">
        <v>887</v>
      </c>
      <c r="J63" s="28">
        <v>23028</v>
      </c>
      <c r="K63" s="28" t="s">
        <v>8564</v>
      </c>
      <c r="L63" s="28" t="s">
        <v>2895</v>
      </c>
      <c r="M63" s="28" t="s">
        <v>41</v>
      </c>
      <c r="N63" s="28"/>
      <c r="O63" s="101"/>
    </row>
    <row r="64" spans="1:15" ht="14.4">
      <c r="A64" s="28" t="s">
        <v>46</v>
      </c>
      <c r="B64" s="28" t="s">
        <v>8490</v>
      </c>
      <c r="C64" s="28" t="s">
        <v>85</v>
      </c>
      <c r="D64" s="28" t="s">
        <v>86</v>
      </c>
      <c r="E64" s="28"/>
      <c r="F64" s="28" t="s">
        <v>8594</v>
      </c>
      <c r="G64" s="28"/>
      <c r="H64" s="28" t="s">
        <v>8575</v>
      </c>
      <c r="I64" s="28" t="s">
        <v>887</v>
      </c>
      <c r="J64" s="28">
        <v>23032</v>
      </c>
      <c r="K64" s="28" t="s">
        <v>8575</v>
      </c>
      <c r="L64" s="28" t="s">
        <v>8577</v>
      </c>
      <c r="M64" s="28" t="s">
        <v>41</v>
      </c>
      <c r="N64" s="28"/>
      <c r="O64" s="101"/>
    </row>
    <row r="65" spans="1:32" ht="14.4">
      <c r="A65" s="28" t="s">
        <v>46</v>
      </c>
      <c r="B65" s="28" t="s">
        <v>8490</v>
      </c>
      <c r="C65" s="28" t="s">
        <v>85</v>
      </c>
      <c r="D65" s="28" t="s">
        <v>86</v>
      </c>
      <c r="E65" s="28"/>
      <c r="F65" s="28" t="s">
        <v>8596</v>
      </c>
      <c r="G65" s="28"/>
      <c r="H65" s="28" t="s">
        <v>8492</v>
      </c>
      <c r="I65" s="28" t="s">
        <v>8597</v>
      </c>
      <c r="J65" s="28">
        <v>23030</v>
      </c>
      <c r="K65" s="28" t="s">
        <v>8492</v>
      </c>
      <c r="L65" s="28" t="s">
        <v>2895</v>
      </c>
      <c r="M65" s="28" t="s">
        <v>41</v>
      </c>
      <c r="N65" s="28" t="s">
        <v>8601</v>
      </c>
      <c r="O65" s="101"/>
    </row>
    <row r="66" spans="1:32" ht="14.4">
      <c r="A66" s="28" t="s">
        <v>46</v>
      </c>
      <c r="B66" s="28" t="s">
        <v>8490</v>
      </c>
      <c r="C66" s="28" t="s">
        <v>85</v>
      </c>
      <c r="D66" s="28" t="s">
        <v>86</v>
      </c>
      <c r="E66" s="28"/>
      <c r="F66" s="28" t="s">
        <v>8603</v>
      </c>
      <c r="G66" s="28"/>
      <c r="H66" s="28" t="s">
        <v>8515</v>
      </c>
      <c r="I66" s="28" t="s">
        <v>8597</v>
      </c>
      <c r="J66" s="28">
        <v>23023</v>
      </c>
      <c r="K66" s="28" t="s">
        <v>8604</v>
      </c>
      <c r="L66" s="28" t="s">
        <v>8605</v>
      </c>
      <c r="M66" s="28" t="s">
        <v>41</v>
      </c>
      <c r="N66" s="28" t="s">
        <v>8524</v>
      </c>
      <c r="O66" s="101"/>
    </row>
    <row r="67" spans="1:32" ht="14.4">
      <c r="A67" s="28" t="s">
        <v>46</v>
      </c>
      <c r="B67" s="28" t="s">
        <v>8490</v>
      </c>
      <c r="C67" s="28" t="s">
        <v>85</v>
      </c>
      <c r="D67" s="28" t="s">
        <v>86</v>
      </c>
      <c r="E67" s="28"/>
      <c r="F67" s="28" t="s">
        <v>8610</v>
      </c>
      <c r="G67" s="28"/>
      <c r="H67" s="28" t="s">
        <v>8561</v>
      </c>
      <c r="I67" s="28" t="s">
        <v>887</v>
      </c>
      <c r="J67" s="28">
        <v>23031</v>
      </c>
      <c r="K67" s="28" t="s">
        <v>8611</v>
      </c>
      <c r="L67" s="28" t="s">
        <v>2895</v>
      </c>
      <c r="M67" s="28" t="s">
        <v>41</v>
      </c>
      <c r="N67" s="28"/>
      <c r="O67" s="101"/>
    </row>
    <row r="68" spans="1:32" ht="14.4">
      <c r="A68" s="28" t="s">
        <v>46</v>
      </c>
      <c r="B68" s="28" t="s">
        <v>8490</v>
      </c>
      <c r="C68" s="28" t="s">
        <v>85</v>
      </c>
      <c r="D68" s="28" t="s">
        <v>86</v>
      </c>
      <c r="E68" s="28"/>
      <c r="F68" s="28" t="s">
        <v>8613</v>
      </c>
      <c r="G68" s="28"/>
      <c r="H68" s="28" t="s">
        <v>8503</v>
      </c>
      <c r="I68" s="28" t="s">
        <v>3181</v>
      </c>
      <c r="J68" s="28">
        <v>23029</v>
      </c>
      <c r="K68" s="28" t="s">
        <v>8618</v>
      </c>
      <c r="L68" s="28" t="s">
        <v>2895</v>
      </c>
      <c r="M68" s="28" t="s">
        <v>41</v>
      </c>
      <c r="N68" s="28"/>
      <c r="O68" s="101"/>
    </row>
    <row r="69" spans="1:32" ht="14.4">
      <c r="A69" s="28" t="s">
        <v>46</v>
      </c>
      <c r="B69" s="28" t="s">
        <v>8490</v>
      </c>
      <c r="C69" s="28" t="s">
        <v>85</v>
      </c>
      <c r="D69" s="28" t="s">
        <v>86</v>
      </c>
      <c r="E69" s="28"/>
      <c r="F69" s="28" t="s">
        <v>8619</v>
      </c>
      <c r="G69" s="28"/>
      <c r="H69" s="28" t="s">
        <v>8575</v>
      </c>
      <c r="I69" s="28" t="s">
        <v>887</v>
      </c>
      <c r="J69" s="28">
        <v>23032</v>
      </c>
      <c r="K69" s="28" t="s">
        <v>8621</v>
      </c>
      <c r="L69" s="28" t="s">
        <v>8577</v>
      </c>
      <c r="M69" s="28" t="s">
        <v>41</v>
      </c>
      <c r="N69" s="28"/>
      <c r="O69" s="101"/>
    </row>
    <row r="70" spans="1:32" ht="14.4">
      <c r="A70" s="28" t="s">
        <v>46</v>
      </c>
      <c r="B70" s="28" t="s">
        <v>8490</v>
      </c>
      <c r="C70" s="28" t="s">
        <v>85</v>
      </c>
      <c r="D70" s="28" t="s">
        <v>86</v>
      </c>
      <c r="E70" s="28"/>
      <c r="F70" s="28" t="s">
        <v>8624</v>
      </c>
      <c r="G70" s="28"/>
      <c r="H70" s="28" t="s">
        <v>8575</v>
      </c>
      <c r="I70" s="28" t="s">
        <v>887</v>
      </c>
      <c r="J70" s="28">
        <v>23032</v>
      </c>
      <c r="K70" s="28" t="s">
        <v>8625</v>
      </c>
      <c r="L70" s="28" t="s">
        <v>8577</v>
      </c>
      <c r="M70" s="28" t="s">
        <v>41</v>
      </c>
      <c r="N70" s="28" t="s">
        <v>8524</v>
      </c>
      <c r="O70" s="101"/>
    </row>
    <row r="71" spans="1:32" ht="14.4">
      <c r="A71" s="28" t="s">
        <v>46</v>
      </c>
      <c r="B71" s="28" t="s">
        <v>8490</v>
      </c>
      <c r="C71" s="28" t="s">
        <v>85</v>
      </c>
      <c r="D71" s="28" t="s">
        <v>86</v>
      </c>
      <c r="E71" s="28"/>
      <c r="F71" s="28" t="s">
        <v>8629</v>
      </c>
      <c r="G71" s="28"/>
      <c r="H71" s="28" t="s">
        <v>8630</v>
      </c>
      <c r="I71" s="28" t="s">
        <v>887</v>
      </c>
      <c r="J71" s="28">
        <v>23024</v>
      </c>
      <c r="K71" s="28" t="s">
        <v>8631</v>
      </c>
      <c r="L71" s="28" t="s">
        <v>8632</v>
      </c>
      <c r="M71" s="28" t="s">
        <v>41</v>
      </c>
      <c r="N71" s="28" t="s">
        <v>8524</v>
      </c>
      <c r="O71" s="101"/>
    </row>
    <row r="72" spans="1:32" ht="14.4">
      <c r="A72" s="28" t="s">
        <v>46</v>
      </c>
      <c r="B72" s="28" t="s">
        <v>8490</v>
      </c>
      <c r="C72" s="28" t="s">
        <v>85</v>
      </c>
      <c r="D72" s="28" t="s">
        <v>86</v>
      </c>
      <c r="E72" s="28"/>
      <c r="F72" s="28" t="s">
        <v>8636</v>
      </c>
      <c r="G72" s="28"/>
      <c r="H72" s="28" t="s">
        <v>8630</v>
      </c>
      <c r="I72" s="28" t="s">
        <v>887</v>
      </c>
      <c r="J72" s="28">
        <v>23024</v>
      </c>
      <c r="K72" s="28" t="s">
        <v>8630</v>
      </c>
      <c r="L72" s="28" t="s">
        <v>8632</v>
      </c>
      <c r="M72" s="28" t="s">
        <v>41</v>
      </c>
      <c r="N72" s="28"/>
      <c r="O72" s="101"/>
    </row>
    <row r="73" spans="1:32" ht="14.4">
      <c r="A73" s="28" t="s">
        <v>46</v>
      </c>
      <c r="B73" s="28" t="s">
        <v>8490</v>
      </c>
      <c r="C73" s="28" t="s">
        <v>85</v>
      </c>
      <c r="D73" s="28" t="s">
        <v>86</v>
      </c>
      <c r="E73" s="28"/>
      <c r="F73" s="28" t="s">
        <v>8639</v>
      </c>
      <c r="G73" s="28"/>
      <c r="H73" s="28" t="s">
        <v>8640</v>
      </c>
      <c r="I73" s="28" t="s">
        <v>8642</v>
      </c>
      <c r="J73" s="28">
        <v>23027</v>
      </c>
      <c r="K73" s="28" t="s">
        <v>8640</v>
      </c>
      <c r="L73" s="28" t="s">
        <v>8644</v>
      </c>
      <c r="M73" s="28" t="s">
        <v>41</v>
      </c>
      <c r="N73" s="28"/>
      <c r="O73" s="101"/>
    </row>
    <row r="74" spans="1:32" ht="14.4">
      <c r="A74" s="28" t="s">
        <v>46</v>
      </c>
      <c r="B74" s="28" t="s">
        <v>8490</v>
      </c>
      <c r="C74" s="28" t="s">
        <v>85</v>
      </c>
      <c r="D74" s="28" t="s">
        <v>86</v>
      </c>
      <c r="E74" s="28"/>
      <c r="F74" s="28" t="s">
        <v>8646</v>
      </c>
      <c r="G74" s="28"/>
      <c r="H74" s="28" t="s">
        <v>8647</v>
      </c>
      <c r="I74" s="28" t="s">
        <v>5382</v>
      </c>
      <c r="J74" s="28">
        <v>23025</v>
      </c>
      <c r="K74" s="28" t="s">
        <v>8648</v>
      </c>
      <c r="L74" s="28" t="s">
        <v>8649</v>
      </c>
      <c r="M74" s="28" t="s">
        <v>41</v>
      </c>
      <c r="N74" s="28"/>
      <c r="O74" s="101"/>
    </row>
    <row r="75" spans="1:32" ht="14.4">
      <c r="A75" s="28" t="s">
        <v>46</v>
      </c>
      <c r="B75" s="28" t="s">
        <v>8490</v>
      </c>
      <c r="C75" s="28" t="s">
        <v>85</v>
      </c>
      <c r="D75" s="28" t="s">
        <v>86</v>
      </c>
      <c r="E75" s="28"/>
      <c r="F75" s="28" t="s">
        <v>8650</v>
      </c>
      <c r="G75" s="28"/>
      <c r="H75" s="28" t="s">
        <v>8568</v>
      </c>
      <c r="I75" s="28" t="s">
        <v>966</v>
      </c>
      <c r="J75" s="28">
        <v>23026</v>
      </c>
      <c r="K75" s="28" t="s">
        <v>8568</v>
      </c>
      <c r="L75" s="28" t="s">
        <v>2895</v>
      </c>
      <c r="M75" s="28" t="s">
        <v>41</v>
      </c>
      <c r="N75" s="28" t="s">
        <v>8524</v>
      </c>
      <c r="O75" s="101"/>
    </row>
    <row r="76" spans="1:32" ht="14.4">
      <c r="A76" s="28" t="s">
        <v>46</v>
      </c>
      <c r="B76" s="28" t="s">
        <v>8490</v>
      </c>
      <c r="C76" s="28" t="s">
        <v>296</v>
      </c>
      <c r="D76" s="28" t="s">
        <v>954</v>
      </c>
      <c r="E76" s="28"/>
      <c r="F76" s="79" t="s">
        <v>8651</v>
      </c>
      <c r="G76" s="28"/>
      <c r="H76" s="28" t="s">
        <v>8425</v>
      </c>
      <c r="I76" s="28" t="s">
        <v>335</v>
      </c>
      <c r="J76" s="28" t="s">
        <v>8426</v>
      </c>
      <c r="K76" s="28"/>
      <c r="L76" s="28" t="s">
        <v>8653</v>
      </c>
      <c r="M76" s="28" t="s">
        <v>41</v>
      </c>
      <c r="N76" s="28"/>
      <c r="O76" s="101"/>
    </row>
    <row r="77" spans="1:32" ht="14.4">
      <c r="A77" s="28" t="s">
        <v>46</v>
      </c>
      <c r="B77" s="28" t="s">
        <v>8655</v>
      </c>
      <c r="C77" s="28" t="s">
        <v>51</v>
      </c>
      <c r="D77" s="29" t="s">
        <v>52</v>
      </c>
      <c r="E77" s="29"/>
      <c r="F77" s="28" t="s">
        <v>8657</v>
      </c>
      <c r="G77" s="28"/>
      <c r="H77" s="28" t="s">
        <v>8658</v>
      </c>
      <c r="I77" s="28" t="s">
        <v>8659</v>
      </c>
      <c r="J77" s="28" t="s">
        <v>8460</v>
      </c>
      <c r="K77" s="28" t="s">
        <v>8660</v>
      </c>
      <c r="L77" s="28" t="s">
        <v>3389</v>
      </c>
      <c r="M77" s="28" t="s">
        <v>41</v>
      </c>
      <c r="N77" s="28"/>
      <c r="O77" s="101"/>
    </row>
    <row r="78" spans="1:32" ht="14.4">
      <c r="A78" s="28" t="s">
        <v>46</v>
      </c>
      <c r="B78" s="28" t="s">
        <v>8655</v>
      </c>
      <c r="C78" s="28" t="s">
        <v>70</v>
      </c>
      <c r="D78" s="29" t="s">
        <v>71</v>
      </c>
      <c r="E78" s="29"/>
      <c r="F78" s="28" t="s">
        <v>8662</v>
      </c>
      <c r="G78" s="28"/>
      <c r="H78" s="28" t="s">
        <v>8658</v>
      </c>
      <c r="I78" s="28" t="s">
        <v>8659</v>
      </c>
      <c r="J78" s="28" t="s">
        <v>8460</v>
      </c>
      <c r="K78" s="28" t="s">
        <v>8658</v>
      </c>
      <c r="L78" s="28" t="s">
        <v>3389</v>
      </c>
      <c r="M78" s="28" t="s">
        <v>41</v>
      </c>
      <c r="N78" s="28"/>
      <c r="O78" s="101"/>
    </row>
    <row r="79" spans="1:32" ht="14.4">
      <c r="A79" s="28" t="s">
        <v>46</v>
      </c>
      <c r="B79" s="28" t="s">
        <v>8655</v>
      </c>
      <c r="C79" s="28" t="s">
        <v>275</v>
      </c>
      <c r="D79" s="28" t="s">
        <v>543</v>
      </c>
      <c r="E79" s="28"/>
      <c r="F79" s="79" t="s">
        <v>8668</v>
      </c>
      <c r="G79" s="28"/>
      <c r="H79" s="28" t="s">
        <v>8669</v>
      </c>
      <c r="I79" s="28" t="s">
        <v>8659</v>
      </c>
      <c r="J79" s="28" t="s">
        <v>1740</v>
      </c>
      <c r="K79" s="28" t="s">
        <v>8669</v>
      </c>
      <c r="L79" s="28" t="s">
        <v>3389</v>
      </c>
      <c r="M79" s="28" t="s">
        <v>41</v>
      </c>
      <c r="N79" s="28"/>
      <c r="O79" s="106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</row>
    <row r="80" spans="1:32" ht="14.4">
      <c r="A80" s="28" t="s">
        <v>46</v>
      </c>
      <c r="B80" s="28" t="s">
        <v>8655</v>
      </c>
      <c r="C80" s="28" t="s">
        <v>233</v>
      </c>
      <c r="D80" s="29" t="s">
        <v>298</v>
      </c>
      <c r="E80" s="29"/>
      <c r="F80" s="28" t="s">
        <v>8672</v>
      </c>
      <c r="G80" s="28"/>
      <c r="H80" s="28" t="s">
        <v>8674</v>
      </c>
      <c r="I80" s="28" t="s">
        <v>8675</v>
      </c>
      <c r="J80" s="28" t="s">
        <v>8676</v>
      </c>
      <c r="K80" s="28" t="s">
        <v>8677</v>
      </c>
      <c r="L80" s="28" t="s">
        <v>989</v>
      </c>
      <c r="M80" s="28" t="s">
        <v>41</v>
      </c>
      <c r="N80" s="28"/>
      <c r="O80" s="101"/>
    </row>
    <row r="81" spans="1:15" ht="14.4">
      <c r="A81" s="28" t="s">
        <v>46</v>
      </c>
      <c r="B81" s="28" t="s">
        <v>8655</v>
      </c>
      <c r="C81" s="28" t="s">
        <v>233</v>
      </c>
      <c r="D81" s="29" t="s">
        <v>298</v>
      </c>
      <c r="E81" s="29"/>
      <c r="F81" s="28" t="s">
        <v>8678</v>
      </c>
      <c r="G81" s="28"/>
      <c r="H81" s="28" t="s">
        <v>8679</v>
      </c>
      <c r="I81" s="28" t="s">
        <v>2400</v>
      </c>
      <c r="J81" s="28" t="s">
        <v>8680</v>
      </c>
      <c r="K81" s="28" t="s">
        <v>8681</v>
      </c>
      <c r="L81" s="28" t="s">
        <v>3389</v>
      </c>
      <c r="M81" s="28" t="s">
        <v>41</v>
      </c>
      <c r="N81" s="28"/>
      <c r="O81" s="101"/>
    </row>
    <row r="82" spans="1:15" ht="14.4">
      <c r="A82" s="28" t="s">
        <v>46</v>
      </c>
      <c r="B82" s="28" t="s">
        <v>8655</v>
      </c>
      <c r="C82" s="28" t="s">
        <v>233</v>
      </c>
      <c r="D82" s="29" t="s">
        <v>298</v>
      </c>
      <c r="E82" s="29"/>
      <c r="F82" s="28" t="s">
        <v>8685</v>
      </c>
      <c r="G82" s="28"/>
      <c r="H82" s="28" t="s">
        <v>8686</v>
      </c>
      <c r="I82" s="28" t="s">
        <v>8687</v>
      </c>
      <c r="J82" s="28" t="s">
        <v>8688</v>
      </c>
      <c r="K82" s="28" t="s">
        <v>8689</v>
      </c>
      <c r="L82" s="28" t="s">
        <v>989</v>
      </c>
      <c r="M82" s="28" t="s">
        <v>41</v>
      </c>
      <c r="N82" s="28"/>
      <c r="O82" s="101"/>
    </row>
    <row r="83" spans="1:15" ht="14.4">
      <c r="A83" s="28" t="s">
        <v>46</v>
      </c>
      <c r="B83" s="28" t="s">
        <v>8655</v>
      </c>
      <c r="C83" s="28" t="s">
        <v>233</v>
      </c>
      <c r="D83" s="29" t="s">
        <v>298</v>
      </c>
      <c r="E83" s="29"/>
      <c r="F83" s="28" t="s">
        <v>8690</v>
      </c>
      <c r="G83" s="28"/>
      <c r="H83" s="28" t="s">
        <v>8691</v>
      </c>
      <c r="I83" s="28" t="s">
        <v>8692</v>
      </c>
      <c r="J83" s="28" t="s">
        <v>8694</v>
      </c>
      <c r="K83" s="28" t="s">
        <v>8695</v>
      </c>
      <c r="L83" s="28" t="s">
        <v>3389</v>
      </c>
      <c r="M83" s="28" t="s">
        <v>41</v>
      </c>
      <c r="N83" s="28"/>
      <c r="O83" s="101"/>
    </row>
    <row r="84" spans="1:15" ht="14.4">
      <c r="A84" s="28" t="s">
        <v>46</v>
      </c>
      <c r="B84" s="28" t="s">
        <v>8655</v>
      </c>
      <c r="C84" s="28" t="s">
        <v>220</v>
      </c>
      <c r="D84" s="28" t="s">
        <v>234</v>
      </c>
      <c r="E84" s="28"/>
      <c r="F84" s="28" t="s">
        <v>8698</v>
      </c>
      <c r="G84" s="28"/>
      <c r="H84" s="28" t="s">
        <v>8674</v>
      </c>
      <c r="I84" s="28" t="s">
        <v>8675</v>
      </c>
      <c r="J84" s="28" t="s">
        <v>8699</v>
      </c>
      <c r="K84" s="28" t="s">
        <v>8674</v>
      </c>
      <c r="L84" s="28" t="s">
        <v>989</v>
      </c>
      <c r="M84" s="28" t="s">
        <v>41</v>
      </c>
      <c r="N84" s="28"/>
      <c r="O84" s="101"/>
    </row>
    <row r="85" spans="1:15" ht="14.4">
      <c r="A85" s="28" t="s">
        <v>46</v>
      </c>
      <c r="B85" s="28" t="s">
        <v>8655</v>
      </c>
      <c r="C85" s="28" t="s">
        <v>220</v>
      </c>
      <c r="D85" s="28" t="s">
        <v>234</v>
      </c>
      <c r="E85" s="28"/>
      <c r="F85" s="28" t="s">
        <v>8700</v>
      </c>
      <c r="G85" s="28"/>
      <c r="H85" s="28" t="s">
        <v>8669</v>
      </c>
      <c r="I85" s="28" t="s">
        <v>8702</v>
      </c>
      <c r="J85" s="28" t="s">
        <v>8703</v>
      </c>
      <c r="K85" s="28" t="s">
        <v>8669</v>
      </c>
      <c r="L85" s="28" t="s">
        <v>3389</v>
      </c>
      <c r="M85" s="28" t="s">
        <v>41</v>
      </c>
      <c r="N85" s="28"/>
      <c r="O85" s="101"/>
    </row>
    <row r="86" spans="1:15" ht="14.4">
      <c r="A86" s="28" t="s">
        <v>46</v>
      </c>
      <c r="B86" s="28" t="s">
        <v>8655</v>
      </c>
      <c r="C86" s="28" t="s">
        <v>220</v>
      </c>
      <c r="D86" s="28" t="s">
        <v>234</v>
      </c>
      <c r="E86" s="28"/>
      <c r="F86" s="28" t="s">
        <v>8706</v>
      </c>
      <c r="G86" s="28"/>
      <c r="H86" s="28" t="s">
        <v>8669</v>
      </c>
      <c r="I86" s="28" t="s">
        <v>8702</v>
      </c>
      <c r="J86" s="28" t="s">
        <v>8707</v>
      </c>
      <c r="K86" s="28" t="s">
        <v>8669</v>
      </c>
      <c r="L86" s="28" t="s">
        <v>3389</v>
      </c>
      <c r="M86" s="28" t="s">
        <v>41</v>
      </c>
      <c r="N86" s="28"/>
      <c r="O86" s="101"/>
    </row>
    <row r="87" spans="1:15" ht="14.4">
      <c r="A87" s="28" t="s">
        <v>46</v>
      </c>
      <c r="B87" s="28" t="s">
        <v>8655</v>
      </c>
      <c r="C87" s="28" t="s">
        <v>220</v>
      </c>
      <c r="D87" s="28" t="s">
        <v>234</v>
      </c>
      <c r="E87" s="28"/>
      <c r="F87" s="28" t="s">
        <v>8708</v>
      </c>
      <c r="G87" s="28"/>
      <c r="H87" s="28" t="s">
        <v>8691</v>
      </c>
      <c r="I87" s="28" t="s">
        <v>8692</v>
      </c>
      <c r="J87" s="28" t="s">
        <v>8710</v>
      </c>
      <c r="K87" s="28" t="s">
        <v>8691</v>
      </c>
      <c r="L87" s="28" t="s">
        <v>3389</v>
      </c>
      <c r="M87" s="28" t="s">
        <v>41</v>
      </c>
      <c r="N87" s="28"/>
      <c r="O87" s="101"/>
    </row>
    <row r="88" spans="1:15" ht="14.4">
      <c r="A88" s="28" t="s">
        <v>46</v>
      </c>
      <c r="B88" s="28" t="s">
        <v>8655</v>
      </c>
      <c r="C88" s="28" t="s">
        <v>85</v>
      </c>
      <c r="D88" s="28" t="s">
        <v>86</v>
      </c>
      <c r="E88" s="28"/>
      <c r="F88" s="28" t="s">
        <v>8712</v>
      </c>
      <c r="G88" s="28"/>
      <c r="H88" s="28" t="s">
        <v>8674</v>
      </c>
      <c r="I88" s="28" t="s">
        <v>8675</v>
      </c>
      <c r="J88" s="226">
        <v>45079</v>
      </c>
      <c r="K88" s="28" t="s">
        <v>8713</v>
      </c>
      <c r="L88" s="28" t="s">
        <v>989</v>
      </c>
      <c r="M88" s="28" t="s">
        <v>41</v>
      </c>
      <c r="N88" s="28"/>
      <c r="O88" s="101"/>
    </row>
    <row r="89" spans="1:15" ht="14.4">
      <c r="A89" s="28" t="s">
        <v>46</v>
      </c>
      <c r="B89" s="28" t="s">
        <v>8655</v>
      </c>
      <c r="C89" s="28" t="s">
        <v>85</v>
      </c>
      <c r="D89" s="28" t="s">
        <v>86</v>
      </c>
      <c r="E89" s="28"/>
      <c r="F89" s="28" t="s">
        <v>8714</v>
      </c>
      <c r="G89" s="28"/>
      <c r="H89" s="28" t="s">
        <v>8715</v>
      </c>
      <c r="I89" s="28" t="s">
        <v>1740</v>
      </c>
      <c r="J89" s="226">
        <v>45079</v>
      </c>
      <c r="K89" s="28" t="s">
        <v>8715</v>
      </c>
      <c r="L89" s="28" t="s">
        <v>989</v>
      </c>
      <c r="M89" s="28" t="s">
        <v>41</v>
      </c>
      <c r="N89" s="28"/>
      <c r="O89" s="101"/>
    </row>
    <row r="90" spans="1:15" ht="14.4">
      <c r="A90" s="28" t="s">
        <v>46</v>
      </c>
      <c r="B90" s="28" t="s">
        <v>8655</v>
      </c>
      <c r="C90" s="28" t="s">
        <v>85</v>
      </c>
      <c r="D90" s="28" t="s">
        <v>86</v>
      </c>
      <c r="E90" s="28"/>
      <c r="F90" s="28" t="s">
        <v>8719</v>
      </c>
      <c r="G90" s="28"/>
      <c r="H90" s="28" t="s">
        <v>8720</v>
      </c>
      <c r="I90" s="28" t="s">
        <v>8721</v>
      </c>
      <c r="J90" s="226">
        <v>45088</v>
      </c>
      <c r="K90" s="28" t="s">
        <v>8720</v>
      </c>
      <c r="L90" s="28" t="s">
        <v>3389</v>
      </c>
      <c r="M90" s="28" t="s">
        <v>41</v>
      </c>
      <c r="N90" s="28" t="s">
        <v>8722</v>
      </c>
      <c r="O90" s="101"/>
    </row>
    <row r="91" spans="1:15" ht="14.4">
      <c r="A91" s="28" t="s">
        <v>46</v>
      </c>
      <c r="B91" s="28" t="s">
        <v>8655</v>
      </c>
      <c r="C91" s="28" t="s">
        <v>85</v>
      </c>
      <c r="D91" s="28" t="s">
        <v>86</v>
      </c>
      <c r="E91" s="28"/>
      <c r="F91" s="28" t="s">
        <v>8723</v>
      </c>
      <c r="G91" s="28"/>
      <c r="H91" s="28" t="s">
        <v>8724</v>
      </c>
      <c r="I91" s="28"/>
      <c r="J91" s="226">
        <v>45092</v>
      </c>
      <c r="K91" s="28" t="s">
        <v>8724</v>
      </c>
      <c r="L91" s="28" t="s">
        <v>933</v>
      </c>
      <c r="M91" s="28" t="s">
        <v>41</v>
      </c>
      <c r="N91" s="28" t="s">
        <v>8722</v>
      </c>
      <c r="O91" s="101"/>
    </row>
    <row r="92" spans="1:15" ht="14.4">
      <c r="A92" s="28" t="s">
        <v>46</v>
      </c>
      <c r="B92" s="28" t="s">
        <v>8655</v>
      </c>
      <c r="C92" s="28" t="s">
        <v>85</v>
      </c>
      <c r="D92" s="28" t="s">
        <v>86</v>
      </c>
      <c r="E92" s="28"/>
      <c r="F92" s="28" t="s">
        <v>8726</v>
      </c>
      <c r="G92" s="28"/>
      <c r="H92" s="28" t="s">
        <v>8728</v>
      </c>
      <c r="I92" s="28" t="s">
        <v>887</v>
      </c>
      <c r="J92" s="226">
        <v>45085</v>
      </c>
      <c r="K92" s="28" t="s">
        <v>8728</v>
      </c>
      <c r="L92" s="28" t="s">
        <v>3389</v>
      </c>
      <c r="M92" s="28" t="s">
        <v>41</v>
      </c>
      <c r="N92" s="28"/>
      <c r="O92" s="101"/>
    </row>
    <row r="93" spans="1:15" ht="14.4">
      <c r="A93" s="28" t="s">
        <v>46</v>
      </c>
      <c r="B93" s="28" t="s">
        <v>8655</v>
      </c>
      <c r="C93" s="28" t="s">
        <v>85</v>
      </c>
      <c r="D93" s="28" t="s">
        <v>86</v>
      </c>
      <c r="E93" s="28"/>
      <c r="F93" s="28" t="s">
        <v>8729</v>
      </c>
      <c r="G93" s="28"/>
      <c r="H93" s="28" t="s">
        <v>8730</v>
      </c>
      <c r="I93" s="28"/>
      <c r="J93" s="226">
        <v>45102</v>
      </c>
      <c r="K93" s="28" t="s">
        <v>8730</v>
      </c>
      <c r="L93" s="28" t="s">
        <v>3389</v>
      </c>
      <c r="M93" s="28" t="s">
        <v>41</v>
      </c>
      <c r="N93" s="28"/>
      <c r="O93" s="101"/>
    </row>
    <row r="94" spans="1:15" ht="14.4">
      <c r="A94" s="28" t="s">
        <v>46</v>
      </c>
      <c r="B94" s="28" t="s">
        <v>8655</v>
      </c>
      <c r="C94" s="28" t="s">
        <v>85</v>
      </c>
      <c r="D94" s="28" t="s">
        <v>86</v>
      </c>
      <c r="E94" s="28"/>
      <c r="F94" s="28" t="s">
        <v>8733</v>
      </c>
      <c r="G94" s="28"/>
      <c r="H94" s="28" t="s">
        <v>8734</v>
      </c>
      <c r="I94" s="28"/>
      <c r="J94" s="226">
        <v>45078</v>
      </c>
      <c r="K94" s="28" t="s">
        <v>8734</v>
      </c>
      <c r="L94" s="28" t="s">
        <v>989</v>
      </c>
      <c r="M94" s="28" t="s">
        <v>41</v>
      </c>
      <c r="N94" s="28"/>
      <c r="O94" s="101"/>
    </row>
    <row r="95" spans="1:15" ht="14.4">
      <c r="A95" s="28" t="s">
        <v>46</v>
      </c>
      <c r="B95" s="28" t="s">
        <v>8655</v>
      </c>
      <c r="C95" s="28" t="s">
        <v>85</v>
      </c>
      <c r="D95" s="28" t="s">
        <v>86</v>
      </c>
      <c r="E95" s="28"/>
      <c r="F95" s="28" t="s">
        <v>8735</v>
      </c>
      <c r="G95" s="28"/>
      <c r="H95" s="28" t="s">
        <v>8736</v>
      </c>
      <c r="I95" s="28"/>
      <c r="J95" s="226">
        <v>45090</v>
      </c>
      <c r="K95" s="28" t="s">
        <v>8736</v>
      </c>
      <c r="L95" s="28" t="s">
        <v>3389</v>
      </c>
      <c r="M95" s="28" t="s">
        <v>41</v>
      </c>
      <c r="N95" s="28"/>
      <c r="O95" s="101"/>
    </row>
    <row r="96" spans="1:15" ht="14.4">
      <c r="A96" s="28" t="s">
        <v>46</v>
      </c>
      <c r="B96" s="28" t="s">
        <v>8655</v>
      </c>
      <c r="C96" s="28" t="s">
        <v>85</v>
      </c>
      <c r="D96" s="28" t="s">
        <v>86</v>
      </c>
      <c r="E96" s="28"/>
      <c r="F96" s="28" t="s">
        <v>8737</v>
      </c>
      <c r="G96" s="28"/>
      <c r="H96" s="28" t="s">
        <v>8738</v>
      </c>
      <c r="I96" s="28"/>
      <c r="J96" s="226">
        <v>45090</v>
      </c>
      <c r="K96" s="28" t="s">
        <v>8738</v>
      </c>
      <c r="L96" s="28" t="s">
        <v>3389</v>
      </c>
      <c r="M96" s="28" t="s">
        <v>41</v>
      </c>
      <c r="N96" s="28"/>
      <c r="O96" s="101"/>
    </row>
    <row r="97" spans="1:32" ht="14.4">
      <c r="A97" s="28" t="s">
        <v>46</v>
      </c>
      <c r="B97" s="28" t="s">
        <v>8655</v>
      </c>
      <c r="C97" s="28" t="s">
        <v>85</v>
      </c>
      <c r="D97" s="28" t="s">
        <v>86</v>
      </c>
      <c r="E97" s="28"/>
      <c r="F97" s="28" t="s">
        <v>8739</v>
      </c>
      <c r="G97" s="28"/>
      <c r="H97" s="28" t="s">
        <v>8740</v>
      </c>
      <c r="I97" s="28" t="s">
        <v>521</v>
      </c>
      <c r="J97" s="226">
        <v>45081</v>
      </c>
      <c r="K97" s="28" t="s">
        <v>8740</v>
      </c>
      <c r="L97" s="28" t="s">
        <v>3389</v>
      </c>
      <c r="M97" s="28" t="s">
        <v>41</v>
      </c>
      <c r="N97" s="28"/>
      <c r="O97" s="101"/>
    </row>
    <row r="98" spans="1:32" ht="14.4">
      <c r="A98" s="28" t="s">
        <v>46</v>
      </c>
      <c r="B98" s="28" t="s">
        <v>8655</v>
      </c>
      <c r="C98" s="28" t="s">
        <v>85</v>
      </c>
      <c r="D98" s="28" t="s">
        <v>86</v>
      </c>
      <c r="E98" s="28"/>
      <c r="F98" s="28" t="s">
        <v>8743</v>
      </c>
      <c r="G98" s="28"/>
      <c r="H98" s="28" t="s">
        <v>8744</v>
      </c>
      <c r="I98" s="28"/>
      <c r="J98" s="226">
        <v>45090</v>
      </c>
      <c r="K98" s="28" t="s">
        <v>8744</v>
      </c>
      <c r="L98" s="28" t="s">
        <v>3389</v>
      </c>
      <c r="M98" s="28" t="s">
        <v>41</v>
      </c>
      <c r="N98" s="28"/>
      <c r="O98" s="101"/>
    </row>
    <row r="99" spans="1:32" ht="14.4">
      <c r="A99" s="28" t="s">
        <v>46</v>
      </c>
      <c r="B99" s="28" t="s">
        <v>8655</v>
      </c>
      <c r="C99" s="28" t="s">
        <v>85</v>
      </c>
      <c r="D99" s="28" t="s">
        <v>86</v>
      </c>
      <c r="E99" s="28"/>
      <c r="F99" s="28" t="s">
        <v>8745</v>
      </c>
      <c r="G99" s="28"/>
      <c r="H99" s="28" t="s">
        <v>8746</v>
      </c>
      <c r="I99" s="28" t="s">
        <v>521</v>
      </c>
      <c r="J99" s="226">
        <v>45102</v>
      </c>
      <c r="K99" s="28" t="s">
        <v>8746</v>
      </c>
      <c r="L99" s="28" t="s">
        <v>3389</v>
      </c>
      <c r="M99" s="28" t="s">
        <v>41</v>
      </c>
      <c r="N99" s="28"/>
      <c r="O99" s="101"/>
    </row>
    <row r="100" spans="1:32" ht="14.4">
      <c r="A100" s="28" t="s">
        <v>46</v>
      </c>
      <c r="B100" s="28" t="s">
        <v>8655</v>
      </c>
      <c r="C100" s="28" t="s">
        <v>85</v>
      </c>
      <c r="D100" s="28" t="s">
        <v>86</v>
      </c>
      <c r="E100" s="28"/>
      <c r="F100" s="28" t="s">
        <v>8748</v>
      </c>
      <c r="G100" s="28"/>
      <c r="H100" s="28" t="s">
        <v>8750</v>
      </c>
      <c r="I100" s="28"/>
      <c r="J100" s="226">
        <v>45097</v>
      </c>
      <c r="K100" s="28" t="s">
        <v>8750</v>
      </c>
      <c r="L100" s="28" t="s">
        <v>3389</v>
      </c>
      <c r="M100" s="28" t="s">
        <v>41</v>
      </c>
      <c r="N100" s="28"/>
      <c r="O100" s="101"/>
    </row>
    <row r="101" spans="1:32" ht="14.4">
      <c r="A101" s="28" t="s">
        <v>46</v>
      </c>
      <c r="B101" s="28" t="s">
        <v>8655</v>
      </c>
      <c r="C101" s="28" t="s">
        <v>85</v>
      </c>
      <c r="D101" s="28" t="s">
        <v>86</v>
      </c>
      <c r="E101" s="28"/>
      <c r="F101" s="28" t="s">
        <v>8751</v>
      </c>
      <c r="G101" s="28"/>
      <c r="H101" s="28" t="s">
        <v>8752</v>
      </c>
      <c r="I101" s="28"/>
      <c r="J101" s="226">
        <v>45081</v>
      </c>
      <c r="K101" s="28" t="s">
        <v>8752</v>
      </c>
      <c r="L101" s="28" t="s">
        <v>989</v>
      </c>
      <c r="M101" s="28" t="s">
        <v>41</v>
      </c>
      <c r="N101" s="28"/>
      <c r="O101" s="101"/>
    </row>
    <row r="102" spans="1:32" ht="14.4">
      <c r="A102" s="28" t="s">
        <v>46</v>
      </c>
      <c r="B102" s="28" t="s">
        <v>8655</v>
      </c>
      <c r="C102" s="28" t="s">
        <v>85</v>
      </c>
      <c r="D102" s="28" t="s">
        <v>86</v>
      </c>
      <c r="E102" s="28"/>
      <c r="F102" s="28" t="s">
        <v>8754</v>
      </c>
      <c r="G102" s="28"/>
      <c r="H102" s="28" t="s">
        <v>8755</v>
      </c>
      <c r="I102" s="28" t="s">
        <v>887</v>
      </c>
      <c r="J102" s="226">
        <v>45093</v>
      </c>
      <c r="K102" s="28" t="s">
        <v>8755</v>
      </c>
      <c r="L102" s="28" t="s">
        <v>3389</v>
      </c>
      <c r="M102" s="28" t="s">
        <v>41</v>
      </c>
      <c r="N102" s="28"/>
      <c r="O102" s="101"/>
    </row>
    <row r="103" spans="1:32" ht="14.4">
      <c r="A103" s="28" t="s">
        <v>46</v>
      </c>
      <c r="B103" s="28" t="s">
        <v>8655</v>
      </c>
      <c r="C103" s="28" t="s">
        <v>85</v>
      </c>
      <c r="D103" s="28" t="s">
        <v>86</v>
      </c>
      <c r="E103" s="28"/>
      <c r="F103" s="28" t="s">
        <v>8757</v>
      </c>
      <c r="G103" s="28"/>
      <c r="H103" s="28" t="s">
        <v>8758</v>
      </c>
      <c r="I103" s="28" t="s">
        <v>8759</v>
      </c>
      <c r="J103" s="226">
        <v>45092</v>
      </c>
      <c r="K103" s="28" t="s">
        <v>8758</v>
      </c>
      <c r="L103" s="28" t="s">
        <v>3389</v>
      </c>
      <c r="M103" s="28" t="s">
        <v>41</v>
      </c>
      <c r="N103" s="28"/>
      <c r="O103" s="101"/>
    </row>
    <row r="104" spans="1:32" ht="14.4">
      <c r="A104" s="28" t="s">
        <v>46</v>
      </c>
      <c r="B104" s="28" t="s">
        <v>8655</v>
      </c>
      <c r="C104" s="28" t="s">
        <v>85</v>
      </c>
      <c r="D104" s="28" t="s">
        <v>86</v>
      </c>
      <c r="E104" s="28"/>
      <c r="F104" s="28" t="s">
        <v>8762</v>
      </c>
      <c r="G104" s="28"/>
      <c r="H104" s="28" t="s">
        <v>8764</v>
      </c>
      <c r="I104" s="28" t="s">
        <v>898</v>
      </c>
      <c r="J104" s="226">
        <v>45094</v>
      </c>
      <c r="K104" s="28" t="s">
        <v>8764</v>
      </c>
      <c r="L104" s="28" t="s">
        <v>2336</v>
      </c>
      <c r="M104" s="28" t="s">
        <v>41</v>
      </c>
      <c r="N104" s="28" t="s">
        <v>8601</v>
      </c>
      <c r="O104" s="101"/>
    </row>
    <row r="105" spans="1:32" ht="14.4">
      <c r="A105" s="28" t="s">
        <v>46</v>
      </c>
      <c r="B105" s="28" t="s">
        <v>8655</v>
      </c>
      <c r="C105" s="28" t="s">
        <v>85</v>
      </c>
      <c r="D105" s="28" t="s">
        <v>86</v>
      </c>
      <c r="E105" s="28"/>
      <c r="F105" s="28" t="s">
        <v>8766</v>
      </c>
      <c r="G105" s="28"/>
      <c r="H105" s="28" t="s">
        <v>8767</v>
      </c>
      <c r="I105" s="28"/>
      <c r="J105" s="226">
        <v>45093</v>
      </c>
      <c r="K105" s="28" t="s">
        <v>8767</v>
      </c>
      <c r="L105" s="28" t="s">
        <v>3389</v>
      </c>
      <c r="M105" s="28" t="s">
        <v>41</v>
      </c>
      <c r="N105" s="28"/>
      <c r="O105" s="101"/>
    </row>
    <row r="106" spans="1:32" ht="18" customHeight="1">
      <c r="A106" s="28" t="s">
        <v>46</v>
      </c>
      <c r="B106" s="28" t="s">
        <v>8655</v>
      </c>
      <c r="C106" s="28" t="s">
        <v>296</v>
      </c>
      <c r="D106" s="28" t="s">
        <v>954</v>
      </c>
      <c r="E106" s="28"/>
      <c r="F106" s="79" t="s">
        <v>8769</v>
      </c>
      <c r="G106" s="28"/>
      <c r="H106" s="28" t="s">
        <v>8425</v>
      </c>
      <c r="I106" s="28" t="s">
        <v>335</v>
      </c>
      <c r="J106" s="28" t="s">
        <v>8426</v>
      </c>
      <c r="K106" s="28" t="s">
        <v>8658</v>
      </c>
      <c r="L106" s="28" t="s">
        <v>8771</v>
      </c>
      <c r="M106" s="28" t="s">
        <v>41</v>
      </c>
      <c r="N106" s="28"/>
      <c r="O106" s="101"/>
    </row>
    <row r="107" spans="1:32" ht="14.4">
      <c r="A107" s="28" t="s">
        <v>46</v>
      </c>
      <c r="B107" s="28" t="s">
        <v>8772</v>
      </c>
      <c r="C107" s="28" t="s">
        <v>275</v>
      </c>
      <c r="D107" s="28" t="s">
        <v>543</v>
      </c>
      <c r="E107" s="28"/>
      <c r="F107" s="79" t="s">
        <v>8773</v>
      </c>
      <c r="G107" s="28"/>
      <c r="H107" s="28" t="s">
        <v>8774</v>
      </c>
      <c r="I107" s="28" t="s">
        <v>983</v>
      </c>
      <c r="J107" s="28" t="s">
        <v>8775</v>
      </c>
      <c r="K107" s="28" t="s">
        <v>8774</v>
      </c>
      <c r="L107" s="28" t="s">
        <v>3389</v>
      </c>
      <c r="M107" s="28" t="s">
        <v>41</v>
      </c>
      <c r="N107" s="28"/>
      <c r="O107" s="106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</row>
    <row r="108" spans="1:32" ht="14.4">
      <c r="A108" s="28" t="s">
        <v>46</v>
      </c>
      <c r="B108" s="28" t="s">
        <v>8772</v>
      </c>
      <c r="C108" s="28" t="s">
        <v>51</v>
      </c>
      <c r="D108" s="29" t="s">
        <v>52</v>
      </c>
      <c r="E108" s="29"/>
      <c r="F108" s="28" t="s">
        <v>8779</v>
      </c>
      <c r="G108" s="28"/>
      <c r="H108" s="28" t="s">
        <v>8774</v>
      </c>
      <c r="I108" s="28" t="s">
        <v>983</v>
      </c>
      <c r="J108" s="28" t="s">
        <v>8780</v>
      </c>
      <c r="K108" s="28" t="s">
        <v>8774</v>
      </c>
      <c r="L108" s="28" t="s">
        <v>3389</v>
      </c>
      <c r="M108" s="28" t="s">
        <v>1807</v>
      </c>
      <c r="N108" s="29" t="s">
        <v>8783</v>
      </c>
      <c r="O108" s="101"/>
    </row>
    <row r="109" spans="1:32" ht="14.4">
      <c r="A109" s="28" t="s">
        <v>46</v>
      </c>
      <c r="B109" s="28" t="s">
        <v>8772</v>
      </c>
      <c r="C109" s="28" t="s">
        <v>70</v>
      </c>
      <c r="D109" s="29" t="s">
        <v>71</v>
      </c>
      <c r="E109" s="29"/>
      <c r="F109" s="28" t="s">
        <v>8779</v>
      </c>
      <c r="G109" s="28"/>
      <c r="H109" s="28" t="s">
        <v>8774</v>
      </c>
      <c r="I109" s="28" t="s">
        <v>983</v>
      </c>
      <c r="J109" s="28" t="s">
        <v>8785</v>
      </c>
      <c r="K109" s="28" t="s">
        <v>8774</v>
      </c>
      <c r="L109" s="28" t="s">
        <v>3389</v>
      </c>
      <c r="M109" s="28" t="s">
        <v>1807</v>
      </c>
      <c r="N109" s="241" t="s">
        <v>8787</v>
      </c>
      <c r="O109" s="101"/>
    </row>
    <row r="110" spans="1:32" ht="14.4">
      <c r="A110" s="28" t="s">
        <v>46</v>
      </c>
      <c r="B110" s="28" t="s">
        <v>8772</v>
      </c>
      <c r="C110" s="28" t="s">
        <v>79</v>
      </c>
      <c r="D110" s="43" t="s">
        <v>80</v>
      </c>
      <c r="E110" s="29"/>
      <c r="F110" s="28" t="s">
        <v>8790</v>
      </c>
      <c r="G110" s="28"/>
      <c r="H110" s="28" t="s">
        <v>8774</v>
      </c>
      <c r="I110" s="28" t="s">
        <v>983</v>
      </c>
      <c r="J110" s="28" t="s">
        <v>8791</v>
      </c>
      <c r="K110" s="28" t="s">
        <v>8774</v>
      </c>
      <c r="L110" s="28" t="s">
        <v>3389</v>
      </c>
      <c r="M110" s="28" t="s">
        <v>1807</v>
      </c>
      <c r="N110" s="28" t="s">
        <v>8787</v>
      </c>
      <c r="O110" s="101"/>
    </row>
    <row r="111" spans="1:32" ht="14.4">
      <c r="A111" s="28" t="s">
        <v>46</v>
      </c>
      <c r="B111" s="28" t="s">
        <v>8772</v>
      </c>
      <c r="C111" s="28" t="s">
        <v>85</v>
      </c>
      <c r="D111" s="28" t="s">
        <v>86</v>
      </c>
      <c r="E111" s="28"/>
      <c r="F111" s="28" t="s">
        <v>8793</v>
      </c>
      <c r="G111" s="28"/>
      <c r="H111" s="28" t="s">
        <v>8795</v>
      </c>
      <c r="I111" s="28" t="s">
        <v>8796</v>
      </c>
      <c r="J111" s="28" t="s">
        <v>8797</v>
      </c>
      <c r="K111" s="28" t="s">
        <v>8795</v>
      </c>
      <c r="L111" s="28" t="s">
        <v>438</v>
      </c>
      <c r="M111" s="28" t="s">
        <v>41</v>
      </c>
      <c r="N111" s="28"/>
      <c r="O111" s="101"/>
    </row>
    <row r="112" spans="1:32" ht="14.4">
      <c r="A112" s="28" t="s">
        <v>46</v>
      </c>
      <c r="B112" s="28" t="s">
        <v>8772</v>
      </c>
      <c r="C112" s="28" t="s">
        <v>85</v>
      </c>
      <c r="D112" s="28" t="s">
        <v>86</v>
      </c>
      <c r="E112" s="28"/>
      <c r="F112" s="28" t="s">
        <v>8798</v>
      </c>
      <c r="G112" s="28"/>
      <c r="H112" s="28" t="s">
        <v>8799</v>
      </c>
      <c r="I112" s="28" t="s">
        <v>8800</v>
      </c>
      <c r="J112" s="28" t="s">
        <v>8797</v>
      </c>
      <c r="K112" s="28" t="s">
        <v>8799</v>
      </c>
      <c r="L112" s="28" t="s">
        <v>438</v>
      </c>
      <c r="M112" s="28" t="s">
        <v>41</v>
      </c>
      <c r="N112" s="28"/>
      <c r="O112" s="101"/>
    </row>
    <row r="113" spans="1:15" ht="14.4">
      <c r="A113" s="28" t="s">
        <v>46</v>
      </c>
      <c r="B113" s="28" t="s">
        <v>8772</v>
      </c>
      <c r="C113" s="28" t="s">
        <v>85</v>
      </c>
      <c r="D113" s="28" t="s">
        <v>86</v>
      </c>
      <c r="E113" s="28"/>
      <c r="F113" s="28" t="s">
        <v>8803</v>
      </c>
      <c r="G113" s="28"/>
      <c r="H113" s="28" t="s">
        <v>8804</v>
      </c>
      <c r="I113" s="28" t="s">
        <v>8805</v>
      </c>
      <c r="J113" s="28" t="s">
        <v>8797</v>
      </c>
      <c r="K113" s="28" t="s">
        <v>8804</v>
      </c>
      <c r="L113" s="28" t="s">
        <v>438</v>
      </c>
      <c r="M113" s="28" t="s">
        <v>41</v>
      </c>
      <c r="N113" s="28"/>
      <c r="O113" s="101"/>
    </row>
    <row r="114" spans="1:15" ht="14.4">
      <c r="A114" s="28" t="s">
        <v>46</v>
      </c>
      <c r="B114" s="28" t="s">
        <v>8772</v>
      </c>
      <c r="C114" s="28" t="s">
        <v>85</v>
      </c>
      <c r="D114" s="28" t="s">
        <v>86</v>
      </c>
      <c r="E114" s="28"/>
      <c r="F114" s="28" t="s">
        <v>8809</v>
      </c>
      <c r="G114" s="28"/>
      <c r="H114" s="28" t="s">
        <v>8810</v>
      </c>
      <c r="I114" s="28" t="s">
        <v>8811</v>
      </c>
      <c r="J114" s="28" t="s">
        <v>8797</v>
      </c>
      <c r="K114" s="28" t="s">
        <v>8810</v>
      </c>
      <c r="L114" s="28" t="s">
        <v>438</v>
      </c>
      <c r="M114" s="28" t="s">
        <v>41</v>
      </c>
      <c r="N114" s="28"/>
      <c r="O114" s="101"/>
    </row>
    <row r="115" spans="1:15" ht="14.4">
      <c r="A115" s="28" t="s">
        <v>46</v>
      </c>
      <c r="B115" s="28" t="s">
        <v>8772</v>
      </c>
      <c r="C115" s="28" t="s">
        <v>85</v>
      </c>
      <c r="D115" s="28" t="s">
        <v>86</v>
      </c>
      <c r="E115" s="28"/>
      <c r="F115" s="28" t="s">
        <v>8812</v>
      </c>
      <c r="G115" s="28"/>
      <c r="H115" s="28" t="s">
        <v>8814</v>
      </c>
      <c r="I115" s="28" t="s">
        <v>8815</v>
      </c>
      <c r="J115" s="28" t="s">
        <v>8797</v>
      </c>
      <c r="K115" s="28" t="s">
        <v>8814</v>
      </c>
      <c r="L115" s="28" t="s">
        <v>438</v>
      </c>
      <c r="M115" s="28" t="s">
        <v>41</v>
      </c>
      <c r="N115" s="28"/>
      <c r="O115" s="101"/>
    </row>
    <row r="116" spans="1:15" ht="14.4">
      <c r="A116" s="28" t="s">
        <v>46</v>
      </c>
      <c r="B116" s="28" t="s">
        <v>8772</v>
      </c>
      <c r="C116" s="28" t="s">
        <v>85</v>
      </c>
      <c r="D116" s="28" t="s">
        <v>86</v>
      </c>
      <c r="E116" s="28"/>
      <c r="F116" s="28" t="s">
        <v>8817</v>
      </c>
      <c r="G116" s="28"/>
      <c r="H116" s="28" t="s">
        <v>8818</v>
      </c>
      <c r="I116" s="28" t="s">
        <v>8819</v>
      </c>
      <c r="J116" s="28" t="s">
        <v>8797</v>
      </c>
      <c r="K116" s="28" t="s">
        <v>8818</v>
      </c>
      <c r="L116" s="28" t="s">
        <v>438</v>
      </c>
      <c r="M116" s="28" t="s">
        <v>41</v>
      </c>
      <c r="N116" s="28"/>
      <c r="O116" s="101"/>
    </row>
    <row r="117" spans="1:15" ht="14.4">
      <c r="A117" s="28" t="s">
        <v>46</v>
      </c>
      <c r="B117" s="28" t="s">
        <v>8772</v>
      </c>
      <c r="C117" s="28" t="s">
        <v>85</v>
      </c>
      <c r="D117" s="28" t="s">
        <v>86</v>
      </c>
      <c r="E117" s="28"/>
      <c r="F117" s="28" t="s">
        <v>8824</v>
      </c>
      <c r="G117" s="28"/>
      <c r="H117" s="28" t="s">
        <v>8825</v>
      </c>
      <c r="I117" s="28" t="s">
        <v>8826</v>
      </c>
      <c r="J117" s="28" t="s">
        <v>8797</v>
      </c>
      <c r="K117" s="28" t="s">
        <v>8825</v>
      </c>
      <c r="L117" s="28" t="s">
        <v>438</v>
      </c>
      <c r="M117" s="28" t="s">
        <v>41</v>
      </c>
      <c r="N117" s="28"/>
      <c r="O117" s="101"/>
    </row>
    <row r="118" spans="1:15" ht="14.4">
      <c r="A118" s="28" t="s">
        <v>46</v>
      </c>
      <c r="B118" s="28" t="s">
        <v>8772</v>
      </c>
      <c r="C118" s="28" t="s">
        <v>85</v>
      </c>
      <c r="D118" s="28" t="s">
        <v>86</v>
      </c>
      <c r="E118" s="28"/>
      <c r="F118" s="28" t="s">
        <v>8828</v>
      </c>
      <c r="G118" s="28"/>
      <c r="H118" s="28" t="s">
        <v>8829</v>
      </c>
      <c r="I118" s="28" t="s">
        <v>8830</v>
      </c>
      <c r="J118" s="28" t="s">
        <v>8797</v>
      </c>
      <c r="K118" s="28" t="s">
        <v>8829</v>
      </c>
      <c r="L118" s="28" t="s">
        <v>438</v>
      </c>
      <c r="M118" s="28" t="s">
        <v>41</v>
      </c>
      <c r="N118" s="28"/>
      <c r="O118" s="101"/>
    </row>
    <row r="119" spans="1:15" ht="14.4">
      <c r="A119" s="28" t="s">
        <v>46</v>
      </c>
      <c r="B119" s="28" t="s">
        <v>8772</v>
      </c>
      <c r="C119" s="28" t="s">
        <v>85</v>
      </c>
      <c r="D119" s="28" t="s">
        <v>86</v>
      </c>
      <c r="E119" s="28"/>
      <c r="F119" s="28" t="s">
        <v>8831</v>
      </c>
      <c r="G119" s="28"/>
      <c r="H119" s="28" t="s">
        <v>8832</v>
      </c>
      <c r="I119" s="28" t="s">
        <v>887</v>
      </c>
      <c r="J119" s="28" t="s">
        <v>8833</v>
      </c>
      <c r="K119" s="28" t="s">
        <v>8832</v>
      </c>
      <c r="L119" s="28" t="s">
        <v>3389</v>
      </c>
      <c r="M119" s="28" t="s">
        <v>41</v>
      </c>
      <c r="N119" s="28"/>
      <c r="O119" s="101"/>
    </row>
    <row r="120" spans="1:15" ht="14.4">
      <c r="A120" s="28" t="s">
        <v>46</v>
      </c>
      <c r="B120" s="28" t="s">
        <v>8772</v>
      </c>
      <c r="C120" s="28" t="s">
        <v>85</v>
      </c>
      <c r="D120" s="28" t="s">
        <v>86</v>
      </c>
      <c r="E120" s="28"/>
      <c r="F120" s="28" t="s">
        <v>8834</v>
      </c>
      <c r="G120" s="28"/>
      <c r="H120" s="28" t="s">
        <v>8835</v>
      </c>
      <c r="I120" s="28" t="s">
        <v>887</v>
      </c>
      <c r="J120" s="28" t="s">
        <v>8837</v>
      </c>
      <c r="K120" s="28" t="s">
        <v>8835</v>
      </c>
      <c r="L120" s="28" t="s">
        <v>3389</v>
      </c>
      <c r="M120" s="28" t="s">
        <v>41</v>
      </c>
      <c r="N120" s="28"/>
      <c r="O120" s="101"/>
    </row>
    <row r="121" spans="1:15" ht="14.4">
      <c r="A121" s="28" t="s">
        <v>46</v>
      </c>
      <c r="B121" s="28" t="s">
        <v>8772</v>
      </c>
      <c r="C121" s="28" t="s">
        <v>85</v>
      </c>
      <c r="D121" s="28" t="s">
        <v>86</v>
      </c>
      <c r="E121" s="28"/>
      <c r="F121" s="28" t="s">
        <v>8838</v>
      </c>
      <c r="G121" s="28"/>
      <c r="H121" s="28" t="s">
        <v>8840</v>
      </c>
      <c r="I121" s="28" t="s">
        <v>887</v>
      </c>
      <c r="J121" s="28" t="s">
        <v>8842</v>
      </c>
      <c r="K121" s="28" t="s">
        <v>8840</v>
      </c>
      <c r="L121" s="28" t="s">
        <v>3389</v>
      </c>
      <c r="M121" s="28" t="s">
        <v>41</v>
      </c>
      <c r="N121" s="28"/>
      <c r="O121" s="101"/>
    </row>
    <row r="122" spans="1:15" ht="14.4">
      <c r="A122" s="28" t="s">
        <v>46</v>
      </c>
      <c r="B122" s="28" t="s">
        <v>8772</v>
      </c>
      <c r="C122" s="28" t="s">
        <v>85</v>
      </c>
      <c r="D122" s="28" t="s">
        <v>86</v>
      </c>
      <c r="E122" s="28"/>
      <c r="F122" s="28" t="s">
        <v>8843</v>
      </c>
      <c r="G122" s="28"/>
      <c r="H122" s="28" t="s">
        <v>8844</v>
      </c>
      <c r="I122" s="28" t="s">
        <v>8846</v>
      </c>
      <c r="J122" s="28" t="s">
        <v>8847</v>
      </c>
      <c r="K122" s="28" t="s">
        <v>8844</v>
      </c>
      <c r="L122" s="28" t="s">
        <v>3389</v>
      </c>
      <c r="M122" s="28" t="s">
        <v>41</v>
      </c>
      <c r="N122" s="28"/>
      <c r="O122" s="101"/>
    </row>
    <row r="123" spans="1:15" ht="14.4">
      <c r="A123" s="28" t="s">
        <v>46</v>
      </c>
      <c r="B123" s="28" t="s">
        <v>8772</v>
      </c>
      <c r="C123" s="28" t="s">
        <v>85</v>
      </c>
      <c r="D123" s="28" t="s">
        <v>86</v>
      </c>
      <c r="E123" s="28"/>
      <c r="F123" s="28" t="s">
        <v>8848</v>
      </c>
      <c r="G123" s="28"/>
      <c r="H123" s="28" t="s">
        <v>8850</v>
      </c>
      <c r="I123" s="28" t="s">
        <v>6659</v>
      </c>
      <c r="J123" s="28" t="s">
        <v>8852</v>
      </c>
      <c r="K123" s="28" t="s">
        <v>8850</v>
      </c>
      <c r="L123" s="28" t="s">
        <v>989</v>
      </c>
      <c r="M123" s="28" t="s">
        <v>41</v>
      </c>
      <c r="N123" s="28"/>
      <c r="O123" s="101"/>
    </row>
    <row r="124" spans="1:15" ht="14.4">
      <c r="A124" s="28" t="s">
        <v>46</v>
      </c>
      <c r="B124" s="28" t="s">
        <v>8772</v>
      </c>
      <c r="C124" s="28" t="s">
        <v>85</v>
      </c>
      <c r="D124" s="28" t="s">
        <v>86</v>
      </c>
      <c r="E124" s="28"/>
      <c r="F124" s="28" t="s">
        <v>8856</v>
      </c>
      <c r="G124" s="28"/>
      <c r="H124" s="28" t="s">
        <v>8857</v>
      </c>
      <c r="I124" s="28" t="s">
        <v>4243</v>
      </c>
      <c r="J124" s="28" t="s">
        <v>8858</v>
      </c>
      <c r="K124" s="28" t="s">
        <v>8857</v>
      </c>
      <c r="L124" s="28" t="s">
        <v>989</v>
      </c>
      <c r="M124" s="28" t="s">
        <v>41</v>
      </c>
      <c r="N124" s="28"/>
      <c r="O124" s="101"/>
    </row>
    <row r="125" spans="1:15" ht="14.4">
      <c r="A125" s="28" t="s">
        <v>46</v>
      </c>
      <c r="B125" s="28" t="s">
        <v>8772</v>
      </c>
      <c r="C125" s="28" t="s">
        <v>85</v>
      </c>
      <c r="D125" s="28" t="s">
        <v>86</v>
      </c>
      <c r="E125" s="28"/>
      <c r="F125" s="28" t="s">
        <v>8864</v>
      </c>
      <c r="G125" s="28"/>
      <c r="H125" s="28" t="s">
        <v>8865</v>
      </c>
      <c r="I125" s="28" t="s">
        <v>8866</v>
      </c>
      <c r="J125" s="28" t="s">
        <v>8867</v>
      </c>
      <c r="K125" s="28" t="s">
        <v>8865</v>
      </c>
      <c r="L125" s="28" t="s">
        <v>5180</v>
      </c>
      <c r="M125" s="28" t="s">
        <v>41</v>
      </c>
      <c r="N125" s="28"/>
      <c r="O125" s="101"/>
    </row>
    <row r="126" spans="1:15" ht="14.4">
      <c r="A126" s="28" t="s">
        <v>46</v>
      </c>
      <c r="B126" s="28" t="s">
        <v>8772</v>
      </c>
      <c r="C126" s="28" t="s">
        <v>85</v>
      </c>
      <c r="D126" s="28" t="s">
        <v>86</v>
      </c>
      <c r="E126" s="28"/>
      <c r="F126" s="28" t="s">
        <v>8870</v>
      </c>
      <c r="G126" s="28"/>
      <c r="H126" s="28" t="s">
        <v>8872</v>
      </c>
      <c r="I126" s="28" t="s">
        <v>2400</v>
      </c>
      <c r="J126" s="28" t="s">
        <v>8873</v>
      </c>
      <c r="K126" s="28" t="s">
        <v>8872</v>
      </c>
      <c r="L126" s="28" t="s">
        <v>8874</v>
      </c>
      <c r="M126" s="28" t="s">
        <v>41</v>
      </c>
      <c r="N126" s="28"/>
      <c r="O126" s="101"/>
    </row>
    <row r="127" spans="1:15" ht="14.4">
      <c r="A127" s="28" t="s">
        <v>46</v>
      </c>
      <c r="B127" s="28" t="s">
        <v>8772</v>
      </c>
      <c r="C127" s="28" t="s">
        <v>85</v>
      </c>
      <c r="D127" s="28" t="s">
        <v>86</v>
      </c>
      <c r="E127" s="28"/>
      <c r="F127" s="28" t="s">
        <v>8876</v>
      </c>
      <c r="G127" s="28"/>
      <c r="H127" s="28" t="s">
        <v>8878</v>
      </c>
      <c r="I127" s="28" t="s">
        <v>2400</v>
      </c>
      <c r="J127" s="28" t="s">
        <v>8879</v>
      </c>
      <c r="K127" s="28" t="s">
        <v>8878</v>
      </c>
      <c r="L127" s="28" t="s">
        <v>8881</v>
      </c>
      <c r="M127" s="28" t="s">
        <v>41</v>
      </c>
      <c r="N127" s="28"/>
      <c r="O127" s="101"/>
    </row>
    <row r="128" spans="1:15" ht="14.4">
      <c r="A128" s="28" t="s">
        <v>46</v>
      </c>
      <c r="B128" s="28" t="s">
        <v>8772</v>
      </c>
      <c r="C128" s="28" t="s">
        <v>85</v>
      </c>
      <c r="D128" s="28" t="s">
        <v>86</v>
      </c>
      <c r="E128" s="28"/>
      <c r="F128" s="28" t="s">
        <v>8882</v>
      </c>
      <c r="G128" s="28"/>
      <c r="H128" s="28" t="s">
        <v>8883</v>
      </c>
      <c r="I128" s="28" t="s">
        <v>2400</v>
      </c>
      <c r="J128" s="28" t="s">
        <v>8884</v>
      </c>
      <c r="K128" s="28" t="s">
        <v>8883</v>
      </c>
      <c r="L128" s="28" t="s">
        <v>8886</v>
      </c>
      <c r="M128" s="28" t="s">
        <v>41</v>
      </c>
      <c r="N128" s="28"/>
      <c r="O128" s="101"/>
    </row>
    <row r="129" spans="1:32" ht="14.4">
      <c r="A129" s="28" t="s">
        <v>46</v>
      </c>
      <c r="B129" s="28" t="s">
        <v>8772</v>
      </c>
      <c r="C129" s="28" t="s">
        <v>220</v>
      </c>
      <c r="D129" s="28" t="s">
        <v>234</v>
      </c>
      <c r="E129" s="28"/>
      <c r="F129" s="28" t="s">
        <v>8887</v>
      </c>
      <c r="G129" s="28"/>
      <c r="H129" s="28" t="s">
        <v>8888</v>
      </c>
      <c r="I129" s="28" t="s">
        <v>8889</v>
      </c>
      <c r="J129" s="28" t="s">
        <v>8890</v>
      </c>
      <c r="K129" s="28" t="s">
        <v>8888</v>
      </c>
      <c r="L129" s="28" t="s">
        <v>2336</v>
      </c>
      <c r="M129" s="28" t="s">
        <v>41</v>
      </c>
      <c r="N129" s="28"/>
      <c r="O129" s="101"/>
    </row>
    <row r="130" spans="1:32" ht="14.4">
      <c r="A130" s="28" t="s">
        <v>46</v>
      </c>
      <c r="B130" s="28" t="s">
        <v>8772</v>
      </c>
      <c r="C130" s="28" t="s">
        <v>220</v>
      </c>
      <c r="D130" s="28" t="s">
        <v>234</v>
      </c>
      <c r="E130" s="28"/>
      <c r="F130" s="28" t="s">
        <v>8891</v>
      </c>
      <c r="G130" s="28"/>
      <c r="H130" s="28" t="s">
        <v>8888</v>
      </c>
      <c r="I130" s="28" t="s">
        <v>8889</v>
      </c>
      <c r="J130" s="28" t="s">
        <v>8892</v>
      </c>
      <c r="K130" s="28" t="s">
        <v>8888</v>
      </c>
      <c r="L130" s="28" t="s">
        <v>2336</v>
      </c>
      <c r="M130" s="28" t="s">
        <v>41</v>
      </c>
      <c r="N130" s="28"/>
      <c r="O130" s="101"/>
    </row>
    <row r="131" spans="1:32" ht="14.4">
      <c r="A131" s="28" t="s">
        <v>46</v>
      </c>
      <c r="B131" s="28" t="s">
        <v>8772</v>
      </c>
      <c r="C131" s="28" t="s">
        <v>220</v>
      </c>
      <c r="D131" s="28" t="s">
        <v>234</v>
      </c>
      <c r="E131" s="28"/>
      <c r="F131" s="28" t="s">
        <v>8896</v>
      </c>
      <c r="G131" s="28"/>
      <c r="H131" s="28" t="s">
        <v>8844</v>
      </c>
      <c r="I131" s="28" t="s">
        <v>8846</v>
      </c>
      <c r="J131" s="28" t="s">
        <v>8897</v>
      </c>
      <c r="K131" s="28" t="s">
        <v>8844</v>
      </c>
      <c r="L131" s="28" t="s">
        <v>438</v>
      </c>
      <c r="M131" s="28" t="s">
        <v>41</v>
      </c>
      <c r="N131" s="28"/>
      <c r="O131" s="101"/>
    </row>
    <row r="132" spans="1:32" ht="14.4">
      <c r="A132" s="28" t="s">
        <v>46</v>
      </c>
      <c r="B132" s="28" t="s">
        <v>8772</v>
      </c>
      <c r="C132" s="28" t="s">
        <v>220</v>
      </c>
      <c r="D132" s="28" t="s">
        <v>234</v>
      </c>
      <c r="E132" s="28"/>
      <c r="F132" s="28" t="s">
        <v>8899</v>
      </c>
      <c r="G132" s="28"/>
      <c r="H132" s="28" t="s">
        <v>8844</v>
      </c>
      <c r="I132" s="28" t="s">
        <v>8846</v>
      </c>
      <c r="J132" s="28" t="s">
        <v>8902</v>
      </c>
      <c r="K132" s="28" t="s">
        <v>8844</v>
      </c>
      <c r="L132" s="28" t="s">
        <v>438</v>
      </c>
      <c r="M132" s="28" t="s">
        <v>41</v>
      </c>
      <c r="N132" s="28"/>
      <c r="O132" s="101"/>
    </row>
    <row r="133" spans="1:32" ht="14.4">
      <c r="A133" s="28" t="s">
        <v>46</v>
      </c>
      <c r="B133" s="28" t="s">
        <v>8772</v>
      </c>
      <c r="C133" s="28" t="s">
        <v>220</v>
      </c>
      <c r="D133" s="28" t="s">
        <v>234</v>
      </c>
      <c r="E133" s="28"/>
      <c r="F133" s="28" t="s">
        <v>8904</v>
      </c>
      <c r="G133" s="28"/>
      <c r="H133" s="28" t="s">
        <v>8905</v>
      </c>
      <c r="I133" s="28" t="s">
        <v>592</v>
      </c>
      <c r="J133" s="28" t="s">
        <v>8906</v>
      </c>
      <c r="K133" s="28" t="s">
        <v>8905</v>
      </c>
      <c r="L133" s="28" t="s">
        <v>438</v>
      </c>
      <c r="M133" s="28" t="s">
        <v>41</v>
      </c>
      <c r="N133" s="28"/>
      <c r="O133" s="101"/>
    </row>
    <row r="134" spans="1:32" ht="14.4">
      <c r="A134" s="28" t="s">
        <v>46</v>
      </c>
      <c r="B134" s="28" t="s">
        <v>8772</v>
      </c>
      <c r="C134" s="28" t="s">
        <v>233</v>
      </c>
      <c r="D134" s="29" t="s">
        <v>298</v>
      </c>
      <c r="E134" s="29"/>
      <c r="F134" s="28" t="s">
        <v>8907</v>
      </c>
      <c r="G134" s="28"/>
      <c r="H134" s="28" t="s">
        <v>8905</v>
      </c>
      <c r="I134" s="28" t="s">
        <v>592</v>
      </c>
      <c r="J134" s="28" t="s">
        <v>8908</v>
      </c>
      <c r="K134" s="28" t="s">
        <v>8905</v>
      </c>
      <c r="L134" s="28" t="s">
        <v>438</v>
      </c>
      <c r="M134" s="28" t="s">
        <v>41</v>
      </c>
      <c r="N134" s="28"/>
      <c r="O134" s="101"/>
    </row>
    <row r="135" spans="1:32" ht="14.4">
      <c r="A135" s="28" t="s">
        <v>46</v>
      </c>
      <c r="B135" s="28" t="s">
        <v>8772</v>
      </c>
      <c r="C135" s="28" t="s">
        <v>233</v>
      </c>
      <c r="D135" s="29" t="s">
        <v>298</v>
      </c>
      <c r="E135" s="29"/>
      <c r="F135" s="28" t="s">
        <v>8910</v>
      </c>
      <c r="G135" s="28"/>
      <c r="H135" s="28" t="s">
        <v>8905</v>
      </c>
      <c r="I135" s="28" t="s">
        <v>592</v>
      </c>
      <c r="J135" s="28" t="s">
        <v>8911</v>
      </c>
      <c r="K135" s="28" t="s">
        <v>8905</v>
      </c>
      <c r="L135" s="28" t="s">
        <v>438</v>
      </c>
      <c r="M135" s="28" t="s">
        <v>41</v>
      </c>
      <c r="N135" s="28"/>
      <c r="O135" s="101"/>
    </row>
    <row r="136" spans="1:32" ht="14.4">
      <c r="A136" s="28" t="s">
        <v>46</v>
      </c>
      <c r="B136" s="28" t="s">
        <v>8772</v>
      </c>
      <c r="C136" s="28" t="s">
        <v>233</v>
      </c>
      <c r="D136" s="29" t="s">
        <v>298</v>
      </c>
      <c r="E136" s="29"/>
      <c r="F136" s="28" t="s">
        <v>8912</v>
      </c>
      <c r="G136" s="28"/>
      <c r="H136" s="28" t="s">
        <v>8844</v>
      </c>
      <c r="I136" s="28" t="s">
        <v>8846</v>
      </c>
      <c r="J136" s="28" t="s">
        <v>8913</v>
      </c>
      <c r="K136" s="28" t="s">
        <v>8844</v>
      </c>
      <c r="L136" s="28" t="s">
        <v>438</v>
      </c>
      <c r="M136" s="28" t="s">
        <v>41</v>
      </c>
      <c r="N136" s="28"/>
      <c r="O136" s="101"/>
    </row>
    <row r="137" spans="1:32" ht="14.4">
      <c r="A137" s="28" t="s">
        <v>46</v>
      </c>
      <c r="B137" s="28" t="s">
        <v>8772</v>
      </c>
      <c r="C137" s="28" t="s">
        <v>233</v>
      </c>
      <c r="D137" s="29" t="s">
        <v>298</v>
      </c>
      <c r="E137" s="29"/>
      <c r="F137" s="28" t="s">
        <v>8915</v>
      </c>
      <c r="G137" s="28"/>
      <c r="H137" s="28" t="s">
        <v>8844</v>
      </c>
      <c r="I137" s="28" t="s">
        <v>8846</v>
      </c>
      <c r="J137" s="28" t="s">
        <v>8916</v>
      </c>
      <c r="K137" s="28" t="s">
        <v>8844</v>
      </c>
      <c r="L137" s="28" t="s">
        <v>438</v>
      </c>
      <c r="M137" s="28" t="s">
        <v>41</v>
      </c>
      <c r="N137" s="28"/>
      <c r="O137" s="101"/>
    </row>
    <row r="138" spans="1:32" ht="14.4">
      <c r="A138" s="28" t="s">
        <v>46</v>
      </c>
      <c r="B138" s="28" t="s">
        <v>8772</v>
      </c>
      <c r="C138" s="28" t="s">
        <v>296</v>
      </c>
      <c r="D138" s="28" t="s">
        <v>954</v>
      </c>
      <c r="E138" s="28"/>
      <c r="F138" s="79" t="s">
        <v>8917</v>
      </c>
      <c r="G138" s="28"/>
      <c r="H138" s="28" t="s">
        <v>8425</v>
      </c>
      <c r="I138" s="28" t="s">
        <v>335</v>
      </c>
      <c r="J138" s="28" t="s">
        <v>8426</v>
      </c>
      <c r="K138" s="28"/>
      <c r="L138" s="28" t="s">
        <v>8920</v>
      </c>
      <c r="M138" s="28" t="s">
        <v>41</v>
      </c>
      <c r="N138" s="28"/>
      <c r="O138" s="101"/>
    </row>
    <row r="139" spans="1:32" ht="14.4">
      <c r="A139" s="28" t="s">
        <v>46</v>
      </c>
      <c r="B139" s="28" t="s">
        <v>8921</v>
      </c>
      <c r="C139" s="28" t="s">
        <v>51</v>
      </c>
      <c r="D139" s="29" t="s">
        <v>52</v>
      </c>
      <c r="E139" s="29"/>
      <c r="F139" s="28" t="s">
        <v>8922</v>
      </c>
      <c r="G139" s="28"/>
      <c r="H139" s="28" t="s">
        <v>8923</v>
      </c>
      <c r="I139" s="28" t="s">
        <v>8925</v>
      </c>
      <c r="J139" s="28" t="s">
        <v>8926</v>
      </c>
      <c r="K139" s="28" t="s">
        <v>8928</v>
      </c>
      <c r="L139" s="28" t="s">
        <v>3389</v>
      </c>
      <c r="M139" s="28" t="s">
        <v>41</v>
      </c>
      <c r="N139" s="28" t="s">
        <v>8929</v>
      </c>
      <c r="O139" s="101"/>
    </row>
    <row r="140" spans="1:32" ht="14.4">
      <c r="A140" s="28" t="s">
        <v>46</v>
      </c>
      <c r="B140" s="28" t="s">
        <v>8921</v>
      </c>
      <c r="C140" s="28" t="s">
        <v>70</v>
      </c>
      <c r="D140" s="29" t="s">
        <v>71</v>
      </c>
      <c r="E140" s="29"/>
      <c r="F140" s="28" t="s">
        <v>8922</v>
      </c>
      <c r="G140" s="28"/>
      <c r="H140" s="28" t="s">
        <v>8923</v>
      </c>
      <c r="I140" s="28" t="s">
        <v>8925</v>
      </c>
      <c r="J140" s="28" t="s">
        <v>8930</v>
      </c>
      <c r="K140" s="28" t="s">
        <v>8928</v>
      </c>
      <c r="L140" s="28" t="s">
        <v>3389</v>
      </c>
      <c r="M140" s="28" t="s">
        <v>41</v>
      </c>
      <c r="N140" s="28" t="s">
        <v>8929</v>
      </c>
      <c r="O140" s="101"/>
    </row>
    <row r="141" spans="1:32" ht="14.4">
      <c r="A141" s="28" t="s">
        <v>46</v>
      </c>
      <c r="B141" s="28" t="s">
        <v>8921</v>
      </c>
      <c r="C141" s="28" t="s">
        <v>79</v>
      </c>
      <c r="D141" s="43" t="s">
        <v>80</v>
      </c>
      <c r="E141" s="29"/>
      <c r="F141" s="28" t="s">
        <v>3147</v>
      </c>
      <c r="G141" s="28"/>
      <c r="H141" s="28" t="s">
        <v>8923</v>
      </c>
      <c r="I141" s="28" t="s">
        <v>8925</v>
      </c>
      <c r="J141" s="28" t="s">
        <v>8933</v>
      </c>
      <c r="K141" s="28" t="s">
        <v>8928</v>
      </c>
      <c r="L141" s="28" t="s">
        <v>3389</v>
      </c>
      <c r="M141" s="28" t="s">
        <v>41</v>
      </c>
      <c r="N141" s="28"/>
      <c r="O141" s="101"/>
    </row>
    <row r="142" spans="1:32" ht="14.4">
      <c r="A142" s="28" t="s">
        <v>46</v>
      </c>
      <c r="B142" s="28" t="s">
        <v>8921</v>
      </c>
      <c r="C142" s="28" t="s">
        <v>233</v>
      </c>
      <c r="D142" s="29" t="s">
        <v>298</v>
      </c>
      <c r="E142" s="29"/>
      <c r="F142" s="28" t="s">
        <v>8936</v>
      </c>
      <c r="G142" s="28"/>
      <c r="H142" s="28" t="s">
        <v>8272</v>
      </c>
      <c r="I142" s="28" t="s">
        <v>8937</v>
      </c>
      <c r="J142" s="28" t="s">
        <v>8938</v>
      </c>
      <c r="K142" s="28" t="s">
        <v>8272</v>
      </c>
      <c r="L142" s="28" t="s">
        <v>8939</v>
      </c>
      <c r="M142" s="28" t="s">
        <v>41</v>
      </c>
      <c r="N142" s="28"/>
      <c r="O142" s="101"/>
    </row>
    <row r="143" spans="1:32" ht="14.4">
      <c r="A143" s="28" t="s">
        <v>46</v>
      </c>
      <c r="B143" s="28" t="s">
        <v>8921</v>
      </c>
      <c r="C143" s="28" t="s">
        <v>233</v>
      </c>
      <c r="D143" s="29" t="s">
        <v>298</v>
      </c>
      <c r="E143" s="29"/>
      <c r="F143" s="28" t="s">
        <v>8940</v>
      </c>
      <c r="G143" s="28"/>
      <c r="H143" s="28" t="s">
        <v>8941</v>
      </c>
      <c r="I143" s="28" t="s">
        <v>4478</v>
      </c>
      <c r="J143" s="28" t="s">
        <v>8942</v>
      </c>
      <c r="K143" s="28" t="s">
        <v>8941</v>
      </c>
      <c r="L143" s="28" t="s">
        <v>3389</v>
      </c>
      <c r="M143" s="28" t="s">
        <v>41</v>
      </c>
      <c r="N143" s="28"/>
      <c r="O143" s="101"/>
    </row>
    <row r="144" spans="1:32" ht="14.4">
      <c r="A144" s="28" t="s">
        <v>46</v>
      </c>
      <c r="B144" s="28" t="s">
        <v>8921</v>
      </c>
      <c r="C144" s="28" t="s">
        <v>275</v>
      </c>
      <c r="D144" s="28" t="s">
        <v>543</v>
      </c>
      <c r="E144" s="28"/>
      <c r="F144" s="79" t="s">
        <v>8945</v>
      </c>
      <c r="G144" s="28"/>
      <c r="H144" s="28" t="s">
        <v>8941</v>
      </c>
      <c r="I144" s="28" t="s">
        <v>8946</v>
      </c>
      <c r="J144" s="28" t="s">
        <v>8947</v>
      </c>
      <c r="K144" s="28" t="s">
        <v>8941</v>
      </c>
      <c r="L144" s="28" t="s">
        <v>8948</v>
      </c>
      <c r="M144" s="28" t="s">
        <v>41</v>
      </c>
      <c r="N144" s="28"/>
      <c r="O144" s="106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</row>
    <row r="145" spans="1:15" ht="14.4">
      <c r="A145" s="28" t="s">
        <v>46</v>
      </c>
      <c r="B145" s="28" t="s">
        <v>8921</v>
      </c>
      <c r="C145" s="28" t="s">
        <v>85</v>
      </c>
      <c r="D145" s="28" t="s">
        <v>86</v>
      </c>
      <c r="E145" s="28"/>
      <c r="F145" s="28" t="s">
        <v>8951</v>
      </c>
      <c r="G145" s="28"/>
      <c r="H145" s="28" t="s">
        <v>8952</v>
      </c>
      <c r="I145" s="28" t="s">
        <v>8953</v>
      </c>
      <c r="J145" s="28" t="s">
        <v>8954</v>
      </c>
      <c r="K145" s="28" t="s">
        <v>8952</v>
      </c>
      <c r="L145" s="28" t="s">
        <v>989</v>
      </c>
      <c r="M145" s="28" t="s">
        <v>41</v>
      </c>
      <c r="N145" s="28"/>
      <c r="O145" s="101"/>
    </row>
    <row r="146" spans="1:15" ht="14.4">
      <c r="A146" s="28" t="s">
        <v>46</v>
      </c>
      <c r="B146" s="28" t="s">
        <v>8921</v>
      </c>
      <c r="C146" s="28" t="s">
        <v>85</v>
      </c>
      <c r="D146" s="28" t="s">
        <v>86</v>
      </c>
      <c r="E146" s="28"/>
      <c r="F146" s="28" t="s">
        <v>8957</v>
      </c>
      <c r="G146" s="28"/>
      <c r="H146" s="28" t="s">
        <v>8958</v>
      </c>
      <c r="I146" s="28" t="s">
        <v>8959</v>
      </c>
      <c r="J146" s="28" t="s">
        <v>8960</v>
      </c>
      <c r="K146" s="28" t="s">
        <v>8961</v>
      </c>
      <c r="L146" s="28" t="s">
        <v>2230</v>
      </c>
      <c r="M146" s="28" t="s">
        <v>41</v>
      </c>
      <c r="N146" s="28"/>
      <c r="O146" s="101"/>
    </row>
    <row r="147" spans="1:15" ht="14.4">
      <c r="A147" s="28" t="s">
        <v>46</v>
      </c>
      <c r="B147" s="28" t="s">
        <v>8921</v>
      </c>
      <c r="C147" s="28" t="s">
        <v>85</v>
      </c>
      <c r="D147" s="28" t="s">
        <v>86</v>
      </c>
      <c r="E147" s="28"/>
      <c r="F147" s="28" t="s">
        <v>8964</v>
      </c>
      <c r="G147" s="28"/>
      <c r="H147" s="28" t="s">
        <v>8965</v>
      </c>
      <c r="I147" s="28" t="s">
        <v>887</v>
      </c>
      <c r="J147" s="28" t="s">
        <v>8967</v>
      </c>
      <c r="K147" s="28" t="s">
        <v>8965</v>
      </c>
      <c r="L147" s="28" t="s">
        <v>3389</v>
      </c>
      <c r="M147" s="28" t="s">
        <v>41</v>
      </c>
      <c r="N147" s="28"/>
      <c r="O147" s="101"/>
    </row>
    <row r="148" spans="1:15" ht="14.4">
      <c r="A148" s="28" t="s">
        <v>46</v>
      </c>
      <c r="B148" s="28" t="s">
        <v>8921</v>
      </c>
      <c r="C148" s="28" t="s">
        <v>85</v>
      </c>
      <c r="D148" s="28" t="s">
        <v>86</v>
      </c>
      <c r="E148" s="28"/>
      <c r="F148" s="28" t="s">
        <v>8968</v>
      </c>
      <c r="G148" s="28"/>
      <c r="H148" s="28" t="s">
        <v>8923</v>
      </c>
      <c r="I148" s="28" t="s">
        <v>8925</v>
      </c>
      <c r="J148" s="28" t="s">
        <v>8969</v>
      </c>
      <c r="K148" s="28" t="s">
        <v>8971</v>
      </c>
      <c r="L148" s="28" t="s">
        <v>3389</v>
      </c>
      <c r="M148" s="28" t="s">
        <v>41</v>
      </c>
      <c r="N148" s="28"/>
      <c r="O148" s="101"/>
    </row>
    <row r="149" spans="1:15" ht="14.4">
      <c r="A149" s="28" t="s">
        <v>46</v>
      </c>
      <c r="B149" s="28" t="s">
        <v>8921</v>
      </c>
      <c r="C149" s="28" t="s">
        <v>85</v>
      </c>
      <c r="D149" s="28" t="s">
        <v>86</v>
      </c>
      <c r="E149" s="28"/>
      <c r="F149" s="28" t="s">
        <v>8973</v>
      </c>
      <c r="G149" s="28"/>
      <c r="H149" s="28" t="s">
        <v>8923</v>
      </c>
      <c r="I149" s="28" t="s">
        <v>8925</v>
      </c>
      <c r="J149" s="28" t="s">
        <v>8974</v>
      </c>
      <c r="K149" s="28" t="s">
        <v>8975</v>
      </c>
      <c r="L149" s="28" t="s">
        <v>3389</v>
      </c>
      <c r="M149" s="28" t="s">
        <v>41</v>
      </c>
      <c r="N149" s="28" t="s">
        <v>8524</v>
      </c>
      <c r="O149" s="101"/>
    </row>
    <row r="150" spans="1:15" ht="14.4">
      <c r="A150" s="28" t="s">
        <v>46</v>
      </c>
      <c r="B150" s="28" t="s">
        <v>8921</v>
      </c>
      <c r="C150" s="28" t="s">
        <v>85</v>
      </c>
      <c r="D150" s="28" t="s">
        <v>86</v>
      </c>
      <c r="E150" s="28"/>
      <c r="F150" s="28" t="s">
        <v>8976</v>
      </c>
      <c r="G150" s="28"/>
      <c r="H150" s="28" t="s">
        <v>8977</v>
      </c>
      <c r="I150" s="28" t="s">
        <v>8979</v>
      </c>
      <c r="J150" s="28" t="s">
        <v>8981</v>
      </c>
      <c r="K150" s="28" t="s">
        <v>8977</v>
      </c>
      <c r="L150" s="28" t="s">
        <v>8982</v>
      </c>
      <c r="M150" s="28" t="s">
        <v>41</v>
      </c>
      <c r="N150" s="28" t="s">
        <v>8524</v>
      </c>
      <c r="O150" s="101"/>
    </row>
    <row r="151" spans="1:15" ht="14.4">
      <c r="A151" s="28" t="s">
        <v>46</v>
      </c>
      <c r="B151" s="28" t="s">
        <v>8921</v>
      </c>
      <c r="C151" s="28" t="s">
        <v>85</v>
      </c>
      <c r="D151" s="28" t="s">
        <v>86</v>
      </c>
      <c r="E151" s="28"/>
      <c r="F151" s="28" t="s">
        <v>8985</v>
      </c>
      <c r="G151" s="28"/>
      <c r="H151" s="28" t="s">
        <v>8986</v>
      </c>
      <c r="I151" s="28" t="s">
        <v>8987</v>
      </c>
      <c r="J151" s="28" t="s">
        <v>8988</v>
      </c>
      <c r="K151" s="28" t="s">
        <v>8986</v>
      </c>
      <c r="L151" s="28" t="s">
        <v>989</v>
      </c>
      <c r="M151" s="28" t="s">
        <v>41</v>
      </c>
      <c r="N151" s="28"/>
      <c r="O151" s="101"/>
    </row>
    <row r="152" spans="1:15" ht="14.4">
      <c r="A152" s="28" t="s">
        <v>46</v>
      </c>
      <c r="B152" s="28" t="s">
        <v>8921</v>
      </c>
      <c r="C152" s="28" t="s">
        <v>85</v>
      </c>
      <c r="D152" s="28" t="s">
        <v>86</v>
      </c>
      <c r="E152" s="28"/>
      <c r="F152" s="28" t="s">
        <v>8994</v>
      </c>
      <c r="G152" s="28"/>
      <c r="H152" s="28" t="s">
        <v>8995</v>
      </c>
      <c r="I152" s="28" t="s">
        <v>8996</v>
      </c>
      <c r="J152" s="28" t="s">
        <v>8997</v>
      </c>
      <c r="K152" s="28" t="s">
        <v>8995</v>
      </c>
      <c r="L152" s="28" t="s">
        <v>989</v>
      </c>
      <c r="M152" s="28" t="s">
        <v>41</v>
      </c>
      <c r="N152" s="28"/>
      <c r="O152" s="101"/>
    </row>
    <row r="153" spans="1:15" ht="14.4">
      <c r="A153" s="28" t="s">
        <v>46</v>
      </c>
      <c r="B153" s="28" t="s">
        <v>8921</v>
      </c>
      <c r="C153" s="28" t="s">
        <v>85</v>
      </c>
      <c r="D153" s="28" t="s">
        <v>86</v>
      </c>
      <c r="E153" s="28"/>
      <c r="F153" s="28" t="s">
        <v>8998</v>
      </c>
      <c r="G153" s="28"/>
      <c r="H153" s="28" t="s">
        <v>8272</v>
      </c>
      <c r="I153" s="28" t="s">
        <v>8937</v>
      </c>
      <c r="J153" s="28" t="s">
        <v>8999</v>
      </c>
      <c r="K153" s="28" t="s">
        <v>9000</v>
      </c>
      <c r="L153" s="28" t="s">
        <v>8939</v>
      </c>
      <c r="M153" s="28" t="s">
        <v>41</v>
      </c>
      <c r="N153" s="28"/>
      <c r="O153" s="101"/>
    </row>
    <row r="154" spans="1:15" ht="14.4">
      <c r="A154" s="28" t="s">
        <v>46</v>
      </c>
      <c r="B154" s="28" t="s">
        <v>8921</v>
      </c>
      <c r="C154" s="28" t="s">
        <v>85</v>
      </c>
      <c r="D154" s="28" t="s">
        <v>86</v>
      </c>
      <c r="E154" s="28"/>
      <c r="F154" s="28" t="s">
        <v>9005</v>
      </c>
      <c r="G154" s="28"/>
      <c r="H154" s="28" t="s">
        <v>9006</v>
      </c>
      <c r="I154" s="28" t="s">
        <v>9007</v>
      </c>
      <c r="J154" s="28" t="s">
        <v>9008</v>
      </c>
      <c r="K154" s="28" t="s">
        <v>9006</v>
      </c>
      <c r="L154" s="28" t="s">
        <v>8948</v>
      </c>
      <c r="M154" s="28" t="s">
        <v>41</v>
      </c>
      <c r="N154" s="28" t="s">
        <v>8524</v>
      </c>
      <c r="O154" s="101"/>
    </row>
    <row r="155" spans="1:15" ht="14.4">
      <c r="A155" s="28" t="s">
        <v>46</v>
      </c>
      <c r="B155" s="28" t="s">
        <v>8921</v>
      </c>
      <c r="C155" s="28" t="s">
        <v>85</v>
      </c>
      <c r="D155" s="28" t="s">
        <v>86</v>
      </c>
      <c r="E155" s="28"/>
      <c r="F155" s="28" t="s">
        <v>9012</v>
      </c>
      <c r="G155" s="28"/>
      <c r="H155" s="28" t="s">
        <v>9013</v>
      </c>
      <c r="I155" s="28" t="s">
        <v>9014</v>
      </c>
      <c r="J155" s="28" t="s">
        <v>9015</v>
      </c>
      <c r="K155" s="28" t="s">
        <v>9013</v>
      </c>
      <c r="L155" s="28" t="s">
        <v>8982</v>
      </c>
      <c r="M155" s="28" t="s">
        <v>41</v>
      </c>
      <c r="N155" s="28"/>
      <c r="O155" s="101"/>
    </row>
    <row r="156" spans="1:15" ht="14.4">
      <c r="A156" s="28" t="s">
        <v>46</v>
      </c>
      <c r="B156" s="28" t="s">
        <v>8921</v>
      </c>
      <c r="C156" s="28" t="s">
        <v>85</v>
      </c>
      <c r="D156" s="28" t="s">
        <v>86</v>
      </c>
      <c r="E156" s="28"/>
      <c r="F156" s="28" t="s">
        <v>9017</v>
      </c>
      <c r="G156" s="28"/>
      <c r="H156" s="28" t="s">
        <v>9018</v>
      </c>
      <c r="I156" s="28" t="s">
        <v>9020</v>
      </c>
      <c r="J156" s="28" t="s">
        <v>9022</v>
      </c>
      <c r="K156" s="28" t="s">
        <v>9024</v>
      </c>
      <c r="L156" s="28" t="s">
        <v>989</v>
      </c>
      <c r="M156" s="28" t="s">
        <v>41</v>
      </c>
      <c r="N156" s="28"/>
      <c r="O156" s="101"/>
    </row>
    <row r="157" spans="1:15" ht="14.4">
      <c r="A157" s="28" t="s">
        <v>46</v>
      </c>
      <c r="B157" s="28" t="s">
        <v>8921</v>
      </c>
      <c r="C157" s="28" t="s">
        <v>85</v>
      </c>
      <c r="D157" s="28" t="s">
        <v>86</v>
      </c>
      <c r="E157" s="28"/>
      <c r="F157" s="28" t="s">
        <v>9026</v>
      </c>
      <c r="G157" s="28"/>
      <c r="H157" s="28" t="s">
        <v>9018</v>
      </c>
      <c r="I157" s="28" t="s">
        <v>9020</v>
      </c>
      <c r="J157" s="28" t="s">
        <v>9027</v>
      </c>
      <c r="K157" s="28" t="s">
        <v>9029</v>
      </c>
      <c r="L157" s="28" t="s">
        <v>989</v>
      </c>
      <c r="M157" s="28" t="s">
        <v>41</v>
      </c>
      <c r="N157" s="28"/>
      <c r="O157" s="101"/>
    </row>
    <row r="158" spans="1:15" ht="14.4">
      <c r="A158" s="28" t="s">
        <v>46</v>
      </c>
      <c r="B158" s="28" t="s">
        <v>8921</v>
      </c>
      <c r="C158" s="28" t="s">
        <v>85</v>
      </c>
      <c r="D158" s="28" t="s">
        <v>86</v>
      </c>
      <c r="E158" s="28"/>
      <c r="F158" s="28" t="s">
        <v>9033</v>
      </c>
      <c r="G158" s="28"/>
      <c r="H158" s="28" t="s">
        <v>8941</v>
      </c>
      <c r="I158" s="28" t="s">
        <v>9034</v>
      </c>
      <c r="J158" s="28" t="s">
        <v>9035</v>
      </c>
      <c r="K158" s="28" t="s">
        <v>8941</v>
      </c>
      <c r="L158" s="28" t="s">
        <v>9036</v>
      </c>
      <c r="M158" s="28" t="s">
        <v>41</v>
      </c>
      <c r="N158" s="28"/>
      <c r="O158" s="101"/>
    </row>
    <row r="159" spans="1:15" ht="14.4">
      <c r="A159" s="28" t="s">
        <v>46</v>
      </c>
      <c r="B159" s="28" t="s">
        <v>8921</v>
      </c>
      <c r="C159" s="28" t="s">
        <v>85</v>
      </c>
      <c r="D159" s="28" t="s">
        <v>86</v>
      </c>
      <c r="E159" s="28"/>
      <c r="F159" s="28" t="s">
        <v>9041</v>
      </c>
      <c r="G159" s="28"/>
      <c r="H159" s="28" t="s">
        <v>8923</v>
      </c>
      <c r="I159" s="28" t="s">
        <v>8925</v>
      </c>
      <c r="J159" s="28" t="s">
        <v>9042</v>
      </c>
      <c r="K159" s="28" t="s">
        <v>9043</v>
      </c>
      <c r="L159" s="28" t="s">
        <v>3389</v>
      </c>
      <c r="M159" s="28" t="s">
        <v>41</v>
      </c>
      <c r="N159" s="28"/>
      <c r="O159" s="101"/>
    </row>
    <row r="160" spans="1:15" ht="14.4">
      <c r="A160" s="28" t="s">
        <v>46</v>
      </c>
      <c r="B160" s="28" t="s">
        <v>8921</v>
      </c>
      <c r="C160" s="28" t="s">
        <v>85</v>
      </c>
      <c r="D160" s="28" t="s">
        <v>86</v>
      </c>
      <c r="E160" s="28"/>
      <c r="F160" s="28" t="s">
        <v>9045</v>
      </c>
      <c r="G160" s="28"/>
      <c r="H160" s="28" t="s">
        <v>8923</v>
      </c>
      <c r="I160" s="28" t="s">
        <v>8925</v>
      </c>
      <c r="J160" s="28" t="s">
        <v>9048</v>
      </c>
      <c r="K160" s="28" t="s">
        <v>9049</v>
      </c>
      <c r="L160" s="28" t="s">
        <v>3389</v>
      </c>
      <c r="M160" s="28" t="s">
        <v>41</v>
      </c>
      <c r="N160" s="28"/>
      <c r="O160" s="101"/>
    </row>
    <row r="161" spans="1:32" ht="14.4">
      <c r="A161" s="28" t="s">
        <v>46</v>
      </c>
      <c r="B161" s="28" t="s">
        <v>8921</v>
      </c>
      <c r="C161" s="28" t="s">
        <v>85</v>
      </c>
      <c r="D161" s="28" t="s">
        <v>86</v>
      </c>
      <c r="E161" s="28"/>
      <c r="F161" s="28" t="s">
        <v>9050</v>
      </c>
      <c r="G161" s="28"/>
      <c r="H161" s="28" t="s">
        <v>9051</v>
      </c>
      <c r="I161" s="28" t="s">
        <v>9052</v>
      </c>
      <c r="J161" s="28" t="s">
        <v>9053</v>
      </c>
      <c r="K161" s="28" t="s">
        <v>9054</v>
      </c>
      <c r="L161" s="28" t="s">
        <v>8939</v>
      </c>
      <c r="M161" s="28" t="s">
        <v>41</v>
      </c>
      <c r="N161" s="28"/>
      <c r="O161" s="101"/>
    </row>
    <row r="162" spans="1:32" ht="14.4">
      <c r="A162" s="28" t="s">
        <v>46</v>
      </c>
      <c r="B162" s="28" t="s">
        <v>8921</v>
      </c>
      <c r="C162" s="28" t="s">
        <v>85</v>
      </c>
      <c r="D162" s="28" t="s">
        <v>86</v>
      </c>
      <c r="E162" s="28"/>
      <c r="F162" s="28" t="s">
        <v>9059</v>
      </c>
      <c r="G162" s="28"/>
      <c r="H162" s="28" t="s">
        <v>8958</v>
      </c>
      <c r="I162" s="28" t="s">
        <v>9060</v>
      </c>
      <c r="J162" s="28" t="s">
        <v>9061</v>
      </c>
      <c r="K162" s="28" t="s">
        <v>9062</v>
      </c>
      <c r="L162" s="28" t="s">
        <v>2230</v>
      </c>
      <c r="M162" s="28" t="s">
        <v>41</v>
      </c>
      <c r="N162" s="28" t="s">
        <v>8524</v>
      </c>
      <c r="O162" s="101"/>
    </row>
    <row r="163" spans="1:32" ht="14.4">
      <c r="A163" s="28" t="s">
        <v>46</v>
      </c>
      <c r="B163" s="28" t="s">
        <v>8921</v>
      </c>
      <c r="C163" s="28" t="s">
        <v>220</v>
      </c>
      <c r="D163" s="28" t="s">
        <v>234</v>
      </c>
      <c r="E163" s="28"/>
      <c r="F163" s="28" t="s">
        <v>9066</v>
      </c>
      <c r="G163" s="28"/>
      <c r="H163" s="28" t="s">
        <v>9068</v>
      </c>
      <c r="I163" s="28" t="s">
        <v>2400</v>
      </c>
      <c r="J163" s="28" t="s">
        <v>9069</v>
      </c>
      <c r="K163" s="28" t="s">
        <v>9068</v>
      </c>
      <c r="L163" s="28" t="s">
        <v>9070</v>
      </c>
      <c r="M163" s="28" t="s">
        <v>41</v>
      </c>
      <c r="N163" s="28"/>
      <c r="O163" s="101"/>
    </row>
    <row r="164" spans="1:32" ht="14.4">
      <c r="A164" s="28" t="s">
        <v>46</v>
      </c>
      <c r="B164" s="28" t="s">
        <v>8921</v>
      </c>
      <c r="C164" s="28" t="s">
        <v>220</v>
      </c>
      <c r="D164" s="28" t="s">
        <v>234</v>
      </c>
      <c r="E164" s="28"/>
      <c r="F164" s="28" t="s">
        <v>9073</v>
      </c>
      <c r="G164" s="28"/>
      <c r="H164" s="28" t="s">
        <v>9075</v>
      </c>
      <c r="I164" s="28" t="s">
        <v>2400</v>
      </c>
      <c r="J164" s="28" t="s">
        <v>9077</v>
      </c>
      <c r="K164" s="28" t="s">
        <v>9075</v>
      </c>
      <c r="L164" s="28" t="s">
        <v>9078</v>
      </c>
      <c r="M164" s="28" t="s">
        <v>41</v>
      </c>
      <c r="N164" s="28"/>
      <c r="O164" s="101"/>
    </row>
    <row r="165" spans="1:32" ht="14.4">
      <c r="A165" s="28" t="s">
        <v>46</v>
      </c>
      <c r="B165" s="28" t="s">
        <v>8921</v>
      </c>
      <c r="C165" s="28" t="s">
        <v>296</v>
      </c>
      <c r="D165" s="28" t="s">
        <v>954</v>
      </c>
      <c r="E165" s="28"/>
      <c r="F165" s="79" t="s">
        <v>9079</v>
      </c>
      <c r="G165" s="28"/>
      <c r="H165" s="28" t="s">
        <v>8425</v>
      </c>
      <c r="I165" s="28" t="s">
        <v>335</v>
      </c>
      <c r="J165" s="28" t="s">
        <v>8426</v>
      </c>
      <c r="K165" s="28"/>
      <c r="L165" s="28" t="s">
        <v>9080</v>
      </c>
      <c r="M165" s="28" t="s">
        <v>41</v>
      </c>
      <c r="N165" s="28"/>
      <c r="O165" s="101"/>
    </row>
    <row r="166" spans="1:32" ht="14.4">
      <c r="A166" s="28" t="s">
        <v>46</v>
      </c>
      <c r="B166" s="28" t="s">
        <v>9081</v>
      </c>
      <c r="C166" s="28" t="s">
        <v>275</v>
      </c>
      <c r="D166" s="28" t="s">
        <v>543</v>
      </c>
      <c r="E166" s="28"/>
      <c r="F166" s="79" t="s">
        <v>9082</v>
      </c>
      <c r="G166" s="28"/>
      <c r="H166" s="28" t="s">
        <v>9083</v>
      </c>
      <c r="I166" s="28" t="s">
        <v>9084</v>
      </c>
      <c r="J166" s="28" t="s">
        <v>4111</v>
      </c>
      <c r="K166" s="28" t="s">
        <v>9083</v>
      </c>
      <c r="L166" s="28" t="s">
        <v>2794</v>
      </c>
      <c r="M166" s="28" t="s">
        <v>41</v>
      </c>
      <c r="N166" s="28"/>
      <c r="O166" s="106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</row>
    <row r="167" spans="1:32" ht="14.4">
      <c r="A167" s="28" t="s">
        <v>46</v>
      </c>
      <c r="B167" s="28" t="s">
        <v>9081</v>
      </c>
      <c r="C167" s="28" t="s">
        <v>51</v>
      </c>
      <c r="D167" s="29" t="s">
        <v>52</v>
      </c>
      <c r="E167" s="29"/>
      <c r="F167" s="28" t="s">
        <v>9086</v>
      </c>
      <c r="G167" s="28"/>
      <c r="H167" s="28" t="s">
        <v>9083</v>
      </c>
      <c r="I167" s="28" t="s">
        <v>9084</v>
      </c>
      <c r="J167" s="28" t="s">
        <v>9087</v>
      </c>
      <c r="K167" s="28" t="s">
        <v>9083</v>
      </c>
      <c r="L167" s="28" t="s">
        <v>2794</v>
      </c>
      <c r="M167" s="28" t="s">
        <v>1807</v>
      </c>
      <c r="N167" s="28" t="s">
        <v>1807</v>
      </c>
      <c r="O167" s="101"/>
    </row>
    <row r="168" spans="1:32" ht="14.4">
      <c r="A168" s="28" t="s">
        <v>46</v>
      </c>
      <c r="B168" s="28" t="s">
        <v>9081</v>
      </c>
      <c r="C168" s="28" t="s">
        <v>70</v>
      </c>
      <c r="D168" s="29" t="s">
        <v>71</v>
      </c>
      <c r="E168" s="29"/>
      <c r="F168" s="28" t="s">
        <v>9086</v>
      </c>
      <c r="G168" s="28"/>
      <c r="H168" s="28" t="s">
        <v>9083</v>
      </c>
      <c r="I168" s="28" t="s">
        <v>9084</v>
      </c>
      <c r="J168" s="28" t="s">
        <v>9088</v>
      </c>
      <c r="K168" s="28" t="s">
        <v>9083</v>
      </c>
      <c r="L168" s="28" t="s">
        <v>2794</v>
      </c>
      <c r="M168" s="28" t="s">
        <v>1807</v>
      </c>
      <c r="N168" s="28" t="s">
        <v>1807</v>
      </c>
      <c r="O168" s="101"/>
    </row>
    <row r="169" spans="1:32" ht="14.4">
      <c r="A169" s="28" t="s">
        <v>46</v>
      </c>
      <c r="B169" s="28" t="s">
        <v>9081</v>
      </c>
      <c r="C169" s="28" t="s">
        <v>79</v>
      </c>
      <c r="D169" s="43" t="s">
        <v>80</v>
      </c>
      <c r="E169" s="29"/>
      <c r="F169" s="28" t="s">
        <v>9089</v>
      </c>
      <c r="G169" s="28"/>
      <c r="H169" s="28" t="s">
        <v>9083</v>
      </c>
      <c r="I169" s="28" t="s">
        <v>9084</v>
      </c>
      <c r="J169" s="28" t="s">
        <v>9090</v>
      </c>
      <c r="K169" s="28" t="s">
        <v>9083</v>
      </c>
      <c r="L169" s="28" t="s">
        <v>2794</v>
      </c>
      <c r="M169" s="28" t="s">
        <v>1807</v>
      </c>
      <c r="N169" s="28" t="s">
        <v>1807</v>
      </c>
      <c r="O169" s="101"/>
    </row>
    <row r="170" spans="1:32" ht="14.4">
      <c r="A170" s="28" t="s">
        <v>46</v>
      </c>
      <c r="B170" s="28" t="s">
        <v>9081</v>
      </c>
      <c r="C170" s="28" t="s">
        <v>85</v>
      </c>
      <c r="D170" s="28" t="s">
        <v>86</v>
      </c>
      <c r="E170" s="28"/>
      <c r="F170" s="28" t="s">
        <v>9092</v>
      </c>
      <c r="G170" s="28"/>
      <c r="H170" s="28" t="s">
        <v>9093</v>
      </c>
      <c r="I170" s="28" t="s">
        <v>5112</v>
      </c>
      <c r="J170" s="28" t="s">
        <v>9094</v>
      </c>
      <c r="K170" s="28" t="s">
        <v>9093</v>
      </c>
      <c r="L170" s="28" t="s">
        <v>9095</v>
      </c>
      <c r="M170" s="28" t="s">
        <v>41</v>
      </c>
      <c r="N170" s="28"/>
      <c r="O170" s="101"/>
    </row>
    <row r="171" spans="1:32" ht="14.4">
      <c r="A171" s="28" t="s">
        <v>46</v>
      </c>
      <c r="B171" s="28" t="s">
        <v>9081</v>
      </c>
      <c r="C171" s="28" t="s">
        <v>85</v>
      </c>
      <c r="D171" s="28" t="s">
        <v>86</v>
      </c>
      <c r="E171" s="28"/>
      <c r="F171" s="28" t="s">
        <v>9096</v>
      </c>
      <c r="G171" s="28"/>
      <c r="H171" s="28" t="s">
        <v>9097</v>
      </c>
      <c r="I171" s="28" t="s">
        <v>9098</v>
      </c>
      <c r="J171" s="28" t="s">
        <v>4144</v>
      </c>
      <c r="K171" s="28" t="s">
        <v>9097</v>
      </c>
      <c r="L171" s="28" t="s">
        <v>9100</v>
      </c>
      <c r="M171" s="28" t="s">
        <v>41</v>
      </c>
      <c r="N171" s="28"/>
      <c r="O171" s="101"/>
    </row>
    <row r="172" spans="1:32" ht="14.4">
      <c r="A172" s="28" t="s">
        <v>46</v>
      </c>
      <c r="B172" s="28" t="s">
        <v>9081</v>
      </c>
      <c r="C172" s="28" t="s">
        <v>85</v>
      </c>
      <c r="D172" s="28" t="s">
        <v>86</v>
      </c>
      <c r="E172" s="28"/>
      <c r="F172" s="28" t="s">
        <v>9101</v>
      </c>
      <c r="G172" s="28"/>
      <c r="H172" s="28" t="s">
        <v>9083</v>
      </c>
      <c r="I172" s="28" t="s">
        <v>9084</v>
      </c>
      <c r="J172" s="28" t="s">
        <v>9102</v>
      </c>
      <c r="K172" s="28" t="s">
        <v>9083</v>
      </c>
      <c r="L172" s="28" t="s">
        <v>2794</v>
      </c>
      <c r="M172" s="28" t="s">
        <v>41</v>
      </c>
      <c r="N172" s="28"/>
      <c r="O172" s="101"/>
    </row>
    <row r="173" spans="1:32" ht="14.4">
      <c r="A173" s="28" t="s">
        <v>46</v>
      </c>
      <c r="B173" s="28" t="s">
        <v>9081</v>
      </c>
      <c r="C173" s="28" t="s">
        <v>85</v>
      </c>
      <c r="D173" s="28" t="s">
        <v>86</v>
      </c>
      <c r="E173" s="28"/>
      <c r="F173" s="28" t="s">
        <v>9103</v>
      </c>
      <c r="G173" s="28"/>
      <c r="H173" s="28" t="s">
        <v>9083</v>
      </c>
      <c r="I173" s="28" t="s">
        <v>9084</v>
      </c>
      <c r="J173" s="28" t="s">
        <v>9104</v>
      </c>
      <c r="K173" s="28" t="s">
        <v>9083</v>
      </c>
      <c r="L173" s="28" t="s">
        <v>2794</v>
      </c>
      <c r="M173" s="28" t="s">
        <v>41</v>
      </c>
      <c r="N173" s="28"/>
      <c r="O173" s="101"/>
    </row>
    <row r="174" spans="1:32" ht="14.4">
      <c r="A174" s="28" t="s">
        <v>46</v>
      </c>
      <c r="B174" s="28" t="s">
        <v>9081</v>
      </c>
      <c r="C174" s="28" t="s">
        <v>85</v>
      </c>
      <c r="D174" s="28" t="s">
        <v>86</v>
      </c>
      <c r="E174" s="28"/>
      <c r="F174" s="28" t="s">
        <v>9106</v>
      </c>
      <c r="G174" s="28"/>
      <c r="H174" s="28" t="s">
        <v>9107</v>
      </c>
      <c r="I174" s="28" t="s">
        <v>9108</v>
      </c>
      <c r="J174" s="28" t="s">
        <v>4129</v>
      </c>
      <c r="K174" s="28" t="s">
        <v>9107</v>
      </c>
      <c r="L174" s="28" t="s">
        <v>2794</v>
      </c>
      <c r="M174" s="28" t="s">
        <v>41</v>
      </c>
      <c r="N174" s="28"/>
      <c r="O174" s="101"/>
    </row>
    <row r="175" spans="1:32" ht="14.4">
      <c r="A175" s="28" t="s">
        <v>46</v>
      </c>
      <c r="B175" s="28" t="s">
        <v>9081</v>
      </c>
      <c r="C175" s="28" t="s">
        <v>85</v>
      </c>
      <c r="D175" s="28" t="s">
        <v>86</v>
      </c>
      <c r="E175" s="28"/>
      <c r="F175" s="28" t="s">
        <v>9109</v>
      </c>
      <c r="G175" s="28"/>
      <c r="H175" s="28" t="s">
        <v>9110</v>
      </c>
      <c r="I175" s="28" t="s">
        <v>9111</v>
      </c>
      <c r="J175" s="28" t="s">
        <v>9112</v>
      </c>
      <c r="K175" s="28" t="s">
        <v>9110</v>
      </c>
      <c r="L175" s="28" t="s">
        <v>2794</v>
      </c>
      <c r="M175" s="28" t="s">
        <v>41</v>
      </c>
      <c r="N175" s="28"/>
      <c r="O175" s="101"/>
    </row>
    <row r="176" spans="1:32" ht="14.4">
      <c r="A176" s="28" t="s">
        <v>46</v>
      </c>
      <c r="B176" s="28" t="s">
        <v>9081</v>
      </c>
      <c r="C176" s="28" t="s">
        <v>85</v>
      </c>
      <c r="D176" s="28" t="s">
        <v>86</v>
      </c>
      <c r="E176" s="28"/>
      <c r="F176" s="28" t="s">
        <v>9113</v>
      </c>
      <c r="G176" s="28"/>
      <c r="H176" s="28" t="s">
        <v>9114</v>
      </c>
      <c r="I176" s="28" t="s">
        <v>521</v>
      </c>
      <c r="J176" s="28" t="s">
        <v>4137</v>
      </c>
      <c r="K176" s="28" t="s">
        <v>9114</v>
      </c>
      <c r="L176" s="28" t="s">
        <v>9115</v>
      </c>
      <c r="M176" s="28" t="s">
        <v>41</v>
      </c>
      <c r="N176" s="28"/>
      <c r="O176" s="101"/>
    </row>
    <row r="177" spans="1:15" ht="14.4">
      <c r="A177" s="28" t="s">
        <v>46</v>
      </c>
      <c r="B177" s="28" t="s">
        <v>9081</v>
      </c>
      <c r="C177" s="28" t="s">
        <v>85</v>
      </c>
      <c r="D177" s="28" t="s">
        <v>86</v>
      </c>
      <c r="E177" s="28"/>
      <c r="F177" s="28" t="s">
        <v>9116</v>
      </c>
      <c r="G177" s="28"/>
      <c r="H177" s="28" t="s">
        <v>9117</v>
      </c>
      <c r="I177" s="28" t="s">
        <v>2400</v>
      </c>
      <c r="J177" s="28" t="s">
        <v>4150</v>
      </c>
      <c r="K177" s="28" t="s">
        <v>9117</v>
      </c>
      <c r="L177" s="28" t="s">
        <v>9118</v>
      </c>
      <c r="M177" s="28" t="s">
        <v>41</v>
      </c>
      <c r="N177" s="28"/>
      <c r="O177" s="101"/>
    </row>
    <row r="178" spans="1:15" ht="14.4">
      <c r="A178" s="28" t="s">
        <v>46</v>
      </c>
      <c r="B178" s="28" t="s">
        <v>9081</v>
      </c>
      <c r="C178" s="28" t="s">
        <v>85</v>
      </c>
      <c r="D178" s="28" t="s">
        <v>86</v>
      </c>
      <c r="E178" s="28"/>
      <c r="F178" s="28" t="s">
        <v>9119</v>
      </c>
      <c r="G178" s="28"/>
      <c r="H178" s="28" t="s">
        <v>9120</v>
      </c>
      <c r="I178" s="28" t="s">
        <v>2400</v>
      </c>
      <c r="J178" s="28" t="s">
        <v>4156</v>
      </c>
      <c r="K178" s="28" t="s">
        <v>9120</v>
      </c>
      <c r="L178" s="28" t="s">
        <v>9121</v>
      </c>
      <c r="M178" s="28" t="s">
        <v>41</v>
      </c>
      <c r="N178" s="28"/>
      <c r="O178" s="101"/>
    </row>
    <row r="179" spans="1:15" ht="14.4">
      <c r="A179" s="28" t="s">
        <v>46</v>
      </c>
      <c r="B179" s="28" t="s">
        <v>9081</v>
      </c>
      <c r="C179" s="28" t="s">
        <v>85</v>
      </c>
      <c r="D179" s="28" t="s">
        <v>86</v>
      </c>
      <c r="E179" s="28"/>
      <c r="F179" s="28" t="s">
        <v>9122</v>
      </c>
      <c r="G179" s="28"/>
      <c r="H179" s="28" t="s">
        <v>9123</v>
      </c>
      <c r="I179" s="28" t="s">
        <v>4190</v>
      </c>
      <c r="J179" s="28" t="s">
        <v>4164</v>
      </c>
      <c r="K179" s="28" t="s">
        <v>9123</v>
      </c>
      <c r="L179" s="28" t="s">
        <v>9124</v>
      </c>
      <c r="M179" s="28" t="s">
        <v>41</v>
      </c>
      <c r="N179" s="28"/>
      <c r="O179" s="101"/>
    </row>
    <row r="180" spans="1:15" ht="14.4">
      <c r="A180" s="28" t="s">
        <v>46</v>
      </c>
      <c r="B180" s="28" t="s">
        <v>9081</v>
      </c>
      <c r="C180" s="28" t="s">
        <v>85</v>
      </c>
      <c r="D180" s="28" t="s">
        <v>86</v>
      </c>
      <c r="E180" s="28"/>
      <c r="F180" s="28" t="s">
        <v>9125</v>
      </c>
      <c r="G180" s="28"/>
      <c r="H180" s="28" t="s">
        <v>9126</v>
      </c>
      <c r="I180" s="28" t="s">
        <v>2400</v>
      </c>
      <c r="J180" s="28" t="s">
        <v>9127</v>
      </c>
      <c r="K180" s="28" t="s">
        <v>9126</v>
      </c>
      <c r="L180" s="28" t="s">
        <v>9128</v>
      </c>
      <c r="M180" s="28" t="s">
        <v>41</v>
      </c>
      <c r="N180" s="28"/>
      <c r="O180" s="101"/>
    </row>
    <row r="181" spans="1:15" ht="14.4">
      <c r="A181" s="28" t="s">
        <v>46</v>
      </c>
      <c r="B181" s="28" t="s">
        <v>9081</v>
      </c>
      <c r="C181" s="28" t="s">
        <v>85</v>
      </c>
      <c r="D181" s="28" t="s">
        <v>86</v>
      </c>
      <c r="E181" s="28"/>
      <c r="F181" s="28" t="s">
        <v>9129</v>
      </c>
      <c r="G181" s="28"/>
      <c r="H181" s="28" t="s">
        <v>9130</v>
      </c>
      <c r="I181" s="28" t="s">
        <v>9131</v>
      </c>
      <c r="J181" s="28" t="s">
        <v>4172</v>
      </c>
      <c r="K181" s="28" t="s">
        <v>9130</v>
      </c>
      <c r="L181" s="28" t="s">
        <v>9132</v>
      </c>
      <c r="M181" s="28" t="s">
        <v>41</v>
      </c>
      <c r="N181" s="28" t="s">
        <v>1807</v>
      </c>
      <c r="O181" s="101"/>
    </row>
    <row r="182" spans="1:15" ht="14.4">
      <c r="A182" s="28" t="s">
        <v>46</v>
      </c>
      <c r="B182" s="28" t="s">
        <v>9081</v>
      </c>
      <c r="C182" s="28" t="s">
        <v>85</v>
      </c>
      <c r="D182" s="28" t="s">
        <v>86</v>
      </c>
      <c r="E182" s="28"/>
      <c r="F182" s="28" t="s">
        <v>9133</v>
      </c>
      <c r="G182" s="28"/>
      <c r="H182" s="28" t="s">
        <v>9134</v>
      </c>
      <c r="I182" s="28" t="s">
        <v>2400</v>
      </c>
      <c r="J182" s="28" t="s">
        <v>4177</v>
      </c>
      <c r="K182" s="28" t="s">
        <v>9134</v>
      </c>
      <c r="L182" s="28" t="s">
        <v>9135</v>
      </c>
      <c r="M182" s="28" t="s">
        <v>41</v>
      </c>
      <c r="N182" s="28"/>
      <c r="O182" s="101"/>
    </row>
    <row r="183" spans="1:15" ht="14.4">
      <c r="A183" s="28" t="s">
        <v>46</v>
      </c>
      <c r="B183" s="28" t="s">
        <v>9081</v>
      </c>
      <c r="C183" s="28" t="s">
        <v>85</v>
      </c>
      <c r="D183" s="28" t="s">
        <v>86</v>
      </c>
      <c r="E183" s="28"/>
      <c r="F183" s="28" t="s">
        <v>9136</v>
      </c>
      <c r="G183" s="28"/>
      <c r="H183" s="28" t="s">
        <v>9137</v>
      </c>
      <c r="I183" s="28" t="s">
        <v>9138</v>
      </c>
      <c r="J183" s="28" t="s">
        <v>9139</v>
      </c>
      <c r="K183" s="28" t="s">
        <v>9137</v>
      </c>
      <c r="L183" s="28" t="s">
        <v>6768</v>
      </c>
      <c r="M183" s="28" t="s">
        <v>41</v>
      </c>
      <c r="N183" s="28"/>
      <c r="O183" s="101"/>
    </row>
    <row r="184" spans="1:15" ht="14.4">
      <c r="A184" s="28" t="s">
        <v>46</v>
      </c>
      <c r="B184" s="28" t="s">
        <v>9081</v>
      </c>
      <c r="C184" s="28" t="s">
        <v>85</v>
      </c>
      <c r="D184" s="28" t="s">
        <v>86</v>
      </c>
      <c r="E184" s="28"/>
      <c r="F184" s="28" t="s">
        <v>9140</v>
      </c>
      <c r="G184" s="28"/>
      <c r="H184" s="28" t="s">
        <v>8246</v>
      </c>
      <c r="I184" s="28" t="s">
        <v>689</v>
      </c>
      <c r="J184" s="28" t="s">
        <v>9141</v>
      </c>
      <c r="K184" s="28" t="s">
        <v>8246</v>
      </c>
      <c r="L184" s="28" t="s">
        <v>6768</v>
      </c>
      <c r="M184" s="28" t="s">
        <v>41</v>
      </c>
      <c r="N184" s="28" t="s">
        <v>1807</v>
      </c>
      <c r="O184" s="101"/>
    </row>
    <row r="185" spans="1:15" ht="14.4">
      <c r="A185" s="28" t="s">
        <v>46</v>
      </c>
      <c r="B185" s="28" t="s">
        <v>9081</v>
      </c>
      <c r="C185" s="28" t="s">
        <v>85</v>
      </c>
      <c r="D185" s="28" t="s">
        <v>86</v>
      </c>
      <c r="E185" s="28"/>
      <c r="F185" s="28" t="s">
        <v>9142</v>
      </c>
      <c r="G185" s="28"/>
      <c r="H185" s="28" t="s">
        <v>9143</v>
      </c>
      <c r="I185" s="28" t="s">
        <v>1252</v>
      </c>
      <c r="J185" s="28" t="s">
        <v>9144</v>
      </c>
      <c r="K185" s="28" t="s">
        <v>9143</v>
      </c>
      <c r="L185" s="28" t="s">
        <v>6768</v>
      </c>
      <c r="M185" s="28" t="s">
        <v>41</v>
      </c>
      <c r="N185" s="28"/>
      <c r="O185" s="101"/>
    </row>
    <row r="186" spans="1:15" ht="14.4">
      <c r="A186" s="28" t="s">
        <v>46</v>
      </c>
      <c r="B186" s="28" t="s">
        <v>9081</v>
      </c>
      <c r="C186" s="28" t="s">
        <v>85</v>
      </c>
      <c r="D186" s="28" t="s">
        <v>86</v>
      </c>
      <c r="E186" s="28"/>
      <c r="F186" s="28" t="s">
        <v>9145</v>
      </c>
      <c r="G186" s="28"/>
      <c r="H186" s="28" t="s">
        <v>9146</v>
      </c>
      <c r="I186" s="28" t="s">
        <v>3204</v>
      </c>
      <c r="J186" s="28" t="s">
        <v>9147</v>
      </c>
      <c r="K186" s="28" t="s">
        <v>9146</v>
      </c>
      <c r="L186" s="28" t="s">
        <v>6768</v>
      </c>
      <c r="M186" s="28" t="s">
        <v>41</v>
      </c>
      <c r="N186" s="28"/>
      <c r="O186" s="101"/>
    </row>
    <row r="187" spans="1:15" ht="14.4">
      <c r="A187" s="28" t="s">
        <v>46</v>
      </c>
      <c r="B187" s="28" t="s">
        <v>9081</v>
      </c>
      <c r="C187" s="28" t="s">
        <v>85</v>
      </c>
      <c r="D187" s="28" t="s">
        <v>86</v>
      </c>
      <c r="E187" s="28"/>
      <c r="F187" s="28" t="s">
        <v>9148</v>
      </c>
      <c r="G187" s="28"/>
      <c r="H187" s="28" t="s">
        <v>9149</v>
      </c>
      <c r="I187" s="28" t="s">
        <v>9150</v>
      </c>
      <c r="J187" s="28" t="s">
        <v>9151</v>
      </c>
      <c r="K187" s="28" t="s">
        <v>9149</v>
      </c>
      <c r="L187" s="28" t="s">
        <v>9152</v>
      </c>
      <c r="M187" s="28" t="s">
        <v>41</v>
      </c>
      <c r="N187" s="28"/>
      <c r="O187" s="101"/>
    </row>
    <row r="188" spans="1:15" ht="14.4">
      <c r="A188" s="28" t="s">
        <v>46</v>
      </c>
      <c r="B188" s="28" t="s">
        <v>9081</v>
      </c>
      <c r="C188" s="28" t="s">
        <v>233</v>
      </c>
      <c r="D188" s="29" t="s">
        <v>298</v>
      </c>
      <c r="E188" s="29"/>
      <c r="F188" s="28" t="s">
        <v>9153</v>
      </c>
      <c r="G188" s="28"/>
      <c r="H188" s="28" t="s">
        <v>9093</v>
      </c>
      <c r="I188" s="28" t="s">
        <v>5112</v>
      </c>
      <c r="J188" s="28" t="s">
        <v>9154</v>
      </c>
      <c r="K188" s="28" t="s">
        <v>9093</v>
      </c>
      <c r="L188" s="28" t="s">
        <v>9095</v>
      </c>
      <c r="M188" s="28" t="s">
        <v>41</v>
      </c>
      <c r="N188" s="28"/>
      <c r="O188" s="101"/>
    </row>
    <row r="189" spans="1:15" ht="14.4">
      <c r="A189" s="28" t="s">
        <v>46</v>
      </c>
      <c r="B189" s="28" t="s">
        <v>9081</v>
      </c>
      <c r="C189" s="28" t="s">
        <v>233</v>
      </c>
      <c r="D189" s="29" t="s">
        <v>298</v>
      </c>
      <c r="E189" s="29"/>
      <c r="F189" s="28" t="s">
        <v>9155</v>
      </c>
      <c r="G189" s="28"/>
      <c r="H189" s="28" t="s">
        <v>9156</v>
      </c>
      <c r="I189" s="28" t="s">
        <v>2714</v>
      </c>
      <c r="J189" s="28" t="s">
        <v>9157</v>
      </c>
      <c r="K189" s="28" t="s">
        <v>9156</v>
      </c>
      <c r="L189" s="28" t="s">
        <v>2794</v>
      </c>
      <c r="M189" s="28" t="s">
        <v>41</v>
      </c>
      <c r="N189" s="28"/>
      <c r="O189" s="101"/>
    </row>
    <row r="190" spans="1:15" ht="14.4">
      <c r="A190" s="28" t="s">
        <v>46</v>
      </c>
      <c r="B190" s="28" t="s">
        <v>9081</v>
      </c>
      <c r="C190" s="28" t="s">
        <v>220</v>
      </c>
      <c r="D190" s="28" t="s">
        <v>234</v>
      </c>
      <c r="E190" s="28"/>
      <c r="F190" s="28" t="s">
        <v>9158</v>
      </c>
      <c r="G190" s="28"/>
      <c r="H190" s="28" t="s">
        <v>9110</v>
      </c>
      <c r="I190" s="28" t="s">
        <v>9111</v>
      </c>
      <c r="J190" s="28" t="s">
        <v>9159</v>
      </c>
      <c r="K190" s="28" t="s">
        <v>9110</v>
      </c>
      <c r="L190" s="28" t="s">
        <v>2794</v>
      </c>
      <c r="M190" s="28" t="s">
        <v>41</v>
      </c>
      <c r="N190" s="28"/>
      <c r="O190" s="101"/>
    </row>
    <row r="191" spans="1:15" ht="14.4">
      <c r="A191" s="28" t="s">
        <v>46</v>
      </c>
      <c r="B191" s="28" t="s">
        <v>9081</v>
      </c>
      <c r="C191" s="28" t="s">
        <v>220</v>
      </c>
      <c r="D191" s="28" t="s">
        <v>234</v>
      </c>
      <c r="E191" s="28"/>
      <c r="F191" s="28" t="s">
        <v>9160</v>
      </c>
      <c r="G191" s="28"/>
      <c r="H191" s="28" t="s">
        <v>9083</v>
      </c>
      <c r="I191" s="28" t="s">
        <v>9084</v>
      </c>
      <c r="J191" s="28" t="s">
        <v>9161</v>
      </c>
      <c r="K191" s="28" t="s">
        <v>9083</v>
      </c>
      <c r="L191" s="28" t="s">
        <v>2794</v>
      </c>
      <c r="M191" s="28" t="s">
        <v>41</v>
      </c>
      <c r="N191" s="28" t="s">
        <v>1807</v>
      </c>
      <c r="O191" s="101"/>
    </row>
    <row r="192" spans="1:15" ht="14.4">
      <c r="A192" s="28" t="s">
        <v>46</v>
      </c>
      <c r="B192" s="28" t="s">
        <v>9081</v>
      </c>
      <c r="C192" s="28" t="s">
        <v>220</v>
      </c>
      <c r="D192" s="28" t="s">
        <v>234</v>
      </c>
      <c r="E192" s="28"/>
      <c r="F192" s="28" t="s">
        <v>9162</v>
      </c>
      <c r="G192" s="28"/>
      <c r="H192" s="28" t="s">
        <v>9083</v>
      </c>
      <c r="I192" s="28" t="s">
        <v>9084</v>
      </c>
      <c r="J192" s="28" t="s">
        <v>9163</v>
      </c>
      <c r="K192" s="28" t="s">
        <v>9083</v>
      </c>
      <c r="L192" s="28" t="s">
        <v>2794</v>
      </c>
      <c r="M192" s="28" t="s">
        <v>41</v>
      </c>
      <c r="N192" s="28" t="s">
        <v>1807</v>
      </c>
      <c r="O192" s="101"/>
    </row>
    <row r="193" spans="1:15" ht="14.4">
      <c r="A193" s="28" t="s">
        <v>46</v>
      </c>
      <c r="B193" s="28" t="s">
        <v>9081</v>
      </c>
      <c r="C193" s="107" t="s">
        <v>296</v>
      </c>
      <c r="D193" s="107" t="s">
        <v>954</v>
      </c>
      <c r="E193" s="107"/>
      <c r="F193" s="79" t="s">
        <v>9164</v>
      </c>
      <c r="G193" s="28"/>
      <c r="H193" s="28" t="s">
        <v>8425</v>
      </c>
      <c r="I193" s="28" t="s">
        <v>335</v>
      </c>
      <c r="J193" s="28" t="s">
        <v>8426</v>
      </c>
      <c r="K193" s="28"/>
      <c r="L193" s="28" t="s">
        <v>9165</v>
      </c>
      <c r="M193" s="28" t="s">
        <v>41</v>
      </c>
      <c r="N193" s="28"/>
      <c r="O193" s="101"/>
    </row>
    <row r="194" spans="1:15" ht="14.4">
      <c r="A194" s="28" t="s">
        <v>46</v>
      </c>
      <c r="B194" s="28" t="s">
        <v>8655</v>
      </c>
      <c r="C194" s="28" t="s">
        <v>319</v>
      </c>
      <c r="D194" s="28" t="s">
        <v>796</v>
      </c>
      <c r="E194" s="28"/>
      <c r="F194" s="258" t="s">
        <v>9166</v>
      </c>
      <c r="G194" s="29"/>
      <c r="H194" s="29" t="s">
        <v>9167</v>
      </c>
      <c r="I194" s="28"/>
      <c r="J194" s="28"/>
      <c r="K194" s="29" t="s">
        <v>9167</v>
      </c>
      <c r="L194" s="28"/>
      <c r="M194" s="28"/>
      <c r="N194" s="28"/>
      <c r="O194" s="101"/>
    </row>
    <row r="195" spans="1:15" ht="14.4">
      <c r="A195" s="28" t="s">
        <v>46</v>
      </c>
      <c r="B195" s="28" t="s">
        <v>8655</v>
      </c>
      <c r="C195" s="28" t="s">
        <v>319</v>
      </c>
      <c r="D195" s="28" t="s">
        <v>796</v>
      </c>
      <c r="E195" s="28"/>
      <c r="F195" s="258" t="s">
        <v>9168</v>
      </c>
      <c r="G195" s="29"/>
      <c r="H195" s="29" t="s">
        <v>9169</v>
      </c>
      <c r="I195" s="28"/>
      <c r="J195" s="28"/>
      <c r="K195" s="29" t="s">
        <v>9169</v>
      </c>
      <c r="L195" s="28"/>
      <c r="M195" s="28"/>
      <c r="N195" s="28"/>
      <c r="O195" s="101"/>
    </row>
    <row r="196" spans="1:15" ht="14.4">
      <c r="A196" s="28" t="s">
        <v>46</v>
      </c>
      <c r="B196" s="28" t="s">
        <v>8655</v>
      </c>
      <c r="C196" s="28" t="s">
        <v>319</v>
      </c>
      <c r="D196" s="28" t="s">
        <v>796</v>
      </c>
      <c r="E196" s="28"/>
      <c r="F196" s="258" t="s">
        <v>9170</v>
      </c>
      <c r="G196" s="29"/>
      <c r="H196" s="29" t="s">
        <v>8755</v>
      </c>
      <c r="I196" s="28"/>
      <c r="J196" s="28"/>
      <c r="K196" s="29" t="s">
        <v>8755</v>
      </c>
      <c r="L196" s="28"/>
      <c r="M196" s="28"/>
      <c r="N196" s="28"/>
      <c r="O196" s="101"/>
    </row>
    <row r="197" spans="1:15" ht="14.4">
      <c r="A197" s="28" t="s">
        <v>46</v>
      </c>
      <c r="B197" s="28" t="s">
        <v>8655</v>
      </c>
      <c r="C197" s="28" t="s">
        <v>319</v>
      </c>
      <c r="D197" s="28" t="s">
        <v>796</v>
      </c>
      <c r="E197" s="28"/>
      <c r="F197" s="258" t="s">
        <v>9171</v>
      </c>
      <c r="G197" s="29"/>
      <c r="H197" s="29" t="s">
        <v>9172</v>
      </c>
      <c r="I197" s="28"/>
      <c r="J197" s="28"/>
      <c r="K197" s="29" t="s">
        <v>9172</v>
      </c>
      <c r="L197" s="28"/>
      <c r="M197" s="28"/>
      <c r="N197" s="28"/>
      <c r="O197" s="101"/>
    </row>
    <row r="198" spans="1:15" ht="14.4">
      <c r="A198" s="28" t="s">
        <v>46</v>
      </c>
      <c r="B198" s="28" t="s">
        <v>8655</v>
      </c>
      <c r="C198" s="28" t="s">
        <v>79</v>
      </c>
      <c r="D198" s="28" t="s">
        <v>80</v>
      </c>
      <c r="E198" s="28"/>
      <c r="F198" s="28" t="s">
        <v>9173</v>
      </c>
      <c r="G198" s="214"/>
      <c r="H198" s="214" t="s">
        <v>8755</v>
      </c>
      <c r="I198" s="28"/>
      <c r="J198" s="28"/>
      <c r="K198" s="214" t="s">
        <v>8755</v>
      </c>
      <c r="L198" s="28"/>
      <c r="M198" s="28"/>
      <c r="N198" s="28"/>
      <c r="O198" s="101"/>
    </row>
    <row r="199" spans="1:15" ht="14.4">
      <c r="A199" s="28" t="s">
        <v>46</v>
      </c>
      <c r="B199" s="28" t="s">
        <v>8655</v>
      </c>
      <c r="C199" s="28" t="s">
        <v>233</v>
      </c>
      <c r="D199" s="29" t="s">
        <v>298</v>
      </c>
      <c r="E199" s="28"/>
      <c r="F199" s="28" t="s">
        <v>9174</v>
      </c>
      <c r="G199" s="28"/>
      <c r="H199" s="28" t="s">
        <v>8674</v>
      </c>
      <c r="I199" s="28" t="s">
        <v>8675</v>
      </c>
      <c r="J199" s="28" t="s">
        <v>8676</v>
      </c>
      <c r="K199" s="28" t="s">
        <v>8677</v>
      </c>
      <c r="L199" s="28" t="s">
        <v>989</v>
      </c>
      <c r="M199" s="28" t="s">
        <v>41</v>
      </c>
      <c r="N199" s="28"/>
      <c r="O199" s="101"/>
    </row>
    <row r="200" spans="1:15" ht="14.4">
      <c r="A200" s="28" t="s">
        <v>46</v>
      </c>
      <c r="B200" s="28" t="s">
        <v>9081</v>
      </c>
      <c r="C200" s="28" t="s">
        <v>233</v>
      </c>
      <c r="D200" s="29" t="s">
        <v>298</v>
      </c>
      <c r="E200" s="28"/>
      <c r="F200" s="28" t="s">
        <v>9175</v>
      </c>
      <c r="G200" s="28"/>
      <c r="H200" s="28" t="s">
        <v>9093</v>
      </c>
      <c r="I200" s="28" t="s">
        <v>5112</v>
      </c>
      <c r="J200" s="28" t="s">
        <v>9154</v>
      </c>
      <c r="K200" s="28" t="s">
        <v>9093</v>
      </c>
      <c r="L200" s="28" t="s">
        <v>9095</v>
      </c>
      <c r="M200" s="28" t="s">
        <v>41</v>
      </c>
      <c r="N200" s="28"/>
      <c r="O200" s="101"/>
    </row>
    <row r="201" spans="1:15" ht="14.4">
      <c r="A201" s="28" t="s">
        <v>46</v>
      </c>
      <c r="B201" s="28" t="s">
        <v>8772</v>
      </c>
      <c r="C201" s="28" t="s">
        <v>233</v>
      </c>
      <c r="D201" s="29" t="s">
        <v>298</v>
      </c>
      <c r="E201" s="28"/>
      <c r="F201" s="28" t="s">
        <v>607</v>
      </c>
      <c r="G201" s="28"/>
      <c r="H201" s="28" t="s">
        <v>8905</v>
      </c>
      <c r="I201" s="28" t="s">
        <v>592</v>
      </c>
      <c r="J201" s="28" t="s">
        <v>8908</v>
      </c>
      <c r="K201" s="28" t="s">
        <v>8905</v>
      </c>
      <c r="L201" s="28" t="s">
        <v>438</v>
      </c>
      <c r="M201" s="28" t="s">
        <v>41</v>
      </c>
      <c r="N201" s="28"/>
      <c r="O201" s="101"/>
    </row>
    <row r="202" spans="1:15" ht="14.4">
      <c r="A202" s="28" t="s">
        <v>46</v>
      </c>
      <c r="B202" s="28" t="s">
        <v>8490</v>
      </c>
      <c r="C202" s="28" t="s">
        <v>233</v>
      </c>
      <c r="D202" s="29" t="s">
        <v>298</v>
      </c>
      <c r="E202" s="28"/>
      <c r="F202" s="28" t="s">
        <v>9176</v>
      </c>
      <c r="G202" s="28"/>
      <c r="H202" s="28" t="s">
        <v>8561</v>
      </c>
      <c r="I202" s="28" t="s">
        <v>887</v>
      </c>
      <c r="J202" s="28">
        <v>23040</v>
      </c>
      <c r="K202" s="28" t="s">
        <v>8561</v>
      </c>
      <c r="L202" s="28" t="s">
        <v>2895</v>
      </c>
      <c r="M202" s="28" t="s">
        <v>41</v>
      </c>
      <c r="N202" s="28"/>
      <c r="O202" s="101"/>
    </row>
    <row r="203" spans="1:15" ht="14.4">
      <c r="A203" s="28" t="s">
        <v>46</v>
      </c>
      <c r="B203" s="28" t="s">
        <v>8655</v>
      </c>
      <c r="C203" s="28" t="s">
        <v>319</v>
      </c>
      <c r="D203" s="29" t="s">
        <v>796</v>
      </c>
      <c r="E203" s="28"/>
      <c r="F203" s="79" t="s">
        <v>9177</v>
      </c>
      <c r="G203" s="28"/>
      <c r="H203" s="28" t="s">
        <v>9172</v>
      </c>
      <c r="I203" s="28"/>
      <c r="J203" s="28"/>
      <c r="K203" s="28" t="s">
        <v>9172</v>
      </c>
      <c r="L203" s="28"/>
      <c r="M203" s="28"/>
      <c r="N203" s="28"/>
      <c r="O203" s="101"/>
    </row>
    <row r="204" spans="1:15" ht="14.4">
      <c r="A204" s="28" t="s">
        <v>46</v>
      </c>
      <c r="B204" s="28" t="s">
        <v>8655</v>
      </c>
      <c r="C204" s="28" t="s">
        <v>319</v>
      </c>
      <c r="D204" s="29" t="s">
        <v>796</v>
      </c>
      <c r="E204" s="28"/>
      <c r="F204" s="79" t="s">
        <v>9178</v>
      </c>
      <c r="G204" s="28"/>
      <c r="H204" s="28" t="s">
        <v>9172</v>
      </c>
      <c r="I204" s="28"/>
      <c r="J204" s="28"/>
      <c r="K204" s="28" t="s">
        <v>9172</v>
      </c>
      <c r="L204" s="28"/>
      <c r="M204" s="28"/>
      <c r="N204" s="28"/>
      <c r="O204" s="101"/>
    </row>
    <row r="205" spans="1:15" ht="14.4">
      <c r="A205" s="28" t="s">
        <v>46</v>
      </c>
      <c r="B205" s="28" t="s">
        <v>8655</v>
      </c>
      <c r="C205" s="28" t="s">
        <v>319</v>
      </c>
      <c r="D205" s="29" t="s">
        <v>796</v>
      </c>
      <c r="E205" s="28"/>
      <c r="F205" s="79" t="s">
        <v>9179</v>
      </c>
      <c r="G205" s="28"/>
      <c r="H205" s="28" t="s">
        <v>9172</v>
      </c>
      <c r="I205" s="28"/>
      <c r="J205" s="28"/>
      <c r="K205" s="28" t="s">
        <v>9172</v>
      </c>
      <c r="L205" s="28"/>
      <c r="M205" s="28"/>
      <c r="N205" s="28"/>
      <c r="O205" s="101"/>
    </row>
    <row r="206" spans="1:15" ht="14.4">
      <c r="A206" s="28" t="s">
        <v>46</v>
      </c>
      <c r="B206" s="28" t="s">
        <v>8655</v>
      </c>
      <c r="C206" s="28" t="s">
        <v>319</v>
      </c>
      <c r="D206" s="29" t="s">
        <v>796</v>
      </c>
      <c r="E206" s="28"/>
      <c r="F206" s="79" t="s">
        <v>9180</v>
      </c>
      <c r="G206" s="28"/>
      <c r="H206" s="28" t="s">
        <v>9172</v>
      </c>
      <c r="I206" s="28"/>
      <c r="J206" s="28"/>
      <c r="K206" s="28" t="s">
        <v>9172</v>
      </c>
      <c r="L206" s="28"/>
      <c r="M206" s="28"/>
      <c r="N206" s="28"/>
      <c r="O206" s="101"/>
    </row>
    <row r="207" spans="1:15" ht="14.4">
      <c r="A207" s="28" t="s">
        <v>46</v>
      </c>
      <c r="B207" s="28" t="s">
        <v>8655</v>
      </c>
      <c r="C207" s="28" t="s">
        <v>319</v>
      </c>
      <c r="D207" s="29" t="s">
        <v>796</v>
      </c>
      <c r="E207" s="28"/>
      <c r="F207" s="79" t="s">
        <v>9181</v>
      </c>
      <c r="G207" s="28"/>
      <c r="H207" s="28" t="s">
        <v>9172</v>
      </c>
      <c r="I207" s="28"/>
      <c r="J207" s="28"/>
      <c r="K207" s="28" t="s">
        <v>9172</v>
      </c>
      <c r="L207" s="28"/>
      <c r="M207" s="28"/>
      <c r="N207" s="28"/>
      <c r="O207" s="101"/>
    </row>
    <row r="208" spans="1:15" ht="14.4">
      <c r="A208" s="28" t="s">
        <v>46</v>
      </c>
      <c r="B208" s="28" t="s">
        <v>8655</v>
      </c>
      <c r="C208" s="28" t="s">
        <v>319</v>
      </c>
      <c r="D208" s="29" t="s">
        <v>796</v>
      </c>
      <c r="E208" s="28"/>
      <c r="F208" s="79" t="s">
        <v>9182</v>
      </c>
      <c r="G208" s="28"/>
      <c r="H208" s="28" t="s">
        <v>9172</v>
      </c>
      <c r="I208" s="28"/>
      <c r="J208" s="28"/>
      <c r="K208" s="28" t="s">
        <v>9172</v>
      </c>
      <c r="L208" s="28"/>
      <c r="M208" s="28"/>
      <c r="N208" s="28"/>
      <c r="O208" s="101"/>
    </row>
    <row r="209" spans="1:15" ht="14.4">
      <c r="A209" s="28" t="s">
        <v>46</v>
      </c>
      <c r="B209" s="28" t="s">
        <v>8655</v>
      </c>
      <c r="C209" s="28" t="s">
        <v>319</v>
      </c>
      <c r="D209" s="29" t="s">
        <v>796</v>
      </c>
      <c r="E209" s="28"/>
      <c r="F209" s="79" t="s">
        <v>9183</v>
      </c>
      <c r="G209" s="28"/>
      <c r="H209" s="28" t="s">
        <v>9172</v>
      </c>
      <c r="I209" s="28"/>
      <c r="J209" s="28"/>
      <c r="K209" s="28" t="s">
        <v>9172</v>
      </c>
      <c r="L209" s="28"/>
      <c r="M209" s="28"/>
      <c r="N209" s="28"/>
      <c r="O209" s="101"/>
    </row>
    <row r="210" spans="1:15" ht="14.4">
      <c r="A210" s="28" t="s">
        <v>46</v>
      </c>
      <c r="B210" s="28" t="s">
        <v>8655</v>
      </c>
      <c r="C210" s="28" t="s">
        <v>319</v>
      </c>
      <c r="D210" s="29" t="s">
        <v>796</v>
      </c>
      <c r="E210" s="28"/>
      <c r="F210" s="79" t="s">
        <v>9184</v>
      </c>
      <c r="G210" s="28"/>
      <c r="H210" s="28" t="s">
        <v>9172</v>
      </c>
      <c r="I210" s="28"/>
      <c r="J210" s="28"/>
      <c r="K210" s="28" t="s">
        <v>9172</v>
      </c>
      <c r="L210" s="28"/>
      <c r="M210" s="28"/>
      <c r="N210" s="28"/>
      <c r="O210" s="101"/>
    </row>
    <row r="211" spans="1:15" ht="14.4">
      <c r="A211" s="28" t="s">
        <v>46</v>
      </c>
      <c r="B211" s="28" t="s">
        <v>8655</v>
      </c>
      <c r="C211" s="28" t="s">
        <v>319</v>
      </c>
      <c r="D211" s="29" t="s">
        <v>796</v>
      </c>
      <c r="E211" s="28"/>
      <c r="F211" s="79" t="s">
        <v>9185</v>
      </c>
      <c r="G211" s="28"/>
      <c r="H211" s="28" t="s">
        <v>9172</v>
      </c>
      <c r="I211" s="28"/>
      <c r="J211" s="28"/>
      <c r="K211" s="28" t="s">
        <v>9172</v>
      </c>
      <c r="L211" s="28"/>
      <c r="M211" s="28"/>
      <c r="N211" s="28"/>
      <c r="O211" s="101"/>
    </row>
    <row r="212" spans="1:15" ht="14.4">
      <c r="A212" s="28" t="s">
        <v>46</v>
      </c>
      <c r="B212" s="28" t="s">
        <v>8655</v>
      </c>
      <c r="C212" s="28" t="s">
        <v>319</v>
      </c>
      <c r="D212" s="29" t="s">
        <v>796</v>
      </c>
      <c r="E212" s="28"/>
      <c r="F212" s="79" t="s">
        <v>9186</v>
      </c>
      <c r="G212" s="28"/>
      <c r="H212" s="28" t="s">
        <v>9172</v>
      </c>
      <c r="I212" s="28"/>
      <c r="J212" s="28"/>
      <c r="K212" s="28" t="s">
        <v>9172</v>
      </c>
      <c r="L212" s="28"/>
      <c r="M212" s="28"/>
      <c r="N212" s="28"/>
      <c r="O212" s="101"/>
    </row>
    <row r="213" spans="1:15" ht="14.4">
      <c r="A213" s="28" t="s">
        <v>46</v>
      </c>
      <c r="B213" s="28" t="s">
        <v>8655</v>
      </c>
      <c r="C213" s="28" t="s">
        <v>319</v>
      </c>
      <c r="D213" s="29" t="s">
        <v>796</v>
      </c>
      <c r="E213" s="28"/>
      <c r="F213" s="79" t="s">
        <v>9187</v>
      </c>
      <c r="G213" s="28"/>
      <c r="H213" s="28" t="s">
        <v>9172</v>
      </c>
      <c r="I213" s="28"/>
      <c r="J213" s="28"/>
      <c r="K213" s="28" t="s">
        <v>9172</v>
      </c>
      <c r="L213" s="28"/>
      <c r="M213" s="28"/>
      <c r="N213" s="28"/>
      <c r="O213" s="101"/>
    </row>
    <row r="214" spans="1:15" ht="14.4">
      <c r="A214" s="28" t="s">
        <v>46</v>
      </c>
      <c r="B214" s="28" t="s">
        <v>8655</v>
      </c>
      <c r="C214" s="28" t="s">
        <v>319</v>
      </c>
      <c r="D214" s="29" t="s">
        <v>796</v>
      </c>
      <c r="E214" s="28"/>
      <c r="F214" s="79" t="s">
        <v>9188</v>
      </c>
      <c r="G214" s="28"/>
      <c r="H214" s="28" t="s">
        <v>9172</v>
      </c>
      <c r="I214" s="28"/>
      <c r="J214" s="28"/>
      <c r="K214" s="28" t="s">
        <v>9172</v>
      </c>
      <c r="L214" s="28"/>
      <c r="M214" s="28"/>
      <c r="N214" s="28"/>
      <c r="O214" s="101"/>
    </row>
    <row r="215" spans="1:15" ht="14.4">
      <c r="A215" s="28" t="s">
        <v>46</v>
      </c>
      <c r="B215" s="28" t="s">
        <v>8655</v>
      </c>
      <c r="C215" s="28" t="s">
        <v>319</v>
      </c>
      <c r="D215" s="29" t="s">
        <v>796</v>
      </c>
      <c r="E215" s="28"/>
      <c r="F215" s="79" t="s">
        <v>9189</v>
      </c>
      <c r="G215" s="28"/>
      <c r="H215" s="28" t="s">
        <v>9172</v>
      </c>
      <c r="I215" s="28"/>
      <c r="J215" s="28"/>
      <c r="K215" s="28" t="s">
        <v>9172</v>
      </c>
      <c r="L215" s="28"/>
      <c r="M215" s="28"/>
      <c r="N215" s="28"/>
      <c r="O215" s="101"/>
    </row>
    <row r="216" spans="1:15" ht="14.4">
      <c r="A216" s="28" t="s">
        <v>46</v>
      </c>
      <c r="B216" s="28" t="s">
        <v>8655</v>
      </c>
      <c r="C216" s="28" t="s">
        <v>319</v>
      </c>
      <c r="D216" s="29" t="s">
        <v>796</v>
      </c>
      <c r="E216" s="28"/>
      <c r="F216" s="79" t="s">
        <v>9190</v>
      </c>
      <c r="G216" s="28"/>
      <c r="H216" s="28" t="s">
        <v>9172</v>
      </c>
      <c r="I216" s="28"/>
      <c r="J216" s="28"/>
      <c r="K216" s="28" t="s">
        <v>9172</v>
      </c>
      <c r="L216" s="28"/>
      <c r="M216" s="28"/>
      <c r="N216" s="28"/>
      <c r="O216" s="101"/>
    </row>
    <row r="217" spans="1:15" ht="14.4">
      <c r="A217" s="28" t="s">
        <v>46</v>
      </c>
      <c r="B217" s="28" t="s">
        <v>8655</v>
      </c>
      <c r="C217" s="28" t="s">
        <v>319</v>
      </c>
      <c r="D217" s="29" t="s">
        <v>796</v>
      </c>
      <c r="E217" s="28"/>
      <c r="F217" s="79" t="s">
        <v>9191</v>
      </c>
      <c r="G217" s="28"/>
      <c r="H217" s="28" t="s">
        <v>9172</v>
      </c>
      <c r="I217" s="28"/>
      <c r="J217" s="28"/>
      <c r="K217" s="28" t="s">
        <v>9172</v>
      </c>
      <c r="L217" s="28"/>
      <c r="M217" s="28"/>
      <c r="N217" s="28"/>
      <c r="O217" s="101"/>
    </row>
    <row r="218" spans="1:15" ht="14.4">
      <c r="A218" s="28" t="s">
        <v>46</v>
      </c>
      <c r="B218" s="28" t="s">
        <v>8655</v>
      </c>
      <c r="C218" s="28" t="s">
        <v>319</v>
      </c>
      <c r="D218" s="29" t="s">
        <v>796</v>
      </c>
      <c r="E218" s="28"/>
      <c r="F218" s="79" t="s">
        <v>9192</v>
      </c>
      <c r="G218" s="28"/>
      <c r="H218" s="28" t="s">
        <v>9172</v>
      </c>
      <c r="I218" s="28"/>
      <c r="J218" s="28"/>
      <c r="K218" s="28" t="s">
        <v>9172</v>
      </c>
      <c r="L218" s="28"/>
      <c r="M218" s="28"/>
      <c r="N218" s="28"/>
      <c r="O218" s="101"/>
    </row>
    <row r="219" spans="1:15" ht="14.4">
      <c r="A219" s="28" t="s">
        <v>46</v>
      </c>
      <c r="B219" s="28" t="s">
        <v>8655</v>
      </c>
      <c r="C219" s="28" t="s">
        <v>319</v>
      </c>
      <c r="D219" s="29" t="s">
        <v>796</v>
      </c>
      <c r="E219" s="28"/>
      <c r="F219" s="79" t="s">
        <v>9193</v>
      </c>
      <c r="G219" s="28"/>
      <c r="H219" s="28" t="s">
        <v>9172</v>
      </c>
      <c r="I219" s="28"/>
      <c r="J219" s="28"/>
      <c r="K219" s="28" t="s">
        <v>9172</v>
      </c>
      <c r="L219" s="28"/>
      <c r="M219" s="28"/>
      <c r="N219" s="28"/>
      <c r="O219" s="101"/>
    </row>
    <row r="220" spans="1:15" ht="14.4">
      <c r="A220" s="28" t="s">
        <v>46</v>
      </c>
      <c r="B220" s="28" t="s">
        <v>8655</v>
      </c>
      <c r="C220" s="28" t="s">
        <v>319</v>
      </c>
      <c r="D220" s="29" t="s">
        <v>796</v>
      </c>
      <c r="E220" s="28"/>
      <c r="F220" s="79" t="s">
        <v>9194</v>
      </c>
      <c r="G220" s="28"/>
      <c r="H220" s="28" t="s">
        <v>9172</v>
      </c>
      <c r="I220" s="28"/>
      <c r="J220" s="28"/>
      <c r="K220" s="28" t="s">
        <v>9172</v>
      </c>
      <c r="L220" s="28"/>
      <c r="M220" s="28"/>
      <c r="N220" s="28"/>
      <c r="O220" s="101"/>
    </row>
    <row r="221" spans="1:15" ht="14.4">
      <c r="A221" s="28" t="s">
        <v>46</v>
      </c>
      <c r="B221" s="28" t="s">
        <v>8655</v>
      </c>
      <c r="C221" s="28" t="s">
        <v>319</v>
      </c>
      <c r="D221" s="29" t="s">
        <v>796</v>
      </c>
      <c r="E221" s="28"/>
      <c r="F221" s="79" t="s">
        <v>9195</v>
      </c>
      <c r="G221" s="28"/>
      <c r="H221" s="28" t="s">
        <v>9172</v>
      </c>
      <c r="I221" s="28"/>
      <c r="J221" s="28"/>
      <c r="K221" s="28" t="s">
        <v>9172</v>
      </c>
      <c r="L221" s="28"/>
      <c r="M221" s="28"/>
      <c r="N221" s="28"/>
      <c r="O221" s="101"/>
    </row>
    <row r="222" spans="1:15" ht="14.4">
      <c r="A222" s="28" t="s">
        <v>46</v>
      </c>
      <c r="B222" s="28" t="s">
        <v>8655</v>
      </c>
      <c r="C222" s="28" t="s">
        <v>319</v>
      </c>
      <c r="D222" s="29" t="s">
        <v>796</v>
      </c>
      <c r="E222" s="28"/>
      <c r="F222" s="79" t="s">
        <v>9196</v>
      </c>
      <c r="G222" s="28"/>
      <c r="H222" s="28" t="s">
        <v>9172</v>
      </c>
      <c r="I222" s="28"/>
      <c r="J222" s="28"/>
      <c r="K222" s="28" t="s">
        <v>9172</v>
      </c>
      <c r="L222" s="28"/>
      <c r="M222" s="28"/>
      <c r="N222" s="28"/>
      <c r="O222" s="101"/>
    </row>
    <row r="223" spans="1:15" ht="14.4">
      <c r="A223" s="28" t="s">
        <v>46</v>
      </c>
      <c r="B223" s="28" t="s">
        <v>8655</v>
      </c>
      <c r="C223" s="28" t="s">
        <v>319</v>
      </c>
      <c r="D223" s="29" t="s">
        <v>796</v>
      </c>
      <c r="E223" s="28"/>
      <c r="F223" s="79" t="s">
        <v>9197</v>
      </c>
      <c r="G223" s="28"/>
      <c r="H223" s="28" t="s">
        <v>9172</v>
      </c>
      <c r="I223" s="28"/>
      <c r="J223" s="28"/>
      <c r="K223" s="28" t="s">
        <v>9172</v>
      </c>
      <c r="L223" s="28"/>
      <c r="M223" s="28"/>
      <c r="N223" s="28"/>
      <c r="O223" s="101"/>
    </row>
    <row r="224" spans="1:15" ht="14.4">
      <c r="A224" s="28" t="s">
        <v>46</v>
      </c>
      <c r="B224" s="28" t="s">
        <v>8655</v>
      </c>
      <c r="C224" s="28" t="s">
        <v>319</v>
      </c>
      <c r="D224" s="29" t="s">
        <v>796</v>
      </c>
      <c r="E224" s="28"/>
      <c r="F224" s="79" t="s">
        <v>9198</v>
      </c>
      <c r="G224" s="28"/>
      <c r="H224" s="28" t="s">
        <v>9172</v>
      </c>
      <c r="I224" s="28"/>
      <c r="J224" s="28"/>
      <c r="K224" s="28" t="s">
        <v>9172</v>
      </c>
      <c r="L224" s="28"/>
      <c r="M224" s="28"/>
      <c r="N224" s="28"/>
      <c r="O224" s="101"/>
    </row>
    <row r="225" spans="1:15" ht="14.4">
      <c r="A225" s="28" t="s">
        <v>46</v>
      </c>
      <c r="B225" s="28" t="s">
        <v>8655</v>
      </c>
      <c r="C225" s="28" t="s">
        <v>319</v>
      </c>
      <c r="D225" s="29" t="s">
        <v>796</v>
      </c>
      <c r="E225" s="28"/>
      <c r="F225" s="79" t="s">
        <v>9199</v>
      </c>
      <c r="G225" s="28"/>
      <c r="H225" s="28" t="s">
        <v>9172</v>
      </c>
      <c r="I225" s="28"/>
      <c r="J225" s="28"/>
      <c r="K225" s="28" t="s">
        <v>9172</v>
      </c>
      <c r="L225" s="28"/>
      <c r="M225" s="28"/>
      <c r="N225" s="28"/>
      <c r="O225" s="101"/>
    </row>
    <row r="226" spans="1:15" ht="14.4">
      <c r="A226" s="28" t="s">
        <v>46</v>
      </c>
      <c r="B226" s="28" t="s">
        <v>8655</v>
      </c>
      <c r="C226" s="28" t="s">
        <v>319</v>
      </c>
      <c r="D226" s="29" t="s">
        <v>796</v>
      </c>
      <c r="E226" s="28"/>
      <c r="F226" s="79" t="s">
        <v>9200</v>
      </c>
      <c r="G226" s="28"/>
      <c r="H226" s="28" t="s">
        <v>9172</v>
      </c>
      <c r="I226" s="28"/>
      <c r="J226" s="28"/>
      <c r="K226" s="28" t="s">
        <v>9172</v>
      </c>
      <c r="L226" s="28"/>
      <c r="M226" s="28"/>
      <c r="N226" s="28"/>
      <c r="O226" s="101"/>
    </row>
    <row r="227" spans="1:15" ht="14.4">
      <c r="A227" s="28" t="s">
        <v>46</v>
      </c>
      <c r="B227" s="28" t="s">
        <v>8655</v>
      </c>
      <c r="C227" s="28" t="s">
        <v>319</v>
      </c>
      <c r="D227" s="29" t="s">
        <v>796</v>
      </c>
      <c r="E227" s="28"/>
      <c r="F227" s="79" t="s">
        <v>9201</v>
      </c>
      <c r="G227" s="28"/>
      <c r="H227" s="28" t="s">
        <v>9172</v>
      </c>
      <c r="I227" s="28"/>
      <c r="J227" s="28"/>
      <c r="K227" s="28" t="s">
        <v>9172</v>
      </c>
      <c r="L227" s="28"/>
      <c r="M227" s="28"/>
      <c r="N227" s="28"/>
      <c r="O227" s="101"/>
    </row>
    <row r="228" spans="1:15" ht="14.4">
      <c r="A228" s="28" t="s">
        <v>46</v>
      </c>
      <c r="B228" s="28" t="s">
        <v>8655</v>
      </c>
      <c r="C228" s="28" t="s">
        <v>319</v>
      </c>
      <c r="D228" s="29" t="s">
        <v>796</v>
      </c>
      <c r="E228" s="28"/>
      <c r="F228" s="79" t="s">
        <v>9202</v>
      </c>
      <c r="G228" s="28"/>
      <c r="H228" s="28" t="s">
        <v>9172</v>
      </c>
      <c r="I228" s="28"/>
      <c r="J228" s="28"/>
      <c r="K228" s="28" t="s">
        <v>9172</v>
      </c>
      <c r="L228" s="28"/>
      <c r="M228" s="28"/>
      <c r="N228" s="28"/>
      <c r="O228" s="101"/>
    </row>
    <row r="229" spans="1:15" ht="14.4">
      <c r="A229" s="28" t="s">
        <v>46</v>
      </c>
      <c r="B229" s="28" t="s">
        <v>49</v>
      </c>
      <c r="C229" s="28" t="s">
        <v>20</v>
      </c>
      <c r="D229" s="28" t="s">
        <v>1305</v>
      </c>
      <c r="E229" s="28"/>
      <c r="F229" s="28" t="s">
        <v>9203</v>
      </c>
      <c r="G229" s="28" t="s">
        <v>9204</v>
      </c>
      <c r="H229" s="28" t="s">
        <v>8405</v>
      </c>
      <c r="I229" s="28" t="s">
        <v>335</v>
      </c>
      <c r="J229" s="28" t="s">
        <v>9205</v>
      </c>
      <c r="K229" s="28" t="s">
        <v>8405</v>
      </c>
      <c r="L229" s="28" t="s">
        <v>8407</v>
      </c>
      <c r="M229" s="28" t="s">
        <v>41</v>
      </c>
      <c r="N229" s="28"/>
    </row>
    <row r="230" spans="1:15" ht="14.4">
      <c r="A230" s="28" t="s">
        <v>46</v>
      </c>
      <c r="B230" s="28" t="s">
        <v>49</v>
      </c>
      <c r="C230" s="28" t="s">
        <v>20</v>
      </c>
      <c r="D230" s="28" t="s">
        <v>1305</v>
      </c>
      <c r="E230" s="28"/>
      <c r="F230" s="28" t="s">
        <v>9206</v>
      </c>
      <c r="G230" s="28" t="s">
        <v>9207</v>
      </c>
      <c r="H230" s="28" t="s">
        <v>9208</v>
      </c>
      <c r="I230" s="28" t="s">
        <v>9209</v>
      </c>
      <c r="J230" s="28" t="s">
        <v>9210</v>
      </c>
      <c r="K230" s="28" t="s">
        <v>9208</v>
      </c>
      <c r="L230" s="28" t="s">
        <v>9211</v>
      </c>
      <c r="M230" s="28" t="s">
        <v>41</v>
      </c>
      <c r="N230" s="28"/>
    </row>
    <row r="231" spans="1:15" ht="14.4">
      <c r="A231" s="28" t="s">
        <v>46</v>
      </c>
      <c r="B231" s="28" t="s">
        <v>49</v>
      </c>
      <c r="C231" s="28" t="s">
        <v>20</v>
      </c>
      <c r="D231" s="28" t="s">
        <v>1305</v>
      </c>
      <c r="E231" s="28"/>
      <c r="F231" s="28" t="s">
        <v>9212</v>
      </c>
      <c r="G231" s="28" t="s">
        <v>9213</v>
      </c>
      <c r="H231" s="28" t="s">
        <v>9214</v>
      </c>
      <c r="I231" s="28" t="s">
        <v>521</v>
      </c>
      <c r="J231" s="28" t="s">
        <v>9215</v>
      </c>
      <c r="K231" s="28" t="s">
        <v>9214</v>
      </c>
      <c r="L231" s="28" t="s">
        <v>9216</v>
      </c>
      <c r="M231" s="28" t="s">
        <v>41</v>
      </c>
      <c r="N231" s="28"/>
    </row>
    <row r="232" spans="1:15" ht="14.4">
      <c r="A232" s="28" t="s">
        <v>46</v>
      </c>
      <c r="B232" s="28" t="s">
        <v>49</v>
      </c>
      <c r="C232" s="28" t="s">
        <v>20</v>
      </c>
      <c r="D232" s="28" t="s">
        <v>1305</v>
      </c>
      <c r="E232" s="28"/>
      <c r="F232" s="28" t="s">
        <v>9217</v>
      </c>
      <c r="G232" s="28" t="s">
        <v>9218</v>
      </c>
      <c r="H232" s="28" t="s">
        <v>9219</v>
      </c>
      <c r="I232" s="28" t="s">
        <v>9220</v>
      </c>
      <c r="J232" s="28" t="s">
        <v>9221</v>
      </c>
      <c r="K232" s="28" t="s">
        <v>9219</v>
      </c>
      <c r="L232" s="28" t="s">
        <v>9222</v>
      </c>
      <c r="M232" s="28" t="s">
        <v>41</v>
      </c>
      <c r="N232" s="28"/>
    </row>
    <row r="233" spans="1:15" ht="14.4">
      <c r="A233" s="28" t="s">
        <v>46</v>
      </c>
      <c r="B233" s="28" t="s">
        <v>8435</v>
      </c>
      <c r="C233" s="28" t="s">
        <v>260</v>
      </c>
      <c r="D233" s="107" t="s">
        <v>1337</v>
      </c>
      <c r="E233" s="107"/>
      <c r="F233" s="28" t="s">
        <v>8436</v>
      </c>
      <c r="G233" s="28"/>
      <c r="H233" s="28" t="s">
        <v>8437</v>
      </c>
      <c r="I233" s="28" t="s">
        <v>2714</v>
      </c>
      <c r="J233" s="28"/>
      <c r="K233" s="28" t="s">
        <v>8437</v>
      </c>
      <c r="L233" s="28" t="s">
        <v>8440</v>
      </c>
      <c r="M233" s="28" t="s">
        <v>41</v>
      </c>
      <c r="N233" s="28"/>
    </row>
    <row r="234" spans="1:15" ht="14.4">
      <c r="A234" s="28" t="s">
        <v>46</v>
      </c>
      <c r="B234" s="28" t="s">
        <v>8435</v>
      </c>
      <c r="C234" s="28" t="s">
        <v>260</v>
      </c>
      <c r="D234" s="107" t="s">
        <v>1337</v>
      </c>
      <c r="E234" s="107"/>
      <c r="F234" s="28" t="s">
        <v>8443</v>
      </c>
      <c r="G234" s="28"/>
      <c r="H234" s="28" t="s">
        <v>8444</v>
      </c>
      <c r="I234" s="28" t="s">
        <v>887</v>
      </c>
      <c r="J234" s="28"/>
      <c r="K234" s="28" t="s">
        <v>8444</v>
      </c>
      <c r="L234" s="28" t="s">
        <v>8440</v>
      </c>
      <c r="M234" s="28" t="s">
        <v>41</v>
      </c>
      <c r="N234" s="28"/>
    </row>
    <row r="235" spans="1:15" ht="14.4">
      <c r="A235" s="28" t="s">
        <v>46</v>
      </c>
      <c r="B235" s="28" t="s">
        <v>8435</v>
      </c>
      <c r="C235" s="28" t="s">
        <v>260</v>
      </c>
      <c r="D235" s="107" t="s">
        <v>1337</v>
      </c>
      <c r="E235" s="107"/>
      <c r="F235" s="28" t="s">
        <v>8445</v>
      </c>
      <c r="G235" s="28"/>
      <c r="H235" s="28" t="s">
        <v>8446</v>
      </c>
      <c r="I235" s="28" t="s">
        <v>2714</v>
      </c>
      <c r="J235" s="28"/>
      <c r="K235" s="28" t="s">
        <v>8446</v>
      </c>
      <c r="L235" s="28" t="s">
        <v>8440</v>
      </c>
      <c r="M235" s="28" t="s">
        <v>41</v>
      </c>
      <c r="N235" s="28"/>
    </row>
    <row r="236" spans="1:15" ht="14.4">
      <c r="A236" s="28" t="s">
        <v>46</v>
      </c>
      <c r="B236" s="28" t="s">
        <v>8435</v>
      </c>
      <c r="C236" s="28" t="s">
        <v>20</v>
      </c>
      <c r="D236" s="107" t="s">
        <v>1337</v>
      </c>
      <c r="E236" s="107"/>
      <c r="F236" s="28" t="s">
        <v>9223</v>
      </c>
      <c r="G236" s="28" t="s">
        <v>9224</v>
      </c>
      <c r="H236" s="28" t="s">
        <v>9225</v>
      </c>
      <c r="I236" s="28" t="s">
        <v>1610</v>
      </c>
      <c r="J236" s="28" t="s">
        <v>9226</v>
      </c>
      <c r="K236" s="28" t="s">
        <v>9227</v>
      </c>
      <c r="L236" s="28" t="s">
        <v>8478</v>
      </c>
      <c r="M236" s="28" t="s">
        <v>41</v>
      </c>
      <c r="N236" s="28"/>
    </row>
    <row r="237" spans="1:15" ht="14.4">
      <c r="A237" s="28" t="s">
        <v>46</v>
      </c>
      <c r="B237" s="28" t="s">
        <v>8490</v>
      </c>
      <c r="C237" s="28" t="s">
        <v>260</v>
      </c>
      <c r="D237" s="107" t="s">
        <v>1337</v>
      </c>
      <c r="E237" s="107"/>
      <c r="F237" s="28" t="s">
        <v>9228</v>
      </c>
      <c r="G237" s="28"/>
      <c r="H237" s="28" t="s">
        <v>9229</v>
      </c>
      <c r="I237" s="28" t="s">
        <v>887</v>
      </c>
      <c r="J237" s="28">
        <v>23014</v>
      </c>
      <c r="K237" s="28" t="s">
        <v>9229</v>
      </c>
      <c r="L237" s="28" t="s">
        <v>9230</v>
      </c>
      <c r="M237" s="28" t="s">
        <v>41</v>
      </c>
      <c r="N237" s="28"/>
    </row>
    <row r="238" spans="1:15" ht="14.4">
      <c r="A238" s="28" t="s">
        <v>46</v>
      </c>
      <c r="B238" s="28" t="s">
        <v>8490</v>
      </c>
      <c r="C238" s="28" t="s">
        <v>260</v>
      </c>
      <c r="D238" s="107" t="s">
        <v>1337</v>
      </c>
      <c r="E238" s="107"/>
      <c r="F238" s="28" t="s">
        <v>9231</v>
      </c>
      <c r="G238" s="28"/>
      <c r="H238" s="28" t="s">
        <v>9232</v>
      </c>
      <c r="I238" s="28" t="s">
        <v>887</v>
      </c>
      <c r="J238" s="28">
        <v>23003</v>
      </c>
      <c r="K238" s="28" t="s">
        <v>9232</v>
      </c>
      <c r="L238" s="28" t="s">
        <v>9233</v>
      </c>
      <c r="M238" s="28" t="s">
        <v>41</v>
      </c>
      <c r="N238" s="28"/>
    </row>
    <row r="239" spans="1:15" ht="14.4">
      <c r="A239" s="28" t="s">
        <v>46</v>
      </c>
      <c r="B239" s="28" t="s">
        <v>8490</v>
      </c>
      <c r="C239" s="28" t="s">
        <v>260</v>
      </c>
      <c r="D239" s="107" t="s">
        <v>1337</v>
      </c>
      <c r="E239" s="107"/>
      <c r="F239" s="28" t="s">
        <v>9234</v>
      </c>
      <c r="G239" s="28"/>
      <c r="H239" s="28" t="s">
        <v>8561</v>
      </c>
      <c r="I239" s="28" t="s">
        <v>887</v>
      </c>
      <c r="J239" s="28">
        <v>23007</v>
      </c>
      <c r="K239" s="28" t="s">
        <v>8561</v>
      </c>
      <c r="L239" s="28" t="s">
        <v>2895</v>
      </c>
      <c r="M239" s="28" t="s">
        <v>41</v>
      </c>
      <c r="N239" s="28"/>
    </row>
    <row r="240" spans="1:15" ht="14.4">
      <c r="A240" s="28" t="s">
        <v>46</v>
      </c>
      <c r="B240" s="28" t="s">
        <v>8490</v>
      </c>
      <c r="C240" s="28" t="s">
        <v>260</v>
      </c>
      <c r="D240" s="107" t="s">
        <v>1337</v>
      </c>
      <c r="E240" s="107"/>
      <c r="F240" s="28" t="s">
        <v>9235</v>
      </c>
      <c r="G240" s="28"/>
      <c r="H240" s="28" t="s">
        <v>8515</v>
      </c>
      <c r="I240" s="28" t="s">
        <v>8597</v>
      </c>
      <c r="J240" s="28">
        <v>23016</v>
      </c>
      <c r="K240" s="28" t="s">
        <v>8515</v>
      </c>
      <c r="L240" s="28" t="s">
        <v>8605</v>
      </c>
      <c r="M240" s="28" t="s">
        <v>41</v>
      </c>
      <c r="N240" s="28"/>
    </row>
    <row r="241" spans="1:14" ht="14.4">
      <c r="A241" s="28" t="s">
        <v>46</v>
      </c>
      <c r="B241" s="28" t="s">
        <v>8490</v>
      </c>
      <c r="C241" s="28" t="s">
        <v>260</v>
      </c>
      <c r="D241" s="107" t="s">
        <v>1337</v>
      </c>
      <c r="E241" s="107"/>
      <c r="F241" s="28" t="s">
        <v>9236</v>
      </c>
      <c r="G241" s="28"/>
      <c r="H241" s="28" t="s">
        <v>9237</v>
      </c>
      <c r="I241" s="28" t="s">
        <v>3659</v>
      </c>
      <c r="J241" s="28">
        <v>23008</v>
      </c>
      <c r="K241" s="28" t="s">
        <v>9237</v>
      </c>
      <c r="L241" s="28" t="s">
        <v>149</v>
      </c>
      <c r="M241" s="28" t="s">
        <v>41</v>
      </c>
      <c r="N241" s="28"/>
    </row>
    <row r="242" spans="1:14" ht="14.4">
      <c r="A242" s="28" t="s">
        <v>46</v>
      </c>
      <c r="B242" s="28" t="s">
        <v>8490</v>
      </c>
      <c r="C242" s="28" t="s">
        <v>260</v>
      </c>
      <c r="D242" s="107" t="s">
        <v>1337</v>
      </c>
      <c r="E242" s="107"/>
      <c r="F242" s="28" t="s">
        <v>9238</v>
      </c>
      <c r="G242" s="28"/>
      <c r="H242" s="28" t="s">
        <v>8564</v>
      </c>
      <c r="I242" s="28" t="s">
        <v>887</v>
      </c>
      <c r="J242" s="28">
        <v>23013</v>
      </c>
      <c r="K242" s="28" t="s">
        <v>8564</v>
      </c>
      <c r="L242" s="28" t="s">
        <v>2895</v>
      </c>
      <c r="M242" s="28" t="s">
        <v>41</v>
      </c>
      <c r="N242" s="28"/>
    </row>
    <row r="243" spans="1:14" ht="14.4">
      <c r="A243" s="28" t="s">
        <v>46</v>
      </c>
      <c r="B243" s="28" t="s">
        <v>8490</v>
      </c>
      <c r="C243" s="28" t="s">
        <v>260</v>
      </c>
      <c r="D243" s="107" t="s">
        <v>1337</v>
      </c>
      <c r="E243" s="107"/>
      <c r="F243" s="28" t="s">
        <v>9239</v>
      </c>
      <c r="G243" s="28"/>
      <c r="H243" s="28" t="s">
        <v>9240</v>
      </c>
      <c r="I243" s="28" t="s">
        <v>887</v>
      </c>
      <c r="J243" s="28">
        <v>23011</v>
      </c>
      <c r="K243" s="28" t="s">
        <v>9240</v>
      </c>
      <c r="L243" s="28" t="s">
        <v>8577</v>
      </c>
      <c r="M243" s="28" t="s">
        <v>41</v>
      </c>
      <c r="N243" s="28"/>
    </row>
    <row r="244" spans="1:14" ht="14.4">
      <c r="A244" s="28" t="s">
        <v>46</v>
      </c>
      <c r="B244" s="28" t="s">
        <v>8490</v>
      </c>
      <c r="C244" s="28" t="s">
        <v>260</v>
      </c>
      <c r="D244" s="107" t="s">
        <v>1337</v>
      </c>
      <c r="E244" s="107"/>
      <c r="F244" s="28" t="s">
        <v>9241</v>
      </c>
      <c r="G244" s="28"/>
      <c r="H244" s="28" t="s">
        <v>9242</v>
      </c>
      <c r="I244" s="28" t="s">
        <v>887</v>
      </c>
      <c r="J244" s="28">
        <v>23002</v>
      </c>
      <c r="K244" s="28" t="s">
        <v>9242</v>
      </c>
      <c r="L244" s="28" t="s">
        <v>9243</v>
      </c>
      <c r="M244" s="28" t="s">
        <v>41</v>
      </c>
      <c r="N244" s="28"/>
    </row>
    <row r="245" spans="1:14" ht="14.4">
      <c r="A245" s="28" t="s">
        <v>46</v>
      </c>
      <c r="B245" s="28" t="s">
        <v>8490</v>
      </c>
      <c r="C245" s="28" t="s">
        <v>260</v>
      </c>
      <c r="D245" s="107" t="s">
        <v>1337</v>
      </c>
      <c r="E245" s="107"/>
      <c r="F245" s="28" t="s">
        <v>9244</v>
      </c>
      <c r="G245" s="28"/>
      <c r="H245" s="28" t="s">
        <v>9245</v>
      </c>
      <c r="I245" s="28" t="s">
        <v>887</v>
      </c>
      <c r="J245" s="28">
        <v>23006</v>
      </c>
      <c r="K245" s="28" t="s">
        <v>9245</v>
      </c>
      <c r="L245" s="28" t="s">
        <v>9246</v>
      </c>
      <c r="M245" s="28" t="s">
        <v>41</v>
      </c>
      <c r="N245" s="28"/>
    </row>
    <row r="246" spans="1:14" ht="14.4">
      <c r="A246" s="28" t="s">
        <v>46</v>
      </c>
      <c r="B246" s="28" t="s">
        <v>8490</v>
      </c>
      <c r="C246" s="28" t="s">
        <v>260</v>
      </c>
      <c r="D246" s="107" t="s">
        <v>1337</v>
      </c>
      <c r="E246" s="107"/>
      <c r="F246" s="28" t="s">
        <v>9247</v>
      </c>
      <c r="G246" s="28"/>
      <c r="H246" s="28" t="s">
        <v>9248</v>
      </c>
      <c r="I246" s="28" t="s">
        <v>8597</v>
      </c>
      <c r="J246" s="28">
        <v>23004</v>
      </c>
      <c r="K246" s="28" t="s">
        <v>9248</v>
      </c>
      <c r="L246" s="28" t="s">
        <v>9249</v>
      </c>
      <c r="M246" s="28" t="s">
        <v>41</v>
      </c>
      <c r="N246" s="28"/>
    </row>
    <row r="247" spans="1:14" ht="14.4">
      <c r="A247" s="28" t="s">
        <v>46</v>
      </c>
      <c r="B247" s="28" t="s">
        <v>8490</v>
      </c>
      <c r="C247" s="28" t="s">
        <v>260</v>
      </c>
      <c r="D247" s="107" t="s">
        <v>1337</v>
      </c>
      <c r="E247" s="107"/>
      <c r="F247" s="28" t="s">
        <v>9250</v>
      </c>
      <c r="G247" s="28"/>
      <c r="H247" s="28" t="s">
        <v>9251</v>
      </c>
      <c r="I247" s="28" t="s">
        <v>9252</v>
      </c>
      <c r="J247" s="28">
        <v>23009</v>
      </c>
      <c r="K247" s="28" t="s">
        <v>9251</v>
      </c>
      <c r="L247" s="28"/>
      <c r="M247" s="28" t="s">
        <v>41</v>
      </c>
      <c r="N247" s="28"/>
    </row>
    <row r="248" spans="1:14" ht="14.4">
      <c r="A248" s="28" t="s">
        <v>46</v>
      </c>
      <c r="B248" s="28" t="s">
        <v>8490</v>
      </c>
      <c r="C248" s="28" t="s">
        <v>260</v>
      </c>
      <c r="D248" s="107" t="s">
        <v>1337</v>
      </c>
      <c r="E248" s="107"/>
      <c r="F248" s="28" t="s">
        <v>9253</v>
      </c>
      <c r="G248" s="28"/>
      <c r="H248" s="28" t="s">
        <v>8630</v>
      </c>
      <c r="I248" s="28" t="s">
        <v>887</v>
      </c>
      <c r="J248" s="28">
        <v>23005</v>
      </c>
      <c r="K248" s="28" t="s">
        <v>8630</v>
      </c>
      <c r="L248" s="28" t="s">
        <v>8632</v>
      </c>
      <c r="M248" s="28" t="s">
        <v>41</v>
      </c>
      <c r="N248" s="28"/>
    </row>
    <row r="249" spans="1:14" ht="14.4">
      <c r="A249" s="28" t="s">
        <v>46</v>
      </c>
      <c r="B249" s="28" t="s">
        <v>8490</v>
      </c>
      <c r="C249" s="28" t="s">
        <v>260</v>
      </c>
      <c r="D249" s="107" t="s">
        <v>1337</v>
      </c>
      <c r="E249" s="107"/>
      <c r="F249" s="28" t="s">
        <v>9254</v>
      </c>
      <c r="G249" s="28"/>
      <c r="H249" s="28" t="s">
        <v>8492</v>
      </c>
      <c r="I249" s="28" t="s">
        <v>887</v>
      </c>
      <c r="J249" s="28">
        <v>23012</v>
      </c>
      <c r="K249" s="28" t="s">
        <v>8492</v>
      </c>
      <c r="L249" s="28" t="s">
        <v>2895</v>
      </c>
      <c r="M249" s="28" t="s">
        <v>41</v>
      </c>
      <c r="N249" s="28"/>
    </row>
    <row r="250" spans="1:14" ht="14.4">
      <c r="A250" s="28" t="s">
        <v>46</v>
      </c>
      <c r="B250" s="28" t="s">
        <v>8490</v>
      </c>
      <c r="C250" s="28" t="s">
        <v>260</v>
      </c>
      <c r="D250" s="107" t="s">
        <v>1337</v>
      </c>
      <c r="E250" s="107"/>
      <c r="F250" s="28" t="s">
        <v>9255</v>
      </c>
      <c r="G250" s="28"/>
      <c r="H250" s="28" t="s">
        <v>9256</v>
      </c>
      <c r="I250" s="28" t="s">
        <v>887</v>
      </c>
      <c r="J250" s="28">
        <v>23001</v>
      </c>
      <c r="K250" s="28" t="s">
        <v>9256</v>
      </c>
      <c r="L250" s="28" t="s">
        <v>9257</v>
      </c>
      <c r="M250" s="28" t="s">
        <v>41</v>
      </c>
      <c r="N250" s="28"/>
    </row>
    <row r="251" spans="1:14" ht="14.4">
      <c r="A251" s="28" t="s">
        <v>46</v>
      </c>
      <c r="B251" s="28" t="s">
        <v>8490</v>
      </c>
      <c r="C251" s="28" t="s">
        <v>260</v>
      </c>
      <c r="D251" s="107" t="s">
        <v>1337</v>
      </c>
      <c r="E251" s="107"/>
      <c r="F251" s="28" t="s">
        <v>9258</v>
      </c>
      <c r="G251" s="28"/>
      <c r="H251" s="28" t="s">
        <v>8503</v>
      </c>
      <c r="I251" s="28" t="s">
        <v>3181</v>
      </c>
      <c r="J251" s="28">
        <v>23010</v>
      </c>
      <c r="K251" s="28" t="s">
        <v>9259</v>
      </c>
      <c r="L251" s="28" t="s">
        <v>2895</v>
      </c>
      <c r="M251" s="28" t="s">
        <v>41</v>
      </c>
      <c r="N251" s="28"/>
    </row>
    <row r="252" spans="1:14" ht="14.4">
      <c r="A252" s="28" t="s">
        <v>46</v>
      </c>
      <c r="B252" s="28" t="s">
        <v>8490</v>
      </c>
      <c r="C252" s="28" t="s">
        <v>260</v>
      </c>
      <c r="D252" s="107" t="s">
        <v>1337</v>
      </c>
      <c r="E252" s="107"/>
      <c r="F252" s="28" t="s">
        <v>9260</v>
      </c>
      <c r="G252" s="28"/>
      <c r="H252" s="28" t="s">
        <v>9261</v>
      </c>
      <c r="I252" s="28" t="s">
        <v>9262</v>
      </c>
      <c r="J252" s="28">
        <v>23015</v>
      </c>
      <c r="K252" s="28" t="s">
        <v>9261</v>
      </c>
      <c r="L252" s="28" t="s">
        <v>2895</v>
      </c>
      <c r="M252" s="28" t="s">
        <v>41</v>
      </c>
      <c r="N252" s="28"/>
    </row>
    <row r="253" spans="1:14" ht="14.4">
      <c r="A253" s="28" t="s">
        <v>46</v>
      </c>
      <c r="B253" s="28" t="s">
        <v>8490</v>
      </c>
      <c r="C253" s="28" t="s">
        <v>20</v>
      </c>
      <c r="D253" s="28" t="s">
        <v>1305</v>
      </c>
      <c r="E253" s="28"/>
      <c r="F253" s="28" t="s">
        <v>9263</v>
      </c>
      <c r="G253" s="28" t="s">
        <v>9264</v>
      </c>
      <c r="H253" s="28" t="s">
        <v>9265</v>
      </c>
      <c r="I253" s="28" t="s">
        <v>933</v>
      </c>
      <c r="J253" s="28"/>
      <c r="K253" s="28" t="s">
        <v>9265</v>
      </c>
      <c r="L253" s="28" t="s">
        <v>8553</v>
      </c>
      <c r="M253" s="28" t="s">
        <v>41</v>
      </c>
      <c r="N253" s="28"/>
    </row>
    <row r="254" spans="1:14" ht="14.4">
      <c r="A254" s="28" t="s">
        <v>46</v>
      </c>
      <c r="B254" s="28" t="s">
        <v>8655</v>
      </c>
      <c r="C254" s="28" t="s">
        <v>260</v>
      </c>
      <c r="D254" s="107" t="s">
        <v>1337</v>
      </c>
      <c r="E254" s="107"/>
      <c r="F254" s="28" t="s">
        <v>9266</v>
      </c>
      <c r="G254" s="28"/>
      <c r="H254" s="28" t="s">
        <v>9267</v>
      </c>
      <c r="I254" s="28" t="s">
        <v>887</v>
      </c>
      <c r="J254" s="28" t="s">
        <v>2872</v>
      </c>
      <c r="K254" s="28" t="s">
        <v>9268</v>
      </c>
      <c r="L254" s="28" t="s">
        <v>3389</v>
      </c>
      <c r="M254" s="28" t="s">
        <v>41</v>
      </c>
      <c r="N254" s="28"/>
    </row>
    <row r="255" spans="1:14" ht="14.4">
      <c r="A255" s="28" t="s">
        <v>46</v>
      </c>
      <c r="B255" s="28" t="s">
        <v>8655</v>
      </c>
      <c r="C255" s="28" t="s">
        <v>260</v>
      </c>
      <c r="D255" s="107" t="s">
        <v>1337</v>
      </c>
      <c r="E255" s="107"/>
      <c r="F255" s="28" t="s">
        <v>9269</v>
      </c>
      <c r="G255" s="28"/>
      <c r="H255" s="28" t="s">
        <v>9270</v>
      </c>
      <c r="I255" s="28" t="s">
        <v>887</v>
      </c>
      <c r="J255" s="28" t="s">
        <v>2893</v>
      </c>
      <c r="K255" s="28" t="s">
        <v>9271</v>
      </c>
      <c r="L255" s="28" t="s">
        <v>3389</v>
      </c>
      <c r="M255" s="28" t="s">
        <v>41</v>
      </c>
      <c r="N255" s="28"/>
    </row>
    <row r="256" spans="1:14" ht="14.4">
      <c r="A256" s="28" t="s">
        <v>46</v>
      </c>
      <c r="B256" s="28" t="s">
        <v>8655</v>
      </c>
      <c r="C256" s="28" t="s">
        <v>260</v>
      </c>
      <c r="D256" s="107" t="s">
        <v>1337</v>
      </c>
      <c r="E256" s="107"/>
      <c r="F256" s="28" t="s">
        <v>9272</v>
      </c>
      <c r="G256" s="28"/>
      <c r="H256" s="28" t="s">
        <v>9273</v>
      </c>
      <c r="I256" s="28" t="s">
        <v>2714</v>
      </c>
      <c r="J256" s="28" t="s">
        <v>4001</v>
      </c>
      <c r="K256" s="28" t="s">
        <v>9274</v>
      </c>
      <c r="L256" s="28" t="s">
        <v>3389</v>
      </c>
      <c r="M256" s="28" t="s">
        <v>41</v>
      </c>
      <c r="N256" s="28"/>
    </row>
    <row r="257" spans="1:14" ht="14.4">
      <c r="A257" s="28" t="s">
        <v>46</v>
      </c>
      <c r="B257" s="28" t="s">
        <v>8655</v>
      </c>
      <c r="C257" s="28" t="s">
        <v>260</v>
      </c>
      <c r="D257" s="107" t="s">
        <v>1337</v>
      </c>
      <c r="E257" s="107"/>
      <c r="F257" s="28" t="s">
        <v>9275</v>
      </c>
      <c r="G257" s="28"/>
      <c r="H257" s="28" t="s">
        <v>9276</v>
      </c>
      <c r="I257" s="28" t="s">
        <v>521</v>
      </c>
      <c r="J257" s="28" t="s">
        <v>2877</v>
      </c>
      <c r="K257" s="28" t="s">
        <v>9277</v>
      </c>
      <c r="L257" s="28" t="s">
        <v>3389</v>
      </c>
      <c r="M257" s="28" t="s">
        <v>41</v>
      </c>
      <c r="N257" s="28"/>
    </row>
    <row r="258" spans="1:14" ht="14.4">
      <c r="A258" s="28" t="s">
        <v>46</v>
      </c>
      <c r="B258" s="28" t="s">
        <v>8655</v>
      </c>
      <c r="C258" s="28" t="s">
        <v>260</v>
      </c>
      <c r="D258" s="107" t="s">
        <v>1337</v>
      </c>
      <c r="E258" s="107"/>
      <c r="F258" s="28" t="s">
        <v>9278</v>
      </c>
      <c r="G258" s="28"/>
      <c r="H258" s="28" t="s">
        <v>9279</v>
      </c>
      <c r="I258" s="28" t="s">
        <v>887</v>
      </c>
      <c r="J258" s="28" t="s">
        <v>3992</v>
      </c>
      <c r="K258" s="28" t="s">
        <v>9280</v>
      </c>
      <c r="L258" s="28" t="s">
        <v>3389</v>
      </c>
      <c r="M258" s="28" t="s">
        <v>41</v>
      </c>
      <c r="N258" s="28"/>
    </row>
    <row r="259" spans="1:14" ht="14.4">
      <c r="A259" s="28" t="s">
        <v>46</v>
      </c>
      <c r="B259" s="28" t="s">
        <v>8655</v>
      </c>
      <c r="C259" s="28" t="s">
        <v>260</v>
      </c>
      <c r="D259" s="107" t="s">
        <v>1337</v>
      </c>
      <c r="E259" s="107"/>
      <c r="F259" s="28" t="s">
        <v>9281</v>
      </c>
      <c r="G259" s="28"/>
      <c r="H259" s="28" t="s">
        <v>9282</v>
      </c>
      <c r="I259" s="28" t="s">
        <v>887</v>
      </c>
      <c r="J259" s="28" t="s">
        <v>2881</v>
      </c>
      <c r="K259" s="28" t="s">
        <v>9283</v>
      </c>
      <c r="L259" s="28" t="s">
        <v>3389</v>
      </c>
      <c r="M259" s="28" t="s">
        <v>41</v>
      </c>
      <c r="N259" s="28"/>
    </row>
    <row r="260" spans="1:14" ht="14.4">
      <c r="A260" s="28" t="s">
        <v>46</v>
      </c>
      <c r="B260" s="28" t="s">
        <v>8655</v>
      </c>
      <c r="C260" s="28" t="s">
        <v>260</v>
      </c>
      <c r="D260" s="107" t="s">
        <v>1337</v>
      </c>
      <c r="E260" s="107"/>
      <c r="F260" s="28" t="s">
        <v>9284</v>
      </c>
      <c r="G260" s="28"/>
      <c r="H260" s="28" t="s">
        <v>9285</v>
      </c>
      <c r="I260" s="28" t="s">
        <v>887</v>
      </c>
      <c r="J260" s="28" t="s">
        <v>5507</v>
      </c>
      <c r="K260" s="28" t="s">
        <v>9286</v>
      </c>
      <c r="L260" s="28" t="s">
        <v>3389</v>
      </c>
      <c r="M260" s="28" t="s">
        <v>41</v>
      </c>
      <c r="N260" s="28"/>
    </row>
    <row r="261" spans="1:14" ht="14.4">
      <c r="A261" s="28" t="s">
        <v>46</v>
      </c>
      <c r="B261" s="28" t="s">
        <v>8655</v>
      </c>
      <c r="C261" s="28" t="s">
        <v>260</v>
      </c>
      <c r="D261" s="107" t="s">
        <v>1337</v>
      </c>
      <c r="E261" s="107"/>
      <c r="F261" s="28" t="s">
        <v>9287</v>
      </c>
      <c r="G261" s="28"/>
      <c r="H261" s="28" t="s">
        <v>9288</v>
      </c>
      <c r="I261" s="28" t="s">
        <v>9289</v>
      </c>
      <c r="J261" s="28" t="s">
        <v>4006</v>
      </c>
      <c r="K261" s="28" t="s">
        <v>9288</v>
      </c>
      <c r="L261" s="28" t="s">
        <v>3389</v>
      </c>
      <c r="M261" s="28" t="s">
        <v>41</v>
      </c>
      <c r="N261" s="28"/>
    </row>
    <row r="262" spans="1:14" ht="14.4">
      <c r="A262" s="28" t="s">
        <v>46</v>
      </c>
      <c r="B262" s="28" t="s">
        <v>8655</v>
      </c>
      <c r="C262" s="28" t="s">
        <v>260</v>
      </c>
      <c r="D262" s="107" t="s">
        <v>1337</v>
      </c>
      <c r="E262" s="107"/>
      <c r="F262" s="28" t="s">
        <v>9290</v>
      </c>
      <c r="G262" s="28"/>
      <c r="H262" s="28" t="s">
        <v>9291</v>
      </c>
      <c r="I262" s="28" t="s">
        <v>2714</v>
      </c>
      <c r="J262" s="28" t="s">
        <v>4023</v>
      </c>
      <c r="K262" s="28" t="s">
        <v>9292</v>
      </c>
      <c r="L262" s="28" t="s">
        <v>3389</v>
      </c>
      <c r="M262" s="28" t="s">
        <v>41</v>
      </c>
      <c r="N262" s="28"/>
    </row>
    <row r="263" spans="1:14" ht="14.4">
      <c r="A263" s="28" t="s">
        <v>46</v>
      </c>
      <c r="B263" s="28" t="s">
        <v>8655</v>
      </c>
      <c r="C263" s="28" t="s">
        <v>260</v>
      </c>
      <c r="D263" s="107" t="s">
        <v>1337</v>
      </c>
      <c r="E263" s="107"/>
      <c r="F263" s="28" t="s">
        <v>9293</v>
      </c>
      <c r="G263" s="28"/>
      <c r="H263" s="28" t="s">
        <v>9167</v>
      </c>
      <c r="I263" s="28" t="s">
        <v>9294</v>
      </c>
      <c r="J263" s="28" t="s">
        <v>4041</v>
      </c>
      <c r="K263" s="28" t="s">
        <v>9295</v>
      </c>
      <c r="L263" s="28" t="s">
        <v>3389</v>
      </c>
      <c r="M263" s="28" t="s">
        <v>41</v>
      </c>
      <c r="N263" s="28"/>
    </row>
    <row r="264" spans="1:14" ht="14.4">
      <c r="A264" s="28" t="s">
        <v>46</v>
      </c>
      <c r="B264" s="28" t="s">
        <v>8655</v>
      </c>
      <c r="C264" s="28" t="s">
        <v>260</v>
      </c>
      <c r="D264" s="107" t="s">
        <v>1337</v>
      </c>
      <c r="E264" s="107"/>
      <c r="F264" s="28" t="s">
        <v>9296</v>
      </c>
      <c r="G264" s="28"/>
      <c r="H264" s="28" t="s">
        <v>9297</v>
      </c>
      <c r="I264" s="28" t="s">
        <v>9289</v>
      </c>
      <c r="J264" s="28" t="s">
        <v>4016</v>
      </c>
      <c r="K264" s="28" t="s">
        <v>9298</v>
      </c>
      <c r="L264" s="28" t="s">
        <v>3389</v>
      </c>
      <c r="M264" s="28" t="s">
        <v>41</v>
      </c>
      <c r="N264" s="28"/>
    </row>
    <row r="265" spans="1:14" ht="14.4">
      <c r="A265" s="28" t="s">
        <v>46</v>
      </c>
      <c r="B265" s="28" t="s">
        <v>8655</v>
      </c>
      <c r="C265" s="28" t="s">
        <v>260</v>
      </c>
      <c r="D265" s="107" t="s">
        <v>1337</v>
      </c>
      <c r="E265" s="107"/>
      <c r="F265" s="28" t="s">
        <v>9299</v>
      </c>
      <c r="G265" s="28"/>
      <c r="H265" s="28" t="s">
        <v>9300</v>
      </c>
      <c r="I265" s="28" t="s">
        <v>887</v>
      </c>
      <c r="J265" s="28" t="s">
        <v>4029</v>
      </c>
      <c r="K265" s="28" t="s">
        <v>9301</v>
      </c>
      <c r="L265" s="28" t="s">
        <v>3389</v>
      </c>
      <c r="M265" s="28" t="s">
        <v>41</v>
      </c>
      <c r="N265" s="28"/>
    </row>
    <row r="266" spans="1:14" ht="14.4">
      <c r="A266" s="28" t="s">
        <v>46</v>
      </c>
      <c r="B266" s="28" t="s">
        <v>8655</v>
      </c>
      <c r="C266" s="28" t="s">
        <v>260</v>
      </c>
      <c r="D266" s="107" t="s">
        <v>1337</v>
      </c>
      <c r="E266" s="107"/>
      <c r="F266" s="28" t="s">
        <v>9302</v>
      </c>
      <c r="G266" s="28"/>
      <c r="H266" s="28" t="s">
        <v>8755</v>
      </c>
      <c r="I266" s="28" t="s">
        <v>887</v>
      </c>
      <c r="J266" s="28" t="s">
        <v>9303</v>
      </c>
      <c r="K266" s="28" t="s">
        <v>8755</v>
      </c>
      <c r="L266" s="28" t="s">
        <v>3389</v>
      </c>
      <c r="M266" s="28" t="s">
        <v>41</v>
      </c>
      <c r="N266" s="28"/>
    </row>
    <row r="267" spans="1:14" ht="14.4">
      <c r="A267" s="28" t="s">
        <v>46</v>
      </c>
      <c r="B267" s="28" t="s">
        <v>8655</v>
      </c>
      <c r="C267" s="28" t="s">
        <v>260</v>
      </c>
      <c r="D267" s="107" t="s">
        <v>1337</v>
      </c>
      <c r="E267" s="107"/>
      <c r="F267" s="28" t="s">
        <v>9304</v>
      </c>
      <c r="G267" s="28"/>
      <c r="H267" s="28" t="s">
        <v>9305</v>
      </c>
      <c r="I267" s="28" t="s">
        <v>887</v>
      </c>
      <c r="J267" s="28" t="s">
        <v>4059</v>
      </c>
      <c r="K267" s="28" t="s">
        <v>9306</v>
      </c>
      <c r="L267" s="28" t="s">
        <v>3389</v>
      </c>
      <c r="M267" s="28" t="s">
        <v>41</v>
      </c>
      <c r="N267" s="28"/>
    </row>
    <row r="268" spans="1:14" ht="14.4">
      <c r="A268" s="28" t="s">
        <v>46</v>
      </c>
      <c r="B268" s="28" t="s">
        <v>8655</v>
      </c>
      <c r="C268" s="28" t="s">
        <v>260</v>
      </c>
      <c r="D268" s="107" t="s">
        <v>1337</v>
      </c>
      <c r="E268" s="107"/>
      <c r="F268" s="28" t="s">
        <v>9307</v>
      </c>
      <c r="G268" s="28"/>
      <c r="H268" s="28" t="s">
        <v>8669</v>
      </c>
      <c r="I268" s="28" t="s">
        <v>9308</v>
      </c>
      <c r="J268" s="28" t="s">
        <v>1740</v>
      </c>
      <c r="K268" s="28" t="s">
        <v>9309</v>
      </c>
      <c r="L268" s="28" t="s">
        <v>989</v>
      </c>
      <c r="M268" s="28" t="s">
        <v>41</v>
      </c>
      <c r="N268" s="28"/>
    </row>
    <row r="269" spans="1:14" ht="14.4">
      <c r="A269" s="28" t="s">
        <v>46</v>
      </c>
      <c r="B269" s="28" t="s">
        <v>8655</v>
      </c>
      <c r="C269" s="28" t="s">
        <v>260</v>
      </c>
      <c r="D269" s="107" t="s">
        <v>1337</v>
      </c>
      <c r="E269" s="107"/>
      <c r="F269" s="28" t="s">
        <v>9310</v>
      </c>
      <c r="G269" s="28"/>
      <c r="H269" s="28" t="s">
        <v>9311</v>
      </c>
      <c r="I269" s="28" t="s">
        <v>9289</v>
      </c>
      <c r="J269" s="28" t="s">
        <v>9312</v>
      </c>
      <c r="K269" s="28" t="s">
        <v>9313</v>
      </c>
      <c r="L269" s="28" t="s">
        <v>3389</v>
      </c>
      <c r="M269" s="28" t="s">
        <v>41</v>
      </c>
      <c r="N269" s="28"/>
    </row>
    <row r="270" spans="1:14" ht="14.4">
      <c r="A270" s="28" t="s">
        <v>46</v>
      </c>
      <c r="B270" s="28" t="s">
        <v>8655</v>
      </c>
      <c r="C270" s="28" t="s">
        <v>20</v>
      </c>
      <c r="D270" s="107" t="s">
        <v>1305</v>
      </c>
      <c r="E270" s="107"/>
      <c r="F270" s="28" t="s">
        <v>9314</v>
      </c>
      <c r="G270" s="28" t="s">
        <v>9315</v>
      </c>
      <c r="H270" s="28" t="s">
        <v>8669</v>
      </c>
      <c r="I270" s="28" t="s">
        <v>8702</v>
      </c>
      <c r="J270" s="28" t="s">
        <v>1740</v>
      </c>
      <c r="K270" s="28" t="s">
        <v>9316</v>
      </c>
      <c r="L270" s="28" t="s">
        <v>989</v>
      </c>
      <c r="M270" s="28" t="s">
        <v>41</v>
      </c>
      <c r="N270" s="28"/>
    </row>
    <row r="271" spans="1:14" ht="14.4">
      <c r="A271" s="28" t="s">
        <v>46</v>
      </c>
      <c r="B271" s="28" t="s">
        <v>8772</v>
      </c>
      <c r="C271" s="28" t="s">
        <v>260</v>
      </c>
      <c r="D271" s="107" t="s">
        <v>1337</v>
      </c>
      <c r="E271" s="107"/>
      <c r="F271" s="28" t="s">
        <v>9317</v>
      </c>
      <c r="G271" s="28"/>
      <c r="H271" s="28" t="s">
        <v>9318</v>
      </c>
      <c r="I271" s="28" t="s">
        <v>9319</v>
      </c>
      <c r="J271" s="28" t="s">
        <v>9320</v>
      </c>
      <c r="K271" s="28" t="s">
        <v>9318</v>
      </c>
      <c r="L271" s="28" t="s">
        <v>989</v>
      </c>
      <c r="M271" s="28" t="s">
        <v>41</v>
      </c>
      <c r="N271" s="28"/>
    </row>
    <row r="272" spans="1:14" ht="14.4">
      <c r="A272" s="28" t="s">
        <v>46</v>
      </c>
      <c r="B272" s="28" t="s">
        <v>8772</v>
      </c>
      <c r="C272" s="28" t="s">
        <v>260</v>
      </c>
      <c r="D272" s="107" t="s">
        <v>1337</v>
      </c>
      <c r="E272" s="107"/>
      <c r="F272" s="28" t="s">
        <v>9321</v>
      </c>
      <c r="G272" s="28"/>
      <c r="H272" s="28" t="s">
        <v>9318</v>
      </c>
      <c r="I272" s="28" t="s">
        <v>9319</v>
      </c>
      <c r="J272" s="28" t="s">
        <v>9320</v>
      </c>
      <c r="K272" s="28" t="s">
        <v>9318</v>
      </c>
      <c r="L272" s="28" t="s">
        <v>989</v>
      </c>
      <c r="M272" s="28" t="s">
        <v>41</v>
      </c>
      <c r="N272" s="28"/>
    </row>
    <row r="273" spans="1:14" ht="14.4">
      <c r="A273" s="28" t="s">
        <v>46</v>
      </c>
      <c r="B273" s="28" t="s">
        <v>8772</v>
      </c>
      <c r="C273" s="28" t="s">
        <v>260</v>
      </c>
      <c r="D273" s="107" t="s">
        <v>1337</v>
      </c>
      <c r="E273" s="107"/>
      <c r="F273" s="28" t="s">
        <v>9322</v>
      </c>
      <c r="G273" s="28"/>
      <c r="H273" s="28" t="s">
        <v>9318</v>
      </c>
      <c r="I273" s="28" t="s">
        <v>9319</v>
      </c>
      <c r="J273" s="28" t="s">
        <v>9320</v>
      </c>
      <c r="K273" s="28" t="s">
        <v>9318</v>
      </c>
      <c r="L273" s="28" t="s">
        <v>989</v>
      </c>
      <c r="M273" s="28" t="s">
        <v>41</v>
      </c>
      <c r="N273" s="28"/>
    </row>
    <row r="274" spans="1:14" ht="14.4">
      <c r="A274" s="28" t="s">
        <v>46</v>
      </c>
      <c r="B274" s="28" t="s">
        <v>8772</v>
      </c>
      <c r="C274" s="28" t="s">
        <v>260</v>
      </c>
      <c r="D274" s="107" t="s">
        <v>1337</v>
      </c>
      <c r="E274" s="107"/>
      <c r="F274" s="28" t="s">
        <v>9323</v>
      </c>
      <c r="G274" s="28"/>
      <c r="H274" s="28" t="s">
        <v>9318</v>
      </c>
      <c r="I274" s="28" t="s">
        <v>9319</v>
      </c>
      <c r="J274" s="28" t="s">
        <v>9320</v>
      </c>
      <c r="K274" s="28" t="s">
        <v>9318</v>
      </c>
      <c r="L274" s="28" t="s">
        <v>989</v>
      </c>
      <c r="M274" s="28" t="s">
        <v>41</v>
      </c>
      <c r="N274" s="28"/>
    </row>
    <row r="275" spans="1:14" ht="14.4">
      <c r="A275" s="28" t="s">
        <v>46</v>
      </c>
      <c r="B275" s="28" t="s">
        <v>8772</v>
      </c>
      <c r="C275" s="28" t="s">
        <v>260</v>
      </c>
      <c r="D275" s="107" t="s">
        <v>1337</v>
      </c>
      <c r="E275" s="107"/>
      <c r="F275" s="28" t="s">
        <v>9324</v>
      </c>
      <c r="G275" s="28"/>
      <c r="H275" s="28" t="s">
        <v>9318</v>
      </c>
      <c r="I275" s="28" t="s">
        <v>9319</v>
      </c>
      <c r="J275" s="28" t="s">
        <v>9320</v>
      </c>
      <c r="K275" s="28" t="s">
        <v>9318</v>
      </c>
      <c r="L275" s="28" t="s">
        <v>989</v>
      </c>
      <c r="M275" s="28" t="s">
        <v>41</v>
      </c>
      <c r="N275" s="28"/>
    </row>
    <row r="276" spans="1:14" ht="14.4">
      <c r="A276" s="28" t="s">
        <v>46</v>
      </c>
      <c r="B276" s="28" t="s">
        <v>8772</v>
      </c>
      <c r="C276" s="28" t="s">
        <v>260</v>
      </c>
      <c r="D276" s="107" t="s">
        <v>1337</v>
      </c>
      <c r="E276" s="107"/>
      <c r="F276" s="28" t="s">
        <v>9325</v>
      </c>
      <c r="G276" s="28"/>
      <c r="H276" s="28" t="s">
        <v>9318</v>
      </c>
      <c r="I276" s="28" t="s">
        <v>9319</v>
      </c>
      <c r="J276" s="28" t="s">
        <v>9320</v>
      </c>
      <c r="K276" s="28" t="s">
        <v>9318</v>
      </c>
      <c r="L276" s="28" t="s">
        <v>989</v>
      </c>
      <c r="M276" s="28" t="s">
        <v>41</v>
      </c>
      <c r="N276" s="28"/>
    </row>
    <row r="277" spans="1:14" ht="14.4">
      <c r="A277" s="28" t="s">
        <v>46</v>
      </c>
      <c r="B277" s="28" t="s">
        <v>8772</v>
      </c>
      <c r="C277" s="28" t="s">
        <v>260</v>
      </c>
      <c r="D277" s="107" t="s">
        <v>1337</v>
      </c>
      <c r="E277" s="107"/>
      <c r="F277" s="28" t="s">
        <v>9326</v>
      </c>
      <c r="G277" s="28"/>
      <c r="H277" s="28" t="s">
        <v>9318</v>
      </c>
      <c r="I277" s="28" t="s">
        <v>9319</v>
      </c>
      <c r="J277" s="28" t="s">
        <v>9320</v>
      </c>
      <c r="K277" s="28" t="s">
        <v>9318</v>
      </c>
      <c r="L277" s="28" t="s">
        <v>989</v>
      </c>
      <c r="M277" s="28" t="s">
        <v>41</v>
      </c>
      <c r="N277" s="28"/>
    </row>
    <row r="278" spans="1:14" ht="14.4">
      <c r="A278" s="28" t="s">
        <v>46</v>
      </c>
      <c r="B278" s="28" t="s">
        <v>8772</v>
      </c>
      <c r="C278" s="28" t="s">
        <v>260</v>
      </c>
      <c r="D278" s="107" t="s">
        <v>1337</v>
      </c>
      <c r="E278" s="107"/>
      <c r="F278" s="28" t="s">
        <v>9327</v>
      </c>
      <c r="G278" s="28"/>
      <c r="H278" s="28" t="s">
        <v>9318</v>
      </c>
      <c r="I278" s="28" t="s">
        <v>9319</v>
      </c>
      <c r="J278" s="28" t="s">
        <v>9320</v>
      </c>
      <c r="K278" s="28" t="s">
        <v>9318</v>
      </c>
      <c r="L278" s="28" t="s">
        <v>989</v>
      </c>
      <c r="M278" s="28" t="s">
        <v>41</v>
      </c>
      <c r="N278" s="28"/>
    </row>
    <row r="279" spans="1:14" ht="14.4">
      <c r="A279" s="28" t="s">
        <v>46</v>
      </c>
      <c r="B279" s="28" t="s">
        <v>8772</v>
      </c>
      <c r="C279" s="28" t="s">
        <v>260</v>
      </c>
      <c r="D279" s="107" t="s">
        <v>1337</v>
      </c>
      <c r="E279" s="107"/>
      <c r="F279" s="28" t="s">
        <v>9328</v>
      </c>
      <c r="G279" s="28"/>
      <c r="H279" s="28" t="s">
        <v>9318</v>
      </c>
      <c r="I279" s="28" t="s">
        <v>9319</v>
      </c>
      <c r="J279" s="28" t="s">
        <v>9320</v>
      </c>
      <c r="K279" s="28" t="s">
        <v>9318</v>
      </c>
      <c r="L279" s="28" t="s">
        <v>989</v>
      </c>
      <c r="M279" s="28" t="s">
        <v>41</v>
      </c>
      <c r="N279" s="28"/>
    </row>
    <row r="280" spans="1:14" ht="14.4">
      <c r="A280" s="28" t="s">
        <v>46</v>
      </c>
      <c r="B280" s="28" t="s">
        <v>8772</v>
      </c>
      <c r="C280" s="28" t="s">
        <v>260</v>
      </c>
      <c r="D280" s="107" t="s">
        <v>1337</v>
      </c>
      <c r="E280" s="107"/>
      <c r="F280" s="28" t="s">
        <v>9329</v>
      </c>
      <c r="G280" s="28"/>
      <c r="H280" s="28" t="s">
        <v>9318</v>
      </c>
      <c r="I280" s="28" t="s">
        <v>9319</v>
      </c>
      <c r="J280" s="28" t="s">
        <v>9320</v>
      </c>
      <c r="K280" s="28" t="s">
        <v>9318</v>
      </c>
      <c r="L280" s="28" t="s">
        <v>989</v>
      </c>
      <c r="M280" s="28" t="s">
        <v>41</v>
      </c>
      <c r="N280" s="28"/>
    </row>
    <row r="281" spans="1:14" ht="14.4">
      <c r="A281" s="28" t="s">
        <v>46</v>
      </c>
      <c r="B281" s="28" t="s">
        <v>8772</v>
      </c>
      <c r="C281" s="28" t="s">
        <v>260</v>
      </c>
      <c r="D281" s="107" t="s">
        <v>1337</v>
      </c>
      <c r="E281" s="107"/>
      <c r="F281" s="28" t="s">
        <v>9330</v>
      </c>
      <c r="G281" s="28"/>
      <c r="H281" s="28" t="s">
        <v>9331</v>
      </c>
      <c r="I281" s="28" t="s">
        <v>521</v>
      </c>
      <c r="J281" s="28" t="s">
        <v>9332</v>
      </c>
      <c r="K281" s="28" t="s">
        <v>9331</v>
      </c>
      <c r="L281" s="28" t="s">
        <v>9333</v>
      </c>
      <c r="M281" s="28" t="s">
        <v>41</v>
      </c>
      <c r="N281" s="28"/>
    </row>
    <row r="282" spans="1:14" ht="14.4">
      <c r="A282" s="28" t="s">
        <v>46</v>
      </c>
      <c r="B282" s="28" t="s">
        <v>8772</v>
      </c>
      <c r="C282" s="28" t="s">
        <v>260</v>
      </c>
      <c r="D282" s="107" t="s">
        <v>1337</v>
      </c>
      <c r="E282" s="107"/>
      <c r="F282" s="28" t="s">
        <v>9334</v>
      </c>
      <c r="G282" s="28"/>
      <c r="H282" s="28" t="s">
        <v>9335</v>
      </c>
      <c r="I282" s="28" t="s">
        <v>2714</v>
      </c>
      <c r="J282" s="28" t="s">
        <v>9336</v>
      </c>
      <c r="K282" s="28" t="s">
        <v>9335</v>
      </c>
      <c r="L282" s="28" t="s">
        <v>9337</v>
      </c>
      <c r="M282" s="28" t="s">
        <v>41</v>
      </c>
      <c r="N282" s="28"/>
    </row>
    <row r="283" spans="1:14" ht="14.4">
      <c r="A283" s="28" t="s">
        <v>46</v>
      </c>
      <c r="B283" s="28" t="s">
        <v>8772</v>
      </c>
      <c r="C283" s="28" t="s">
        <v>260</v>
      </c>
      <c r="D283" s="107" t="s">
        <v>1337</v>
      </c>
      <c r="E283" s="107"/>
      <c r="F283" s="28" t="s">
        <v>9338</v>
      </c>
      <c r="G283" s="28"/>
      <c r="H283" s="28" t="s">
        <v>8840</v>
      </c>
      <c r="I283" s="28" t="s">
        <v>887</v>
      </c>
      <c r="J283" s="28" t="s">
        <v>9339</v>
      </c>
      <c r="K283" s="28" t="s">
        <v>8840</v>
      </c>
      <c r="L283" s="28" t="s">
        <v>3389</v>
      </c>
      <c r="M283" s="28" t="s">
        <v>41</v>
      </c>
      <c r="N283" s="28"/>
    </row>
    <row r="284" spans="1:14" ht="14.4">
      <c r="A284" s="28" t="s">
        <v>46</v>
      </c>
      <c r="B284" s="28" t="s">
        <v>8772</v>
      </c>
      <c r="C284" s="28" t="s">
        <v>260</v>
      </c>
      <c r="D284" s="107" t="s">
        <v>1337</v>
      </c>
      <c r="E284" s="107"/>
      <c r="F284" s="28" t="s">
        <v>9340</v>
      </c>
      <c r="G284" s="28"/>
      <c r="H284" s="28" t="s">
        <v>9341</v>
      </c>
      <c r="I284" s="28" t="s">
        <v>9342</v>
      </c>
      <c r="J284" s="28" t="s">
        <v>9343</v>
      </c>
      <c r="K284" s="28" t="s">
        <v>9341</v>
      </c>
      <c r="L284" s="28" t="s">
        <v>9344</v>
      </c>
      <c r="M284" s="28" t="s">
        <v>41</v>
      </c>
      <c r="N284" s="28"/>
    </row>
    <row r="285" spans="1:14" ht="14.4">
      <c r="A285" s="28" t="s">
        <v>46</v>
      </c>
      <c r="B285" s="28" t="s">
        <v>8772</v>
      </c>
      <c r="C285" s="28" t="s">
        <v>260</v>
      </c>
      <c r="D285" s="107" t="s">
        <v>1337</v>
      </c>
      <c r="E285" s="107"/>
      <c r="F285" s="28" t="s">
        <v>9345</v>
      </c>
      <c r="G285" s="28"/>
      <c r="H285" s="28" t="s">
        <v>9346</v>
      </c>
      <c r="I285" s="28" t="s">
        <v>521</v>
      </c>
      <c r="J285" s="28" t="s">
        <v>8775</v>
      </c>
      <c r="K285" s="28" t="s">
        <v>9346</v>
      </c>
      <c r="L285" s="28" t="s">
        <v>9347</v>
      </c>
      <c r="M285" s="28" t="s">
        <v>41</v>
      </c>
      <c r="N285" s="28"/>
    </row>
    <row r="286" spans="1:14" ht="14.4">
      <c r="A286" s="28" t="s">
        <v>46</v>
      </c>
      <c r="B286" s="28" t="s">
        <v>8772</v>
      </c>
      <c r="C286" s="28" t="s">
        <v>260</v>
      </c>
      <c r="D286" s="107" t="s">
        <v>1337</v>
      </c>
      <c r="E286" s="107"/>
      <c r="F286" s="28" t="s">
        <v>9348</v>
      </c>
      <c r="G286" s="28"/>
      <c r="H286" s="28" t="s">
        <v>9349</v>
      </c>
      <c r="I286" s="28" t="s">
        <v>521</v>
      </c>
      <c r="J286" s="28" t="s">
        <v>9350</v>
      </c>
      <c r="K286" s="28" t="s">
        <v>9349</v>
      </c>
      <c r="L286" s="28" t="s">
        <v>9351</v>
      </c>
      <c r="M286" s="28" t="s">
        <v>41</v>
      </c>
      <c r="N286" s="28"/>
    </row>
    <row r="287" spans="1:14" ht="14.4">
      <c r="A287" s="28" t="s">
        <v>46</v>
      </c>
      <c r="B287" s="28" t="s">
        <v>8772</v>
      </c>
      <c r="C287" s="28" t="s">
        <v>260</v>
      </c>
      <c r="D287" s="107" t="s">
        <v>1337</v>
      </c>
      <c r="E287" s="107"/>
      <c r="F287" s="28" t="s">
        <v>9352</v>
      </c>
      <c r="G287" s="28"/>
      <c r="H287" s="28" t="s">
        <v>9353</v>
      </c>
      <c r="I287" s="28" t="s">
        <v>2714</v>
      </c>
      <c r="J287" s="28" t="s">
        <v>9354</v>
      </c>
      <c r="K287" s="28" t="s">
        <v>9353</v>
      </c>
      <c r="L287" s="28" t="s">
        <v>9355</v>
      </c>
      <c r="M287" s="28" t="s">
        <v>41</v>
      </c>
      <c r="N287" s="28"/>
    </row>
    <row r="288" spans="1:14" ht="14.4">
      <c r="A288" s="28" t="s">
        <v>46</v>
      </c>
      <c r="B288" s="28" t="s">
        <v>8772</v>
      </c>
      <c r="C288" s="28" t="s">
        <v>260</v>
      </c>
      <c r="D288" s="107" t="s">
        <v>1337</v>
      </c>
      <c r="E288" s="107"/>
      <c r="F288" s="28" t="s">
        <v>9356</v>
      </c>
      <c r="G288" s="28"/>
      <c r="H288" s="28" t="s">
        <v>9357</v>
      </c>
      <c r="I288" s="28" t="s">
        <v>521</v>
      </c>
      <c r="J288" s="28" t="s">
        <v>9358</v>
      </c>
      <c r="K288" s="28" t="s">
        <v>9357</v>
      </c>
      <c r="L288" s="28" t="s">
        <v>9359</v>
      </c>
      <c r="M288" s="28" t="s">
        <v>41</v>
      </c>
      <c r="N288" s="28"/>
    </row>
    <row r="289" spans="1:14" ht="14.4">
      <c r="A289" s="28" t="s">
        <v>46</v>
      </c>
      <c r="B289" s="28" t="s">
        <v>8772</v>
      </c>
      <c r="C289" s="28" t="s">
        <v>260</v>
      </c>
      <c r="D289" s="107" t="s">
        <v>1337</v>
      </c>
      <c r="E289" s="107"/>
      <c r="F289" s="28" t="s">
        <v>9360</v>
      </c>
      <c r="G289" s="28"/>
      <c r="H289" s="28" t="s">
        <v>9361</v>
      </c>
      <c r="I289" s="28" t="s">
        <v>521</v>
      </c>
      <c r="J289" s="28" t="s">
        <v>9362</v>
      </c>
      <c r="K289" s="28" t="s">
        <v>9361</v>
      </c>
      <c r="L289" s="28" t="s">
        <v>9363</v>
      </c>
      <c r="M289" s="28" t="s">
        <v>41</v>
      </c>
      <c r="N289" s="28"/>
    </row>
    <row r="290" spans="1:14" ht="14.4">
      <c r="A290" s="28" t="s">
        <v>46</v>
      </c>
      <c r="B290" s="28" t="s">
        <v>8772</v>
      </c>
      <c r="C290" s="28" t="s">
        <v>260</v>
      </c>
      <c r="D290" s="107" t="s">
        <v>1337</v>
      </c>
      <c r="E290" s="107"/>
      <c r="F290" s="28" t="s">
        <v>9364</v>
      </c>
      <c r="G290" s="28"/>
      <c r="H290" s="28" t="s">
        <v>9365</v>
      </c>
      <c r="I290" s="28" t="s">
        <v>887</v>
      </c>
      <c r="J290" s="28" t="s">
        <v>9366</v>
      </c>
      <c r="K290" s="28" t="s">
        <v>9365</v>
      </c>
      <c r="L290" s="28" t="s">
        <v>9367</v>
      </c>
      <c r="M290" s="28" t="s">
        <v>41</v>
      </c>
      <c r="N290" s="28"/>
    </row>
    <row r="291" spans="1:14" ht="14.4">
      <c r="A291" s="28" t="s">
        <v>46</v>
      </c>
      <c r="B291" s="28" t="s">
        <v>8772</v>
      </c>
      <c r="C291" s="28" t="s">
        <v>260</v>
      </c>
      <c r="D291" s="107" t="s">
        <v>1337</v>
      </c>
      <c r="E291" s="107"/>
      <c r="F291" s="28" t="s">
        <v>9368</v>
      </c>
      <c r="G291" s="28"/>
      <c r="H291" s="28" t="s">
        <v>9369</v>
      </c>
      <c r="I291" s="28" t="s">
        <v>898</v>
      </c>
      <c r="J291" s="28" t="s">
        <v>9370</v>
      </c>
      <c r="K291" s="28" t="s">
        <v>9369</v>
      </c>
      <c r="L291" s="28" t="s">
        <v>2336</v>
      </c>
      <c r="M291" s="28" t="s">
        <v>41</v>
      </c>
      <c r="N291" s="28"/>
    </row>
    <row r="292" spans="1:14" ht="14.4">
      <c r="A292" s="28" t="s">
        <v>46</v>
      </c>
      <c r="B292" s="28" t="s">
        <v>8772</v>
      </c>
      <c r="C292" s="28" t="s">
        <v>260</v>
      </c>
      <c r="D292" s="107" t="s">
        <v>1337</v>
      </c>
      <c r="E292" s="107"/>
      <c r="F292" s="28" t="s">
        <v>9371</v>
      </c>
      <c r="G292" s="28"/>
      <c r="H292" s="28" t="s">
        <v>9372</v>
      </c>
      <c r="I292" s="28" t="s">
        <v>521</v>
      </c>
      <c r="J292" s="28" t="s">
        <v>9373</v>
      </c>
      <c r="K292" s="28" t="s">
        <v>9372</v>
      </c>
      <c r="L292" s="28" t="s">
        <v>9374</v>
      </c>
      <c r="M292" s="28" t="s">
        <v>41</v>
      </c>
      <c r="N292" s="28"/>
    </row>
    <row r="293" spans="1:14" ht="14.4">
      <c r="A293" s="28" t="s">
        <v>46</v>
      </c>
      <c r="B293" s="28" t="s">
        <v>8772</v>
      </c>
      <c r="C293" s="28" t="s">
        <v>260</v>
      </c>
      <c r="D293" s="107" t="s">
        <v>1337</v>
      </c>
      <c r="E293" s="107"/>
      <c r="F293" s="28" t="s">
        <v>9375</v>
      </c>
      <c r="G293" s="28"/>
      <c r="H293" s="28" t="s">
        <v>9376</v>
      </c>
      <c r="I293" s="28" t="s">
        <v>2714</v>
      </c>
      <c r="J293" s="28" t="s">
        <v>9377</v>
      </c>
      <c r="K293" s="28" t="s">
        <v>9376</v>
      </c>
      <c r="L293" s="28" t="s">
        <v>8874</v>
      </c>
      <c r="M293" s="28" t="s">
        <v>41</v>
      </c>
      <c r="N293" s="28"/>
    </row>
    <row r="294" spans="1:14" ht="14.4">
      <c r="A294" s="28" t="s">
        <v>46</v>
      </c>
      <c r="B294" s="28" t="s">
        <v>8772</v>
      </c>
      <c r="C294" s="28" t="s">
        <v>260</v>
      </c>
      <c r="D294" s="107" t="s">
        <v>1337</v>
      </c>
      <c r="E294" s="107"/>
      <c r="F294" s="28" t="s">
        <v>9378</v>
      </c>
      <c r="G294" s="28"/>
      <c r="H294" s="28" t="s">
        <v>9379</v>
      </c>
      <c r="I294" s="28" t="s">
        <v>887</v>
      </c>
      <c r="J294" s="28" t="s">
        <v>9380</v>
      </c>
      <c r="K294" s="28" t="s">
        <v>9379</v>
      </c>
      <c r="L294" s="28" t="s">
        <v>9381</v>
      </c>
      <c r="M294" s="28" t="s">
        <v>41</v>
      </c>
      <c r="N294" s="28"/>
    </row>
    <row r="295" spans="1:14" ht="14.4">
      <c r="A295" s="28" t="s">
        <v>46</v>
      </c>
      <c r="B295" s="28" t="s">
        <v>8772</v>
      </c>
      <c r="C295" s="28" t="s">
        <v>260</v>
      </c>
      <c r="D295" s="107" t="s">
        <v>1337</v>
      </c>
      <c r="E295" s="107"/>
      <c r="F295" s="28" t="s">
        <v>9382</v>
      </c>
      <c r="G295" s="28"/>
      <c r="H295" s="28" t="s">
        <v>9383</v>
      </c>
      <c r="I295" s="28" t="s">
        <v>9384</v>
      </c>
      <c r="J295" s="28" t="s">
        <v>9385</v>
      </c>
      <c r="K295" s="28" t="s">
        <v>9383</v>
      </c>
      <c r="L295" s="28" t="s">
        <v>5180</v>
      </c>
      <c r="M295" s="28" t="s">
        <v>41</v>
      </c>
      <c r="N295" s="28"/>
    </row>
    <row r="296" spans="1:14" ht="14.4">
      <c r="A296" s="28" t="s">
        <v>46</v>
      </c>
      <c r="B296" s="28" t="s">
        <v>8772</v>
      </c>
      <c r="C296" s="28" t="s">
        <v>260</v>
      </c>
      <c r="D296" s="107" t="s">
        <v>1337</v>
      </c>
      <c r="E296" s="107"/>
      <c r="F296" s="28" t="s">
        <v>9386</v>
      </c>
      <c r="G296" s="28"/>
      <c r="H296" s="28" t="s">
        <v>9387</v>
      </c>
      <c r="I296" s="28" t="s">
        <v>887</v>
      </c>
      <c r="J296" s="28" t="s">
        <v>9388</v>
      </c>
      <c r="K296" s="28" t="s">
        <v>9387</v>
      </c>
      <c r="L296" s="28" t="s">
        <v>9389</v>
      </c>
      <c r="M296" s="28" t="s">
        <v>41</v>
      </c>
      <c r="N296" s="28"/>
    </row>
    <row r="297" spans="1:14" ht="14.4">
      <c r="A297" s="28" t="s">
        <v>46</v>
      </c>
      <c r="B297" s="28" t="s">
        <v>8772</v>
      </c>
      <c r="C297" s="28" t="s">
        <v>260</v>
      </c>
      <c r="D297" s="107" t="s">
        <v>1337</v>
      </c>
      <c r="E297" s="107"/>
      <c r="F297" s="28" t="s">
        <v>9390</v>
      </c>
      <c r="G297" s="28"/>
      <c r="H297" s="28" t="s">
        <v>9391</v>
      </c>
      <c r="I297" s="28" t="s">
        <v>2714</v>
      </c>
      <c r="J297" s="28" t="s">
        <v>9392</v>
      </c>
      <c r="K297" s="28" t="s">
        <v>9391</v>
      </c>
      <c r="L297" s="28" t="s">
        <v>9393</v>
      </c>
      <c r="M297" s="28" t="s">
        <v>41</v>
      </c>
      <c r="N297" s="28"/>
    </row>
    <row r="298" spans="1:14" ht="14.4">
      <c r="A298" s="28" t="s">
        <v>46</v>
      </c>
      <c r="B298" s="28" t="s">
        <v>8772</v>
      </c>
      <c r="C298" s="28" t="s">
        <v>260</v>
      </c>
      <c r="D298" s="107" t="s">
        <v>1337</v>
      </c>
      <c r="E298" s="107"/>
      <c r="F298" s="28" t="s">
        <v>9394</v>
      </c>
      <c r="G298" s="28"/>
      <c r="H298" s="28"/>
      <c r="I298" s="28"/>
      <c r="J298" s="28"/>
      <c r="K298" s="28"/>
      <c r="L298" s="28"/>
      <c r="M298" s="28" t="s">
        <v>41</v>
      </c>
      <c r="N298" s="28"/>
    </row>
    <row r="299" spans="1:14" ht="14.4">
      <c r="A299" s="28" t="s">
        <v>46</v>
      </c>
      <c r="B299" s="28" t="s">
        <v>8772</v>
      </c>
      <c r="C299" s="28" t="s">
        <v>260</v>
      </c>
      <c r="D299" s="107" t="s">
        <v>1337</v>
      </c>
      <c r="E299" s="107"/>
      <c r="F299" s="28" t="s">
        <v>9395</v>
      </c>
      <c r="G299" s="28"/>
      <c r="H299" s="28" t="s">
        <v>9396</v>
      </c>
      <c r="I299" s="28" t="s">
        <v>887</v>
      </c>
      <c r="J299" s="28" t="s">
        <v>9397</v>
      </c>
      <c r="K299" s="28" t="s">
        <v>9396</v>
      </c>
      <c r="L299" s="28" t="s">
        <v>9398</v>
      </c>
      <c r="M299" s="28" t="s">
        <v>41</v>
      </c>
      <c r="N299" s="28"/>
    </row>
    <row r="300" spans="1:14" ht="14.4">
      <c r="A300" s="28" t="s">
        <v>46</v>
      </c>
      <c r="B300" s="28" t="s">
        <v>8772</v>
      </c>
      <c r="C300" s="28" t="s">
        <v>20</v>
      </c>
      <c r="D300" s="107" t="s">
        <v>1337</v>
      </c>
      <c r="E300" s="107"/>
      <c r="F300" s="28" t="s">
        <v>9399</v>
      </c>
      <c r="G300" s="28" t="s">
        <v>9400</v>
      </c>
      <c r="H300" s="28" t="s">
        <v>9401</v>
      </c>
      <c r="I300" s="28" t="s">
        <v>9402</v>
      </c>
      <c r="J300" s="28" t="s">
        <v>9403</v>
      </c>
      <c r="K300" s="28" t="s">
        <v>9401</v>
      </c>
      <c r="L300" s="28"/>
      <c r="M300" s="28" t="s">
        <v>41</v>
      </c>
      <c r="N300" s="28"/>
    </row>
    <row r="301" spans="1:14" ht="14.4">
      <c r="A301" s="28" t="s">
        <v>46</v>
      </c>
      <c r="B301" s="28" t="s">
        <v>8921</v>
      </c>
      <c r="C301" s="28" t="s">
        <v>260</v>
      </c>
      <c r="D301" s="107" t="s">
        <v>1337</v>
      </c>
      <c r="E301" s="107"/>
      <c r="F301" s="28" t="s">
        <v>9404</v>
      </c>
      <c r="G301" s="28"/>
      <c r="H301" s="28" t="s">
        <v>9405</v>
      </c>
      <c r="I301" s="28" t="s">
        <v>9406</v>
      </c>
      <c r="J301" s="28"/>
      <c r="K301" s="28" t="s">
        <v>9405</v>
      </c>
      <c r="L301" s="28" t="s">
        <v>9407</v>
      </c>
      <c r="M301" s="28" t="s">
        <v>41</v>
      </c>
      <c r="N301" s="28"/>
    </row>
    <row r="302" spans="1:14" ht="14.4">
      <c r="A302" s="28" t="s">
        <v>46</v>
      </c>
      <c r="B302" s="28" t="s">
        <v>8921</v>
      </c>
      <c r="C302" s="28" t="s">
        <v>260</v>
      </c>
      <c r="D302" s="107" t="s">
        <v>1337</v>
      </c>
      <c r="E302" s="107"/>
      <c r="F302" s="28" t="s">
        <v>9408</v>
      </c>
      <c r="G302" s="28"/>
      <c r="H302" s="28" t="s">
        <v>9409</v>
      </c>
      <c r="I302" s="28" t="s">
        <v>9410</v>
      </c>
      <c r="J302" s="28"/>
      <c r="K302" s="28" t="s">
        <v>9409</v>
      </c>
      <c r="L302" s="28" t="s">
        <v>9411</v>
      </c>
      <c r="M302" s="28" t="s">
        <v>41</v>
      </c>
      <c r="N302" s="28"/>
    </row>
    <row r="303" spans="1:14" ht="14.4">
      <c r="A303" s="28" t="s">
        <v>46</v>
      </c>
      <c r="B303" s="28" t="s">
        <v>8921</v>
      </c>
      <c r="C303" s="28" t="s">
        <v>260</v>
      </c>
      <c r="D303" s="107" t="s">
        <v>1337</v>
      </c>
      <c r="E303" s="107"/>
      <c r="F303" s="28" t="s">
        <v>9412</v>
      </c>
      <c r="G303" s="28"/>
      <c r="H303" s="28" t="s">
        <v>9413</v>
      </c>
      <c r="I303" s="28" t="s">
        <v>9414</v>
      </c>
      <c r="J303" s="28"/>
      <c r="K303" s="28" t="s">
        <v>9413</v>
      </c>
      <c r="L303" s="28" t="s">
        <v>9415</v>
      </c>
      <c r="M303" s="28" t="s">
        <v>41</v>
      </c>
      <c r="N303" s="28"/>
    </row>
    <row r="304" spans="1:14" ht="14.4">
      <c r="A304" s="28" t="s">
        <v>46</v>
      </c>
      <c r="B304" s="28" t="s">
        <v>8921</v>
      </c>
      <c r="C304" s="28" t="s">
        <v>260</v>
      </c>
      <c r="D304" s="107" t="s">
        <v>1337</v>
      </c>
      <c r="E304" s="107"/>
      <c r="F304" s="28" t="s">
        <v>9416</v>
      </c>
      <c r="G304" s="28"/>
      <c r="H304" s="28" t="s">
        <v>9417</v>
      </c>
      <c r="I304" s="28" t="s">
        <v>9418</v>
      </c>
      <c r="J304" s="28"/>
      <c r="K304" s="28" t="s">
        <v>9417</v>
      </c>
      <c r="L304" s="28" t="s">
        <v>9419</v>
      </c>
      <c r="M304" s="28" t="s">
        <v>41</v>
      </c>
      <c r="N304" s="28"/>
    </row>
    <row r="305" spans="1:14" ht="14.4">
      <c r="A305" s="28" t="s">
        <v>46</v>
      </c>
      <c r="B305" s="28" t="s">
        <v>8921</v>
      </c>
      <c r="C305" s="28" t="s">
        <v>260</v>
      </c>
      <c r="D305" s="107" t="s">
        <v>1337</v>
      </c>
      <c r="E305" s="107"/>
      <c r="F305" s="28" t="s">
        <v>9420</v>
      </c>
      <c r="G305" s="28"/>
      <c r="H305" s="28" t="s">
        <v>9421</v>
      </c>
      <c r="I305" s="28" t="s">
        <v>9422</v>
      </c>
      <c r="J305" s="28"/>
      <c r="K305" s="28" t="s">
        <v>9421</v>
      </c>
      <c r="L305" s="28" t="s">
        <v>9423</v>
      </c>
      <c r="M305" s="28" t="s">
        <v>41</v>
      </c>
      <c r="N305" s="28"/>
    </row>
    <row r="306" spans="1:14" ht="14.4">
      <c r="A306" s="28" t="s">
        <v>46</v>
      </c>
      <c r="B306" s="28" t="s">
        <v>8921</v>
      </c>
      <c r="C306" s="28" t="s">
        <v>260</v>
      </c>
      <c r="D306" s="107" t="s">
        <v>1337</v>
      </c>
      <c r="E306" s="107"/>
      <c r="F306" s="28" t="s">
        <v>9424</v>
      </c>
      <c r="G306" s="28"/>
      <c r="H306" s="28" t="s">
        <v>9425</v>
      </c>
      <c r="I306" s="28" t="s">
        <v>9426</v>
      </c>
      <c r="J306" s="28"/>
      <c r="K306" s="28" t="s">
        <v>9425</v>
      </c>
      <c r="L306" s="28" t="s">
        <v>9427</v>
      </c>
      <c r="M306" s="28" t="s">
        <v>41</v>
      </c>
      <c r="N306" s="28"/>
    </row>
    <row r="307" spans="1:14" ht="14.4">
      <c r="A307" s="28" t="s">
        <v>46</v>
      </c>
      <c r="B307" s="28" t="s">
        <v>8921</v>
      </c>
      <c r="C307" s="28" t="s">
        <v>260</v>
      </c>
      <c r="D307" s="107" t="s">
        <v>1337</v>
      </c>
      <c r="E307" s="107"/>
      <c r="F307" s="28" t="s">
        <v>9428</v>
      </c>
      <c r="G307" s="28"/>
      <c r="H307" s="28" t="s">
        <v>9429</v>
      </c>
      <c r="I307" s="28" t="s">
        <v>9430</v>
      </c>
      <c r="J307" s="28"/>
      <c r="K307" s="28" t="s">
        <v>9429</v>
      </c>
      <c r="L307" s="28" t="s">
        <v>9431</v>
      </c>
      <c r="M307" s="28" t="s">
        <v>41</v>
      </c>
      <c r="N307" s="28"/>
    </row>
    <row r="308" spans="1:14" ht="14.4">
      <c r="A308" s="28" t="s">
        <v>46</v>
      </c>
      <c r="B308" s="28" t="s">
        <v>8921</v>
      </c>
      <c r="C308" s="28" t="s">
        <v>260</v>
      </c>
      <c r="D308" s="107" t="s">
        <v>1337</v>
      </c>
      <c r="E308" s="107"/>
      <c r="F308" s="28" t="s">
        <v>9432</v>
      </c>
      <c r="G308" s="28"/>
      <c r="H308" s="28" t="s">
        <v>9421</v>
      </c>
      <c r="I308" s="28" t="s">
        <v>9433</v>
      </c>
      <c r="J308" s="28"/>
      <c r="K308" s="28" t="s">
        <v>9421</v>
      </c>
      <c r="L308" s="28" t="s">
        <v>9434</v>
      </c>
      <c r="M308" s="28" t="s">
        <v>41</v>
      </c>
      <c r="N308" s="28"/>
    </row>
    <row r="309" spans="1:14" ht="14.4">
      <c r="A309" s="28" t="s">
        <v>46</v>
      </c>
      <c r="B309" s="28" t="s">
        <v>8921</v>
      </c>
      <c r="C309" s="28" t="s">
        <v>260</v>
      </c>
      <c r="D309" s="107" t="s">
        <v>1337</v>
      </c>
      <c r="E309" s="107"/>
      <c r="F309" s="28" t="s">
        <v>9435</v>
      </c>
      <c r="G309" s="28"/>
      <c r="H309" s="28" t="s">
        <v>9436</v>
      </c>
      <c r="I309" s="28" t="s">
        <v>9437</v>
      </c>
      <c r="J309" s="28"/>
      <c r="K309" s="28" t="s">
        <v>9436</v>
      </c>
      <c r="L309" s="28" t="s">
        <v>9438</v>
      </c>
      <c r="M309" s="28" t="s">
        <v>41</v>
      </c>
      <c r="N309" s="28"/>
    </row>
    <row r="310" spans="1:14" ht="14.4">
      <c r="A310" s="28" t="s">
        <v>46</v>
      </c>
      <c r="B310" s="28" t="s">
        <v>8921</v>
      </c>
      <c r="C310" s="28" t="s">
        <v>260</v>
      </c>
      <c r="D310" s="107" t="s">
        <v>1337</v>
      </c>
      <c r="E310" s="107"/>
      <c r="F310" s="28" t="s">
        <v>9439</v>
      </c>
      <c r="G310" s="28"/>
      <c r="H310" s="28" t="s">
        <v>9440</v>
      </c>
      <c r="I310" s="28" t="s">
        <v>9441</v>
      </c>
      <c r="J310" s="28"/>
      <c r="K310" s="28" t="s">
        <v>9440</v>
      </c>
      <c r="L310" s="28" t="s">
        <v>9442</v>
      </c>
      <c r="M310" s="28" t="s">
        <v>41</v>
      </c>
      <c r="N310" s="28"/>
    </row>
    <row r="311" spans="1:14" ht="14.4">
      <c r="A311" s="28" t="s">
        <v>46</v>
      </c>
      <c r="B311" s="28" t="s">
        <v>8921</v>
      </c>
      <c r="C311" s="28" t="s">
        <v>260</v>
      </c>
      <c r="D311" s="107" t="s">
        <v>1337</v>
      </c>
      <c r="E311" s="107"/>
      <c r="F311" s="28" t="s">
        <v>9443</v>
      </c>
      <c r="G311" s="28"/>
      <c r="H311" s="28" t="s">
        <v>9421</v>
      </c>
      <c r="I311" s="28" t="s">
        <v>9444</v>
      </c>
      <c r="J311" s="28"/>
      <c r="K311" s="28" t="s">
        <v>9421</v>
      </c>
      <c r="L311" s="28" t="s">
        <v>8982</v>
      </c>
      <c r="M311" s="28" t="s">
        <v>41</v>
      </c>
      <c r="N311" s="28"/>
    </row>
    <row r="312" spans="1:14" ht="14.4">
      <c r="A312" s="28" t="s">
        <v>46</v>
      </c>
      <c r="B312" s="28" t="s">
        <v>8921</v>
      </c>
      <c r="C312" s="28" t="s">
        <v>260</v>
      </c>
      <c r="D312" s="107" t="s">
        <v>1337</v>
      </c>
      <c r="E312" s="107"/>
      <c r="F312" s="28" t="s">
        <v>9445</v>
      </c>
      <c r="G312" s="28"/>
      <c r="H312" s="28" t="s">
        <v>9446</v>
      </c>
      <c r="I312" s="28" t="s">
        <v>9447</v>
      </c>
      <c r="J312" s="28"/>
      <c r="K312" s="28" t="s">
        <v>9446</v>
      </c>
      <c r="L312" s="28" t="s">
        <v>9448</v>
      </c>
      <c r="M312" s="28" t="s">
        <v>41</v>
      </c>
      <c r="N312" s="28"/>
    </row>
    <row r="313" spans="1:14" ht="14.4">
      <c r="A313" s="28" t="s">
        <v>46</v>
      </c>
      <c r="B313" s="28" t="s">
        <v>8921</v>
      </c>
      <c r="C313" s="28" t="s">
        <v>260</v>
      </c>
      <c r="D313" s="107" t="s">
        <v>1337</v>
      </c>
      <c r="E313" s="107"/>
      <c r="F313" s="28" t="s">
        <v>9449</v>
      </c>
      <c r="G313" s="28"/>
      <c r="H313" s="28" t="s">
        <v>9450</v>
      </c>
      <c r="I313" s="28" t="s">
        <v>9451</v>
      </c>
      <c r="J313" s="28"/>
      <c r="K313" s="28" t="s">
        <v>9450</v>
      </c>
      <c r="L313" s="28" t="s">
        <v>9452</v>
      </c>
      <c r="M313" s="28" t="s">
        <v>41</v>
      </c>
      <c r="N313" s="28"/>
    </row>
    <row r="314" spans="1:14" ht="14.4">
      <c r="A314" s="28" t="s">
        <v>46</v>
      </c>
      <c r="B314" s="28" t="s">
        <v>8921</v>
      </c>
      <c r="C314" s="28" t="s">
        <v>260</v>
      </c>
      <c r="D314" s="107" t="s">
        <v>1337</v>
      </c>
      <c r="E314" s="107"/>
      <c r="F314" s="28" t="s">
        <v>9453</v>
      </c>
      <c r="G314" s="28"/>
      <c r="H314" s="28" t="s">
        <v>9454</v>
      </c>
      <c r="I314" s="28"/>
      <c r="J314" s="28"/>
      <c r="K314" s="28" t="s">
        <v>9454</v>
      </c>
      <c r="L314" s="28"/>
      <c r="M314" s="28" t="s">
        <v>41</v>
      </c>
      <c r="N314" s="28"/>
    </row>
    <row r="315" spans="1:14" ht="14.4">
      <c r="A315" s="28" t="s">
        <v>46</v>
      </c>
      <c r="B315" s="28" t="s">
        <v>8921</v>
      </c>
      <c r="C315" s="28" t="s">
        <v>260</v>
      </c>
      <c r="D315" s="107" t="s">
        <v>1337</v>
      </c>
      <c r="E315" s="107"/>
      <c r="F315" s="28" t="s">
        <v>9455</v>
      </c>
      <c r="G315" s="28"/>
      <c r="H315" s="28" t="s">
        <v>9421</v>
      </c>
      <c r="I315" s="28" t="s">
        <v>9456</v>
      </c>
      <c r="J315" s="28"/>
      <c r="K315" s="28" t="s">
        <v>9421</v>
      </c>
      <c r="L315" s="28" t="s">
        <v>9457</v>
      </c>
      <c r="M315" s="28" t="s">
        <v>41</v>
      </c>
      <c r="N315" s="28" t="s">
        <v>9458</v>
      </c>
    </row>
    <row r="316" spans="1:14" ht="14.4">
      <c r="A316" s="28" t="s">
        <v>46</v>
      </c>
      <c r="B316" s="28" t="s">
        <v>8921</v>
      </c>
      <c r="C316" s="28" t="s">
        <v>260</v>
      </c>
      <c r="D316" s="107" t="s">
        <v>1337</v>
      </c>
      <c r="E316" s="107"/>
      <c r="F316" s="28" t="s">
        <v>9459</v>
      </c>
      <c r="G316" s="28"/>
      <c r="H316" s="28" t="s">
        <v>9460</v>
      </c>
      <c r="I316" s="28" t="s">
        <v>9461</v>
      </c>
      <c r="J316" s="28"/>
      <c r="K316" s="28" t="s">
        <v>9460</v>
      </c>
      <c r="L316" s="28" t="s">
        <v>9462</v>
      </c>
      <c r="M316" s="28" t="s">
        <v>41</v>
      </c>
      <c r="N316" s="28"/>
    </row>
    <row r="317" spans="1:14" ht="14.4">
      <c r="A317" s="28" t="s">
        <v>46</v>
      </c>
      <c r="B317" s="28" t="s">
        <v>8921</v>
      </c>
      <c r="C317" s="28" t="s">
        <v>260</v>
      </c>
      <c r="D317" s="107" t="s">
        <v>1337</v>
      </c>
      <c r="E317" s="107"/>
      <c r="F317" s="28" t="s">
        <v>9463</v>
      </c>
      <c r="G317" s="28"/>
      <c r="H317" s="28" t="s">
        <v>9464</v>
      </c>
      <c r="I317" s="28" t="s">
        <v>9465</v>
      </c>
      <c r="J317" s="28"/>
      <c r="K317" s="28" t="s">
        <v>9464</v>
      </c>
      <c r="L317" s="28" t="s">
        <v>9466</v>
      </c>
      <c r="M317" s="28" t="s">
        <v>41</v>
      </c>
      <c r="N317" s="28"/>
    </row>
    <row r="318" spans="1:14" ht="14.4">
      <c r="A318" s="28" t="s">
        <v>46</v>
      </c>
      <c r="B318" s="28" t="s">
        <v>8921</v>
      </c>
      <c r="C318" s="28" t="s">
        <v>260</v>
      </c>
      <c r="D318" s="107" t="s">
        <v>1337</v>
      </c>
      <c r="E318" s="107"/>
      <c r="F318" s="28" t="s">
        <v>9467</v>
      </c>
      <c r="G318" s="28"/>
      <c r="H318" s="28" t="s">
        <v>9468</v>
      </c>
      <c r="I318" s="28" t="s">
        <v>9469</v>
      </c>
      <c r="J318" s="28"/>
      <c r="K318" s="28" t="s">
        <v>9468</v>
      </c>
      <c r="L318" s="28" t="s">
        <v>9470</v>
      </c>
      <c r="M318" s="28" t="s">
        <v>41</v>
      </c>
      <c r="N318" s="28"/>
    </row>
    <row r="319" spans="1:14" ht="14.4">
      <c r="A319" s="28" t="s">
        <v>46</v>
      </c>
      <c r="B319" s="28" t="s">
        <v>8921</v>
      </c>
      <c r="C319" s="28" t="s">
        <v>260</v>
      </c>
      <c r="D319" s="107" t="s">
        <v>1337</v>
      </c>
      <c r="E319" s="107"/>
      <c r="F319" s="28" t="s">
        <v>9471</v>
      </c>
      <c r="G319" s="28"/>
      <c r="H319" s="28" t="s">
        <v>9472</v>
      </c>
      <c r="I319" s="28" t="s">
        <v>9473</v>
      </c>
      <c r="J319" s="28"/>
      <c r="K319" s="28" t="s">
        <v>9472</v>
      </c>
      <c r="L319" s="28" t="s">
        <v>9474</v>
      </c>
      <c r="M319" s="28" t="s">
        <v>41</v>
      </c>
      <c r="N319" s="28"/>
    </row>
    <row r="320" spans="1:14" ht="14.4">
      <c r="A320" s="28" t="s">
        <v>46</v>
      </c>
      <c r="B320" s="28" t="s">
        <v>8921</v>
      </c>
      <c r="C320" s="28" t="s">
        <v>260</v>
      </c>
      <c r="D320" s="107" t="s">
        <v>1337</v>
      </c>
      <c r="E320" s="107"/>
      <c r="F320" s="28" t="s">
        <v>9475</v>
      </c>
      <c r="G320" s="28"/>
      <c r="H320" s="28" t="s">
        <v>9476</v>
      </c>
      <c r="I320" s="28" t="s">
        <v>9477</v>
      </c>
      <c r="J320" s="28"/>
      <c r="K320" s="28" t="s">
        <v>9476</v>
      </c>
      <c r="L320" s="28" t="s">
        <v>9478</v>
      </c>
      <c r="M320" s="28" t="s">
        <v>41</v>
      </c>
      <c r="N320" s="28"/>
    </row>
    <row r="321" spans="1:14" ht="14.4">
      <c r="A321" s="28" t="s">
        <v>46</v>
      </c>
      <c r="B321" s="28" t="s">
        <v>8921</v>
      </c>
      <c r="C321" s="28" t="s">
        <v>260</v>
      </c>
      <c r="D321" s="107" t="s">
        <v>1337</v>
      </c>
      <c r="E321" s="107"/>
      <c r="F321" s="28" t="s">
        <v>9479</v>
      </c>
      <c r="G321" s="28"/>
      <c r="H321" s="28" t="s">
        <v>9480</v>
      </c>
      <c r="I321" s="28" t="s">
        <v>9481</v>
      </c>
      <c r="J321" s="28"/>
      <c r="K321" s="28" t="s">
        <v>9480</v>
      </c>
      <c r="L321" s="28" t="s">
        <v>9482</v>
      </c>
      <c r="M321" s="28" t="s">
        <v>41</v>
      </c>
      <c r="N321" s="28"/>
    </row>
    <row r="322" spans="1:14" ht="14.4">
      <c r="A322" s="28" t="s">
        <v>46</v>
      </c>
      <c r="B322" s="28" t="s">
        <v>8921</v>
      </c>
      <c r="C322" s="28" t="s">
        <v>260</v>
      </c>
      <c r="D322" s="107" t="s">
        <v>1337</v>
      </c>
      <c r="E322" s="107"/>
      <c r="F322" s="28" t="s">
        <v>9483</v>
      </c>
      <c r="G322" s="28"/>
      <c r="H322" s="28" t="s">
        <v>9484</v>
      </c>
      <c r="I322" s="28" t="s">
        <v>9485</v>
      </c>
      <c r="J322" s="28"/>
      <c r="K322" s="28" t="s">
        <v>9484</v>
      </c>
      <c r="L322" s="28" t="s">
        <v>9486</v>
      </c>
      <c r="M322" s="28" t="s">
        <v>41</v>
      </c>
      <c r="N322" s="28"/>
    </row>
    <row r="323" spans="1:14" ht="14.4">
      <c r="A323" s="28" t="s">
        <v>46</v>
      </c>
      <c r="B323" s="28" t="s">
        <v>8921</v>
      </c>
      <c r="C323" s="28" t="s">
        <v>260</v>
      </c>
      <c r="D323" s="107" t="s">
        <v>1337</v>
      </c>
      <c r="E323" s="107"/>
      <c r="F323" s="28" t="s">
        <v>9487</v>
      </c>
      <c r="G323" s="28"/>
      <c r="H323" s="28" t="s">
        <v>9488</v>
      </c>
      <c r="I323" s="28" t="s">
        <v>9489</v>
      </c>
      <c r="J323" s="28"/>
      <c r="K323" s="28" t="s">
        <v>9488</v>
      </c>
      <c r="L323" s="28" t="s">
        <v>9490</v>
      </c>
      <c r="M323" s="28" t="s">
        <v>41</v>
      </c>
      <c r="N323" s="28"/>
    </row>
    <row r="324" spans="1:14" ht="14.4">
      <c r="A324" s="28" t="s">
        <v>46</v>
      </c>
      <c r="B324" s="28" t="s">
        <v>8921</v>
      </c>
      <c r="C324" s="28" t="s">
        <v>260</v>
      </c>
      <c r="D324" s="107" t="s">
        <v>1337</v>
      </c>
      <c r="E324" s="107"/>
      <c r="F324" s="28" t="s">
        <v>9491</v>
      </c>
      <c r="G324" s="28"/>
      <c r="H324" s="28" t="s">
        <v>9492</v>
      </c>
      <c r="I324" s="28" t="s">
        <v>9493</v>
      </c>
      <c r="J324" s="28"/>
      <c r="K324" s="28" t="s">
        <v>9492</v>
      </c>
      <c r="L324" s="28" t="s">
        <v>8982</v>
      </c>
      <c r="M324" s="28" t="s">
        <v>41</v>
      </c>
      <c r="N324" s="28"/>
    </row>
    <row r="325" spans="1:14" ht="14.4">
      <c r="A325" s="28" t="s">
        <v>46</v>
      </c>
      <c r="B325" s="28" t="s">
        <v>8921</v>
      </c>
      <c r="C325" s="28" t="s">
        <v>260</v>
      </c>
      <c r="D325" s="107" t="s">
        <v>1337</v>
      </c>
      <c r="E325" s="107"/>
      <c r="F325" s="28" t="s">
        <v>9494</v>
      </c>
      <c r="G325" s="28"/>
      <c r="H325" s="28" t="s">
        <v>9495</v>
      </c>
      <c r="I325" s="28" t="s">
        <v>9496</v>
      </c>
      <c r="J325" s="28"/>
      <c r="K325" s="28" t="s">
        <v>9495</v>
      </c>
      <c r="L325" s="28" t="s">
        <v>9497</v>
      </c>
      <c r="M325" s="28" t="s">
        <v>41</v>
      </c>
      <c r="N325" s="28"/>
    </row>
    <row r="326" spans="1:14" ht="14.4">
      <c r="A326" s="28" t="s">
        <v>46</v>
      </c>
      <c r="B326" s="28" t="s">
        <v>8921</v>
      </c>
      <c r="C326" s="28" t="s">
        <v>260</v>
      </c>
      <c r="D326" s="107" t="s">
        <v>1337</v>
      </c>
      <c r="E326" s="107"/>
      <c r="F326" s="28" t="s">
        <v>9498</v>
      </c>
      <c r="G326" s="28"/>
      <c r="H326" s="28" t="s">
        <v>9499</v>
      </c>
      <c r="I326" s="28" t="s">
        <v>9500</v>
      </c>
      <c r="J326" s="28"/>
      <c r="K326" s="28" t="s">
        <v>9499</v>
      </c>
      <c r="L326" s="28" t="s">
        <v>9501</v>
      </c>
      <c r="M326" s="28" t="s">
        <v>41</v>
      </c>
      <c r="N326" s="28"/>
    </row>
    <row r="327" spans="1:14" ht="14.4">
      <c r="A327" s="28" t="s">
        <v>46</v>
      </c>
      <c r="B327" s="28" t="s">
        <v>8921</v>
      </c>
      <c r="C327" s="28" t="s">
        <v>260</v>
      </c>
      <c r="D327" s="107" t="s">
        <v>1337</v>
      </c>
      <c r="E327" s="107"/>
      <c r="F327" s="28" t="s">
        <v>9502</v>
      </c>
      <c r="G327" s="28"/>
      <c r="H327" s="28" t="s">
        <v>9503</v>
      </c>
      <c r="I327" s="28" t="s">
        <v>9504</v>
      </c>
      <c r="J327" s="28"/>
      <c r="K327" s="28" t="s">
        <v>9503</v>
      </c>
      <c r="L327" s="28" t="s">
        <v>9505</v>
      </c>
      <c r="M327" s="28" t="s">
        <v>41</v>
      </c>
      <c r="N327" s="28"/>
    </row>
    <row r="328" spans="1:14" ht="14.4">
      <c r="A328" s="28" t="s">
        <v>46</v>
      </c>
      <c r="B328" s="28" t="s">
        <v>8921</v>
      </c>
      <c r="C328" s="28" t="s">
        <v>260</v>
      </c>
      <c r="D328" s="107" t="s">
        <v>1337</v>
      </c>
      <c r="E328" s="107"/>
      <c r="F328" s="28" t="s">
        <v>9506</v>
      </c>
      <c r="G328" s="28"/>
      <c r="H328" s="28" t="s">
        <v>9507</v>
      </c>
      <c r="I328" s="28" t="s">
        <v>9508</v>
      </c>
      <c r="J328" s="28"/>
      <c r="K328" s="28" t="s">
        <v>9507</v>
      </c>
      <c r="L328" s="28" t="s">
        <v>989</v>
      </c>
      <c r="M328" s="28" t="s">
        <v>41</v>
      </c>
      <c r="N328" s="28"/>
    </row>
    <row r="329" spans="1:14" ht="14.4">
      <c r="A329" s="28" t="s">
        <v>46</v>
      </c>
      <c r="B329" s="28" t="s">
        <v>8921</v>
      </c>
      <c r="C329" s="28" t="s">
        <v>260</v>
      </c>
      <c r="D329" s="107" t="s">
        <v>1337</v>
      </c>
      <c r="E329" s="107"/>
      <c r="F329" s="28" t="s">
        <v>9509</v>
      </c>
      <c r="G329" s="28"/>
      <c r="H329" s="28" t="s">
        <v>9510</v>
      </c>
      <c r="I329" s="28" t="s">
        <v>9511</v>
      </c>
      <c r="J329" s="28"/>
      <c r="K329" s="28" t="s">
        <v>9510</v>
      </c>
      <c r="L329" s="28" t="s">
        <v>9512</v>
      </c>
      <c r="M329" s="28" t="s">
        <v>41</v>
      </c>
      <c r="N329" s="28"/>
    </row>
    <row r="330" spans="1:14" ht="14.4">
      <c r="A330" s="28" t="s">
        <v>46</v>
      </c>
      <c r="B330" s="28" t="s">
        <v>8921</v>
      </c>
      <c r="C330" s="28" t="s">
        <v>260</v>
      </c>
      <c r="D330" s="107" t="s">
        <v>1337</v>
      </c>
      <c r="E330" s="107"/>
      <c r="F330" s="28" t="s">
        <v>9513</v>
      </c>
      <c r="G330" s="28"/>
      <c r="H330" s="28" t="s">
        <v>9421</v>
      </c>
      <c r="I330" s="28" t="s">
        <v>9514</v>
      </c>
      <c r="J330" s="28"/>
      <c r="K330" s="28" t="s">
        <v>9421</v>
      </c>
      <c r="L330" s="28" t="s">
        <v>2264</v>
      </c>
      <c r="M330" s="28" t="s">
        <v>41</v>
      </c>
      <c r="N330" s="28"/>
    </row>
    <row r="331" spans="1:14" ht="14.4">
      <c r="A331" s="28" t="s">
        <v>46</v>
      </c>
      <c r="B331" s="28" t="s">
        <v>8921</v>
      </c>
      <c r="C331" s="28" t="s">
        <v>260</v>
      </c>
      <c r="D331" s="107" t="s">
        <v>1337</v>
      </c>
      <c r="E331" s="107"/>
      <c r="F331" s="28" t="s">
        <v>9515</v>
      </c>
      <c r="G331" s="28"/>
      <c r="H331" s="28" t="s">
        <v>9516</v>
      </c>
      <c r="I331" s="28" t="s">
        <v>9517</v>
      </c>
      <c r="J331" s="28"/>
      <c r="K331" s="28" t="s">
        <v>9516</v>
      </c>
      <c r="L331" s="28" t="s">
        <v>9518</v>
      </c>
      <c r="M331" s="28" t="s">
        <v>41</v>
      </c>
      <c r="N331" s="28"/>
    </row>
    <row r="332" spans="1:14" ht="14.4">
      <c r="A332" s="28" t="s">
        <v>46</v>
      </c>
      <c r="B332" s="28" t="s">
        <v>8921</v>
      </c>
      <c r="C332" s="28" t="s">
        <v>260</v>
      </c>
      <c r="D332" s="107" t="s">
        <v>1337</v>
      </c>
      <c r="E332" s="107"/>
      <c r="F332" s="28" t="s">
        <v>9519</v>
      </c>
      <c r="G332" s="28"/>
      <c r="H332" s="28" t="s">
        <v>9421</v>
      </c>
      <c r="I332" s="28" t="s">
        <v>9520</v>
      </c>
      <c r="J332" s="28"/>
      <c r="K332" s="28" t="s">
        <v>9421</v>
      </c>
      <c r="L332" s="28" t="s">
        <v>9521</v>
      </c>
      <c r="M332" s="28" t="s">
        <v>41</v>
      </c>
      <c r="N332" s="28"/>
    </row>
    <row r="333" spans="1:14" ht="14.4">
      <c r="A333" s="28" t="s">
        <v>46</v>
      </c>
      <c r="B333" s="28" t="s">
        <v>8921</v>
      </c>
      <c r="C333" s="28" t="s">
        <v>260</v>
      </c>
      <c r="D333" s="107" t="s">
        <v>1337</v>
      </c>
      <c r="E333" s="107"/>
      <c r="F333" s="28" t="s">
        <v>9522</v>
      </c>
      <c r="G333" s="28"/>
      <c r="H333" s="28" t="s">
        <v>9523</v>
      </c>
      <c r="I333" s="28" t="s">
        <v>9524</v>
      </c>
      <c r="J333" s="28"/>
      <c r="K333" s="28" t="s">
        <v>9523</v>
      </c>
      <c r="L333" s="28" t="s">
        <v>9525</v>
      </c>
      <c r="M333" s="28" t="s">
        <v>41</v>
      </c>
      <c r="N333" s="28"/>
    </row>
    <row r="334" spans="1:14" ht="14.4">
      <c r="A334" s="28" t="s">
        <v>46</v>
      </c>
      <c r="B334" s="28" t="s">
        <v>8921</v>
      </c>
      <c r="C334" s="28" t="s">
        <v>260</v>
      </c>
      <c r="D334" s="107" t="s">
        <v>1337</v>
      </c>
      <c r="E334" s="107"/>
      <c r="F334" s="28" t="s">
        <v>9526</v>
      </c>
      <c r="G334" s="28"/>
      <c r="H334" s="28" t="s">
        <v>9527</v>
      </c>
      <c r="I334" s="28" t="s">
        <v>9528</v>
      </c>
      <c r="J334" s="28"/>
      <c r="K334" s="28" t="s">
        <v>9527</v>
      </c>
      <c r="L334" s="28" t="s">
        <v>9529</v>
      </c>
      <c r="M334" s="28" t="s">
        <v>41</v>
      </c>
      <c r="N334" s="28"/>
    </row>
    <row r="335" spans="1:14" ht="14.4">
      <c r="A335" s="28" t="s">
        <v>46</v>
      </c>
      <c r="B335" s="28" t="s">
        <v>8921</v>
      </c>
      <c r="C335" s="28" t="s">
        <v>260</v>
      </c>
      <c r="D335" s="107" t="s">
        <v>1337</v>
      </c>
      <c r="E335" s="107"/>
      <c r="F335" s="28" t="s">
        <v>9530</v>
      </c>
      <c r="G335" s="28"/>
      <c r="H335" s="28" t="s">
        <v>9531</v>
      </c>
      <c r="I335" s="28" t="s">
        <v>9532</v>
      </c>
      <c r="J335" s="28"/>
      <c r="K335" s="28" t="s">
        <v>9531</v>
      </c>
      <c r="L335" s="28" t="s">
        <v>9070</v>
      </c>
      <c r="M335" s="28" t="s">
        <v>41</v>
      </c>
      <c r="N335" s="28"/>
    </row>
    <row r="336" spans="1:14" ht="14.4">
      <c r="A336" s="28" t="s">
        <v>46</v>
      </c>
      <c r="B336" s="28" t="s">
        <v>8921</v>
      </c>
      <c r="C336" s="28" t="s">
        <v>260</v>
      </c>
      <c r="D336" s="107" t="s">
        <v>1337</v>
      </c>
      <c r="E336" s="107"/>
      <c r="F336" s="28" t="s">
        <v>9533</v>
      </c>
      <c r="G336" s="28"/>
      <c r="H336" s="28" t="s">
        <v>9534</v>
      </c>
      <c r="I336" s="28" t="s">
        <v>9535</v>
      </c>
      <c r="J336" s="28"/>
      <c r="K336" s="28" t="s">
        <v>9534</v>
      </c>
      <c r="L336" s="28" t="s">
        <v>9078</v>
      </c>
      <c r="M336" s="28" t="s">
        <v>41</v>
      </c>
      <c r="N336" s="28"/>
    </row>
    <row r="337" spans="1:14" ht="14.4">
      <c r="A337" s="28" t="s">
        <v>46</v>
      </c>
      <c r="B337" s="28" t="s">
        <v>8921</v>
      </c>
      <c r="C337" s="28" t="s">
        <v>260</v>
      </c>
      <c r="D337" s="107" t="s">
        <v>1337</v>
      </c>
      <c r="E337" s="107"/>
      <c r="F337" s="28" t="s">
        <v>9536</v>
      </c>
      <c r="G337" s="28"/>
      <c r="H337" s="28" t="s">
        <v>9537</v>
      </c>
      <c r="I337" s="28" t="s">
        <v>9538</v>
      </c>
      <c r="J337" s="28"/>
      <c r="K337" s="28" t="s">
        <v>9537</v>
      </c>
      <c r="L337" s="28" t="s">
        <v>9539</v>
      </c>
      <c r="M337" s="28" t="s">
        <v>41</v>
      </c>
      <c r="N337" s="28"/>
    </row>
    <row r="338" spans="1:14" ht="14.4">
      <c r="A338" s="28" t="s">
        <v>46</v>
      </c>
      <c r="B338" s="28" t="s">
        <v>8921</v>
      </c>
      <c r="C338" s="28" t="s">
        <v>260</v>
      </c>
      <c r="D338" s="107" t="s">
        <v>1337</v>
      </c>
      <c r="E338" s="107"/>
      <c r="F338" s="28" t="s">
        <v>9540</v>
      </c>
      <c r="G338" s="28"/>
      <c r="H338" s="28" t="s">
        <v>9541</v>
      </c>
      <c r="I338" s="28" t="s">
        <v>9542</v>
      </c>
      <c r="J338" s="28"/>
      <c r="K338" s="28" t="s">
        <v>9541</v>
      </c>
      <c r="L338" s="28" t="s">
        <v>9543</v>
      </c>
      <c r="M338" s="28" t="s">
        <v>41</v>
      </c>
      <c r="N338" s="28"/>
    </row>
    <row r="339" spans="1:14" ht="14.4">
      <c r="A339" s="28" t="s">
        <v>46</v>
      </c>
      <c r="B339" s="28" t="s">
        <v>8921</v>
      </c>
      <c r="C339" s="28" t="s">
        <v>260</v>
      </c>
      <c r="D339" s="107" t="s">
        <v>1337</v>
      </c>
      <c r="E339" s="107"/>
      <c r="F339" s="28" t="s">
        <v>9544</v>
      </c>
      <c r="G339" s="28"/>
      <c r="H339" s="28" t="s">
        <v>9421</v>
      </c>
      <c r="I339" s="28" t="s">
        <v>9545</v>
      </c>
      <c r="J339" s="28"/>
      <c r="K339" s="28" t="s">
        <v>9421</v>
      </c>
      <c r="L339" s="28" t="s">
        <v>9546</v>
      </c>
      <c r="M339" s="28" t="s">
        <v>41</v>
      </c>
      <c r="N339" s="28"/>
    </row>
    <row r="340" spans="1:14" ht="14.4">
      <c r="A340" s="28" t="s">
        <v>46</v>
      </c>
      <c r="B340" s="28" t="s">
        <v>8921</v>
      </c>
      <c r="C340" s="28" t="s">
        <v>260</v>
      </c>
      <c r="D340" s="107" t="s">
        <v>1337</v>
      </c>
      <c r="E340" s="107"/>
      <c r="F340" s="28" t="s">
        <v>9547</v>
      </c>
      <c r="G340" s="28"/>
      <c r="H340" s="28" t="s">
        <v>9421</v>
      </c>
      <c r="I340" s="28" t="s">
        <v>9548</v>
      </c>
      <c r="J340" s="28"/>
      <c r="K340" s="28" t="s">
        <v>9421</v>
      </c>
      <c r="L340" s="28" t="s">
        <v>9518</v>
      </c>
      <c r="M340" s="28" t="s">
        <v>41</v>
      </c>
      <c r="N340" s="28"/>
    </row>
    <row r="341" spans="1:14" ht="14.4">
      <c r="A341" s="28" t="s">
        <v>46</v>
      </c>
      <c r="B341" s="28" t="s">
        <v>8921</v>
      </c>
      <c r="C341" s="28" t="s">
        <v>260</v>
      </c>
      <c r="D341" s="107" t="s">
        <v>1337</v>
      </c>
      <c r="E341" s="107"/>
      <c r="F341" s="28" t="s">
        <v>9549</v>
      </c>
      <c r="G341" s="28"/>
      <c r="H341" s="28" t="s">
        <v>9550</v>
      </c>
      <c r="I341" s="28" t="s">
        <v>9551</v>
      </c>
      <c r="J341" s="28"/>
      <c r="K341" s="28" t="s">
        <v>9550</v>
      </c>
      <c r="L341" s="28" t="s">
        <v>9552</v>
      </c>
      <c r="M341" s="28" t="s">
        <v>41</v>
      </c>
      <c r="N341" s="28"/>
    </row>
    <row r="342" spans="1:14" ht="14.4">
      <c r="A342" s="28" t="s">
        <v>46</v>
      </c>
      <c r="B342" s="28" t="s">
        <v>8921</v>
      </c>
      <c r="C342" s="28" t="s">
        <v>260</v>
      </c>
      <c r="D342" s="107" t="s">
        <v>1337</v>
      </c>
      <c r="E342" s="107"/>
      <c r="F342" s="28" t="s">
        <v>9553</v>
      </c>
      <c r="G342" s="28"/>
      <c r="H342" s="28" t="s">
        <v>9554</v>
      </c>
      <c r="I342" s="28" t="s">
        <v>9555</v>
      </c>
      <c r="J342" s="28"/>
      <c r="K342" s="28" t="s">
        <v>9554</v>
      </c>
      <c r="L342" s="28"/>
      <c r="M342" s="28" t="s">
        <v>41</v>
      </c>
      <c r="N342" s="28"/>
    </row>
    <row r="343" spans="1:14" ht="14.4">
      <c r="A343" s="28" t="s">
        <v>46</v>
      </c>
      <c r="B343" s="28" t="s">
        <v>8921</v>
      </c>
      <c r="C343" s="28" t="s">
        <v>260</v>
      </c>
      <c r="D343" s="107" t="s">
        <v>1337</v>
      </c>
      <c r="E343" s="107"/>
      <c r="F343" s="28" t="s">
        <v>9556</v>
      </c>
      <c r="G343" s="28"/>
      <c r="H343" s="28" t="s">
        <v>9557</v>
      </c>
      <c r="I343" s="28" t="s">
        <v>9555</v>
      </c>
      <c r="J343" s="28"/>
      <c r="K343" s="28" t="s">
        <v>9557</v>
      </c>
      <c r="L343" s="28"/>
      <c r="M343" s="28" t="s">
        <v>41</v>
      </c>
      <c r="N343" s="28"/>
    </row>
    <row r="344" spans="1:14" ht="14.4">
      <c r="A344" s="28" t="s">
        <v>46</v>
      </c>
      <c r="B344" s="28" t="s">
        <v>8921</v>
      </c>
      <c r="C344" s="28" t="s">
        <v>260</v>
      </c>
      <c r="D344" s="107" t="s">
        <v>1337</v>
      </c>
      <c r="E344" s="107"/>
      <c r="F344" s="28" t="s">
        <v>9558</v>
      </c>
      <c r="G344" s="28"/>
      <c r="H344" s="28" t="s">
        <v>9559</v>
      </c>
      <c r="I344" s="28" t="s">
        <v>9555</v>
      </c>
      <c r="J344" s="28"/>
      <c r="K344" s="28" t="s">
        <v>9559</v>
      </c>
      <c r="L344" s="28"/>
      <c r="M344" s="28" t="s">
        <v>41</v>
      </c>
      <c r="N344" s="28"/>
    </row>
    <row r="345" spans="1:14" ht="14.4">
      <c r="A345" s="28" t="s">
        <v>46</v>
      </c>
      <c r="B345" s="28" t="s">
        <v>8921</v>
      </c>
      <c r="C345" s="28" t="s">
        <v>260</v>
      </c>
      <c r="D345" s="107" t="s">
        <v>1337</v>
      </c>
      <c r="E345" s="107"/>
      <c r="F345" s="28" t="s">
        <v>9560</v>
      </c>
      <c r="G345" s="28"/>
      <c r="H345" s="28" t="s">
        <v>9561</v>
      </c>
      <c r="I345" s="28" t="s">
        <v>9555</v>
      </c>
      <c r="J345" s="28"/>
      <c r="K345" s="28" t="s">
        <v>9561</v>
      </c>
      <c r="L345" s="28"/>
      <c r="M345" s="28" t="s">
        <v>41</v>
      </c>
      <c r="N345" s="28"/>
    </row>
    <row r="346" spans="1:14" ht="14.4">
      <c r="A346" s="28" t="s">
        <v>46</v>
      </c>
      <c r="B346" s="28" t="s">
        <v>8921</v>
      </c>
      <c r="C346" s="28" t="s">
        <v>260</v>
      </c>
      <c r="D346" s="107" t="s">
        <v>1337</v>
      </c>
      <c r="E346" s="107"/>
      <c r="F346" s="28" t="s">
        <v>9562</v>
      </c>
      <c r="G346" s="28"/>
      <c r="H346" s="28" t="s">
        <v>9563</v>
      </c>
      <c r="I346" s="28" t="s">
        <v>9555</v>
      </c>
      <c r="J346" s="28"/>
      <c r="K346" s="28" t="s">
        <v>9563</v>
      </c>
      <c r="L346" s="28"/>
      <c r="M346" s="28" t="s">
        <v>41</v>
      </c>
      <c r="N346" s="28"/>
    </row>
    <row r="347" spans="1:14" ht="14.4">
      <c r="A347" s="28" t="s">
        <v>46</v>
      </c>
      <c r="B347" s="28" t="s">
        <v>8921</v>
      </c>
      <c r="C347" s="28" t="s">
        <v>260</v>
      </c>
      <c r="D347" s="107" t="s">
        <v>1337</v>
      </c>
      <c r="E347" s="107"/>
      <c r="F347" s="28" t="s">
        <v>9564</v>
      </c>
      <c r="G347" s="28"/>
      <c r="H347" s="28" t="s">
        <v>9421</v>
      </c>
      <c r="I347" s="28" t="s">
        <v>9555</v>
      </c>
      <c r="J347" s="28"/>
      <c r="K347" s="28" t="s">
        <v>9421</v>
      </c>
      <c r="L347" s="28"/>
      <c r="M347" s="28" t="s">
        <v>41</v>
      </c>
      <c r="N347" s="28"/>
    </row>
    <row r="348" spans="1:14" ht="14.4">
      <c r="A348" s="28" t="s">
        <v>46</v>
      </c>
      <c r="B348" s="28" t="s">
        <v>8921</v>
      </c>
      <c r="C348" s="28" t="s">
        <v>260</v>
      </c>
      <c r="D348" s="107" t="s">
        <v>1337</v>
      </c>
      <c r="E348" s="107"/>
      <c r="F348" s="28" t="s">
        <v>9565</v>
      </c>
      <c r="G348" s="28"/>
      <c r="H348" s="28" t="s">
        <v>9566</v>
      </c>
      <c r="I348" s="28" t="s">
        <v>9555</v>
      </c>
      <c r="J348" s="28"/>
      <c r="K348" s="28" t="s">
        <v>9566</v>
      </c>
      <c r="L348" s="28"/>
      <c r="M348" s="28" t="s">
        <v>41</v>
      </c>
      <c r="N348" s="28"/>
    </row>
    <row r="349" spans="1:14" ht="14.4">
      <c r="A349" s="28" t="s">
        <v>46</v>
      </c>
      <c r="B349" s="28" t="s">
        <v>8921</v>
      </c>
      <c r="C349" s="28" t="s">
        <v>260</v>
      </c>
      <c r="D349" s="107" t="s">
        <v>1337</v>
      </c>
      <c r="E349" s="107"/>
      <c r="F349" s="28" t="s">
        <v>9567</v>
      </c>
      <c r="G349" s="28"/>
      <c r="H349" s="28" t="s">
        <v>9568</v>
      </c>
      <c r="I349" s="28" t="s">
        <v>9555</v>
      </c>
      <c r="J349" s="28"/>
      <c r="K349" s="28" t="s">
        <v>9568</v>
      </c>
      <c r="L349" s="28"/>
      <c r="M349" s="28" t="s">
        <v>41</v>
      </c>
      <c r="N349" s="28"/>
    </row>
    <row r="350" spans="1:14" ht="14.4">
      <c r="A350" s="28" t="s">
        <v>46</v>
      </c>
      <c r="B350" s="28" t="s">
        <v>8921</v>
      </c>
      <c r="C350" s="28" t="s">
        <v>260</v>
      </c>
      <c r="D350" s="107" t="s">
        <v>1337</v>
      </c>
      <c r="E350" s="107"/>
      <c r="F350" s="28" t="s">
        <v>9569</v>
      </c>
      <c r="G350" s="28"/>
      <c r="H350" s="28" t="s">
        <v>9570</v>
      </c>
      <c r="I350" s="28" t="s">
        <v>9555</v>
      </c>
      <c r="J350" s="28"/>
      <c r="K350" s="28" t="s">
        <v>9570</v>
      </c>
      <c r="L350" s="28"/>
      <c r="M350" s="28" t="s">
        <v>41</v>
      </c>
      <c r="N350" s="28"/>
    </row>
    <row r="351" spans="1:14" ht="14.4">
      <c r="A351" s="28" t="s">
        <v>46</v>
      </c>
      <c r="B351" s="28" t="s">
        <v>8921</v>
      </c>
      <c r="C351" s="28" t="s">
        <v>260</v>
      </c>
      <c r="D351" s="107" t="s">
        <v>1337</v>
      </c>
      <c r="E351" s="107"/>
      <c r="F351" s="28" t="s">
        <v>9572</v>
      </c>
      <c r="G351" s="28"/>
      <c r="H351" s="28" t="s">
        <v>9573</v>
      </c>
      <c r="I351" s="28" t="s">
        <v>9555</v>
      </c>
      <c r="J351" s="28"/>
      <c r="K351" s="28" t="s">
        <v>9573</v>
      </c>
      <c r="L351" s="28"/>
      <c r="M351" s="28" t="s">
        <v>41</v>
      </c>
      <c r="N351" s="28"/>
    </row>
    <row r="352" spans="1:14" ht="14.4">
      <c r="A352" s="28" t="s">
        <v>46</v>
      </c>
      <c r="B352" s="28" t="s">
        <v>8921</v>
      </c>
      <c r="C352" s="28" t="s">
        <v>260</v>
      </c>
      <c r="D352" s="107" t="s">
        <v>1337</v>
      </c>
      <c r="E352" s="107"/>
      <c r="F352" s="28" t="s">
        <v>9574</v>
      </c>
      <c r="G352" s="28"/>
      <c r="H352" s="28" t="s">
        <v>9575</v>
      </c>
      <c r="I352" s="28" t="s">
        <v>9555</v>
      </c>
      <c r="J352" s="28"/>
      <c r="K352" s="28" t="s">
        <v>9575</v>
      </c>
      <c r="L352" s="28"/>
      <c r="M352" s="28" t="s">
        <v>41</v>
      </c>
      <c r="N352" s="28"/>
    </row>
    <row r="353" spans="1:31" ht="14.4">
      <c r="A353" s="28" t="s">
        <v>46</v>
      </c>
      <c r="B353" s="28" t="s">
        <v>8921</v>
      </c>
      <c r="C353" s="28" t="s">
        <v>260</v>
      </c>
      <c r="D353" s="107" t="s">
        <v>1337</v>
      </c>
      <c r="E353" s="107"/>
      <c r="F353" s="28" t="s">
        <v>9582</v>
      </c>
      <c r="G353" s="28"/>
      <c r="H353" s="28" t="s">
        <v>9583</v>
      </c>
      <c r="I353" s="28" t="s">
        <v>9555</v>
      </c>
      <c r="J353" s="28"/>
      <c r="K353" s="28" t="s">
        <v>9583</v>
      </c>
      <c r="L353" s="28"/>
      <c r="M353" s="28" t="s">
        <v>41</v>
      </c>
      <c r="N353" s="28"/>
    </row>
    <row r="354" spans="1:31" ht="14.4">
      <c r="A354" s="28" t="s">
        <v>46</v>
      </c>
      <c r="B354" s="28" t="s">
        <v>8921</v>
      </c>
      <c r="C354" s="28" t="s">
        <v>260</v>
      </c>
      <c r="D354" s="107" t="s">
        <v>1337</v>
      </c>
      <c r="E354" s="107"/>
      <c r="F354" s="28" t="s">
        <v>9584</v>
      </c>
      <c r="G354" s="28"/>
      <c r="H354" s="28" t="s">
        <v>9585</v>
      </c>
      <c r="I354" s="28" t="s">
        <v>9555</v>
      </c>
      <c r="J354" s="28"/>
      <c r="K354" s="28" t="s">
        <v>9585</v>
      </c>
      <c r="L354" s="28"/>
      <c r="M354" s="28" t="s">
        <v>41</v>
      </c>
      <c r="N354" s="28"/>
    </row>
    <row r="355" spans="1:31" ht="14.4">
      <c r="A355" s="28" t="s">
        <v>46</v>
      </c>
      <c r="B355" s="28" t="s">
        <v>8921</v>
      </c>
      <c r="C355" s="28" t="s">
        <v>260</v>
      </c>
      <c r="D355" s="107" t="s">
        <v>1337</v>
      </c>
      <c r="E355" s="107"/>
      <c r="F355" s="28" t="s">
        <v>9589</v>
      </c>
      <c r="G355" s="28"/>
      <c r="H355" s="28" t="s">
        <v>9591</v>
      </c>
      <c r="I355" s="28" t="s">
        <v>9555</v>
      </c>
      <c r="J355" s="28"/>
      <c r="K355" s="28" t="s">
        <v>9591</v>
      </c>
      <c r="L355" s="28"/>
      <c r="M355" s="28" t="s">
        <v>41</v>
      </c>
      <c r="N355" s="28"/>
    </row>
    <row r="356" spans="1:31" ht="14.4">
      <c r="A356" s="28" t="s">
        <v>46</v>
      </c>
      <c r="B356" s="28" t="s">
        <v>8921</v>
      </c>
      <c r="C356" s="28" t="s">
        <v>260</v>
      </c>
      <c r="D356" s="107" t="s">
        <v>1337</v>
      </c>
      <c r="E356" s="107"/>
      <c r="F356" s="28" t="s">
        <v>9594</v>
      </c>
      <c r="G356" s="28"/>
      <c r="H356" s="28" t="s">
        <v>9595</v>
      </c>
      <c r="I356" s="28"/>
      <c r="J356" s="28"/>
      <c r="K356" s="28" t="s">
        <v>9595</v>
      </c>
      <c r="L356" s="28"/>
      <c r="M356" s="28" t="s">
        <v>41</v>
      </c>
      <c r="N356" s="28"/>
    </row>
    <row r="357" spans="1:31" ht="14.4">
      <c r="A357" s="28" t="s">
        <v>46</v>
      </c>
      <c r="B357" s="28" t="s">
        <v>8921</v>
      </c>
      <c r="C357" s="28" t="s">
        <v>20</v>
      </c>
      <c r="D357" s="28" t="s">
        <v>1305</v>
      </c>
      <c r="E357" s="28"/>
      <c r="F357" s="28" t="s">
        <v>9604</v>
      </c>
      <c r="G357" s="28" t="s">
        <v>9605</v>
      </c>
      <c r="H357" s="28" t="s">
        <v>9421</v>
      </c>
      <c r="I357" s="28" t="s">
        <v>9555</v>
      </c>
      <c r="J357" s="28"/>
      <c r="K357" s="28"/>
      <c r="L357" s="28"/>
      <c r="M357" s="28" t="s">
        <v>41</v>
      </c>
      <c r="N357" s="28"/>
    </row>
    <row r="358" spans="1:31" ht="14.4">
      <c r="A358" s="28" t="s">
        <v>46</v>
      </c>
      <c r="B358" s="28" t="s">
        <v>9081</v>
      </c>
      <c r="C358" s="28" t="s">
        <v>260</v>
      </c>
      <c r="D358" s="107" t="s">
        <v>1337</v>
      </c>
      <c r="E358" s="107"/>
      <c r="F358" s="28" t="s">
        <v>9610</v>
      </c>
      <c r="G358" s="28"/>
      <c r="H358" s="28" t="s">
        <v>9613</v>
      </c>
      <c r="I358" s="28" t="s">
        <v>9614</v>
      </c>
      <c r="J358" s="28" t="s">
        <v>4096</v>
      </c>
      <c r="K358" s="28" t="s">
        <v>9613</v>
      </c>
      <c r="L358" s="28" t="s">
        <v>2794</v>
      </c>
      <c r="M358" s="28" t="s">
        <v>41</v>
      </c>
      <c r="N358" s="28"/>
    </row>
    <row r="359" spans="1:31" ht="14.4">
      <c r="A359" s="28" t="s">
        <v>46</v>
      </c>
      <c r="B359" s="28" t="s">
        <v>9081</v>
      </c>
      <c r="C359" s="28" t="s">
        <v>260</v>
      </c>
      <c r="D359" s="107" t="s">
        <v>1337</v>
      </c>
      <c r="E359" s="107"/>
      <c r="F359" s="28" t="s">
        <v>9615</v>
      </c>
      <c r="G359" s="28"/>
      <c r="H359" s="28" t="s">
        <v>9617</v>
      </c>
      <c r="I359" s="28" t="s">
        <v>2714</v>
      </c>
      <c r="J359" s="28" t="s">
        <v>4087</v>
      </c>
      <c r="K359" s="28" t="s">
        <v>9617</v>
      </c>
      <c r="L359" s="28" t="s">
        <v>9115</v>
      </c>
      <c r="M359" s="28" t="s">
        <v>41</v>
      </c>
      <c r="N359" s="28"/>
    </row>
    <row r="360" spans="1:31" ht="14.4">
      <c r="A360" s="28" t="s">
        <v>46</v>
      </c>
      <c r="B360" s="28" t="s">
        <v>9081</v>
      </c>
      <c r="C360" s="28" t="s">
        <v>260</v>
      </c>
      <c r="D360" s="107" t="s">
        <v>1337</v>
      </c>
      <c r="E360" s="107"/>
      <c r="F360" s="28" t="s">
        <v>9623</v>
      </c>
      <c r="G360" s="28"/>
      <c r="H360" s="28" t="s">
        <v>9624</v>
      </c>
      <c r="I360" s="28" t="s">
        <v>521</v>
      </c>
      <c r="J360" s="28" t="s">
        <v>4103</v>
      </c>
      <c r="K360" s="28" t="s">
        <v>9624</v>
      </c>
      <c r="L360" s="28" t="s">
        <v>9100</v>
      </c>
      <c r="M360" s="28" t="s">
        <v>41</v>
      </c>
      <c r="N360" s="28"/>
    </row>
    <row r="361" spans="1:31" ht="14.4">
      <c r="A361" s="28" t="s">
        <v>46</v>
      </c>
      <c r="B361" s="28" t="s">
        <v>9081</v>
      </c>
      <c r="C361" s="28" t="s">
        <v>20</v>
      </c>
      <c r="D361" s="28" t="s">
        <v>1305</v>
      </c>
      <c r="E361" s="28"/>
      <c r="F361" s="28" t="s">
        <v>9630</v>
      </c>
      <c r="G361" s="28" t="s">
        <v>9631</v>
      </c>
      <c r="H361" s="28" t="s">
        <v>9107</v>
      </c>
      <c r="I361" s="28" t="s">
        <v>9108</v>
      </c>
      <c r="J361" s="28" t="s">
        <v>9632</v>
      </c>
      <c r="K361" s="28" t="s">
        <v>9093</v>
      </c>
      <c r="L361" s="28" t="s">
        <v>2794</v>
      </c>
      <c r="M361" s="28" t="s">
        <v>41</v>
      </c>
      <c r="N361" s="28"/>
    </row>
    <row r="362" spans="1:31" ht="43.2">
      <c r="A362" s="28" t="s">
        <v>46</v>
      </c>
      <c r="B362" s="28" t="s">
        <v>49</v>
      </c>
      <c r="C362" s="28" t="s">
        <v>20</v>
      </c>
      <c r="D362" s="28" t="s">
        <v>1305</v>
      </c>
      <c r="E362" s="28"/>
      <c r="F362" s="28" t="s">
        <v>9634</v>
      </c>
      <c r="G362" s="208" t="s">
        <v>9638</v>
      </c>
      <c r="H362" s="235" t="s">
        <v>9640</v>
      </c>
      <c r="I362" s="28"/>
      <c r="J362" s="28" t="s">
        <v>37</v>
      </c>
      <c r="K362" s="28"/>
      <c r="L362" s="28"/>
      <c r="M362" s="60" t="s">
        <v>41</v>
      </c>
      <c r="N362" s="28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 spans="1:31" ht="43.2">
      <c r="A363" s="37" t="s">
        <v>46</v>
      </c>
      <c r="B363" s="28" t="s">
        <v>49</v>
      </c>
      <c r="C363" s="208" t="s">
        <v>20</v>
      </c>
      <c r="D363" s="220" t="s">
        <v>1305</v>
      </c>
      <c r="E363" s="37"/>
      <c r="F363" s="37" t="s">
        <v>9652</v>
      </c>
      <c r="G363" s="208" t="s">
        <v>9654</v>
      </c>
      <c r="H363" s="235" t="s">
        <v>9640</v>
      </c>
      <c r="I363" s="259"/>
      <c r="J363" s="37"/>
      <c r="K363" s="260"/>
      <c r="L363" s="37"/>
      <c r="M363" s="261" t="s">
        <v>41</v>
      </c>
      <c r="N363" s="262"/>
      <c r="O363" s="263"/>
      <c r="P363" s="263"/>
      <c r="Q363" s="263"/>
      <c r="R363" s="263"/>
      <c r="S363" s="263"/>
      <c r="T363" s="263"/>
      <c r="U363" s="263"/>
      <c r="V363" s="263"/>
      <c r="W363" s="263"/>
      <c r="X363" s="263"/>
      <c r="Y363" s="263"/>
      <c r="Z363" s="263"/>
      <c r="AA363" s="263"/>
      <c r="AB363" s="263"/>
      <c r="AC363" s="263"/>
      <c r="AD363" s="263"/>
    </row>
    <row r="364" spans="1:31" ht="14.4">
      <c r="A364" s="28" t="s">
        <v>46</v>
      </c>
      <c r="B364" s="28" t="s">
        <v>49</v>
      </c>
      <c r="C364" s="28" t="s">
        <v>20</v>
      </c>
      <c r="D364" s="28" t="s">
        <v>1305</v>
      </c>
      <c r="E364" s="26"/>
      <c r="F364" s="28" t="s">
        <v>28</v>
      </c>
      <c r="G364" s="37" t="s">
        <v>32</v>
      </c>
      <c r="H364" s="28"/>
      <c r="I364" s="28"/>
      <c r="J364" s="28" t="s">
        <v>37</v>
      </c>
      <c r="K364" s="28"/>
      <c r="L364" s="28"/>
      <c r="M364" s="24" t="s">
        <v>41</v>
      </c>
      <c r="N364" s="28"/>
    </row>
  </sheetData>
  <autoFilter ref="A2:AF364" xr:uid="{00000000-0009-0000-0000-00000D000000}"/>
  <mergeCells count="1">
    <mergeCell ref="A1:D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Z210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/>
  <cols>
    <col min="1" max="1" width="9.6640625" customWidth="1"/>
    <col min="2" max="2" width="17.109375" customWidth="1"/>
    <col min="3" max="3" width="40" customWidth="1"/>
    <col min="5" max="5" width="8.44140625" customWidth="1"/>
    <col min="6" max="6" width="21.77734375" customWidth="1"/>
  </cols>
  <sheetData>
    <row r="1" spans="1:26" ht="15.75" customHeight="1">
      <c r="A1" s="359" t="s">
        <v>0</v>
      </c>
      <c r="B1" s="354"/>
      <c r="C1" s="354"/>
      <c r="D1" s="354"/>
      <c r="E1" s="354"/>
      <c r="F1" s="229"/>
      <c r="G1" s="229"/>
      <c r="H1" s="229"/>
      <c r="I1" s="229"/>
      <c r="J1" s="229"/>
      <c r="K1" s="229"/>
      <c r="L1" s="229"/>
      <c r="M1" s="229"/>
      <c r="N1" s="229"/>
    </row>
    <row r="2" spans="1:26" ht="15.75" customHeight="1">
      <c r="A2" s="8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8</v>
      </c>
      <c r="G2" s="8" t="s">
        <v>24</v>
      </c>
      <c r="H2" s="8" t="s">
        <v>10</v>
      </c>
      <c r="I2" s="8" t="s">
        <v>11</v>
      </c>
      <c r="J2" s="8" t="s">
        <v>12</v>
      </c>
      <c r="K2" s="8" t="s">
        <v>14</v>
      </c>
      <c r="L2" s="8" t="s">
        <v>15</v>
      </c>
      <c r="M2" s="8" t="s">
        <v>4813</v>
      </c>
      <c r="N2" s="8" t="s">
        <v>17</v>
      </c>
    </row>
    <row r="3" spans="1:26" ht="15.75" customHeight="1">
      <c r="A3" s="28" t="s">
        <v>9571</v>
      </c>
      <c r="B3" s="28" t="s">
        <v>49</v>
      </c>
      <c r="C3" s="28" t="s">
        <v>85</v>
      </c>
      <c r="D3" s="28" t="s">
        <v>86</v>
      </c>
      <c r="E3" s="28"/>
      <c r="F3" s="28" t="s">
        <v>9576</v>
      </c>
      <c r="G3" s="28" t="s">
        <v>9577</v>
      </c>
      <c r="H3" s="28" t="s">
        <v>9578</v>
      </c>
      <c r="I3" s="28" t="s">
        <v>335</v>
      </c>
      <c r="J3" s="28" t="s">
        <v>9579</v>
      </c>
      <c r="K3" s="28" t="s">
        <v>9580</v>
      </c>
      <c r="L3" s="28" t="s">
        <v>9581</v>
      </c>
      <c r="M3" s="28" t="s">
        <v>41</v>
      </c>
      <c r="N3" s="28" t="s">
        <v>4188</v>
      </c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spans="1:26" ht="15.75" customHeight="1">
      <c r="A4" s="28" t="s">
        <v>9571</v>
      </c>
      <c r="B4" s="28" t="s">
        <v>49</v>
      </c>
      <c r="C4" s="28" t="s">
        <v>85</v>
      </c>
      <c r="D4" s="28" t="s">
        <v>86</v>
      </c>
      <c r="E4" s="28"/>
      <c r="F4" s="28" t="s">
        <v>9586</v>
      </c>
      <c r="G4" s="28" t="s">
        <v>9587</v>
      </c>
      <c r="H4" s="28" t="s">
        <v>9588</v>
      </c>
      <c r="I4" s="28" t="s">
        <v>9590</v>
      </c>
      <c r="J4" s="28" t="s">
        <v>9592</v>
      </c>
      <c r="K4" s="28" t="s">
        <v>9588</v>
      </c>
      <c r="L4" s="28" t="s">
        <v>9593</v>
      </c>
      <c r="M4" s="28" t="s">
        <v>41</v>
      </c>
      <c r="N4" s="28" t="s">
        <v>4188</v>
      </c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spans="1:26" ht="15.75" customHeight="1">
      <c r="A5" s="28" t="s">
        <v>9571</v>
      </c>
      <c r="B5" s="28" t="s">
        <v>49</v>
      </c>
      <c r="C5" s="28" t="s">
        <v>85</v>
      </c>
      <c r="D5" s="28" t="s">
        <v>86</v>
      </c>
      <c r="E5" s="28"/>
      <c r="F5" s="28" t="s">
        <v>9596</v>
      </c>
      <c r="G5" s="28" t="s">
        <v>9597</v>
      </c>
      <c r="H5" s="28" t="s">
        <v>9598</v>
      </c>
      <c r="I5" s="28" t="s">
        <v>9599</v>
      </c>
      <c r="J5" s="28" t="s">
        <v>9600</v>
      </c>
      <c r="K5" s="28" t="s">
        <v>9601</v>
      </c>
      <c r="L5" s="28" t="s">
        <v>9602</v>
      </c>
      <c r="M5" s="28" t="s">
        <v>41</v>
      </c>
      <c r="N5" s="28" t="s">
        <v>9603</v>
      </c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spans="1:26" ht="15.75" customHeight="1">
      <c r="A6" s="28" t="s">
        <v>9571</v>
      </c>
      <c r="B6" s="28" t="s">
        <v>49</v>
      </c>
      <c r="C6" s="28" t="s">
        <v>85</v>
      </c>
      <c r="D6" s="28" t="s">
        <v>86</v>
      </c>
      <c r="E6" s="28"/>
      <c r="F6" s="28" t="s">
        <v>9606</v>
      </c>
      <c r="G6" s="28" t="s">
        <v>9607</v>
      </c>
      <c r="H6" s="28" t="s">
        <v>9608</v>
      </c>
      <c r="I6" s="28" t="s">
        <v>9609</v>
      </c>
      <c r="J6" s="28" t="s">
        <v>9611</v>
      </c>
      <c r="K6" s="28" t="s">
        <v>9612</v>
      </c>
      <c r="L6" s="28" t="s">
        <v>6338</v>
      </c>
      <c r="M6" s="28" t="s">
        <v>41</v>
      </c>
      <c r="N6" s="28" t="s">
        <v>9603</v>
      </c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 ht="15.75" customHeight="1">
      <c r="A7" s="28" t="s">
        <v>9571</v>
      </c>
      <c r="B7" s="28" t="s">
        <v>49</v>
      </c>
      <c r="C7" s="28" t="s">
        <v>85</v>
      </c>
      <c r="D7" s="28" t="s">
        <v>86</v>
      </c>
      <c r="E7" s="28"/>
      <c r="F7" s="28" t="s">
        <v>9616</v>
      </c>
      <c r="G7" s="28" t="s">
        <v>9618</v>
      </c>
      <c r="H7" s="28" t="s">
        <v>9619</v>
      </c>
      <c r="I7" s="28" t="s">
        <v>9620</v>
      </c>
      <c r="J7" s="28" t="s">
        <v>9621</v>
      </c>
      <c r="K7" s="28" t="s">
        <v>9619</v>
      </c>
      <c r="L7" s="28" t="s">
        <v>9622</v>
      </c>
      <c r="M7" s="28" t="s">
        <v>41</v>
      </c>
      <c r="N7" s="28" t="s">
        <v>4188</v>
      </c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ht="15.75" customHeight="1">
      <c r="A8" s="28" t="s">
        <v>9571</v>
      </c>
      <c r="B8" s="28" t="s">
        <v>49</v>
      </c>
      <c r="C8" s="28" t="s">
        <v>85</v>
      </c>
      <c r="D8" s="28" t="s">
        <v>86</v>
      </c>
      <c r="E8" s="28"/>
      <c r="F8" s="28" t="s">
        <v>9625</v>
      </c>
      <c r="G8" s="28" t="s">
        <v>9626</v>
      </c>
      <c r="H8" s="28" t="s">
        <v>9627</v>
      </c>
      <c r="I8" s="28" t="s">
        <v>8326</v>
      </c>
      <c r="J8" s="28" t="s">
        <v>9628</v>
      </c>
      <c r="K8" s="28" t="s">
        <v>9629</v>
      </c>
      <c r="L8" s="28" t="s">
        <v>2149</v>
      </c>
      <c r="M8" s="28" t="s">
        <v>41</v>
      </c>
      <c r="N8" s="28" t="s">
        <v>4188</v>
      </c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ht="15.75" customHeight="1">
      <c r="A9" s="28" t="s">
        <v>9571</v>
      </c>
      <c r="B9" s="28" t="s">
        <v>49</v>
      </c>
      <c r="C9" s="28" t="s">
        <v>85</v>
      </c>
      <c r="D9" s="28" t="s">
        <v>86</v>
      </c>
      <c r="E9" s="28"/>
      <c r="F9" s="28" t="s">
        <v>9633</v>
      </c>
      <c r="G9" s="28" t="s">
        <v>9635</v>
      </c>
      <c r="H9" s="28" t="s">
        <v>9636</v>
      </c>
      <c r="I9" s="28" t="s">
        <v>9637</v>
      </c>
      <c r="J9" s="28" t="s">
        <v>9639</v>
      </c>
      <c r="K9" s="28" t="s">
        <v>9636</v>
      </c>
      <c r="L9" s="28" t="s">
        <v>550</v>
      </c>
      <c r="M9" s="28" t="s">
        <v>41</v>
      </c>
      <c r="N9" s="28" t="s">
        <v>4188</v>
      </c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ht="15.75" customHeight="1">
      <c r="A10" s="28" t="s">
        <v>9571</v>
      </c>
      <c r="B10" s="28" t="s">
        <v>49</v>
      </c>
      <c r="C10" s="28" t="s">
        <v>85</v>
      </c>
      <c r="D10" s="28" t="s">
        <v>86</v>
      </c>
      <c r="E10" s="28"/>
      <c r="F10" s="28" t="s">
        <v>9641</v>
      </c>
      <c r="G10" s="28" t="s">
        <v>9642</v>
      </c>
      <c r="H10" s="28" t="s">
        <v>9643</v>
      </c>
      <c r="I10" s="28" t="s">
        <v>9644</v>
      </c>
      <c r="J10" s="28" t="s">
        <v>9645</v>
      </c>
      <c r="K10" s="28" t="s">
        <v>9646</v>
      </c>
      <c r="L10" s="28" t="s">
        <v>9647</v>
      </c>
      <c r="M10" s="28" t="s">
        <v>41</v>
      </c>
      <c r="N10" s="28" t="s">
        <v>4188</v>
      </c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ht="15.75" customHeight="1">
      <c r="A11" s="28" t="s">
        <v>9571</v>
      </c>
      <c r="B11" s="28" t="s">
        <v>49</v>
      </c>
      <c r="C11" s="28" t="s">
        <v>85</v>
      </c>
      <c r="D11" s="28" t="s">
        <v>86</v>
      </c>
      <c r="E11" s="28"/>
      <c r="F11" s="28" t="s">
        <v>9648</v>
      </c>
      <c r="G11" s="28" t="s">
        <v>9649</v>
      </c>
      <c r="H11" s="28" t="s">
        <v>9598</v>
      </c>
      <c r="I11" s="28" t="s">
        <v>9650</v>
      </c>
      <c r="J11" s="28" t="s">
        <v>9651</v>
      </c>
      <c r="K11" s="28" t="s">
        <v>9598</v>
      </c>
      <c r="L11" s="28" t="s">
        <v>9602</v>
      </c>
      <c r="M11" s="28" t="s">
        <v>41</v>
      </c>
      <c r="N11" s="28" t="s">
        <v>4188</v>
      </c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spans="1:26" ht="15.75" customHeight="1">
      <c r="A12" s="28" t="s">
        <v>9571</v>
      </c>
      <c r="B12" s="28" t="s">
        <v>49</v>
      </c>
      <c r="C12" s="28" t="s">
        <v>85</v>
      </c>
      <c r="D12" s="28" t="s">
        <v>86</v>
      </c>
      <c r="E12" s="28"/>
      <c r="F12" s="28" t="s">
        <v>9653</v>
      </c>
      <c r="G12" s="28" t="s">
        <v>9655</v>
      </c>
      <c r="H12" s="28" t="s">
        <v>9619</v>
      </c>
      <c r="I12" s="28" t="s">
        <v>9620</v>
      </c>
      <c r="J12" s="28" t="s">
        <v>9656</v>
      </c>
      <c r="K12" s="28" t="s">
        <v>9657</v>
      </c>
      <c r="L12" s="28" t="s">
        <v>9622</v>
      </c>
      <c r="M12" s="28" t="s">
        <v>41</v>
      </c>
      <c r="N12" s="28" t="s">
        <v>4188</v>
      </c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1:26" ht="15.75" customHeight="1">
      <c r="A13" s="28" t="s">
        <v>9571</v>
      </c>
      <c r="B13" s="28" t="s">
        <v>49</v>
      </c>
      <c r="C13" s="28" t="s">
        <v>85</v>
      </c>
      <c r="D13" s="28" t="s">
        <v>86</v>
      </c>
      <c r="E13" s="28"/>
      <c r="F13" s="28" t="s">
        <v>9658</v>
      </c>
      <c r="G13" s="28" t="s">
        <v>9659</v>
      </c>
      <c r="H13" s="28" t="s">
        <v>9660</v>
      </c>
      <c r="I13" s="28" t="s">
        <v>9661</v>
      </c>
      <c r="J13" s="28" t="s">
        <v>9662</v>
      </c>
      <c r="K13" s="28" t="s">
        <v>9660</v>
      </c>
      <c r="L13" s="28" t="s">
        <v>9663</v>
      </c>
      <c r="M13" s="28" t="s">
        <v>41</v>
      </c>
      <c r="N13" s="28" t="s">
        <v>4188</v>
      </c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1:26" ht="15.75" customHeight="1">
      <c r="A14" s="28" t="s">
        <v>9571</v>
      </c>
      <c r="B14" s="28" t="s">
        <v>49</v>
      </c>
      <c r="C14" s="28" t="s">
        <v>85</v>
      </c>
      <c r="D14" s="28" t="s">
        <v>86</v>
      </c>
      <c r="E14" s="28"/>
      <c r="F14" s="28" t="s">
        <v>9664</v>
      </c>
      <c r="G14" s="28" t="s">
        <v>9665</v>
      </c>
      <c r="H14" s="28" t="s">
        <v>9666</v>
      </c>
      <c r="I14" s="28" t="s">
        <v>9667</v>
      </c>
      <c r="J14" s="28" t="s">
        <v>9668</v>
      </c>
      <c r="K14" s="28" t="s">
        <v>9669</v>
      </c>
      <c r="L14" s="28" t="s">
        <v>2149</v>
      </c>
      <c r="M14" s="28" t="s">
        <v>41</v>
      </c>
      <c r="N14" s="28" t="s">
        <v>9670</v>
      </c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1:26" ht="15.75" customHeight="1">
      <c r="A15" s="28" t="s">
        <v>9571</v>
      </c>
      <c r="B15" s="28" t="s">
        <v>49</v>
      </c>
      <c r="C15" s="28" t="s">
        <v>85</v>
      </c>
      <c r="D15" s="28" t="s">
        <v>86</v>
      </c>
      <c r="E15" s="28"/>
      <c r="F15" s="28" t="s">
        <v>9671</v>
      </c>
      <c r="G15" s="28" t="s">
        <v>9672</v>
      </c>
      <c r="H15" s="28" t="s">
        <v>9627</v>
      </c>
      <c r="I15" s="28" t="s">
        <v>8326</v>
      </c>
      <c r="J15" s="28" t="s">
        <v>9673</v>
      </c>
      <c r="K15" s="28" t="s">
        <v>9674</v>
      </c>
      <c r="L15" s="28" t="s">
        <v>2149</v>
      </c>
      <c r="M15" s="28" t="s">
        <v>41</v>
      </c>
      <c r="N15" s="28" t="s">
        <v>4188</v>
      </c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1:26" ht="15.75" customHeight="1">
      <c r="A16" s="28" t="s">
        <v>9571</v>
      </c>
      <c r="B16" s="28" t="s">
        <v>49</v>
      </c>
      <c r="C16" s="28" t="s">
        <v>85</v>
      </c>
      <c r="D16" s="28" t="s">
        <v>86</v>
      </c>
      <c r="E16" s="28"/>
      <c r="F16" s="28" t="s">
        <v>9675</v>
      </c>
      <c r="G16" s="28" t="s">
        <v>9676</v>
      </c>
      <c r="H16" s="28" t="s">
        <v>9677</v>
      </c>
      <c r="I16" s="28" t="s">
        <v>5475</v>
      </c>
      <c r="J16" s="28" t="s">
        <v>9678</v>
      </c>
      <c r="K16" s="28" t="s">
        <v>9679</v>
      </c>
      <c r="L16" s="28" t="s">
        <v>2336</v>
      </c>
      <c r="M16" s="28" t="s">
        <v>41</v>
      </c>
      <c r="N16" s="28" t="s">
        <v>4188</v>
      </c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1:26" ht="15.75" customHeight="1">
      <c r="A17" s="28" t="s">
        <v>9571</v>
      </c>
      <c r="B17" s="28" t="s">
        <v>49</v>
      </c>
      <c r="C17" s="28" t="s">
        <v>85</v>
      </c>
      <c r="D17" s="28" t="s">
        <v>86</v>
      </c>
      <c r="E17" s="28"/>
      <c r="F17" s="28" t="s">
        <v>9680</v>
      </c>
      <c r="G17" s="28" t="s">
        <v>9681</v>
      </c>
      <c r="H17" s="28" t="s">
        <v>9682</v>
      </c>
      <c r="I17" s="28" t="s">
        <v>9683</v>
      </c>
      <c r="J17" s="28" t="s">
        <v>9684</v>
      </c>
      <c r="K17" s="28" t="s">
        <v>9685</v>
      </c>
      <c r="L17" s="28" t="s">
        <v>6338</v>
      </c>
      <c r="M17" s="28" t="s">
        <v>41</v>
      </c>
      <c r="N17" s="28" t="s">
        <v>9686</v>
      </c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1:26" ht="14.4">
      <c r="A18" s="28" t="s">
        <v>9571</v>
      </c>
      <c r="B18" s="28" t="s">
        <v>49</v>
      </c>
      <c r="C18" s="28" t="s">
        <v>220</v>
      </c>
      <c r="D18" s="28" t="s">
        <v>234</v>
      </c>
      <c r="E18" s="28"/>
      <c r="F18" s="28" t="s">
        <v>9687</v>
      </c>
      <c r="G18" s="28" t="s">
        <v>9688</v>
      </c>
      <c r="H18" s="28" t="s">
        <v>9666</v>
      </c>
      <c r="I18" s="28" t="s">
        <v>9667</v>
      </c>
      <c r="J18" s="28" t="s">
        <v>9689</v>
      </c>
      <c r="K18" s="28" t="s">
        <v>9690</v>
      </c>
      <c r="L18" s="28" t="s">
        <v>2149</v>
      </c>
      <c r="M18" s="28" t="s">
        <v>41</v>
      </c>
      <c r="N18" s="28" t="s">
        <v>4188</v>
      </c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ht="14.4">
      <c r="A19" s="28" t="s">
        <v>9571</v>
      </c>
      <c r="B19" s="28" t="s">
        <v>49</v>
      </c>
      <c r="C19" s="28" t="s">
        <v>220</v>
      </c>
      <c r="D19" s="28" t="s">
        <v>234</v>
      </c>
      <c r="E19" s="28"/>
      <c r="F19" s="28" t="s">
        <v>9691</v>
      </c>
      <c r="G19" s="28" t="s">
        <v>9692</v>
      </c>
      <c r="H19" s="28" t="s">
        <v>9666</v>
      </c>
      <c r="I19" s="28" t="s">
        <v>9667</v>
      </c>
      <c r="J19" s="28" t="s">
        <v>9693</v>
      </c>
      <c r="K19" s="28" t="s">
        <v>9694</v>
      </c>
      <c r="L19" s="28" t="s">
        <v>2149</v>
      </c>
      <c r="M19" s="28" t="s">
        <v>41</v>
      </c>
      <c r="N19" s="28" t="s">
        <v>8227</v>
      </c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 ht="14.4">
      <c r="A20" s="28" t="s">
        <v>9571</v>
      </c>
      <c r="B20" s="28" t="s">
        <v>49</v>
      </c>
      <c r="C20" s="28" t="s">
        <v>220</v>
      </c>
      <c r="D20" s="28" t="s">
        <v>234</v>
      </c>
      <c r="E20" s="28"/>
      <c r="F20" s="28" t="s">
        <v>9695</v>
      </c>
      <c r="G20" s="28" t="s">
        <v>9696</v>
      </c>
      <c r="H20" s="28" t="s">
        <v>9660</v>
      </c>
      <c r="I20" s="28" t="s">
        <v>9661</v>
      </c>
      <c r="J20" s="28" t="s">
        <v>9697</v>
      </c>
      <c r="K20" s="28" t="s">
        <v>9698</v>
      </c>
      <c r="L20" s="28" t="s">
        <v>9663</v>
      </c>
      <c r="M20" s="28" t="s">
        <v>41</v>
      </c>
      <c r="N20" s="28" t="s">
        <v>8227</v>
      </c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spans="1:26" ht="14.4">
      <c r="A21" s="28" t="s">
        <v>9571</v>
      </c>
      <c r="B21" s="28" t="s">
        <v>49</v>
      </c>
      <c r="C21" s="28" t="s">
        <v>220</v>
      </c>
      <c r="D21" s="28" t="s">
        <v>234</v>
      </c>
      <c r="E21" s="28"/>
      <c r="F21" s="28" t="s">
        <v>9699</v>
      </c>
      <c r="G21" s="28" t="s">
        <v>9700</v>
      </c>
      <c r="H21" s="28" t="s">
        <v>9666</v>
      </c>
      <c r="I21" s="28" t="s">
        <v>9667</v>
      </c>
      <c r="J21" s="28" t="s">
        <v>9701</v>
      </c>
      <c r="K21" s="28" t="s">
        <v>9702</v>
      </c>
      <c r="L21" s="28" t="s">
        <v>2149</v>
      </c>
      <c r="M21" s="28" t="s">
        <v>41</v>
      </c>
      <c r="N21" s="28" t="s">
        <v>8227</v>
      </c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spans="1:26" ht="14.4">
      <c r="A22" s="28" t="s">
        <v>9571</v>
      </c>
      <c r="B22" s="28" t="s">
        <v>49</v>
      </c>
      <c r="C22" s="28" t="s">
        <v>220</v>
      </c>
      <c r="D22" s="28" t="s">
        <v>234</v>
      </c>
      <c r="E22" s="28"/>
      <c r="F22" s="28" t="s">
        <v>9703</v>
      </c>
      <c r="G22" s="28" t="s">
        <v>9704</v>
      </c>
      <c r="H22" s="28" t="s">
        <v>9682</v>
      </c>
      <c r="I22" s="28" t="s">
        <v>9683</v>
      </c>
      <c r="J22" s="28" t="s">
        <v>9705</v>
      </c>
      <c r="K22" s="28" t="s">
        <v>9682</v>
      </c>
      <c r="L22" s="28" t="s">
        <v>6338</v>
      </c>
      <c r="M22" s="28" t="s">
        <v>41</v>
      </c>
      <c r="N22" s="28" t="s">
        <v>8227</v>
      </c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spans="1:26" ht="14.4">
      <c r="A23" s="28" t="s">
        <v>9571</v>
      </c>
      <c r="B23" s="28" t="s">
        <v>49</v>
      </c>
      <c r="C23" s="28" t="s">
        <v>220</v>
      </c>
      <c r="D23" s="28" t="s">
        <v>234</v>
      </c>
      <c r="E23" s="28"/>
      <c r="F23" s="28" t="s">
        <v>9706</v>
      </c>
      <c r="G23" s="28" t="s">
        <v>9707</v>
      </c>
      <c r="H23" s="28" t="s">
        <v>9708</v>
      </c>
      <c r="I23" s="28" t="s">
        <v>9709</v>
      </c>
      <c r="J23" s="28" t="s">
        <v>9710</v>
      </c>
      <c r="K23" s="28" t="s">
        <v>9708</v>
      </c>
      <c r="L23" s="28" t="s">
        <v>9711</v>
      </c>
      <c r="M23" s="28" t="s">
        <v>41</v>
      </c>
      <c r="N23" s="28" t="s">
        <v>9712</v>
      </c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pans="1:26" ht="14.4">
      <c r="A24" s="28" t="s">
        <v>9571</v>
      </c>
      <c r="B24" s="28" t="s">
        <v>49</v>
      </c>
      <c r="C24" s="28" t="s">
        <v>220</v>
      </c>
      <c r="D24" s="28" t="s">
        <v>234</v>
      </c>
      <c r="E24" s="28"/>
      <c r="F24" s="28" t="s">
        <v>9713</v>
      </c>
      <c r="G24" s="28" t="s">
        <v>9714</v>
      </c>
      <c r="H24" s="28" t="s">
        <v>9708</v>
      </c>
      <c r="I24" s="28" t="s">
        <v>9715</v>
      </c>
      <c r="J24" s="28" t="s">
        <v>9716</v>
      </c>
      <c r="K24" s="28" t="s">
        <v>9708</v>
      </c>
      <c r="L24" s="28" t="s">
        <v>9711</v>
      </c>
      <c r="M24" s="28" t="s">
        <v>41</v>
      </c>
      <c r="N24" s="28" t="s">
        <v>9712</v>
      </c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spans="1:26" ht="14.4">
      <c r="A25" s="28" t="s">
        <v>9571</v>
      </c>
      <c r="B25" s="28" t="s">
        <v>49</v>
      </c>
      <c r="C25" s="28" t="s">
        <v>233</v>
      </c>
      <c r="D25" s="29" t="s">
        <v>298</v>
      </c>
      <c r="E25" s="29"/>
      <c r="F25" s="28" t="s">
        <v>9717</v>
      </c>
      <c r="G25" s="28">
        <v>30800746834</v>
      </c>
      <c r="H25" s="28" t="s">
        <v>9660</v>
      </c>
      <c r="I25" s="28" t="s">
        <v>9661</v>
      </c>
      <c r="J25" s="28" t="s">
        <v>9718</v>
      </c>
      <c r="K25" s="28" t="s">
        <v>9719</v>
      </c>
      <c r="L25" s="28" t="s">
        <v>9663</v>
      </c>
      <c r="M25" s="28" t="s">
        <v>41</v>
      </c>
      <c r="N25" s="28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pans="1:26" ht="14.4">
      <c r="A26" s="28" t="s">
        <v>9571</v>
      </c>
      <c r="B26" s="28" t="s">
        <v>49</v>
      </c>
      <c r="C26" s="28" t="s">
        <v>233</v>
      </c>
      <c r="D26" s="29" t="s">
        <v>298</v>
      </c>
      <c r="E26" s="29"/>
      <c r="F26" s="28" t="s">
        <v>9720</v>
      </c>
      <c r="G26" s="28">
        <v>30800761134</v>
      </c>
      <c r="H26" s="28" t="s">
        <v>9666</v>
      </c>
      <c r="I26" s="28" t="s">
        <v>9667</v>
      </c>
      <c r="J26" s="28" t="s">
        <v>9721</v>
      </c>
      <c r="K26" s="28" t="s">
        <v>9722</v>
      </c>
      <c r="L26" s="28" t="s">
        <v>2149</v>
      </c>
      <c r="M26" s="28" t="s">
        <v>41</v>
      </c>
      <c r="N26" s="28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ht="14.4">
      <c r="A27" s="28" t="s">
        <v>9571</v>
      </c>
      <c r="B27" s="28" t="s">
        <v>49</v>
      </c>
      <c r="C27" s="28" t="s">
        <v>233</v>
      </c>
      <c r="D27" s="29" t="s">
        <v>298</v>
      </c>
      <c r="E27" s="29"/>
      <c r="F27" s="28" t="s">
        <v>9723</v>
      </c>
      <c r="G27" s="28">
        <v>3080068134</v>
      </c>
      <c r="H27" s="28" t="s">
        <v>9677</v>
      </c>
      <c r="I27" s="28" t="s">
        <v>5475</v>
      </c>
      <c r="J27" s="28" t="s">
        <v>9724</v>
      </c>
      <c r="K27" s="28" t="s">
        <v>9725</v>
      </c>
      <c r="L27" s="28" t="s">
        <v>2336</v>
      </c>
      <c r="M27" s="28" t="s">
        <v>41</v>
      </c>
      <c r="N27" s="28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ht="14.4">
      <c r="A28" s="28" t="s">
        <v>9571</v>
      </c>
      <c r="B28" s="28" t="s">
        <v>49</v>
      </c>
      <c r="C28" s="28" t="s">
        <v>233</v>
      </c>
      <c r="D28" s="29" t="s">
        <v>298</v>
      </c>
      <c r="E28" s="29"/>
      <c r="F28" s="28" t="s">
        <v>9726</v>
      </c>
      <c r="G28" s="28" t="s">
        <v>9727</v>
      </c>
      <c r="H28" s="28" t="s">
        <v>9728</v>
      </c>
      <c r="I28" s="28" t="s">
        <v>898</v>
      </c>
      <c r="J28" s="28" t="s">
        <v>9729</v>
      </c>
      <c r="K28" s="28" t="s">
        <v>9728</v>
      </c>
      <c r="L28" s="28" t="s">
        <v>989</v>
      </c>
      <c r="M28" s="28" t="s">
        <v>41</v>
      </c>
      <c r="N28" s="28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 ht="14.4">
      <c r="A29" s="28" t="s">
        <v>9571</v>
      </c>
      <c r="B29" s="28" t="s">
        <v>49</v>
      </c>
      <c r="C29" s="28" t="s">
        <v>51</v>
      </c>
      <c r="D29" s="29" t="s">
        <v>52</v>
      </c>
      <c r="E29" s="29"/>
      <c r="F29" s="28" t="s">
        <v>9730</v>
      </c>
      <c r="G29" s="28" t="s">
        <v>9731</v>
      </c>
      <c r="H29" s="28" t="s">
        <v>9627</v>
      </c>
      <c r="I29" s="28" t="s">
        <v>8326</v>
      </c>
      <c r="J29" s="28" t="s">
        <v>9732</v>
      </c>
      <c r="K29" s="28" t="s">
        <v>9627</v>
      </c>
      <c r="L29" s="28" t="s">
        <v>2149</v>
      </c>
      <c r="M29" s="28" t="s">
        <v>41</v>
      </c>
      <c r="N29" s="28" t="s">
        <v>9733</v>
      </c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ht="14.4">
      <c r="A30" s="28" t="s">
        <v>9571</v>
      </c>
      <c r="B30" s="28" t="s">
        <v>49</v>
      </c>
      <c r="C30" s="28" t="s">
        <v>70</v>
      </c>
      <c r="D30" s="29" t="s">
        <v>71</v>
      </c>
      <c r="E30" s="29"/>
      <c r="F30" s="28" t="s">
        <v>9734</v>
      </c>
      <c r="G30" s="28">
        <v>2839953</v>
      </c>
      <c r="H30" s="28" t="s">
        <v>9627</v>
      </c>
      <c r="I30" s="28" t="s">
        <v>8326</v>
      </c>
      <c r="J30" s="28" t="s">
        <v>9735</v>
      </c>
      <c r="K30" s="28" t="s">
        <v>9627</v>
      </c>
      <c r="L30" s="28" t="s">
        <v>2149</v>
      </c>
      <c r="M30" s="28" t="s">
        <v>41</v>
      </c>
      <c r="N30" s="28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spans="1:26" ht="14.4">
      <c r="A31" s="28" t="s">
        <v>9571</v>
      </c>
      <c r="B31" s="28" t="s">
        <v>49</v>
      </c>
      <c r="C31" s="28" t="s">
        <v>79</v>
      </c>
      <c r="D31" s="29" t="s">
        <v>80</v>
      </c>
      <c r="E31" s="29"/>
      <c r="F31" s="28" t="s">
        <v>4395</v>
      </c>
      <c r="G31" s="28">
        <v>10730029</v>
      </c>
      <c r="H31" s="28" t="s">
        <v>9627</v>
      </c>
      <c r="I31" s="28" t="s">
        <v>8326</v>
      </c>
      <c r="J31" s="28" t="s">
        <v>9736</v>
      </c>
      <c r="K31" s="28" t="s">
        <v>9627</v>
      </c>
      <c r="L31" s="28" t="s">
        <v>2149</v>
      </c>
      <c r="M31" s="28" t="s">
        <v>41</v>
      </c>
      <c r="N31" s="28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 ht="14.4">
      <c r="A32" s="28" t="s">
        <v>9571</v>
      </c>
      <c r="B32" s="28" t="s">
        <v>49</v>
      </c>
      <c r="C32" s="28" t="s">
        <v>287</v>
      </c>
      <c r="D32" s="28" t="s">
        <v>71</v>
      </c>
      <c r="E32" s="28"/>
      <c r="F32" s="28" t="s">
        <v>9737</v>
      </c>
      <c r="G32" s="28" t="s">
        <v>9738</v>
      </c>
      <c r="H32" s="28" t="s">
        <v>9739</v>
      </c>
      <c r="I32" s="28" t="s">
        <v>9740</v>
      </c>
      <c r="J32" s="28" t="s">
        <v>9741</v>
      </c>
      <c r="K32" s="28" t="s">
        <v>9739</v>
      </c>
      <c r="L32" s="28" t="s">
        <v>2149</v>
      </c>
      <c r="M32" s="28" t="s">
        <v>41</v>
      </c>
      <c r="N32" s="28" t="s">
        <v>4188</v>
      </c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1:26" ht="14.4">
      <c r="A33" s="28" t="s">
        <v>9571</v>
      </c>
      <c r="B33" s="28" t="s">
        <v>49</v>
      </c>
      <c r="C33" s="28" t="s">
        <v>296</v>
      </c>
      <c r="D33" s="28" t="s">
        <v>954</v>
      </c>
      <c r="E33" s="28"/>
      <c r="F33" s="79" t="s">
        <v>9742</v>
      </c>
      <c r="G33" s="28" t="s">
        <v>9743</v>
      </c>
      <c r="H33" s="28" t="s">
        <v>9666</v>
      </c>
      <c r="I33" s="28" t="s">
        <v>130</v>
      </c>
      <c r="J33" s="28" t="s">
        <v>9744</v>
      </c>
      <c r="K33" s="251" t="s">
        <v>9739</v>
      </c>
      <c r="L33" s="28" t="s">
        <v>2149</v>
      </c>
      <c r="M33" s="28" t="s">
        <v>41</v>
      </c>
      <c r="N33" s="28" t="s">
        <v>4188</v>
      </c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1:26" ht="14.4">
      <c r="A34" s="28" t="s">
        <v>9571</v>
      </c>
      <c r="B34" s="28" t="s">
        <v>49</v>
      </c>
      <c r="C34" s="28" t="s">
        <v>306</v>
      </c>
      <c r="D34" s="28" t="s">
        <v>341</v>
      </c>
      <c r="E34" s="28"/>
      <c r="F34" s="251" t="s">
        <v>9745</v>
      </c>
      <c r="G34" s="251" t="s">
        <v>9746</v>
      </c>
      <c r="H34" s="28" t="s">
        <v>9747</v>
      </c>
      <c r="I34" s="28" t="s">
        <v>9748</v>
      </c>
      <c r="J34" s="28"/>
      <c r="K34" s="28" t="s">
        <v>9666</v>
      </c>
      <c r="L34" s="28" t="s">
        <v>9749</v>
      </c>
      <c r="M34" s="28" t="s">
        <v>41</v>
      </c>
      <c r="N34" s="28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1:26" ht="14.4">
      <c r="A35" s="28" t="s">
        <v>9571</v>
      </c>
      <c r="B35" s="28" t="s">
        <v>49</v>
      </c>
      <c r="C35" s="28" t="s">
        <v>319</v>
      </c>
      <c r="D35" s="28" t="s">
        <v>796</v>
      </c>
      <c r="E35" s="28"/>
      <c r="F35" s="79" t="s">
        <v>9750</v>
      </c>
      <c r="G35" s="28" t="s">
        <v>9751</v>
      </c>
      <c r="H35" s="28" t="s">
        <v>9752</v>
      </c>
      <c r="I35" s="28" t="s">
        <v>1252</v>
      </c>
      <c r="J35" s="28" t="s">
        <v>9753</v>
      </c>
      <c r="K35" s="28" t="s">
        <v>9752</v>
      </c>
      <c r="L35" s="28" t="s">
        <v>989</v>
      </c>
      <c r="M35" s="28" t="s">
        <v>41</v>
      </c>
      <c r="N35" s="28" t="s">
        <v>9754</v>
      </c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1:26" ht="14.4">
      <c r="A36" s="28" t="s">
        <v>9571</v>
      </c>
      <c r="B36" s="28" t="s">
        <v>49</v>
      </c>
      <c r="C36" s="28" t="s">
        <v>319</v>
      </c>
      <c r="D36" s="28" t="s">
        <v>796</v>
      </c>
      <c r="E36" s="28"/>
      <c r="F36" s="79" t="s">
        <v>9755</v>
      </c>
      <c r="G36" s="28" t="s">
        <v>9756</v>
      </c>
      <c r="H36" s="28" t="s">
        <v>9677</v>
      </c>
      <c r="I36" s="28" t="s">
        <v>9757</v>
      </c>
      <c r="J36" s="28" t="s">
        <v>9758</v>
      </c>
      <c r="K36" s="28" t="s">
        <v>9759</v>
      </c>
      <c r="L36" s="28" t="s">
        <v>6457</v>
      </c>
      <c r="M36" s="28" t="s">
        <v>41</v>
      </c>
      <c r="N36" s="28" t="s">
        <v>8227</v>
      </c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1:26" ht="14.4">
      <c r="A37" s="28" t="s">
        <v>9571</v>
      </c>
      <c r="B37" s="28" t="s">
        <v>49</v>
      </c>
      <c r="C37" s="28" t="s">
        <v>319</v>
      </c>
      <c r="D37" s="28" t="s">
        <v>796</v>
      </c>
      <c r="E37" s="28"/>
      <c r="F37" s="79" t="s">
        <v>9760</v>
      </c>
      <c r="G37" s="28" t="s">
        <v>9761</v>
      </c>
      <c r="H37" s="28" t="s">
        <v>9643</v>
      </c>
      <c r="I37" s="28" t="s">
        <v>9762</v>
      </c>
      <c r="J37" s="28" t="s">
        <v>9763</v>
      </c>
      <c r="K37" s="28" t="s">
        <v>9643</v>
      </c>
      <c r="L37" s="28" t="s">
        <v>989</v>
      </c>
      <c r="M37" s="28" t="s">
        <v>41</v>
      </c>
      <c r="N37" s="28" t="s">
        <v>8227</v>
      </c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1:26" ht="14.4">
      <c r="A38" s="28" t="s">
        <v>9571</v>
      </c>
      <c r="B38" s="28" t="s">
        <v>49</v>
      </c>
      <c r="C38" s="28" t="s">
        <v>319</v>
      </c>
      <c r="D38" s="28" t="s">
        <v>796</v>
      </c>
      <c r="E38" s="28"/>
      <c r="F38" s="79" t="s">
        <v>9764</v>
      </c>
      <c r="G38" s="28" t="s">
        <v>9765</v>
      </c>
      <c r="H38" s="28" t="s">
        <v>9728</v>
      </c>
      <c r="I38" s="28" t="s">
        <v>966</v>
      </c>
      <c r="J38" s="28" t="s">
        <v>9766</v>
      </c>
      <c r="K38" s="251" t="s">
        <v>9767</v>
      </c>
      <c r="L38" s="28" t="s">
        <v>6457</v>
      </c>
      <c r="M38" s="28" t="s">
        <v>41</v>
      </c>
      <c r="N38" s="28" t="s">
        <v>9768</v>
      </c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6" ht="14.4">
      <c r="A39" s="28" t="s">
        <v>9571</v>
      </c>
      <c r="B39" s="28" t="s">
        <v>9769</v>
      </c>
      <c r="C39" s="28" t="s">
        <v>85</v>
      </c>
      <c r="D39" s="28" t="s">
        <v>86</v>
      </c>
      <c r="E39" s="28"/>
      <c r="F39" s="28" t="s">
        <v>9770</v>
      </c>
      <c r="G39" s="28" t="s">
        <v>9771</v>
      </c>
      <c r="H39" s="28" t="s">
        <v>9772</v>
      </c>
      <c r="I39" s="28" t="s">
        <v>9773</v>
      </c>
      <c r="J39" s="28" t="s">
        <v>9774</v>
      </c>
      <c r="K39" s="28" t="s">
        <v>9775</v>
      </c>
      <c r="L39" s="28" t="s">
        <v>9776</v>
      </c>
      <c r="M39" s="28" t="s">
        <v>41</v>
      </c>
      <c r="N39" s="28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1:26" ht="14.4">
      <c r="A40" s="28" t="s">
        <v>9571</v>
      </c>
      <c r="B40" s="28" t="s">
        <v>9769</v>
      </c>
      <c r="C40" s="28" t="s">
        <v>85</v>
      </c>
      <c r="D40" s="28" t="s">
        <v>86</v>
      </c>
      <c r="E40" s="28"/>
      <c r="F40" s="28" t="s">
        <v>9777</v>
      </c>
      <c r="G40" s="28" t="s">
        <v>9778</v>
      </c>
      <c r="H40" s="251" t="s">
        <v>9779</v>
      </c>
      <c r="I40" s="251" t="s">
        <v>9780</v>
      </c>
      <c r="J40" s="28" t="s">
        <v>9781</v>
      </c>
      <c r="K40" s="28" t="s">
        <v>9782</v>
      </c>
      <c r="L40" s="28" t="s">
        <v>2149</v>
      </c>
      <c r="M40" s="28" t="s">
        <v>41</v>
      </c>
      <c r="N40" s="28" t="s">
        <v>2439</v>
      </c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spans="1:26" ht="14.4">
      <c r="A41" s="28" t="s">
        <v>9571</v>
      </c>
      <c r="B41" s="28" t="s">
        <v>9769</v>
      </c>
      <c r="C41" s="28" t="s">
        <v>85</v>
      </c>
      <c r="D41" s="28" t="s">
        <v>86</v>
      </c>
      <c r="E41" s="28"/>
      <c r="F41" s="28" t="s">
        <v>9783</v>
      </c>
      <c r="G41" s="28" t="s">
        <v>9784</v>
      </c>
      <c r="H41" s="28" t="s">
        <v>9785</v>
      </c>
      <c r="I41" s="28" t="s">
        <v>9786</v>
      </c>
      <c r="J41" s="28" t="s">
        <v>9787</v>
      </c>
      <c r="K41" s="28" t="s">
        <v>9788</v>
      </c>
      <c r="L41" s="28" t="s">
        <v>2149</v>
      </c>
      <c r="M41" s="28" t="s">
        <v>41</v>
      </c>
      <c r="N41" s="28" t="s">
        <v>2439</v>
      </c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spans="1:26" ht="14.4">
      <c r="A42" s="28" t="s">
        <v>9571</v>
      </c>
      <c r="B42" s="28" t="s">
        <v>9769</v>
      </c>
      <c r="C42" s="28" t="s">
        <v>85</v>
      </c>
      <c r="D42" s="28" t="s">
        <v>86</v>
      </c>
      <c r="E42" s="28"/>
      <c r="F42" s="28" t="s">
        <v>9789</v>
      </c>
      <c r="G42" s="28" t="s">
        <v>9790</v>
      </c>
      <c r="H42" s="28" t="s">
        <v>9791</v>
      </c>
      <c r="I42" s="28" t="s">
        <v>887</v>
      </c>
      <c r="J42" s="28" t="s">
        <v>9792</v>
      </c>
      <c r="K42" s="28"/>
      <c r="L42" s="28" t="s">
        <v>2149</v>
      </c>
      <c r="M42" s="28" t="s">
        <v>41</v>
      </c>
      <c r="N42" s="28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spans="1:26" ht="14.4">
      <c r="A43" s="28" t="s">
        <v>9571</v>
      </c>
      <c r="B43" s="28" t="s">
        <v>9769</v>
      </c>
      <c r="C43" s="28" t="s">
        <v>85</v>
      </c>
      <c r="D43" s="28" t="s">
        <v>86</v>
      </c>
      <c r="E43" s="28"/>
      <c r="F43" s="28" t="s">
        <v>9793</v>
      </c>
      <c r="G43" s="28" t="s">
        <v>9794</v>
      </c>
      <c r="H43" s="251" t="s">
        <v>9795</v>
      </c>
      <c r="I43" s="28" t="s">
        <v>887</v>
      </c>
      <c r="J43" s="28" t="s">
        <v>9796</v>
      </c>
      <c r="K43" s="28" t="s">
        <v>9797</v>
      </c>
      <c r="L43" s="28" t="s">
        <v>2149</v>
      </c>
      <c r="M43" s="28" t="s">
        <v>41</v>
      </c>
      <c r="N43" s="28" t="s">
        <v>9798</v>
      </c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spans="1:26" ht="14.4">
      <c r="A44" s="28" t="s">
        <v>9571</v>
      </c>
      <c r="B44" s="28" t="s">
        <v>9769</v>
      </c>
      <c r="C44" s="28" t="s">
        <v>85</v>
      </c>
      <c r="D44" s="28" t="s">
        <v>86</v>
      </c>
      <c r="E44" s="28"/>
      <c r="F44" s="28" t="s">
        <v>9799</v>
      </c>
      <c r="G44" s="28" t="s">
        <v>9800</v>
      </c>
      <c r="H44" s="28" t="s">
        <v>9801</v>
      </c>
      <c r="I44" s="28" t="s">
        <v>9802</v>
      </c>
      <c r="J44" s="28" t="s">
        <v>9803</v>
      </c>
      <c r="K44" s="28" t="s">
        <v>9801</v>
      </c>
      <c r="L44" s="28" t="s">
        <v>2230</v>
      </c>
      <c r="M44" s="28" t="s">
        <v>41</v>
      </c>
      <c r="N44" s="28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spans="1:26" ht="14.4">
      <c r="A45" s="28" t="s">
        <v>9571</v>
      </c>
      <c r="B45" s="28" t="s">
        <v>9769</v>
      </c>
      <c r="C45" s="28" t="s">
        <v>85</v>
      </c>
      <c r="D45" s="28" t="s">
        <v>86</v>
      </c>
      <c r="E45" s="28"/>
      <c r="F45" s="28" t="s">
        <v>9804</v>
      </c>
      <c r="G45" s="28" t="s">
        <v>9805</v>
      </c>
      <c r="H45" s="251" t="s">
        <v>9806</v>
      </c>
      <c r="I45" s="251" t="s">
        <v>9807</v>
      </c>
      <c r="J45" s="28" t="s">
        <v>9808</v>
      </c>
      <c r="K45" s="28" t="s">
        <v>9809</v>
      </c>
      <c r="L45" s="28" t="s">
        <v>9810</v>
      </c>
      <c r="M45" s="28" t="s">
        <v>41</v>
      </c>
      <c r="N45" s="28" t="s">
        <v>9811</v>
      </c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spans="1:26" ht="14.4">
      <c r="A46" s="28" t="s">
        <v>9571</v>
      </c>
      <c r="B46" s="28" t="s">
        <v>9769</v>
      </c>
      <c r="C46" s="28" t="s">
        <v>85</v>
      </c>
      <c r="D46" s="28" t="s">
        <v>86</v>
      </c>
      <c r="E46" s="28"/>
      <c r="F46" s="28" t="s">
        <v>9812</v>
      </c>
      <c r="G46" s="28" t="s">
        <v>9813</v>
      </c>
      <c r="H46" s="28" t="s">
        <v>9814</v>
      </c>
      <c r="I46" s="28" t="s">
        <v>9815</v>
      </c>
      <c r="J46" s="28" t="s">
        <v>9816</v>
      </c>
      <c r="K46" s="28" t="s">
        <v>9814</v>
      </c>
      <c r="L46" s="28" t="s">
        <v>9817</v>
      </c>
      <c r="M46" s="28" t="s">
        <v>41</v>
      </c>
      <c r="N46" s="28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spans="1:26" ht="14.4">
      <c r="A47" s="28" t="s">
        <v>9571</v>
      </c>
      <c r="B47" s="28" t="s">
        <v>9769</v>
      </c>
      <c r="C47" s="28" t="s">
        <v>85</v>
      </c>
      <c r="D47" s="28" t="s">
        <v>86</v>
      </c>
      <c r="E47" s="28"/>
      <c r="F47" s="28" t="s">
        <v>9799</v>
      </c>
      <c r="G47" s="28" t="s">
        <v>9800</v>
      </c>
      <c r="H47" s="28" t="s">
        <v>9818</v>
      </c>
      <c r="I47" s="28" t="s">
        <v>2400</v>
      </c>
      <c r="J47" s="28" t="s">
        <v>9819</v>
      </c>
      <c r="K47" s="28" t="s">
        <v>9818</v>
      </c>
      <c r="L47" s="28" t="s">
        <v>9820</v>
      </c>
      <c r="M47" s="28" t="s">
        <v>41</v>
      </c>
      <c r="N47" s="28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spans="1:26" ht="14.4">
      <c r="A48" s="28" t="s">
        <v>9571</v>
      </c>
      <c r="B48" s="28" t="s">
        <v>9769</v>
      </c>
      <c r="C48" s="28" t="s">
        <v>85</v>
      </c>
      <c r="D48" s="28" t="s">
        <v>86</v>
      </c>
      <c r="E48" s="28"/>
      <c r="F48" s="28" t="s">
        <v>9821</v>
      </c>
      <c r="G48" s="28" t="s">
        <v>9822</v>
      </c>
      <c r="H48" s="28" t="s">
        <v>9823</v>
      </c>
      <c r="I48" s="28" t="s">
        <v>2400</v>
      </c>
      <c r="J48" s="28" t="s">
        <v>9824</v>
      </c>
      <c r="K48" s="28" t="s">
        <v>9823</v>
      </c>
      <c r="L48" s="28" t="s">
        <v>9825</v>
      </c>
      <c r="M48" s="28" t="s">
        <v>41</v>
      </c>
      <c r="N48" s="28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spans="1:26" ht="14.4">
      <c r="A49" s="28" t="s">
        <v>9571</v>
      </c>
      <c r="B49" s="28" t="s">
        <v>9769</v>
      </c>
      <c r="C49" s="28" t="s">
        <v>85</v>
      </c>
      <c r="D49" s="28" t="s">
        <v>86</v>
      </c>
      <c r="E49" s="28"/>
      <c r="F49" s="28" t="s">
        <v>9826</v>
      </c>
      <c r="G49" s="28" t="s">
        <v>9827</v>
      </c>
      <c r="H49" s="251" t="s">
        <v>9828</v>
      </c>
      <c r="I49" s="251" t="s">
        <v>9829</v>
      </c>
      <c r="J49" s="28" t="s">
        <v>9830</v>
      </c>
      <c r="K49" s="28" t="s">
        <v>9831</v>
      </c>
      <c r="L49" s="28" t="s">
        <v>9832</v>
      </c>
      <c r="M49" s="28" t="s">
        <v>41</v>
      </c>
      <c r="N49" s="28" t="s">
        <v>9810</v>
      </c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spans="1:26" ht="14.4">
      <c r="A50" s="28" t="s">
        <v>9571</v>
      </c>
      <c r="B50" s="28" t="s">
        <v>9769</v>
      </c>
      <c r="C50" s="28" t="s">
        <v>85</v>
      </c>
      <c r="D50" s="28" t="s">
        <v>86</v>
      </c>
      <c r="E50" s="28"/>
      <c r="F50" s="28" t="s">
        <v>9833</v>
      </c>
      <c r="G50" s="28" t="s">
        <v>9834</v>
      </c>
      <c r="H50" s="28" t="s">
        <v>9835</v>
      </c>
      <c r="I50" s="28" t="s">
        <v>2400</v>
      </c>
      <c r="J50" s="28" t="s">
        <v>9836</v>
      </c>
      <c r="K50" s="28" t="s">
        <v>9837</v>
      </c>
      <c r="L50" s="28" t="s">
        <v>9838</v>
      </c>
      <c r="M50" s="28" t="s">
        <v>41</v>
      </c>
      <c r="N50" s="28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spans="1:26" ht="14.4">
      <c r="A51" s="28" t="s">
        <v>9571</v>
      </c>
      <c r="B51" s="28" t="s">
        <v>9769</v>
      </c>
      <c r="C51" s="28" t="s">
        <v>85</v>
      </c>
      <c r="D51" s="28" t="s">
        <v>86</v>
      </c>
      <c r="E51" s="28"/>
      <c r="F51" s="28" t="s">
        <v>9839</v>
      </c>
      <c r="G51" s="28" t="s">
        <v>9840</v>
      </c>
      <c r="H51" s="28" t="s">
        <v>9841</v>
      </c>
      <c r="I51" s="28" t="s">
        <v>2400</v>
      </c>
      <c r="J51" s="28" t="s">
        <v>9842</v>
      </c>
      <c r="K51" s="28" t="s">
        <v>9841</v>
      </c>
      <c r="L51" s="28" t="s">
        <v>9843</v>
      </c>
      <c r="M51" s="28" t="s">
        <v>41</v>
      </c>
      <c r="N51" s="28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spans="1:26" ht="14.4">
      <c r="A52" s="28" t="s">
        <v>9571</v>
      </c>
      <c r="B52" s="28" t="s">
        <v>9769</v>
      </c>
      <c r="C52" s="28" t="s">
        <v>85</v>
      </c>
      <c r="D52" s="28" t="s">
        <v>86</v>
      </c>
      <c r="E52" s="28"/>
      <c r="F52" s="28" t="s">
        <v>9844</v>
      </c>
      <c r="G52" s="28" t="s">
        <v>9845</v>
      </c>
      <c r="H52" s="28" t="s">
        <v>9846</v>
      </c>
      <c r="I52" s="28" t="s">
        <v>2400</v>
      </c>
      <c r="J52" s="28" t="s">
        <v>9847</v>
      </c>
      <c r="K52" s="28" t="s">
        <v>9848</v>
      </c>
      <c r="L52" s="28" t="s">
        <v>9849</v>
      </c>
      <c r="M52" s="28" t="s">
        <v>41</v>
      </c>
      <c r="N52" s="28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spans="1:26" ht="14.4">
      <c r="A53" s="28" t="s">
        <v>9571</v>
      </c>
      <c r="B53" s="28" t="s">
        <v>9769</v>
      </c>
      <c r="C53" s="28" t="s">
        <v>85</v>
      </c>
      <c r="D53" s="28" t="s">
        <v>86</v>
      </c>
      <c r="E53" s="28"/>
      <c r="F53" s="28" t="s">
        <v>9851</v>
      </c>
      <c r="G53" s="28" t="s">
        <v>9852</v>
      </c>
      <c r="H53" s="28" t="s">
        <v>9853</v>
      </c>
      <c r="I53" s="28" t="s">
        <v>9815</v>
      </c>
      <c r="J53" s="28" t="s">
        <v>9854</v>
      </c>
      <c r="K53" s="28" t="s">
        <v>9853</v>
      </c>
      <c r="L53" s="28" t="s">
        <v>9855</v>
      </c>
      <c r="M53" s="28" t="s">
        <v>41</v>
      </c>
      <c r="N53" s="28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spans="1:26" ht="14.4">
      <c r="A54" s="28" t="s">
        <v>9571</v>
      </c>
      <c r="B54" s="28" t="s">
        <v>9769</v>
      </c>
      <c r="C54" s="28" t="s">
        <v>220</v>
      </c>
      <c r="D54" s="28" t="s">
        <v>234</v>
      </c>
      <c r="E54" s="28"/>
      <c r="F54" s="28" t="s">
        <v>9858</v>
      </c>
      <c r="G54" s="28" t="s">
        <v>9859</v>
      </c>
      <c r="H54" s="28" t="s">
        <v>9861</v>
      </c>
      <c r="I54" s="28" t="s">
        <v>2400</v>
      </c>
      <c r="J54" s="28" t="s">
        <v>9863</v>
      </c>
      <c r="K54" s="28" t="s">
        <v>9864</v>
      </c>
      <c r="L54" s="28" t="s">
        <v>9865</v>
      </c>
      <c r="M54" s="28" t="s">
        <v>41</v>
      </c>
      <c r="N54" s="28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spans="1:26" ht="14.4">
      <c r="A55" s="28" t="s">
        <v>9571</v>
      </c>
      <c r="B55" s="28" t="s">
        <v>9769</v>
      </c>
      <c r="C55" s="28" t="s">
        <v>220</v>
      </c>
      <c r="D55" s="28" t="s">
        <v>234</v>
      </c>
      <c r="E55" s="28"/>
      <c r="F55" s="28" t="s">
        <v>9866</v>
      </c>
      <c r="G55" s="28" t="s">
        <v>9867</v>
      </c>
      <c r="H55" s="28" t="s">
        <v>9869</v>
      </c>
      <c r="I55" s="28" t="s">
        <v>9815</v>
      </c>
      <c r="J55" s="28" t="s">
        <v>9872</v>
      </c>
      <c r="K55" s="28" t="s">
        <v>9869</v>
      </c>
      <c r="L55" s="28" t="s">
        <v>9873</v>
      </c>
      <c r="M55" s="28" t="s">
        <v>41</v>
      </c>
      <c r="N55" s="28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spans="1:26" ht="14.4">
      <c r="A56" s="28" t="s">
        <v>9571</v>
      </c>
      <c r="B56" s="28" t="s">
        <v>9769</v>
      </c>
      <c r="C56" s="28" t="s">
        <v>220</v>
      </c>
      <c r="D56" s="28" t="s">
        <v>234</v>
      </c>
      <c r="E56" s="28"/>
      <c r="F56" s="28" t="s">
        <v>9875</v>
      </c>
      <c r="G56" s="28" t="s">
        <v>9877</v>
      </c>
      <c r="H56" s="28" t="s">
        <v>9785</v>
      </c>
      <c r="I56" s="28" t="s">
        <v>9878</v>
      </c>
      <c r="J56" s="28" t="s">
        <v>9879</v>
      </c>
      <c r="K56" s="251" t="s">
        <v>9880</v>
      </c>
      <c r="L56" s="28" t="s">
        <v>2149</v>
      </c>
      <c r="M56" s="28" t="s">
        <v>41</v>
      </c>
      <c r="N56" s="28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spans="1:26" ht="14.4">
      <c r="A57" s="28" t="s">
        <v>9571</v>
      </c>
      <c r="B57" s="28" t="s">
        <v>9769</v>
      </c>
      <c r="C57" s="28" t="s">
        <v>220</v>
      </c>
      <c r="D57" s="28" t="s">
        <v>234</v>
      </c>
      <c r="E57" s="28"/>
      <c r="F57" s="28" t="s">
        <v>9886</v>
      </c>
      <c r="G57" s="28" t="s">
        <v>9889</v>
      </c>
      <c r="H57" s="28" t="s">
        <v>9785</v>
      </c>
      <c r="I57" s="28" t="s">
        <v>9878</v>
      </c>
      <c r="J57" s="28" t="s">
        <v>9890</v>
      </c>
      <c r="K57" s="28" t="s">
        <v>9891</v>
      </c>
      <c r="L57" s="28" t="s">
        <v>2149</v>
      </c>
      <c r="M57" s="28" t="s">
        <v>41</v>
      </c>
      <c r="N57" s="28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spans="1:26" ht="14.4">
      <c r="A58" s="28" t="s">
        <v>9571</v>
      </c>
      <c r="B58" s="28" t="s">
        <v>9769</v>
      </c>
      <c r="C58" s="28" t="s">
        <v>220</v>
      </c>
      <c r="D58" s="28" t="s">
        <v>234</v>
      </c>
      <c r="E58" s="28"/>
      <c r="F58" s="28" t="s">
        <v>9896</v>
      </c>
      <c r="G58" s="28" t="s">
        <v>9898</v>
      </c>
      <c r="H58" s="28" t="s">
        <v>9785</v>
      </c>
      <c r="I58" s="28" t="s">
        <v>9878</v>
      </c>
      <c r="J58" s="28" t="s">
        <v>9901</v>
      </c>
      <c r="K58" s="251" t="s">
        <v>9902</v>
      </c>
      <c r="L58" s="28" t="s">
        <v>2149</v>
      </c>
      <c r="M58" s="28" t="s">
        <v>41</v>
      </c>
      <c r="N58" s="28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spans="1:26" ht="14.4">
      <c r="A59" s="28" t="s">
        <v>9571</v>
      </c>
      <c r="B59" s="28" t="s">
        <v>9769</v>
      </c>
      <c r="C59" s="28" t="s">
        <v>233</v>
      </c>
      <c r="D59" s="29" t="s">
        <v>298</v>
      </c>
      <c r="E59" s="29"/>
      <c r="F59" s="28" t="s">
        <v>9908</v>
      </c>
      <c r="G59" s="28" t="s">
        <v>9909</v>
      </c>
      <c r="H59" s="251" t="s">
        <v>9910</v>
      </c>
      <c r="I59" s="251" t="s">
        <v>9912</v>
      </c>
      <c r="J59" s="28" t="s">
        <v>9914</v>
      </c>
      <c r="K59" s="251" t="s">
        <v>9910</v>
      </c>
      <c r="L59" s="28" t="s">
        <v>9917</v>
      </c>
      <c r="M59" s="28" t="s">
        <v>41</v>
      </c>
      <c r="N59" s="28" t="s">
        <v>4188</v>
      </c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spans="1:26" ht="14.4">
      <c r="A60" s="28" t="s">
        <v>9571</v>
      </c>
      <c r="B60" s="28" t="s">
        <v>9769</v>
      </c>
      <c r="C60" s="28" t="s">
        <v>233</v>
      </c>
      <c r="D60" s="29" t="s">
        <v>298</v>
      </c>
      <c r="E60" s="29"/>
      <c r="F60" s="28" t="s">
        <v>9922</v>
      </c>
      <c r="G60" s="28" t="s">
        <v>9923</v>
      </c>
      <c r="H60" s="28" t="s">
        <v>9924</v>
      </c>
      <c r="I60" s="28" t="s">
        <v>9925</v>
      </c>
      <c r="J60" s="28" t="s">
        <v>9927</v>
      </c>
      <c r="K60" s="251" t="s">
        <v>9929</v>
      </c>
      <c r="L60" s="28" t="s">
        <v>2149</v>
      </c>
      <c r="M60" s="28" t="s">
        <v>41</v>
      </c>
      <c r="N60" s="28" t="s">
        <v>4188</v>
      </c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spans="1:26" ht="14.4">
      <c r="A61" s="28" t="s">
        <v>9571</v>
      </c>
      <c r="B61" s="28" t="s">
        <v>9769</v>
      </c>
      <c r="C61" s="28" t="s">
        <v>233</v>
      </c>
      <c r="D61" s="29" t="s">
        <v>298</v>
      </c>
      <c r="E61" s="29"/>
      <c r="F61" s="28" t="s">
        <v>9934</v>
      </c>
      <c r="G61" s="28" t="s">
        <v>9935</v>
      </c>
      <c r="H61" s="28" t="s">
        <v>9785</v>
      </c>
      <c r="I61" s="28" t="s">
        <v>9936</v>
      </c>
      <c r="J61" s="28" t="s">
        <v>9937</v>
      </c>
      <c r="K61" s="28" t="s">
        <v>9785</v>
      </c>
      <c r="L61" s="28" t="s">
        <v>2149</v>
      </c>
      <c r="M61" s="28" t="s">
        <v>41</v>
      </c>
      <c r="N61" s="28" t="s">
        <v>4188</v>
      </c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spans="1:26" ht="14.4">
      <c r="A62" s="28" t="s">
        <v>9571</v>
      </c>
      <c r="B62" s="28" t="s">
        <v>9769</v>
      </c>
      <c r="C62" s="28" t="s">
        <v>233</v>
      </c>
      <c r="D62" s="29" t="s">
        <v>298</v>
      </c>
      <c r="E62" s="29"/>
      <c r="F62" s="28" t="s">
        <v>9942</v>
      </c>
      <c r="G62" s="28" t="s">
        <v>9943</v>
      </c>
      <c r="H62" s="28" t="s">
        <v>9772</v>
      </c>
      <c r="I62" s="28" t="s">
        <v>9773</v>
      </c>
      <c r="J62" s="28" t="s">
        <v>9944</v>
      </c>
      <c r="K62" s="28" t="s">
        <v>9772</v>
      </c>
      <c r="L62" s="28" t="s">
        <v>9945</v>
      </c>
      <c r="M62" s="28" t="s">
        <v>41</v>
      </c>
      <c r="N62" s="28" t="s">
        <v>4188</v>
      </c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spans="1:26" ht="14.4">
      <c r="A63" s="28" t="s">
        <v>9571</v>
      </c>
      <c r="B63" s="28" t="s">
        <v>9769</v>
      </c>
      <c r="C63" s="28" t="s">
        <v>233</v>
      </c>
      <c r="D63" s="29" t="s">
        <v>298</v>
      </c>
      <c r="E63" s="29"/>
      <c r="F63" s="28" t="s">
        <v>9726</v>
      </c>
      <c r="G63" s="28" t="s">
        <v>9951</v>
      </c>
      <c r="H63" s="28" t="s">
        <v>9952</v>
      </c>
      <c r="I63" s="28" t="s">
        <v>887</v>
      </c>
      <c r="J63" s="28" t="s">
        <v>9729</v>
      </c>
      <c r="K63" s="28" t="s">
        <v>9952</v>
      </c>
      <c r="L63" s="28" t="s">
        <v>2149</v>
      </c>
      <c r="M63" s="28" t="s">
        <v>41</v>
      </c>
      <c r="N63" s="28" t="s">
        <v>4188</v>
      </c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spans="1:26" ht="14.4">
      <c r="A64" s="28" t="s">
        <v>9571</v>
      </c>
      <c r="B64" s="28" t="s">
        <v>9769</v>
      </c>
      <c r="C64" s="28" t="s">
        <v>275</v>
      </c>
      <c r="D64" s="29" t="s">
        <v>543</v>
      </c>
      <c r="E64" s="29"/>
      <c r="F64" s="79" t="s">
        <v>9959</v>
      </c>
      <c r="G64" s="28" t="s">
        <v>9962</v>
      </c>
      <c r="H64" s="28" t="s">
        <v>9963</v>
      </c>
      <c r="I64" s="28" t="s">
        <v>7741</v>
      </c>
      <c r="J64" s="28" t="s">
        <v>9964</v>
      </c>
      <c r="K64" s="28" t="s">
        <v>9963</v>
      </c>
      <c r="L64" s="28" t="s">
        <v>6516</v>
      </c>
      <c r="M64" s="28" t="s">
        <v>41</v>
      </c>
      <c r="N64" s="28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spans="1:26" ht="14.4">
      <c r="A65" s="28" t="s">
        <v>9571</v>
      </c>
      <c r="B65" s="28" t="s">
        <v>9769</v>
      </c>
      <c r="C65" s="28" t="s">
        <v>51</v>
      </c>
      <c r="D65" s="29" t="s">
        <v>52</v>
      </c>
      <c r="E65" s="29"/>
      <c r="F65" s="28" t="s">
        <v>9734</v>
      </c>
      <c r="G65" s="28" t="s">
        <v>9971</v>
      </c>
      <c r="H65" s="28" t="s">
        <v>9972</v>
      </c>
      <c r="I65" s="28" t="s">
        <v>3181</v>
      </c>
      <c r="J65" s="28" t="s">
        <v>9975</v>
      </c>
      <c r="K65" s="28" t="s">
        <v>9972</v>
      </c>
      <c r="L65" s="28" t="s">
        <v>7082</v>
      </c>
      <c r="M65" s="28" t="s">
        <v>41</v>
      </c>
      <c r="N65" s="28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spans="1:26" ht="14.4">
      <c r="A66" s="28" t="s">
        <v>9571</v>
      </c>
      <c r="B66" s="28" t="s">
        <v>9769</v>
      </c>
      <c r="C66" s="28" t="s">
        <v>70</v>
      </c>
      <c r="D66" s="29" t="s">
        <v>71</v>
      </c>
      <c r="E66" s="29"/>
      <c r="F66" s="28" t="s">
        <v>9976</v>
      </c>
      <c r="G66" s="28" t="s">
        <v>9977</v>
      </c>
      <c r="H66" s="28" t="s">
        <v>9972</v>
      </c>
      <c r="I66" s="28" t="s">
        <v>3181</v>
      </c>
      <c r="J66" s="28" t="s">
        <v>9980</v>
      </c>
      <c r="K66" s="28" t="s">
        <v>9972</v>
      </c>
      <c r="L66" s="28" t="s">
        <v>7082</v>
      </c>
      <c r="M66" s="28" t="s">
        <v>41</v>
      </c>
      <c r="N66" s="28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spans="1:26" ht="14.4">
      <c r="A67" s="28" t="s">
        <v>9571</v>
      </c>
      <c r="B67" s="28" t="s">
        <v>9769</v>
      </c>
      <c r="C67" s="28" t="s">
        <v>79</v>
      </c>
      <c r="D67" s="29" t="s">
        <v>80</v>
      </c>
      <c r="E67" s="29"/>
      <c r="F67" s="28" t="s">
        <v>9983</v>
      </c>
      <c r="G67" s="28" t="s">
        <v>9984</v>
      </c>
      <c r="H67" s="28" t="s">
        <v>9972</v>
      </c>
      <c r="I67" s="28" t="s">
        <v>3181</v>
      </c>
      <c r="J67" s="28" t="s">
        <v>9988</v>
      </c>
      <c r="K67" s="28" t="s">
        <v>9972</v>
      </c>
      <c r="L67" s="28" t="s">
        <v>7082</v>
      </c>
      <c r="M67" s="28" t="s">
        <v>41</v>
      </c>
      <c r="N67" s="28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spans="1:26" ht="14.4">
      <c r="A68" s="28" t="s">
        <v>9571</v>
      </c>
      <c r="B68" s="28" t="s">
        <v>9769</v>
      </c>
      <c r="C68" s="28" t="s">
        <v>296</v>
      </c>
      <c r="D68" s="28" t="s">
        <v>954</v>
      </c>
      <c r="E68" s="28"/>
      <c r="F68" s="79" t="s">
        <v>9992</v>
      </c>
      <c r="G68" s="28"/>
      <c r="H68" s="28" t="s">
        <v>9994</v>
      </c>
      <c r="I68" s="28" t="s">
        <v>1729</v>
      </c>
      <c r="J68" s="28" t="s">
        <v>9744</v>
      </c>
      <c r="K68" s="28"/>
      <c r="L68" s="28" t="s">
        <v>9995</v>
      </c>
      <c r="M68" s="28" t="s">
        <v>41</v>
      </c>
      <c r="N68" s="28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spans="1:26" ht="14.4">
      <c r="A69" s="28" t="s">
        <v>9571</v>
      </c>
      <c r="B69" s="28" t="s">
        <v>10000</v>
      </c>
      <c r="C69" s="28" t="s">
        <v>85</v>
      </c>
      <c r="D69" s="28" t="s">
        <v>86</v>
      </c>
      <c r="E69" s="28"/>
      <c r="F69" s="28" t="s">
        <v>10001</v>
      </c>
      <c r="G69" s="28" t="s">
        <v>10002</v>
      </c>
      <c r="H69" s="28" t="s">
        <v>10004</v>
      </c>
      <c r="I69" s="28" t="s">
        <v>521</v>
      </c>
      <c r="J69" s="28" t="s">
        <v>10005</v>
      </c>
      <c r="K69" s="28" t="s">
        <v>10004</v>
      </c>
      <c r="L69" s="28" t="s">
        <v>6768</v>
      </c>
      <c r="M69" s="28" t="s">
        <v>41</v>
      </c>
      <c r="N69" s="28" t="s">
        <v>2350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spans="1:26" ht="14.4">
      <c r="A70" s="28" t="s">
        <v>9571</v>
      </c>
      <c r="B70" s="28" t="s">
        <v>10000</v>
      </c>
      <c r="C70" s="28" t="s">
        <v>85</v>
      </c>
      <c r="D70" s="28" t="s">
        <v>86</v>
      </c>
      <c r="E70" s="28"/>
      <c r="F70" s="28" t="s">
        <v>10009</v>
      </c>
      <c r="G70" s="28" t="s">
        <v>10010</v>
      </c>
      <c r="H70" s="28" t="s">
        <v>10012</v>
      </c>
      <c r="I70" s="28" t="s">
        <v>3181</v>
      </c>
      <c r="J70" s="28" t="s">
        <v>10015</v>
      </c>
      <c r="K70" s="28" t="s">
        <v>10012</v>
      </c>
      <c r="L70" s="28" t="s">
        <v>2794</v>
      </c>
      <c r="M70" s="28" t="s">
        <v>41</v>
      </c>
      <c r="N70" s="28" t="s">
        <v>2350</v>
      </c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spans="1:26" ht="14.4">
      <c r="A71" s="28" t="s">
        <v>9571</v>
      </c>
      <c r="B71" s="28" t="s">
        <v>10000</v>
      </c>
      <c r="C71" s="28" t="s">
        <v>85</v>
      </c>
      <c r="D71" s="28" t="s">
        <v>86</v>
      </c>
      <c r="E71" s="28"/>
      <c r="F71" s="28" t="s">
        <v>10016</v>
      </c>
      <c r="G71" s="28" t="s">
        <v>10017</v>
      </c>
      <c r="H71" s="28" t="s">
        <v>10012</v>
      </c>
      <c r="I71" s="28" t="s">
        <v>3181</v>
      </c>
      <c r="J71" s="28" t="s">
        <v>10019</v>
      </c>
      <c r="K71" s="28" t="s">
        <v>10012</v>
      </c>
      <c r="L71" s="28" t="s">
        <v>2794</v>
      </c>
      <c r="M71" s="28" t="s">
        <v>41</v>
      </c>
      <c r="N71" s="28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spans="1:26" ht="14.4">
      <c r="A72" s="28" t="s">
        <v>9571</v>
      </c>
      <c r="B72" s="28" t="s">
        <v>10000</v>
      </c>
      <c r="C72" s="28" t="s">
        <v>85</v>
      </c>
      <c r="D72" s="28" t="s">
        <v>86</v>
      </c>
      <c r="E72" s="28"/>
      <c r="F72" s="28" t="s">
        <v>10023</v>
      </c>
      <c r="G72" s="28" t="s">
        <v>10024</v>
      </c>
      <c r="H72" s="28" t="s">
        <v>10025</v>
      </c>
      <c r="I72" s="28" t="s">
        <v>3573</v>
      </c>
      <c r="J72" s="28" t="s">
        <v>10026</v>
      </c>
      <c r="K72" s="28" t="s">
        <v>10025</v>
      </c>
      <c r="L72" s="28" t="s">
        <v>6768</v>
      </c>
      <c r="M72" s="28" t="s">
        <v>41</v>
      </c>
      <c r="N72" s="28" t="s">
        <v>5859</v>
      </c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spans="1:26" ht="14.4">
      <c r="A73" s="28" t="s">
        <v>9571</v>
      </c>
      <c r="B73" s="28" t="s">
        <v>10000</v>
      </c>
      <c r="C73" s="28" t="s">
        <v>85</v>
      </c>
      <c r="D73" s="28" t="s">
        <v>86</v>
      </c>
      <c r="E73" s="28"/>
      <c r="F73" s="28" t="s">
        <v>10033</v>
      </c>
      <c r="G73" s="28" t="s">
        <v>10035</v>
      </c>
      <c r="H73" s="28" t="s">
        <v>10036</v>
      </c>
      <c r="I73" s="28" t="s">
        <v>5294</v>
      </c>
      <c r="J73" s="28" t="s">
        <v>10037</v>
      </c>
      <c r="K73" s="28" t="s">
        <v>10036</v>
      </c>
      <c r="L73" s="28" t="s">
        <v>6768</v>
      </c>
      <c r="M73" s="28" t="s">
        <v>41</v>
      </c>
      <c r="N73" s="28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spans="1:26" ht="14.4">
      <c r="A74" s="28" t="s">
        <v>9571</v>
      </c>
      <c r="B74" s="28" t="s">
        <v>10000</v>
      </c>
      <c r="C74" s="28" t="s">
        <v>85</v>
      </c>
      <c r="D74" s="28" t="s">
        <v>86</v>
      </c>
      <c r="E74" s="28"/>
      <c r="F74" s="28" t="s">
        <v>10043</v>
      </c>
      <c r="G74" s="28" t="s">
        <v>10045</v>
      </c>
      <c r="H74" s="28" t="s">
        <v>10047</v>
      </c>
      <c r="I74" s="28" t="s">
        <v>898</v>
      </c>
      <c r="J74" s="28" t="s">
        <v>10048</v>
      </c>
      <c r="K74" s="28" t="s">
        <v>10047</v>
      </c>
      <c r="L74" s="28" t="s">
        <v>2794</v>
      </c>
      <c r="M74" s="28" t="s">
        <v>41</v>
      </c>
      <c r="N74" s="28" t="s">
        <v>5868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spans="1:26" ht="14.4">
      <c r="A75" s="28" t="s">
        <v>9571</v>
      </c>
      <c r="B75" s="28" t="s">
        <v>10000</v>
      </c>
      <c r="C75" s="28" t="s">
        <v>85</v>
      </c>
      <c r="D75" s="28" t="s">
        <v>86</v>
      </c>
      <c r="E75" s="28"/>
      <c r="F75" s="28" t="s">
        <v>10058</v>
      </c>
      <c r="G75" s="28" t="s">
        <v>10061</v>
      </c>
      <c r="H75" s="28" t="s">
        <v>10063</v>
      </c>
      <c r="I75" s="28" t="s">
        <v>887</v>
      </c>
      <c r="J75" s="28" t="s">
        <v>10065</v>
      </c>
      <c r="K75" s="28" t="s">
        <v>10063</v>
      </c>
      <c r="L75" s="28" t="s">
        <v>6768</v>
      </c>
      <c r="M75" s="28" t="s">
        <v>41</v>
      </c>
      <c r="N75" s="28" t="s">
        <v>5868</v>
      </c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spans="1:26" ht="14.4">
      <c r="A76" s="28" t="s">
        <v>9571</v>
      </c>
      <c r="B76" s="28" t="s">
        <v>10000</v>
      </c>
      <c r="C76" s="28" t="s">
        <v>85</v>
      </c>
      <c r="D76" s="28" t="s">
        <v>86</v>
      </c>
      <c r="E76" s="28"/>
      <c r="F76" s="28" t="s">
        <v>10073</v>
      </c>
      <c r="G76" s="28" t="s">
        <v>10074</v>
      </c>
      <c r="H76" s="28" t="s">
        <v>10012</v>
      </c>
      <c r="I76" s="28" t="s">
        <v>3181</v>
      </c>
      <c r="J76" s="28" t="s">
        <v>10078</v>
      </c>
      <c r="K76" s="28" t="s">
        <v>10012</v>
      </c>
      <c r="L76" s="28" t="s">
        <v>2794</v>
      </c>
      <c r="M76" s="28" t="s">
        <v>41</v>
      </c>
      <c r="N76" s="28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spans="1:26" ht="14.4">
      <c r="A77" s="28" t="s">
        <v>9571</v>
      </c>
      <c r="B77" s="28" t="s">
        <v>10000</v>
      </c>
      <c r="C77" s="28" t="s">
        <v>85</v>
      </c>
      <c r="D77" s="28" t="s">
        <v>86</v>
      </c>
      <c r="E77" s="28"/>
      <c r="F77" s="28" t="s">
        <v>10086</v>
      </c>
      <c r="G77" s="28" t="s">
        <v>10087</v>
      </c>
      <c r="H77" s="28" t="s">
        <v>10089</v>
      </c>
      <c r="I77" s="28" t="s">
        <v>887</v>
      </c>
      <c r="J77" s="28" t="s">
        <v>10092</v>
      </c>
      <c r="K77" s="28" t="s">
        <v>10089</v>
      </c>
      <c r="L77" s="28" t="s">
        <v>6768</v>
      </c>
      <c r="M77" s="28" t="s">
        <v>41</v>
      </c>
      <c r="N77" s="28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spans="1:26" ht="14.4">
      <c r="A78" s="28" t="s">
        <v>9571</v>
      </c>
      <c r="B78" s="28" t="s">
        <v>10000</v>
      </c>
      <c r="C78" s="28" t="s">
        <v>85</v>
      </c>
      <c r="D78" s="28" t="s">
        <v>86</v>
      </c>
      <c r="E78" s="28"/>
      <c r="F78" s="28" t="s">
        <v>10100</v>
      </c>
      <c r="G78" s="28" t="s">
        <v>10101</v>
      </c>
      <c r="H78" s="28" t="s">
        <v>10103</v>
      </c>
      <c r="I78" s="28" t="s">
        <v>887</v>
      </c>
      <c r="J78" s="28" t="s">
        <v>10106</v>
      </c>
      <c r="K78" s="28" t="s">
        <v>10103</v>
      </c>
      <c r="L78" s="28" t="s">
        <v>6768</v>
      </c>
      <c r="M78" s="28" t="s">
        <v>41</v>
      </c>
      <c r="N78" s="28" t="s">
        <v>5868</v>
      </c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spans="1:26" ht="14.4">
      <c r="A79" s="28" t="s">
        <v>9571</v>
      </c>
      <c r="B79" s="28" t="s">
        <v>10000</v>
      </c>
      <c r="C79" s="28" t="s">
        <v>85</v>
      </c>
      <c r="D79" s="28" t="s">
        <v>86</v>
      </c>
      <c r="E79" s="28"/>
      <c r="F79" s="28" t="s">
        <v>10114</v>
      </c>
      <c r="G79" s="28" t="s">
        <v>10115</v>
      </c>
      <c r="H79" s="28" t="s">
        <v>10116</v>
      </c>
      <c r="I79" s="28" t="s">
        <v>2714</v>
      </c>
      <c r="J79" s="28" t="s">
        <v>10119</v>
      </c>
      <c r="K79" s="28" t="s">
        <v>10116</v>
      </c>
      <c r="L79" s="28" t="s">
        <v>6768</v>
      </c>
      <c r="M79" s="28" t="s">
        <v>41</v>
      </c>
      <c r="N79" s="220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spans="1:26" ht="14.4">
      <c r="A80" s="28" t="s">
        <v>9571</v>
      </c>
      <c r="B80" s="28" t="s">
        <v>10000</v>
      </c>
      <c r="C80" s="28" t="s">
        <v>85</v>
      </c>
      <c r="D80" s="28" t="s">
        <v>86</v>
      </c>
      <c r="E80" s="28"/>
      <c r="F80" s="28" t="s">
        <v>10128</v>
      </c>
      <c r="G80" s="28" t="s">
        <v>10129</v>
      </c>
      <c r="H80" s="28" t="s">
        <v>10116</v>
      </c>
      <c r="I80" s="28" t="s">
        <v>2714</v>
      </c>
      <c r="J80" s="28" t="s">
        <v>10132</v>
      </c>
      <c r="K80" s="28" t="s">
        <v>10116</v>
      </c>
      <c r="L80" s="28" t="s">
        <v>6768</v>
      </c>
      <c r="M80" s="28" t="s">
        <v>41</v>
      </c>
      <c r="N80" s="28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spans="1:26" ht="14.4">
      <c r="A81" s="28" t="s">
        <v>9571</v>
      </c>
      <c r="B81" s="28" t="s">
        <v>10000</v>
      </c>
      <c r="C81" s="28" t="s">
        <v>85</v>
      </c>
      <c r="D81" s="28" t="s">
        <v>86</v>
      </c>
      <c r="E81" s="28"/>
      <c r="F81" s="28" t="s">
        <v>10137</v>
      </c>
      <c r="G81" s="28" t="s">
        <v>10139</v>
      </c>
      <c r="H81" s="28" t="s">
        <v>10047</v>
      </c>
      <c r="I81" s="28" t="s">
        <v>898</v>
      </c>
      <c r="J81" s="28" t="s">
        <v>10142</v>
      </c>
      <c r="K81" s="28" t="s">
        <v>10047</v>
      </c>
      <c r="L81" s="28" t="s">
        <v>2794</v>
      </c>
      <c r="M81" s="28" t="s">
        <v>41</v>
      </c>
      <c r="N81" s="28" t="s">
        <v>10145</v>
      </c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spans="1:26" ht="14.4">
      <c r="A82" s="28" t="s">
        <v>9571</v>
      </c>
      <c r="B82" s="28" t="s">
        <v>10000</v>
      </c>
      <c r="C82" s="28" t="s">
        <v>85</v>
      </c>
      <c r="D82" s="28" t="s">
        <v>86</v>
      </c>
      <c r="E82" s="28"/>
      <c r="F82" s="28" t="s">
        <v>10152</v>
      </c>
      <c r="G82" s="28" t="s">
        <v>10154</v>
      </c>
      <c r="H82" s="28" t="s">
        <v>10155</v>
      </c>
      <c r="I82" s="28" t="s">
        <v>887</v>
      </c>
      <c r="J82" s="28" t="s">
        <v>10157</v>
      </c>
      <c r="K82" s="28" t="s">
        <v>10155</v>
      </c>
      <c r="L82" s="28" t="s">
        <v>2794</v>
      </c>
      <c r="M82" s="28" t="s">
        <v>41</v>
      </c>
      <c r="N82" s="28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spans="1:26" ht="14.4">
      <c r="A83" s="28" t="s">
        <v>9571</v>
      </c>
      <c r="B83" s="28" t="s">
        <v>10000</v>
      </c>
      <c r="C83" s="28" t="s">
        <v>85</v>
      </c>
      <c r="D83" s="28" t="s">
        <v>86</v>
      </c>
      <c r="E83" s="28"/>
      <c r="F83" s="28" t="s">
        <v>10165</v>
      </c>
      <c r="G83" s="28" t="s">
        <v>10167</v>
      </c>
      <c r="H83" s="28" t="s">
        <v>10168</v>
      </c>
      <c r="I83" s="28" t="s">
        <v>2714</v>
      </c>
      <c r="J83" s="28" t="s">
        <v>10169</v>
      </c>
      <c r="K83" s="28" t="s">
        <v>10168</v>
      </c>
      <c r="L83" s="28" t="s">
        <v>10171</v>
      </c>
      <c r="M83" s="28" t="s">
        <v>41</v>
      </c>
      <c r="N83" s="28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spans="1:26" ht="14.4">
      <c r="A84" s="28" t="s">
        <v>9571</v>
      </c>
      <c r="B84" s="28" t="s">
        <v>10000</v>
      </c>
      <c r="C84" s="28" t="s">
        <v>220</v>
      </c>
      <c r="D84" s="28" t="s">
        <v>234</v>
      </c>
      <c r="E84" s="28"/>
      <c r="F84" s="28" t="s">
        <v>10179</v>
      </c>
      <c r="G84" s="28" t="s">
        <v>10180</v>
      </c>
      <c r="H84" s="28" t="s">
        <v>10025</v>
      </c>
      <c r="I84" s="28" t="s">
        <v>3573</v>
      </c>
      <c r="J84" s="28" t="s">
        <v>10185</v>
      </c>
      <c r="K84" s="28" t="s">
        <v>10025</v>
      </c>
      <c r="L84" s="28" t="s">
        <v>6768</v>
      </c>
      <c r="M84" s="28" t="s">
        <v>41</v>
      </c>
      <c r="N84" s="28" t="s">
        <v>5859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spans="1:26" ht="14.4">
      <c r="A85" s="28" t="s">
        <v>9571</v>
      </c>
      <c r="B85" s="28" t="s">
        <v>10000</v>
      </c>
      <c r="C85" s="28" t="s">
        <v>220</v>
      </c>
      <c r="D85" s="28" t="s">
        <v>234</v>
      </c>
      <c r="E85" s="28"/>
      <c r="F85" s="28" t="s">
        <v>10196</v>
      </c>
      <c r="G85" s="28" t="s">
        <v>10198</v>
      </c>
      <c r="H85" s="28" t="s">
        <v>10155</v>
      </c>
      <c r="I85" s="28" t="s">
        <v>887</v>
      </c>
      <c r="J85" s="28" t="s">
        <v>10203</v>
      </c>
      <c r="K85" s="28" t="s">
        <v>10155</v>
      </c>
      <c r="L85" s="28" t="s">
        <v>2794</v>
      </c>
      <c r="M85" s="28" t="s">
        <v>41</v>
      </c>
      <c r="N85" s="28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spans="1:26" ht="14.4">
      <c r="A86" s="28" t="s">
        <v>9571</v>
      </c>
      <c r="B86" s="28" t="s">
        <v>10000</v>
      </c>
      <c r="C86" s="28" t="s">
        <v>220</v>
      </c>
      <c r="D86" s="28" t="s">
        <v>234</v>
      </c>
      <c r="E86" s="28"/>
      <c r="F86" s="28" t="s">
        <v>10213</v>
      </c>
      <c r="G86" s="28" t="s">
        <v>10215</v>
      </c>
      <c r="H86" s="28" t="s">
        <v>10012</v>
      </c>
      <c r="I86" s="28" t="s">
        <v>3181</v>
      </c>
      <c r="J86" s="28" t="s">
        <v>10219</v>
      </c>
      <c r="K86" s="28" t="s">
        <v>10012</v>
      </c>
      <c r="L86" s="28" t="s">
        <v>2794</v>
      </c>
      <c r="M86" s="28" t="s">
        <v>41</v>
      </c>
      <c r="N86" s="28" t="s">
        <v>2439</v>
      </c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spans="1:26" ht="14.4">
      <c r="A87" s="28" t="s">
        <v>9571</v>
      </c>
      <c r="B87" s="28" t="s">
        <v>10000</v>
      </c>
      <c r="C87" s="28" t="s">
        <v>220</v>
      </c>
      <c r="D87" s="28" t="s">
        <v>234</v>
      </c>
      <c r="E87" s="28"/>
      <c r="F87" s="28" t="s">
        <v>10226</v>
      </c>
      <c r="G87" s="28" t="s">
        <v>10227</v>
      </c>
      <c r="H87" s="28" t="s">
        <v>10230</v>
      </c>
      <c r="I87" s="28" t="s">
        <v>966</v>
      </c>
      <c r="J87" s="28" t="s">
        <v>10231</v>
      </c>
      <c r="K87" s="28" t="s">
        <v>10230</v>
      </c>
      <c r="L87" s="28" t="s">
        <v>6839</v>
      </c>
      <c r="M87" s="28" t="s">
        <v>41</v>
      </c>
      <c r="N87" s="28" t="s">
        <v>2439</v>
      </c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spans="1:26" ht="14.4">
      <c r="A88" s="28" t="s">
        <v>9571</v>
      </c>
      <c r="B88" s="28" t="s">
        <v>10000</v>
      </c>
      <c r="C88" s="28" t="s">
        <v>220</v>
      </c>
      <c r="D88" s="28" t="s">
        <v>234</v>
      </c>
      <c r="E88" s="28"/>
      <c r="F88" s="28" t="s">
        <v>10241</v>
      </c>
      <c r="G88" s="28" t="s">
        <v>10244</v>
      </c>
      <c r="H88" s="28" t="s">
        <v>10247</v>
      </c>
      <c r="I88" s="28" t="s">
        <v>887</v>
      </c>
      <c r="J88" s="28" t="s">
        <v>10249</v>
      </c>
      <c r="K88" s="28" t="s">
        <v>10247</v>
      </c>
      <c r="L88" s="28" t="s">
        <v>6839</v>
      </c>
      <c r="M88" s="28" t="s">
        <v>41</v>
      </c>
      <c r="N88" s="28" t="s">
        <v>2439</v>
      </c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spans="1:26" ht="14.4">
      <c r="A89" s="28" t="s">
        <v>9571</v>
      </c>
      <c r="B89" s="28" t="s">
        <v>10000</v>
      </c>
      <c r="C89" s="28" t="s">
        <v>233</v>
      </c>
      <c r="D89" s="29" t="s">
        <v>298</v>
      </c>
      <c r="E89" s="29"/>
      <c r="F89" s="28" t="s">
        <v>10255</v>
      </c>
      <c r="G89" s="28" t="s">
        <v>10256</v>
      </c>
      <c r="H89" s="251" t="s">
        <v>10258</v>
      </c>
      <c r="I89" s="28" t="s">
        <v>898</v>
      </c>
      <c r="J89" s="28" t="s">
        <v>10260</v>
      </c>
      <c r="K89" s="28" t="s">
        <v>10047</v>
      </c>
      <c r="L89" s="28" t="s">
        <v>2794</v>
      </c>
      <c r="M89" s="28" t="s">
        <v>41</v>
      </c>
      <c r="N89" s="220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spans="1:26" ht="14.4">
      <c r="A90" s="28" t="s">
        <v>9571</v>
      </c>
      <c r="B90" s="28" t="s">
        <v>10000</v>
      </c>
      <c r="C90" s="28" t="s">
        <v>233</v>
      </c>
      <c r="D90" s="29" t="s">
        <v>298</v>
      </c>
      <c r="E90" s="29"/>
      <c r="F90" s="28" t="s">
        <v>10266</v>
      </c>
      <c r="G90" s="28" t="s">
        <v>10268</v>
      </c>
      <c r="H90" s="28" t="s">
        <v>10063</v>
      </c>
      <c r="I90" s="28" t="s">
        <v>887</v>
      </c>
      <c r="J90" s="28" t="s">
        <v>10270</v>
      </c>
      <c r="K90" s="28" t="s">
        <v>10063</v>
      </c>
      <c r="L90" s="28" t="s">
        <v>6768</v>
      </c>
      <c r="M90" s="28" t="s">
        <v>41</v>
      </c>
      <c r="N90" s="28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spans="1:26" ht="14.4">
      <c r="A91" s="28" t="s">
        <v>9571</v>
      </c>
      <c r="B91" s="28" t="s">
        <v>10000</v>
      </c>
      <c r="C91" s="28" t="s">
        <v>233</v>
      </c>
      <c r="D91" s="29" t="s">
        <v>298</v>
      </c>
      <c r="E91" s="29"/>
      <c r="F91" s="28" t="s">
        <v>10276</v>
      </c>
      <c r="G91" s="28" t="s">
        <v>10278</v>
      </c>
      <c r="H91" s="28" t="s">
        <v>10004</v>
      </c>
      <c r="I91" s="28" t="s">
        <v>521</v>
      </c>
      <c r="J91" s="28" t="s">
        <v>10281</v>
      </c>
      <c r="K91" s="28" t="s">
        <v>10004</v>
      </c>
      <c r="L91" s="28" t="s">
        <v>6768</v>
      </c>
      <c r="M91" s="28" t="s">
        <v>41</v>
      </c>
      <c r="N91" s="28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spans="1:26" ht="14.4">
      <c r="A92" s="28" t="s">
        <v>9571</v>
      </c>
      <c r="B92" s="28" t="s">
        <v>10000</v>
      </c>
      <c r="C92" s="28" t="s">
        <v>233</v>
      </c>
      <c r="D92" s="29" t="s">
        <v>298</v>
      </c>
      <c r="E92" s="29"/>
      <c r="F92" s="28" t="s">
        <v>10287</v>
      </c>
      <c r="G92" s="28">
        <v>30800723534</v>
      </c>
      <c r="H92" s="28" t="s">
        <v>10012</v>
      </c>
      <c r="I92" s="28" t="s">
        <v>3181</v>
      </c>
      <c r="J92" s="28" t="s">
        <v>10290</v>
      </c>
      <c r="K92" s="28" t="s">
        <v>10012</v>
      </c>
      <c r="L92" s="28" t="s">
        <v>2794</v>
      </c>
      <c r="M92" s="28" t="s">
        <v>41</v>
      </c>
      <c r="N92" s="28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spans="1:26" ht="14.4">
      <c r="A93" s="28" t="s">
        <v>9571</v>
      </c>
      <c r="B93" s="28" t="s">
        <v>10000</v>
      </c>
      <c r="C93" s="28" t="s">
        <v>233</v>
      </c>
      <c r="D93" s="29" t="s">
        <v>298</v>
      </c>
      <c r="E93" s="29"/>
      <c r="F93" s="28" t="s">
        <v>10295</v>
      </c>
      <c r="G93" s="28" t="s">
        <v>10296</v>
      </c>
      <c r="H93" s="28" t="s">
        <v>10297</v>
      </c>
      <c r="I93" s="28" t="s">
        <v>887</v>
      </c>
      <c r="J93" s="28" t="s">
        <v>9729</v>
      </c>
      <c r="K93" s="28" t="s">
        <v>10089</v>
      </c>
      <c r="L93" s="28" t="s">
        <v>2794</v>
      </c>
      <c r="M93" s="28" t="s">
        <v>41</v>
      </c>
      <c r="N93" s="28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spans="1:26" ht="14.4">
      <c r="A94" s="28" t="s">
        <v>9571</v>
      </c>
      <c r="B94" s="28" t="s">
        <v>10000</v>
      </c>
      <c r="C94" s="28" t="s">
        <v>275</v>
      </c>
      <c r="D94" s="28" t="s">
        <v>543</v>
      </c>
      <c r="E94" s="28"/>
      <c r="F94" s="79" t="s">
        <v>10295</v>
      </c>
      <c r="G94" s="28" t="s">
        <v>10305</v>
      </c>
      <c r="H94" s="251" t="s">
        <v>10306</v>
      </c>
      <c r="I94" s="28" t="s">
        <v>130</v>
      </c>
      <c r="J94" s="28" t="s">
        <v>10307</v>
      </c>
      <c r="K94" s="251" t="s">
        <v>10306</v>
      </c>
      <c r="L94" s="28" t="s">
        <v>6768</v>
      </c>
      <c r="M94" s="28" t="s">
        <v>41</v>
      </c>
      <c r="N94" s="28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spans="1:26" ht="14.4">
      <c r="A95" s="28" t="s">
        <v>9571</v>
      </c>
      <c r="B95" s="28" t="s">
        <v>10000</v>
      </c>
      <c r="C95" s="28" t="s">
        <v>51</v>
      </c>
      <c r="D95" s="29" t="s">
        <v>52</v>
      </c>
      <c r="E95" s="29"/>
      <c r="F95" s="28" t="s">
        <v>10316</v>
      </c>
      <c r="G95" s="220"/>
      <c r="H95" s="28" t="s">
        <v>10012</v>
      </c>
      <c r="I95" s="28" t="s">
        <v>3181</v>
      </c>
      <c r="J95" s="28" t="s">
        <v>10318</v>
      </c>
      <c r="K95" s="28" t="s">
        <v>10012</v>
      </c>
      <c r="L95" s="28" t="s">
        <v>2794</v>
      </c>
      <c r="M95" s="28" t="s">
        <v>41</v>
      </c>
      <c r="N95" s="28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spans="1:26" ht="14.4">
      <c r="A96" s="28" t="s">
        <v>9571</v>
      </c>
      <c r="B96" s="28" t="s">
        <v>10000</v>
      </c>
      <c r="C96" s="28" t="s">
        <v>70</v>
      </c>
      <c r="D96" s="29" t="s">
        <v>71</v>
      </c>
      <c r="E96" s="29"/>
      <c r="F96" s="28" t="s">
        <v>10316</v>
      </c>
      <c r="G96" s="28"/>
      <c r="H96" s="28" t="s">
        <v>10012</v>
      </c>
      <c r="I96" s="28" t="s">
        <v>3181</v>
      </c>
      <c r="J96" s="28" t="s">
        <v>10326</v>
      </c>
      <c r="K96" s="28" t="s">
        <v>10012</v>
      </c>
      <c r="L96" s="28" t="s">
        <v>2794</v>
      </c>
      <c r="M96" s="28" t="s">
        <v>41</v>
      </c>
      <c r="N96" s="28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spans="1:26" ht="14.4">
      <c r="A97" s="28" t="s">
        <v>9571</v>
      </c>
      <c r="B97" s="28" t="s">
        <v>10000</v>
      </c>
      <c r="C97" s="28" t="s">
        <v>79</v>
      </c>
      <c r="D97" s="29" t="s">
        <v>80</v>
      </c>
      <c r="E97" s="29"/>
      <c r="F97" s="28" t="s">
        <v>4408</v>
      </c>
      <c r="G97" s="28"/>
      <c r="H97" s="28" t="s">
        <v>10012</v>
      </c>
      <c r="I97" s="28" t="s">
        <v>3181</v>
      </c>
      <c r="J97" s="28" t="s">
        <v>10331</v>
      </c>
      <c r="K97" s="28" t="s">
        <v>10012</v>
      </c>
      <c r="L97" s="28" t="s">
        <v>2794</v>
      </c>
      <c r="M97" s="28" t="s">
        <v>41</v>
      </c>
      <c r="N97" s="28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spans="1:26" ht="14.4">
      <c r="A98" s="28" t="s">
        <v>9571</v>
      </c>
      <c r="B98" s="28" t="s">
        <v>10000</v>
      </c>
      <c r="C98" s="28" t="s">
        <v>296</v>
      </c>
      <c r="D98" s="28" t="s">
        <v>954</v>
      </c>
      <c r="E98" s="28"/>
      <c r="F98" s="79" t="s">
        <v>10336</v>
      </c>
      <c r="G98" s="28"/>
      <c r="H98" s="28" t="s">
        <v>9994</v>
      </c>
      <c r="I98" s="28" t="s">
        <v>1729</v>
      </c>
      <c r="J98" s="28" t="s">
        <v>9744</v>
      </c>
      <c r="K98" s="28"/>
      <c r="L98" s="28" t="s">
        <v>10339</v>
      </c>
      <c r="M98" s="28" t="s">
        <v>41</v>
      </c>
      <c r="N98" s="28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spans="1:26" ht="14.4">
      <c r="A99" s="28" t="s">
        <v>9571</v>
      </c>
      <c r="B99" s="28" t="s">
        <v>10342</v>
      </c>
      <c r="C99" s="28" t="s">
        <v>85</v>
      </c>
      <c r="D99" s="28" t="s">
        <v>86</v>
      </c>
      <c r="E99" s="28"/>
      <c r="F99" s="28" t="s">
        <v>10344</v>
      </c>
      <c r="G99" s="28"/>
      <c r="H99" s="28" t="s">
        <v>10346</v>
      </c>
      <c r="I99" s="28" t="s">
        <v>10347</v>
      </c>
      <c r="J99" s="28" t="s">
        <v>10349</v>
      </c>
      <c r="K99" s="28" t="s">
        <v>10346</v>
      </c>
      <c r="L99" s="28" t="s">
        <v>6768</v>
      </c>
      <c r="M99" s="28" t="s">
        <v>41</v>
      </c>
      <c r="N99" s="28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spans="1:26" ht="14.4">
      <c r="A100" s="28" t="s">
        <v>9571</v>
      </c>
      <c r="B100" s="28" t="s">
        <v>10342</v>
      </c>
      <c r="C100" s="28" t="s">
        <v>85</v>
      </c>
      <c r="D100" s="28" t="s">
        <v>86</v>
      </c>
      <c r="E100" s="28"/>
      <c r="F100" s="28" t="s">
        <v>10360</v>
      </c>
      <c r="G100" s="28"/>
      <c r="H100" s="28" t="s">
        <v>10361</v>
      </c>
      <c r="I100" s="28" t="s">
        <v>2400</v>
      </c>
      <c r="J100" s="28" t="s">
        <v>10362</v>
      </c>
      <c r="K100" s="28" t="s">
        <v>10361</v>
      </c>
      <c r="L100" s="28" t="s">
        <v>10365</v>
      </c>
      <c r="M100" s="28" t="s">
        <v>41</v>
      </c>
      <c r="N100" s="28" t="s">
        <v>10367</v>
      </c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spans="1:26" ht="14.4">
      <c r="A101" s="28" t="s">
        <v>9571</v>
      </c>
      <c r="B101" s="28" t="s">
        <v>10342</v>
      </c>
      <c r="C101" s="28" t="s">
        <v>85</v>
      </c>
      <c r="D101" s="28" t="s">
        <v>86</v>
      </c>
      <c r="E101" s="28"/>
      <c r="F101" s="28" t="s">
        <v>10373</v>
      </c>
      <c r="G101" s="28"/>
      <c r="H101" s="28" t="s">
        <v>10361</v>
      </c>
      <c r="I101" s="28" t="s">
        <v>2400</v>
      </c>
      <c r="J101" s="28" t="s">
        <v>10375</v>
      </c>
      <c r="K101" s="28" t="s">
        <v>10361</v>
      </c>
      <c r="L101" s="28" t="s">
        <v>10365</v>
      </c>
      <c r="M101" s="28" t="s">
        <v>41</v>
      </c>
      <c r="N101" s="28" t="s">
        <v>10379</v>
      </c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spans="1:26" ht="14.4">
      <c r="A102" s="28" t="s">
        <v>9571</v>
      </c>
      <c r="B102" s="28" t="s">
        <v>10342</v>
      </c>
      <c r="C102" s="28" t="s">
        <v>85</v>
      </c>
      <c r="D102" s="28" t="s">
        <v>86</v>
      </c>
      <c r="E102" s="28"/>
      <c r="F102" s="28" t="s">
        <v>10385</v>
      </c>
      <c r="G102" s="28"/>
      <c r="H102" s="28" t="s">
        <v>10387</v>
      </c>
      <c r="I102" s="28" t="s">
        <v>898</v>
      </c>
      <c r="J102" s="28" t="s">
        <v>10389</v>
      </c>
      <c r="K102" s="28" t="s">
        <v>10387</v>
      </c>
      <c r="L102" s="28" t="s">
        <v>2794</v>
      </c>
      <c r="M102" s="28" t="s">
        <v>41</v>
      </c>
      <c r="N102" s="28" t="s">
        <v>10391</v>
      </c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spans="1:26" ht="14.4">
      <c r="A103" s="28" t="s">
        <v>9571</v>
      </c>
      <c r="B103" s="28" t="s">
        <v>10342</v>
      </c>
      <c r="C103" s="28" t="s">
        <v>85</v>
      </c>
      <c r="D103" s="28" t="s">
        <v>86</v>
      </c>
      <c r="E103" s="28"/>
      <c r="F103" s="28" t="s">
        <v>10397</v>
      </c>
      <c r="G103" s="28"/>
      <c r="H103" s="28" t="s">
        <v>10399</v>
      </c>
      <c r="I103" s="28" t="s">
        <v>2400</v>
      </c>
      <c r="J103" s="28" t="s">
        <v>10400</v>
      </c>
      <c r="K103" s="28" t="s">
        <v>10399</v>
      </c>
      <c r="L103" s="28" t="s">
        <v>10401</v>
      </c>
      <c r="M103" s="28" t="s">
        <v>41</v>
      </c>
      <c r="N103" s="28" t="s">
        <v>10403</v>
      </c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spans="1:26" ht="14.4">
      <c r="A104" s="28" t="s">
        <v>9571</v>
      </c>
      <c r="B104" s="28" t="s">
        <v>10342</v>
      </c>
      <c r="C104" s="28" t="s">
        <v>85</v>
      </c>
      <c r="D104" s="28" t="s">
        <v>86</v>
      </c>
      <c r="E104" s="28"/>
      <c r="F104" s="28" t="s">
        <v>10408</v>
      </c>
      <c r="G104" s="28"/>
      <c r="H104" s="28" t="s">
        <v>10411</v>
      </c>
      <c r="I104" s="28" t="s">
        <v>9289</v>
      </c>
      <c r="J104" s="28" t="s">
        <v>10414</v>
      </c>
      <c r="K104" s="28" t="s">
        <v>10411</v>
      </c>
      <c r="L104" s="28" t="s">
        <v>2794</v>
      </c>
      <c r="M104" s="28" t="s">
        <v>41</v>
      </c>
      <c r="N104" s="28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spans="1:26" ht="14.4">
      <c r="A105" s="28" t="s">
        <v>9571</v>
      </c>
      <c r="B105" s="28" t="s">
        <v>10342</v>
      </c>
      <c r="C105" s="28" t="s">
        <v>85</v>
      </c>
      <c r="D105" s="28" t="s">
        <v>86</v>
      </c>
      <c r="E105" s="28"/>
      <c r="F105" s="28" t="s">
        <v>10425</v>
      </c>
      <c r="G105" s="28"/>
      <c r="H105" s="28" t="s">
        <v>10427</v>
      </c>
      <c r="I105" s="28" t="s">
        <v>966</v>
      </c>
      <c r="J105" s="28" t="s">
        <v>10428</v>
      </c>
      <c r="K105" s="28" t="s">
        <v>10427</v>
      </c>
      <c r="L105" s="28" t="s">
        <v>2794</v>
      </c>
      <c r="M105" s="28" t="s">
        <v>41</v>
      </c>
      <c r="N105" s="28" t="s">
        <v>10431</v>
      </c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spans="1:26" ht="14.4">
      <c r="A106" s="28" t="s">
        <v>9571</v>
      </c>
      <c r="B106" s="28" t="s">
        <v>10342</v>
      </c>
      <c r="C106" s="28" t="s">
        <v>85</v>
      </c>
      <c r="D106" s="28" t="s">
        <v>86</v>
      </c>
      <c r="E106" s="28"/>
      <c r="F106" s="28" t="s">
        <v>10436</v>
      </c>
      <c r="G106" s="28"/>
      <c r="H106" s="28" t="s">
        <v>10427</v>
      </c>
      <c r="I106" s="28" t="s">
        <v>966</v>
      </c>
      <c r="J106" s="28" t="s">
        <v>10439</v>
      </c>
      <c r="K106" s="28" t="s">
        <v>10427</v>
      </c>
      <c r="L106" s="28" t="s">
        <v>2794</v>
      </c>
      <c r="M106" s="28" t="s">
        <v>41</v>
      </c>
      <c r="N106" s="28" t="s">
        <v>10440</v>
      </c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spans="1:26" ht="14.4">
      <c r="A107" s="28" t="s">
        <v>9571</v>
      </c>
      <c r="B107" s="28" t="s">
        <v>10342</v>
      </c>
      <c r="C107" s="28" t="s">
        <v>85</v>
      </c>
      <c r="D107" s="28" t="s">
        <v>86</v>
      </c>
      <c r="E107" s="28"/>
      <c r="F107" s="28" t="s">
        <v>10445</v>
      </c>
      <c r="G107" s="28"/>
      <c r="H107" s="28" t="s">
        <v>10427</v>
      </c>
      <c r="I107" s="28" t="s">
        <v>966</v>
      </c>
      <c r="J107" s="28" t="s">
        <v>10448</v>
      </c>
      <c r="K107" s="28" t="s">
        <v>10427</v>
      </c>
      <c r="L107" s="28" t="s">
        <v>2794</v>
      </c>
      <c r="M107" s="28" t="s">
        <v>41</v>
      </c>
      <c r="N107" s="28" t="s">
        <v>10450</v>
      </c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spans="1:26" ht="14.4">
      <c r="A108" s="28" t="s">
        <v>9571</v>
      </c>
      <c r="B108" s="28" t="s">
        <v>10342</v>
      </c>
      <c r="C108" s="28" t="s">
        <v>85</v>
      </c>
      <c r="D108" s="28" t="s">
        <v>86</v>
      </c>
      <c r="E108" s="28"/>
      <c r="F108" s="28" t="s">
        <v>10454</v>
      </c>
      <c r="G108" s="28"/>
      <c r="H108" s="28" t="s">
        <v>10427</v>
      </c>
      <c r="I108" s="28" t="s">
        <v>966</v>
      </c>
      <c r="J108" s="28" t="s">
        <v>10458</v>
      </c>
      <c r="K108" s="28" t="s">
        <v>10427</v>
      </c>
      <c r="L108" s="28" t="s">
        <v>2794</v>
      </c>
      <c r="M108" s="28" t="s">
        <v>41</v>
      </c>
      <c r="N108" s="28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spans="1:26" ht="14.4">
      <c r="A109" s="28" t="s">
        <v>9571</v>
      </c>
      <c r="B109" s="28" t="s">
        <v>10342</v>
      </c>
      <c r="C109" s="28" t="s">
        <v>85</v>
      </c>
      <c r="D109" s="28" t="s">
        <v>86</v>
      </c>
      <c r="E109" s="28"/>
      <c r="F109" s="28" t="s">
        <v>10466</v>
      </c>
      <c r="G109" s="28"/>
      <c r="H109" s="28" t="s">
        <v>10468</v>
      </c>
      <c r="I109" s="28" t="s">
        <v>9289</v>
      </c>
      <c r="J109" s="28" t="s">
        <v>10471</v>
      </c>
      <c r="K109" s="28" t="s">
        <v>10468</v>
      </c>
      <c r="L109" s="28" t="s">
        <v>2794</v>
      </c>
      <c r="M109" s="28" t="s">
        <v>41</v>
      </c>
      <c r="N109" s="28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spans="1:26" ht="14.4">
      <c r="A110" s="28" t="s">
        <v>9571</v>
      </c>
      <c r="B110" s="28" t="s">
        <v>10342</v>
      </c>
      <c r="C110" s="28" t="s">
        <v>85</v>
      </c>
      <c r="D110" s="28" t="s">
        <v>86</v>
      </c>
      <c r="E110" s="28"/>
      <c r="F110" s="28" t="s">
        <v>10475</v>
      </c>
      <c r="G110" s="28"/>
      <c r="H110" s="28" t="s">
        <v>10476</v>
      </c>
      <c r="I110" s="28" t="s">
        <v>3573</v>
      </c>
      <c r="J110" s="28" t="s">
        <v>10477</v>
      </c>
      <c r="K110" s="28" t="s">
        <v>10476</v>
      </c>
      <c r="L110" s="28" t="s">
        <v>6768</v>
      </c>
      <c r="M110" s="28" t="s">
        <v>41</v>
      </c>
      <c r="N110" s="28" t="s">
        <v>10478</v>
      </c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spans="1:26" ht="14.4">
      <c r="A111" s="28" t="s">
        <v>9571</v>
      </c>
      <c r="B111" s="28" t="s">
        <v>10342</v>
      </c>
      <c r="C111" s="28" t="s">
        <v>85</v>
      </c>
      <c r="D111" s="28" t="s">
        <v>86</v>
      </c>
      <c r="E111" s="28"/>
      <c r="F111" s="28" t="s">
        <v>10481</v>
      </c>
      <c r="G111" s="28"/>
      <c r="H111" s="28" t="s">
        <v>10486</v>
      </c>
      <c r="I111" s="28" t="s">
        <v>10488</v>
      </c>
      <c r="J111" s="28" t="s">
        <v>10489</v>
      </c>
      <c r="K111" s="28" t="s">
        <v>10486</v>
      </c>
      <c r="L111" s="28" t="s">
        <v>2794</v>
      </c>
      <c r="M111" s="28" t="s">
        <v>41</v>
      </c>
      <c r="N111" s="28" t="s">
        <v>10492</v>
      </c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spans="1:26" ht="14.4">
      <c r="A112" s="28" t="s">
        <v>9571</v>
      </c>
      <c r="B112" s="28" t="s">
        <v>10342</v>
      </c>
      <c r="C112" s="28" t="s">
        <v>85</v>
      </c>
      <c r="D112" s="28" t="s">
        <v>86</v>
      </c>
      <c r="E112" s="28"/>
      <c r="F112" s="28" t="s">
        <v>10496</v>
      </c>
      <c r="G112" s="28"/>
      <c r="H112" s="28" t="s">
        <v>10498</v>
      </c>
      <c r="I112" s="28" t="s">
        <v>2400</v>
      </c>
      <c r="J112" s="28" t="s">
        <v>10501</v>
      </c>
      <c r="K112" s="28" t="s">
        <v>10498</v>
      </c>
      <c r="L112" s="28" t="s">
        <v>10503</v>
      </c>
      <c r="M112" s="28" t="s">
        <v>41</v>
      </c>
      <c r="N112" s="28" t="s">
        <v>10504</v>
      </c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spans="1:26" ht="14.4">
      <c r="A113" s="28" t="s">
        <v>9571</v>
      </c>
      <c r="B113" s="28" t="s">
        <v>10342</v>
      </c>
      <c r="C113" s="28" t="s">
        <v>85</v>
      </c>
      <c r="D113" s="28" t="s">
        <v>86</v>
      </c>
      <c r="E113" s="28"/>
      <c r="F113" s="28" t="s">
        <v>10506</v>
      </c>
      <c r="G113" s="28"/>
      <c r="H113" s="28" t="s">
        <v>10507</v>
      </c>
      <c r="I113" s="28" t="s">
        <v>887</v>
      </c>
      <c r="J113" s="28" t="s">
        <v>10508</v>
      </c>
      <c r="K113" s="28" t="s">
        <v>10507</v>
      </c>
      <c r="L113" s="28" t="s">
        <v>2794</v>
      </c>
      <c r="M113" s="28" t="s">
        <v>41</v>
      </c>
      <c r="N113" s="28" t="s">
        <v>10511</v>
      </c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spans="1:26" ht="14.4">
      <c r="A114" s="28" t="s">
        <v>9571</v>
      </c>
      <c r="B114" s="28" t="s">
        <v>10342</v>
      </c>
      <c r="C114" s="28" t="s">
        <v>220</v>
      </c>
      <c r="D114" s="29" t="s">
        <v>234</v>
      </c>
      <c r="E114" s="29"/>
      <c r="F114" s="28" t="s">
        <v>10518</v>
      </c>
      <c r="G114" s="28"/>
      <c r="H114" s="28" t="s">
        <v>10522</v>
      </c>
      <c r="I114" s="28" t="s">
        <v>130</v>
      </c>
      <c r="J114" s="28" t="s">
        <v>10524</v>
      </c>
      <c r="K114" s="28" t="s">
        <v>10522</v>
      </c>
      <c r="L114" s="28" t="s">
        <v>729</v>
      </c>
      <c r="M114" s="28" t="s">
        <v>41</v>
      </c>
      <c r="N114" s="28" t="s">
        <v>10526</v>
      </c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spans="1:26" ht="14.4">
      <c r="A115" s="28" t="s">
        <v>9571</v>
      </c>
      <c r="B115" s="28" t="s">
        <v>10342</v>
      </c>
      <c r="C115" s="28" t="s">
        <v>220</v>
      </c>
      <c r="D115" s="29" t="s">
        <v>234</v>
      </c>
      <c r="E115" s="29"/>
      <c r="F115" s="28" t="s">
        <v>10540</v>
      </c>
      <c r="G115" s="28"/>
      <c r="H115" s="28" t="s">
        <v>10543</v>
      </c>
      <c r="I115" s="28" t="s">
        <v>898</v>
      </c>
      <c r="J115" s="28" t="s">
        <v>10546</v>
      </c>
      <c r="K115" s="28" t="s">
        <v>10543</v>
      </c>
      <c r="L115" s="28" t="s">
        <v>2794</v>
      </c>
      <c r="M115" s="28" t="s">
        <v>41</v>
      </c>
      <c r="N115" s="28" t="s">
        <v>10548</v>
      </c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spans="1:26" ht="14.4">
      <c r="A116" s="28" t="s">
        <v>9571</v>
      </c>
      <c r="B116" s="28" t="s">
        <v>10342</v>
      </c>
      <c r="C116" s="28" t="s">
        <v>220</v>
      </c>
      <c r="D116" s="29" t="s">
        <v>234</v>
      </c>
      <c r="E116" s="29"/>
      <c r="F116" s="28" t="s">
        <v>10554</v>
      </c>
      <c r="G116" s="28"/>
      <c r="H116" s="28" t="s">
        <v>10468</v>
      </c>
      <c r="I116" s="28" t="s">
        <v>9289</v>
      </c>
      <c r="J116" s="28" t="s">
        <v>10556</v>
      </c>
      <c r="K116" s="28" t="s">
        <v>10468</v>
      </c>
      <c r="L116" s="28" t="s">
        <v>2794</v>
      </c>
      <c r="M116" s="28" t="s">
        <v>41</v>
      </c>
      <c r="N116" s="28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spans="1:26" ht="14.4">
      <c r="A117" s="28" t="s">
        <v>9571</v>
      </c>
      <c r="B117" s="28" t="s">
        <v>10342</v>
      </c>
      <c r="C117" s="28" t="s">
        <v>220</v>
      </c>
      <c r="D117" s="29" t="s">
        <v>234</v>
      </c>
      <c r="E117" s="29"/>
      <c r="F117" s="28" t="s">
        <v>10560</v>
      </c>
      <c r="G117" s="28"/>
      <c r="H117" s="28" t="s">
        <v>10507</v>
      </c>
      <c r="I117" s="28" t="s">
        <v>887</v>
      </c>
      <c r="J117" s="28" t="s">
        <v>10564</v>
      </c>
      <c r="K117" s="28" t="s">
        <v>10507</v>
      </c>
      <c r="L117" s="28" t="s">
        <v>2794</v>
      </c>
      <c r="M117" s="28" t="s">
        <v>41</v>
      </c>
      <c r="N117" s="28" t="s">
        <v>10568</v>
      </c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spans="1:26" ht="14.4">
      <c r="A118" s="28" t="s">
        <v>9571</v>
      </c>
      <c r="B118" s="28" t="s">
        <v>10342</v>
      </c>
      <c r="C118" s="28" t="s">
        <v>220</v>
      </c>
      <c r="D118" s="29" t="s">
        <v>234</v>
      </c>
      <c r="E118" s="29"/>
      <c r="F118" s="28" t="s">
        <v>10574</v>
      </c>
      <c r="G118" s="28"/>
      <c r="H118" s="28" t="s">
        <v>10486</v>
      </c>
      <c r="I118" s="28" t="s">
        <v>10488</v>
      </c>
      <c r="J118" s="28" t="s">
        <v>10575</v>
      </c>
      <c r="K118" s="28" t="s">
        <v>10486</v>
      </c>
      <c r="L118" s="28" t="s">
        <v>2794</v>
      </c>
      <c r="M118" s="28" t="s">
        <v>41</v>
      </c>
      <c r="N118" s="28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spans="1:26" ht="14.4">
      <c r="A119" s="28" t="s">
        <v>9571</v>
      </c>
      <c r="B119" s="28" t="s">
        <v>10342</v>
      </c>
      <c r="C119" s="28" t="s">
        <v>233</v>
      </c>
      <c r="D119" s="29" t="s">
        <v>298</v>
      </c>
      <c r="E119" s="29"/>
      <c r="F119" s="28" t="s">
        <v>10583</v>
      </c>
      <c r="G119" s="28"/>
      <c r="H119" s="28" t="s">
        <v>10522</v>
      </c>
      <c r="I119" s="28" t="s">
        <v>130</v>
      </c>
      <c r="J119" s="28" t="s">
        <v>10585</v>
      </c>
      <c r="K119" s="28" t="s">
        <v>10522</v>
      </c>
      <c r="L119" s="28" t="s">
        <v>729</v>
      </c>
      <c r="M119" s="28" t="s">
        <v>41</v>
      </c>
      <c r="N119" s="28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spans="1:26" ht="14.4">
      <c r="A120" s="28" t="s">
        <v>9571</v>
      </c>
      <c r="B120" s="28" t="s">
        <v>10342</v>
      </c>
      <c r="C120" s="28" t="s">
        <v>233</v>
      </c>
      <c r="D120" s="29" t="s">
        <v>298</v>
      </c>
      <c r="E120" s="29"/>
      <c r="F120" s="28" t="s">
        <v>10591</v>
      </c>
      <c r="G120" s="28"/>
      <c r="H120" s="28" t="s">
        <v>10427</v>
      </c>
      <c r="I120" s="28" t="s">
        <v>966</v>
      </c>
      <c r="J120" s="28" t="s">
        <v>10595</v>
      </c>
      <c r="K120" s="28" t="s">
        <v>10427</v>
      </c>
      <c r="L120" s="28" t="s">
        <v>2794</v>
      </c>
      <c r="M120" s="28" t="s">
        <v>41</v>
      </c>
      <c r="N120" s="28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spans="1:26" ht="14.4">
      <c r="A121" s="28" t="s">
        <v>9571</v>
      </c>
      <c r="B121" s="28" t="s">
        <v>10342</v>
      </c>
      <c r="C121" s="28" t="s">
        <v>233</v>
      </c>
      <c r="D121" s="29" t="s">
        <v>298</v>
      </c>
      <c r="E121" s="29"/>
      <c r="F121" s="28" t="s">
        <v>10604</v>
      </c>
      <c r="G121" s="28"/>
      <c r="H121" s="28" t="s">
        <v>10468</v>
      </c>
      <c r="I121" s="28" t="s">
        <v>9289</v>
      </c>
      <c r="J121" s="28" t="s">
        <v>10607</v>
      </c>
      <c r="K121" s="28" t="s">
        <v>10468</v>
      </c>
      <c r="L121" s="28" t="s">
        <v>2794</v>
      </c>
      <c r="M121" s="28" t="s">
        <v>41</v>
      </c>
      <c r="N121" s="28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spans="1:26" ht="14.4">
      <c r="A122" s="28" t="s">
        <v>9571</v>
      </c>
      <c r="B122" s="28" t="s">
        <v>10342</v>
      </c>
      <c r="C122" s="28" t="s">
        <v>233</v>
      </c>
      <c r="D122" s="29" t="s">
        <v>298</v>
      </c>
      <c r="E122" s="29"/>
      <c r="F122" s="28" t="s">
        <v>10616</v>
      </c>
      <c r="G122" s="28"/>
      <c r="H122" s="28" t="s">
        <v>10486</v>
      </c>
      <c r="I122" s="28" t="s">
        <v>10488</v>
      </c>
      <c r="J122" s="28" t="s">
        <v>10617</v>
      </c>
      <c r="K122" s="28" t="s">
        <v>10486</v>
      </c>
      <c r="L122" s="28" t="s">
        <v>2794</v>
      </c>
      <c r="M122" s="28" t="s">
        <v>41</v>
      </c>
      <c r="N122" s="28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spans="1:26" ht="14.4">
      <c r="A123" s="28" t="s">
        <v>9571</v>
      </c>
      <c r="B123" s="28" t="s">
        <v>10000</v>
      </c>
      <c r="C123" s="28" t="s">
        <v>233</v>
      </c>
      <c r="D123" s="29" t="s">
        <v>298</v>
      </c>
      <c r="E123" s="29"/>
      <c r="F123" s="28" t="s">
        <v>10637</v>
      </c>
      <c r="G123" s="28"/>
      <c r="H123" s="28" t="s">
        <v>10297</v>
      </c>
      <c r="I123" s="28" t="s">
        <v>521</v>
      </c>
      <c r="J123" s="28" t="s">
        <v>9729</v>
      </c>
      <c r="K123" s="28" t="s">
        <v>10297</v>
      </c>
      <c r="L123" s="28" t="s">
        <v>2794</v>
      </c>
      <c r="M123" s="28" t="s">
        <v>41</v>
      </c>
      <c r="N123" s="28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spans="1:26" ht="14.4">
      <c r="A124" s="28" t="s">
        <v>9571</v>
      </c>
      <c r="B124" s="28" t="s">
        <v>10342</v>
      </c>
      <c r="C124" s="28" t="s">
        <v>275</v>
      </c>
      <c r="D124" s="28" t="s">
        <v>543</v>
      </c>
      <c r="E124" s="28"/>
      <c r="F124" s="79" t="s">
        <v>10642</v>
      </c>
      <c r="G124" s="28"/>
      <c r="H124" s="28" t="s">
        <v>10427</v>
      </c>
      <c r="I124" s="28" t="s">
        <v>966</v>
      </c>
      <c r="J124" s="28" t="s">
        <v>10646</v>
      </c>
      <c r="K124" s="28" t="s">
        <v>10427</v>
      </c>
      <c r="L124" s="28" t="s">
        <v>2794</v>
      </c>
      <c r="M124" s="28" t="s">
        <v>41</v>
      </c>
      <c r="N124" s="28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spans="1:26" ht="14.4">
      <c r="A125" s="28" t="s">
        <v>9571</v>
      </c>
      <c r="B125" s="28" t="s">
        <v>10342</v>
      </c>
      <c r="C125" s="28" t="s">
        <v>51</v>
      </c>
      <c r="D125" s="29" t="s">
        <v>52</v>
      </c>
      <c r="E125" s="29"/>
      <c r="F125" s="28" t="s">
        <v>9976</v>
      </c>
      <c r="G125" s="28"/>
      <c r="H125" s="28" t="s">
        <v>10651</v>
      </c>
      <c r="I125" s="28" t="s">
        <v>983</v>
      </c>
      <c r="J125" s="28" t="s">
        <v>10652</v>
      </c>
      <c r="K125" s="28" t="s">
        <v>10651</v>
      </c>
      <c r="L125" s="28" t="s">
        <v>2794</v>
      </c>
      <c r="M125" s="28" t="s">
        <v>41</v>
      </c>
      <c r="N125" s="28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spans="1:26" ht="14.4">
      <c r="A126" s="28" t="s">
        <v>9571</v>
      </c>
      <c r="B126" s="28" t="s">
        <v>10342</v>
      </c>
      <c r="C126" s="28" t="s">
        <v>70</v>
      </c>
      <c r="D126" s="29" t="s">
        <v>71</v>
      </c>
      <c r="E126" s="29"/>
      <c r="F126" s="28" t="s">
        <v>9730</v>
      </c>
      <c r="G126" s="28"/>
      <c r="H126" s="28" t="s">
        <v>10651</v>
      </c>
      <c r="I126" s="28" t="s">
        <v>983</v>
      </c>
      <c r="J126" s="28" t="s">
        <v>10657</v>
      </c>
      <c r="K126" s="28" t="s">
        <v>10651</v>
      </c>
      <c r="L126" s="28" t="s">
        <v>2794</v>
      </c>
      <c r="M126" s="28" t="s">
        <v>41</v>
      </c>
      <c r="N126" s="28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spans="1:26" ht="14.4">
      <c r="A127" s="28" t="s">
        <v>9571</v>
      </c>
      <c r="B127" s="28" t="s">
        <v>10342</v>
      </c>
      <c r="C127" s="28" t="s">
        <v>79</v>
      </c>
      <c r="D127" s="29" t="s">
        <v>80</v>
      </c>
      <c r="E127" s="29"/>
      <c r="F127" s="28" t="s">
        <v>4401</v>
      </c>
      <c r="G127" s="28"/>
      <c r="H127" s="28" t="s">
        <v>10651</v>
      </c>
      <c r="I127" s="28" t="s">
        <v>983</v>
      </c>
      <c r="J127" s="28" t="s">
        <v>10662</v>
      </c>
      <c r="K127" s="28" t="s">
        <v>10651</v>
      </c>
      <c r="L127" s="28" t="s">
        <v>2794</v>
      </c>
      <c r="M127" s="28" t="s">
        <v>41</v>
      </c>
      <c r="N127" s="28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spans="1:26" ht="14.4">
      <c r="A128" s="28" t="s">
        <v>9571</v>
      </c>
      <c r="B128" s="28" t="s">
        <v>10342</v>
      </c>
      <c r="C128" s="107" t="s">
        <v>296</v>
      </c>
      <c r="D128" s="107" t="s">
        <v>954</v>
      </c>
      <c r="E128" s="107"/>
      <c r="F128" s="79" t="s">
        <v>10666</v>
      </c>
      <c r="G128" s="28"/>
      <c r="H128" s="28" t="s">
        <v>9994</v>
      </c>
      <c r="I128" s="28" t="s">
        <v>1729</v>
      </c>
      <c r="J128" s="28" t="s">
        <v>9744</v>
      </c>
      <c r="K128" s="28"/>
      <c r="L128" s="28" t="s">
        <v>10671</v>
      </c>
      <c r="M128" s="28" t="s">
        <v>41</v>
      </c>
      <c r="N128" s="28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spans="1:26" ht="14.4">
      <c r="A129" s="28" t="s">
        <v>9571</v>
      </c>
      <c r="B129" s="28" t="s">
        <v>49</v>
      </c>
      <c r="C129" s="28" t="s">
        <v>306</v>
      </c>
      <c r="D129" s="28" t="s">
        <v>341</v>
      </c>
      <c r="E129" s="28"/>
      <c r="F129" s="28" t="s">
        <v>10675</v>
      </c>
      <c r="G129" s="28" t="s">
        <v>10676</v>
      </c>
      <c r="H129" s="28" t="s">
        <v>10677</v>
      </c>
      <c r="I129" s="28" t="s">
        <v>10678</v>
      </c>
      <c r="J129" s="28" t="s">
        <v>10679</v>
      </c>
      <c r="K129" s="28"/>
      <c r="L129" s="28" t="s">
        <v>9749</v>
      </c>
      <c r="M129" s="28" t="s">
        <v>41</v>
      </c>
      <c r="N129" s="28" t="s">
        <v>4188</v>
      </c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spans="1:26" ht="14.4">
      <c r="A130" s="28" t="s">
        <v>9571</v>
      </c>
      <c r="B130" s="28" t="s">
        <v>9769</v>
      </c>
      <c r="C130" s="28" t="s">
        <v>319</v>
      </c>
      <c r="D130" s="28" t="s">
        <v>796</v>
      </c>
      <c r="E130" s="28"/>
      <c r="F130" s="79" t="s">
        <v>10684</v>
      </c>
      <c r="G130" s="28" t="s">
        <v>10685</v>
      </c>
      <c r="H130" s="28" t="s">
        <v>10686</v>
      </c>
      <c r="I130" s="28" t="s">
        <v>10687</v>
      </c>
      <c r="J130" s="28" t="s">
        <v>10688</v>
      </c>
      <c r="K130" s="28" t="s">
        <v>10689</v>
      </c>
      <c r="L130" s="28" t="s">
        <v>10622</v>
      </c>
      <c r="M130" s="28" t="s">
        <v>41</v>
      </c>
      <c r="N130" s="279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spans="1:26" ht="14.4">
      <c r="A131" s="28" t="s">
        <v>9571</v>
      </c>
      <c r="B131" s="28" t="s">
        <v>9769</v>
      </c>
      <c r="C131" s="28" t="s">
        <v>319</v>
      </c>
      <c r="D131" s="28" t="s">
        <v>796</v>
      </c>
      <c r="E131" s="28"/>
      <c r="F131" s="79" t="s">
        <v>10695</v>
      </c>
      <c r="G131" s="28" t="s">
        <v>10696</v>
      </c>
      <c r="H131" s="28" t="s">
        <v>10686</v>
      </c>
      <c r="I131" s="28" t="s">
        <v>10687</v>
      </c>
      <c r="J131" s="28" t="s">
        <v>10688</v>
      </c>
      <c r="K131" s="28" t="s">
        <v>10697</v>
      </c>
      <c r="L131" s="28" t="s">
        <v>10622</v>
      </c>
      <c r="M131" s="28" t="s">
        <v>41</v>
      </c>
      <c r="N131" s="28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spans="1:26" ht="14.4">
      <c r="A132" s="28" t="s">
        <v>9571</v>
      </c>
      <c r="B132" s="28" t="s">
        <v>9769</v>
      </c>
      <c r="C132" s="28" t="s">
        <v>319</v>
      </c>
      <c r="D132" s="28" t="s">
        <v>796</v>
      </c>
      <c r="E132" s="28"/>
      <c r="F132" s="79" t="s">
        <v>10699</v>
      </c>
      <c r="G132" s="28" t="s">
        <v>10700</v>
      </c>
      <c r="H132" s="28" t="s">
        <v>9823</v>
      </c>
      <c r="I132" s="28" t="s">
        <v>2400</v>
      </c>
      <c r="J132" s="28" t="s">
        <v>10688</v>
      </c>
      <c r="K132" s="28" t="s">
        <v>10701</v>
      </c>
      <c r="L132" s="28" t="s">
        <v>10702</v>
      </c>
      <c r="M132" s="28" t="s">
        <v>41</v>
      </c>
      <c r="N132" s="28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spans="1:26" ht="14.4">
      <c r="A133" s="28" t="s">
        <v>9571</v>
      </c>
      <c r="B133" s="28" t="s">
        <v>10000</v>
      </c>
      <c r="C133" s="28" t="s">
        <v>319</v>
      </c>
      <c r="D133" s="28" t="s">
        <v>796</v>
      </c>
      <c r="E133" s="28"/>
      <c r="F133" s="79" t="s">
        <v>10705</v>
      </c>
      <c r="G133" s="28" t="s">
        <v>10706</v>
      </c>
      <c r="H133" s="28" t="s">
        <v>10707</v>
      </c>
      <c r="I133" s="28" t="s">
        <v>689</v>
      </c>
      <c r="J133" s="28" t="s">
        <v>10708</v>
      </c>
      <c r="K133" s="251" t="s">
        <v>10709</v>
      </c>
      <c r="L133" s="28" t="s">
        <v>10710</v>
      </c>
      <c r="M133" s="28" t="s">
        <v>41</v>
      </c>
      <c r="N133" s="28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spans="1:26" ht="14.4">
      <c r="A134" s="28" t="s">
        <v>9571</v>
      </c>
      <c r="B134" s="28" t="s">
        <v>10000</v>
      </c>
      <c r="C134" s="28" t="s">
        <v>319</v>
      </c>
      <c r="D134" s="28" t="s">
        <v>796</v>
      </c>
      <c r="E134" s="28"/>
      <c r="F134" s="79" t="s">
        <v>10711</v>
      </c>
      <c r="G134" s="28" t="s">
        <v>10713</v>
      </c>
      <c r="H134" s="28" t="s">
        <v>10714</v>
      </c>
      <c r="I134" s="28" t="s">
        <v>2400</v>
      </c>
      <c r="J134" s="28" t="s">
        <v>10715</v>
      </c>
      <c r="K134" s="28" t="s">
        <v>10714</v>
      </c>
      <c r="L134" s="28" t="s">
        <v>10716</v>
      </c>
      <c r="M134" s="28" t="s">
        <v>41</v>
      </c>
      <c r="N134" s="28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spans="1:26" ht="14.4">
      <c r="A135" s="28" t="s">
        <v>9571</v>
      </c>
      <c r="B135" s="28" t="s">
        <v>10000</v>
      </c>
      <c r="C135" s="28" t="s">
        <v>319</v>
      </c>
      <c r="D135" s="28" t="s">
        <v>796</v>
      </c>
      <c r="E135" s="28"/>
      <c r="F135" s="79" t="s">
        <v>10718</v>
      </c>
      <c r="G135" s="28" t="s">
        <v>10720</v>
      </c>
      <c r="H135" s="28" t="s">
        <v>10721</v>
      </c>
      <c r="I135" s="28" t="s">
        <v>2400</v>
      </c>
      <c r="J135" s="28" t="s">
        <v>10722</v>
      </c>
      <c r="K135" s="28" t="s">
        <v>10721</v>
      </c>
      <c r="L135" s="28" t="s">
        <v>10723</v>
      </c>
      <c r="M135" s="28" t="s">
        <v>41</v>
      </c>
      <c r="N135" s="28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spans="1:26" ht="14.4">
      <c r="A136" s="28" t="s">
        <v>9571</v>
      </c>
      <c r="B136" s="28" t="s">
        <v>10000</v>
      </c>
      <c r="C136" s="28" t="s">
        <v>319</v>
      </c>
      <c r="D136" s="28" t="s">
        <v>7704</v>
      </c>
      <c r="E136" s="28"/>
      <c r="F136" s="79" t="s">
        <v>10728</v>
      </c>
      <c r="G136" s="28" t="s">
        <v>10729</v>
      </c>
      <c r="H136" s="28" t="s">
        <v>10721</v>
      </c>
      <c r="I136" s="28" t="s">
        <v>2400</v>
      </c>
      <c r="J136" s="28" t="s">
        <v>10730</v>
      </c>
      <c r="K136" s="28" t="s">
        <v>10721</v>
      </c>
      <c r="L136" s="28" t="s">
        <v>10723</v>
      </c>
      <c r="M136" s="28" t="s">
        <v>41</v>
      </c>
      <c r="N136" s="28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spans="1:26" ht="14.4">
      <c r="A137" s="28" t="s">
        <v>9571</v>
      </c>
      <c r="B137" s="28" t="s">
        <v>10000</v>
      </c>
      <c r="C137" s="28" t="s">
        <v>319</v>
      </c>
      <c r="D137" s="28" t="s">
        <v>8918</v>
      </c>
      <c r="E137" s="28"/>
      <c r="F137" s="79" t="s">
        <v>10734</v>
      </c>
      <c r="G137" s="28" t="s">
        <v>10735</v>
      </c>
      <c r="H137" s="28" t="s">
        <v>10721</v>
      </c>
      <c r="I137" s="28" t="s">
        <v>2400</v>
      </c>
      <c r="J137" s="28" t="s">
        <v>10737</v>
      </c>
      <c r="K137" s="28" t="s">
        <v>10721</v>
      </c>
      <c r="L137" s="28" t="s">
        <v>10723</v>
      </c>
      <c r="M137" s="28" t="s">
        <v>41</v>
      </c>
      <c r="N137" s="28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spans="1:26" ht="14.4">
      <c r="A138" s="28" t="s">
        <v>9571</v>
      </c>
      <c r="B138" s="28" t="s">
        <v>10000</v>
      </c>
      <c r="C138" s="28" t="s">
        <v>319</v>
      </c>
      <c r="D138" s="28" t="s">
        <v>8924</v>
      </c>
      <c r="E138" s="28"/>
      <c r="F138" s="79" t="s">
        <v>10740</v>
      </c>
      <c r="G138" s="28" t="s">
        <v>10741</v>
      </c>
      <c r="H138" s="28" t="s">
        <v>10721</v>
      </c>
      <c r="I138" s="28" t="s">
        <v>2400</v>
      </c>
      <c r="J138" s="28" t="s">
        <v>10742</v>
      </c>
      <c r="K138" s="28" t="s">
        <v>10721</v>
      </c>
      <c r="L138" s="28" t="s">
        <v>10723</v>
      </c>
      <c r="M138" s="28" t="s">
        <v>41</v>
      </c>
      <c r="N138" s="28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spans="1:26" ht="14.4">
      <c r="A139" s="28" t="s">
        <v>9571</v>
      </c>
      <c r="B139" s="28" t="s">
        <v>49</v>
      </c>
      <c r="C139" s="28" t="s">
        <v>20</v>
      </c>
      <c r="D139" s="28" t="s">
        <v>1305</v>
      </c>
      <c r="E139" s="28" t="s">
        <v>54</v>
      </c>
      <c r="F139" s="28" t="s">
        <v>10746</v>
      </c>
      <c r="G139" s="28" t="s">
        <v>10747</v>
      </c>
      <c r="H139" s="28" t="s">
        <v>10748</v>
      </c>
      <c r="I139" s="28" t="s">
        <v>10749</v>
      </c>
      <c r="J139" s="28" t="s">
        <v>10750</v>
      </c>
      <c r="K139" s="28" t="s">
        <v>10748</v>
      </c>
      <c r="L139" s="28" t="s">
        <v>2444</v>
      </c>
      <c r="M139" s="28" t="s">
        <v>41</v>
      </c>
      <c r="N139" s="28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spans="1:26" ht="14.4">
      <c r="A140" s="28" t="s">
        <v>9571</v>
      </c>
      <c r="B140" s="28" t="s">
        <v>49</v>
      </c>
      <c r="C140" s="28" t="s">
        <v>20</v>
      </c>
      <c r="D140" s="28" t="s">
        <v>1305</v>
      </c>
      <c r="E140" s="28" t="s">
        <v>54</v>
      </c>
      <c r="F140" s="28" t="s">
        <v>10752</v>
      </c>
      <c r="G140" s="28" t="s">
        <v>10753</v>
      </c>
      <c r="H140" s="28" t="s">
        <v>10754</v>
      </c>
      <c r="I140" s="28" t="s">
        <v>861</v>
      </c>
      <c r="J140" s="28" t="s">
        <v>10756</v>
      </c>
      <c r="K140" s="28" t="s">
        <v>10757</v>
      </c>
      <c r="L140" s="28" t="s">
        <v>10758</v>
      </c>
      <c r="M140" s="28" t="s">
        <v>41</v>
      </c>
      <c r="N140" s="28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spans="1:26" ht="14.4">
      <c r="A141" s="28" t="s">
        <v>9571</v>
      </c>
      <c r="B141" s="28" t="s">
        <v>49</v>
      </c>
      <c r="C141" s="107" t="s">
        <v>260</v>
      </c>
      <c r="D141" s="107" t="s">
        <v>1337</v>
      </c>
      <c r="E141" s="28" t="s">
        <v>54</v>
      </c>
      <c r="F141" s="28" t="s">
        <v>10760</v>
      </c>
      <c r="G141" s="28"/>
      <c r="H141" s="28" t="s">
        <v>10754</v>
      </c>
      <c r="I141" s="28" t="s">
        <v>861</v>
      </c>
      <c r="J141" s="28" t="s">
        <v>10762</v>
      </c>
      <c r="K141" s="28" t="s">
        <v>10754</v>
      </c>
      <c r="L141" s="28" t="s">
        <v>10758</v>
      </c>
      <c r="M141" s="28" t="s">
        <v>41</v>
      </c>
      <c r="N141" s="28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spans="1:26" ht="14.4">
      <c r="A142" s="28" t="s">
        <v>9571</v>
      </c>
      <c r="B142" s="28" t="s">
        <v>49</v>
      </c>
      <c r="C142" s="107" t="s">
        <v>260</v>
      </c>
      <c r="D142" s="107" t="s">
        <v>1337</v>
      </c>
      <c r="E142" s="28" t="s">
        <v>54</v>
      </c>
      <c r="F142" s="28" t="s">
        <v>10765</v>
      </c>
      <c r="G142" s="28"/>
      <c r="H142" s="28" t="s">
        <v>10754</v>
      </c>
      <c r="I142" s="28" t="s">
        <v>861</v>
      </c>
      <c r="J142" s="28" t="s">
        <v>10768</v>
      </c>
      <c r="K142" s="28" t="s">
        <v>10769</v>
      </c>
      <c r="L142" s="28" t="s">
        <v>10758</v>
      </c>
      <c r="M142" s="28" t="s">
        <v>41</v>
      </c>
      <c r="N142" s="28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spans="1:26" ht="14.4">
      <c r="A143" s="28" t="s">
        <v>9571</v>
      </c>
      <c r="B143" s="28" t="s">
        <v>49</v>
      </c>
      <c r="C143" s="107" t="s">
        <v>260</v>
      </c>
      <c r="D143" s="107" t="s">
        <v>1337</v>
      </c>
      <c r="E143" s="28" t="s">
        <v>54</v>
      </c>
      <c r="F143" s="28" t="s">
        <v>10774</v>
      </c>
      <c r="G143" s="28"/>
      <c r="H143" s="28" t="s">
        <v>9627</v>
      </c>
      <c r="I143" s="28" t="s">
        <v>8326</v>
      </c>
      <c r="J143" s="28" t="s">
        <v>10778</v>
      </c>
      <c r="K143" s="28" t="s">
        <v>9627</v>
      </c>
      <c r="L143" s="28" t="s">
        <v>2149</v>
      </c>
      <c r="M143" s="28" t="s">
        <v>41</v>
      </c>
      <c r="N143" s="28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spans="1:26" ht="14.4">
      <c r="A144" s="28" t="s">
        <v>9571</v>
      </c>
      <c r="B144" s="28" t="s">
        <v>9769</v>
      </c>
      <c r="C144" s="28" t="s">
        <v>20</v>
      </c>
      <c r="D144" s="28" t="s">
        <v>1305</v>
      </c>
      <c r="E144" s="28" t="s">
        <v>54</v>
      </c>
      <c r="F144" s="28" t="s">
        <v>10786</v>
      </c>
      <c r="G144" s="28" t="s">
        <v>10787</v>
      </c>
      <c r="H144" s="28" t="s">
        <v>9772</v>
      </c>
      <c r="I144" s="28" t="s">
        <v>10788</v>
      </c>
      <c r="J144" s="28" t="s">
        <v>10789</v>
      </c>
      <c r="K144" s="28" t="s">
        <v>10790</v>
      </c>
      <c r="L144" s="28" t="s">
        <v>9945</v>
      </c>
      <c r="M144" s="28" t="s">
        <v>41</v>
      </c>
      <c r="N144" s="28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spans="1:26" ht="14.4">
      <c r="A145" s="28" t="s">
        <v>9571</v>
      </c>
      <c r="B145" s="28" t="s">
        <v>9769</v>
      </c>
      <c r="C145" s="107" t="s">
        <v>260</v>
      </c>
      <c r="D145" s="107" t="s">
        <v>1337</v>
      </c>
      <c r="E145" s="28" t="s">
        <v>54</v>
      </c>
      <c r="F145" s="28" t="s">
        <v>10794</v>
      </c>
      <c r="G145" s="28" t="s">
        <v>1342</v>
      </c>
      <c r="H145" s="283" t="s">
        <v>10796</v>
      </c>
      <c r="I145" s="283" t="s">
        <v>10798</v>
      </c>
      <c r="J145" s="29" t="s">
        <v>10799</v>
      </c>
      <c r="K145" s="29" t="s">
        <v>10790</v>
      </c>
      <c r="L145" s="28" t="s">
        <v>9945</v>
      </c>
      <c r="M145" s="28" t="s">
        <v>41</v>
      </c>
      <c r="N145" s="28" t="s">
        <v>10800</v>
      </c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spans="1:26" ht="14.4">
      <c r="A146" s="28" t="s">
        <v>9571</v>
      </c>
      <c r="B146" s="28" t="s">
        <v>9769</v>
      </c>
      <c r="C146" s="107" t="s">
        <v>260</v>
      </c>
      <c r="D146" s="107" t="s">
        <v>1337</v>
      </c>
      <c r="E146" s="28" t="s">
        <v>54</v>
      </c>
      <c r="F146" s="28" t="s">
        <v>10805</v>
      </c>
      <c r="G146" s="28" t="s">
        <v>1342</v>
      </c>
      <c r="H146" s="29" t="s">
        <v>9785</v>
      </c>
      <c r="I146" s="29" t="s">
        <v>887</v>
      </c>
      <c r="J146" s="29" t="s">
        <v>10806</v>
      </c>
      <c r="K146" s="283" t="s">
        <v>10807</v>
      </c>
      <c r="L146" s="28" t="s">
        <v>2149</v>
      </c>
      <c r="M146" s="28" t="s">
        <v>41</v>
      </c>
      <c r="N146" s="28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spans="1:26" ht="14.4">
      <c r="A147" s="28" t="s">
        <v>9571</v>
      </c>
      <c r="B147" s="28" t="s">
        <v>9769</v>
      </c>
      <c r="C147" s="107" t="s">
        <v>260</v>
      </c>
      <c r="D147" s="107" t="s">
        <v>1337</v>
      </c>
      <c r="E147" s="28" t="s">
        <v>54</v>
      </c>
      <c r="F147" s="28" t="s">
        <v>10808</v>
      </c>
      <c r="G147" s="28" t="s">
        <v>1342</v>
      </c>
      <c r="H147" s="283" t="s">
        <v>10796</v>
      </c>
      <c r="I147" s="283" t="s">
        <v>10798</v>
      </c>
      <c r="J147" s="29" t="s">
        <v>10811</v>
      </c>
      <c r="K147" s="283" t="s">
        <v>10812</v>
      </c>
      <c r="L147" s="28" t="s">
        <v>9776</v>
      </c>
      <c r="M147" s="28" t="s">
        <v>41</v>
      </c>
      <c r="N147" s="28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spans="1:26" ht="14.4">
      <c r="A148" s="28" t="s">
        <v>9571</v>
      </c>
      <c r="B148" s="28" t="s">
        <v>9769</v>
      </c>
      <c r="C148" s="107" t="s">
        <v>260</v>
      </c>
      <c r="D148" s="107" t="s">
        <v>1337</v>
      </c>
      <c r="E148" s="28" t="s">
        <v>54</v>
      </c>
      <c r="F148" s="28" t="s">
        <v>10814</v>
      </c>
      <c r="G148" s="28" t="s">
        <v>1342</v>
      </c>
      <c r="H148" s="29" t="s">
        <v>10815</v>
      </c>
      <c r="I148" s="29" t="s">
        <v>887</v>
      </c>
      <c r="J148" s="29" t="s">
        <v>10817</v>
      </c>
      <c r="K148" s="29" t="s">
        <v>10790</v>
      </c>
      <c r="L148" s="28" t="s">
        <v>9873</v>
      </c>
      <c r="M148" s="28" t="s">
        <v>41</v>
      </c>
      <c r="N148" s="28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spans="1:26" ht="14.4">
      <c r="A149" s="28" t="s">
        <v>9571</v>
      </c>
      <c r="B149" s="28" t="s">
        <v>9769</v>
      </c>
      <c r="C149" s="107" t="s">
        <v>260</v>
      </c>
      <c r="D149" s="107" t="s">
        <v>1337</v>
      </c>
      <c r="E149" s="28" t="s">
        <v>54</v>
      </c>
      <c r="F149" s="28" t="s">
        <v>10821</v>
      </c>
      <c r="G149" s="28" t="s">
        <v>1342</v>
      </c>
      <c r="H149" s="29" t="s">
        <v>10822</v>
      </c>
      <c r="I149" s="29" t="s">
        <v>3181</v>
      </c>
      <c r="J149" s="29" t="s">
        <v>10823</v>
      </c>
      <c r="K149" s="29" t="s">
        <v>10815</v>
      </c>
      <c r="L149" s="28" t="s">
        <v>10824</v>
      </c>
      <c r="M149" s="28" t="s">
        <v>41</v>
      </c>
      <c r="N149" s="28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spans="1:26" ht="14.4">
      <c r="A150" s="28" t="s">
        <v>9571</v>
      </c>
      <c r="B150" s="28" t="s">
        <v>9769</v>
      </c>
      <c r="C150" s="107" t="s">
        <v>260</v>
      </c>
      <c r="D150" s="107" t="s">
        <v>1337</v>
      </c>
      <c r="E150" s="28" t="s">
        <v>54</v>
      </c>
      <c r="F150" s="28" t="s">
        <v>10827</v>
      </c>
      <c r="G150" s="28" t="s">
        <v>1342</v>
      </c>
      <c r="H150" s="28" t="s">
        <v>10828</v>
      </c>
      <c r="I150" s="28" t="s">
        <v>887</v>
      </c>
      <c r="J150" s="28" t="s">
        <v>10830</v>
      </c>
      <c r="K150" s="28" t="s">
        <v>10822</v>
      </c>
      <c r="L150" s="28" t="s">
        <v>9855</v>
      </c>
      <c r="M150" s="28" t="s">
        <v>41</v>
      </c>
      <c r="N150" s="28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spans="1:26" ht="14.4">
      <c r="A151" s="28" t="s">
        <v>9571</v>
      </c>
      <c r="B151" s="28" t="s">
        <v>9769</v>
      </c>
      <c r="C151" s="107" t="s">
        <v>260</v>
      </c>
      <c r="D151" s="107" t="s">
        <v>1337</v>
      </c>
      <c r="E151" s="28" t="s">
        <v>54</v>
      </c>
      <c r="F151" s="28" t="s">
        <v>10837</v>
      </c>
      <c r="G151" s="28" t="s">
        <v>1342</v>
      </c>
      <c r="H151" s="28" t="s">
        <v>10839</v>
      </c>
      <c r="I151" s="28" t="s">
        <v>887</v>
      </c>
      <c r="J151" s="28" t="s">
        <v>10840</v>
      </c>
      <c r="K151" s="28" t="s">
        <v>10828</v>
      </c>
      <c r="L151" s="28" t="s">
        <v>10841</v>
      </c>
      <c r="M151" s="28" t="s">
        <v>41</v>
      </c>
      <c r="N151" s="28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spans="1:26" ht="14.4">
      <c r="A152" s="28" t="s">
        <v>9571</v>
      </c>
      <c r="B152" s="28" t="s">
        <v>9769</v>
      </c>
      <c r="C152" s="107" t="s">
        <v>260</v>
      </c>
      <c r="D152" s="107" t="s">
        <v>1337</v>
      </c>
      <c r="E152" s="28" t="s">
        <v>54</v>
      </c>
      <c r="F152" s="28" t="s">
        <v>10847</v>
      </c>
      <c r="G152" s="28" t="s">
        <v>1342</v>
      </c>
      <c r="H152" s="28" t="s">
        <v>9831</v>
      </c>
      <c r="I152" s="28" t="s">
        <v>898</v>
      </c>
      <c r="J152" s="28" t="s">
        <v>10848</v>
      </c>
      <c r="K152" s="28" t="s">
        <v>10839</v>
      </c>
      <c r="L152" s="28" t="s">
        <v>9832</v>
      </c>
      <c r="M152" s="28" t="s">
        <v>41</v>
      </c>
      <c r="N152" s="28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spans="1:26" ht="14.4">
      <c r="A153" s="28" t="s">
        <v>9571</v>
      </c>
      <c r="B153" s="28" t="s">
        <v>9769</v>
      </c>
      <c r="C153" s="107" t="s">
        <v>260</v>
      </c>
      <c r="D153" s="107" t="s">
        <v>1337</v>
      </c>
      <c r="E153" s="28" t="s">
        <v>54</v>
      </c>
      <c r="F153" s="28" t="s">
        <v>10855</v>
      </c>
      <c r="G153" s="28" t="s">
        <v>1342</v>
      </c>
      <c r="H153" s="28" t="s">
        <v>10856</v>
      </c>
      <c r="I153" s="28" t="s">
        <v>521</v>
      </c>
      <c r="J153" s="28" t="s">
        <v>10857</v>
      </c>
      <c r="K153" s="28" t="s">
        <v>10856</v>
      </c>
      <c r="L153" s="28" t="s">
        <v>9817</v>
      </c>
      <c r="M153" s="28" t="s">
        <v>41</v>
      </c>
      <c r="N153" s="28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spans="1:26" ht="14.4">
      <c r="A154" s="28" t="s">
        <v>9571</v>
      </c>
      <c r="B154" s="28" t="s">
        <v>9769</v>
      </c>
      <c r="C154" s="107" t="s">
        <v>260</v>
      </c>
      <c r="D154" s="107" t="s">
        <v>1337</v>
      </c>
      <c r="E154" s="28" t="s">
        <v>54</v>
      </c>
      <c r="F154" s="28" t="s">
        <v>10864</v>
      </c>
      <c r="G154" s="28" t="s">
        <v>1342</v>
      </c>
      <c r="H154" s="28" t="s">
        <v>10865</v>
      </c>
      <c r="I154" s="28" t="s">
        <v>887</v>
      </c>
      <c r="J154" s="28" t="s">
        <v>10866</v>
      </c>
      <c r="K154" s="28" t="s">
        <v>10867</v>
      </c>
      <c r="L154" s="28" t="s">
        <v>2149</v>
      </c>
      <c r="M154" s="28" t="s">
        <v>41</v>
      </c>
      <c r="N154" s="28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spans="1:26" ht="14.4">
      <c r="A155" s="28" t="s">
        <v>9571</v>
      </c>
      <c r="B155" s="28" t="s">
        <v>9769</v>
      </c>
      <c r="C155" s="107" t="s">
        <v>260</v>
      </c>
      <c r="D155" s="107" t="s">
        <v>1337</v>
      </c>
      <c r="E155" s="28" t="s">
        <v>54</v>
      </c>
      <c r="F155" s="28" t="s">
        <v>10874</v>
      </c>
      <c r="G155" s="28" t="s">
        <v>1342</v>
      </c>
      <c r="H155" s="28" t="s">
        <v>10875</v>
      </c>
      <c r="I155" s="28" t="s">
        <v>887</v>
      </c>
      <c r="J155" s="28" t="s">
        <v>10876</v>
      </c>
      <c r="K155" s="28" t="s">
        <v>10875</v>
      </c>
      <c r="L155" s="28" t="s">
        <v>10878</v>
      </c>
      <c r="M155" s="28" t="s">
        <v>41</v>
      </c>
      <c r="N155" s="28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spans="1:26" ht="14.4">
      <c r="A156" s="28" t="s">
        <v>9571</v>
      </c>
      <c r="B156" s="28" t="s">
        <v>9769</v>
      </c>
      <c r="C156" s="107" t="s">
        <v>260</v>
      </c>
      <c r="D156" s="107" t="s">
        <v>1337</v>
      </c>
      <c r="E156" s="28" t="s">
        <v>54</v>
      </c>
      <c r="F156" s="28" t="s">
        <v>10884</v>
      </c>
      <c r="G156" s="28" t="s">
        <v>1342</v>
      </c>
      <c r="H156" s="28" t="s">
        <v>10885</v>
      </c>
      <c r="I156" s="28" t="s">
        <v>2714</v>
      </c>
      <c r="J156" s="28" t="s">
        <v>10886</v>
      </c>
      <c r="K156" s="28" t="s">
        <v>10885</v>
      </c>
      <c r="L156" s="28" t="s">
        <v>9838</v>
      </c>
      <c r="M156" s="28" t="s">
        <v>41</v>
      </c>
      <c r="N156" s="28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spans="1:26" ht="14.4">
      <c r="A157" s="28" t="s">
        <v>9571</v>
      </c>
      <c r="B157" s="28" t="s">
        <v>9769</v>
      </c>
      <c r="C157" s="107" t="s">
        <v>260</v>
      </c>
      <c r="D157" s="107" t="s">
        <v>1337</v>
      </c>
      <c r="E157" s="28" t="s">
        <v>54</v>
      </c>
      <c r="F157" s="28" t="s">
        <v>10893</v>
      </c>
      <c r="G157" s="28" t="s">
        <v>1342</v>
      </c>
      <c r="H157" s="28" t="s">
        <v>10894</v>
      </c>
      <c r="I157" s="28" t="s">
        <v>521</v>
      </c>
      <c r="J157" s="28" t="s">
        <v>10895</v>
      </c>
      <c r="K157" s="28" t="s">
        <v>10894</v>
      </c>
      <c r="L157" s="28" t="s">
        <v>2166</v>
      </c>
      <c r="M157" s="28" t="s">
        <v>41</v>
      </c>
      <c r="N157" s="28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spans="1:26" ht="14.4">
      <c r="A158" s="28" t="s">
        <v>9571</v>
      </c>
      <c r="B158" s="28" t="s">
        <v>9769</v>
      </c>
      <c r="C158" s="107" t="s">
        <v>260</v>
      </c>
      <c r="D158" s="107" t="s">
        <v>1337</v>
      </c>
      <c r="E158" s="28" t="s">
        <v>54</v>
      </c>
      <c r="F158" s="28" t="s">
        <v>10902</v>
      </c>
      <c r="G158" s="28" t="s">
        <v>1342</v>
      </c>
      <c r="H158" s="28" t="s">
        <v>10905</v>
      </c>
      <c r="I158" s="28" t="s">
        <v>887</v>
      </c>
      <c r="J158" s="28" t="s">
        <v>10908</v>
      </c>
      <c r="K158" s="28" t="s">
        <v>10905</v>
      </c>
      <c r="L158" s="28" t="s">
        <v>9843</v>
      </c>
      <c r="M158" s="28" t="s">
        <v>41</v>
      </c>
      <c r="N158" s="28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spans="1:26" ht="14.4">
      <c r="A159" s="28" t="s">
        <v>9571</v>
      </c>
      <c r="B159" s="28" t="s">
        <v>9769</v>
      </c>
      <c r="C159" s="107" t="s">
        <v>260</v>
      </c>
      <c r="D159" s="107" t="s">
        <v>1337</v>
      </c>
      <c r="E159" s="28" t="s">
        <v>54</v>
      </c>
      <c r="F159" s="28" t="s">
        <v>10913</v>
      </c>
      <c r="G159" s="28" t="s">
        <v>1342</v>
      </c>
      <c r="H159" s="28" t="s">
        <v>10914</v>
      </c>
      <c r="I159" s="28" t="s">
        <v>2714</v>
      </c>
      <c r="J159" s="28" t="s">
        <v>10915</v>
      </c>
      <c r="K159" s="28" t="s">
        <v>10914</v>
      </c>
      <c r="L159" s="28" t="s">
        <v>10916</v>
      </c>
      <c r="M159" s="28" t="s">
        <v>41</v>
      </c>
      <c r="N159" s="28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spans="1:26" ht="14.4">
      <c r="A160" s="28" t="s">
        <v>9571</v>
      </c>
      <c r="B160" s="28" t="s">
        <v>9769</v>
      </c>
      <c r="C160" s="107" t="s">
        <v>260</v>
      </c>
      <c r="D160" s="107" t="s">
        <v>1337</v>
      </c>
      <c r="E160" s="28" t="s">
        <v>54</v>
      </c>
      <c r="F160" s="28" t="s">
        <v>10922</v>
      </c>
      <c r="G160" s="28" t="s">
        <v>1342</v>
      </c>
      <c r="H160" s="28" t="s">
        <v>10924</v>
      </c>
      <c r="I160" s="28" t="s">
        <v>2714</v>
      </c>
      <c r="J160" s="28" t="s">
        <v>10926</v>
      </c>
      <c r="K160" s="28" t="s">
        <v>10924</v>
      </c>
      <c r="L160" s="28" t="s">
        <v>9865</v>
      </c>
      <c r="M160" s="28" t="s">
        <v>41</v>
      </c>
      <c r="N160" s="28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spans="1:26" ht="14.4">
      <c r="A161" s="28" t="s">
        <v>9571</v>
      </c>
      <c r="B161" s="28" t="s">
        <v>9769</v>
      </c>
      <c r="C161" s="107" t="s">
        <v>260</v>
      </c>
      <c r="D161" s="107" t="s">
        <v>1337</v>
      </c>
      <c r="E161" s="28" t="s">
        <v>54</v>
      </c>
      <c r="F161" s="28" t="s">
        <v>10932</v>
      </c>
      <c r="G161" s="28" t="s">
        <v>1342</v>
      </c>
      <c r="H161" s="28" t="s">
        <v>10934</v>
      </c>
      <c r="I161" s="28" t="s">
        <v>887</v>
      </c>
      <c r="J161" s="28" t="s">
        <v>10936</v>
      </c>
      <c r="K161" s="28" t="s">
        <v>10934</v>
      </c>
      <c r="L161" s="28" t="s">
        <v>9843</v>
      </c>
      <c r="M161" s="28" t="s">
        <v>41</v>
      </c>
      <c r="N161" s="28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spans="1:26" ht="14.4">
      <c r="A162" s="28" t="s">
        <v>9571</v>
      </c>
      <c r="B162" s="28" t="s">
        <v>9769</v>
      </c>
      <c r="C162" s="107" t="s">
        <v>260</v>
      </c>
      <c r="D162" s="107" t="s">
        <v>1337</v>
      </c>
      <c r="E162" s="28" t="s">
        <v>54</v>
      </c>
      <c r="F162" s="28" t="s">
        <v>10942</v>
      </c>
      <c r="G162" s="28" t="s">
        <v>1342</v>
      </c>
      <c r="H162" s="28" t="s">
        <v>10944</v>
      </c>
      <c r="I162" s="28" t="s">
        <v>887</v>
      </c>
      <c r="J162" s="28" t="s">
        <v>10946</v>
      </c>
      <c r="K162" s="28" t="s">
        <v>10944</v>
      </c>
      <c r="L162" s="28" t="s">
        <v>10948</v>
      </c>
      <c r="M162" s="28" t="s">
        <v>41</v>
      </c>
      <c r="N162" s="28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spans="1:26" ht="14.4">
      <c r="A163" s="28" t="s">
        <v>9571</v>
      </c>
      <c r="B163" s="28" t="s">
        <v>9769</v>
      </c>
      <c r="C163" s="107" t="s">
        <v>260</v>
      </c>
      <c r="D163" s="107" t="s">
        <v>1337</v>
      </c>
      <c r="E163" s="28" t="s">
        <v>54</v>
      </c>
      <c r="F163" s="28" t="s">
        <v>10952</v>
      </c>
      <c r="G163" s="28" t="s">
        <v>1342</v>
      </c>
      <c r="H163" s="28" t="s">
        <v>10953</v>
      </c>
      <c r="I163" s="28" t="s">
        <v>887</v>
      </c>
      <c r="J163" s="28" t="s">
        <v>10954</v>
      </c>
      <c r="K163" s="28" t="s">
        <v>10953</v>
      </c>
      <c r="L163" s="28" t="s">
        <v>9832</v>
      </c>
      <c r="M163" s="28" t="s">
        <v>41</v>
      </c>
      <c r="N163" s="28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spans="1:26" ht="14.4">
      <c r="A164" s="28" t="s">
        <v>9571</v>
      </c>
      <c r="B164" s="28" t="s">
        <v>9769</v>
      </c>
      <c r="C164" s="107" t="s">
        <v>260</v>
      </c>
      <c r="D164" s="107" t="s">
        <v>1337</v>
      </c>
      <c r="E164" s="28" t="s">
        <v>54</v>
      </c>
      <c r="F164" s="28" t="s">
        <v>10955</v>
      </c>
      <c r="G164" s="28" t="s">
        <v>1342</v>
      </c>
      <c r="H164" s="28" t="s">
        <v>10956</v>
      </c>
      <c r="I164" s="28" t="s">
        <v>10957</v>
      </c>
      <c r="J164" s="28" t="s">
        <v>10958</v>
      </c>
      <c r="K164" s="28" t="s">
        <v>10956</v>
      </c>
      <c r="L164" s="28" t="s">
        <v>8541</v>
      </c>
      <c r="M164" s="28" t="s">
        <v>41</v>
      </c>
      <c r="N164" s="28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spans="1:26" ht="14.4">
      <c r="A165" s="28" t="s">
        <v>9571</v>
      </c>
      <c r="B165" s="28" t="s">
        <v>9769</v>
      </c>
      <c r="C165" s="107" t="s">
        <v>260</v>
      </c>
      <c r="D165" s="107" t="s">
        <v>1337</v>
      </c>
      <c r="E165" s="28" t="s">
        <v>54</v>
      </c>
      <c r="F165" s="28" t="s">
        <v>10963</v>
      </c>
      <c r="G165" s="28" t="s">
        <v>1342</v>
      </c>
      <c r="H165" s="28" t="s">
        <v>10965</v>
      </c>
      <c r="I165" s="28" t="s">
        <v>887</v>
      </c>
      <c r="J165" s="28" t="s">
        <v>10966</v>
      </c>
      <c r="K165" s="28" t="s">
        <v>10965</v>
      </c>
      <c r="L165" s="28" t="s">
        <v>9820</v>
      </c>
      <c r="M165" s="28" t="s">
        <v>41</v>
      </c>
      <c r="N165" s="28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spans="1:26" ht="14.4">
      <c r="A166" s="28" t="s">
        <v>9571</v>
      </c>
      <c r="B166" s="28" t="s">
        <v>9769</v>
      </c>
      <c r="C166" s="107" t="s">
        <v>260</v>
      </c>
      <c r="D166" s="107" t="s">
        <v>1337</v>
      </c>
      <c r="E166" s="28" t="s">
        <v>54</v>
      </c>
      <c r="F166" s="28" t="s">
        <v>10971</v>
      </c>
      <c r="G166" s="28" t="s">
        <v>1342</v>
      </c>
      <c r="H166" s="28" t="s">
        <v>9791</v>
      </c>
      <c r="I166" s="28" t="s">
        <v>898</v>
      </c>
      <c r="J166" s="28" t="s">
        <v>10974</v>
      </c>
      <c r="K166" s="28" t="s">
        <v>10975</v>
      </c>
      <c r="L166" s="28" t="s">
        <v>2149</v>
      </c>
      <c r="M166" s="28" t="s">
        <v>41</v>
      </c>
      <c r="N166" s="28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spans="1:26" ht="14.4">
      <c r="A167" s="28" t="s">
        <v>9571</v>
      </c>
      <c r="B167" s="28" t="s">
        <v>9769</v>
      </c>
      <c r="C167" s="107" t="s">
        <v>260</v>
      </c>
      <c r="D167" s="107" t="s">
        <v>1337</v>
      </c>
      <c r="E167" s="28" t="s">
        <v>54</v>
      </c>
      <c r="F167" s="28" t="s">
        <v>10980</v>
      </c>
      <c r="G167" s="28" t="s">
        <v>1342</v>
      </c>
      <c r="H167" s="28" t="s">
        <v>9801</v>
      </c>
      <c r="I167" s="28" t="s">
        <v>898</v>
      </c>
      <c r="J167" s="28" t="s">
        <v>10983</v>
      </c>
      <c r="K167" s="28" t="s">
        <v>9801</v>
      </c>
      <c r="L167" s="28" t="s">
        <v>2230</v>
      </c>
      <c r="M167" s="28" t="s">
        <v>41</v>
      </c>
      <c r="N167" s="28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spans="1:26" ht="14.4">
      <c r="A168" s="28" t="s">
        <v>9571</v>
      </c>
      <c r="B168" s="28" t="s">
        <v>9769</v>
      </c>
      <c r="C168" s="107" t="s">
        <v>260</v>
      </c>
      <c r="D168" s="107" t="s">
        <v>1337</v>
      </c>
      <c r="E168" s="28" t="s">
        <v>54</v>
      </c>
      <c r="F168" s="28" t="s">
        <v>10987</v>
      </c>
      <c r="G168" s="28" t="s">
        <v>1342</v>
      </c>
      <c r="H168" s="28" t="s">
        <v>9972</v>
      </c>
      <c r="I168" s="28" t="s">
        <v>887</v>
      </c>
      <c r="J168" s="28" t="s">
        <v>10990</v>
      </c>
      <c r="K168" s="28" t="s">
        <v>10992</v>
      </c>
      <c r="L168" s="28" t="s">
        <v>2149</v>
      </c>
      <c r="M168" s="28" t="s">
        <v>41</v>
      </c>
      <c r="N168" s="28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spans="1:26" ht="14.4">
      <c r="A169" s="28" t="s">
        <v>9571</v>
      </c>
      <c r="B169" s="28" t="s">
        <v>9769</v>
      </c>
      <c r="C169" s="107" t="s">
        <v>260</v>
      </c>
      <c r="D169" s="107" t="s">
        <v>1337</v>
      </c>
      <c r="E169" s="28" t="s">
        <v>54</v>
      </c>
      <c r="F169" s="28" t="s">
        <v>10996</v>
      </c>
      <c r="G169" s="28" t="s">
        <v>1342</v>
      </c>
      <c r="H169" s="28" t="s">
        <v>10997</v>
      </c>
      <c r="I169" s="28" t="s">
        <v>10998</v>
      </c>
      <c r="J169" s="28" t="s">
        <v>11000</v>
      </c>
      <c r="K169" s="28" t="s">
        <v>10997</v>
      </c>
      <c r="L169" s="28" t="s">
        <v>2149</v>
      </c>
      <c r="M169" s="28" t="s">
        <v>41</v>
      </c>
      <c r="N169" s="28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spans="1:26" ht="14.4">
      <c r="A170" s="28" t="s">
        <v>9571</v>
      </c>
      <c r="B170" s="28" t="s">
        <v>9769</v>
      </c>
      <c r="C170" s="107" t="s">
        <v>260</v>
      </c>
      <c r="D170" s="107" t="s">
        <v>1337</v>
      </c>
      <c r="E170" s="28" t="s">
        <v>54</v>
      </c>
      <c r="F170" s="28" t="s">
        <v>10765</v>
      </c>
      <c r="G170" s="28" t="s">
        <v>1342</v>
      </c>
      <c r="H170" s="28" t="s">
        <v>9809</v>
      </c>
      <c r="I170" s="28" t="s">
        <v>2714</v>
      </c>
      <c r="J170" s="28" t="s">
        <v>11006</v>
      </c>
      <c r="K170" s="28" t="s">
        <v>9809</v>
      </c>
      <c r="L170" s="28" t="s">
        <v>9810</v>
      </c>
      <c r="M170" s="28" t="s">
        <v>41</v>
      </c>
      <c r="N170" s="28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spans="1:26" ht="14.4">
      <c r="A171" s="28" t="s">
        <v>9571</v>
      </c>
      <c r="B171" s="28" t="s">
        <v>9769</v>
      </c>
      <c r="C171" s="107" t="s">
        <v>260</v>
      </c>
      <c r="D171" s="107" t="s">
        <v>1337</v>
      </c>
      <c r="E171" s="28" t="s">
        <v>54</v>
      </c>
      <c r="F171" s="28" t="s">
        <v>11010</v>
      </c>
      <c r="G171" s="28" t="s">
        <v>1342</v>
      </c>
      <c r="H171" s="28" t="s">
        <v>9963</v>
      </c>
      <c r="I171" s="28" t="s">
        <v>11012</v>
      </c>
      <c r="J171" s="28" t="s">
        <v>11013</v>
      </c>
      <c r="K171" s="28" t="s">
        <v>9963</v>
      </c>
      <c r="L171" s="28" t="s">
        <v>2149</v>
      </c>
      <c r="M171" s="28" t="s">
        <v>41</v>
      </c>
      <c r="N171" s="28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spans="1:26" ht="14.4">
      <c r="A172" s="28" t="s">
        <v>9571</v>
      </c>
      <c r="B172" s="28" t="s">
        <v>9769</v>
      </c>
      <c r="C172" s="107" t="s">
        <v>260</v>
      </c>
      <c r="D172" s="107" t="s">
        <v>1337</v>
      </c>
      <c r="E172" s="28" t="s">
        <v>54</v>
      </c>
      <c r="F172" s="28" t="s">
        <v>11017</v>
      </c>
      <c r="G172" s="28" t="s">
        <v>1342</v>
      </c>
      <c r="H172" s="28" t="s">
        <v>11019</v>
      </c>
      <c r="I172" s="28" t="s">
        <v>2714</v>
      </c>
      <c r="J172" s="28" t="s">
        <v>11020</v>
      </c>
      <c r="K172" s="28" t="s">
        <v>11019</v>
      </c>
      <c r="L172" s="28" t="s">
        <v>11021</v>
      </c>
      <c r="M172" s="28" t="s">
        <v>41</v>
      </c>
      <c r="N172" s="28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spans="1:26" ht="14.4">
      <c r="A173" s="28" t="s">
        <v>9571</v>
      </c>
      <c r="B173" s="28" t="s">
        <v>10000</v>
      </c>
      <c r="C173" s="28" t="s">
        <v>20</v>
      </c>
      <c r="D173" s="28" t="s">
        <v>1305</v>
      </c>
      <c r="E173" s="28" t="s">
        <v>54</v>
      </c>
      <c r="F173" s="28" t="s">
        <v>11026</v>
      </c>
      <c r="G173" s="28" t="s">
        <v>11028</v>
      </c>
      <c r="H173" s="28" t="s">
        <v>11029</v>
      </c>
      <c r="I173" s="28" t="s">
        <v>1610</v>
      </c>
      <c r="J173" s="28" t="s">
        <v>11030</v>
      </c>
      <c r="K173" s="28" t="s">
        <v>11029</v>
      </c>
      <c r="L173" s="28" t="s">
        <v>6768</v>
      </c>
      <c r="M173" s="28" t="s">
        <v>41</v>
      </c>
      <c r="N173" s="28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spans="1:26" ht="14.4">
      <c r="A174" s="28" t="s">
        <v>9571</v>
      </c>
      <c r="B174" s="28" t="s">
        <v>10000</v>
      </c>
      <c r="C174" s="107" t="s">
        <v>260</v>
      </c>
      <c r="D174" s="107" t="s">
        <v>1337</v>
      </c>
      <c r="E174" s="28" t="s">
        <v>54</v>
      </c>
      <c r="F174" s="28" t="s">
        <v>11035</v>
      </c>
      <c r="G174" s="28" t="s">
        <v>1342</v>
      </c>
      <c r="H174" s="28" t="s">
        <v>11036</v>
      </c>
      <c r="I174" s="28" t="s">
        <v>898</v>
      </c>
      <c r="J174" s="28" t="s">
        <v>11037</v>
      </c>
      <c r="K174" s="28" t="s">
        <v>11036</v>
      </c>
      <c r="L174" s="28" t="s">
        <v>9100</v>
      </c>
      <c r="M174" s="28" t="s">
        <v>41</v>
      </c>
      <c r="N174" s="28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spans="1:26" ht="14.4">
      <c r="A175" s="28" t="s">
        <v>9571</v>
      </c>
      <c r="B175" s="28" t="s">
        <v>10000</v>
      </c>
      <c r="C175" s="107" t="s">
        <v>260</v>
      </c>
      <c r="D175" s="107" t="s">
        <v>1337</v>
      </c>
      <c r="E175" s="28" t="s">
        <v>54</v>
      </c>
      <c r="F175" s="28" t="s">
        <v>11042</v>
      </c>
      <c r="G175" s="28" t="s">
        <v>1342</v>
      </c>
      <c r="H175" s="28" t="s">
        <v>10063</v>
      </c>
      <c r="I175" s="28" t="s">
        <v>887</v>
      </c>
      <c r="J175" s="28" t="s">
        <v>11044</v>
      </c>
      <c r="K175" s="28" t="s">
        <v>10063</v>
      </c>
      <c r="L175" s="28" t="s">
        <v>6768</v>
      </c>
      <c r="M175" s="28" t="s">
        <v>41</v>
      </c>
      <c r="N175" s="28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spans="1:26" ht="14.4">
      <c r="A176" s="28" t="s">
        <v>9571</v>
      </c>
      <c r="B176" s="28" t="s">
        <v>10000</v>
      </c>
      <c r="C176" s="107" t="s">
        <v>260</v>
      </c>
      <c r="D176" s="107" t="s">
        <v>1337</v>
      </c>
      <c r="E176" s="28" t="s">
        <v>54</v>
      </c>
      <c r="F176" s="28" t="s">
        <v>11046</v>
      </c>
      <c r="G176" s="28" t="s">
        <v>1342</v>
      </c>
      <c r="H176" s="28" t="s">
        <v>11048</v>
      </c>
      <c r="I176" s="28" t="s">
        <v>898</v>
      </c>
      <c r="J176" s="28" t="s">
        <v>11049</v>
      </c>
      <c r="K176" s="28" t="s">
        <v>11048</v>
      </c>
      <c r="L176" s="28" t="s">
        <v>11051</v>
      </c>
      <c r="M176" s="28" t="s">
        <v>41</v>
      </c>
      <c r="N176" s="28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spans="1:26" ht="14.4">
      <c r="A177" s="28" t="s">
        <v>9571</v>
      </c>
      <c r="B177" s="28" t="s">
        <v>10000</v>
      </c>
      <c r="C177" s="107" t="s">
        <v>260</v>
      </c>
      <c r="D177" s="107" t="s">
        <v>1337</v>
      </c>
      <c r="E177" s="28" t="s">
        <v>54</v>
      </c>
      <c r="F177" s="28" t="s">
        <v>11055</v>
      </c>
      <c r="G177" s="28" t="s">
        <v>1342</v>
      </c>
      <c r="H177" s="28" t="s">
        <v>11056</v>
      </c>
      <c r="I177" s="28" t="s">
        <v>2714</v>
      </c>
      <c r="J177" s="28" t="s">
        <v>11057</v>
      </c>
      <c r="K177" s="28" t="s">
        <v>11056</v>
      </c>
      <c r="L177" s="28" t="s">
        <v>11059</v>
      </c>
      <c r="M177" s="28" t="s">
        <v>41</v>
      </c>
      <c r="N177" s="28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spans="1:26" ht="14.4">
      <c r="A178" s="28" t="s">
        <v>9571</v>
      </c>
      <c r="B178" s="28" t="s">
        <v>10000</v>
      </c>
      <c r="C178" s="107" t="s">
        <v>260</v>
      </c>
      <c r="D178" s="107" t="s">
        <v>1337</v>
      </c>
      <c r="E178" s="28" t="s">
        <v>54</v>
      </c>
      <c r="F178" s="28" t="s">
        <v>11064</v>
      </c>
      <c r="G178" s="28" t="s">
        <v>1342</v>
      </c>
      <c r="H178" s="28" t="s">
        <v>11066</v>
      </c>
      <c r="I178" s="28" t="s">
        <v>2714</v>
      </c>
      <c r="J178" s="28" t="s">
        <v>11067</v>
      </c>
      <c r="K178" s="28" t="s">
        <v>11066</v>
      </c>
      <c r="L178" s="28" t="s">
        <v>11069</v>
      </c>
      <c r="M178" s="28" t="s">
        <v>41</v>
      </c>
      <c r="N178" s="28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spans="1:26" ht="14.4">
      <c r="A179" s="28" t="s">
        <v>9571</v>
      </c>
      <c r="B179" s="28" t="s">
        <v>10000</v>
      </c>
      <c r="C179" s="107" t="s">
        <v>260</v>
      </c>
      <c r="D179" s="107" t="s">
        <v>1337</v>
      </c>
      <c r="E179" s="28" t="s">
        <v>54</v>
      </c>
      <c r="F179" s="251" t="s">
        <v>11073</v>
      </c>
      <c r="G179" s="28" t="s">
        <v>1342</v>
      </c>
      <c r="H179" s="28" t="s">
        <v>11074</v>
      </c>
      <c r="I179" s="28" t="s">
        <v>887</v>
      </c>
      <c r="J179" s="28" t="s">
        <v>11075</v>
      </c>
      <c r="K179" s="28" t="s">
        <v>11074</v>
      </c>
      <c r="L179" s="28" t="s">
        <v>11077</v>
      </c>
      <c r="M179" s="28" t="s">
        <v>41</v>
      </c>
      <c r="N179" s="28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spans="1:26" ht="14.4">
      <c r="A180" s="28" t="s">
        <v>9571</v>
      </c>
      <c r="B180" s="28" t="s">
        <v>10000</v>
      </c>
      <c r="C180" s="107" t="s">
        <v>260</v>
      </c>
      <c r="D180" s="107" t="s">
        <v>1337</v>
      </c>
      <c r="E180" s="28" t="s">
        <v>54</v>
      </c>
      <c r="F180" s="28" t="s">
        <v>11081</v>
      </c>
      <c r="G180" s="28" t="s">
        <v>1342</v>
      </c>
      <c r="H180" s="28" t="s">
        <v>11082</v>
      </c>
      <c r="I180" s="28" t="s">
        <v>521</v>
      </c>
      <c r="J180" s="28" t="s">
        <v>11083</v>
      </c>
      <c r="K180" s="28" t="s">
        <v>11082</v>
      </c>
      <c r="L180" s="28" t="s">
        <v>11085</v>
      </c>
      <c r="M180" s="28" t="s">
        <v>41</v>
      </c>
      <c r="N180" s="28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spans="1:26" ht="14.4">
      <c r="A181" s="28" t="s">
        <v>9571</v>
      </c>
      <c r="B181" s="28" t="s">
        <v>10000</v>
      </c>
      <c r="C181" s="107" t="s">
        <v>260</v>
      </c>
      <c r="D181" s="107" t="s">
        <v>1337</v>
      </c>
      <c r="E181" s="28" t="s">
        <v>54</v>
      </c>
      <c r="F181" s="28" t="s">
        <v>11089</v>
      </c>
      <c r="G181" s="28" t="s">
        <v>1342</v>
      </c>
      <c r="H181" s="28" t="s">
        <v>10168</v>
      </c>
      <c r="I181" s="28" t="s">
        <v>2714</v>
      </c>
      <c r="J181" s="28" t="s">
        <v>11090</v>
      </c>
      <c r="K181" s="28" t="s">
        <v>10168</v>
      </c>
      <c r="L181" s="28" t="s">
        <v>10171</v>
      </c>
      <c r="M181" s="28" t="s">
        <v>41</v>
      </c>
      <c r="N181" s="28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spans="1:26" ht="14.4">
      <c r="A182" s="28" t="s">
        <v>9571</v>
      </c>
      <c r="B182" s="28" t="s">
        <v>10000</v>
      </c>
      <c r="C182" s="107" t="s">
        <v>260</v>
      </c>
      <c r="D182" s="107" t="s">
        <v>1337</v>
      </c>
      <c r="E182" s="28" t="s">
        <v>54</v>
      </c>
      <c r="F182" s="28" t="s">
        <v>10794</v>
      </c>
      <c r="G182" s="28" t="s">
        <v>1342</v>
      </c>
      <c r="H182" s="28" t="s">
        <v>11093</v>
      </c>
      <c r="I182" s="28" t="s">
        <v>887</v>
      </c>
      <c r="J182" s="28" t="s">
        <v>11094</v>
      </c>
      <c r="K182" s="28" t="s">
        <v>11093</v>
      </c>
      <c r="L182" s="28" t="s">
        <v>11096</v>
      </c>
      <c r="M182" s="28" t="s">
        <v>41</v>
      </c>
      <c r="N182" s="28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spans="1:26" ht="14.4">
      <c r="A183" s="28" t="s">
        <v>9571</v>
      </c>
      <c r="B183" s="28" t="s">
        <v>10000</v>
      </c>
      <c r="C183" s="107" t="s">
        <v>260</v>
      </c>
      <c r="D183" s="107" t="s">
        <v>1337</v>
      </c>
      <c r="E183" s="28" t="s">
        <v>54</v>
      </c>
      <c r="F183" s="28" t="s">
        <v>11098</v>
      </c>
      <c r="G183" s="28" t="s">
        <v>1342</v>
      </c>
      <c r="H183" s="28" t="s">
        <v>11099</v>
      </c>
      <c r="I183" s="28" t="s">
        <v>521</v>
      </c>
      <c r="J183" s="28" t="s">
        <v>11100</v>
      </c>
      <c r="K183" s="28" t="s">
        <v>11099</v>
      </c>
      <c r="L183" s="28" t="s">
        <v>11102</v>
      </c>
      <c r="M183" s="28" t="s">
        <v>41</v>
      </c>
      <c r="N183" s="28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spans="1:26" ht="14.4">
      <c r="A184" s="28" t="s">
        <v>9571</v>
      </c>
      <c r="B184" s="28" t="s">
        <v>10000</v>
      </c>
      <c r="C184" s="107" t="s">
        <v>260</v>
      </c>
      <c r="D184" s="107" t="s">
        <v>1337</v>
      </c>
      <c r="E184" s="28" t="s">
        <v>54</v>
      </c>
      <c r="F184" s="28" t="s">
        <v>11104</v>
      </c>
      <c r="G184" s="28" t="s">
        <v>1342</v>
      </c>
      <c r="H184" s="28" t="s">
        <v>11105</v>
      </c>
      <c r="I184" s="28" t="s">
        <v>521</v>
      </c>
      <c r="J184" s="28" t="s">
        <v>11106</v>
      </c>
      <c r="K184" s="28" t="s">
        <v>11105</v>
      </c>
      <c r="L184" s="28" t="s">
        <v>11107</v>
      </c>
      <c r="M184" s="28" t="s">
        <v>41</v>
      </c>
      <c r="N184" s="28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spans="1:26" ht="14.4">
      <c r="A185" s="28" t="s">
        <v>9571</v>
      </c>
      <c r="B185" s="28" t="s">
        <v>10000</v>
      </c>
      <c r="C185" s="107" t="s">
        <v>260</v>
      </c>
      <c r="D185" s="107" t="s">
        <v>1337</v>
      </c>
      <c r="E185" s="28" t="s">
        <v>54</v>
      </c>
      <c r="F185" s="28" t="s">
        <v>11110</v>
      </c>
      <c r="G185" s="28" t="s">
        <v>1342</v>
      </c>
      <c r="H185" s="28" t="s">
        <v>11111</v>
      </c>
      <c r="I185" s="28" t="s">
        <v>2714</v>
      </c>
      <c r="J185" s="28" t="s">
        <v>11112</v>
      </c>
      <c r="K185" s="28" t="s">
        <v>11111</v>
      </c>
      <c r="L185" s="28" t="s">
        <v>11114</v>
      </c>
      <c r="M185" s="28" t="s">
        <v>41</v>
      </c>
      <c r="N185" s="28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spans="1:26" ht="14.4">
      <c r="A186" s="28" t="s">
        <v>9571</v>
      </c>
      <c r="B186" s="28" t="s">
        <v>10000</v>
      </c>
      <c r="C186" s="107" t="s">
        <v>260</v>
      </c>
      <c r="D186" s="107" t="s">
        <v>1337</v>
      </c>
      <c r="E186" s="28" t="s">
        <v>54</v>
      </c>
      <c r="F186" s="28" t="s">
        <v>11116</v>
      </c>
      <c r="G186" s="28" t="s">
        <v>1342</v>
      </c>
      <c r="H186" s="28" t="s">
        <v>11117</v>
      </c>
      <c r="I186" s="28" t="s">
        <v>521</v>
      </c>
      <c r="J186" s="28" t="s">
        <v>11118</v>
      </c>
      <c r="K186" s="28" t="s">
        <v>11117</v>
      </c>
      <c r="L186" s="28" t="s">
        <v>11119</v>
      </c>
      <c r="M186" s="28" t="s">
        <v>41</v>
      </c>
      <c r="N186" s="28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spans="1:26" ht="14.4">
      <c r="A187" s="28" t="s">
        <v>9571</v>
      </c>
      <c r="B187" s="28" t="s">
        <v>10000</v>
      </c>
      <c r="C187" s="107" t="s">
        <v>260</v>
      </c>
      <c r="D187" s="107" t="s">
        <v>1337</v>
      </c>
      <c r="E187" s="28" t="s">
        <v>54</v>
      </c>
      <c r="F187" s="28" t="s">
        <v>11120</v>
      </c>
      <c r="G187" s="28" t="s">
        <v>1342</v>
      </c>
      <c r="H187" s="28" t="s">
        <v>11121</v>
      </c>
      <c r="I187" s="28" t="s">
        <v>887</v>
      </c>
      <c r="J187" s="28" t="s">
        <v>11122</v>
      </c>
      <c r="K187" s="28" t="s">
        <v>11121</v>
      </c>
      <c r="L187" s="28" t="s">
        <v>11123</v>
      </c>
      <c r="M187" s="28" t="s">
        <v>41</v>
      </c>
      <c r="N187" s="28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spans="1:26" ht="14.4">
      <c r="A188" s="28" t="s">
        <v>9571</v>
      </c>
      <c r="B188" s="28" t="s">
        <v>10000</v>
      </c>
      <c r="C188" s="107" t="s">
        <v>260</v>
      </c>
      <c r="D188" s="107" t="s">
        <v>1337</v>
      </c>
      <c r="E188" s="28" t="s">
        <v>54</v>
      </c>
      <c r="F188" s="28" t="s">
        <v>11124</v>
      </c>
      <c r="G188" s="28" t="s">
        <v>1342</v>
      </c>
      <c r="H188" s="28" t="s">
        <v>11125</v>
      </c>
      <c r="I188" s="28" t="s">
        <v>521</v>
      </c>
      <c r="J188" s="28" t="s">
        <v>11126</v>
      </c>
      <c r="K188" s="28" t="s">
        <v>11125</v>
      </c>
      <c r="L188" s="28" t="s">
        <v>11127</v>
      </c>
      <c r="M188" s="28" t="s">
        <v>41</v>
      </c>
      <c r="N188" s="28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spans="1:26" ht="14.4">
      <c r="A189" s="28" t="s">
        <v>9571</v>
      </c>
      <c r="B189" s="28" t="s">
        <v>10000</v>
      </c>
      <c r="C189" s="107" t="s">
        <v>260</v>
      </c>
      <c r="D189" s="107" t="s">
        <v>1337</v>
      </c>
      <c r="E189" s="28" t="s">
        <v>54</v>
      </c>
      <c r="F189" s="28" t="s">
        <v>11128</v>
      </c>
      <c r="G189" s="28" t="s">
        <v>1342</v>
      </c>
      <c r="H189" s="28" t="s">
        <v>11129</v>
      </c>
      <c r="I189" s="28" t="s">
        <v>2714</v>
      </c>
      <c r="J189" s="28" t="s">
        <v>11130</v>
      </c>
      <c r="K189" s="28" t="s">
        <v>11129</v>
      </c>
      <c r="L189" s="28" t="s">
        <v>10171</v>
      </c>
      <c r="M189" s="28" t="s">
        <v>41</v>
      </c>
      <c r="N189" s="28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spans="1:26" ht="14.4">
      <c r="A190" s="28" t="s">
        <v>9571</v>
      </c>
      <c r="B190" s="28" t="s">
        <v>10000</v>
      </c>
      <c r="C190" s="107" t="s">
        <v>260</v>
      </c>
      <c r="D190" s="107" t="s">
        <v>1337</v>
      </c>
      <c r="E190" s="28" t="s">
        <v>54</v>
      </c>
      <c r="F190" s="28" t="s">
        <v>11131</v>
      </c>
      <c r="G190" s="28" t="s">
        <v>1342</v>
      </c>
      <c r="H190" s="28" t="s">
        <v>10047</v>
      </c>
      <c r="I190" s="28" t="s">
        <v>898</v>
      </c>
      <c r="J190" s="28" t="s">
        <v>11132</v>
      </c>
      <c r="K190" s="28" t="s">
        <v>10047</v>
      </c>
      <c r="L190" s="28" t="s">
        <v>2794</v>
      </c>
      <c r="M190" s="28" t="s">
        <v>41</v>
      </c>
      <c r="N190" s="28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spans="1:26" ht="14.4">
      <c r="A191" s="28" t="s">
        <v>9571</v>
      </c>
      <c r="B191" s="28" t="s">
        <v>10000</v>
      </c>
      <c r="C191" s="107" t="s">
        <v>260</v>
      </c>
      <c r="D191" s="107" t="s">
        <v>1337</v>
      </c>
      <c r="E191" s="28" t="s">
        <v>54</v>
      </c>
      <c r="F191" s="28" t="s">
        <v>11133</v>
      </c>
      <c r="G191" s="28" t="s">
        <v>1342</v>
      </c>
      <c r="H191" s="28" t="s">
        <v>10116</v>
      </c>
      <c r="I191" s="28" t="s">
        <v>2714</v>
      </c>
      <c r="J191" s="28" t="s">
        <v>11134</v>
      </c>
      <c r="K191" s="28" t="s">
        <v>10116</v>
      </c>
      <c r="L191" s="28" t="s">
        <v>1555</v>
      </c>
      <c r="M191" s="28" t="s">
        <v>41</v>
      </c>
      <c r="N191" s="28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spans="1:26" ht="14.4">
      <c r="A192" s="28" t="s">
        <v>9571</v>
      </c>
      <c r="B192" s="28" t="s">
        <v>10000</v>
      </c>
      <c r="C192" s="107" t="s">
        <v>260</v>
      </c>
      <c r="D192" s="107" t="s">
        <v>1337</v>
      </c>
      <c r="E192" s="28" t="s">
        <v>54</v>
      </c>
      <c r="F192" s="28" t="s">
        <v>11135</v>
      </c>
      <c r="G192" s="28" t="s">
        <v>1342</v>
      </c>
      <c r="H192" s="28" t="s">
        <v>11136</v>
      </c>
      <c r="I192" s="28" t="s">
        <v>521</v>
      </c>
      <c r="J192" s="28" t="s">
        <v>11137</v>
      </c>
      <c r="K192" s="28" t="s">
        <v>11136</v>
      </c>
      <c r="L192" s="28" t="s">
        <v>6839</v>
      </c>
      <c r="M192" s="28" t="s">
        <v>41</v>
      </c>
      <c r="N192" s="28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spans="1:26" ht="14.4">
      <c r="A193" s="28" t="s">
        <v>9571</v>
      </c>
      <c r="B193" s="28" t="s">
        <v>10342</v>
      </c>
      <c r="C193" s="28" t="s">
        <v>20</v>
      </c>
      <c r="D193" s="28" t="s">
        <v>1305</v>
      </c>
      <c r="E193" s="28" t="s">
        <v>54</v>
      </c>
      <c r="F193" s="28" t="s">
        <v>11138</v>
      </c>
      <c r="G193" s="28" t="s">
        <v>11139</v>
      </c>
      <c r="H193" s="28" t="s">
        <v>11140</v>
      </c>
      <c r="I193" s="28" t="s">
        <v>10347</v>
      </c>
      <c r="J193" s="28" t="s">
        <v>11141</v>
      </c>
      <c r="K193" s="28" t="s">
        <v>11140</v>
      </c>
      <c r="L193" s="28" t="s">
        <v>6768</v>
      </c>
      <c r="M193" s="28" t="s">
        <v>41</v>
      </c>
      <c r="N193" s="28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spans="1:26" ht="14.4">
      <c r="A194" s="28" t="s">
        <v>9571</v>
      </c>
      <c r="B194" s="28" t="s">
        <v>10342</v>
      </c>
      <c r="C194" s="107" t="s">
        <v>260</v>
      </c>
      <c r="D194" s="107" t="s">
        <v>1337</v>
      </c>
      <c r="E194" s="28" t="s">
        <v>54</v>
      </c>
      <c r="F194" s="28" t="s">
        <v>11142</v>
      </c>
      <c r="G194" s="28"/>
      <c r="H194" s="28" t="s">
        <v>11143</v>
      </c>
      <c r="I194" s="28" t="s">
        <v>2714</v>
      </c>
      <c r="J194" s="28" t="s">
        <v>11144</v>
      </c>
      <c r="K194" s="28" t="s">
        <v>11143</v>
      </c>
      <c r="L194" s="28" t="s">
        <v>10401</v>
      </c>
      <c r="M194" s="28" t="s">
        <v>41</v>
      </c>
      <c r="N194" s="28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spans="1:26" ht="14.4">
      <c r="A195" s="28" t="s">
        <v>9571</v>
      </c>
      <c r="B195" s="28" t="s">
        <v>10342</v>
      </c>
      <c r="C195" s="107" t="s">
        <v>260</v>
      </c>
      <c r="D195" s="107" t="s">
        <v>1337</v>
      </c>
      <c r="E195" s="28" t="s">
        <v>54</v>
      </c>
      <c r="F195" s="28" t="s">
        <v>11145</v>
      </c>
      <c r="G195" s="28"/>
      <c r="H195" s="28" t="s">
        <v>11146</v>
      </c>
      <c r="I195" s="28" t="s">
        <v>11147</v>
      </c>
      <c r="J195" s="28" t="s">
        <v>11148</v>
      </c>
      <c r="K195" s="28" t="s">
        <v>11146</v>
      </c>
      <c r="L195" s="28" t="s">
        <v>11149</v>
      </c>
      <c r="M195" s="28" t="s">
        <v>41</v>
      </c>
      <c r="N195" s="28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spans="1:26" ht="14.4">
      <c r="A196" s="28" t="s">
        <v>9571</v>
      </c>
      <c r="B196" s="28" t="s">
        <v>10342</v>
      </c>
      <c r="C196" s="107" t="s">
        <v>260</v>
      </c>
      <c r="D196" s="107" t="s">
        <v>1337</v>
      </c>
      <c r="E196" s="28" t="s">
        <v>54</v>
      </c>
      <c r="F196" s="28" t="s">
        <v>11150</v>
      </c>
      <c r="G196" s="28"/>
      <c r="H196" s="28" t="s">
        <v>11151</v>
      </c>
      <c r="I196" s="28" t="s">
        <v>9289</v>
      </c>
      <c r="J196" s="28" t="s">
        <v>11152</v>
      </c>
      <c r="K196" s="28" t="s">
        <v>11151</v>
      </c>
      <c r="L196" s="28" t="s">
        <v>2166</v>
      </c>
      <c r="M196" s="28" t="s">
        <v>41</v>
      </c>
      <c r="N196" s="28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spans="1:26" ht="14.4">
      <c r="A197" s="28" t="s">
        <v>9571</v>
      </c>
      <c r="B197" s="28" t="s">
        <v>10342</v>
      </c>
      <c r="C197" s="107" t="s">
        <v>260</v>
      </c>
      <c r="D197" s="107" t="s">
        <v>1337</v>
      </c>
      <c r="E197" s="28" t="s">
        <v>54</v>
      </c>
      <c r="F197" s="28" t="s">
        <v>10808</v>
      </c>
      <c r="G197" s="28"/>
      <c r="H197" s="28" t="s">
        <v>11153</v>
      </c>
      <c r="I197" s="28" t="s">
        <v>887</v>
      </c>
      <c r="J197" s="28" t="s">
        <v>11154</v>
      </c>
      <c r="K197" s="28" t="s">
        <v>11153</v>
      </c>
      <c r="L197" s="28" t="s">
        <v>11155</v>
      </c>
      <c r="M197" s="28" t="s">
        <v>41</v>
      </c>
      <c r="N197" s="28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spans="1:26" ht="14.4">
      <c r="A198" s="28" t="s">
        <v>9571</v>
      </c>
      <c r="B198" s="28" t="s">
        <v>10342</v>
      </c>
      <c r="C198" s="107" t="s">
        <v>260</v>
      </c>
      <c r="D198" s="107" t="s">
        <v>1337</v>
      </c>
      <c r="E198" s="28" t="s">
        <v>54</v>
      </c>
      <c r="F198" s="28" t="s">
        <v>11156</v>
      </c>
      <c r="G198" s="28"/>
      <c r="H198" s="28" t="s">
        <v>11157</v>
      </c>
      <c r="I198" s="28" t="s">
        <v>9289</v>
      </c>
      <c r="J198" s="28" t="s">
        <v>11158</v>
      </c>
      <c r="K198" s="28" t="s">
        <v>11159</v>
      </c>
      <c r="L198" s="28" t="s">
        <v>11160</v>
      </c>
      <c r="M198" s="28" t="s">
        <v>41</v>
      </c>
      <c r="N198" s="28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spans="1:26" ht="14.4">
      <c r="A199" s="28" t="s">
        <v>9571</v>
      </c>
      <c r="B199" s="28" t="s">
        <v>10342</v>
      </c>
      <c r="C199" s="107" t="s">
        <v>260</v>
      </c>
      <c r="D199" s="107" t="s">
        <v>1337</v>
      </c>
      <c r="E199" s="28" t="s">
        <v>54</v>
      </c>
      <c r="F199" s="28" t="s">
        <v>11161</v>
      </c>
      <c r="G199" s="28"/>
      <c r="H199" s="28" t="s">
        <v>11162</v>
      </c>
      <c r="I199" s="28" t="s">
        <v>887</v>
      </c>
      <c r="J199" s="28" t="s">
        <v>11163</v>
      </c>
      <c r="K199" s="28" t="s">
        <v>11162</v>
      </c>
      <c r="L199" s="28" t="s">
        <v>11164</v>
      </c>
      <c r="M199" s="28" t="s">
        <v>41</v>
      </c>
      <c r="N199" s="28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spans="1:26" ht="14.4">
      <c r="A200" s="28" t="s">
        <v>9571</v>
      </c>
      <c r="B200" s="28" t="s">
        <v>10342</v>
      </c>
      <c r="C200" s="107" t="s">
        <v>260</v>
      </c>
      <c r="D200" s="107" t="s">
        <v>1337</v>
      </c>
      <c r="E200" s="28" t="s">
        <v>54</v>
      </c>
      <c r="F200" s="28" t="s">
        <v>11165</v>
      </c>
      <c r="G200" s="28"/>
      <c r="H200" s="28" t="s">
        <v>11166</v>
      </c>
      <c r="I200" s="28" t="s">
        <v>887</v>
      </c>
      <c r="J200" s="28" t="s">
        <v>11167</v>
      </c>
      <c r="K200" s="28" t="s">
        <v>11166</v>
      </c>
      <c r="L200" s="28" t="s">
        <v>10365</v>
      </c>
      <c r="M200" s="28" t="s">
        <v>41</v>
      </c>
      <c r="N200" s="28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spans="1:26" ht="14.4">
      <c r="A201" s="28" t="s">
        <v>9571</v>
      </c>
      <c r="B201" s="28" t="s">
        <v>10342</v>
      </c>
      <c r="C201" s="107" t="s">
        <v>260</v>
      </c>
      <c r="D201" s="107" t="s">
        <v>1337</v>
      </c>
      <c r="E201" s="28" t="s">
        <v>54</v>
      </c>
      <c r="F201" s="28" t="s">
        <v>11168</v>
      </c>
      <c r="G201" s="28"/>
      <c r="H201" s="28" t="s">
        <v>11169</v>
      </c>
      <c r="I201" s="28" t="s">
        <v>887</v>
      </c>
      <c r="J201" s="28" t="s">
        <v>11170</v>
      </c>
      <c r="K201" s="28" t="s">
        <v>11169</v>
      </c>
      <c r="L201" s="28" t="s">
        <v>11171</v>
      </c>
      <c r="M201" s="28" t="s">
        <v>41</v>
      </c>
      <c r="N201" s="28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spans="1:26" ht="14.4">
      <c r="A202" s="28" t="s">
        <v>9571</v>
      </c>
      <c r="B202" s="28" t="s">
        <v>10342</v>
      </c>
      <c r="C202" s="107" t="s">
        <v>260</v>
      </c>
      <c r="D202" s="107" t="s">
        <v>1337</v>
      </c>
      <c r="E202" s="28" t="s">
        <v>54</v>
      </c>
      <c r="F202" s="28" t="s">
        <v>11172</v>
      </c>
      <c r="G202" s="28"/>
      <c r="H202" s="28" t="s">
        <v>11173</v>
      </c>
      <c r="I202" s="28" t="s">
        <v>7652</v>
      </c>
      <c r="J202" s="28" t="s">
        <v>11174</v>
      </c>
      <c r="K202" s="28" t="s">
        <v>11173</v>
      </c>
      <c r="L202" s="28" t="s">
        <v>2794</v>
      </c>
      <c r="M202" s="28" t="s">
        <v>41</v>
      </c>
      <c r="N202" s="28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spans="1:26" ht="14.4">
      <c r="A203" s="28" t="s">
        <v>9571</v>
      </c>
      <c r="B203" s="28" t="s">
        <v>10342</v>
      </c>
      <c r="C203" s="107" t="s">
        <v>260</v>
      </c>
      <c r="D203" s="107" t="s">
        <v>1337</v>
      </c>
      <c r="E203" s="28" t="s">
        <v>54</v>
      </c>
      <c r="F203" s="28" t="s">
        <v>11175</v>
      </c>
      <c r="G203" s="28"/>
      <c r="H203" s="28" t="s">
        <v>11176</v>
      </c>
      <c r="I203" s="28" t="s">
        <v>11177</v>
      </c>
      <c r="J203" s="28" t="s">
        <v>11178</v>
      </c>
      <c r="K203" s="28" t="s">
        <v>11176</v>
      </c>
      <c r="L203" s="28" t="s">
        <v>2794</v>
      </c>
      <c r="M203" s="28" t="s">
        <v>41</v>
      </c>
      <c r="N203" s="28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spans="1:26" ht="14.4">
      <c r="A204" s="28" t="s">
        <v>9571</v>
      </c>
      <c r="B204" s="28" t="s">
        <v>10342</v>
      </c>
      <c r="C204" s="107" t="s">
        <v>260</v>
      </c>
      <c r="D204" s="107" t="s">
        <v>1337</v>
      </c>
      <c r="E204" s="28" t="s">
        <v>54</v>
      </c>
      <c r="F204" s="28" t="s">
        <v>10893</v>
      </c>
      <c r="G204" s="28"/>
      <c r="H204" s="28" t="s">
        <v>11179</v>
      </c>
      <c r="I204" s="28" t="s">
        <v>887</v>
      </c>
      <c r="J204" s="28" t="s">
        <v>11180</v>
      </c>
      <c r="K204" s="28" t="s">
        <v>11179</v>
      </c>
      <c r="L204" s="28" t="s">
        <v>11181</v>
      </c>
      <c r="M204" s="28" t="s">
        <v>41</v>
      </c>
      <c r="N204" s="28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spans="1:26" ht="14.4">
      <c r="A205" s="28" t="s">
        <v>9571</v>
      </c>
      <c r="B205" s="28" t="s">
        <v>10342</v>
      </c>
      <c r="C205" s="107" t="s">
        <v>260</v>
      </c>
      <c r="D205" s="107" t="s">
        <v>1337</v>
      </c>
      <c r="E205" s="28" t="s">
        <v>54</v>
      </c>
      <c r="F205" s="28" t="s">
        <v>11182</v>
      </c>
      <c r="G205" s="28"/>
      <c r="H205" s="28" t="s">
        <v>11183</v>
      </c>
      <c r="I205" s="28" t="s">
        <v>887</v>
      </c>
      <c r="J205" s="28" t="s">
        <v>11184</v>
      </c>
      <c r="K205" s="28" t="s">
        <v>11183</v>
      </c>
      <c r="L205" s="28" t="s">
        <v>11185</v>
      </c>
      <c r="M205" s="28" t="s">
        <v>41</v>
      </c>
      <c r="N205" s="28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spans="1:26" ht="14.4">
      <c r="A206" s="28" t="s">
        <v>9571</v>
      </c>
      <c r="B206" s="28" t="s">
        <v>10342</v>
      </c>
      <c r="C206" s="107" t="s">
        <v>260</v>
      </c>
      <c r="D206" s="107" t="s">
        <v>1337</v>
      </c>
      <c r="E206" s="28" t="s">
        <v>54</v>
      </c>
      <c r="F206" s="28" t="s">
        <v>11186</v>
      </c>
      <c r="G206" s="28"/>
      <c r="H206" s="28" t="s">
        <v>11187</v>
      </c>
      <c r="I206" s="28" t="s">
        <v>9289</v>
      </c>
      <c r="J206" s="28" t="s">
        <v>11188</v>
      </c>
      <c r="K206" s="28" t="s">
        <v>11187</v>
      </c>
      <c r="L206" s="28" t="s">
        <v>10401</v>
      </c>
      <c r="M206" s="28" t="s">
        <v>41</v>
      </c>
      <c r="N206" s="28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spans="1:26" ht="14.4">
      <c r="A207" s="28" t="s">
        <v>9571</v>
      </c>
      <c r="B207" s="28" t="s">
        <v>10342</v>
      </c>
      <c r="C207" s="107" t="s">
        <v>260</v>
      </c>
      <c r="D207" s="107" t="s">
        <v>1337</v>
      </c>
      <c r="E207" s="28" t="s">
        <v>54</v>
      </c>
      <c r="F207" s="28" t="s">
        <v>11189</v>
      </c>
      <c r="G207" s="28"/>
      <c r="H207" s="28" t="s">
        <v>11190</v>
      </c>
      <c r="I207" s="28" t="s">
        <v>11147</v>
      </c>
      <c r="J207" s="28" t="s">
        <v>11191</v>
      </c>
      <c r="K207" s="28" t="s">
        <v>11190</v>
      </c>
      <c r="L207" s="28" t="s">
        <v>11192</v>
      </c>
      <c r="M207" s="28" t="s">
        <v>41</v>
      </c>
      <c r="N207" s="28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spans="1:26" ht="14.4">
      <c r="A208" s="28" t="s">
        <v>9571</v>
      </c>
      <c r="B208" s="28" t="s">
        <v>10342</v>
      </c>
      <c r="C208" s="107" t="s">
        <v>260</v>
      </c>
      <c r="D208" s="107" t="s">
        <v>1337</v>
      </c>
      <c r="E208" s="28" t="s">
        <v>54</v>
      </c>
      <c r="F208" s="28" t="s">
        <v>11193</v>
      </c>
      <c r="G208" s="28"/>
      <c r="H208" s="28" t="s">
        <v>10507</v>
      </c>
      <c r="I208" s="28" t="s">
        <v>887</v>
      </c>
      <c r="J208" s="28" t="s">
        <v>11194</v>
      </c>
      <c r="K208" s="28" t="s">
        <v>10507</v>
      </c>
      <c r="L208" s="28" t="s">
        <v>2794</v>
      </c>
      <c r="M208" s="28" t="s">
        <v>41</v>
      </c>
      <c r="N208" s="28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spans="1:26" ht="14.4">
      <c r="A209" s="28" t="s">
        <v>9571</v>
      </c>
      <c r="B209" s="28" t="s">
        <v>10342</v>
      </c>
      <c r="C209" s="107" t="s">
        <v>337</v>
      </c>
      <c r="D209" s="107" t="s">
        <v>3635</v>
      </c>
      <c r="E209" s="28"/>
      <c r="F209" s="28" t="s">
        <v>11195</v>
      </c>
      <c r="G209" s="28"/>
      <c r="H209" s="28"/>
      <c r="I209" s="28"/>
      <c r="J209" s="28"/>
      <c r="K209" s="28"/>
      <c r="L209" s="28"/>
      <c r="M209" s="28" t="s">
        <v>41</v>
      </c>
      <c r="N209" s="28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spans="1:26" ht="14.4">
      <c r="A210" s="28" t="s">
        <v>9571</v>
      </c>
      <c r="B210" s="28" t="s">
        <v>10342</v>
      </c>
      <c r="C210" s="107" t="s">
        <v>337</v>
      </c>
      <c r="D210" s="107" t="s">
        <v>3635</v>
      </c>
      <c r="E210" s="28"/>
      <c r="F210" s="28" t="s">
        <v>11196</v>
      </c>
      <c r="G210" s="28"/>
      <c r="H210" s="28"/>
      <c r="I210" s="28"/>
      <c r="J210" s="28"/>
      <c r="K210" s="28"/>
      <c r="L210" s="28"/>
      <c r="M210" s="28" t="s">
        <v>41</v>
      </c>
      <c r="N210" s="28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</sheetData>
  <autoFilter ref="A2:N210" xr:uid="{00000000-0009-0000-0000-00000E000000}"/>
  <mergeCells count="1">
    <mergeCell ref="A1:E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  <pageSetUpPr fitToPage="1"/>
  </sheetPr>
  <dimension ref="A1:O262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/>
  <cols>
    <col min="1" max="1" width="9.77734375" customWidth="1"/>
    <col min="2" max="2" width="14.33203125" customWidth="1"/>
    <col min="3" max="3" width="40" customWidth="1"/>
    <col min="6" max="6" width="34.44140625" customWidth="1"/>
  </cols>
  <sheetData>
    <row r="1" spans="1:14" ht="15.75" customHeight="1">
      <c r="A1" s="99" t="s">
        <v>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</row>
    <row r="2" spans="1:14" ht="15.75" customHeight="1">
      <c r="A2" s="8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8</v>
      </c>
      <c r="G2" s="8" t="s">
        <v>24</v>
      </c>
      <c r="H2" s="8" t="s">
        <v>10</v>
      </c>
      <c r="I2" s="8" t="s">
        <v>11</v>
      </c>
      <c r="J2" s="8" t="s">
        <v>12</v>
      </c>
      <c r="K2" s="8" t="s">
        <v>14</v>
      </c>
      <c r="L2" s="8" t="s">
        <v>15</v>
      </c>
      <c r="M2" s="8" t="s">
        <v>2947</v>
      </c>
      <c r="N2" s="8" t="s">
        <v>17</v>
      </c>
    </row>
    <row r="3" spans="1:14" ht="15.75" customHeight="1">
      <c r="A3" s="264" t="s">
        <v>9850</v>
      </c>
      <c r="B3" s="265" t="s">
        <v>49</v>
      </c>
      <c r="C3" s="265" t="s">
        <v>85</v>
      </c>
      <c r="D3" s="254" t="s">
        <v>86</v>
      </c>
      <c r="E3" s="119"/>
      <c r="F3" s="265" t="s">
        <v>9856</v>
      </c>
      <c r="G3" s="265" t="s">
        <v>9857</v>
      </c>
      <c r="H3" s="265" t="s">
        <v>7714</v>
      </c>
      <c r="I3" s="265" t="s">
        <v>95</v>
      </c>
      <c r="J3" s="265" t="s">
        <v>4720</v>
      </c>
      <c r="K3" s="265" t="s">
        <v>9860</v>
      </c>
      <c r="L3" s="265" t="s">
        <v>9862</v>
      </c>
      <c r="M3" s="265" t="s">
        <v>41</v>
      </c>
      <c r="N3" s="265"/>
    </row>
    <row r="4" spans="1:14" ht="15.75" customHeight="1">
      <c r="A4" s="264" t="s">
        <v>9850</v>
      </c>
      <c r="B4" s="264" t="s">
        <v>49</v>
      </c>
      <c r="C4" s="264" t="s">
        <v>85</v>
      </c>
      <c r="D4" s="254" t="s">
        <v>86</v>
      </c>
      <c r="E4" s="266"/>
      <c r="F4" s="264" t="s">
        <v>9868</v>
      </c>
      <c r="G4" s="264" t="s">
        <v>9870</v>
      </c>
      <c r="H4" s="264" t="s">
        <v>9871</v>
      </c>
      <c r="I4" s="264" t="s">
        <v>130</v>
      </c>
      <c r="J4" s="264" t="s">
        <v>4724</v>
      </c>
      <c r="K4" s="264" t="s">
        <v>9871</v>
      </c>
      <c r="L4" s="264" t="s">
        <v>2149</v>
      </c>
      <c r="M4" s="264" t="s">
        <v>41</v>
      </c>
      <c r="N4" s="264"/>
    </row>
    <row r="5" spans="1:14" ht="15.75" customHeight="1">
      <c r="A5" s="264" t="s">
        <v>9850</v>
      </c>
      <c r="B5" s="264" t="s">
        <v>49</v>
      </c>
      <c r="C5" s="264" t="s">
        <v>85</v>
      </c>
      <c r="D5" s="254" t="s">
        <v>86</v>
      </c>
      <c r="E5" s="266"/>
      <c r="F5" s="264" t="s">
        <v>9874</v>
      </c>
      <c r="G5" s="264" t="s">
        <v>9876</v>
      </c>
      <c r="H5" s="264" t="s">
        <v>9871</v>
      </c>
      <c r="I5" s="264" t="s">
        <v>130</v>
      </c>
      <c r="J5" s="264" t="s">
        <v>4729</v>
      </c>
      <c r="K5" s="264" t="s">
        <v>9871</v>
      </c>
      <c r="L5" s="264" t="s">
        <v>2149</v>
      </c>
      <c r="M5" s="264" t="s">
        <v>41</v>
      </c>
      <c r="N5" s="264"/>
    </row>
    <row r="6" spans="1:14" ht="15.75" customHeight="1">
      <c r="A6" s="264" t="s">
        <v>9850</v>
      </c>
      <c r="B6" s="264" t="s">
        <v>49</v>
      </c>
      <c r="C6" s="264" t="s">
        <v>85</v>
      </c>
      <c r="D6" s="254" t="s">
        <v>86</v>
      </c>
      <c r="E6" s="266"/>
      <c r="F6" s="264" t="s">
        <v>9881</v>
      </c>
      <c r="G6" s="264" t="s">
        <v>9882</v>
      </c>
      <c r="H6" s="264" t="s">
        <v>9883</v>
      </c>
      <c r="I6" s="264" t="s">
        <v>9884</v>
      </c>
      <c r="J6" s="264" t="s">
        <v>4729</v>
      </c>
      <c r="K6" s="264" t="s">
        <v>9883</v>
      </c>
      <c r="L6" s="264" t="s">
        <v>2149</v>
      </c>
      <c r="M6" s="264" t="s">
        <v>41</v>
      </c>
      <c r="N6" s="264"/>
    </row>
    <row r="7" spans="1:14" ht="15.75" customHeight="1">
      <c r="A7" s="264" t="s">
        <v>9850</v>
      </c>
      <c r="B7" s="264" t="s">
        <v>49</v>
      </c>
      <c r="C7" s="264" t="s">
        <v>85</v>
      </c>
      <c r="D7" s="254" t="s">
        <v>86</v>
      </c>
      <c r="E7" s="266"/>
      <c r="F7" s="264" t="s">
        <v>9885</v>
      </c>
      <c r="G7" s="264" t="s">
        <v>9887</v>
      </c>
      <c r="H7" s="264" t="s">
        <v>9888</v>
      </c>
      <c r="I7" s="264" t="s">
        <v>5475</v>
      </c>
      <c r="J7" s="264" t="s">
        <v>4734</v>
      </c>
      <c r="K7" s="264" t="s">
        <v>9888</v>
      </c>
      <c r="L7" s="264" t="s">
        <v>2336</v>
      </c>
      <c r="M7" s="264" t="s">
        <v>41</v>
      </c>
      <c r="N7" s="264"/>
    </row>
    <row r="8" spans="1:14" ht="15.75" customHeight="1">
      <c r="A8" s="264" t="s">
        <v>9850</v>
      </c>
      <c r="B8" s="264" t="s">
        <v>49</v>
      </c>
      <c r="C8" s="264" t="s">
        <v>85</v>
      </c>
      <c r="D8" s="254" t="s">
        <v>86</v>
      </c>
      <c r="E8" s="266"/>
      <c r="F8" s="264" t="s">
        <v>9892</v>
      </c>
      <c r="G8" s="264" t="s">
        <v>9893</v>
      </c>
      <c r="H8" s="264" t="s">
        <v>9894</v>
      </c>
      <c r="I8" s="264" t="s">
        <v>95</v>
      </c>
      <c r="J8" s="264" t="s">
        <v>4738</v>
      </c>
      <c r="K8" s="264" t="s">
        <v>9894</v>
      </c>
      <c r="L8" s="264" t="s">
        <v>9895</v>
      </c>
      <c r="M8" s="264" t="s">
        <v>41</v>
      </c>
      <c r="N8" s="264"/>
    </row>
    <row r="9" spans="1:14" ht="15.75" customHeight="1">
      <c r="A9" s="264" t="s">
        <v>9850</v>
      </c>
      <c r="B9" s="264" t="s">
        <v>49</v>
      </c>
      <c r="C9" s="264" t="s">
        <v>85</v>
      </c>
      <c r="D9" s="254" t="s">
        <v>86</v>
      </c>
      <c r="E9" s="266"/>
      <c r="F9" s="264" t="s">
        <v>9897</v>
      </c>
      <c r="G9" s="264" t="s">
        <v>9899</v>
      </c>
      <c r="H9" s="264" t="s">
        <v>9900</v>
      </c>
      <c r="I9" s="264" t="s">
        <v>9599</v>
      </c>
      <c r="J9" s="264" t="s">
        <v>4744</v>
      </c>
      <c r="K9" s="264" t="s">
        <v>9903</v>
      </c>
      <c r="L9" s="264" t="s">
        <v>989</v>
      </c>
      <c r="M9" s="264" t="s">
        <v>41</v>
      </c>
      <c r="N9" s="264"/>
    </row>
    <row r="10" spans="1:14" ht="15.75" customHeight="1">
      <c r="A10" s="264" t="s">
        <v>9850</v>
      </c>
      <c r="B10" s="264" t="s">
        <v>49</v>
      </c>
      <c r="C10" s="264" t="s">
        <v>85</v>
      </c>
      <c r="D10" s="254" t="s">
        <v>86</v>
      </c>
      <c r="E10" s="266"/>
      <c r="F10" s="264" t="s">
        <v>9904</v>
      </c>
      <c r="G10" s="264" t="s">
        <v>9905</v>
      </c>
      <c r="H10" s="264" t="s">
        <v>9906</v>
      </c>
      <c r="I10" s="264" t="s">
        <v>8233</v>
      </c>
      <c r="J10" s="264" t="s">
        <v>4749</v>
      </c>
      <c r="K10" s="264" t="s">
        <v>9907</v>
      </c>
      <c r="L10" s="264" t="s">
        <v>989</v>
      </c>
      <c r="M10" s="264" t="s">
        <v>41</v>
      </c>
      <c r="N10" s="264"/>
    </row>
    <row r="11" spans="1:14" ht="15.75" customHeight="1">
      <c r="A11" s="264" t="s">
        <v>9850</v>
      </c>
      <c r="B11" s="264" t="s">
        <v>49</v>
      </c>
      <c r="C11" s="264" t="s">
        <v>85</v>
      </c>
      <c r="D11" s="254" t="s">
        <v>86</v>
      </c>
      <c r="E11" s="266"/>
      <c r="F11" s="264" t="s">
        <v>9911</v>
      </c>
      <c r="G11" s="264" t="s">
        <v>9913</v>
      </c>
      <c r="H11" s="264" t="s">
        <v>9915</v>
      </c>
      <c r="I11" s="264" t="s">
        <v>9916</v>
      </c>
      <c r="J11" s="264" t="s">
        <v>4754</v>
      </c>
      <c r="K11" s="264" t="s">
        <v>9918</v>
      </c>
      <c r="L11" s="264" t="s">
        <v>989</v>
      </c>
      <c r="M11" s="264" t="s">
        <v>41</v>
      </c>
      <c r="N11" s="264"/>
    </row>
    <row r="12" spans="1:14" ht="15.75" customHeight="1">
      <c r="A12" s="264" t="s">
        <v>9850</v>
      </c>
      <c r="B12" s="264" t="s">
        <v>49</v>
      </c>
      <c r="C12" s="264" t="s">
        <v>85</v>
      </c>
      <c r="D12" s="254" t="s">
        <v>86</v>
      </c>
      <c r="E12" s="266"/>
      <c r="F12" s="264" t="s">
        <v>9919</v>
      </c>
      <c r="G12" s="264" t="s">
        <v>9920</v>
      </c>
      <c r="H12" s="264" t="s">
        <v>9921</v>
      </c>
      <c r="I12" s="264" t="s">
        <v>5749</v>
      </c>
      <c r="J12" s="264" t="s">
        <v>4757</v>
      </c>
      <c r="K12" s="264" t="s">
        <v>9921</v>
      </c>
      <c r="L12" s="264" t="s">
        <v>989</v>
      </c>
      <c r="M12" s="264" t="s">
        <v>41</v>
      </c>
      <c r="N12" s="264"/>
    </row>
    <row r="13" spans="1:14" ht="15.75" customHeight="1">
      <c r="A13" s="264" t="s">
        <v>9850</v>
      </c>
      <c r="B13" s="264" t="s">
        <v>49</v>
      </c>
      <c r="C13" s="264" t="s">
        <v>85</v>
      </c>
      <c r="D13" s="254" t="s">
        <v>86</v>
      </c>
      <c r="E13" s="266"/>
      <c r="F13" s="264" t="s">
        <v>9926</v>
      </c>
      <c r="G13" s="264" t="s">
        <v>9928</v>
      </c>
      <c r="H13" s="264" t="s">
        <v>9930</v>
      </c>
      <c r="I13" s="264" t="s">
        <v>1252</v>
      </c>
      <c r="J13" s="264" t="s">
        <v>4762</v>
      </c>
      <c r="K13" s="264" t="s">
        <v>9930</v>
      </c>
      <c r="L13" s="264" t="s">
        <v>989</v>
      </c>
      <c r="M13" s="264" t="s">
        <v>41</v>
      </c>
      <c r="N13" s="264"/>
    </row>
    <row r="14" spans="1:14" ht="15.75" customHeight="1">
      <c r="A14" s="264" t="s">
        <v>9850</v>
      </c>
      <c r="B14" s="264" t="s">
        <v>49</v>
      </c>
      <c r="C14" s="264" t="s">
        <v>85</v>
      </c>
      <c r="D14" s="254" t="s">
        <v>86</v>
      </c>
      <c r="E14" s="266"/>
      <c r="F14" s="264" t="s">
        <v>9931</v>
      </c>
      <c r="G14" s="264" t="s">
        <v>9932</v>
      </c>
      <c r="H14" s="264" t="s">
        <v>9933</v>
      </c>
      <c r="I14" s="264" t="s">
        <v>521</v>
      </c>
      <c r="J14" s="264" t="s">
        <v>4768</v>
      </c>
      <c r="K14" s="264" t="s">
        <v>9933</v>
      </c>
      <c r="L14" s="264" t="s">
        <v>4607</v>
      </c>
      <c r="M14" s="264" t="s">
        <v>41</v>
      </c>
      <c r="N14" s="264"/>
    </row>
    <row r="15" spans="1:14" ht="15.75" customHeight="1">
      <c r="A15" s="264" t="s">
        <v>9850</v>
      </c>
      <c r="B15" s="264" t="s">
        <v>49</v>
      </c>
      <c r="C15" s="264" t="s">
        <v>85</v>
      </c>
      <c r="D15" s="254" t="s">
        <v>86</v>
      </c>
      <c r="E15" s="266"/>
      <c r="F15" s="264" t="s">
        <v>9938</v>
      </c>
      <c r="G15" s="264" t="s">
        <v>9939</v>
      </c>
      <c r="H15" s="264" t="s">
        <v>9940</v>
      </c>
      <c r="I15" s="264" t="s">
        <v>4057</v>
      </c>
      <c r="J15" s="264" t="s">
        <v>4772</v>
      </c>
      <c r="K15" s="264" t="s">
        <v>9941</v>
      </c>
      <c r="L15" s="264" t="s">
        <v>989</v>
      </c>
      <c r="M15" s="264" t="s">
        <v>41</v>
      </c>
      <c r="N15" s="264"/>
    </row>
    <row r="16" spans="1:14" ht="15.75" customHeight="1">
      <c r="A16" s="264" t="s">
        <v>9850</v>
      </c>
      <c r="B16" s="264" t="s">
        <v>49</v>
      </c>
      <c r="C16" s="264" t="s">
        <v>220</v>
      </c>
      <c r="D16" s="267" t="s">
        <v>234</v>
      </c>
      <c r="E16" s="268"/>
      <c r="F16" s="26" t="s">
        <v>9946</v>
      </c>
      <c r="G16" s="264"/>
      <c r="H16" s="264" t="s">
        <v>7714</v>
      </c>
      <c r="I16" s="264" t="s">
        <v>95</v>
      </c>
      <c r="J16" s="264" t="s">
        <v>9947</v>
      </c>
      <c r="K16" s="264" t="s">
        <v>9860</v>
      </c>
      <c r="L16" s="264" t="s">
        <v>9862</v>
      </c>
      <c r="M16" s="264" t="s">
        <v>41</v>
      </c>
      <c r="N16" s="264"/>
    </row>
    <row r="17" spans="1:14" ht="15.75" customHeight="1">
      <c r="A17" s="264" t="s">
        <v>9850</v>
      </c>
      <c r="B17" s="264" t="s">
        <v>49</v>
      </c>
      <c r="C17" s="264" t="s">
        <v>220</v>
      </c>
      <c r="D17" s="267" t="s">
        <v>234</v>
      </c>
      <c r="E17" s="268"/>
      <c r="F17" s="26" t="s">
        <v>9948</v>
      </c>
      <c r="G17" s="264"/>
      <c r="H17" s="264" t="s">
        <v>7714</v>
      </c>
      <c r="I17" s="264" t="s">
        <v>95</v>
      </c>
      <c r="J17" s="264" t="s">
        <v>9947</v>
      </c>
      <c r="K17" s="264" t="s">
        <v>9860</v>
      </c>
      <c r="L17" s="264" t="s">
        <v>9862</v>
      </c>
      <c r="M17" s="264" t="s">
        <v>41</v>
      </c>
      <c r="N17" s="264"/>
    </row>
    <row r="18" spans="1:14" ht="14.4">
      <c r="A18" s="264" t="s">
        <v>9850</v>
      </c>
      <c r="B18" s="264" t="s">
        <v>49</v>
      </c>
      <c r="C18" s="264" t="s">
        <v>220</v>
      </c>
      <c r="D18" s="267" t="s">
        <v>234</v>
      </c>
      <c r="E18" s="268"/>
      <c r="F18" s="26" t="s">
        <v>9949</v>
      </c>
      <c r="G18" s="264"/>
      <c r="H18" s="264" t="s">
        <v>9950</v>
      </c>
      <c r="I18" s="264" t="s">
        <v>119</v>
      </c>
      <c r="J18" s="264" t="s">
        <v>9953</v>
      </c>
      <c r="K18" s="264" t="s">
        <v>9950</v>
      </c>
      <c r="L18" s="264" t="s">
        <v>4480</v>
      </c>
      <c r="M18" s="264" t="s">
        <v>41</v>
      </c>
      <c r="N18" s="264"/>
    </row>
    <row r="19" spans="1:14" ht="14.4">
      <c r="A19" s="264" t="s">
        <v>9850</v>
      </c>
      <c r="B19" s="264" t="s">
        <v>49</v>
      </c>
      <c r="C19" s="264" t="s">
        <v>220</v>
      </c>
      <c r="D19" s="267" t="s">
        <v>234</v>
      </c>
      <c r="E19" s="268"/>
      <c r="F19" s="26" t="s">
        <v>9954</v>
      </c>
      <c r="G19" s="264"/>
      <c r="H19" s="264" t="s">
        <v>9950</v>
      </c>
      <c r="I19" s="264" t="s">
        <v>119</v>
      </c>
      <c r="J19" s="264" t="s">
        <v>9955</v>
      </c>
      <c r="K19" s="264" t="s">
        <v>9950</v>
      </c>
      <c r="L19" s="264" t="s">
        <v>4480</v>
      </c>
      <c r="M19" s="264" t="s">
        <v>41</v>
      </c>
      <c r="N19" s="264"/>
    </row>
    <row r="20" spans="1:14" ht="14.4">
      <c r="A20" s="264" t="s">
        <v>9850</v>
      </c>
      <c r="B20" s="264" t="s">
        <v>49</v>
      </c>
      <c r="C20" s="264" t="s">
        <v>220</v>
      </c>
      <c r="D20" s="267" t="s">
        <v>234</v>
      </c>
      <c r="E20" s="268"/>
      <c r="F20" s="26" t="s">
        <v>9956</v>
      </c>
      <c r="G20" s="264"/>
      <c r="H20" s="264" t="s">
        <v>9957</v>
      </c>
      <c r="I20" s="264" t="s">
        <v>95</v>
      </c>
      <c r="J20" s="264" t="s">
        <v>9958</v>
      </c>
      <c r="K20" s="264" t="s">
        <v>9957</v>
      </c>
      <c r="L20" s="264" t="s">
        <v>9895</v>
      </c>
      <c r="M20" s="264" t="s">
        <v>41</v>
      </c>
      <c r="N20" s="264"/>
    </row>
    <row r="21" spans="1:14" ht="14.4">
      <c r="A21" s="264" t="s">
        <v>9850</v>
      </c>
      <c r="B21" s="264" t="s">
        <v>49</v>
      </c>
      <c r="C21" s="264" t="s">
        <v>220</v>
      </c>
      <c r="D21" s="267" t="s">
        <v>234</v>
      </c>
      <c r="E21" s="268"/>
      <c r="F21" s="26" t="s">
        <v>9960</v>
      </c>
      <c r="G21" s="264"/>
      <c r="H21" s="264" t="s">
        <v>9961</v>
      </c>
      <c r="I21" s="264" t="s">
        <v>887</v>
      </c>
      <c r="J21" s="264" t="s">
        <v>3351</v>
      </c>
      <c r="K21" s="264" t="s">
        <v>9961</v>
      </c>
      <c r="L21" s="264" t="s">
        <v>989</v>
      </c>
      <c r="M21" s="264" t="s">
        <v>41</v>
      </c>
      <c r="N21" s="264"/>
    </row>
    <row r="22" spans="1:14" ht="14.4">
      <c r="A22" s="264" t="s">
        <v>9850</v>
      </c>
      <c r="B22" s="264" t="s">
        <v>49</v>
      </c>
      <c r="C22" s="264" t="s">
        <v>220</v>
      </c>
      <c r="D22" s="267" t="s">
        <v>234</v>
      </c>
      <c r="E22" s="268"/>
      <c r="F22" s="26" t="s">
        <v>9965</v>
      </c>
      <c r="G22" s="264"/>
      <c r="H22" s="264" t="s">
        <v>9888</v>
      </c>
      <c r="I22" s="264" t="s">
        <v>5475</v>
      </c>
      <c r="J22" s="264" t="s">
        <v>3330</v>
      </c>
      <c r="K22" s="264" t="s">
        <v>9888</v>
      </c>
      <c r="L22" s="264" t="s">
        <v>2336</v>
      </c>
      <c r="M22" s="264" t="s">
        <v>41</v>
      </c>
      <c r="N22" s="264"/>
    </row>
    <row r="23" spans="1:14" ht="14.4">
      <c r="A23" s="264" t="s">
        <v>9850</v>
      </c>
      <c r="B23" s="264" t="s">
        <v>49</v>
      </c>
      <c r="C23" s="264" t="s">
        <v>233</v>
      </c>
      <c r="D23" s="267" t="s">
        <v>298</v>
      </c>
      <c r="E23" s="268"/>
      <c r="F23" s="264" t="s">
        <v>9966</v>
      </c>
      <c r="G23" s="264" t="s">
        <v>9967</v>
      </c>
      <c r="H23" s="264" t="s">
        <v>9900</v>
      </c>
      <c r="I23" s="264" t="s">
        <v>9599</v>
      </c>
      <c r="J23" s="264" t="s">
        <v>9968</v>
      </c>
      <c r="K23" s="264" t="s">
        <v>9900</v>
      </c>
      <c r="L23" s="264" t="s">
        <v>989</v>
      </c>
      <c r="M23" s="264" t="s">
        <v>41</v>
      </c>
      <c r="N23" s="264"/>
    </row>
    <row r="24" spans="1:14" ht="14.4">
      <c r="A24" s="264" t="s">
        <v>9850</v>
      </c>
      <c r="B24" s="264" t="s">
        <v>49</v>
      </c>
      <c r="C24" s="264" t="s">
        <v>233</v>
      </c>
      <c r="D24" s="267" t="s">
        <v>298</v>
      </c>
      <c r="E24" s="268"/>
      <c r="F24" s="264" t="s">
        <v>9969</v>
      </c>
      <c r="G24" s="264" t="s">
        <v>9970</v>
      </c>
      <c r="H24" s="264" t="s">
        <v>9906</v>
      </c>
      <c r="I24" s="264" t="s">
        <v>8233</v>
      </c>
      <c r="J24" s="264" t="s">
        <v>9968</v>
      </c>
      <c r="K24" s="264" t="s">
        <v>9906</v>
      </c>
      <c r="L24" s="264" t="s">
        <v>989</v>
      </c>
      <c r="M24" s="264" t="s">
        <v>41</v>
      </c>
      <c r="N24" s="264"/>
    </row>
    <row r="25" spans="1:14" ht="14.4">
      <c r="A25" s="264" t="s">
        <v>9850</v>
      </c>
      <c r="B25" s="264" t="s">
        <v>49</v>
      </c>
      <c r="C25" s="264" t="s">
        <v>233</v>
      </c>
      <c r="D25" s="267" t="s">
        <v>298</v>
      </c>
      <c r="E25" s="268"/>
      <c r="F25" s="264" t="s">
        <v>9973</v>
      </c>
      <c r="G25" s="264" t="s">
        <v>9974</v>
      </c>
      <c r="H25" s="264" t="s">
        <v>9894</v>
      </c>
      <c r="I25" s="264" t="s">
        <v>95</v>
      </c>
      <c r="J25" s="264" t="s">
        <v>9968</v>
      </c>
      <c r="K25" s="264" t="s">
        <v>9894</v>
      </c>
      <c r="L25" s="264" t="s">
        <v>9895</v>
      </c>
      <c r="M25" s="264" t="s">
        <v>41</v>
      </c>
      <c r="N25" s="264"/>
    </row>
    <row r="26" spans="1:14" ht="14.4">
      <c r="A26" s="264" t="s">
        <v>9850</v>
      </c>
      <c r="B26" s="264" t="s">
        <v>49</v>
      </c>
      <c r="C26" s="264" t="s">
        <v>79</v>
      </c>
      <c r="D26" s="269" t="s">
        <v>80</v>
      </c>
      <c r="E26" s="126"/>
      <c r="F26" s="264" t="s">
        <v>9978</v>
      </c>
      <c r="G26" s="264"/>
      <c r="H26" s="264" t="s">
        <v>9883</v>
      </c>
      <c r="I26" s="264" t="s">
        <v>9884</v>
      </c>
      <c r="J26" s="264" t="s">
        <v>9979</v>
      </c>
      <c r="K26" s="264" t="s">
        <v>9883</v>
      </c>
      <c r="L26" s="264" t="s">
        <v>2149</v>
      </c>
      <c r="M26" s="264" t="s">
        <v>41</v>
      </c>
      <c r="N26" s="264"/>
    </row>
    <row r="27" spans="1:14" ht="14.4">
      <c r="A27" s="264" t="s">
        <v>9850</v>
      </c>
      <c r="B27" s="264" t="s">
        <v>49</v>
      </c>
      <c r="C27" s="264" t="s">
        <v>79</v>
      </c>
      <c r="D27" s="269" t="s">
        <v>80</v>
      </c>
      <c r="E27" s="126"/>
      <c r="F27" s="264" t="s">
        <v>9981</v>
      </c>
      <c r="G27" s="264"/>
      <c r="H27" s="264" t="s">
        <v>9883</v>
      </c>
      <c r="I27" s="264" t="s">
        <v>9884</v>
      </c>
      <c r="J27" s="264" t="s">
        <v>9979</v>
      </c>
      <c r="K27" s="264" t="s">
        <v>9883</v>
      </c>
      <c r="L27" s="264" t="s">
        <v>2149</v>
      </c>
      <c r="M27" s="264" t="s">
        <v>41</v>
      </c>
      <c r="N27" s="264"/>
    </row>
    <row r="28" spans="1:14" ht="14.4">
      <c r="A28" s="264" t="s">
        <v>9850</v>
      </c>
      <c r="B28" s="264" t="s">
        <v>49</v>
      </c>
      <c r="C28" s="264" t="s">
        <v>79</v>
      </c>
      <c r="D28" s="269" t="s">
        <v>80</v>
      </c>
      <c r="E28" s="126"/>
      <c r="F28" s="264" t="s">
        <v>9982</v>
      </c>
      <c r="G28" s="264"/>
      <c r="H28" s="264" t="s">
        <v>9883</v>
      </c>
      <c r="I28" s="264" t="s">
        <v>9884</v>
      </c>
      <c r="J28" s="264" t="s">
        <v>9979</v>
      </c>
      <c r="K28" s="264" t="s">
        <v>9883</v>
      </c>
      <c r="L28" s="264" t="s">
        <v>2149</v>
      </c>
      <c r="M28" s="264" t="s">
        <v>41</v>
      </c>
      <c r="N28" s="264"/>
    </row>
    <row r="29" spans="1:14" ht="14.4">
      <c r="A29" s="264" t="s">
        <v>9850</v>
      </c>
      <c r="B29" s="264" t="s">
        <v>49</v>
      </c>
      <c r="C29" s="264" t="s">
        <v>51</v>
      </c>
      <c r="D29" s="267" t="s">
        <v>52</v>
      </c>
      <c r="E29" s="268"/>
      <c r="F29" s="264" t="s">
        <v>9985</v>
      </c>
      <c r="G29" s="264" t="s">
        <v>9986</v>
      </c>
      <c r="H29" s="264" t="s">
        <v>9987</v>
      </c>
      <c r="I29" s="264" t="s">
        <v>3181</v>
      </c>
      <c r="J29" s="264" t="s">
        <v>9989</v>
      </c>
      <c r="K29" s="264" t="s">
        <v>9987</v>
      </c>
      <c r="L29" s="264" t="s">
        <v>2149</v>
      </c>
      <c r="M29" s="264" t="s">
        <v>41</v>
      </c>
      <c r="N29" s="264"/>
    </row>
    <row r="30" spans="1:14" ht="14.4">
      <c r="A30" s="264" t="s">
        <v>9850</v>
      </c>
      <c r="B30" s="264" t="s">
        <v>49</v>
      </c>
      <c r="C30" s="264" t="s">
        <v>70</v>
      </c>
      <c r="D30" s="267" t="s">
        <v>71</v>
      </c>
      <c r="E30" s="268"/>
      <c r="F30" s="264" t="s">
        <v>9990</v>
      </c>
      <c r="G30" s="264">
        <v>2839984</v>
      </c>
      <c r="H30" s="264" t="s">
        <v>9987</v>
      </c>
      <c r="I30" s="264" t="s">
        <v>3181</v>
      </c>
      <c r="J30" s="264" t="s">
        <v>9991</v>
      </c>
      <c r="K30" s="264" t="s">
        <v>9987</v>
      </c>
      <c r="L30" s="264" t="s">
        <v>2149</v>
      </c>
      <c r="M30" s="264" t="s">
        <v>41</v>
      </c>
      <c r="N30" s="264"/>
    </row>
    <row r="31" spans="1:14" ht="14.4">
      <c r="A31" s="264" t="s">
        <v>9850</v>
      </c>
      <c r="B31" s="264" t="s">
        <v>49</v>
      </c>
      <c r="C31" s="264" t="s">
        <v>79</v>
      </c>
      <c r="D31" s="269" t="s">
        <v>80</v>
      </c>
      <c r="E31" s="126"/>
      <c r="F31" s="264" t="s">
        <v>3132</v>
      </c>
      <c r="G31" s="264"/>
      <c r="H31" s="264" t="s">
        <v>9987</v>
      </c>
      <c r="I31" s="264" t="s">
        <v>3181</v>
      </c>
      <c r="J31" s="264" t="s">
        <v>9993</v>
      </c>
      <c r="K31" s="264" t="s">
        <v>9987</v>
      </c>
      <c r="L31" s="264" t="s">
        <v>2149</v>
      </c>
      <c r="M31" s="264" t="s">
        <v>41</v>
      </c>
      <c r="N31" s="264"/>
    </row>
    <row r="32" spans="1:14" ht="14.4">
      <c r="A32" s="264" t="s">
        <v>9850</v>
      </c>
      <c r="B32" s="264" t="s">
        <v>49</v>
      </c>
      <c r="C32" s="264" t="s">
        <v>287</v>
      </c>
      <c r="D32" s="28" t="s">
        <v>796</v>
      </c>
      <c r="E32" s="266"/>
      <c r="F32" s="264" t="s">
        <v>9996</v>
      </c>
      <c r="G32" s="264" t="s">
        <v>9997</v>
      </c>
      <c r="H32" s="264" t="s">
        <v>9998</v>
      </c>
      <c r="I32" s="264" t="s">
        <v>3181</v>
      </c>
      <c r="J32" s="264" t="s">
        <v>9999</v>
      </c>
      <c r="K32" s="264" t="s">
        <v>9998</v>
      </c>
      <c r="L32" s="264" t="s">
        <v>2149</v>
      </c>
      <c r="M32" s="264" t="s">
        <v>41</v>
      </c>
      <c r="N32" s="264"/>
    </row>
    <row r="33" spans="1:14" ht="14.4">
      <c r="A33" s="264" t="s">
        <v>9850</v>
      </c>
      <c r="B33" s="264" t="s">
        <v>49</v>
      </c>
      <c r="C33" s="264" t="s">
        <v>296</v>
      </c>
      <c r="D33" s="254" t="s">
        <v>954</v>
      </c>
      <c r="E33" s="266"/>
      <c r="F33" s="270" t="s">
        <v>10003</v>
      </c>
      <c r="G33" s="264"/>
      <c r="H33" s="264" t="s">
        <v>10006</v>
      </c>
      <c r="I33" s="264" t="s">
        <v>3906</v>
      </c>
      <c r="J33" s="264" t="s">
        <v>10007</v>
      </c>
      <c r="K33" s="264"/>
      <c r="L33" s="264" t="s">
        <v>10008</v>
      </c>
      <c r="M33" s="264" t="s">
        <v>41</v>
      </c>
      <c r="N33" s="264"/>
    </row>
    <row r="34" spans="1:14" ht="14.4">
      <c r="A34" s="264" t="s">
        <v>9850</v>
      </c>
      <c r="B34" s="264" t="s">
        <v>49</v>
      </c>
      <c r="C34" s="264" t="s">
        <v>306</v>
      </c>
      <c r="D34" s="271" t="s">
        <v>341</v>
      </c>
      <c r="E34" s="264" t="s">
        <v>54</v>
      </c>
      <c r="F34" s="264" t="s">
        <v>10011</v>
      </c>
      <c r="G34" s="264"/>
      <c r="H34" s="264" t="s">
        <v>10013</v>
      </c>
      <c r="I34" s="264" t="s">
        <v>10014</v>
      </c>
      <c r="J34" s="264"/>
      <c r="K34" s="264" t="s">
        <v>10013</v>
      </c>
      <c r="L34" s="264" t="s">
        <v>10008</v>
      </c>
      <c r="M34" s="264" t="s">
        <v>41</v>
      </c>
      <c r="N34" s="264"/>
    </row>
    <row r="35" spans="1:14" ht="14.4">
      <c r="A35" s="272" t="s">
        <v>9850</v>
      </c>
      <c r="B35" s="272" t="s">
        <v>49</v>
      </c>
      <c r="C35" s="272" t="s">
        <v>306</v>
      </c>
      <c r="D35" s="254" t="s">
        <v>341</v>
      </c>
      <c r="E35" s="272" t="s">
        <v>54</v>
      </c>
      <c r="F35" s="272" t="s">
        <v>10018</v>
      </c>
      <c r="G35" s="272"/>
      <c r="H35" s="272" t="s">
        <v>10020</v>
      </c>
      <c r="I35" s="272" t="s">
        <v>10021</v>
      </c>
      <c r="J35" s="272"/>
      <c r="K35" s="272" t="s">
        <v>10020</v>
      </c>
      <c r="L35" s="272" t="s">
        <v>10008</v>
      </c>
      <c r="M35" s="272" t="s">
        <v>41</v>
      </c>
      <c r="N35" s="272"/>
    </row>
    <row r="36" spans="1:14" ht="14.4">
      <c r="A36" s="266" t="s">
        <v>9850</v>
      </c>
      <c r="B36" s="264" t="s">
        <v>10022</v>
      </c>
      <c r="C36" s="264" t="s">
        <v>275</v>
      </c>
      <c r="D36" s="28" t="s">
        <v>543</v>
      </c>
      <c r="E36" s="273"/>
      <c r="F36" s="31" t="s">
        <v>10027</v>
      </c>
      <c r="G36" s="264"/>
      <c r="H36" s="264" t="s">
        <v>10028</v>
      </c>
      <c r="I36" s="264" t="s">
        <v>2790</v>
      </c>
      <c r="J36" s="264" t="s">
        <v>10029</v>
      </c>
      <c r="K36" s="264" t="s">
        <v>10028</v>
      </c>
      <c r="L36" s="264" t="s">
        <v>2149</v>
      </c>
      <c r="M36" s="264" t="s">
        <v>41</v>
      </c>
      <c r="N36" s="264"/>
    </row>
    <row r="37" spans="1:14" ht="14.4">
      <c r="A37" s="264" t="s">
        <v>9850</v>
      </c>
      <c r="B37" s="264" t="s">
        <v>10022</v>
      </c>
      <c r="C37" s="264" t="s">
        <v>51</v>
      </c>
      <c r="D37" s="267" t="s">
        <v>52</v>
      </c>
      <c r="E37" s="274"/>
      <c r="F37" s="264" t="s">
        <v>10030</v>
      </c>
      <c r="G37" s="264" t="s">
        <v>10031</v>
      </c>
      <c r="H37" s="264" t="s">
        <v>10032</v>
      </c>
      <c r="I37" s="264" t="s">
        <v>3181</v>
      </c>
      <c r="J37" s="264" t="s">
        <v>10034</v>
      </c>
      <c r="K37" s="264" t="s">
        <v>10032</v>
      </c>
      <c r="L37" s="264" t="s">
        <v>2149</v>
      </c>
      <c r="M37" s="264" t="s">
        <v>41</v>
      </c>
      <c r="N37" s="264"/>
    </row>
    <row r="38" spans="1:14" ht="14.4">
      <c r="A38" s="264" t="s">
        <v>9850</v>
      </c>
      <c r="B38" s="264" t="s">
        <v>10022</v>
      </c>
      <c r="C38" s="264" t="s">
        <v>79</v>
      </c>
      <c r="D38" s="269" t="s">
        <v>80</v>
      </c>
      <c r="E38" s="126"/>
      <c r="F38" s="264" t="s">
        <v>10038</v>
      </c>
      <c r="G38" s="264"/>
      <c r="H38" s="264" t="s">
        <v>10032</v>
      </c>
      <c r="I38" s="264" t="s">
        <v>3181</v>
      </c>
      <c r="J38" s="264" t="s">
        <v>10039</v>
      </c>
      <c r="K38" s="264" t="s">
        <v>10032</v>
      </c>
      <c r="L38" s="264" t="s">
        <v>2149</v>
      </c>
      <c r="M38" s="264" t="s">
        <v>41</v>
      </c>
      <c r="N38" s="264"/>
    </row>
    <row r="39" spans="1:14" ht="14.4">
      <c r="A39" s="264" t="s">
        <v>9850</v>
      </c>
      <c r="B39" s="264" t="s">
        <v>10022</v>
      </c>
      <c r="C39" s="264" t="s">
        <v>70</v>
      </c>
      <c r="D39" s="267" t="s">
        <v>71</v>
      </c>
      <c r="E39" s="274"/>
      <c r="F39" s="264" t="s">
        <v>10030</v>
      </c>
      <c r="G39" s="264">
        <v>2839972</v>
      </c>
      <c r="H39" s="264" t="s">
        <v>10032</v>
      </c>
      <c r="I39" s="264" t="s">
        <v>3181</v>
      </c>
      <c r="J39" s="264" t="s">
        <v>10040</v>
      </c>
      <c r="K39" s="264" t="s">
        <v>10032</v>
      </c>
      <c r="L39" s="264" t="s">
        <v>2149</v>
      </c>
      <c r="M39" s="264" t="s">
        <v>41</v>
      </c>
      <c r="N39" s="264"/>
    </row>
    <row r="40" spans="1:14" ht="14.4">
      <c r="A40" s="264" t="s">
        <v>9850</v>
      </c>
      <c r="B40" s="264" t="s">
        <v>10022</v>
      </c>
      <c r="C40" s="264" t="s">
        <v>85</v>
      </c>
      <c r="D40" s="254" t="s">
        <v>86</v>
      </c>
      <c r="E40" s="264"/>
      <c r="F40" s="264" t="s">
        <v>10041</v>
      </c>
      <c r="G40" s="264" t="s">
        <v>10042</v>
      </c>
      <c r="H40" s="264" t="s">
        <v>10044</v>
      </c>
      <c r="I40" s="264" t="s">
        <v>3498</v>
      </c>
      <c r="J40" s="264" t="s">
        <v>10046</v>
      </c>
      <c r="K40" s="264" t="s">
        <v>10044</v>
      </c>
      <c r="L40" s="264" t="s">
        <v>989</v>
      </c>
      <c r="M40" s="264" t="s">
        <v>41</v>
      </c>
      <c r="N40" s="264"/>
    </row>
    <row r="41" spans="1:14" ht="14.4">
      <c r="A41" s="264" t="s">
        <v>9850</v>
      </c>
      <c r="B41" s="264" t="s">
        <v>10022</v>
      </c>
      <c r="C41" s="264" t="s">
        <v>85</v>
      </c>
      <c r="D41" s="254" t="s">
        <v>86</v>
      </c>
      <c r="E41" s="264"/>
      <c r="F41" s="264" t="s">
        <v>10049</v>
      </c>
      <c r="G41" s="264" t="s">
        <v>10050</v>
      </c>
      <c r="H41" s="264" t="s">
        <v>10051</v>
      </c>
      <c r="I41" s="264" t="s">
        <v>1610</v>
      </c>
      <c r="J41" s="264" t="s">
        <v>10052</v>
      </c>
      <c r="K41" s="264" t="s">
        <v>10051</v>
      </c>
      <c r="L41" s="264" t="s">
        <v>989</v>
      </c>
      <c r="M41" s="264" t="s">
        <v>41</v>
      </c>
      <c r="N41" s="264"/>
    </row>
    <row r="42" spans="1:14" ht="14.4">
      <c r="A42" s="264" t="s">
        <v>9850</v>
      </c>
      <c r="B42" s="264" t="s">
        <v>10022</v>
      </c>
      <c r="C42" s="264" t="s">
        <v>85</v>
      </c>
      <c r="D42" s="254" t="s">
        <v>86</v>
      </c>
      <c r="E42" s="264"/>
      <c r="F42" s="264" t="s">
        <v>10053</v>
      </c>
      <c r="G42" s="264" t="s">
        <v>10054</v>
      </c>
      <c r="H42" s="264" t="s">
        <v>10055</v>
      </c>
      <c r="I42" s="264" t="s">
        <v>4057</v>
      </c>
      <c r="J42" s="264" t="s">
        <v>10056</v>
      </c>
      <c r="K42" s="264" t="s">
        <v>10057</v>
      </c>
      <c r="L42" s="264" t="s">
        <v>989</v>
      </c>
      <c r="M42" s="264" t="s">
        <v>41</v>
      </c>
      <c r="N42" s="264"/>
    </row>
    <row r="43" spans="1:14" ht="14.4">
      <c r="A43" s="264" t="s">
        <v>9850</v>
      </c>
      <c r="B43" s="264" t="s">
        <v>10022</v>
      </c>
      <c r="C43" s="264" t="s">
        <v>85</v>
      </c>
      <c r="D43" s="254" t="s">
        <v>86</v>
      </c>
      <c r="E43" s="264"/>
      <c r="F43" s="264" t="s">
        <v>10059</v>
      </c>
      <c r="G43" s="264" t="s">
        <v>10060</v>
      </c>
      <c r="H43" s="264" t="s">
        <v>10062</v>
      </c>
      <c r="I43" s="264" t="s">
        <v>689</v>
      </c>
      <c r="J43" s="264" t="s">
        <v>10064</v>
      </c>
      <c r="K43" s="264" t="s">
        <v>10062</v>
      </c>
      <c r="L43" s="264" t="s">
        <v>989</v>
      </c>
      <c r="M43" s="264" t="s">
        <v>41</v>
      </c>
      <c r="N43" s="264"/>
    </row>
    <row r="44" spans="1:14" ht="14.4">
      <c r="A44" s="264" t="s">
        <v>9850</v>
      </c>
      <c r="B44" s="264" t="s">
        <v>10022</v>
      </c>
      <c r="C44" s="264" t="s">
        <v>85</v>
      </c>
      <c r="D44" s="254" t="s">
        <v>86</v>
      </c>
      <c r="E44" s="264"/>
      <c r="F44" s="264" t="s">
        <v>10066</v>
      </c>
      <c r="G44" s="264" t="s">
        <v>10067</v>
      </c>
      <c r="H44" s="264" t="s">
        <v>10068</v>
      </c>
      <c r="I44" s="264" t="s">
        <v>6349</v>
      </c>
      <c r="J44" s="264" t="s">
        <v>10069</v>
      </c>
      <c r="K44" s="264" t="s">
        <v>10068</v>
      </c>
      <c r="L44" s="264" t="s">
        <v>2166</v>
      </c>
      <c r="M44" s="264" t="s">
        <v>41</v>
      </c>
      <c r="N44" s="264"/>
    </row>
    <row r="45" spans="1:14" ht="14.4">
      <c r="A45" s="264" t="s">
        <v>9850</v>
      </c>
      <c r="B45" s="264" t="s">
        <v>10022</v>
      </c>
      <c r="C45" s="264" t="s">
        <v>85</v>
      </c>
      <c r="D45" s="254" t="s">
        <v>86</v>
      </c>
      <c r="E45" s="264"/>
      <c r="F45" s="264" t="s">
        <v>10070</v>
      </c>
      <c r="G45" s="264" t="s">
        <v>10071</v>
      </c>
      <c r="H45" s="264" t="s">
        <v>10032</v>
      </c>
      <c r="I45" s="264" t="s">
        <v>3181</v>
      </c>
      <c r="J45" s="264" t="s">
        <v>10072</v>
      </c>
      <c r="K45" s="264" t="s">
        <v>10032</v>
      </c>
      <c r="L45" s="264" t="s">
        <v>2149</v>
      </c>
      <c r="M45" s="264" t="s">
        <v>41</v>
      </c>
      <c r="N45" s="264"/>
    </row>
    <row r="46" spans="1:14" ht="14.4">
      <c r="A46" s="264" t="s">
        <v>9850</v>
      </c>
      <c r="B46" s="264" t="s">
        <v>10022</v>
      </c>
      <c r="C46" s="264" t="s">
        <v>85</v>
      </c>
      <c r="D46" s="254" t="s">
        <v>86</v>
      </c>
      <c r="E46" s="264"/>
      <c r="F46" s="264" t="s">
        <v>10075</v>
      </c>
      <c r="G46" s="264" t="s">
        <v>10076</v>
      </c>
      <c r="H46" s="264" t="s">
        <v>10077</v>
      </c>
      <c r="I46" s="264" t="s">
        <v>521</v>
      </c>
      <c r="J46" s="264" t="s">
        <v>10079</v>
      </c>
      <c r="K46" s="264" t="s">
        <v>10080</v>
      </c>
      <c r="L46" s="264" t="s">
        <v>2149</v>
      </c>
      <c r="M46" s="264" t="s">
        <v>41</v>
      </c>
      <c r="N46" s="264"/>
    </row>
    <row r="47" spans="1:14" ht="14.4">
      <c r="A47" s="264" t="s">
        <v>9850</v>
      </c>
      <c r="B47" s="264" t="s">
        <v>10022</v>
      </c>
      <c r="C47" s="264" t="s">
        <v>85</v>
      </c>
      <c r="D47" s="254" t="s">
        <v>86</v>
      </c>
      <c r="E47" s="264"/>
      <c r="F47" s="264" t="s">
        <v>10081</v>
      </c>
      <c r="G47" s="264" t="s">
        <v>10082</v>
      </c>
      <c r="H47" s="264" t="s">
        <v>10083</v>
      </c>
      <c r="I47" s="264" t="s">
        <v>2514</v>
      </c>
      <c r="J47" s="264" t="s">
        <v>10084</v>
      </c>
      <c r="K47" s="264" t="s">
        <v>10083</v>
      </c>
      <c r="L47" s="264" t="s">
        <v>10085</v>
      </c>
      <c r="M47" s="264" t="s">
        <v>41</v>
      </c>
      <c r="N47" s="264"/>
    </row>
    <row r="48" spans="1:14" ht="14.4">
      <c r="A48" s="264" t="s">
        <v>9850</v>
      </c>
      <c r="B48" s="264" t="s">
        <v>10022</v>
      </c>
      <c r="C48" s="264" t="s">
        <v>85</v>
      </c>
      <c r="D48" s="254" t="s">
        <v>86</v>
      </c>
      <c r="E48" s="264"/>
      <c r="F48" s="264" t="s">
        <v>10088</v>
      </c>
      <c r="G48" s="264" t="s">
        <v>10090</v>
      </c>
      <c r="H48" s="264" t="s">
        <v>10091</v>
      </c>
      <c r="I48" s="264" t="s">
        <v>2400</v>
      </c>
      <c r="J48" s="264" t="s">
        <v>10093</v>
      </c>
      <c r="K48" s="264" t="s">
        <v>10091</v>
      </c>
      <c r="L48" s="264" t="s">
        <v>10094</v>
      </c>
      <c r="M48" s="264" t="s">
        <v>41</v>
      </c>
      <c r="N48" s="264"/>
    </row>
    <row r="49" spans="1:14" ht="14.4">
      <c r="A49" s="264" t="s">
        <v>9850</v>
      </c>
      <c r="B49" s="264" t="s">
        <v>10022</v>
      </c>
      <c r="C49" s="264" t="s">
        <v>85</v>
      </c>
      <c r="D49" s="254" t="s">
        <v>86</v>
      </c>
      <c r="E49" s="264"/>
      <c r="F49" s="264" t="s">
        <v>10095</v>
      </c>
      <c r="G49" s="264" t="s">
        <v>10096</v>
      </c>
      <c r="H49" s="264" t="s">
        <v>10097</v>
      </c>
      <c r="I49" s="264" t="s">
        <v>2514</v>
      </c>
      <c r="J49" s="264" t="s">
        <v>10098</v>
      </c>
      <c r="K49" s="264" t="s">
        <v>10097</v>
      </c>
      <c r="L49" s="264" t="s">
        <v>10099</v>
      </c>
      <c r="M49" s="264" t="s">
        <v>41</v>
      </c>
      <c r="N49" s="264"/>
    </row>
    <row r="50" spans="1:14" ht="14.4">
      <c r="A50" s="264" t="s">
        <v>9850</v>
      </c>
      <c r="B50" s="264" t="s">
        <v>10022</v>
      </c>
      <c r="C50" s="264" t="s">
        <v>85</v>
      </c>
      <c r="D50" s="254" t="s">
        <v>86</v>
      </c>
      <c r="E50" s="264"/>
      <c r="F50" s="264" t="s">
        <v>10102</v>
      </c>
      <c r="G50" s="264" t="s">
        <v>10104</v>
      </c>
      <c r="H50" s="264" t="s">
        <v>10105</v>
      </c>
      <c r="I50" s="264" t="s">
        <v>2400</v>
      </c>
      <c r="J50" s="264" t="s">
        <v>10107</v>
      </c>
      <c r="K50" s="264" t="s">
        <v>10105</v>
      </c>
      <c r="L50" s="264" t="s">
        <v>10108</v>
      </c>
      <c r="M50" s="264" t="s">
        <v>41</v>
      </c>
      <c r="N50" s="264"/>
    </row>
    <row r="51" spans="1:14" ht="14.4">
      <c r="A51" s="264" t="s">
        <v>9850</v>
      </c>
      <c r="B51" s="264" t="s">
        <v>10022</v>
      </c>
      <c r="C51" s="264" t="s">
        <v>85</v>
      </c>
      <c r="D51" s="254" t="s">
        <v>86</v>
      </c>
      <c r="E51" s="264"/>
      <c r="F51" s="264" t="s">
        <v>10109</v>
      </c>
      <c r="G51" s="264" t="s">
        <v>10110</v>
      </c>
      <c r="H51" s="264" t="s">
        <v>10111</v>
      </c>
      <c r="I51" s="264" t="s">
        <v>2514</v>
      </c>
      <c r="J51" s="264" t="s">
        <v>10112</v>
      </c>
      <c r="K51" s="264" t="s">
        <v>10111</v>
      </c>
      <c r="L51" s="264" t="s">
        <v>10113</v>
      </c>
      <c r="M51" s="264" t="s">
        <v>41</v>
      </c>
      <c r="N51" s="264"/>
    </row>
    <row r="52" spans="1:14" ht="14.4">
      <c r="A52" s="264" t="s">
        <v>9850</v>
      </c>
      <c r="B52" s="264" t="s">
        <v>10022</v>
      </c>
      <c r="C52" s="264" t="s">
        <v>220</v>
      </c>
      <c r="D52" s="267" t="s">
        <v>234</v>
      </c>
      <c r="E52" s="274"/>
      <c r="F52" s="26" t="s">
        <v>10117</v>
      </c>
      <c r="G52" s="264"/>
      <c r="H52" s="264" t="s">
        <v>10118</v>
      </c>
      <c r="I52" s="264" t="s">
        <v>10120</v>
      </c>
      <c r="J52" s="264" t="s">
        <v>10121</v>
      </c>
      <c r="K52" s="264" t="s">
        <v>10122</v>
      </c>
      <c r="L52" s="264" t="s">
        <v>989</v>
      </c>
      <c r="M52" s="264" t="s">
        <v>41</v>
      </c>
      <c r="N52" s="264"/>
    </row>
    <row r="53" spans="1:14" ht="14.4">
      <c r="A53" s="264" t="s">
        <v>9850</v>
      </c>
      <c r="B53" s="264" t="s">
        <v>10022</v>
      </c>
      <c r="C53" s="264" t="s">
        <v>220</v>
      </c>
      <c r="D53" s="267" t="s">
        <v>234</v>
      </c>
      <c r="E53" s="274"/>
      <c r="F53" s="26" t="s">
        <v>10123</v>
      </c>
      <c r="G53" s="264"/>
      <c r="H53" s="264" t="s">
        <v>10028</v>
      </c>
      <c r="I53" s="264" t="s">
        <v>2790</v>
      </c>
      <c r="J53" s="264" t="s">
        <v>10124</v>
      </c>
      <c r="K53" s="264" t="s">
        <v>10125</v>
      </c>
      <c r="L53" s="264" t="s">
        <v>2149</v>
      </c>
      <c r="M53" s="264" t="s">
        <v>41</v>
      </c>
      <c r="N53" s="264"/>
    </row>
    <row r="54" spans="1:14" ht="14.4">
      <c r="A54" s="264" t="s">
        <v>9850</v>
      </c>
      <c r="B54" s="264" t="s">
        <v>10022</v>
      </c>
      <c r="C54" s="264" t="s">
        <v>220</v>
      </c>
      <c r="D54" s="267" t="s">
        <v>234</v>
      </c>
      <c r="E54" s="274"/>
      <c r="F54" s="26" t="s">
        <v>5548</v>
      </c>
      <c r="G54" s="264"/>
      <c r="H54" s="264" t="s">
        <v>10118</v>
      </c>
      <c r="I54" s="264" t="s">
        <v>10126</v>
      </c>
      <c r="J54" s="264" t="s">
        <v>10127</v>
      </c>
      <c r="K54" s="264" t="s">
        <v>10118</v>
      </c>
      <c r="L54" s="264" t="s">
        <v>989</v>
      </c>
      <c r="M54" s="264" t="s">
        <v>41</v>
      </c>
      <c r="N54" s="264"/>
    </row>
    <row r="55" spans="1:14" ht="14.4">
      <c r="A55" s="264" t="s">
        <v>9850</v>
      </c>
      <c r="B55" s="264" t="s">
        <v>10022</v>
      </c>
      <c r="C55" s="264" t="s">
        <v>220</v>
      </c>
      <c r="D55" s="267" t="s">
        <v>234</v>
      </c>
      <c r="E55" s="274"/>
      <c r="F55" s="26" t="s">
        <v>5552</v>
      </c>
      <c r="G55" s="264"/>
      <c r="H55" s="264" t="s">
        <v>10068</v>
      </c>
      <c r="I55" s="264" t="s">
        <v>6349</v>
      </c>
      <c r="J55" s="264" t="s">
        <v>10130</v>
      </c>
      <c r="K55" s="264" t="s">
        <v>10131</v>
      </c>
      <c r="L55" s="264" t="s">
        <v>2166</v>
      </c>
      <c r="M55" s="264" t="s">
        <v>41</v>
      </c>
      <c r="N55" s="264"/>
    </row>
    <row r="56" spans="1:14" ht="14.4">
      <c r="A56" s="264" t="s">
        <v>9850</v>
      </c>
      <c r="B56" s="264" t="s">
        <v>10022</v>
      </c>
      <c r="C56" s="264" t="s">
        <v>233</v>
      </c>
      <c r="D56" s="267" t="s">
        <v>298</v>
      </c>
      <c r="E56" s="274"/>
      <c r="F56" s="264" t="s">
        <v>10133</v>
      </c>
      <c r="G56" s="264" t="s">
        <v>10134</v>
      </c>
      <c r="H56" s="264" t="s">
        <v>10077</v>
      </c>
      <c r="I56" s="264" t="s">
        <v>521</v>
      </c>
      <c r="J56" s="264" t="s">
        <v>10135</v>
      </c>
      <c r="K56" s="264" t="s">
        <v>10077</v>
      </c>
      <c r="L56" s="264" t="s">
        <v>2149</v>
      </c>
      <c r="M56" s="264" t="s">
        <v>41</v>
      </c>
      <c r="N56" s="264"/>
    </row>
    <row r="57" spans="1:14" ht="14.4">
      <c r="A57" s="264" t="s">
        <v>9850</v>
      </c>
      <c r="B57" s="264" t="s">
        <v>10022</v>
      </c>
      <c r="C57" s="264" t="s">
        <v>233</v>
      </c>
      <c r="D57" s="267" t="s">
        <v>298</v>
      </c>
      <c r="E57" s="274"/>
      <c r="F57" s="264" t="s">
        <v>10136</v>
      </c>
      <c r="G57" s="264" t="s">
        <v>10138</v>
      </c>
      <c r="H57" s="264" t="s">
        <v>10140</v>
      </c>
      <c r="I57" s="264" t="s">
        <v>5475</v>
      </c>
      <c r="J57" s="264" t="s">
        <v>10141</v>
      </c>
      <c r="K57" s="264" t="s">
        <v>10140</v>
      </c>
      <c r="L57" s="264" t="s">
        <v>2336</v>
      </c>
      <c r="M57" s="264" t="s">
        <v>41</v>
      </c>
      <c r="N57" s="264"/>
    </row>
    <row r="58" spans="1:14" ht="14.4">
      <c r="A58" s="264" t="s">
        <v>9850</v>
      </c>
      <c r="B58" s="264" t="s">
        <v>10022</v>
      </c>
      <c r="C58" s="264" t="s">
        <v>296</v>
      </c>
      <c r="D58" s="254" t="s">
        <v>954</v>
      </c>
      <c r="E58" s="264"/>
      <c r="F58" s="270" t="s">
        <v>10143</v>
      </c>
      <c r="G58" s="264"/>
      <c r="H58" s="264" t="s">
        <v>10006</v>
      </c>
      <c r="I58" s="264" t="s">
        <v>3906</v>
      </c>
      <c r="J58" s="264" t="s">
        <v>10007</v>
      </c>
      <c r="K58" s="264"/>
      <c r="L58" s="264" t="s">
        <v>10144</v>
      </c>
      <c r="M58" s="264" t="s">
        <v>41</v>
      </c>
      <c r="N58" s="264"/>
    </row>
    <row r="59" spans="1:14" ht="14.4">
      <c r="A59" s="264" t="s">
        <v>9850</v>
      </c>
      <c r="B59" s="264" t="s">
        <v>10146</v>
      </c>
      <c r="C59" s="264" t="s">
        <v>85</v>
      </c>
      <c r="D59" s="254" t="s">
        <v>86</v>
      </c>
      <c r="E59" s="264"/>
      <c r="F59" s="264" t="s">
        <v>10147</v>
      </c>
      <c r="G59" s="264" t="s">
        <v>10148</v>
      </c>
      <c r="H59" s="264" t="s">
        <v>10149</v>
      </c>
      <c r="I59" s="264" t="s">
        <v>2790</v>
      </c>
      <c r="J59" s="264" t="s">
        <v>10150</v>
      </c>
      <c r="K59" s="264" t="s">
        <v>10151</v>
      </c>
      <c r="L59" s="264" t="s">
        <v>10153</v>
      </c>
      <c r="M59" s="264" t="s">
        <v>41</v>
      </c>
      <c r="N59" s="264"/>
    </row>
    <row r="60" spans="1:14" ht="14.4">
      <c r="A60" s="264" t="s">
        <v>9850</v>
      </c>
      <c r="B60" s="264" t="s">
        <v>10146</v>
      </c>
      <c r="C60" s="264" t="s">
        <v>85</v>
      </c>
      <c r="D60" s="254" t="s">
        <v>86</v>
      </c>
      <c r="E60" s="266"/>
      <c r="F60" s="264" t="s">
        <v>10156</v>
      </c>
      <c r="G60" s="264" t="s">
        <v>10158</v>
      </c>
      <c r="H60" s="264" t="s">
        <v>10159</v>
      </c>
      <c r="I60" s="264" t="s">
        <v>3181</v>
      </c>
      <c r="J60" s="264" t="s">
        <v>10160</v>
      </c>
      <c r="K60" s="264" t="s">
        <v>10161</v>
      </c>
      <c r="L60" s="264" t="s">
        <v>10153</v>
      </c>
      <c r="M60" s="264" t="s">
        <v>41</v>
      </c>
      <c r="N60" s="264"/>
    </row>
    <row r="61" spans="1:14" ht="14.4">
      <c r="A61" s="264" t="s">
        <v>9850</v>
      </c>
      <c r="B61" s="264" t="s">
        <v>10146</v>
      </c>
      <c r="C61" s="264" t="s">
        <v>85</v>
      </c>
      <c r="D61" s="254" t="s">
        <v>86</v>
      </c>
      <c r="E61" s="266"/>
      <c r="F61" s="264" t="s">
        <v>10162</v>
      </c>
      <c r="G61" s="264" t="s">
        <v>10163</v>
      </c>
      <c r="H61" s="264" t="s">
        <v>10164</v>
      </c>
      <c r="I61" s="264" t="s">
        <v>2400</v>
      </c>
      <c r="J61" s="264" t="s">
        <v>10166</v>
      </c>
      <c r="K61" s="264" t="s">
        <v>10164</v>
      </c>
      <c r="L61" s="264" t="s">
        <v>10153</v>
      </c>
      <c r="M61" s="264" t="s">
        <v>41</v>
      </c>
      <c r="N61" s="264"/>
    </row>
    <row r="62" spans="1:14" ht="14.4">
      <c r="A62" s="264" t="s">
        <v>9850</v>
      </c>
      <c r="B62" s="264" t="s">
        <v>10146</v>
      </c>
      <c r="C62" s="264" t="s">
        <v>85</v>
      </c>
      <c r="D62" s="254" t="s">
        <v>86</v>
      </c>
      <c r="E62" s="266"/>
      <c r="F62" s="264" t="s">
        <v>10170</v>
      </c>
      <c r="G62" s="264" t="s">
        <v>10172</v>
      </c>
      <c r="H62" s="264" t="s">
        <v>10173</v>
      </c>
      <c r="I62" s="264" t="s">
        <v>887</v>
      </c>
      <c r="J62" s="264" t="s">
        <v>10174</v>
      </c>
      <c r="K62" s="264" t="s">
        <v>10173</v>
      </c>
      <c r="L62" s="264" t="s">
        <v>10153</v>
      </c>
      <c r="M62" s="264" t="s">
        <v>41</v>
      </c>
      <c r="N62" s="264"/>
    </row>
    <row r="63" spans="1:14" ht="14.4">
      <c r="A63" s="264" t="s">
        <v>9850</v>
      </c>
      <c r="B63" s="264" t="s">
        <v>10146</v>
      </c>
      <c r="C63" s="264" t="s">
        <v>85</v>
      </c>
      <c r="D63" s="254" t="s">
        <v>86</v>
      </c>
      <c r="E63" s="266"/>
      <c r="F63" s="264" t="s">
        <v>10175</v>
      </c>
      <c r="G63" s="264" t="s">
        <v>10176</v>
      </c>
      <c r="H63" s="264" t="s">
        <v>10177</v>
      </c>
      <c r="I63" s="264" t="s">
        <v>887</v>
      </c>
      <c r="J63" s="264" t="s">
        <v>10178</v>
      </c>
      <c r="K63" s="264" t="s">
        <v>10177</v>
      </c>
      <c r="L63" s="264" t="s">
        <v>10153</v>
      </c>
      <c r="M63" s="264" t="s">
        <v>41</v>
      </c>
      <c r="N63" s="264"/>
    </row>
    <row r="64" spans="1:14" ht="14.4">
      <c r="A64" s="264" t="s">
        <v>9850</v>
      </c>
      <c r="B64" s="264" t="s">
        <v>10146</v>
      </c>
      <c r="C64" s="264" t="s">
        <v>85</v>
      </c>
      <c r="D64" s="254" t="s">
        <v>86</v>
      </c>
      <c r="E64" s="266"/>
      <c r="F64" s="264" t="s">
        <v>10181</v>
      </c>
      <c r="G64" s="264" t="s">
        <v>10182</v>
      </c>
      <c r="H64" s="264" t="s">
        <v>10183</v>
      </c>
      <c r="I64" s="264" t="s">
        <v>1610</v>
      </c>
      <c r="J64" s="264" t="s">
        <v>10184</v>
      </c>
      <c r="K64" s="264" t="s">
        <v>10186</v>
      </c>
      <c r="L64" s="264" t="s">
        <v>10153</v>
      </c>
      <c r="M64" s="264" t="s">
        <v>41</v>
      </c>
      <c r="N64" s="264"/>
    </row>
    <row r="65" spans="1:14" ht="14.4">
      <c r="A65" s="264" t="s">
        <v>9850</v>
      </c>
      <c r="B65" s="264" t="s">
        <v>10146</v>
      </c>
      <c r="C65" s="264" t="s">
        <v>85</v>
      </c>
      <c r="D65" s="254" t="s">
        <v>86</v>
      </c>
      <c r="E65" s="266"/>
      <c r="F65" s="264" t="s">
        <v>10187</v>
      </c>
      <c r="G65" s="264" t="s">
        <v>10188</v>
      </c>
      <c r="H65" s="264" t="s">
        <v>10189</v>
      </c>
      <c r="I65" s="264" t="s">
        <v>1610</v>
      </c>
      <c r="J65" s="264" t="s">
        <v>10190</v>
      </c>
      <c r="K65" s="264" t="s">
        <v>10191</v>
      </c>
      <c r="L65" s="264" t="s">
        <v>10153</v>
      </c>
      <c r="M65" s="264" t="s">
        <v>41</v>
      </c>
      <c r="N65" s="264"/>
    </row>
    <row r="66" spans="1:14" ht="14.4">
      <c r="A66" s="264" t="s">
        <v>9850</v>
      </c>
      <c r="B66" s="264" t="s">
        <v>10146</v>
      </c>
      <c r="C66" s="264" t="s">
        <v>85</v>
      </c>
      <c r="D66" s="254" t="s">
        <v>86</v>
      </c>
      <c r="E66" s="266"/>
      <c r="F66" s="264" t="s">
        <v>10192</v>
      </c>
      <c r="G66" s="264" t="s">
        <v>10188</v>
      </c>
      <c r="H66" s="264" t="s">
        <v>10193</v>
      </c>
      <c r="I66" s="264" t="s">
        <v>6319</v>
      </c>
      <c r="J66" s="264" t="s">
        <v>10194</v>
      </c>
      <c r="K66" s="264" t="s">
        <v>10195</v>
      </c>
      <c r="L66" s="264" t="s">
        <v>10153</v>
      </c>
      <c r="M66" s="264" t="s">
        <v>41</v>
      </c>
      <c r="N66" s="264"/>
    </row>
    <row r="67" spans="1:14" ht="14.4">
      <c r="A67" s="264" t="s">
        <v>9850</v>
      </c>
      <c r="B67" s="264" t="s">
        <v>10146</v>
      </c>
      <c r="C67" s="264" t="s">
        <v>85</v>
      </c>
      <c r="D67" s="254" t="s">
        <v>86</v>
      </c>
      <c r="E67" s="266"/>
      <c r="F67" s="264" t="s">
        <v>10197</v>
      </c>
      <c r="G67" s="264" t="s">
        <v>10199</v>
      </c>
      <c r="H67" s="264" t="s">
        <v>10200</v>
      </c>
      <c r="I67" s="264" t="s">
        <v>434</v>
      </c>
      <c r="J67" s="264" t="s">
        <v>10201</v>
      </c>
      <c r="K67" s="264" t="s">
        <v>10202</v>
      </c>
      <c r="L67" s="264" t="s">
        <v>10153</v>
      </c>
      <c r="M67" s="264" t="s">
        <v>41</v>
      </c>
      <c r="N67" s="264"/>
    </row>
    <row r="68" spans="1:14" ht="14.4">
      <c r="A68" s="264" t="s">
        <v>9850</v>
      </c>
      <c r="B68" s="264" t="s">
        <v>10146</v>
      </c>
      <c r="C68" s="264" t="s">
        <v>85</v>
      </c>
      <c r="D68" s="254" t="s">
        <v>86</v>
      </c>
      <c r="E68" s="266"/>
      <c r="F68" s="264" t="s">
        <v>10204</v>
      </c>
      <c r="G68" s="264" t="s">
        <v>10205</v>
      </c>
      <c r="H68" s="264" t="s">
        <v>10206</v>
      </c>
      <c r="I68" s="264" t="s">
        <v>521</v>
      </c>
      <c r="J68" s="264" t="s">
        <v>10207</v>
      </c>
      <c r="K68" s="264" t="s">
        <v>10206</v>
      </c>
      <c r="L68" s="264" t="s">
        <v>10153</v>
      </c>
      <c r="M68" s="264" t="s">
        <v>41</v>
      </c>
      <c r="N68" s="264"/>
    </row>
    <row r="69" spans="1:14" ht="14.4">
      <c r="A69" s="264" t="s">
        <v>9850</v>
      </c>
      <c r="B69" s="264" t="s">
        <v>10146</v>
      </c>
      <c r="C69" s="264" t="s">
        <v>85</v>
      </c>
      <c r="D69" s="254" t="s">
        <v>86</v>
      </c>
      <c r="E69" s="266"/>
      <c r="F69" s="264" t="s">
        <v>10208</v>
      </c>
      <c r="G69" s="264" t="s">
        <v>10209</v>
      </c>
      <c r="H69" s="264" t="s">
        <v>10210</v>
      </c>
      <c r="I69" s="264" t="s">
        <v>898</v>
      </c>
      <c r="J69" s="264" t="s">
        <v>10211</v>
      </c>
      <c r="K69" s="264" t="s">
        <v>10212</v>
      </c>
      <c r="L69" s="264" t="s">
        <v>10153</v>
      </c>
      <c r="M69" s="264" t="s">
        <v>41</v>
      </c>
      <c r="N69" s="264"/>
    </row>
    <row r="70" spans="1:14" ht="14.4">
      <c r="A70" s="264" t="s">
        <v>9850</v>
      </c>
      <c r="B70" s="264" t="s">
        <v>10146</v>
      </c>
      <c r="C70" s="264" t="s">
        <v>85</v>
      </c>
      <c r="D70" s="254" t="s">
        <v>86</v>
      </c>
      <c r="E70" s="266"/>
      <c r="F70" s="264" t="s">
        <v>10214</v>
      </c>
      <c r="G70" s="264" t="s">
        <v>10216</v>
      </c>
      <c r="H70" s="264" t="s">
        <v>10217</v>
      </c>
      <c r="I70" s="264" t="s">
        <v>689</v>
      </c>
      <c r="J70" s="264" t="s">
        <v>10218</v>
      </c>
      <c r="K70" s="264" t="s">
        <v>10217</v>
      </c>
      <c r="L70" s="264" t="s">
        <v>10153</v>
      </c>
      <c r="M70" s="264" t="s">
        <v>41</v>
      </c>
      <c r="N70" s="264"/>
    </row>
    <row r="71" spans="1:14" ht="14.4">
      <c r="A71" s="264" t="s">
        <v>9850</v>
      </c>
      <c r="B71" s="264" t="s">
        <v>10146</v>
      </c>
      <c r="C71" s="264" t="s">
        <v>233</v>
      </c>
      <c r="D71" s="267" t="s">
        <v>298</v>
      </c>
      <c r="E71" s="268"/>
      <c r="F71" s="264" t="s">
        <v>1250</v>
      </c>
      <c r="G71" s="264" t="s">
        <v>10220</v>
      </c>
      <c r="H71" s="264" t="s">
        <v>10221</v>
      </c>
      <c r="I71" s="264" t="s">
        <v>521</v>
      </c>
      <c r="J71" s="264" t="s">
        <v>10222</v>
      </c>
      <c r="K71" s="264" t="s">
        <v>10221</v>
      </c>
      <c r="L71" s="264" t="s">
        <v>10153</v>
      </c>
      <c r="M71" s="264" t="s">
        <v>41</v>
      </c>
      <c r="N71" s="264"/>
    </row>
    <row r="72" spans="1:14" ht="14.4">
      <c r="A72" s="264" t="s">
        <v>9850</v>
      </c>
      <c r="B72" s="264" t="s">
        <v>10146</v>
      </c>
      <c r="C72" s="264" t="s">
        <v>233</v>
      </c>
      <c r="D72" s="267" t="s">
        <v>298</v>
      </c>
      <c r="E72" s="268"/>
      <c r="F72" s="264" t="s">
        <v>4843</v>
      </c>
      <c r="G72" s="264" t="s">
        <v>10223</v>
      </c>
      <c r="H72" s="264" t="s">
        <v>10210</v>
      </c>
      <c r="I72" s="264" t="s">
        <v>898</v>
      </c>
      <c r="J72" s="264" t="s">
        <v>10224</v>
      </c>
      <c r="K72" s="264" t="s">
        <v>10225</v>
      </c>
      <c r="L72" s="264" t="s">
        <v>10153</v>
      </c>
      <c r="M72" s="264" t="s">
        <v>41</v>
      </c>
      <c r="N72" s="264"/>
    </row>
    <row r="73" spans="1:14" ht="14.4">
      <c r="A73" s="264" t="s">
        <v>9850</v>
      </c>
      <c r="B73" s="264" t="s">
        <v>10146</v>
      </c>
      <c r="C73" s="264" t="s">
        <v>233</v>
      </c>
      <c r="D73" s="267" t="s">
        <v>298</v>
      </c>
      <c r="E73" s="268"/>
      <c r="F73" s="264" t="s">
        <v>5013</v>
      </c>
      <c r="G73" s="264" t="s">
        <v>10228</v>
      </c>
      <c r="H73" s="264" t="s">
        <v>10210</v>
      </c>
      <c r="I73" s="264" t="s">
        <v>521</v>
      </c>
      <c r="J73" s="264" t="s">
        <v>10229</v>
      </c>
      <c r="K73" s="264" t="s">
        <v>10210</v>
      </c>
      <c r="L73" s="264" t="s">
        <v>10153</v>
      </c>
      <c r="M73" s="264" t="s">
        <v>41</v>
      </c>
      <c r="N73" s="264"/>
    </row>
    <row r="74" spans="1:14" ht="14.4">
      <c r="A74" s="264" t="s">
        <v>9850</v>
      </c>
      <c r="B74" s="264" t="s">
        <v>10146</v>
      </c>
      <c r="C74" s="264" t="s">
        <v>233</v>
      </c>
      <c r="D74" s="267" t="s">
        <v>298</v>
      </c>
      <c r="E74" s="268"/>
      <c r="F74" s="264" t="s">
        <v>4834</v>
      </c>
      <c r="G74" s="264" t="s">
        <v>10232</v>
      </c>
      <c r="H74" s="264" t="s">
        <v>10233</v>
      </c>
      <c r="I74" s="264" t="s">
        <v>521</v>
      </c>
      <c r="J74" s="264" t="s">
        <v>10234</v>
      </c>
      <c r="K74" s="264" t="s">
        <v>10233</v>
      </c>
      <c r="L74" s="264" t="s">
        <v>10153</v>
      </c>
      <c r="M74" s="264" t="s">
        <v>41</v>
      </c>
      <c r="N74" s="264"/>
    </row>
    <row r="75" spans="1:14" ht="14.4">
      <c r="A75" s="264" t="s">
        <v>9850</v>
      </c>
      <c r="B75" s="264" t="s">
        <v>10146</v>
      </c>
      <c r="C75" s="264" t="s">
        <v>233</v>
      </c>
      <c r="D75" s="267" t="s">
        <v>298</v>
      </c>
      <c r="E75" s="268"/>
      <c r="F75" s="264" t="s">
        <v>4857</v>
      </c>
      <c r="G75" s="264" t="s">
        <v>10235</v>
      </c>
      <c r="H75" s="264" t="s">
        <v>10233</v>
      </c>
      <c r="I75" s="264" t="s">
        <v>521</v>
      </c>
      <c r="J75" s="264" t="s">
        <v>10236</v>
      </c>
      <c r="K75" s="264" t="s">
        <v>10237</v>
      </c>
      <c r="L75" s="264" t="s">
        <v>10153</v>
      </c>
      <c r="M75" s="264" t="s">
        <v>41</v>
      </c>
      <c r="N75" s="264"/>
    </row>
    <row r="76" spans="1:14" ht="14.4">
      <c r="A76" s="264" t="s">
        <v>9850</v>
      </c>
      <c r="B76" s="264" t="s">
        <v>10146</v>
      </c>
      <c r="C76" s="264" t="s">
        <v>220</v>
      </c>
      <c r="D76" s="267" t="s">
        <v>234</v>
      </c>
      <c r="E76" s="268"/>
      <c r="F76" s="26" t="s">
        <v>10238</v>
      </c>
      <c r="G76" s="264"/>
      <c r="H76" s="264" t="s">
        <v>10149</v>
      </c>
      <c r="I76" s="264" t="s">
        <v>2790</v>
      </c>
      <c r="J76" s="264" t="s">
        <v>10239</v>
      </c>
      <c r="K76" s="264" t="s">
        <v>10240</v>
      </c>
      <c r="L76" s="264" t="s">
        <v>10153</v>
      </c>
      <c r="M76" s="264" t="s">
        <v>41</v>
      </c>
      <c r="N76" s="264"/>
    </row>
    <row r="77" spans="1:14" ht="14.4">
      <c r="A77" s="264" t="s">
        <v>9850</v>
      </c>
      <c r="B77" s="264" t="s">
        <v>10146</v>
      </c>
      <c r="C77" s="264" t="s">
        <v>220</v>
      </c>
      <c r="D77" s="267" t="s">
        <v>234</v>
      </c>
      <c r="E77" s="268"/>
      <c r="F77" s="26" t="s">
        <v>10242</v>
      </c>
      <c r="G77" s="264"/>
      <c r="H77" s="264" t="s">
        <v>10243</v>
      </c>
      <c r="I77" s="264" t="s">
        <v>6349</v>
      </c>
      <c r="J77" s="264" t="s">
        <v>10245</v>
      </c>
      <c r="K77" s="264" t="s">
        <v>10246</v>
      </c>
      <c r="L77" s="264" t="s">
        <v>10153</v>
      </c>
      <c r="M77" s="264" t="s">
        <v>41</v>
      </c>
      <c r="N77" s="264"/>
    </row>
    <row r="78" spans="1:14" ht="14.4">
      <c r="A78" s="264" t="s">
        <v>9850</v>
      </c>
      <c r="B78" s="264" t="s">
        <v>10146</v>
      </c>
      <c r="C78" s="264" t="s">
        <v>220</v>
      </c>
      <c r="D78" s="267" t="s">
        <v>234</v>
      </c>
      <c r="E78" s="268"/>
      <c r="F78" s="26" t="s">
        <v>10248</v>
      </c>
      <c r="G78" s="264"/>
      <c r="H78" s="264" t="s">
        <v>10243</v>
      </c>
      <c r="I78" s="264" t="s">
        <v>6349</v>
      </c>
      <c r="J78" s="264" t="s">
        <v>10250</v>
      </c>
      <c r="K78" s="264" t="s">
        <v>10251</v>
      </c>
      <c r="L78" s="264" t="s">
        <v>10153</v>
      </c>
      <c r="M78" s="264" t="s">
        <v>41</v>
      </c>
      <c r="N78" s="264"/>
    </row>
    <row r="79" spans="1:14" ht="14.4">
      <c r="A79" s="264" t="s">
        <v>9850</v>
      </c>
      <c r="B79" s="264" t="s">
        <v>10146</v>
      </c>
      <c r="C79" s="264" t="s">
        <v>220</v>
      </c>
      <c r="D79" s="267" t="s">
        <v>234</v>
      </c>
      <c r="E79" s="268"/>
      <c r="F79" s="26" t="s">
        <v>10252</v>
      </c>
      <c r="G79" s="264"/>
      <c r="H79" s="264" t="s">
        <v>10183</v>
      </c>
      <c r="I79" s="264" t="s">
        <v>1610</v>
      </c>
      <c r="J79" s="264" t="s">
        <v>10253</v>
      </c>
      <c r="K79" s="264" t="s">
        <v>10254</v>
      </c>
      <c r="L79" s="264" t="s">
        <v>10153</v>
      </c>
      <c r="M79" s="264" t="s">
        <v>41</v>
      </c>
      <c r="N79" s="264"/>
    </row>
    <row r="80" spans="1:14" ht="14.4">
      <c r="A80" s="264" t="s">
        <v>9850</v>
      </c>
      <c r="B80" s="264" t="s">
        <v>10146</v>
      </c>
      <c r="C80" s="264" t="s">
        <v>220</v>
      </c>
      <c r="D80" s="267" t="s">
        <v>234</v>
      </c>
      <c r="E80" s="268"/>
      <c r="F80" s="26" t="s">
        <v>10257</v>
      </c>
      <c r="G80" s="264"/>
      <c r="H80" s="264" t="s">
        <v>10189</v>
      </c>
      <c r="I80" s="264" t="s">
        <v>1610</v>
      </c>
      <c r="J80" s="264" t="s">
        <v>10259</v>
      </c>
      <c r="K80" s="264" t="s">
        <v>10189</v>
      </c>
      <c r="L80" s="264" t="s">
        <v>10153</v>
      </c>
      <c r="M80" s="264" t="s">
        <v>41</v>
      </c>
      <c r="N80" s="264"/>
    </row>
    <row r="81" spans="1:14" ht="14.4">
      <c r="A81" s="264" t="s">
        <v>9850</v>
      </c>
      <c r="B81" s="264" t="s">
        <v>10146</v>
      </c>
      <c r="C81" s="264" t="s">
        <v>275</v>
      </c>
      <c r="D81" s="254" t="s">
        <v>543</v>
      </c>
      <c r="E81" s="266"/>
      <c r="F81" s="31" t="s">
        <v>6567</v>
      </c>
      <c r="G81" s="264"/>
      <c r="H81" s="264" t="s">
        <v>10200</v>
      </c>
      <c r="I81" s="264" t="s">
        <v>434</v>
      </c>
      <c r="J81" s="264" t="s">
        <v>10261</v>
      </c>
      <c r="K81" s="264" t="s">
        <v>10200</v>
      </c>
      <c r="L81" s="264" t="s">
        <v>10153</v>
      </c>
      <c r="M81" s="264" t="s">
        <v>41</v>
      </c>
      <c r="N81" s="264"/>
    </row>
    <row r="82" spans="1:14" ht="14.4">
      <c r="A82" s="264" t="s">
        <v>9850</v>
      </c>
      <c r="B82" s="264" t="s">
        <v>10146</v>
      </c>
      <c r="C82" s="264" t="s">
        <v>296</v>
      </c>
      <c r="D82" s="254" t="s">
        <v>954</v>
      </c>
      <c r="E82" s="266"/>
      <c r="F82" s="270" t="s">
        <v>10262</v>
      </c>
      <c r="G82" s="264"/>
      <c r="H82" s="264" t="s">
        <v>10006</v>
      </c>
      <c r="I82" s="264" t="s">
        <v>3906</v>
      </c>
      <c r="J82" s="264" t="s">
        <v>10007</v>
      </c>
      <c r="K82" s="264"/>
      <c r="L82" s="264" t="s">
        <v>10153</v>
      </c>
      <c r="M82" s="264" t="s">
        <v>41</v>
      </c>
      <c r="N82" s="264"/>
    </row>
    <row r="83" spans="1:14" ht="14.4">
      <c r="A83" s="264" t="s">
        <v>9850</v>
      </c>
      <c r="B83" s="264" t="s">
        <v>10263</v>
      </c>
      <c r="C83" s="264" t="s">
        <v>85</v>
      </c>
      <c r="D83" s="254" t="s">
        <v>86</v>
      </c>
      <c r="E83" s="266"/>
      <c r="F83" s="264" t="s">
        <v>10264</v>
      </c>
      <c r="G83" s="264" t="s">
        <v>10265</v>
      </c>
      <c r="H83" s="264" t="s">
        <v>10267</v>
      </c>
      <c r="I83" s="264" t="s">
        <v>2400</v>
      </c>
      <c r="J83" s="264" t="s">
        <v>7901</v>
      </c>
      <c r="K83" s="264" t="s">
        <v>10269</v>
      </c>
      <c r="L83" s="264" t="s">
        <v>10269</v>
      </c>
      <c r="M83" s="264" t="s">
        <v>41</v>
      </c>
      <c r="N83" s="264"/>
    </row>
    <row r="84" spans="1:14" ht="14.4">
      <c r="A84" s="264" t="s">
        <v>9850</v>
      </c>
      <c r="B84" s="264" t="s">
        <v>10263</v>
      </c>
      <c r="C84" s="264" t="s">
        <v>85</v>
      </c>
      <c r="D84" s="254" t="s">
        <v>86</v>
      </c>
      <c r="E84" s="266"/>
      <c r="F84" s="264" t="s">
        <v>10271</v>
      </c>
      <c r="G84" s="264" t="s">
        <v>10272</v>
      </c>
      <c r="H84" s="264" t="s">
        <v>10273</v>
      </c>
      <c r="I84" s="264" t="s">
        <v>2400</v>
      </c>
      <c r="J84" s="264" t="s">
        <v>7905</v>
      </c>
      <c r="K84" s="264" t="s">
        <v>10274</v>
      </c>
      <c r="L84" s="264" t="s">
        <v>10274</v>
      </c>
      <c r="M84" s="264" t="s">
        <v>41</v>
      </c>
      <c r="N84" s="264"/>
    </row>
    <row r="85" spans="1:14" ht="14.4">
      <c r="A85" s="264" t="s">
        <v>9850</v>
      </c>
      <c r="B85" s="264" t="s">
        <v>10263</v>
      </c>
      <c r="C85" s="264" t="s">
        <v>85</v>
      </c>
      <c r="D85" s="254" t="s">
        <v>86</v>
      </c>
      <c r="E85" s="266"/>
      <c r="F85" s="264" t="s">
        <v>10275</v>
      </c>
      <c r="G85" s="264" t="s">
        <v>10277</v>
      </c>
      <c r="H85" s="264" t="s">
        <v>10279</v>
      </c>
      <c r="I85" s="264" t="s">
        <v>2400</v>
      </c>
      <c r="J85" s="264" t="s">
        <v>7910</v>
      </c>
      <c r="K85" s="264" t="s">
        <v>10280</v>
      </c>
      <c r="L85" s="264" t="s">
        <v>10280</v>
      </c>
      <c r="M85" s="264" t="s">
        <v>41</v>
      </c>
      <c r="N85" s="264"/>
    </row>
    <row r="86" spans="1:14" ht="14.4">
      <c r="A86" s="264" t="s">
        <v>9850</v>
      </c>
      <c r="B86" s="264" t="s">
        <v>10263</v>
      </c>
      <c r="C86" s="264" t="s">
        <v>85</v>
      </c>
      <c r="D86" s="254" t="s">
        <v>86</v>
      </c>
      <c r="E86" s="266"/>
      <c r="F86" s="264" t="s">
        <v>10282</v>
      </c>
      <c r="G86" s="264" t="s">
        <v>10283</v>
      </c>
      <c r="H86" s="264" t="s">
        <v>10284</v>
      </c>
      <c r="I86" s="264" t="s">
        <v>10285</v>
      </c>
      <c r="J86" s="264" t="s">
        <v>7917</v>
      </c>
      <c r="K86" s="264" t="s">
        <v>438</v>
      </c>
      <c r="L86" s="264" t="s">
        <v>10286</v>
      </c>
      <c r="M86" s="264" t="s">
        <v>41</v>
      </c>
      <c r="N86" s="264"/>
    </row>
    <row r="87" spans="1:14" ht="14.4">
      <c r="A87" s="264" t="s">
        <v>9850</v>
      </c>
      <c r="B87" s="264" t="s">
        <v>10263</v>
      </c>
      <c r="C87" s="264" t="s">
        <v>85</v>
      </c>
      <c r="D87" s="254" t="s">
        <v>86</v>
      </c>
      <c r="E87" s="266"/>
      <c r="F87" s="264" t="s">
        <v>10288</v>
      </c>
      <c r="G87" s="264" t="s">
        <v>10289</v>
      </c>
      <c r="H87" s="264" t="s">
        <v>10284</v>
      </c>
      <c r="I87" s="264" t="s">
        <v>10285</v>
      </c>
      <c r="J87" s="264" t="s">
        <v>7927</v>
      </c>
      <c r="K87" s="264" t="s">
        <v>438</v>
      </c>
      <c r="L87" s="264" t="s">
        <v>10286</v>
      </c>
      <c r="M87" s="264" t="s">
        <v>41</v>
      </c>
      <c r="N87" s="264"/>
    </row>
    <row r="88" spans="1:14" ht="14.4">
      <c r="A88" s="264" t="s">
        <v>9850</v>
      </c>
      <c r="B88" s="264" t="s">
        <v>10263</v>
      </c>
      <c r="C88" s="264" t="s">
        <v>85</v>
      </c>
      <c r="D88" s="254" t="s">
        <v>86</v>
      </c>
      <c r="E88" s="266"/>
      <c r="F88" s="264" t="s">
        <v>10291</v>
      </c>
      <c r="G88" s="264" t="s">
        <v>10292</v>
      </c>
      <c r="H88" s="264" t="s">
        <v>10284</v>
      </c>
      <c r="I88" s="264" t="s">
        <v>10285</v>
      </c>
      <c r="J88" s="264" t="s">
        <v>7934</v>
      </c>
      <c r="K88" s="264" t="s">
        <v>438</v>
      </c>
      <c r="L88" s="264" t="s">
        <v>10286</v>
      </c>
      <c r="M88" s="264" t="s">
        <v>41</v>
      </c>
      <c r="N88" s="264"/>
    </row>
    <row r="89" spans="1:14" ht="14.4">
      <c r="A89" s="264" t="s">
        <v>9850</v>
      </c>
      <c r="B89" s="264" t="s">
        <v>10263</v>
      </c>
      <c r="C89" s="264" t="s">
        <v>85</v>
      </c>
      <c r="D89" s="254" t="s">
        <v>86</v>
      </c>
      <c r="E89" s="266"/>
      <c r="F89" s="264" t="s">
        <v>10293</v>
      </c>
      <c r="G89" s="264" t="s">
        <v>10294</v>
      </c>
      <c r="H89" s="264" t="s">
        <v>10284</v>
      </c>
      <c r="I89" s="264" t="s">
        <v>10285</v>
      </c>
      <c r="J89" s="264" t="s">
        <v>7943</v>
      </c>
      <c r="K89" s="264" t="s">
        <v>438</v>
      </c>
      <c r="L89" s="264" t="s">
        <v>10286</v>
      </c>
      <c r="M89" s="264" t="s">
        <v>41</v>
      </c>
      <c r="N89" s="264"/>
    </row>
    <row r="90" spans="1:14" ht="14.4">
      <c r="A90" s="264" t="s">
        <v>9850</v>
      </c>
      <c r="B90" s="264" t="s">
        <v>10263</v>
      </c>
      <c r="C90" s="264" t="s">
        <v>85</v>
      </c>
      <c r="D90" s="254" t="s">
        <v>86</v>
      </c>
      <c r="E90" s="266"/>
      <c r="F90" s="264" t="s">
        <v>10298</v>
      </c>
      <c r="G90" s="264" t="s">
        <v>10299</v>
      </c>
      <c r="H90" s="264" t="s">
        <v>10300</v>
      </c>
      <c r="I90" s="264" t="s">
        <v>3573</v>
      </c>
      <c r="J90" s="264" t="s">
        <v>7952</v>
      </c>
      <c r="K90" s="264" t="s">
        <v>10301</v>
      </c>
      <c r="L90" s="264" t="s">
        <v>10302</v>
      </c>
      <c r="M90" s="264" t="s">
        <v>41</v>
      </c>
      <c r="N90" s="264"/>
    </row>
    <row r="91" spans="1:14" ht="14.4">
      <c r="A91" s="264" t="s">
        <v>9850</v>
      </c>
      <c r="B91" s="264" t="s">
        <v>10263</v>
      </c>
      <c r="C91" s="264" t="s">
        <v>85</v>
      </c>
      <c r="D91" s="254" t="s">
        <v>86</v>
      </c>
      <c r="E91" s="266"/>
      <c r="F91" s="264" t="s">
        <v>10303</v>
      </c>
      <c r="G91" s="264" t="s">
        <v>10304</v>
      </c>
      <c r="H91" s="264" t="s">
        <v>10300</v>
      </c>
      <c r="I91" s="264" t="s">
        <v>3573</v>
      </c>
      <c r="J91" s="264" t="s">
        <v>7960</v>
      </c>
      <c r="K91" s="264" t="s">
        <v>10301</v>
      </c>
      <c r="L91" s="264" t="s">
        <v>10302</v>
      </c>
      <c r="M91" s="264" t="s">
        <v>41</v>
      </c>
      <c r="N91" s="264"/>
    </row>
    <row r="92" spans="1:14" ht="14.4">
      <c r="A92" s="264" t="s">
        <v>9850</v>
      </c>
      <c r="B92" s="264" t="s">
        <v>10263</v>
      </c>
      <c r="C92" s="264" t="s">
        <v>85</v>
      </c>
      <c r="D92" s="254" t="s">
        <v>86</v>
      </c>
      <c r="E92" s="266"/>
      <c r="F92" s="264" t="s">
        <v>10308</v>
      </c>
      <c r="G92" s="264" t="s">
        <v>10309</v>
      </c>
      <c r="H92" s="264" t="s">
        <v>10300</v>
      </c>
      <c r="I92" s="264" t="s">
        <v>3573</v>
      </c>
      <c r="J92" s="264" t="s">
        <v>10310</v>
      </c>
      <c r="K92" s="264" t="s">
        <v>10301</v>
      </c>
      <c r="L92" s="264" t="s">
        <v>10302</v>
      </c>
      <c r="M92" s="264" t="s">
        <v>41</v>
      </c>
      <c r="N92" s="264"/>
    </row>
    <row r="93" spans="1:14" ht="14.4">
      <c r="A93" s="264" t="s">
        <v>9850</v>
      </c>
      <c r="B93" s="264" t="s">
        <v>10263</v>
      </c>
      <c r="C93" s="264" t="s">
        <v>85</v>
      </c>
      <c r="D93" s="254" t="s">
        <v>86</v>
      </c>
      <c r="E93" s="266"/>
      <c r="F93" s="264" t="s">
        <v>10311</v>
      </c>
      <c r="G93" s="264" t="s">
        <v>10312</v>
      </c>
      <c r="H93" s="264" t="s">
        <v>10313</v>
      </c>
      <c r="I93" s="264" t="s">
        <v>10314</v>
      </c>
      <c r="J93" s="264" t="s">
        <v>10315</v>
      </c>
      <c r="K93" s="264" t="s">
        <v>10301</v>
      </c>
      <c r="L93" s="264" t="s">
        <v>10317</v>
      </c>
      <c r="M93" s="264" t="s">
        <v>41</v>
      </c>
      <c r="N93" s="264"/>
    </row>
    <row r="94" spans="1:14" ht="14.4">
      <c r="A94" s="264" t="s">
        <v>9850</v>
      </c>
      <c r="B94" s="264" t="s">
        <v>10263</v>
      </c>
      <c r="C94" s="264" t="s">
        <v>85</v>
      </c>
      <c r="D94" s="254" t="s">
        <v>86</v>
      </c>
      <c r="E94" s="266"/>
      <c r="F94" s="264" t="s">
        <v>10319</v>
      </c>
      <c r="G94" s="264" t="s">
        <v>10320</v>
      </c>
      <c r="H94" s="264" t="s">
        <v>10321</v>
      </c>
      <c r="I94" s="264" t="s">
        <v>130</v>
      </c>
      <c r="J94" s="264" t="s">
        <v>10322</v>
      </c>
      <c r="K94" s="264" t="s">
        <v>10323</v>
      </c>
      <c r="L94" s="264" t="s">
        <v>2166</v>
      </c>
      <c r="M94" s="264" t="s">
        <v>41</v>
      </c>
      <c r="N94" s="264"/>
    </row>
    <row r="95" spans="1:14" ht="14.4">
      <c r="A95" s="264" t="s">
        <v>9850</v>
      </c>
      <c r="B95" s="264" t="s">
        <v>10263</v>
      </c>
      <c r="C95" s="264" t="s">
        <v>233</v>
      </c>
      <c r="D95" s="267" t="s">
        <v>298</v>
      </c>
      <c r="E95" s="268"/>
      <c r="F95" s="264" t="s">
        <v>10324</v>
      </c>
      <c r="G95" s="264" t="s">
        <v>10325</v>
      </c>
      <c r="H95" s="264" t="s">
        <v>10300</v>
      </c>
      <c r="I95" s="264" t="s">
        <v>3573</v>
      </c>
      <c r="J95" s="264" t="s">
        <v>6597</v>
      </c>
      <c r="K95" s="264" t="s">
        <v>10301</v>
      </c>
      <c r="L95" s="264" t="s">
        <v>10302</v>
      </c>
      <c r="M95" s="264" t="s">
        <v>41</v>
      </c>
      <c r="N95" s="264"/>
    </row>
    <row r="96" spans="1:14" ht="14.4">
      <c r="A96" s="264" t="s">
        <v>9850</v>
      </c>
      <c r="B96" s="264" t="s">
        <v>10263</v>
      </c>
      <c r="C96" s="264" t="s">
        <v>233</v>
      </c>
      <c r="D96" s="267" t="s">
        <v>298</v>
      </c>
      <c r="E96" s="268"/>
      <c r="F96" s="264" t="s">
        <v>10327</v>
      </c>
      <c r="G96" s="264" t="s">
        <v>10328</v>
      </c>
      <c r="H96" s="264" t="s">
        <v>10284</v>
      </c>
      <c r="I96" s="264" t="s">
        <v>10285</v>
      </c>
      <c r="J96" s="264" t="s">
        <v>6606</v>
      </c>
      <c r="K96" s="264" t="s">
        <v>438</v>
      </c>
      <c r="L96" s="264" t="s">
        <v>10302</v>
      </c>
      <c r="M96" s="264" t="s">
        <v>41</v>
      </c>
      <c r="N96" s="264"/>
    </row>
    <row r="97" spans="1:14" ht="14.4">
      <c r="A97" s="264" t="s">
        <v>9850</v>
      </c>
      <c r="B97" s="264" t="s">
        <v>10263</v>
      </c>
      <c r="C97" s="264" t="s">
        <v>275</v>
      </c>
      <c r="D97" s="275" t="s">
        <v>543</v>
      </c>
      <c r="E97" s="119"/>
      <c r="F97" s="31" t="s">
        <v>10329</v>
      </c>
      <c r="G97" s="264"/>
      <c r="H97" s="264" t="s">
        <v>10284</v>
      </c>
      <c r="I97" s="264" t="s">
        <v>10285</v>
      </c>
      <c r="J97" s="264" t="s">
        <v>6619</v>
      </c>
      <c r="K97" s="264" t="s">
        <v>438</v>
      </c>
      <c r="L97" s="264" t="s">
        <v>10330</v>
      </c>
      <c r="M97" s="264" t="s">
        <v>41</v>
      </c>
      <c r="N97" s="264"/>
    </row>
    <row r="98" spans="1:14" ht="14.4">
      <c r="A98" s="264" t="s">
        <v>9850</v>
      </c>
      <c r="B98" s="264" t="s">
        <v>10263</v>
      </c>
      <c r="C98" s="264" t="s">
        <v>220</v>
      </c>
      <c r="D98" s="267" t="s">
        <v>234</v>
      </c>
      <c r="E98" s="268"/>
      <c r="F98" s="26" t="s">
        <v>10332</v>
      </c>
      <c r="G98" s="264"/>
      <c r="H98" s="264" t="s">
        <v>10267</v>
      </c>
      <c r="I98" s="264" t="s">
        <v>10333</v>
      </c>
      <c r="J98" s="264" t="s">
        <v>10334</v>
      </c>
      <c r="K98" s="264" t="s">
        <v>438</v>
      </c>
      <c r="L98" s="264" t="s">
        <v>10330</v>
      </c>
      <c r="M98" s="264" t="s">
        <v>41</v>
      </c>
      <c r="N98" s="264"/>
    </row>
    <row r="99" spans="1:14" ht="14.4">
      <c r="A99" s="264" t="s">
        <v>9850</v>
      </c>
      <c r="B99" s="264" t="s">
        <v>10263</v>
      </c>
      <c r="C99" s="264" t="s">
        <v>220</v>
      </c>
      <c r="D99" s="267" t="s">
        <v>234</v>
      </c>
      <c r="E99" s="268"/>
      <c r="F99" s="26" t="s">
        <v>10332</v>
      </c>
      <c r="G99" s="264"/>
      <c r="H99" s="264" t="s">
        <v>10267</v>
      </c>
      <c r="I99" s="264" t="s">
        <v>10333</v>
      </c>
      <c r="J99" s="264" t="s">
        <v>10335</v>
      </c>
      <c r="K99" s="264" t="s">
        <v>438</v>
      </c>
      <c r="L99" s="264" t="s">
        <v>10330</v>
      </c>
      <c r="M99" s="264" t="s">
        <v>41</v>
      </c>
      <c r="N99" s="264"/>
    </row>
    <row r="100" spans="1:14" ht="14.4">
      <c r="A100" s="264" t="s">
        <v>9850</v>
      </c>
      <c r="B100" s="264" t="s">
        <v>10263</v>
      </c>
      <c r="C100" s="264" t="s">
        <v>220</v>
      </c>
      <c r="D100" s="267" t="s">
        <v>234</v>
      </c>
      <c r="E100" s="268"/>
      <c r="F100" s="26" t="s">
        <v>10337</v>
      </c>
      <c r="G100" s="264"/>
      <c r="H100" s="264" t="s">
        <v>10267</v>
      </c>
      <c r="I100" s="264" t="s">
        <v>10333</v>
      </c>
      <c r="J100" s="264" t="s">
        <v>10338</v>
      </c>
      <c r="K100" s="264" t="s">
        <v>438</v>
      </c>
      <c r="L100" s="264" t="s">
        <v>10330</v>
      </c>
      <c r="M100" s="264" t="s">
        <v>41</v>
      </c>
      <c r="N100" s="264"/>
    </row>
    <row r="101" spans="1:14" ht="14.4">
      <c r="A101" s="264" t="s">
        <v>9850</v>
      </c>
      <c r="B101" s="264" t="s">
        <v>10263</v>
      </c>
      <c r="C101" s="264" t="s">
        <v>220</v>
      </c>
      <c r="D101" s="267" t="s">
        <v>234</v>
      </c>
      <c r="E101" s="268"/>
      <c r="F101" s="26" t="s">
        <v>10340</v>
      </c>
      <c r="G101" s="264"/>
      <c r="H101" s="264" t="s">
        <v>10267</v>
      </c>
      <c r="I101" s="264" t="s">
        <v>10333</v>
      </c>
      <c r="J101" s="264" t="s">
        <v>10341</v>
      </c>
      <c r="K101" s="264" t="s">
        <v>438</v>
      </c>
      <c r="L101" s="264" t="s">
        <v>10330</v>
      </c>
      <c r="M101" s="264" t="s">
        <v>41</v>
      </c>
      <c r="N101" s="264"/>
    </row>
    <row r="102" spans="1:14" ht="14.4">
      <c r="A102" s="264" t="s">
        <v>9850</v>
      </c>
      <c r="B102" s="264" t="s">
        <v>10263</v>
      </c>
      <c r="C102" s="264" t="s">
        <v>296</v>
      </c>
      <c r="D102" s="254" t="s">
        <v>954</v>
      </c>
      <c r="E102" s="266"/>
      <c r="F102" s="270" t="s">
        <v>10343</v>
      </c>
      <c r="G102" s="264"/>
      <c r="H102" s="264" t="s">
        <v>10006</v>
      </c>
      <c r="I102" s="264" t="s">
        <v>3906</v>
      </c>
      <c r="J102" s="264" t="s">
        <v>10007</v>
      </c>
      <c r="K102" s="264"/>
      <c r="L102" s="264" t="s">
        <v>10345</v>
      </c>
      <c r="M102" s="264" t="s">
        <v>41</v>
      </c>
      <c r="N102" s="264"/>
    </row>
    <row r="103" spans="1:14" ht="14.4">
      <c r="A103" s="264" t="s">
        <v>9850</v>
      </c>
      <c r="B103" s="264" t="s">
        <v>10348</v>
      </c>
      <c r="C103" s="264" t="s">
        <v>85</v>
      </c>
      <c r="D103" s="254" t="s">
        <v>86</v>
      </c>
      <c r="E103" s="266"/>
      <c r="F103" s="264" t="s">
        <v>10350</v>
      </c>
      <c r="G103" s="264" t="s">
        <v>10351</v>
      </c>
      <c r="H103" s="264" t="s">
        <v>10352</v>
      </c>
      <c r="I103" s="264" t="s">
        <v>2400</v>
      </c>
      <c r="J103" s="264" t="s">
        <v>10353</v>
      </c>
      <c r="K103" s="264" t="s">
        <v>10352</v>
      </c>
      <c r="L103" s="264" t="s">
        <v>10354</v>
      </c>
      <c r="M103" s="264" t="s">
        <v>41</v>
      </c>
      <c r="N103" s="264"/>
    </row>
    <row r="104" spans="1:14" ht="14.4">
      <c r="A104" s="264" t="s">
        <v>9850</v>
      </c>
      <c r="B104" s="264" t="s">
        <v>10348</v>
      </c>
      <c r="C104" s="264" t="s">
        <v>85</v>
      </c>
      <c r="D104" s="254" t="s">
        <v>86</v>
      </c>
      <c r="E104" s="266"/>
      <c r="F104" s="264" t="s">
        <v>10355</v>
      </c>
      <c r="G104" s="264" t="s">
        <v>10356</v>
      </c>
      <c r="H104" s="264" t="s">
        <v>10357</v>
      </c>
      <c r="I104" s="264" t="s">
        <v>3181</v>
      </c>
      <c r="J104" s="264" t="s">
        <v>10358</v>
      </c>
      <c r="K104" s="264" t="s">
        <v>10357</v>
      </c>
      <c r="L104" s="264" t="s">
        <v>10359</v>
      </c>
      <c r="M104" s="264" t="s">
        <v>41</v>
      </c>
      <c r="N104" s="264"/>
    </row>
    <row r="105" spans="1:14" ht="14.4">
      <c r="A105" s="264" t="s">
        <v>9850</v>
      </c>
      <c r="B105" s="264" t="s">
        <v>10348</v>
      </c>
      <c r="C105" s="264" t="s">
        <v>85</v>
      </c>
      <c r="D105" s="254" t="s">
        <v>86</v>
      </c>
      <c r="E105" s="266"/>
      <c r="F105" s="264" t="s">
        <v>10363</v>
      </c>
      <c r="G105" s="264" t="s">
        <v>10364</v>
      </c>
      <c r="H105" s="264" t="s">
        <v>10366</v>
      </c>
      <c r="I105" s="264" t="s">
        <v>7741</v>
      </c>
      <c r="J105" s="264" t="s">
        <v>10368</v>
      </c>
      <c r="K105" s="264" t="s">
        <v>10366</v>
      </c>
      <c r="L105" s="264" t="s">
        <v>10359</v>
      </c>
      <c r="M105" s="264" t="s">
        <v>41</v>
      </c>
      <c r="N105" s="264"/>
    </row>
    <row r="106" spans="1:14" ht="14.4">
      <c r="A106" s="264" t="s">
        <v>9850</v>
      </c>
      <c r="B106" s="264" t="s">
        <v>10348</v>
      </c>
      <c r="C106" s="264" t="s">
        <v>85</v>
      </c>
      <c r="D106" s="254" t="s">
        <v>86</v>
      </c>
      <c r="E106" s="266"/>
      <c r="F106" s="264" t="s">
        <v>10369</v>
      </c>
      <c r="G106" s="264" t="s">
        <v>10370</v>
      </c>
      <c r="H106" s="264" t="s">
        <v>10371</v>
      </c>
      <c r="I106" s="264" t="s">
        <v>2400</v>
      </c>
      <c r="J106" s="264" t="s">
        <v>10372</v>
      </c>
      <c r="K106" s="264" t="s">
        <v>10371</v>
      </c>
      <c r="L106" s="264" t="s">
        <v>10374</v>
      </c>
      <c r="M106" s="264" t="s">
        <v>41</v>
      </c>
      <c r="N106" s="264"/>
    </row>
    <row r="107" spans="1:14" ht="14.4">
      <c r="A107" s="264" t="s">
        <v>9850</v>
      </c>
      <c r="B107" s="264" t="s">
        <v>10348</v>
      </c>
      <c r="C107" s="264" t="s">
        <v>85</v>
      </c>
      <c r="D107" s="254" t="s">
        <v>86</v>
      </c>
      <c r="E107" s="266"/>
      <c r="F107" s="264" t="s">
        <v>10376</v>
      </c>
      <c r="G107" s="264" t="s">
        <v>10377</v>
      </c>
      <c r="H107" s="264" t="s">
        <v>10378</v>
      </c>
      <c r="I107" s="264" t="s">
        <v>2400</v>
      </c>
      <c r="J107" s="264" t="s">
        <v>10380</v>
      </c>
      <c r="K107" s="264" t="s">
        <v>10378</v>
      </c>
      <c r="L107" s="264" t="s">
        <v>10381</v>
      </c>
      <c r="M107" s="264" t="s">
        <v>41</v>
      </c>
      <c r="N107" s="264"/>
    </row>
    <row r="108" spans="1:14" ht="14.4">
      <c r="A108" s="264" t="s">
        <v>9850</v>
      </c>
      <c r="B108" s="264" t="s">
        <v>10348</v>
      </c>
      <c r="C108" s="264" t="s">
        <v>85</v>
      </c>
      <c r="D108" s="254" t="s">
        <v>86</v>
      </c>
      <c r="E108" s="266"/>
      <c r="F108" s="264" t="s">
        <v>10382</v>
      </c>
      <c r="G108" s="264" t="s">
        <v>10383</v>
      </c>
      <c r="H108" s="264" t="s">
        <v>10384</v>
      </c>
      <c r="I108" s="264" t="s">
        <v>2400</v>
      </c>
      <c r="J108" s="264" t="s">
        <v>10386</v>
      </c>
      <c r="K108" s="264" t="s">
        <v>10384</v>
      </c>
      <c r="L108" s="264" t="s">
        <v>10388</v>
      </c>
      <c r="M108" s="264" t="s">
        <v>41</v>
      </c>
      <c r="N108" s="264"/>
    </row>
    <row r="109" spans="1:14" ht="14.4">
      <c r="A109" s="264" t="s">
        <v>9850</v>
      </c>
      <c r="B109" s="264" t="s">
        <v>10348</v>
      </c>
      <c r="C109" s="264" t="s">
        <v>85</v>
      </c>
      <c r="D109" s="254" t="s">
        <v>86</v>
      </c>
      <c r="E109" s="266"/>
      <c r="F109" s="264" t="s">
        <v>10390</v>
      </c>
      <c r="G109" s="264" t="s">
        <v>10392</v>
      </c>
      <c r="H109" s="264" t="s">
        <v>10393</v>
      </c>
      <c r="I109" s="264" t="s">
        <v>2400</v>
      </c>
      <c r="J109" s="264" t="s">
        <v>10394</v>
      </c>
      <c r="K109" s="264" t="s">
        <v>10393</v>
      </c>
      <c r="L109" s="264" t="s">
        <v>10395</v>
      </c>
      <c r="M109" s="264" t="s">
        <v>41</v>
      </c>
      <c r="N109" s="264"/>
    </row>
    <row r="110" spans="1:14" ht="14.4">
      <c r="A110" s="264" t="s">
        <v>9850</v>
      </c>
      <c r="B110" s="264" t="s">
        <v>10348</v>
      </c>
      <c r="C110" s="264" t="s">
        <v>85</v>
      </c>
      <c r="D110" s="254" t="s">
        <v>86</v>
      </c>
      <c r="E110" s="266"/>
      <c r="F110" s="264" t="s">
        <v>10396</v>
      </c>
      <c r="G110" s="264" t="s">
        <v>10351</v>
      </c>
      <c r="H110" s="264" t="s">
        <v>10352</v>
      </c>
      <c r="I110" s="264" t="s">
        <v>2400</v>
      </c>
      <c r="J110" s="264" t="s">
        <v>10398</v>
      </c>
      <c r="K110" s="264" t="s">
        <v>10352</v>
      </c>
      <c r="L110" s="264" t="s">
        <v>10354</v>
      </c>
      <c r="M110" s="264" t="s">
        <v>41</v>
      </c>
      <c r="N110" s="264"/>
    </row>
    <row r="111" spans="1:14" ht="14.4">
      <c r="A111" s="264" t="s">
        <v>9850</v>
      </c>
      <c r="B111" s="264" t="s">
        <v>10348</v>
      </c>
      <c r="C111" s="264" t="s">
        <v>85</v>
      </c>
      <c r="D111" s="254" t="s">
        <v>86</v>
      </c>
      <c r="E111" s="266"/>
      <c r="F111" s="264" t="s">
        <v>10402</v>
      </c>
      <c r="G111" s="264" t="s">
        <v>10404</v>
      </c>
      <c r="H111" s="264" t="s">
        <v>10405</v>
      </c>
      <c r="I111" s="264" t="s">
        <v>2400</v>
      </c>
      <c r="J111" s="264" t="s">
        <v>10406</v>
      </c>
      <c r="K111" s="264" t="s">
        <v>10405</v>
      </c>
      <c r="L111" s="264" t="s">
        <v>10407</v>
      </c>
      <c r="M111" s="264" t="s">
        <v>41</v>
      </c>
      <c r="N111" s="264"/>
    </row>
    <row r="112" spans="1:14" ht="14.4">
      <c r="A112" s="264" t="s">
        <v>9850</v>
      </c>
      <c r="B112" s="264" t="s">
        <v>10348</v>
      </c>
      <c r="C112" s="264" t="s">
        <v>85</v>
      </c>
      <c r="D112" s="254" t="s">
        <v>86</v>
      </c>
      <c r="E112" s="266"/>
      <c r="F112" s="264" t="s">
        <v>10409</v>
      </c>
      <c r="G112" s="264" t="s">
        <v>10410</v>
      </c>
      <c r="H112" s="264" t="s">
        <v>10412</v>
      </c>
      <c r="I112" s="264" t="s">
        <v>2400</v>
      </c>
      <c r="J112" s="264" t="s">
        <v>10413</v>
      </c>
      <c r="K112" s="264" t="s">
        <v>10412</v>
      </c>
      <c r="L112" s="264" t="s">
        <v>10415</v>
      </c>
      <c r="M112" s="264" t="s">
        <v>41</v>
      </c>
      <c r="N112" s="264"/>
    </row>
    <row r="113" spans="1:14" ht="14.4">
      <c r="A113" s="264" t="s">
        <v>9850</v>
      </c>
      <c r="B113" s="264" t="s">
        <v>10348</v>
      </c>
      <c r="C113" s="264" t="s">
        <v>85</v>
      </c>
      <c r="D113" s="254" t="s">
        <v>86</v>
      </c>
      <c r="E113" s="266"/>
      <c r="F113" s="264" t="s">
        <v>10416</v>
      </c>
      <c r="G113" s="264" t="s">
        <v>10417</v>
      </c>
      <c r="H113" s="264" t="s">
        <v>10418</v>
      </c>
      <c r="I113" s="264" t="s">
        <v>2400</v>
      </c>
      <c r="J113" s="264" t="s">
        <v>10419</v>
      </c>
      <c r="K113" s="264" t="s">
        <v>10418</v>
      </c>
      <c r="L113" s="264" t="s">
        <v>10420</v>
      </c>
      <c r="M113" s="264" t="s">
        <v>41</v>
      </c>
      <c r="N113" s="264"/>
    </row>
    <row r="114" spans="1:14" ht="14.4">
      <c r="A114" s="264" t="s">
        <v>9850</v>
      </c>
      <c r="B114" s="264" t="s">
        <v>10348</v>
      </c>
      <c r="C114" s="264" t="s">
        <v>85</v>
      </c>
      <c r="D114" s="254" t="s">
        <v>86</v>
      </c>
      <c r="E114" s="266"/>
      <c r="F114" s="264" t="s">
        <v>10421</v>
      </c>
      <c r="G114" s="264" t="s">
        <v>10422</v>
      </c>
      <c r="H114" s="264" t="s">
        <v>10423</v>
      </c>
      <c r="I114" s="264" t="s">
        <v>2400</v>
      </c>
      <c r="J114" s="264" t="s">
        <v>10424</v>
      </c>
      <c r="K114" s="264" t="s">
        <v>10423</v>
      </c>
      <c r="L114" s="264" t="s">
        <v>10426</v>
      </c>
      <c r="M114" s="264" t="s">
        <v>41</v>
      </c>
      <c r="N114" s="264"/>
    </row>
    <row r="115" spans="1:14" ht="14.4">
      <c r="A115" s="264" t="s">
        <v>9850</v>
      </c>
      <c r="B115" s="264" t="s">
        <v>10348</v>
      </c>
      <c r="C115" s="264" t="s">
        <v>85</v>
      </c>
      <c r="D115" s="254" t="s">
        <v>86</v>
      </c>
      <c r="E115" s="266"/>
      <c r="F115" s="264" t="s">
        <v>10429</v>
      </c>
      <c r="G115" s="264" t="s">
        <v>10430</v>
      </c>
      <c r="H115" s="264" t="s">
        <v>10432</v>
      </c>
      <c r="I115" s="264" t="s">
        <v>2400</v>
      </c>
      <c r="J115" s="264" t="s">
        <v>10433</v>
      </c>
      <c r="K115" s="264" t="s">
        <v>10432</v>
      </c>
      <c r="L115" s="264" t="s">
        <v>10434</v>
      </c>
      <c r="M115" s="264" t="s">
        <v>41</v>
      </c>
      <c r="N115" s="264"/>
    </row>
    <row r="116" spans="1:14" ht="14.4">
      <c r="A116" s="264" t="s">
        <v>9850</v>
      </c>
      <c r="B116" s="264" t="s">
        <v>10348</v>
      </c>
      <c r="C116" s="264" t="s">
        <v>220</v>
      </c>
      <c r="D116" s="267" t="s">
        <v>234</v>
      </c>
      <c r="E116" s="268"/>
      <c r="F116" s="26" t="s">
        <v>10435</v>
      </c>
      <c r="G116" s="264"/>
      <c r="H116" s="264" t="s">
        <v>10437</v>
      </c>
      <c r="I116" s="264" t="s">
        <v>887</v>
      </c>
      <c r="J116" s="264" t="s">
        <v>10438</v>
      </c>
      <c r="K116" s="264" t="s">
        <v>10437</v>
      </c>
      <c r="L116" s="264" t="s">
        <v>10359</v>
      </c>
      <c r="M116" s="264" t="s">
        <v>41</v>
      </c>
      <c r="N116" s="264"/>
    </row>
    <row r="117" spans="1:14" ht="14.4">
      <c r="A117" s="264" t="s">
        <v>9850</v>
      </c>
      <c r="B117" s="264" t="s">
        <v>10348</v>
      </c>
      <c r="C117" s="264" t="s">
        <v>220</v>
      </c>
      <c r="D117" s="267" t="s">
        <v>234</v>
      </c>
      <c r="E117" s="268"/>
      <c r="F117" s="26" t="s">
        <v>10441</v>
      </c>
      <c r="G117" s="264"/>
      <c r="H117" s="264" t="s">
        <v>10442</v>
      </c>
      <c r="I117" s="264" t="s">
        <v>887</v>
      </c>
      <c r="J117" s="264" t="s">
        <v>10443</v>
      </c>
      <c r="K117" s="264" t="s">
        <v>10442</v>
      </c>
      <c r="L117" s="264" t="s">
        <v>10359</v>
      </c>
      <c r="M117" s="264" t="s">
        <v>41</v>
      </c>
      <c r="N117" s="264"/>
    </row>
    <row r="118" spans="1:14" ht="14.4">
      <c r="A118" s="264" t="s">
        <v>9850</v>
      </c>
      <c r="B118" s="264" t="s">
        <v>10348</v>
      </c>
      <c r="C118" s="264" t="s">
        <v>220</v>
      </c>
      <c r="D118" s="267" t="s">
        <v>234</v>
      </c>
      <c r="E118" s="268"/>
      <c r="F118" s="26" t="s">
        <v>10444</v>
      </c>
      <c r="G118" s="264"/>
      <c r="H118" s="264" t="s">
        <v>10446</v>
      </c>
      <c r="I118" s="264" t="s">
        <v>3573</v>
      </c>
      <c r="J118" s="264" t="s">
        <v>10447</v>
      </c>
      <c r="K118" s="264" t="s">
        <v>10446</v>
      </c>
      <c r="L118" s="264" t="s">
        <v>10449</v>
      </c>
      <c r="M118" s="264" t="s">
        <v>41</v>
      </c>
      <c r="N118" s="264"/>
    </row>
    <row r="119" spans="1:14" ht="14.4">
      <c r="A119" s="264" t="s">
        <v>9850</v>
      </c>
      <c r="B119" s="264" t="s">
        <v>10348</v>
      </c>
      <c r="C119" s="264" t="s">
        <v>220</v>
      </c>
      <c r="D119" s="267" t="s">
        <v>234</v>
      </c>
      <c r="E119" s="268"/>
      <c r="F119" s="26" t="s">
        <v>10451</v>
      </c>
      <c r="G119" s="264"/>
      <c r="H119" s="264" t="s">
        <v>10452</v>
      </c>
      <c r="I119" s="264" t="s">
        <v>966</v>
      </c>
      <c r="J119" s="264" t="s">
        <v>10453</v>
      </c>
      <c r="K119" s="264" t="s">
        <v>10452</v>
      </c>
      <c r="L119" s="264" t="s">
        <v>10359</v>
      </c>
      <c r="M119" s="264" t="s">
        <v>41</v>
      </c>
      <c r="N119" s="264"/>
    </row>
    <row r="120" spans="1:14" ht="14.4">
      <c r="A120" s="264" t="s">
        <v>9850</v>
      </c>
      <c r="B120" s="264" t="s">
        <v>10348</v>
      </c>
      <c r="C120" s="264" t="s">
        <v>233</v>
      </c>
      <c r="D120" s="267" t="s">
        <v>298</v>
      </c>
      <c r="E120" s="268"/>
      <c r="F120" s="264" t="s">
        <v>10455</v>
      </c>
      <c r="G120" s="264" t="s">
        <v>10456</v>
      </c>
      <c r="H120" s="264" t="s">
        <v>10457</v>
      </c>
      <c r="I120" s="264" t="s">
        <v>3498</v>
      </c>
      <c r="J120" s="264" t="s">
        <v>10438</v>
      </c>
      <c r="K120" s="264" t="s">
        <v>10457</v>
      </c>
      <c r="L120" s="264" t="s">
        <v>10449</v>
      </c>
      <c r="M120" s="264" t="s">
        <v>41</v>
      </c>
      <c r="N120" s="264"/>
    </row>
    <row r="121" spans="1:14" ht="14.4">
      <c r="A121" s="264" t="s">
        <v>9850</v>
      </c>
      <c r="B121" s="264" t="s">
        <v>10348</v>
      </c>
      <c r="C121" s="264" t="s">
        <v>233</v>
      </c>
      <c r="D121" s="267" t="s">
        <v>298</v>
      </c>
      <c r="E121" s="268"/>
      <c r="F121" s="264" t="s">
        <v>10459</v>
      </c>
      <c r="G121" s="264" t="s">
        <v>10460</v>
      </c>
      <c r="H121" s="264" t="s">
        <v>10461</v>
      </c>
      <c r="I121" s="264" t="s">
        <v>898</v>
      </c>
      <c r="J121" s="264" t="s">
        <v>10462</v>
      </c>
      <c r="K121" s="264" t="s">
        <v>10461</v>
      </c>
      <c r="L121" s="264" t="s">
        <v>10359</v>
      </c>
      <c r="M121" s="264" t="s">
        <v>41</v>
      </c>
      <c r="N121" s="264"/>
    </row>
    <row r="122" spans="1:14" ht="14.4">
      <c r="A122" s="264" t="s">
        <v>9850</v>
      </c>
      <c r="B122" s="264" t="s">
        <v>10348</v>
      </c>
      <c r="C122" s="264" t="s">
        <v>233</v>
      </c>
      <c r="D122" s="267" t="s">
        <v>298</v>
      </c>
      <c r="E122" s="268"/>
      <c r="F122" s="264" t="s">
        <v>10463</v>
      </c>
      <c r="G122" s="264" t="s">
        <v>10464</v>
      </c>
      <c r="H122" s="264" t="s">
        <v>10452</v>
      </c>
      <c r="I122" s="264" t="s">
        <v>966</v>
      </c>
      <c r="J122" s="264" t="s">
        <v>10465</v>
      </c>
      <c r="K122" s="264" t="s">
        <v>10452</v>
      </c>
      <c r="L122" s="264" t="s">
        <v>10359</v>
      </c>
      <c r="M122" s="264" t="s">
        <v>41</v>
      </c>
      <c r="N122" s="264"/>
    </row>
    <row r="123" spans="1:14" ht="14.4">
      <c r="A123" s="264" t="s">
        <v>9850</v>
      </c>
      <c r="B123" s="264" t="s">
        <v>10348</v>
      </c>
      <c r="C123" s="264" t="s">
        <v>233</v>
      </c>
      <c r="D123" s="267" t="s">
        <v>298</v>
      </c>
      <c r="E123" s="268"/>
      <c r="F123" s="264" t="s">
        <v>10467</v>
      </c>
      <c r="G123" s="264" t="s">
        <v>10469</v>
      </c>
      <c r="H123" s="264" t="s">
        <v>10470</v>
      </c>
      <c r="I123" s="264" t="s">
        <v>521</v>
      </c>
      <c r="J123" s="264" t="s">
        <v>10472</v>
      </c>
      <c r="K123" s="264" t="s">
        <v>10470</v>
      </c>
      <c r="L123" s="264" t="s">
        <v>2166</v>
      </c>
      <c r="M123" s="264" t="s">
        <v>41</v>
      </c>
      <c r="N123" s="264"/>
    </row>
    <row r="124" spans="1:14" ht="14.4">
      <c r="A124" s="264" t="s">
        <v>9850</v>
      </c>
      <c r="B124" s="264" t="s">
        <v>10348</v>
      </c>
      <c r="C124" s="264" t="s">
        <v>275</v>
      </c>
      <c r="D124" s="254" t="s">
        <v>543</v>
      </c>
      <c r="E124" s="266"/>
      <c r="F124" s="31" t="s">
        <v>10473</v>
      </c>
      <c r="G124" s="264"/>
      <c r="H124" s="264" t="s">
        <v>10446</v>
      </c>
      <c r="I124" s="264" t="s">
        <v>3573</v>
      </c>
      <c r="J124" s="264" t="s">
        <v>10474</v>
      </c>
      <c r="K124" s="264" t="s">
        <v>10446</v>
      </c>
      <c r="L124" s="264" t="s">
        <v>10449</v>
      </c>
      <c r="M124" s="264" t="s">
        <v>41</v>
      </c>
      <c r="N124" s="264"/>
    </row>
    <row r="125" spans="1:14" ht="14.4">
      <c r="A125" s="264" t="s">
        <v>9850</v>
      </c>
      <c r="B125" s="264" t="s">
        <v>10348</v>
      </c>
      <c r="C125" s="276" t="s">
        <v>296</v>
      </c>
      <c r="D125" s="254" t="s">
        <v>954</v>
      </c>
      <c r="E125" s="266"/>
      <c r="F125" s="270" t="s">
        <v>10479</v>
      </c>
      <c r="G125" s="264"/>
      <c r="H125" s="264" t="s">
        <v>10006</v>
      </c>
      <c r="I125" s="264" t="s">
        <v>3906</v>
      </c>
      <c r="J125" s="264" t="s">
        <v>10007</v>
      </c>
      <c r="K125" s="264"/>
      <c r="L125" s="264" t="s">
        <v>10480</v>
      </c>
      <c r="M125" s="277" t="s">
        <v>41</v>
      </c>
      <c r="N125" s="264"/>
    </row>
    <row r="126" spans="1:14" ht="14.4">
      <c r="A126" s="264" t="s">
        <v>9850</v>
      </c>
      <c r="B126" s="264" t="s">
        <v>10482</v>
      </c>
      <c r="C126" s="276" t="s">
        <v>296</v>
      </c>
      <c r="D126" s="254" t="s">
        <v>954</v>
      </c>
      <c r="E126" s="266"/>
      <c r="F126" s="270" t="s">
        <v>10483</v>
      </c>
      <c r="G126" s="264"/>
      <c r="H126" s="264" t="s">
        <v>10006</v>
      </c>
      <c r="I126" s="264" t="s">
        <v>3906</v>
      </c>
      <c r="J126" s="264" t="s">
        <v>10007</v>
      </c>
      <c r="K126" s="264"/>
      <c r="L126" s="264" t="s">
        <v>10484</v>
      </c>
      <c r="M126" s="264" t="s">
        <v>41</v>
      </c>
      <c r="N126" s="264"/>
    </row>
    <row r="127" spans="1:14" ht="14.4">
      <c r="A127" s="264" t="s">
        <v>9850</v>
      </c>
      <c r="B127" s="264" t="s">
        <v>10485</v>
      </c>
      <c r="C127" s="276" t="s">
        <v>296</v>
      </c>
      <c r="D127" s="254" t="s">
        <v>954</v>
      </c>
      <c r="E127" s="266"/>
      <c r="F127" s="270" t="s">
        <v>10487</v>
      </c>
      <c r="G127" s="264"/>
      <c r="H127" s="264" t="s">
        <v>10006</v>
      </c>
      <c r="I127" s="264" t="s">
        <v>3906</v>
      </c>
      <c r="J127" s="264" t="s">
        <v>10007</v>
      </c>
      <c r="K127" s="264"/>
      <c r="L127" s="264" t="s">
        <v>10490</v>
      </c>
      <c r="M127" s="264" t="s">
        <v>41</v>
      </c>
      <c r="N127" s="264"/>
    </row>
    <row r="128" spans="1:14" ht="14.4">
      <c r="A128" s="264" t="s">
        <v>9850</v>
      </c>
      <c r="B128" s="264" t="s">
        <v>10482</v>
      </c>
      <c r="C128" s="264" t="s">
        <v>275</v>
      </c>
      <c r="D128" s="254" t="s">
        <v>543</v>
      </c>
      <c r="E128" s="266"/>
      <c r="F128" s="31" t="s">
        <v>10491</v>
      </c>
      <c r="G128" s="264" t="s">
        <v>10493</v>
      </c>
      <c r="H128" s="264" t="s">
        <v>10494</v>
      </c>
      <c r="I128" s="264" t="s">
        <v>130</v>
      </c>
      <c r="J128" s="264" t="s">
        <v>10495</v>
      </c>
      <c r="K128" s="264" t="s">
        <v>10494</v>
      </c>
      <c r="L128" s="264" t="s">
        <v>2149</v>
      </c>
      <c r="M128" s="264" t="s">
        <v>41</v>
      </c>
      <c r="N128" s="264"/>
    </row>
    <row r="129" spans="1:14" ht="14.4">
      <c r="A129" s="264" t="s">
        <v>9850</v>
      </c>
      <c r="B129" s="264" t="s">
        <v>10482</v>
      </c>
      <c r="C129" s="276" t="s">
        <v>51</v>
      </c>
      <c r="D129" s="267" t="s">
        <v>52</v>
      </c>
      <c r="E129" s="268"/>
      <c r="F129" s="264" t="s">
        <v>10497</v>
      </c>
      <c r="G129" s="264" t="s">
        <v>10499</v>
      </c>
      <c r="H129" s="264" t="s">
        <v>10500</v>
      </c>
      <c r="I129" s="264" t="s">
        <v>3181</v>
      </c>
      <c r="J129" s="264" t="s">
        <v>10502</v>
      </c>
      <c r="K129" s="264" t="s">
        <v>10500</v>
      </c>
      <c r="L129" s="264" t="s">
        <v>2149</v>
      </c>
      <c r="M129" s="264" t="s">
        <v>41</v>
      </c>
      <c r="N129" s="264"/>
    </row>
    <row r="130" spans="1:14" ht="14.4">
      <c r="A130" s="264" t="s">
        <v>9850</v>
      </c>
      <c r="B130" s="264" t="s">
        <v>10482</v>
      </c>
      <c r="C130" s="276" t="s">
        <v>70</v>
      </c>
      <c r="D130" s="267" t="s">
        <v>71</v>
      </c>
      <c r="E130" s="268"/>
      <c r="F130" s="264" t="s">
        <v>10497</v>
      </c>
      <c r="G130" s="264">
        <v>2839955</v>
      </c>
      <c r="H130" s="264" t="s">
        <v>10500</v>
      </c>
      <c r="I130" s="264" t="s">
        <v>3181</v>
      </c>
      <c r="J130" s="264" t="s">
        <v>10505</v>
      </c>
      <c r="K130" s="264" t="s">
        <v>10500</v>
      </c>
      <c r="L130" s="264" t="s">
        <v>2149</v>
      </c>
      <c r="M130" s="264" t="s">
        <v>41</v>
      </c>
      <c r="N130" s="264"/>
    </row>
    <row r="131" spans="1:14" ht="14.4">
      <c r="A131" s="264" t="s">
        <v>9850</v>
      </c>
      <c r="B131" s="264" t="s">
        <v>10482</v>
      </c>
      <c r="C131" s="276" t="s">
        <v>79</v>
      </c>
      <c r="D131" s="269" t="s">
        <v>80</v>
      </c>
      <c r="E131" s="126"/>
      <c r="F131" s="264" t="s">
        <v>10509</v>
      </c>
      <c r="G131" s="264" t="s">
        <v>10510</v>
      </c>
      <c r="H131" s="264" t="s">
        <v>10500</v>
      </c>
      <c r="I131" s="264" t="s">
        <v>3181</v>
      </c>
      <c r="J131" s="264" t="s">
        <v>10512</v>
      </c>
      <c r="K131" s="264" t="s">
        <v>10500</v>
      </c>
      <c r="L131" s="264" t="s">
        <v>2149</v>
      </c>
      <c r="M131" s="264" t="s">
        <v>41</v>
      </c>
      <c r="N131" s="264"/>
    </row>
    <row r="132" spans="1:14" ht="14.4">
      <c r="A132" s="264" t="s">
        <v>9850</v>
      </c>
      <c r="B132" s="264" t="s">
        <v>10485</v>
      </c>
      <c r="C132" s="276" t="s">
        <v>79</v>
      </c>
      <c r="D132" s="269" t="s">
        <v>80</v>
      </c>
      <c r="E132" s="126"/>
      <c r="F132" s="264" t="s">
        <v>10513</v>
      </c>
      <c r="G132" s="264" t="s">
        <v>10514</v>
      </c>
      <c r="H132" s="264" t="s">
        <v>10515</v>
      </c>
      <c r="I132" s="264" t="s">
        <v>3181</v>
      </c>
      <c r="J132" s="264" t="s">
        <v>10516</v>
      </c>
      <c r="K132" s="264" t="s">
        <v>10515</v>
      </c>
      <c r="L132" s="264" t="s">
        <v>2149</v>
      </c>
      <c r="M132" s="264" t="s">
        <v>41</v>
      </c>
      <c r="N132" s="264" t="s">
        <v>10517</v>
      </c>
    </row>
    <row r="133" spans="1:14" ht="14.4">
      <c r="A133" s="264" t="s">
        <v>9850</v>
      </c>
      <c r="B133" s="264" t="s">
        <v>10482</v>
      </c>
      <c r="C133" s="264" t="s">
        <v>233</v>
      </c>
      <c r="D133" s="267" t="s">
        <v>298</v>
      </c>
      <c r="E133" s="268"/>
      <c r="F133" s="264" t="s">
        <v>10519</v>
      </c>
      <c r="G133" s="264" t="s">
        <v>10520</v>
      </c>
      <c r="H133" s="264" t="s">
        <v>10521</v>
      </c>
      <c r="I133" s="264" t="s">
        <v>933</v>
      </c>
      <c r="J133" s="264" t="s">
        <v>10523</v>
      </c>
      <c r="K133" s="264" t="s">
        <v>10521</v>
      </c>
      <c r="L133" s="264" t="s">
        <v>4362</v>
      </c>
      <c r="M133" s="264" t="s">
        <v>41</v>
      </c>
      <c r="N133" s="264"/>
    </row>
    <row r="134" spans="1:14" ht="14.4">
      <c r="A134" s="264" t="s">
        <v>9850</v>
      </c>
      <c r="B134" s="264" t="s">
        <v>10482</v>
      </c>
      <c r="C134" s="264" t="s">
        <v>233</v>
      </c>
      <c r="D134" s="267" t="s">
        <v>298</v>
      </c>
      <c r="E134" s="268"/>
      <c r="F134" s="264" t="s">
        <v>10525</v>
      </c>
      <c r="G134" s="264" t="s">
        <v>10527</v>
      </c>
      <c r="H134" s="264" t="s">
        <v>10528</v>
      </c>
      <c r="I134" s="264" t="s">
        <v>10529</v>
      </c>
      <c r="J134" s="264" t="s">
        <v>10530</v>
      </c>
      <c r="K134" s="264" t="s">
        <v>10531</v>
      </c>
      <c r="L134" s="264" t="s">
        <v>10532</v>
      </c>
      <c r="M134" s="264" t="s">
        <v>41</v>
      </c>
      <c r="N134" s="264"/>
    </row>
    <row r="135" spans="1:14" ht="14.4">
      <c r="A135" s="264" t="s">
        <v>9850</v>
      </c>
      <c r="B135" s="264" t="s">
        <v>10482</v>
      </c>
      <c r="C135" s="264" t="s">
        <v>233</v>
      </c>
      <c r="D135" s="267" t="s">
        <v>298</v>
      </c>
      <c r="E135" s="268"/>
      <c r="F135" s="264" t="s">
        <v>10533</v>
      </c>
      <c r="G135" s="264"/>
      <c r="H135" s="264" t="s">
        <v>10534</v>
      </c>
      <c r="I135" s="264" t="s">
        <v>887</v>
      </c>
      <c r="J135" s="264" t="s">
        <v>10535</v>
      </c>
      <c r="K135" s="264" t="s">
        <v>10536</v>
      </c>
      <c r="L135" s="264" t="s">
        <v>10537</v>
      </c>
      <c r="M135" s="264" t="s">
        <v>41</v>
      </c>
      <c r="N135" s="264" t="s">
        <v>10538</v>
      </c>
    </row>
    <row r="136" spans="1:14" ht="14.4">
      <c r="A136" s="264" t="s">
        <v>9850</v>
      </c>
      <c r="B136" s="264" t="s">
        <v>10485</v>
      </c>
      <c r="C136" s="264" t="s">
        <v>233</v>
      </c>
      <c r="D136" s="267" t="s">
        <v>298</v>
      </c>
      <c r="E136" s="268"/>
      <c r="F136" s="264" t="s">
        <v>10539</v>
      </c>
      <c r="G136" s="264" t="s">
        <v>10541</v>
      </c>
      <c r="H136" s="264" t="s">
        <v>10542</v>
      </c>
      <c r="I136" s="264" t="s">
        <v>10544</v>
      </c>
      <c r="J136" s="264" t="s">
        <v>10545</v>
      </c>
      <c r="K136" s="264" t="s">
        <v>10542</v>
      </c>
      <c r="L136" s="264" t="s">
        <v>989</v>
      </c>
      <c r="M136" s="264" t="s">
        <v>41</v>
      </c>
      <c r="N136" s="264" t="s">
        <v>10517</v>
      </c>
    </row>
    <row r="137" spans="1:14" ht="14.4">
      <c r="A137" s="264" t="s">
        <v>9850</v>
      </c>
      <c r="B137" s="264" t="s">
        <v>10485</v>
      </c>
      <c r="C137" s="264" t="s">
        <v>233</v>
      </c>
      <c r="D137" s="267" t="s">
        <v>298</v>
      </c>
      <c r="E137" s="268"/>
      <c r="F137" s="264" t="s">
        <v>10547</v>
      </c>
      <c r="G137" s="264" t="s">
        <v>10549</v>
      </c>
      <c r="H137" s="264" t="s">
        <v>10550</v>
      </c>
      <c r="I137" s="264" t="s">
        <v>10551</v>
      </c>
      <c r="J137" s="264" t="s">
        <v>10545</v>
      </c>
      <c r="K137" s="264" t="s">
        <v>10550</v>
      </c>
      <c r="L137" s="264" t="s">
        <v>729</v>
      </c>
      <c r="M137" s="264" t="s">
        <v>41</v>
      </c>
      <c r="N137" s="264" t="s">
        <v>10517</v>
      </c>
    </row>
    <row r="138" spans="1:14" ht="14.4">
      <c r="A138" s="264" t="s">
        <v>9850</v>
      </c>
      <c r="B138" s="264" t="s">
        <v>10485</v>
      </c>
      <c r="C138" s="264" t="s">
        <v>233</v>
      </c>
      <c r="D138" s="267" t="s">
        <v>298</v>
      </c>
      <c r="E138" s="268"/>
      <c r="F138" s="264" t="s">
        <v>10552</v>
      </c>
      <c r="G138" s="264" t="s">
        <v>10553</v>
      </c>
      <c r="H138" s="264" t="s">
        <v>10555</v>
      </c>
      <c r="I138" s="264" t="s">
        <v>933</v>
      </c>
      <c r="J138" s="264" t="s">
        <v>10545</v>
      </c>
      <c r="K138" s="264" t="s">
        <v>10555</v>
      </c>
      <c r="L138" s="264" t="s">
        <v>4362</v>
      </c>
      <c r="M138" s="264" t="s">
        <v>41</v>
      </c>
      <c r="N138" s="264" t="s">
        <v>10517</v>
      </c>
    </row>
    <row r="139" spans="1:14" ht="14.4">
      <c r="A139" s="264" t="s">
        <v>9850</v>
      </c>
      <c r="B139" s="264" t="s">
        <v>10485</v>
      </c>
      <c r="C139" s="264" t="s">
        <v>233</v>
      </c>
      <c r="D139" s="267" t="s">
        <v>298</v>
      </c>
      <c r="E139" s="268"/>
      <c r="F139" s="264" t="s">
        <v>10557</v>
      </c>
      <c r="G139" s="264" t="s">
        <v>10558</v>
      </c>
      <c r="H139" s="264" t="s">
        <v>10559</v>
      </c>
      <c r="I139" s="264" t="s">
        <v>887</v>
      </c>
      <c r="J139" s="264" t="s">
        <v>10545</v>
      </c>
      <c r="K139" s="264" t="s">
        <v>10559</v>
      </c>
      <c r="L139" s="264" t="s">
        <v>4607</v>
      </c>
      <c r="M139" s="264" t="s">
        <v>41</v>
      </c>
      <c r="N139" s="264" t="s">
        <v>10517</v>
      </c>
    </row>
    <row r="140" spans="1:14" ht="14.4">
      <c r="A140" s="264" t="s">
        <v>9850</v>
      </c>
      <c r="B140" s="264" t="s">
        <v>10482</v>
      </c>
      <c r="C140" s="264" t="s">
        <v>85</v>
      </c>
      <c r="D140" s="254" t="s">
        <v>86</v>
      </c>
      <c r="E140" s="266"/>
      <c r="F140" s="264" t="s">
        <v>10561</v>
      </c>
      <c r="G140" s="264" t="s">
        <v>10562</v>
      </c>
      <c r="H140" s="264" t="s">
        <v>10563</v>
      </c>
      <c r="I140" s="264" t="s">
        <v>1252</v>
      </c>
      <c r="J140" s="264" t="s">
        <v>10565</v>
      </c>
      <c r="K140" s="264" t="s">
        <v>10566</v>
      </c>
      <c r="L140" s="264" t="s">
        <v>10567</v>
      </c>
      <c r="M140" s="264"/>
      <c r="N140" s="264"/>
    </row>
    <row r="141" spans="1:14" ht="14.4">
      <c r="A141" s="264" t="s">
        <v>9850</v>
      </c>
      <c r="B141" s="264" t="s">
        <v>10482</v>
      </c>
      <c r="C141" s="264" t="s">
        <v>85</v>
      </c>
      <c r="D141" s="254" t="s">
        <v>86</v>
      </c>
      <c r="E141" s="266"/>
      <c r="F141" s="264" t="s">
        <v>10569</v>
      </c>
      <c r="G141" s="264" t="s">
        <v>10570</v>
      </c>
      <c r="H141" s="264" t="s">
        <v>10571</v>
      </c>
      <c r="I141" s="264" t="s">
        <v>5294</v>
      </c>
      <c r="J141" s="264" t="s">
        <v>10572</v>
      </c>
      <c r="K141" s="264" t="s">
        <v>10571</v>
      </c>
      <c r="L141" s="264" t="s">
        <v>10573</v>
      </c>
      <c r="M141" s="264"/>
      <c r="N141" s="264"/>
    </row>
    <row r="142" spans="1:14" ht="14.4">
      <c r="A142" s="264" t="s">
        <v>9850</v>
      </c>
      <c r="B142" s="264" t="s">
        <v>10482</v>
      </c>
      <c r="C142" s="264" t="s">
        <v>85</v>
      </c>
      <c r="D142" s="254" t="s">
        <v>86</v>
      </c>
      <c r="E142" s="266"/>
      <c r="F142" s="264" t="s">
        <v>10576</v>
      </c>
      <c r="G142" s="264" t="s">
        <v>10577</v>
      </c>
      <c r="H142" s="264" t="s">
        <v>10578</v>
      </c>
      <c r="I142" s="264" t="s">
        <v>130</v>
      </c>
      <c r="J142" s="264" t="s">
        <v>10579</v>
      </c>
      <c r="K142" s="264" t="s">
        <v>10578</v>
      </c>
      <c r="L142" s="264" t="s">
        <v>10580</v>
      </c>
      <c r="M142" s="264" t="s">
        <v>41</v>
      </c>
      <c r="N142" s="264"/>
    </row>
    <row r="143" spans="1:14" ht="14.4">
      <c r="A143" s="264" t="s">
        <v>9850</v>
      </c>
      <c r="B143" s="264" t="s">
        <v>10482</v>
      </c>
      <c r="C143" s="264" t="s">
        <v>85</v>
      </c>
      <c r="D143" s="254" t="s">
        <v>86</v>
      </c>
      <c r="E143" s="266"/>
      <c r="F143" s="264" t="s">
        <v>10581</v>
      </c>
      <c r="G143" s="264" t="s">
        <v>10582</v>
      </c>
      <c r="H143" s="264" t="s">
        <v>10494</v>
      </c>
      <c r="I143" s="264" t="s">
        <v>130</v>
      </c>
      <c r="J143" s="264" t="s">
        <v>10584</v>
      </c>
      <c r="K143" s="264" t="s">
        <v>10494</v>
      </c>
      <c r="L143" s="264" t="s">
        <v>2149</v>
      </c>
      <c r="M143" s="264" t="s">
        <v>41</v>
      </c>
      <c r="N143" s="264"/>
    </row>
    <row r="144" spans="1:14" ht="14.4">
      <c r="A144" s="264" t="s">
        <v>9850</v>
      </c>
      <c r="B144" s="264" t="s">
        <v>10482</v>
      </c>
      <c r="C144" s="264" t="s">
        <v>85</v>
      </c>
      <c r="D144" s="254" t="s">
        <v>86</v>
      </c>
      <c r="E144" s="266"/>
      <c r="F144" s="264" t="s">
        <v>10586</v>
      </c>
      <c r="G144" s="264" t="s">
        <v>10587</v>
      </c>
      <c r="H144" s="264" t="s">
        <v>10588</v>
      </c>
      <c r="I144" s="264" t="s">
        <v>887</v>
      </c>
      <c r="J144" s="264" t="s">
        <v>10589</v>
      </c>
      <c r="K144" s="264" t="s">
        <v>10531</v>
      </c>
      <c r="L144" s="264" t="s">
        <v>10590</v>
      </c>
      <c r="M144" s="264" t="s">
        <v>41</v>
      </c>
      <c r="N144" s="264"/>
    </row>
    <row r="145" spans="1:14" ht="14.4">
      <c r="A145" s="264" t="s">
        <v>9850</v>
      </c>
      <c r="B145" s="264" t="s">
        <v>10482</v>
      </c>
      <c r="C145" s="264" t="s">
        <v>85</v>
      </c>
      <c r="D145" s="254" t="s">
        <v>86</v>
      </c>
      <c r="E145" s="266"/>
      <c r="F145" s="264" t="s">
        <v>10592</v>
      </c>
      <c r="G145" s="264" t="s">
        <v>10593</v>
      </c>
      <c r="H145" s="264" t="s">
        <v>10594</v>
      </c>
      <c r="I145" s="264" t="s">
        <v>434</v>
      </c>
      <c r="J145" s="264" t="s">
        <v>10596</v>
      </c>
      <c r="K145" s="264" t="s">
        <v>10597</v>
      </c>
      <c r="L145" s="264" t="s">
        <v>10598</v>
      </c>
      <c r="M145" s="264" t="s">
        <v>41</v>
      </c>
      <c r="N145" s="264"/>
    </row>
    <row r="146" spans="1:14" ht="14.4">
      <c r="A146" s="264" t="s">
        <v>9850</v>
      </c>
      <c r="B146" s="264" t="s">
        <v>10482</v>
      </c>
      <c r="C146" s="264" t="s">
        <v>85</v>
      </c>
      <c r="D146" s="254" t="s">
        <v>86</v>
      </c>
      <c r="E146" s="266"/>
      <c r="F146" s="264" t="s">
        <v>10599</v>
      </c>
      <c r="G146" s="264" t="s">
        <v>10600</v>
      </c>
      <c r="H146" s="264" t="s">
        <v>10601</v>
      </c>
      <c r="I146" s="264" t="s">
        <v>6319</v>
      </c>
      <c r="J146" s="264" t="s">
        <v>10602</v>
      </c>
      <c r="K146" s="264" t="s">
        <v>10603</v>
      </c>
      <c r="L146" s="264" t="s">
        <v>2149</v>
      </c>
      <c r="M146" s="264" t="s">
        <v>41</v>
      </c>
      <c r="N146" s="264"/>
    </row>
    <row r="147" spans="1:14" ht="14.4">
      <c r="A147" s="264" t="s">
        <v>9850</v>
      </c>
      <c r="B147" s="264" t="s">
        <v>10482</v>
      </c>
      <c r="C147" s="264" t="s">
        <v>85</v>
      </c>
      <c r="D147" s="254" t="s">
        <v>86</v>
      </c>
      <c r="E147" s="266"/>
      <c r="F147" s="264" t="s">
        <v>10605</v>
      </c>
      <c r="G147" s="264" t="s">
        <v>10606</v>
      </c>
      <c r="H147" s="264" t="s">
        <v>10563</v>
      </c>
      <c r="I147" s="264" t="s">
        <v>1252</v>
      </c>
      <c r="J147" s="264" t="s">
        <v>10608</v>
      </c>
      <c r="K147" s="264" t="s">
        <v>10609</v>
      </c>
      <c r="L147" s="264" t="s">
        <v>10610</v>
      </c>
      <c r="M147" s="264" t="s">
        <v>41</v>
      </c>
      <c r="N147" s="264"/>
    </row>
    <row r="148" spans="1:14" ht="14.4">
      <c r="A148" s="264" t="s">
        <v>9850</v>
      </c>
      <c r="B148" s="264" t="s">
        <v>10482</v>
      </c>
      <c r="C148" s="264" t="s">
        <v>85</v>
      </c>
      <c r="D148" s="254" t="s">
        <v>86</v>
      </c>
      <c r="E148" s="266"/>
      <c r="F148" s="264" t="s">
        <v>10611</v>
      </c>
      <c r="G148" s="264" t="s">
        <v>10612</v>
      </c>
      <c r="H148" s="264" t="s">
        <v>10601</v>
      </c>
      <c r="I148" s="264" t="s">
        <v>10613</v>
      </c>
      <c r="J148" s="264" t="s">
        <v>10614</v>
      </c>
      <c r="K148" s="264" t="s">
        <v>10601</v>
      </c>
      <c r="L148" s="264" t="s">
        <v>10615</v>
      </c>
      <c r="M148" s="264" t="s">
        <v>41</v>
      </c>
      <c r="N148" s="264"/>
    </row>
    <row r="149" spans="1:14" ht="14.4">
      <c r="A149" s="264" t="s">
        <v>9850</v>
      </c>
      <c r="B149" s="264" t="s">
        <v>10482</v>
      </c>
      <c r="C149" s="264" t="s">
        <v>85</v>
      </c>
      <c r="D149" s="254" t="s">
        <v>86</v>
      </c>
      <c r="E149" s="266"/>
      <c r="F149" s="264" t="s">
        <v>10618</v>
      </c>
      <c r="G149" s="264" t="s">
        <v>10619</v>
      </c>
      <c r="H149" s="264" t="s">
        <v>10620</v>
      </c>
      <c r="I149" s="264" t="s">
        <v>966</v>
      </c>
      <c r="J149" s="264" t="s">
        <v>10621</v>
      </c>
      <c r="K149" s="264" t="s">
        <v>10620</v>
      </c>
      <c r="L149" s="264" t="s">
        <v>10622</v>
      </c>
      <c r="M149" s="264" t="s">
        <v>41</v>
      </c>
      <c r="N149" s="264"/>
    </row>
    <row r="150" spans="1:14" ht="14.4">
      <c r="A150" s="264" t="s">
        <v>9850</v>
      </c>
      <c r="B150" s="264" t="s">
        <v>10482</v>
      </c>
      <c r="C150" s="264" t="s">
        <v>85</v>
      </c>
      <c r="D150" s="254" t="s">
        <v>86</v>
      </c>
      <c r="E150" s="266"/>
      <c r="F150" s="264" t="s">
        <v>10623</v>
      </c>
      <c r="G150" s="264" t="s">
        <v>10624</v>
      </c>
      <c r="H150" s="264" t="s">
        <v>10625</v>
      </c>
      <c r="I150" s="264" t="s">
        <v>4416</v>
      </c>
      <c r="J150" s="264" t="s">
        <v>10626</v>
      </c>
      <c r="K150" s="264" t="s">
        <v>10627</v>
      </c>
      <c r="L150" s="264" t="s">
        <v>10615</v>
      </c>
      <c r="M150" s="264" t="s">
        <v>41</v>
      </c>
      <c r="N150" s="264"/>
    </row>
    <row r="151" spans="1:14" ht="14.4">
      <c r="A151" s="264" t="s">
        <v>9850</v>
      </c>
      <c r="B151" s="264" t="s">
        <v>10485</v>
      </c>
      <c r="C151" s="264" t="s">
        <v>85</v>
      </c>
      <c r="D151" s="254" t="s">
        <v>86</v>
      </c>
      <c r="E151" s="266"/>
      <c r="F151" s="264" t="s">
        <v>10628</v>
      </c>
      <c r="G151" s="264" t="s">
        <v>10629</v>
      </c>
      <c r="H151" s="264" t="s">
        <v>10630</v>
      </c>
      <c r="I151" s="264" t="s">
        <v>2400</v>
      </c>
      <c r="J151" s="264" t="s">
        <v>10631</v>
      </c>
      <c r="K151" s="264" t="s">
        <v>10630</v>
      </c>
      <c r="L151" s="264" t="s">
        <v>10632</v>
      </c>
      <c r="M151" s="264" t="s">
        <v>41</v>
      </c>
      <c r="N151" s="264" t="s">
        <v>10517</v>
      </c>
    </row>
    <row r="152" spans="1:14" ht="14.4">
      <c r="A152" s="264" t="s">
        <v>9850</v>
      </c>
      <c r="B152" s="264" t="s">
        <v>10482</v>
      </c>
      <c r="C152" s="264" t="s">
        <v>85</v>
      </c>
      <c r="D152" s="254" t="s">
        <v>86</v>
      </c>
      <c r="E152" s="266"/>
      <c r="F152" s="264" t="s">
        <v>10633</v>
      </c>
      <c r="G152" s="264" t="s">
        <v>10634</v>
      </c>
      <c r="H152" s="264" t="s">
        <v>10635</v>
      </c>
      <c r="I152" s="264" t="s">
        <v>9815</v>
      </c>
      <c r="J152" s="264" t="s">
        <v>10631</v>
      </c>
      <c r="K152" s="264" t="s">
        <v>10635</v>
      </c>
      <c r="L152" s="264" t="s">
        <v>10636</v>
      </c>
      <c r="M152" s="264" t="s">
        <v>41</v>
      </c>
      <c r="N152" s="264" t="s">
        <v>10517</v>
      </c>
    </row>
    <row r="153" spans="1:14" ht="14.4">
      <c r="A153" s="264" t="s">
        <v>9850</v>
      </c>
      <c r="B153" s="264" t="s">
        <v>10482</v>
      </c>
      <c r="C153" s="264" t="s">
        <v>85</v>
      </c>
      <c r="D153" s="254" t="s">
        <v>86</v>
      </c>
      <c r="E153" s="266"/>
      <c r="F153" s="264" t="s">
        <v>10638</v>
      </c>
      <c r="G153" s="264" t="s">
        <v>10639</v>
      </c>
      <c r="H153" s="264" t="s">
        <v>10640</v>
      </c>
      <c r="I153" s="264" t="s">
        <v>887</v>
      </c>
      <c r="J153" s="264" t="s">
        <v>10631</v>
      </c>
      <c r="K153" s="264" t="s">
        <v>10640</v>
      </c>
      <c r="L153" s="264" t="s">
        <v>10641</v>
      </c>
      <c r="M153" s="264" t="s">
        <v>41</v>
      </c>
      <c r="N153" s="264" t="s">
        <v>10517</v>
      </c>
    </row>
    <row r="154" spans="1:14" ht="14.4">
      <c r="A154" s="264" t="s">
        <v>9850</v>
      </c>
      <c r="B154" s="264" t="s">
        <v>10482</v>
      </c>
      <c r="C154" s="264" t="s">
        <v>85</v>
      </c>
      <c r="D154" s="254" t="s">
        <v>86</v>
      </c>
      <c r="E154" s="266"/>
      <c r="F154" s="264" t="s">
        <v>10643</v>
      </c>
      <c r="G154" s="264" t="s">
        <v>10644</v>
      </c>
      <c r="H154" s="264" t="s">
        <v>10645</v>
      </c>
      <c r="I154" s="264" t="s">
        <v>2400</v>
      </c>
      <c r="J154" s="264" t="s">
        <v>10631</v>
      </c>
      <c r="K154" s="264" t="s">
        <v>10645</v>
      </c>
      <c r="L154" s="264" t="s">
        <v>10647</v>
      </c>
      <c r="M154" s="264" t="s">
        <v>41</v>
      </c>
      <c r="N154" s="264" t="s">
        <v>10517</v>
      </c>
    </row>
    <row r="155" spans="1:14" ht="14.4">
      <c r="A155" s="264" t="s">
        <v>9850</v>
      </c>
      <c r="B155" s="264" t="s">
        <v>10482</v>
      </c>
      <c r="C155" s="264" t="s">
        <v>85</v>
      </c>
      <c r="D155" s="254" t="s">
        <v>86</v>
      </c>
      <c r="E155" s="266"/>
      <c r="F155" s="264" t="s">
        <v>10648</v>
      </c>
      <c r="G155" s="264" t="s">
        <v>10649</v>
      </c>
      <c r="H155" s="264" t="s">
        <v>10650</v>
      </c>
      <c r="I155" s="264" t="s">
        <v>130</v>
      </c>
      <c r="J155" s="264" t="s">
        <v>10631</v>
      </c>
      <c r="K155" s="264" t="s">
        <v>10650</v>
      </c>
      <c r="L155" s="264" t="s">
        <v>10622</v>
      </c>
      <c r="M155" s="264" t="s">
        <v>41</v>
      </c>
      <c r="N155" s="264" t="s">
        <v>10517</v>
      </c>
    </row>
    <row r="156" spans="1:14" ht="14.4">
      <c r="A156" s="264" t="s">
        <v>9850</v>
      </c>
      <c r="B156" s="264" t="s">
        <v>10482</v>
      </c>
      <c r="C156" s="264" t="s">
        <v>85</v>
      </c>
      <c r="D156" s="254" t="s">
        <v>86</v>
      </c>
      <c r="E156" s="266"/>
      <c r="F156" s="264" t="s">
        <v>10653</v>
      </c>
      <c r="G156" s="264" t="s">
        <v>10654</v>
      </c>
      <c r="H156" s="264" t="s">
        <v>10655</v>
      </c>
      <c r="I156" s="264" t="s">
        <v>9815</v>
      </c>
      <c r="J156" s="264" t="s">
        <v>10631</v>
      </c>
      <c r="K156" s="264" t="s">
        <v>10655</v>
      </c>
      <c r="L156" s="264" t="s">
        <v>10656</v>
      </c>
      <c r="M156" s="264" t="s">
        <v>41</v>
      </c>
      <c r="N156" s="264" t="s">
        <v>10517</v>
      </c>
    </row>
    <row r="157" spans="1:14" ht="14.4">
      <c r="A157" s="264" t="s">
        <v>9850</v>
      </c>
      <c r="B157" s="264" t="s">
        <v>10482</v>
      </c>
      <c r="C157" s="264" t="s">
        <v>85</v>
      </c>
      <c r="D157" s="254" t="s">
        <v>86</v>
      </c>
      <c r="E157" s="266"/>
      <c r="F157" s="264" t="s">
        <v>10658</v>
      </c>
      <c r="G157" s="264" t="s">
        <v>10659</v>
      </c>
      <c r="H157" s="264" t="s">
        <v>10660</v>
      </c>
      <c r="I157" s="264" t="s">
        <v>2400</v>
      </c>
      <c r="J157" s="264" t="s">
        <v>10631</v>
      </c>
      <c r="K157" s="264" t="s">
        <v>10660</v>
      </c>
      <c r="L157" s="264" t="s">
        <v>10661</v>
      </c>
      <c r="M157" s="264" t="s">
        <v>41</v>
      </c>
      <c r="N157" s="264" t="s">
        <v>10517</v>
      </c>
    </row>
    <row r="158" spans="1:14" ht="14.4">
      <c r="A158" s="264" t="s">
        <v>9850</v>
      </c>
      <c r="B158" s="264" t="s">
        <v>10482</v>
      </c>
      <c r="C158" s="264" t="s">
        <v>85</v>
      </c>
      <c r="D158" s="254" t="s">
        <v>86</v>
      </c>
      <c r="E158" s="266"/>
      <c r="F158" s="264" t="s">
        <v>10663</v>
      </c>
      <c r="G158" s="264" t="s">
        <v>10664</v>
      </c>
      <c r="H158" s="264" t="s">
        <v>10665</v>
      </c>
      <c r="I158" s="264" t="s">
        <v>887</v>
      </c>
      <c r="J158" s="264" t="s">
        <v>10631</v>
      </c>
      <c r="K158" s="264" t="s">
        <v>10665</v>
      </c>
      <c r="L158" s="264" t="s">
        <v>729</v>
      </c>
      <c r="M158" s="264" t="s">
        <v>41</v>
      </c>
      <c r="N158" s="264" t="s">
        <v>10517</v>
      </c>
    </row>
    <row r="159" spans="1:14" ht="14.4">
      <c r="A159" s="264" t="s">
        <v>9850</v>
      </c>
      <c r="B159" s="264" t="s">
        <v>10482</v>
      </c>
      <c r="C159" s="264" t="s">
        <v>85</v>
      </c>
      <c r="D159" s="254" t="s">
        <v>86</v>
      </c>
      <c r="E159" s="266"/>
      <c r="F159" s="264" t="s">
        <v>10667</v>
      </c>
      <c r="G159" s="264" t="s">
        <v>10668</v>
      </c>
      <c r="H159" s="264" t="s">
        <v>10669</v>
      </c>
      <c r="I159" s="264" t="s">
        <v>130</v>
      </c>
      <c r="J159" s="264" t="s">
        <v>10631</v>
      </c>
      <c r="K159" s="264" t="s">
        <v>10669</v>
      </c>
      <c r="L159" s="264" t="s">
        <v>10670</v>
      </c>
      <c r="M159" s="264" t="s">
        <v>41</v>
      </c>
      <c r="N159" s="264" t="s">
        <v>10517</v>
      </c>
    </row>
    <row r="160" spans="1:14" ht="14.4">
      <c r="A160" s="264" t="s">
        <v>9850</v>
      </c>
      <c r="B160" s="264" t="s">
        <v>10482</v>
      </c>
      <c r="C160" s="264" t="s">
        <v>85</v>
      </c>
      <c r="D160" s="254" t="s">
        <v>86</v>
      </c>
      <c r="E160" s="266"/>
      <c r="F160" s="264" t="s">
        <v>10672</v>
      </c>
      <c r="G160" s="264" t="s">
        <v>10673</v>
      </c>
      <c r="H160" s="264" t="s">
        <v>10674</v>
      </c>
      <c r="I160" s="264" t="s">
        <v>5475</v>
      </c>
      <c r="J160" s="264" t="s">
        <v>10631</v>
      </c>
      <c r="K160" s="264" t="s">
        <v>10674</v>
      </c>
      <c r="L160" s="264" t="s">
        <v>2230</v>
      </c>
      <c r="M160" s="264" t="s">
        <v>41</v>
      </c>
      <c r="N160" s="264" t="s">
        <v>10517</v>
      </c>
    </row>
    <row r="161" spans="1:14" ht="14.4">
      <c r="A161" s="264" t="s">
        <v>9850</v>
      </c>
      <c r="B161" s="264" t="s">
        <v>10482</v>
      </c>
      <c r="C161" s="264" t="s">
        <v>85</v>
      </c>
      <c r="D161" s="254" t="s">
        <v>86</v>
      </c>
      <c r="E161" s="266"/>
      <c r="F161" s="264" t="s">
        <v>10680</v>
      </c>
      <c r="G161" s="264" t="s">
        <v>10681</v>
      </c>
      <c r="H161" s="264" t="s">
        <v>10682</v>
      </c>
      <c r="I161" s="264" t="s">
        <v>2714</v>
      </c>
      <c r="J161" s="264" t="s">
        <v>10631</v>
      </c>
      <c r="K161" s="264" t="s">
        <v>10682</v>
      </c>
      <c r="L161" s="264" t="s">
        <v>10683</v>
      </c>
      <c r="M161" s="264" t="s">
        <v>41</v>
      </c>
      <c r="N161" s="264" t="s">
        <v>10517</v>
      </c>
    </row>
    <row r="162" spans="1:14" ht="14.4">
      <c r="A162" s="272" t="s">
        <v>9850</v>
      </c>
      <c r="B162" s="272" t="s">
        <v>10482</v>
      </c>
      <c r="C162" s="272" t="s">
        <v>85</v>
      </c>
      <c r="D162" s="254" t="s">
        <v>86</v>
      </c>
      <c r="E162" s="278"/>
      <c r="F162" s="272" t="s">
        <v>10690</v>
      </c>
      <c r="G162" s="272" t="s">
        <v>10691</v>
      </c>
      <c r="H162" s="272" t="s">
        <v>10692</v>
      </c>
      <c r="I162" s="272" t="s">
        <v>10693</v>
      </c>
      <c r="J162" s="272" t="s">
        <v>10631</v>
      </c>
      <c r="K162" s="272" t="s">
        <v>10692</v>
      </c>
      <c r="L162" s="272" t="s">
        <v>10694</v>
      </c>
      <c r="M162" s="272" t="s">
        <v>41</v>
      </c>
      <c r="N162" s="272" t="s">
        <v>10517</v>
      </c>
    </row>
    <row r="163" spans="1:14" ht="14.4">
      <c r="A163" s="28" t="s">
        <v>9850</v>
      </c>
      <c r="B163" s="28" t="s">
        <v>1379</v>
      </c>
      <c r="C163" s="107" t="s">
        <v>319</v>
      </c>
      <c r="D163" s="107" t="s">
        <v>796</v>
      </c>
      <c r="E163" s="119" t="s">
        <v>54</v>
      </c>
      <c r="F163" s="280" t="s">
        <v>10698</v>
      </c>
      <c r="G163" s="254"/>
      <c r="H163" s="119" t="s">
        <v>10028</v>
      </c>
      <c r="I163" s="265" t="s">
        <v>2790</v>
      </c>
      <c r="J163" s="265" t="s">
        <v>10029</v>
      </c>
      <c r="K163" s="265" t="s">
        <v>10028</v>
      </c>
      <c r="L163" s="265" t="s">
        <v>2149</v>
      </c>
      <c r="M163" s="265" t="s">
        <v>41</v>
      </c>
      <c r="N163" s="254"/>
    </row>
    <row r="164" spans="1:14" ht="14.4">
      <c r="A164" s="28" t="s">
        <v>9850</v>
      </c>
      <c r="B164" s="28" t="s">
        <v>1379</v>
      </c>
      <c r="C164" s="107" t="s">
        <v>319</v>
      </c>
      <c r="D164" s="107" t="s">
        <v>796</v>
      </c>
      <c r="E164" s="266" t="s">
        <v>54</v>
      </c>
      <c r="F164" s="280" t="s">
        <v>10703</v>
      </c>
      <c r="G164" s="254"/>
      <c r="H164" s="266" t="s">
        <v>10028</v>
      </c>
      <c r="I164" s="264" t="s">
        <v>2790</v>
      </c>
      <c r="J164" s="264" t="s">
        <v>10029</v>
      </c>
      <c r="K164" s="264" t="s">
        <v>10028</v>
      </c>
      <c r="L164" s="264" t="s">
        <v>2149</v>
      </c>
      <c r="M164" s="264" t="s">
        <v>41</v>
      </c>
      <c r="N164" s="254"/>
    </row>
    <row r="165" spans="1:14" ht="14.4">
      <c r="A165" s="28" t="s">
        <v>9850</v>
      </c>
      <c r="B165" s="28" t="s">
        <v>1379</v>
      </c>
      <c r="C165" s="107" t="s">
        <v>319</v>
      </c>
      <c r="D165" s="107" t="s">
        <v>796</v>
      </c>
      <c r="E165" s="266" t="s">
        <v>54</v>
      </c>
      <c r="F165" s="280" t="s">
        <v>10704</v>
      </c>
      <c r="G165" s="254"/>
      <c r="H165" s="266" t="s">
        <v>10028</v>
      </c>
      <c r="I165" s="264" t="s">
        <v>2790</v>
      </c>
      <c r="J165" s="264" t="s">
        <v>10029</v>
      </c>
      <c r="K165" s="264" t="s">
        <v>10028</v>
      </c>
      <c r="L165" s="264" t="s">
        <v>2149</v>
      </c>
      <c r="M165" s="264" t="s">
        <v>41</v>
      </c>
      <c r="N165" s="254"/>
    </row>
    <row r="166" spans="1:14" ht="14.4">
      <c r="A166" s="28" t="s">
        <v>9850</v>
      </c>
      <c r="B166" s="28" t="s">
        <v>1379</v>
      </c>
      <c r="C166" s="107" t="s">
        <v>319</v>
      </c>
      <c r="D166" s="107" t="s">
        <v>796</v>
      </c>
      <c r="E166" s="266" t="s">
        <v>54</v>
      </c>
      <c r="F166" s="280" t="s">
        <v>10712</v>
      </c>
      <c r="G166" s="254"/>
      <c r="H166" s="266" t="s">
        <v>10028</v>
      </c>
      <c r="I166" s="264" t="s">
        <v>2790</v>
      </c>
      <c r="J166" s="264" t="s">
        <v>10029</v>
      </c>
      <c r="K166" s="264" t="s">
        <v>10028</v>
      </c>
      <c r="L166" s="264" t="s">
        <v>2149</v>
      </c>
      <c r="M166" s="264" t="s">
        <v>41</v>
      </c>
      <c r="N166" s="254"/>
    </row>
    <row r="167" spans="1:14" ht="14.4">
      <c r="A167" s="28" t="s">
        <v>9850</v>
      </c>
      <c r="B167" s="28" t="s">
        <v>1379</v>
      </c>
      <c r="C167" s="107" t="s">
        <v>319</v>
      </c>
      <c r="D167" s="107" t="s">
        <v>796</v>
      </c>
      <c r="E167" s="266" t="s">
        <v>54</v>
      </c>
      <c r="F167" s="280" t="s">
        <v>10717</v>
      </c>
      <c r="G167" s="254"/>
      <c r="H167" s="266" t="s">
        <v>10028</v>
      </c>
      <c r="I167" s="264" t="s">
        <v>2790</v>
      </c>
      <c r="J167" s="264" t="s">
        <v>10029</v>
      </c>
      <c r="K167" s="264" t="s">
        <v>10028</v>
      </c>
      <c r="L167" s="264" t="s">
        <v>2149</v>
      </c>
      <c r="M167" s="264" t="s">
        <v>41</v>
      </c>
      <c r="N167" s="254"/>
    </row>
    <row r="168" spans="1:14" ht="14.4">
      <c r="A168" s="28" t="s">
        <v>9850</v>
      </c>
      <c r="B168" s="28" t="s">
        <v>1379</v>
      </c>
      <c r="C168" s="107" t="s">
        <v>319</v>
      </c>
      <c r="D168" s="107" t="s">
        <v>796</v>
      </c>
      <c r="E168" s="266" t="s">
        <v>54</v>
      </c>
      <c r="F168" s="280" t="s">
        <v>10719</v>
      </c>
      <c r="G168" s="254"/>
      <c r="H168" s="266" t="s">
        <v>10028</v>
      </c>
      <c r="I168" s="264" t="s">
        <v>2790</v>
      </c>
      <c r="J168" s="264" t="s">
        <v>10029</v>
      </c>
      <c r="K168" s="264" t="s">
        <v>10028</v>
      </c>
      <c r="L168" s="264" t="s">
        <v>2149</v>
      </c>
      <c r="M168" s="264" t="s">
        <v>41</v>
      </c>
      <c r="N168" s="254"/>
    </row>
    <row r="169" spans="1:14" ht="14.4">
      <c r="A169" s="28" t="s">
        <v>9850</v>
      </c>
      <c r="B169" s="28" t="s">
        <v>1379</v>
      </c>
      <c r="C169" s="107" t="s">
        <v>319</v>
      </c>
      <c r="D169" s="107" t="s">
        <v>796</v>
      </c>
      <c r="E169" s="266" t="s">
        <v>54</v>
      </c>
      <c r="F169" s="280" t="s">
        <v>10724</v>
      </c>
      <c r="G169" s="254"/>
      <c r="H169" s="266" t="s">
        <v>10028</v>
      </c>
      <c r="I169" s="264" t="s">
        <v>2790</v>
      </c>
      <c r="J169" s="264" t="s">
        <v>10029</v>
      </c>
      <c r="K169" s="264" t="s">
        <v>10028</v>
      </c>
      <c r="L169" s="264" t="s">
        <v>2149</v>
      </c>
      <c r="M169" s="264" t="s">
        <v>41</v>
      </c>
      <c r="N169" s="254"/>
    </row>
    <row r="170" spans="1:14" ht="14.4">
      <c r="A170" s="28" t="s">
        <v>9850</v>
      </c>
      <c r="B170" s="28" t="s">
        <v>1379</v>
      </c>
      <c r="C170" s="107" t="s">
        <v>319</v>
      </c>
      <c r="D170" s="107" t="s">
        <v>796</v>
      </c>
      <c r="E170" s="266" t="s">
        <v>54</v>
      </c>
      <c r="F170" s="280" t="s">
        <v>10725</v>
      </c>
      <c r="G170" s="254"/>
      <c r="H170" s="266" t="s">
        <v>10028</v>
      </c>
      <c r="I170" s="264" t="s">
        <v>2790</v>
      </c>
      <c r="J170" s="264" t="s">
        <v>10029</v>
      </c>
      <c r="K170" s="264" t="s">
        <v>10028</v>
      </c>
      <c r="L170" s="264" t="s">
        <v>2149</v>
      </c>
      <c r="M170" s="264" t="s">
        <v>41</v>
      </c>
      <c r="N170" s="254"/>
    </row>
    <row r="171" spans="1:14" ht="14.4">
      <c r="A171" s="28" t="s">
        <v>9850</v>
      </c>
      <c r="B171" s="28" t="s">
        <v>1379</v>
      </c>
      <c r="C171" s="107" t="s">
        <v>319</v>
      </c>
      <c r="D171" s="107" t="s">
        <v>796</v>
      </c>
      <c r="E171" s="266" t="s">
        <v>54</v>
      </c>
      <c r="F171" s="280" t="s">
        <v>10726</v>
      </c>
      <c r="G171" s="254"/>
      <c r="H171" s="266" t="s">
        <v>10028</v>
      </c>
      <c r="I171" s="264" t="s">
        <v>2790</v>
      </c>
      <c r="J171" s="264" t="s">
        <v>10029</v>
      </c>
      <c r="K171" s="264" t="s">
        <v>10028</v>
      </c>
      <c r="L171" s="264" t="s">
        <v>2149</v>
      </c>
      <c r="M171" s="264" t="s">
        <v>41</v>
      </c>
      <c r="N171" s="254"/>
    </row>
    <row r="172" spans="1:14" ht="14.4">
      <c r="A172" s="28" t="s">
        <v>9850</v>
      </c>
      <c r="B172" s="28" t="s">
        <v>1379</v>
      </c>
      <c r="C172" s="107" t="s">
        <v>319</v>
      </c>
      <c r="D172" s="107" t="s">
        <v>796</v>
      </c>
      <c r="E172" s="266" t="s">
        <v>54</v>
      </c>
      <c r="F172" s="280" t="s">
        <v>10727</v>
      </c>
      <c r="G172" s="254"/>
      <c r="H172" s="266" t="s">
        <v>10028</v>
      </c>
      <c r="I172" s="264" t="s">
        <v>2790</v>
      </c>
      <c r="J172" s="264" t="s">
        <v>10029</v>
      </c>
      <c r="K172" s="264" t="s">
        <v>10028</v>
      </c>
      <c r="L172" s="264" t="s">
        <v>2149</v>
      </c>
      <c r="M172" s="264" t="s">
        <v>41</v>
      </c>
      <c r="N172" s="254"/>
    </row>
    <row r="173" spans="1:14" ht="14.4">
      <c r="A173" s="28" t="s">
        <v>9850</v>
      </c>
      <c r="B173" s="28" t="s">
        <v>1379</v>
      </c>
      <c r="C173" s="107" t="s">
        <v>319</v>
      </c>
      <c r="D173" s="107" t="s">
        <v>796</v>
      </c>
      <c r="E173" s="266" t="s">
        <v>54</v>
      </c>
      <c r="F173" s="280" t="s">
        <v>10731</v>
      </c>
      <c r="G173" s="254"/>
      <c r="H173" s="266" t="s">
        <v>10028</v>
      </c>
      <c r="I173" s="264" t="s">
        <v>2790</v>
      </c>
      <c r="J173" s="264" t="s">
        <v>10029</v>
      </c>
      <c r="K173" s="264" t="s">
        <v>10028</v>
      </c>
      <c r="L173" s="264" t="s">
        <v>2149</v>
      </c>
      <c r="M173" s="264" t="s">
        <v>41</v>
      </c>
      <c r="N173" s="254"/>
    </row>
    <row r="174" spans="1:14" ht="14.4">
      <c r="A174" s="28" t="s">
        <v>9850</v>
      </c>
      <c r="B174" s="28" t="s">
        <v>1379</v>
      </c>
      <c r="C174" s="107" t="s">
        <v>319</v>
      </c>
      <c r="D174" s="107" t="s">
        <v>796</v>
      </c>
      <c r="E174" s="266" t="s">
        <v>54</v>
      </c>
      <c r="F174" s="280" t="s">
        <v>10732</v>
      </c>
      <c r="G174" s="254"/>
      <c r="H174" s="266" t="s">
        <v>10028</v>
      </c>
      <c r="I174" s="264" t="s">
        <v>2790</v>
      </c>
      <c r="J174" s="264" t="s">
        <v>10029</v>
      </c>
      <c r="K174" s="264" t="s">
        <v>10028</v>
      </c>
      <c r="L174" s="264" t="s">
        <v>2149</v>
      </c>
      <c r="M174" s="264" t="s">
        <v>41</v>
      </c>
      <c r="N174" s="254"/>
    </row>
    <row r="175" spans="1:14" ht="14.4">
      <c r="A175" s="28" t="s">
        <v>9850</v>
      </c>
      <c r="B175" s="28" t="s">
        <v>1379</v>
      </c>
      <c r="C175" s="107" t="s">
        <v>319</v>
      </c>
      <c r="D175" s="107" t="s">
        <v>796</v>
      </c>
      <c r="E175" s="266" t="s">
        <v>54</v>
      </c>
      <c r="F175" s="280" t="s">
        <v>10733</v>
      </c>
      <c r="G175" s="254"/>
      <c r="H175" s="266" t="s">
        <v>10028</v>
      </c>
      <c r="I175" s="264" t="s">
        <v>2790</v>
      </c>
      <c r="J175" s="264" t="s">
        <v>10029</v>
      </c>
      <c r="K175" s="264" t="s">
        <v>10028</v>
      </c>
      <c r="L175" s="264" t="s">
        <v>2149</v>
      </c>
      <c r="M175" s="264" t="s">
        <v>41</v>
      </c>
      <c r="N175" s="254"/>
    </row>
    <row r="176" spans="1:14" ht="14.4">
      <c r="A176" s="28" t="s">
        <v>9850</v>
      </c>
      <c r="B176" s="28" t="s">
        <v>1379</v>
      </c>
      <c r="C176" s="107" t="s">
        <v>319</v>
      </c>
      <c r="D176" s="107" t="s">
        <v>796</v>
      </c>
      <c r="E176" s="266" t="s">
        <v>54</v>
      </c>
      <c r="F176" s="280" t="s">
        <v>10736</v>
      </c>
      <c r="G176" s="254"/>
      <c r="H176" s="266" t="s">
        <v>10028</v>
      </c>
      <c r="I176" s="264" t="s">
        <v>2790</v>
      </c>
      <c r="J176" s="264" t="s">
        <v>10029</v>
      </c>
      <c r="K176" s="264" t="s">
        <v>10028</v>
      </c>
      <c r="L176" s="264" t="s">
        <v>2149</v>
      </c>
      <c r="M176" s="264" t="s">
        <v>41</v>
      </c>
      <c r="N176" s="254"/>
    </row>
    <row r="177" spans="1:15" ht="14.4">
      <c r="A177" s="28" t="s">
        <v>9850</v>
      </c>
      <c r="B177" s="28" t="s">
        <v>1379</v>
      </c>
      <c r="C177" s="107" t="s">
        <v>319</v>
      </c>
      <c r="D177" s="107" t="s">
        <v>796</v>
      </c>
      <c r="E177" s="266" t="s">
        <v>54</v>
      </c>
      <c r="F177" s="280" t="s">
        <v>10738</v>
      </c>
      <c r="G177" s="254"/>
      <c r="H177" s="266" t="s">
        <v>10028</v>
      </c>
      <c r="I177" s="264" t="s">
        <v>2790</v>
      </c>
      <c r="J177" s="264" t="s">
        <v>10029</v>
      </c>
      <c r="K177" s="264" t="s">
        <v>10028</v>
      </c>
      <c r="L177" s="264" t="s">
        <v>2149</v>
      </c>
      <c r="M177" s="264" t="s">
        <v>41</v>
      </c>
      <c r="N177" s="254"/>
    </row>
    <row r="178" spans="1:15" ht="14.4">
      <c r="A178" s="28" t="s">
        <v>9850</v>
      </c>
      <c r="B178" s="28" t="s">
        <v>1379</v>
      </c>
      <c r="C178" s="107" t="s">
        <v>319</v>
      </c>
      <c r="D178" s="107" t="s">
        <v>796</v>
      </c>
      <c r="E178" s="266" t="s">
        <v>54</v>
      </c>
      <c r="F178" s="280" t="s">
        <v>10739</v>
      </c>
      <c r="G178" s="254"/>
      <c r="H178" s="266" t="s">
        <v>10028</v>
      </c>
      <c r="I178" s="264" t="s">
        <v>2790</v>
      </c>
      <c r="J178" s="264" t="s">
        <v>10029</v>
      </c>
      <c r="K178" s="264" t="s">
        <v>10028</v>
      </c>
      <c r="L178" s="264" t="s">
        <v>2149</v>
      </c>
      <c r="M178" s="264" t="s">
        <v>41</v>
      </c>
      <c r="N178" s="254"/>
    </row>
    <row r="179" spans="1:15" ht="14.4">
      <c r="A179" s="28" t="s">
        <v>9850</v>
      </c>
      <c r="B179" s="28" t="s">
        <v>1379</v>
      </c>
      <c r="C179" s="107" t="s">
        <v>319</v>
      </c>
      <c r="D179" s="107" t="s">
        <v>796</v>
      </c>
      <c r="E179" s="266" t="s">
        <v>54</v>
      </c>
      <c r="F179" s="280" t="s">
        <v>10743</v>
      </c>
      <c r="G179" s="254"/>
      <c r="H179" s="266" t="s">
        <v>10028</v>
      </c>
      <c r="I179" s="264" t="s">
        <v>2790</v>
      </c>
      <c r="J179" s="264" t="s">
        <v>10029</v>
      </c>
      <c r="K179" s="264" t="s">
        <v>10028</v>
      </c>
      <c r="L179" s="264" t="s">
        <v>2149</v>
      </c>
      <c r="M179" s="264" t="s">
        <v>41</v>
      </c>
      <c r="N179" s="254"/>
    </row>
    <row r="180" spans="1:15" ht="14.4">
      <c r="A180" s="28" t="s">
        <v>9850</v>
      </c>
      <c r="B180" s="28" t="s">
        <v>1379</v>
      </c>
      <c r="C180" s="107" t="s">
        <v>319</v>
      </c>
      <c r="D180" s="107" t="s">
        <v>796</v>
      </c>
      <c r="E180" s="266" t="s">
        <v>54</v>
      </c>
      <c r="F180" s="280" t="s">
        <v>10744</v>
      </c>
      <c r="G180" s="254"/>
      <c r="H180" s="266" t="s">
        <v>10028</v>
      </c>
      <c r="I180" s="264" t="s">
        <v>2790</v>
      </c>
      <c r="J180" s="264" t="s">
        <v>10029</v>
      </c>
      <c r="K180" s="264" t="s">
        <v>10028</v>
      </c>
      <c r="L180" s="264" t="s">
        <v>2149</v>
      </c>
      <c r="M180" s="264" t="s">
        <v>41</v>
      </c>
      <c r="N180" s="254"/>
    </row>
    <row r="181" spans="1:15" ht="14.4">
      <c r="A181" s="28" t="s">
        <v>9850</v>
      </c>
      <c r="B181" s="28" t="s">
        <v>1379</v>
      </c>
      <c r="C181" s="107" t="s">
        <v>319</v>
      </c>
      <c r="D181" s="107" t="s">
        <v>796</v>
      </c>
      <c r="E181" s="266" t="s">
        <v>54</v>
      </c>
      <c r="F181" s="280" t="s">
        <v>10745</v>
      </c>
      <c r="G181" s="254"/>
      <c r="H181" s="266" t="s">
        <v>10028</v>
      </c>
      <c r="I181" s="264" t="s">
        <v>2790</v>
      </c>
      <c r="J181" s="264" t="s">
        <v>10029</v>
      </c>
      <c r="K181" s="264" t="s">
        <v>10028</v>
      </c>
      <c r="L181" s="264" t="s">
        <v>2149</v>
      </c>
      <c r="M181" s="264" t="s">
        <v>41</v>
      </c>
      <c r="N181" s="254"/>
    </row>
    <row r="182" spans="1:15" ht="14.4">
      <c r="A182" s="28" t="s">
        <v>9850</v>
      </c>
      <c r="B182" s="98" t="s">
        <v>1379</v>
      </c>
      <c r="C182" s="107" t="s">
        <v>319</v>
      </c>
      <c r="D182" s="184" t="s">
        <v>796</v>
      </c>
      <c r="E182" s="266" t="s">
        <v>54</v>
      </c>
      <c r="F182" s="280" t="s">
        <v>10751</v>
      </c>
      <c r="G182" s="281"/>
      <c r="H182" s="266" t="s">
        <v>10028</v>
      </c>
      <c r="I182" s="264" t="s">
        <v>2790</v>
      </c>
      <c r="J182" s="264" t="s">
        <v>10029</v>
      </c>
      <c r="K182" s="264" t="s">
        <v>10028</v>
      </c>
      <c r="L182" s="264" t="s">
        <v>2149</v>
      </c>
      <c r="M182" s="264" t="s">
        <v>41</v>
      </c>
      <c r="N182" s="281"/>
    </row>
    <row r="183" spans="1:15" ht="14.4">
      <c r="A183" s="28" t="s">
        <v>9850</v>
      </c>
      <c r="B183" s="28" t="s">
        <v>1379</v>
      </c>
      <c r="C183" s="107" t="s">
        <v>319</v>
      </c>
      <c r="D183" s="107" t="s">
        <v>796</v>
      </c>
      <c r="E183" s="266" t="s">
        <v>54</v>
      </c>
      <c r="F183" s="280" t="s">
        <v>10755</v>
      </c>
      <c r="G183" s="254"/>
      <c r="H183" s="266" t="s">
        <v>10028</v>
      </c>
      <c r="I183" s="264" t="s">
        <v>2790</v>
      </c>
      <c r="J183" s="264" t="s">
        <v>10029</v>
      </c>
      <c r="K183" s="264" t="s">
        <v>10028</v>
      </c>
      <c r="L183" s="264" t="s">
        <v>2149</v>
      </c>
      <c r="M183" s="264" t="s">
        <v>41</v>
      </c>
      <c r="N183" s="254"/>
    </row>
    <row r="184" spans="1:15" ht="14.4">
      <c r="A184" s="34" t="s">
        <v>9850</v>
      </c>
      <c r="B184" s="98" t="s">
        <v>1379</v>
      </c>
      <c r="C184" s="107" t="s">
        <v>319</v>
      </c>
      <c r="D184" s="184" t="s">
        <v>796</v>
      </c>
      <c r="E184" s="266" t="s">
        <v>54</v>
      </c>
      <c r="F184" s="280" t="s">
        <v>10759</v>
      </c>
      <c r="G184" s="281"/>
      <c r="H184" s="266" t="s">
        <v>10028</v>
      </c>
      <c r="I184" s="264" t="s">
        <v>2790</v>
      </c>
      <c r="J184" s="264" t="s">
        <v>10029</v>
      </c>
      <c r="K184" s="264" t="s">
        <v>10028</v>
      </c>
      <c r="L184" s="264" t="s">
        <v>2149</v>
      </c>
      <c r="M184" s="264" t="s">
        <v>41</v>
      </c>
      <c r="N184" s="281"/>
    </row>
    <row r="185" spans="1:15" ht="14.4">
      <c r="A185" s="28" t="s">
        <v>9850</v>
      </c>
      <c r="B185" s="28" t="s">
        <v>1379</v>
      </c>
      <c r="C185" s="107" t="s">
        <v>319</v>
      </c>
      <c r="D185" s="107" t="s">
        <v>796</v>
      </c>
      <c r="E185" s="272" t="s">
        <v>54</v>
      </c>
      <c r="F185" s="79" t="s">
        <v>10761</v>
      </c>
      <c r="G185" s="254"/>
      <c r="H185" s="272" t="s">
        <v>10028</v>
      </c>
      <c r="I185" s="272" t="s">
        <v>2790</v>
      </c>
      <c r="J185" s="272" t="s">
        <v>10029</v>
      </c>
      <c r="K185" s="272" t="s">
        <v>10028</v>
      </c>
      <c r="L185" s="272" t="s">
        <v>2149</v>
      </c>
      <c r="M185" s="272" t="s">
        <v>41</v>
      </c>
      <c r="N185" s="254"/>
    </row>
    <row r="186" spans="1:15" ht="14.4">
      <c r="A186" s="264" t="s">
        <v>9850</v>
      </c>
      <c r="B186" s="264" t="s">
        <v>49</v>
      </c>
      <c r="C186" s="264" t="s">
        <v>20</v>
      </c>
      <c r="D186" s="254" t="s">
        <v>1305</v>
      </c>
      <c r="E186" s="264" t="s">
        <v>54</v>
      </c>
      <c r="F186" s="264" t="s">
        <v>10763</v>
      </c>
      <c r="G186" s="264" t="s">
        <v>10764</v>
      </c>
      <c r="H186" s="264" t="s">
        <v>9950</v>
      </c>
      <c r="I186" s="264" t="s">
        <v>119</v>
      </c>
      <c r="J186" s="264" t="s">
        <v>3330</v>
      </c>
      <c r="K186" s="264" t="s">
        <v>9950</v>
      </c>
      <c r="L186" s="264" t="s">
        <v>4480</v>
      </c>
      <c r="M186" s="264" t="s">
        <v>41</v>
      </c>
      <c r="N186" s="271"/>
    </row>
    <row r="187" spans="1:15" ht="14.4">
      <c r="A187" s="264" t="s">
        <v>9850</v>
      </c>
      <c r="B187" s="264" t="s">
        <v>49</v>
      </c>
      <c r="C187" s="264" t="s">
        <v>20</v>
      </c>
      <c r="D187" s="254" t="s">
        <v>1305</v>
      </c>
      <c r="E187" s="264" t="s">
        <v>54</v>
      </c>
      <c r="F187" s="264" t="s">
        <v>10766</v>
      </c>
      <c r="G187" s="264" t="s">
        <v>10767</v>
      </c>
      <c r="H187" s="264" t="s">
        <v>7714</v>
      </c>
      <c r="I187" s="264" t="s">
        <v>95</v>
      </c>
      <c r="J187" s="264" t="s">
        <v>3323</v>
      </c>
      <c r="K187" s="264" t="s">
        <v>9860</v>
      </c>
      <c r="L187" s="264" t="s">
        <v>9862</v>
      </c>
      <c r="M187" s="264" t="s">
        <v>41</v>
      </c>
      <c r="N187" s="271"/>
    </row>
    <row r="188" spans="1:15" ht="14.4">
      <c r="A188" s="264" t="s">
        <v>9850</v>
      </c>
      <c r="B188" s="264" t="s">
        <v>10022</v>
      </c>
      <c r="C188" s="276" t="s">
        <v>260</v>
      </c>
      <c r="D188" s="107" t="s">
        <v>1337</v>
      </c>
      <c r="E188" s="266" t="s">
        <v>54</v>
      </c>
      <c r="F188" s="264" t="s">
        <v>10770</v>
      </c>
      <c r="G188" s="264" t="s">
        <v>1342</v>
      </c>
      <c r="H188" s="264" t="s">
        <v>10771</v>
      </c>
      <c r="I188" s="264" t="s">
        <v>887</v>
      </c>
      <c r="J188" s="264" t="s">
        <v>10772</v>
      </c>
      <c r="K188" s="264" t="s">
        <v>10773</v>
      </c>
      <c r="L188" s="264" t="s">
        <v>729</v>
      </c>
      <c r="M188" s="264" t="s">
        <v>41</v>
      </c>
      <c r="N188" s="271"/>
    </row>
    <row r="189" spans="1:15" ht="14.4">
      <c r="A189" s="264" t="s">
        <v>9850</v>
      </c>
      <c r="B189" s="264" t="s">
        <v>10022</v>
      </c>
      <c r="C189" s="276" t="s">
        <v>260</v>
      </c>
      <c r="D189" s="107" t="s">
        <v>1337</v>
      </c>
      <c r="E189" s="264" t="s">
        <v>54</v>
      </c>
      <c r="F189" s="264" t="s">
        <v>10775</v>
      </c>
      <c r="G189" s="264" t="s">
        <v>1342</v>
      </c>
      <c r="H189" s="264" t="s">
        <v>10776</v>
      </c>
      <c r="I189" s="264" t="s">
        <v>887</v>
      </c>
      <c r="J189" s="264" t="s">
        <v>10777</v>
      </c>
      <c r="K189" s="264" t="s">
        <v>10773</v>
      </c>
      <c r="L189" s="264" t="s">
        <v>729</v>
      </c>
      <c r="M189" s="264" t="s">
        <v>41</v>
      </c>
      <c r="N189" s="271"/>
    </row>
    <row r="190" spans="1:15" ht="14.4">
      <c r="A190" s="264" t="s">
        <v>9850</v>
      </c>
      <c r="B190" s="264" t="s">
        <v>10022</v>
      </c>
      <c r="C190" s="276" t="s">
        <v>260</v>
      </c>
      <c r="D190" s="107" t="s">
        <v>1337</v>
      </c>
      <c r="E190" s="264" t="s">
        <v>54</v>
      </c>
      <c r="F190" s="264" t="s">
        <v>10779</v>
      </c>
      <c r="G190" s="264" t="s">
        <v>1342</v>
      </c>
      <c r="H190" s="264" t="s">
        <v>10780</v>
      </c>
      <c r="I190" s="264" t="s">
        <v>887</v>
      </c>
      <c r="J190" s="264" t="s">
        <v>10781</v>
      </c>
      <c r="K190" s="264" t="s">
        <v>10773</v>
      </c>
      <c r="L190" s="264" t="s">
        <v>729</v>
      </c>
      <c r="M190" s="264" t="s">
        <v>41</v>
      </c>
      <c r="N190" s="271"/>
    </row>
    <row r="191" spans="1:15" ht="14.4">
      <c r="A191" s="264" t="s">
        <v>9850</v>
      </c>
      <c r="B191" s="264" t="s">
        <v>10022</v>
      </c>
      <c r="C191" s="276" t="s">
        <v>260</v>
      </c>
      <c r="D191" s="107" t="s">
        <v>1337</v>
      </c>
      <c r="E191" s="264" t="s">
        <v>54</v>
      </c>
      <c r="F191" s="264" t="s">
        <v>10782</v>
      </c>
      <c r="G191" s="264" t="s">
        <v>1342</v>
      </c>
      <c r="H191" s="264" t="s">
        <v>10783</v>
      </c>
      <c r="I191" s="264" t="s">
        <v>887</v>
      </c>
      <c r="J191" s="264" t="s">
        <v>10784</v>
      </c>
      <c r="K191" s="264" t="s">
        <v>10785</v>
      </c>
      <c r="L191" s="264" t="s">
        <v>989</v>
      </c>
      <c r="M191" s="264" t="s">
        <v>41</v>
      </c>
      <c r="N191" s="271"/>
      <c r="O191" s="264"/>
    </row>
    <row r="192" spans="1:15" ht="14.4">
      <c r="A192" s="264" t="s">
        <v>9850</v>
      </c>
      <c r="B192" s="264" t="s">
        <v>10022</v>
      </c>
      <c r="C192" s="276" t="s">
        <v>260</v>
      </c>
      <c r="D192" s="282" t="s">
        <v>1337</v>
      </c>
      <c r="E192" s="264" t="s">
        <v>54</v>
      </c>
      <c r="F192" s="264" t="s">
        <v>10791</v>
      </c>
      <c r="G192" s="264" t="s">
        <v>1342</v>
      </c>
      <c r="H192" s="264" t="s">
        <v>10051</v>
      </c>
      <c r="I192" s="264" t="s">
        <v>10792</v>
      </c>
      <c r="J192" s="264" t="s">
        <v>10793</v>
      </c>
      <c r="K192" s="264" t="s">
        <v>10773</v>
      </c>
      <c r="L192" s="264" t="s">
        <v>729</v>
      </c>
      <c r="M192" s="264" t="s">
        <v>41</v>
      </c>
      <c r="N192" s="271"/>
      <c r="O192" s="264"/>
    </row>
    <row r="193" spans="1:15" ht="14.4">
      <c r="A193" s="254" t="s">
        <v>9850</v>
      </c>
      <c r="B193" s="254" t="s">
        <v>10022</v>
      </c>
      <c r="C193" s="254" t="s">
        <v>20</v>
      </c>
      <c r="D193" s="254" t="s">
        <v>1305</v>
      </c>
      <c r="E193" s="264" t="s">
        <v>54</v>
      </c>
      <c r="F193" s="254" t="s">
        <v>10795</v>
      </c>
      <c r="G193" s="254" t="s">
        <v>10797</v>
      </c>
      <c r="H193" s="254" t="s">
        <v>10077</v>
      </c>
      <c r="I193" s="254" t="s">
        <v>521</v>
      </c>
      <c r="J193" s="254" t="s">
        <v>10046</v>
      </c>
      <c r="K193" s="254" t="s">
        <v>10077</v>
      </c>
      <c r="L193" s="254" t="s">
        <v>2149</v>
      </c>
      <c r="M193" s="254" t="s">
        <v>41</v>
      </c>
      <c r="N193" s="254"/>
      <c r="O193" s="264"/>
    </row>
    <row r="194" spans="1:15" ht="14.4">
      <c r="A194" s="265" t="s">
        <v>9850</v>
      </c>
      <c r="B194" s="265" t="s">
        <v>10146</v>
      </c>
      <c r="C194" s="265" t="s">
        <v>20</v>
      </c>
      <c r="D194" s="275" t="s">
        <v>1305</v>
      </c>
      <c r="E194" s="264" t="s">
        <v>54</v>
      </c>
      <c r="F194" s="265" t="s">
        <v>10801</v>
      </c>
      <c r="G194" s="265" t="s">
        <v>10802</v>
      </c>
      <c r="H194" s="265" t="s">
        <v>10803</v>
      </c>
      <c r="I194" s="265" t="s">
        <v>933</v>
      </c>
      <c r="J194" s="265" t="s">
        <v>10804</v>
      </c>
      <c r="K194" s="265" t="s">
        <v>10803</v>
      </c>
      <c r="L194" s="265" t="s">
        <v>10153</v>
      </c>
      <c r="M194" s="265" t="s">
        <v>41</v>
      </c>
      <c r="N194" s="281"/>
      <c r="O194" s="264"/>
    </row>
    <row r="195" spans="1:15" ht="14.4">
      <c r="A195" s="264" t="s">
        <v>9850</v>
      </c>
      <c r="B195" s="264" t="s">
        <v>10263</v>
      </c>
      <c r="C195" s="276" t="s">
        <v>260</v>
      </c>
      <c r="D195" s="107" t="s">
        <v>1337</v>
      </c>
      <c r="E195" s="266" t="s">
        <v>54</v>
      </c>
      <c r="F195" s="264" t="s">
        <v>10809</v>
      </c>
      <c r="G195" s="264" t="s">
        <v>1342</v>
      </c>
      <c r="H195" s="264" t="s">
        <v>10810</v>
      </c>
      <c r="I195" s="264" t="s">
        <v>887</v>
      </c>
      <c r="J195" s="264" t="s">
        <v>10813</v>
      </c>
      <c r="K195" s="264" t="s">
        <v>10810</v>
      </c>
      <c r="L195" s="264" t="s">
        <v>10280</v>
      </c>
      <c r="M195" s="271" t="s">
        <v>41</v>
      </c>
      <c r="N195" s="101"/>
      <c r="O195" s="264"/>
    </row>
    <row r="196" spans="1:15" ht="14.4">
      <c r="A196" s="264" t="s">
        <v>9850</v>
      </c>
      <c r="B196" s="264" t="s">
        <v>10263</v>
      </c>
      <c r="C196" s="276" t="s">
        <v>260</v>
      </c>
      <c r="D196" s="107" t="s">
        <v>1337</v>
      </c>
      <c r="E196" s="264" t="s">
        <v>54</v>
      </c>
      <c r="F196" s="264" t="s">
        <v>10809</v>
      </c>
      <c r="G196" s="264" t="s">
        <v>1342</v>
      </c>
      <c r="H196" s="264" t="s">
        <v>10816</v>
      </c>
      <c r="I196" s="264" t="s">
        <v>887</v>
      </c>
      <c r="J196" s="264" t="s">
        <v>10818</v>
      </c>
      <c r="K196" s="264" t="s">
        <v>10816</v>
      </c>
      <c r="L196" s="264" t="s">
        <v>10274</v>
      </c>
      <c r="M196" s="271" t="s">
        <v>41</v>
      </c>
      <c r="N196" s="101"/>
    </row>
    <row r="197" spans="1:15" ht="14.4">
      <c r="A197" s="264" t="s">
        <v>9850</v>
      </c>
      <c r="B197" s="264" t="s">
        <v>10263</v>
      </c>
      <c r="C197" s="276" t="s">
        <v>260</v>
      </c>
      <c r="D197" s="107" t="s">
        <v>1337</v>
      </c>
      <c r="E197" s="264" t="s">
        <v>54</v>
      </c>
      <c r="F197" s="264" t="s">
        <v>10809</v>
      </c>
      <c r="G197" s="264" t="s">
        <v>1342</v>
      </c>
      <c r="H197" s="264" t="s">
        <v>10819</v>
      </c>
      <c r="I197" s="264" t="s">
        <v>887</v>
      </c>
      <c r="J197" s="264" t="s">
        <v>10820</v>
      </c>
      <c r="K197" s="264" t="s">
        <v>10819</v>
      </c>
      <c r="L197" s="264" t="s">
        <v>10269</v>
      </c>
      <c r="M197" s="271" t="s">
        <v>41</v>
      </c>
      <c r="N197" s="101"/>
    </row>
    <row r="198" spans="1:15" ht="14.4">
      <c r="A198" s="264" t="s">
        <v>9850</v>
      </c>
      <c r="B198" s="264" t="s">
        <v>10263</v>
      </c>
      <c r="C198" s="276" t="s">
        <v>260</v>
      </c>
      <c r="D198" s="107" t="s">
        <v>1337</v>
      </c>
      <c r="E198" s="264" t="s">
        <v>54</v>
      </c>
      <c r="F198" s="264" t="s">
        <v>10809</v>
      </c>
      <c r="G198" s="264" t="s">
        <v>1342</v>
      </c>
      <c r="H198" s="264" t="s">
        <v>10825</v>
      </c>
      <c r="I198" s="264" t="s">
        <v>887</v>
      </c>
      <c r="J198" s="264" t="s">
        <v>10826</v>
      </c>
      <c r="K198" s="264" t="s">
        <v>10825</v>
      </c>
      <c r="L198" s="264" t="s">
        <v>10323</v>
      </c>
      <c r="M198" s="271" t="s">
        <v>41</v>
      </c>
      <c r="N198" s="101"/>
    </row>
    <row r="199" spans="1:15" ht="14.4">
      <c r="A199" s="264" t="s">
        <v>9850</v>
      </c>
      <c r="B199" s="264" t="s">
        <v>10263</v>
      </c>
      <c r="C199" s="276" t="s">
        <v>260</v>
      </c>
      <c r="D199" s="107" t="s">
        <v>1337</v>
      </c>
      <c r="E199" s="264" t="s">
        <v>54</v>
      </c>
      <c r="F199" s="264" t="s">
        <v>10809</v>
      </c>
      <c r="G199" s="264" t="s">
        <v>1342</v>
      </c>
      <c r="H199" s="264" t="s">
        <v>10829</v>
      </c>
      <c r="I199" s="264" t="s">
        <v>10831</v>
      </c>
      <c r="J199" s="264" t="s">
        <v>10832</v>
      </c>
      <c r="K199" s="264" t="s">
        <v>10829</v>
      </c>
      <c r="L199" s="264" t="s">
        <v>10301</v>
      </c>
      <c r="M199" s="271" t="s">
        <v>41</v>
      </c>
      <c r="N199" s="101"/>
    </row>
    <row r="200" spans="1:15" ht="14.4">
      <c r="A200" s="264" t="s">
        <v>9850</v>
      </c>
      <c r="B200" s="264" t="s">
        <v>10263</v>
      </c>
      <c r="C200" s="264" t="s">
        <v>20</v>
      </c>
      <c r="D200" s="254" t="s">
        <v>1305</v>
      </c>
      <c r="E200" s="264" t="s">
        <v>54</v>
      </c>
      <c r="F200" s="264" t="s">
        <v>10833</v>
      </c>
      <c r="G200" s="264" t="s">
        <v>10834</v>
      </c>
      <c r="H200" s="264" t="s">
        <v>10835</v>
      </c>
      <c r="I200" s="264" t="s">
        <v>933</v>
      </c>
      <c r="J200" s="264" t="s">
        <v>10836</v>
      </c>
      <c r="K200" s="264" t="s">
        <v>438</v>
      </c>
      <c r="L200" s="264" t="s">
        <v>10838</v>
      </c>
      <c r="M200" s="264" t="s">
        <v>41</v>
      </c>
      <c r="N200" s="271"/>
    </row>
    <row r="201" spans="1:15" ht="14.4">
      <c r="A201" s="264" t="s">
        <v>9850</v>
      </c>
      <c r="B201" s="264" t="s">
        <v>10348</v>
      </c>
      <c r="C201" s="276" t="s">
        <v>260</v>
      </c>
      <c r="D201" s="107" t="s">
        <v>1337</v>
      </c>
      <c r="E201" s="266" t="s">
        <v>54</v>
      </c>
      <c r="F201" s="264" t="s">
        <v>10842</v>
      </c>
      <c r="G201" s="264" t="s">
        <v>1342</v>
      </c>
      <c r="H201" s="264" t="s">
        <v>10366</v>
      </c>
      <c r="I201" s="264" t="s">
        <v>7741</v>
      </c>
      <c r="J201" s="264" t="s">
        <v>10843</v>
      </c>
      <c r="K201" s="264" t="s">
        <v>10366</v>
      </c>
      <c r="L201" s="264" t="s">
        <v>10359</v>
      </c>
      <c r="M201" s="264" t="s">
        <v>41</v>
      </c>
      <c r="N201" s="271"/>
    </row>
    <row r="202" spans="1:15" ht="14.4">
      <c r="A202" s="264" t="s">
        <v>9850</v>
      </c>
      <c r="B202" s="264" t="s">
        <v>10348</v>
      </c>
      <c r="C202" s="276" t="s">
        <v>260</v>
      </c>
      <c r="D202" s="107" t="s">
        <v>1337</v>
      </c>
      <c r="E202" s="266" t="s">
        <v>54</v>
      </c>
      <c r="F202" s="264" t="s">
        <v>10844</v>
      </c>
      <c r="G202" s="264" t="s">
        <v>1342</v>
      </c>
      <c r="H202" s="264" t="s">
        <v>10845</v>
      </c>
      <c r="I202" s="264" t="s">
        <v>521</v>
      </c>
      <c r="J202" s="264" t="s">
        <v>10846</v>
      </c>
      <c r="K202" s="264" t="s">
        <v>10845</v>
      </c>
      <c r="L202" s="264" t="s">
        <v>2166</v>
      </c>
      <c r="M202" s="264" t="s">
        <v>41</v>
      </c>
      <c r="N202" s="271"/>
    </row>
    <row r="203" spans="1:15" ht="14.4">
      <c r="A203" s="264" t="s">
        <v>9850</v>
      </c>
      <c r="B203" s="264" t="s">
        <v>10348</v>
      </c>
      <c r="C203" s="276" t="s">
        <v>260</v>
      </c>
      <c r="D203" s="107" t="s">
        <v>1337</v>
      </c>
      <c r="E203" s="266" t="s">
        <v>54</v>
      </c>
      <c r="F203" s="264" t="s">
        <v>10849</v>
      </c>
      <c r="G203" s="264" t="s">
        <v>1342</v>
      </c>
      <c r="H203" s="264" t="s">
        <v>10850</v>
      </c>
      <c r="I203" s="264" t="s">
        <v>521</v>
      </c>
      <c r="J203" s="264" t="s">
        <v>10851</v>
      </c>
      <c r="K203" s="264" t="s">
        <v>10850</v>
      </c>
      <c r="L203" s="264" t="s">
        <v>10374</v>
      </c>
      <c r="M203" s="264" t="s">
        <v>41</v>
      </c>
      <c r="N203" s="271"/>
    </row>
    <row r="204" spans="1:15" ht="14.4">
      <c r="A204" s="264" t="s">
        <v>9850</v>
      </c>
      <c r="B204" s="264" t="s">
        <v>10348</v>
      </c>
      <c r="C204" s="276" t="s">
        <v>260</v>
      </c>
      <c r="D204" s="107" t="s">
        <v>1337</v>
      </c>
      <c r="E204" s="266" t="s">
        <v>54</v>
      </c>
      <c r="F204" s="264" t="s">
        <v>10852</v>
      </c>
      <c r="G204" s="264" t="s">
        <v>1342</v>
      </c>
      <c r="H204" s="264" t="s">
        <v>10853</v>
      </c>
      <c r="I204" s="264" t="s">
        <v>2714</v>
      </c>
      <c r="J204" s="264" t="s">
        <v>10854</v>
      </c>
      <c r="K204" s="264" t="s">
        <v>10853</v>
      </c>
      <c r="L204" s="264" t="s">
        <v>10434</v>
      </c>
      <c r="M204" s="264" t="s">
        <v>41</v>
      </c>
      <c r="N204" s="271"/>
    </row>
    <row r="205" spans="1:15" ht="14.4">
      <c r="A205" s="264" t="s">
        <v>9850</v>
      </c>
      <c r="B205" s="264" t="s">
        <v>10348</v>
      </c>
      <c r="C205" s="276" t="s">
        <v>260</v>
      </c>
      <c r="D205" s="107" t="s">
        <v>1337</v>
      </c>
      <c r="E205" s="266" t="s">
        <v>54</v>
      </c>
      <c r="F205" s="264" t="s">
        <v>10858</v>
      </c>
      <c r="G205" s="264" t="s">
        <v>1342</v>
      </c>
      <c r="H205" s="264" t="s">
        <v>10859</v>
      </c>
      <c r="I205" s="264" t="s">
        <v>2714</v>
      </c>
      <c r="J205" s="264" t="s">
        <v>10860</v>
      </c>
      <c r="K205" s="264" t="s">
        <v>10859</v>
      </c>
      <c r="L205" s="264" t="s">
        <v>10415</v>
      </c>
      <c r="M205" s="264" t="s">
        <v>41</v>
      </c>
      <c r="N205" s="271"/>
    </row>
    <row r="206" spans="1:15" ht="14.4">
      <c r="A206" s="264" t="s">
        <v>9850</v>
      </c>
      <c r="B206" s="264" t="s">
        <v>10348</v>
      </c>
      <c r="C206" s="276" t="s">
        <v>260</v>
      </c>
      <c r="D206" s="107" t="s">
        <v>1337</v>
      </c>
      <c r="E206" s="266" t="s">
        <v>54</v>
      </c>
      <c r="F206" s="264" t="s">
        <v>10861</v>
      </c>
      <c r="G206" s="264" t="s">
        <v>1342</v>
      </c>
      <c r="H206" s="264" t="s">
        <v>10862</v>
      </c>
      <c r="I206" s="264" t="s">
        <v>521</v>
      </c>
      <c r="J206" s="264" t="s">
        <v>10863</v>
      </c>
      <c r="K206" s="264" t="s">
        <v>10862</v>
      </c>
      <c r="L206" s="264" t="s">
        <v>10381</v>
      </c>
      <c r="M206" s="264" t="s">
        <v>41</v>
      </c>
      <c r="N206" s="271"/>
    </row>
    <row r="207" spans="1:15" ht="14.4">
      <c r="A207" s="264" t="s">
        <v>9850</v>
      </c>
      <c r="B207" s="264" t="s">
        <v>10348</v>
      </c>
      <c r="C207" s="276" t="s">
        <v>260</v>
      </c>
      <c r="D207" s="107" t="s">
        <v>1337</v>
      </c>
      <c r="E207" s="266" t="s">
        <v>54</v>
      </c>
      <c r="F207" s="264" t="s">
        <v>10868</v>
      </c>
      <c r="G207" s="264" t="s">
        <v>1342</v>
      </c>
      <c r="H207" s="264" t="s">
        <v>10869</v>
      </c>
      <c r="I207" s="264" t="s">
        <v>887</v>
      </c>
      <c r="J207" s="264" t="s">
        <v>10870</v>
      </c>
      <c r="K207" s="264" t="s">
        <v>10869</v>
      </c>
      <c r="L207" s="264" t="s">
        <v>10395</v>
      </c>
      <c r="M207" s="264" t="s">
        <v>41</v>
      </c>
      <c r="N207" s="271"/>
    </row>
    <row r="208" spans="1:15" ht="14.4">
      <c r="A208" s="264" t="s">
        <v>9850</v>
      </c>
      <c r="B208" s="264" t="s">
        <v>10348</v>
      </c>
      <c r="C208" s="276" t="s">
        <v>260</v>
      </c>
      <c r="D208" s="107" t="s">
        <v>1337</v>
      </c>
      <c r="E208" s="266" t="s">
        <v>54</v>
      </c>
      <c r="F208" s="264" t="s">
        <v>10871</v>
      </c>
      <c r="G208" s="264" t="s">
        <v>1342</v>
      </c>
      <c r="H208" s="264" t="s">
        <v>10872</v>
      </c>
      <c r="I208" s="264" t="s">
        <v>2714</v>
      </c>
      <c r="J208" s="264" t="s">
        <v>10873</v>
      </c>
      <c r="K208" s="264" t="s">
        <v>10872</v>
      </c>
      <c r="L208" s="264" t="s">
        <v>10388</v>
      </c>
      <c r="M208" s="264" t="s">
        <v>41</v>
      </c>
      <c r="N208" s="271"/>
    </row>
    <row r="209" spans="1:14" ht="14.4">
      <c r="A209" s="264" t="s">
        <v>9850</v>
      </c>
      <c r="B209" s="264" t="s">
        <v>10348</v>
      </c>
      <c r="C209" s="276" t="s">
        <v>260</v>
      </c>
      <c r="D209" s="107" t="s">
        <v>1337</v>
      </c>
      <c r="E209" s="266" t="s">
        <v>54</v>
      </c>
      <c r="F209" s="264" t="s">
        <v>10877</v>
      </c>
      <c r="G209" s="264" t="s">
        <v>1342</v>
      </c>
      <c r="H209" s="264" t="s">
        <v>10879</v>
      </c>
      <c r="I209" s="264" t="s">
        <v>2714</v>
      </c>
      <c r="J209" s="264" t="s">
        <v>10880</v>
      </c>
      <c r="K209" s="264" t="s">
        <v>10879</v>
      </c>
      <c r="L209" s="264" t="s">
        <v>10407</v>
      </c>
      <c r="M209" s="264" t="s">
        <v>41</v>
      </c>
      <c r="N209" s="271"/>
    </row>
    <row r="210" spans="1:14" ht="14.4">
      <c r="A210" s="264" t="s">
        <v>9850</v>
      </c>
      <c r="B210" s="264" t="s">
        <v>10348</v>
      </c>
      <c r="C210" s="276" t="s">
        <v>260</v>
      </c>
      <c r="D210" s="107" t="s">
        <v>1337</v>
      </c>
      <c r="E210" s="266" t="s">
        <v>54</v>
      </c>
      <c r="F210" s="264" t="s">
        <v>10881</v>
      </c>
      <c r="G210" s="264" t="s">
        <v>1342</v>
      </c>
      <c r="H210" s="264" t="s">
        <v>10882</v>
      </c>
      <c r="I210" s="264" t="s">
        <v>887</v>
      </c>
      <c r="J210" s="264" t="s">
        <v>10883</v>
      </c>
      <c r="K210" s="264" t="s">
        <v>10882</v>
      </c>
      <c r="L210" s="264" t="s">
        <v>10354</v>
      </c>
      <c r="M210" s="264" t="s">
        <v>41</v>
      </c>
      <c r="N210" s="271"/>
    </row>
    <row r="211" spans="1:14" ht="14.4">
      <c r="A211" s="264" t="s">
        <v>9850</v>
      </c>
      <c r="B211" s="264" t="s">
        <v>10348</v>
      </c>
      <c r="C211" s="276" t="s">
        <v>260</v>
      </c>
      <c r="D211" s="107" t="s">
        <v>1337</v>
      </c>
      <c r="E211" s="266" t="s">
        <v>54</v>
      </c>
      <c r="F211" s="264" t="s">
        <v>10887</v>
      </c>
      <c r="G211" s="264" t="s">
        <v>1342</v>
      </c>
      <c r="H211" s="264" t="s">
        <v>10888</v>
      </c>
      <c r="I211" s="264" t="s">
        <v>2714</v>
      </c>
      <c r="J211" s="264" t="s">
        <v>10889</v>
      </c>
      <c r="K211" s="264" t="s">
        <v>10888</v>
      </c>
      <c r="L211" s="264" t="s">
        <v>10426</v>
      </c>
      <c r="M211" s="264" t="s">
        <v>41</v>
      </c>
      <c r="N211" s="271"/>
    </row>
    <row r="212" spans="1:14" ht="14.4">
      <c r="A212" s="264" t="s">
        <v>9850</v>
      </c>
      <c r="B212" s="264" t="s">
        <v>10348</v>
      </c>
      <c r="C212" s="276" t="s">
        <v>260</v>
      </c>
      <c r="D212" s="107" t="s">
        <v>1337</v>
      </c>
      <c r="E212" s="266" t="s">
        <v>54</v>
      </c>
      <c r="F212" s="264" t="s">
        <v>10890</v>
      </c>
      <c r="G212" s="264" t="s">
        <v>1342</v>
      </c>
      <c r="H212" s="264" t="s">
        <v>10891</v>
      </c>
      <c r="I212" s="264" t="s">
        <v>887</v>
      </c>
      <c r="J212" s="264" t="s">
        <v>10892</v>
      </c>
      <c r="K212" s="264" t="s">
        <v>10891</v>
      </c>
      <c r="L212" s="264" t="s">
        <v>10420</v>
      </c>
      <c r="M212" s="264" t="s">
        <v>41</v>
      </c>
      <c r="N212" s="271"/>
    </row>
    <row r="213" spans="1:14" ht="14.4">
      <c r="A213" s="264" t="s">
        <v>9850</v>
      </c>
      <c r="B213" s="264" t="s">
        <v>10348</v>
      </c>
      <c r="C213" s="276" t="s">
        <v>260</v>
      </c>
      <c r="D213" s="107" t="s">
        <v>1337</v>
      </c>
      <c r="E213" s="266" t="s">
        <v>54</v>
      </c>
      <c r="F213" s="264" t="s">
        <v>10896</v>
      </c>
      <c r="G213" s="264" t="s">
        <v>1342</v>
      </c>
      <c r="H213" s="264" t="s">
        <v>10897</v>
      </c>
      <c r="I213" s="264" t="s">
        <v>689</v>
      </c>
      <c r="J213" s="264" t="s">
        <v>10898</v>
      </c>
      <c r="K213" s="264" t="s">
        <v>10897</v>
      </c>
      <c r="L213" s="264" t="s">
        <v>10899</v>
      </c>
      <c r="M213" s="264" t="s">
        <v>41</v>
      </c>
      <c r="N213" s="271"/>
    </row>
    <row r="214" spans="1:14" ht="14.4">
      <c r="A214" s="264" t="s">
        <v>9850</v>
      </c>
      <c r="B214" s="264" t="s">
        <v>10348</v>
      </c>
      <c r="C214" s="264" t="s">
        <v>20</v>
      </c>
      <c r="D214" s="254" t="s">
        <v>1305</v>
      </c>
      <c r="E214" s="264" t="s">
        <v>54</v>
      </c>
      <c r="F214" s="264" t="s">
        <v>10900</v>
      </c>
      <c r="G214" s="264" t="s">
        <v>10901</v>
      </c>
      <c r="H214" s="264" t="s">
        <v>10903</v>
      </c>
      <c r="I214" s="264" t="s">
        <v>10904</v>
      </c>
      <c r="J214" s="264" t="s">
        <v>10906</v>
      </c>
      <c r="K214" s="264" t="s">
        <v>10903</v>
      </c>
      <c r="L214" s="264" t="s">
        <v>10907</v>
      </c>
      <c r="M214" s="264" t="s">
        <v>41</v>
      </c>
      <c r="N214" s="271"/>
    </row>
    <row r="215" spans="1:14" ht="14.4">
      <c r="A215" s="264" t="s">
        <v>9850</v>
      </c>
      <c r="B215" s="264" t="s">
        <v>10482</v>
      </c>
      <c r="C215" s="276" t="s">
        <v>260</v>
      </c>
      <c r="D215" s="107" t="s">
        <v>1337</v>
      </c>
      <c r="E215" s="266" t="s">
        <v>54</v>
      </c>
      <c r="F215" s="264" t="s">
        <v>10909</v>
      </c>
      <c r="G215" s="264" t="s">
        <v>1342</v>
      </c>
      <c r="H215" s="264" t="s">
        <v>10910</v>
      </c>
      <c r="I215" s="264" t="s">
        <v>10911</v>
      </c>
      <c r="J215" s="264" t="s">
        <v>10912</v>
      </c>
      <c r="K215" s="264" t="s">
        <v>10910</v>
      </c>
      <c r="L215" s="264" t="s">
        <v>10359</v>
      </c>
      <c r="M215" s="277" t="s">
        <v>41</v>
      </c>
      <c r="N215" s="271"/>
    </row>
    <row r="216" spans="1:14" ht="14.4">
      <c r="A216" s="264" t="s">
        <v>9850</v>
      </c>
      <c r="B216" s="264" t="s">
        <v>10482</v>
      </c>
      <c r="C216" s="276" t="s">
        <v>260</v>
      </c>
      <c r="D216" s="107" t="s">
        <v>1337</v>
      </c>
      <c r="E216" s="266" t="s">
        <v>54</v>
      </c>
      <c r="F216" s="264" t="s">
        <v>10917</v>
      </c>
      <c r="G216" s="264" t="s">
        <v>1342</v>
      </c>
      <c r="H216" s="264" t="s">
        <v>10918</v>
      </c>
      <c r="I216" s="264" t="s">
        <v>7741</v>
      </c>
      <c r="J216" s="264" t="s">
        <v>10919</v>
      </c>
      <c r="K216" s="264" t="s">
        <v>10918</v>
      </c>
      <c r="L216" s="264" t="s">
        <v>10359</v>
      </c>
      <c r="M216" s="264" t="s">
        <v>41</v>
      </c>
      <c r="N216" s="271"/>
    </row>
    <row r="217" spans="1:14" ht="14.4">
      <c r="A217" s="264" t="s">
        <v>9850</v>
      </c>
      <c r="B217" s="264" t="s">
        <v>10482</v>
      </c>
      <c r="C217" s="276" t="s">
        <v>260</v>
      </c>
      <c r="D217" s="107" t="s">
        <v>1337</v>
      </c>
      <c r="E217" s="266" t="s">
        <v>54</v>
      </c>
      <c r="F217" s="264" t="s">
        <v>10920</v>
      </c>
      <c r="G217" s="264" t="s">
        <v>1342</v>
      </c>
      <c r="H217" s="264" t="s">
        <v>10921</v>
      </c>
      <c r="I217" s="264" t="s">
        <v>887</v>
      </c>
      <c r="J217" s="264" t="s">
        <v>10923</v>
      </c>
      <c r="K217" s="264" t="s">
        <v>10534</v>
      </c>
      <c r="L217" s="264" t="s">
        <v>10925</v>
      </c>
      <c r="M217" s="264" t="s">
        <v>41</v>
      </c>
      <c r="N217" s="271"/>
    </row>
    <row r="218" spans="1:14" ht="14.4">
      <c r="A218" s="264" t="s">
        <v>9850</v>
      </c>
      <c r="B218" s="264" t="s">
        <v>10482</v>
      </c>
      <c r="C218" s="276" t="s">
        <v>260</v>
      </c>
      <c r="D218" s="107" t="s">
        <v>1337</v>
      </c>
      <c r="E218" s="266" t="s">
        <v>54</v>
      </c>
      <c r="F218" s="264" t="s">
        <v>10927</v>
      </c>
      <c r="G218" s="264" t="s">
        <v>1342</v>
      </c>
      <c r="H218" s="264" t="s">
        <v>10928</v>
      </c>
      <c r="I218" s="264" t="s">
        <v>887</v>
      </c>
      <c r="J218" s="264" t="s">
        <v>10929</v>
      </c>
      <c r="K218" s="264" t="s">
        <v>10928</v>
      </c>
      <c r="L218" s="264" t="s">
        <v>10930</v>
      </c>
      <c r="M218" s="264" t="s">
        <v>41</v>
      </c>
      <c r="N218" s="271"/>
    </row>
    <row r="219" spans="1:14" ht="14.4">
      <c r="A219" s="264" t="s">
        <v>9850</v>
      </c>
      <c r="B219" s="264" t="s">
        <v>10482</v>
      </c>
      <c r="C219" s="276" t="s">
        <v>260</v>
      </c>
      <c r="D219" s="107" t="s">
        <v>1337</v>
      </c>
      <c r="E219" s="266" t="s">
        <v>54</v>
      </c>
      <c r="F219" s="264" t="s">
        <v>10931</v>
      </c>
      <c r="G219" s="264" t="s">
        <v>1342</v>
      </c>
      <c r="H219" s="264" t="s">
        <v>10933</v>
      </c>
      <c r="I219" s="264" t="s">
        <v>2714</v>
      </c>
      <c r="J219" s="264" t="s">
        <v>10935</v>
      </c>
      <c r="K219" s="264" t="s">
        <v>10933</v>
      </c>
      <c r="L219" s="264" t="s">
        <v>10937</v>
      </c>
      <c r="M219" s="264" t="s">
        <v>41</v>
      </c>
      <c r="N219" s="271"/>
    </row>
    <row r="220" spans="1:14" ht="14.4">
      <c r="A220" s="264" t="s">
        <v>9850</v>
      </c>
      <c r="B220" s="264" t="s">
        <v>10482</v>
      </c>
      <c r="C220" s="276" t="s">
        <v>20</v>
      </c>
      <c r="D220" s="254" t="s">
        <v>1305</v>
      </c>
      <c r="E220" s="264" t="s">
        <v>54</v>
      </c>
      <c r="F220" s="264" t="s">
        <v>10938</v>
      </c>
      <c r="G220" s="264" t="s">
        <v>10939</v>
      </c>
      <c r="H220" s="264" t="s">
        <v>10940</v>
      </c>
      <c r="I220" s="264"/>
      <c r="J220" s="264" t="s">
        <v>10941</v>
      </c>
      <c r="K220" s="264" t="s">
        <v>10940</v>
      </c>
      <c r="L220" s="264"/>
      <c r="M220" s="264" t="s">
        <v>41</v>
      </c>
      <c r="N220" s="271" t="s">
        <v>10517</v>
      </c>
    </row>
    <row r="221" spans="1:14" ht="14.4">
      <c r="A221" s="264" t="s">
        <v>9850</v>
      </c>
      <c r="B221" s="264" t="s">
        <v>10146</v>
      </c>
      <c r="C221" s="276" t="s">
        <v>260</v>
      </c>
      <c r="D221" s="107" t="s">
        <v>1337</v>
      </c>
      <c r="E221" s="266" t="s">
        <v>54</v>
      </c>
      <c r="F221" s="264" t="s">
        <v>10943</v>
      </c>
      <c r="G221" s="264" t="s">
        <v>1342</v>
      </c>
      <c r="H221" s="264" t="s">
        <v>10945</v>
      </c>
      <c r="I221" s="264" t="s">
        <v>2714</v>
      </c>
      <c r="J221" s="264" t="s">
        <v>10947</v>
      </c>
      <c r="K221" s="264" t="s">
        <v>10945</v>
      </c>
      <c r="L221" s="264" t="s">
        <v>729</v>
      </c>
      <c r="M221" s="264" t="s">
        <v>41</v>
      </c>
      <c r="N221" s="271"/>
    </row>
    <row r="222" spans="1:14" ht="14.4">
      <c r="A222" s="264" t="s">
        <v>9850</v>
      </c>
      <c r="B222" s="264" t="s">
        <v>10146</v>
      </c>
      <c r="C222" s="276" t="s">
        <v>260</v>
      </c>
      <c r="D222" s="107" t="s">
        <v>1337</v>
      </c>
      <c r="E222" s="266" t="s">
        <v>54</v>
      </c>
      <c r="F222" s="264" t="s">
        <v>10949</v>
      </c>
      <c r="G222" s="264" t="s">
        <v>1342</v>
      </c>
      <c r="H222" s="264" t="s">
        <v>10950</v>
      </c>
      <c r="I222" s="264" t="s">
        <v>9262</v>
      </c>
      <c r="J222" s="264" t="s">
        <v>10951</v>
      </c>
      <c r="K222" s="264" t="s">
        <v>10950</v>
      </c>
      <c r="L222" s="264" t="s">
        <v>729</v>
      </c>
      <c r="M222" s="264" t="s">
        <v>41</v>
      </c>
      <c r="N222" s="271"/>
    </row>
    <row r="223" spans="1:14" ht="14.4">
      <c r="A223" s="264" t="s">
        <v>9850</v>
      </c>
      <c r="B223" s="264" t="s">
        <v>10146</v>
      </c>
      <c r="C223" s="276" t="s">
        <v>260</v>
      </c>
      <c r="D223" s="107" t="s">
        <v>1337</v>
      </c>
      <c r="E223" s="266" t="s">
        <v>54</v>
      </c>
      <c r="F223" s="264" t="s">
        <v>10959</v>
      </c>
      <c r="G223" s="264" t="s">
        <v>1342</v>
      </c>
      <c r="H223" s="264" t="s">
        <v>10960</v>
      </c>
      <c r="I223" s="264" t="s">
        <v>2714</v>
      </c>
      <c r="J223" s="264" t="s">
        <v>10961</v>
      </c>
      <c r="K223" s="264" t="s">
        <v>10960</v>
      </c>
      <c r="L223" s="264" t="s">
        <v>729</v>
      </c>
      <c r="M223" s="264" t="s">
        <v>41</v>
      </c>
      <c r="N223" s="271"/>
    </row>
    <row r="224" spans="1:14" ht="14.4">
      <c r="A224" s="264" t="s">
        <v>9850</v>
      </c>
      <c r="B224" s="264" t="s">
        <v>10146</v>
      </c>
      <c r="C224" s="276" t="s">
        <v>260</v>
      </c>
      <c r="D224" s="107" t="s">
        <v>1337</v>
      </c>
      <c r="E224" s="266" t="s">
        <v>54</v>
      </c>
      <c r="F224" s="264" t="s">
        <v>10962</v>
      </c>
      <c r="G224" s="264" t="s">
        <v>1342</v>
      </c>
      <c r="H224" s="264" t="s">
        <v>10964</v>
      </c>
      <c r="I224" s="264" t="s">
        <v>2714</v>
      </c>
      <c r="J224" s="264" t="s">
        <v>10947</v>
      </c>
      <c r="K224" s="264" t="s">
        <v>10964</v>
      </c>
      <c r="L224" s="264" t="s">
        <v>729</v>
      </c>
      <c r="M224" s="264" t="s">
        <v>41</v>
      </c>
      <c r="N224" s="271"/>
    </row>
    <row r="225" spans="1:14" ht="14.4">
      <c r="A225" s="264" t="s">
        <v>9850</v>
      </c>
      <c r="B225" s="264" t="s">
        <v>10146</v>
      </c>
      <c r="C225" s="276" t="s">
        <v>260</v>
      </c>
      <c r="D225" s="107" t="s">
        <v>1337</v>
      </c>
      <c r="E225" s="266" t="s">
        <v>54</v>
      </c>
      <c r="F225" s="264" t="s">
        <v>10967</v>
      </c>
      <c r="G225" s="264" t="s">
        <v>1342</v>
      </c>
      <c r="H225" s="264" t="s">
        <v>10968</v>
      </c>
      <c r="I225" s="264" t="s">
        <v>521</v>
      </c>
      <c r="J225" s="264" t="s">
        <v>10969</v>
      </c>
      <c r="K225" s="264" t="s">
        <v>10968</v>
      </c>
      <c r="L225" s="264" t="s">
        <v>729</v>
      </c>
      <c r="M225" s="264" t="s">
        <v>41</v>
      </c>
      <c r="N225" s="271"/>
    </row>
    <row r="226" spans="1:14" ht="14.4">
      <c r="A226" s="264" t="s">
        <v>9850</v>
      </c>
      <c r="B226" s="264" t="s">
        <v>10146</v>
      </c>
      <c r="C226" s="276" t="s">
        <v>260</v>
      </c>
      <c r="D226" s="107" t="s">
        <v>1337</v>
      </c>
      <c r="E226" s="266" t="s">
        <v>54</v>
      </c>
      <c r="F226" s="264" t="s">
        <v>10970</v>
      </c>
      <c r="G226" s="264" t="s">
        <v>1342</v>
      </c>
      <c r="H226" s="264" t="s">
        <v>10972</v>
      </c>
      <c r="I226" s="264" t="s">
        <v>887</v>
      </c>
      <c r="J226" s="264" t="s">
        <v>10973</v>
      </c>
      <c r="K226" s="264" t="s">
        <v>10972</v>
      </c>
      <c r="L226" s="264" t="s">
        <v>729</v>
      </c>
      <c r="M226" s="264" t="s">
        <v>41</v>
      </c>
      <c r="N226" s="271"/>
    </row>
    <row r="227" spans="1:14" ht="14.4">
      <c r="A227" s="264" t="s">
        <v>9850</v>
      </c>
      <c r="B227" s="264" t="s">
        <v>10146</v>
      </c>
      <c r="C227" s="276" t="s">
        <v>260</v>
      </c>
      <c r="D227" s="107" t="s">
        <v>1337</v>
      </c>
      <c r="E227" s="266" t="s">
        <v>54</v>
      </c>
      <c r="F227" s="264" t="s">
        <v>10976</v>
      </c>
      <c r="G227" s="264" t="s">
        <v>1342</v>
      </c>
      <c r="H227" s="264" t="s">
        <v>10977</v>
      </c>
      <c r="I227" s="264" t="s">
        <v>2714</v>
      </c>
      <c r="J227" s="264" t="s">
        <v>10978</v>
      </c>
      <c r="K227" s="264" t="s">
        <v>10977</v>
      </c>
      <c r="L227" s="264" t="s">
        <v>729</v>
      </c>
      <c r="M227" s="264" t="s">
        <v>41</v>
      </c>
      <c r="N227" s="271"/>
    </row>
    <row r="228" spans="1:14" ht="14.4">
      <c r="A228" s="264" t="s">
        <v>9850</v>
      </c>
      <c r="B228" s="264" t="s">
        <v>10146</v>
      </c>
      <c r="C228" s="276" t="s">
        <v>260</v>
      </c>
      <c r="D228" s="107" t="s">
        <v>1337</v>
      </c>
      <c r="E228" s="266" t="s">
        <v>54</v>
      </c>
      <c r="F228" s="264" t="s">
        <v>10979</v>
      </c>
      <c r="G228" s="264" t="s">
        <v>1342</v>
      </c>
      <c r="H228" s="264" t="s">
        <v>10981</v>
      </c>
      <c r="I228" s="264" t="s">
        <v>887</v>
      </c>
      <c r="J228" s="264" t="s">
        <v>10982</v>
      </c>
      <c r="K228" s="264" t="s">
        <v>10981</v>
      </c>
      <c r="L228" s="264" t="s">
        <v>729</v>
      </c>
      <c r="M228" s="264" t="s">
        <v>41</v>
      </c>
      <c r="N228" s="271"/>
    </row>
    <row r="229" spans="1:14" ht="14.4">
      <c r="A229" s="264" t="s">
        <v>9850</v>
      </c>
      <c r="B229" s="264" t="s">
        <v>10146</v>
      </c>
      <c r="C229" s="276" t="s">
        <v>260</v>
      </c>
      <c r="D229" s="107" t="s">
        <v>1337</v>
      </c>
      <c r="E229" s="266" t="s">
        <v>54</v>
      </c>
      <c r="F229" s="264" t="s">
        <v>10984</v>
      </c>
      <c r="G229" s="264" t="s">
        <v>1342</v>
      </c>
      <c r="H229" s="264" t="s">
        <v>10985</v>
      </c>
      <c r="I229" s="264" t="s">
        <v>887</v>
      </c>
      <c r="J229" s="264" t="s">
        <v>10986</v>
      </c>
      <c r="K229" s="264" t="s">
        <v>10985</v>
      </c>
      <c r="L229" s="264" t="s">
        <v>729</v>
      </c>
      <c r="M229" s="264" t="s">
        <v>41</v>
      </c>
      <c r="N229" s="271"/>
    </row>
    <row r="230" spans="1:14" ht="14.4">
      <c r="A230" s="264" t="s">
        <v>9850</v>
      </c>
      <c r="B230" s="264" t="s">
        <v>10146</v>
      </c>
      <c r="C230" s="276" t="s">
        <v>260</v>
      </c>
      <c r="D230" s="107" t="s">
        <v>1337</v>
      </c>
      <c r="E230" s="266" t="s">
        <v>54</v>
      </c>
      <c r="F230" s="264" t="s">
        <v>10988</v>
      </c>
      <c r="G230" s="264" t="s">
        <v>1342</v>
      </c>
      <c r="H230" s="264" t="s">
        <v>10989</v>
      </c>
      <c r="I230" s="264" t="s">
        <v>887</v>
      </c>
      <c r="J230" s="264" t="s">
        <v>10991</v>
      </c>
      <c r="K230" s="264" t="s">
        <v>10989</v>
      </c>
      <c r="L230" s="264" t="s">
        <v>729</v>
      </c>
      <c r="M230" s="264" t="s">
        <v>41</v>
      </c>
      <c r="N230" s="271"/>
    </row>
    <row r="231" spans="1:14" ht="14.4">
      <c r="A231" s="264" t="s">
        <v>9850</v>
      </c>
      <c r="B231" s="264" t="s">
        <v>10146</v>
      </c>
      <c r="C231" s="276" t="s">
        <v>260</v>
      </c>
      <c r="D231" s="107" t="s">
        <v>1337</v>
      </c>
      <c r="E231" s="266" t="s">
        <v>54</v>
      </c>
      <c r="F231" s="264" t="s">
        <v>10993</v>
      </c>
      <c r="G231" s="264" t="s">
        <v>1342</v>
      </c>
      <c r="H231" s="264" t="s">
        <v>10994</v>
      </c>
      <c r="I231" s="264" t="s">
        <v>2714</v>
      </c>
      <c r="J231" s="264" t="s">
        <v>10995</v>
      </c>
      <c r="K231" s="264" t="s">
        <v>10994</v>
      </c>
      <c r="L231" s="264" t="s">
        <v>729</v>
      </c>
      <c r="M231" s="264" t="s">
        <v>41</v>
      </c>
      <c r="N231" s="271"/>
    </row>
    <row r="232" spans="1:14" ht="14.4">
      <c r="A232" s="264" t="s">
        <v>9850</v>
      </c>
      <c r="B232" s="264" t="s">
        <v>10146</v>
      </c>
      <c r="C232" s="276" t="s">
        <v>260</v>
      </c>
      <c r="D232" s="107" t="s">
        <v>1337</v>
      </c>
      <c r="E232" s="266" t="s">
        <v>54</v>
      </c>
      <c r="F232" s="264" t="s">
        <v>10999</v>
      </c>
      <c r="G232" s="264" t="s">
        <v>1342</v>
      </c>
      <c r="H232" s="264" t="s">
        <v>11001</v>
      </c>
      <c r="I232" s="264" t="s">
        <v>10911</v>
      </c>
      <c r="J232" s="264" t="s">
        <v>11002</v>
      </c>
      <c r="K232" s="264" t="s">
        <v>11001</v>
      </c>
      <c r="L232" s="264" t="s">
        <v>729</v>
      </c>
      <c r="M232" s="264" t="s">
        <v>41</v>
      </c>
      <c r="N232" s="271"/>
    </row>
    <row r="233" spans="1:14" ht="14.4">
      <c r="A233" s="264" t="s">
        <v>9850</v>
      </c>
      <c r="B233" s="264" t="s">
        <v>10146</v>
      </c>
      <c r="C233" s="276" t="s">
        <v>260</v>
      </c>
      <c r="D233" s="107" t="s">
        <v>1337</v>
      </c>
      <c r="E233" s="266" t="s">
        <v>54</v>
      </c>
      <c r="F233" s="264" t="s">
        <v>11003</v>
      </c>
      <c r="G233" s="264" t="s">
        <v>1342</v>
      </c>
      <c r="H233" s="264" t="s">
        <v>10159</v>
      </c>
      <c r="I233" s="264" t="s">
        <v>3181</v>
      </c>
      <c r="J233" s="264" t="s">
        <v>11004</v>
      </c>
      <c r="K233" s="264" t="s">
        <v>10159</v>
      </c>
      <c r="L233" s="264" t="s">
        <v>729</v>
      </c>
      <c r="M233" s="264" t="s">
        <v>41</v>
      </c>
      <c r="N233" s="271"/>
    </row>
    <row r="234" spans="1:14" ht="14.4">
      <c r="A234" s="264" t="s">
        <v>9850</v>
      </c>
      <c r="B234" s="264" t="s">
        <v>10485</v>
      </c>
      <c r="C234" s="276" t="s">
        <v>260</v>
      </c>
      <c r="D234" s="107" t="s">
        <v>1337</v>
      </c>
      <c r="E234" s="266" t="s">
        <v>54</v>
      </c>
      <c r="F234" s="264" t="s">
        <v>11005</v>
      </c>
      <c r="G234" s="264" t="s">
        <v>1342</v>
      </c>
      <c r="H234" s="264" t="s">
        <v>11007</v>
      </c>
      <c r="I234" s="264" t="s">
        <v>9262</v>
      </c>
      <c r="J234" s="264" t="s">
        <v>11008</v>
      </c>
      <c r="K234" s="264" t="s">
        <v>11007</v>
      </c>
      <c r="L234" s="264" t="s">
        <v>2149</v>
      </c>
      <c r="M234" s="264" t="s">
        <v>41</v>
      </c>
      <c r="N234" s="271" t="s">
        <v>10517</v>
      </c>
    </row>
    <row r="235" spans="1:14" ht="14.4">
      <c r="A235" s="264" t="s">
        <v>9850</v>
      </c>
      <c r="B235" s="264" t="s">
        <v>10485</v>
      </c>
      <c r="C235" s="276" t="s">
        <v>260</v>
      </c>
      <c r="D235" s="107" t="s">
        <v>1337</v>
      </c>
      <c r="E235" s="266" t="s">
        <v>54</v>
      </c>
      <c r="F235" s="264" t="s">
        <v>11009</v>
      </c>
      <c r="G235" s="264" t="s">
        <v>1342</v>
      </c>
      <c r="H235" s="264" t="s">
        <v>11011</v>
      </c>
      <c r="I235" s="264" t="s">
        <v>887</v>
      </c>
      <c r="J235" s="264" t="s">
        <v>11008</v>
      </c>
      <c r="K235" s="264" t="s">
        <v>11011</v>
      </c>
      <c r="L235" s="264" t="s">
        <v>11014</v>
      </c>
      <c r="M235" s="264" t="s">
        <v>41</v>
      </c>
      <c r="N235" s="271" t="s">
        <v>10517</v>
      </c>
    </row>
    <row r="236" spans="1:14" ht="14.4">
      <c r="A236" s="264" t="s">
        <v>9850</v>
      </c>
      <c r="B236" s="264" t="s">
        <v>10485</v>
      </c>
      <c r="C236" s="276" t="s">
        <v>260</v>
      </c>
      <c r="D236" s="107" t="s">
        <v>1337</v>
      </c>
      <c r="E236" s="266" t="s">
        <v>54</v>
      </c>
      <c r="F236" s="264" t="s">
        <v>11015</v>
      </c>
      <c r="G236" s="264" t="s">
        <v>1342</v>
      </c>
      <c r="H236" s="264" t="s">
        <v>11016</v>
      </c>
      <c r="I236" s="264" t="s">
        <v>887</v>
      </c>
      <c r="J236" s="264" t="s">
        <v>11008</v>
      </c>
      <c r="K236" s="264" t="s">
        <v>11016</v>
      </c>
      <c r="L236" s="264" t="s">
        <v>11018</v>
      </c>
      <c r="M236" s="264" t="s">
        <v>41</v>
      </c>
      <c r="N236" s="271" t="s">
        <v>10517</v>
      </c>
    </row>
    <row r="237" spans="1:14" ht="14.4">
      <c r="A237" s="264" t="s">
        <v>9850</v>
      </c>
      <c r="B237" s="264" t="s">
        <v>10485</v>
      </c>
      <c r="C237" s="276" t="s">
        <v>260</v>
      </c>
      <c r="D237" s="107" t="s">
        <v>1337</v>
      </c>
      <c r="E237" s="266" t="s">
        <v>54</v>
      </c>
      <c r="F237" s="264" t="s">
        <v>11022</v>
      </c>
      <c r="G237" s="264" t="s">
        <v>1342</v>
      </c>
      <c r="H237" s="264" t="s">
        <v>11023</v>
      </c>
      <c r="I237" s="264" t="s">
        <v>898</v>
      </c>
      <c r="J237" s="264" t="s">
        <v>11008</v>
      </c>
      <c r="K237" s="264" t="s">
        <v>11023</v>
      </c>
      <c r="L237" s="264" t="s">
        <v>2336</v>
      </c>
      <c r="M237" s="264" t="s">
        <v>41</v>
      </c>
      <c r="N237" s="271" t="s">
        <v>10517</v>
      </c>
    </row>
    <row r="238" spans="1:14" ht="14.4">
      <c r="A238" s="264" t="s">
        <v>9850</v>
      </c>
      <c r="B238" s="264" t="s">
        <v>10485</v>
      </c>
      <c r="C238" s="276" t="s">
        <v>260</v>
      </c>
      <c r="D238" s="107" t="s">
        <v>1337</v>
      </c>
      <c r="E238" s="266" t="s">
        <v>54</v>
      </c>
      <c r="F238" s="264" t="s">
        <v>11024</v>
      </c>
      <c r="G238" s="264" t="s">
        <v>1342</v>
      </c>
      <c r="H238" s="264" t="s">
        <v>11025</v>
      </c>
      <c r="I238" s="264" t="s">
        <v>887</v>
      </c>
      <c r="J238" s="264" t="s">
        <v>11008</v>
      </c>
      <c r="K238" s="264" t="s">
        <v>11025</v>
      </c>
      <c r="L238" s="264" t="s">
        <v>11027</v>
      </c>
      <c r="M238" s="264" t="s">
        <v>41</v>
      </c>
      <c r="N238" s="271" t="s">
        <v>10517</v>
      </c>
    </row>
    <row r="239" spans="1:14" ht="14.4">
      <c r="A239" s="264" t="s">
        <v>9850</v>
      </c>
      <c r="B239" s="264" t="s">
        <v>10485</v>
      </c>
      <c r="C239" s="276" t="s">
        <v>260</v>
      </c>
      <c r="D239" s="107" t="s">
        <v>1337</v>
      </c>
      <c r="E239" s="266" t="s">
        <v>54</v>
      </c>
      <c r="F239" s="264" t="s">
        <v>11031</v>
      </c>
      <c r="G239" s="264" t="s">
        <v>1342</v>
      </c>
      <c r="H239" s="264" t="s">
        <v>11032</v>
      </c>
      <c r="I239" s="264" t="s">
        <v>10911</v>
      </c>
      <c r="J239" s="264" t="s">
        <v>11008</v>
      </c>
      <c r="K239" s="264" t="s">
        <v>11032</v>
      </c>
      <c r="L239" s="264" t="s">
        <v>11033</v>
      </c>
      <c r="M239" s="264" t="s">
        <v>41</v>
      </c>
      <c r="N239" s="271" t="s">
        <v>10517</v>
      </c>
    </row>
    <row r="240" spans="1:14" ht="14.4">
      <c r="A240" s="264" t="s">
        <v>9850</v>
      </c>
      <c r="B240" s="264" t="s">
        <v>10485</v>
      </c>
      <c r="C240" s="276" t="s">
        <v>260</v>
      </c>
      <c r="D240" s="107" t="s">
        <v>1337</v>
      </c>
      <c r="E240" s="266" t="s">
        <v>54</v>
      </c>
      <c r="F240" s="264" t="s">
        <v>11034</v>
      </c>
      <c r="G240" s="264" t="s">
        <v>1342</v>
      </c>
      <c r="H240" s="264" t="s">
        <v>10640</v>
      </c>
      <c r="I240" s="264" t="s">
        <v>887</v>
      </c>
      <c r="J240" s="264" t="s">
        <v>11008</v>
      </c>
      <c r="K240" s="264" t="s">
        <v>10640</v>
      </c>
      <c r="L240" s="264" t="s">
        <v>2149</v>
      </c>
      <c r="M240" s="264" t="s">
        <v>41</v>
      </c>
      <c r="N240" s="271" t="s">
        <v>10517</v>
      </c>
    </row>
    <row r="241" spans="1:14" ht="14.4">
      <c r="A241" s="264" t="s">
        <v>9850</v>
      </c>
      <c r="B241" s="264" t="s">
        <v>10485</v>
      </c>
      <c r="C241" s="276" t="s">
        <v>260</v>
      </c>
      <c r="D241" s="107" t="s">
        <v>1337</v>
      </c>
      <c r="E241" s="266" t="s">
        <v>54</v>
      </c>
      <c r="F241" s="264" t="s">
        <v>11038</v>
      </c>
      <c r="G241" s="264" t="s">
        <v>1342</v>
      </c>
      <c r="H241" s="264"/>
      <c r="I241" s="264"/>
      <c r="J241" s="264" t="s">
        <v>11008</v>
      </c>
      <c r="K241" s="264"/>
      <c r="L241" s="264"/>
      <c r="M241" s="264" t="s">
        <v>41</v>
      </c>
      <c r="N241" s="271" t="s">
        <v>11039</v>
      </c>
    </row>
    <row r="242" spans="1:14" ht="14.4">
      <c r="A242" s="264" t="s">
        <v>9850</v>
      </c>
      <c r="B242" s="264" t="s">
        <v>10485</v>
      </c>
      <c r="C242" s="276" t="s">
        <v>260</v>
      </c>
      <c r="D242" s="107" t="s">
        <v>1337</v>
      </c>
      <c r="E242" s="266" t="s">
        <v>54</v>
      </c>
      <c r="F242" s="264" t="s">
        <v>11040</v>
      </c>
      <c r="G242" s="264" t="s">
        <v>1342</v>
      </c>
      <c r="H242" s="264" t="s">
        <v>11041</v>
      </c>
      <c r="I242" s="264" t="s">
        <v>887</v>
      </c>
      <c r="J242" s="264" t="s">
        <v>11008</v>
      </c>
      <c r="K242" s="264" t="s">
        <v>11041</v>
      </c>
      <c r="L242" s="264" t="s">
        <v>11043</v>
      </c>
      <c r="M242" s="264" t="s">
        <v>41</v>
      </c>
      <c r="N242" s="271" t="s">
        <v>10517</v>
      </c>
    </row>
    <row r="243" spans="1:14" ht="14.4">
      <c r="A243" s="264" t="s">
        <v>9850</v>
      </c>
      <c r="B243" s="264" t="s">
        <v>10485</v>
      </c>
      <c r="C243" s="276" t="s">
        <v>260</v>
      </c>
      <c r="D243" s="107" t="s">
        <v>1337</v>
      </c>
      <c r="E243" s="266" t="s">
        <v>54</v>
      </c>
      <c r="F243" s="264" t="s">
        <v>11045</v>
      </c>
      <c r="G243" s="264" t="s">
        <v>1342</v>
      </c>
      <c r="H243" s="264" t="s">
        <v>10555</v>
      </c>
      <c r="I243" s="264" t="s">
        <v>933</v>
      </c>
      <c r="J243" s="264" t="s">
        <v>11008</v>
      </c>
      <c r="K243" s="264" t="s">
        <v>10555</v>
      </c>
      <c r="L243" s="264"/>
      <c r="M243" s="264" t="s">
        <v>41</v>
      </c>
      <c r="N243" s="271" t="s">
        <v>10517</v>
      </c>
    </row>
    <row r="244" spans="1:14" ht="14.4">
      <c r="A244" s="264" t="s">
        <v>9850</v>
      </c>
      <c r="B244" s="264" t="s">
        <v>10485</v>
      </c>
      <c r="C244" s="276" t="s">
        <v>260</v>
      </c>
      <c r="D244" s="107" t="s">
        <v>1337</v>
      </c>
      <c r="E244" s="266" t="s">
        <v>54</v>
      </c>
      <c r="F244" s="264" t="s">
        <v>11047</v>
      </c>
      <c r="G244" s="264" t="s">
        <v>1342</v>
      </c>
      <c r="H244" s="264" t="s">
        <v>11050</v>
      </c>
      <c r="I244" s="264" t="s">
        <v>887</v>
      </c>
      <c r="J244" s="264" t="s">
        <v>11008</v>
      </c>
      <c r="K244" s="264" t="s">
        <v>11050</v>
      </c>
      <c r="L244" s="264" t="s">
        <v>11052</v>
      </c>
      <c r="M244" s="264" t="s">
        <v>41</v>
      </c>
      <c r="N244" s="271" t="s">
        <v>10517</v>
      </c>
    </row>
    <row r="245" spans="1:14" ht="14.4">
      <c r="A245" s="264" t="s">
        <v>9850</v>
      </c>
      <c r="B245" s="264" t="s">
        <v>10485</v>
      </c>
      <c r="C245" s="276" t="s">
        <v>260</v>
      </c>
      <c r="D245" s="107" t="s">
        <v>1337</v>
      </c>
      <c r="E245" s="266" t="s">
        <v>54</v>
      </c>
      <c r="F245" s="264" t="s">
        <v>11053</v>
      </c>
      <c r="G245" s="264" t="s">
        <v>1342</v>
      </c>
      <c r="H245" s="264" t="s">
        <v>11054</v>
      </c>
      <c r="I245" s="264" t="s">
        <v>689</v>
      </c>
      <c r="J245" s="264" t="s">
        <v>11008</v>
      </c>
      <c r="K245" s="264" t="s">
        <v>11054</v>
      </c>
      <c r="L245" s="264" t="s">
        <v>5333</v>
      </c>
      <c r="M245" s="264" t="s">
        <v>41</v>
      </c>
      <c r="N245" s="271" t="s">
        <v>10517</v>
      </c>
    </row>
    <row r="246" spans="1:14" ht="14.4">
      <c r="A246" s="264" t="s">
        <v>9850</v>
      </c>
      <c r="B246" s="264" t="s">
        <v>10485</v>
      </c>
      <c r="C246" s="276" t="s">
        <v>260</v>
      </c>
      <c r="D246" s="107" t="s">
        <v>1337</v>
      </c>
      <c r="E246" s="266" t="s">
        <v>54</v>
      </c>
      <c r="F246" s="264" t="s">
        <v>11058</v>
      </c>
      <c r="G246" s="264" t="s">
        <v>1342</v>
      </c>
      <c r="H246" s="264" t="s">
        <v>11060</v>
      </c>
      <c r="I246" s="264" t="s">
        <v>887</v>
      </c>
      <c r="J246" s="264" t="s">
        <v>11008</v>
      </c>
      <c r="K246" s="264" t="s">
        <v>11060</v>
      </c>
      <c r="L246" s="264" t="s">
        <v>11061</v>
      </c>
      <c r="M246" s="264" t="s">
        <v>41</v>
      </c>
      <c r="N246" s="271" t="s">
        <v>10517</v>
      </c>
    </row>
    <row r="247" spans="1:14" ht="14.4">
      <c r="A247" s="264" t="s">
        <v>9850</v>
      </c>
      <c r="B247" s="264" t="s">
        <v>10485</v>
      </c>
      <c r="C247" s="276" t="s">
        <v>260</v>
      </c>
      <c r="D247" s="107" t="s">
        <v>1337</v>
      </c>
      <c r="E247" s="266" t="s">
        <v>54</v>
      </c>
      <c r="F247" s="264" t="s">
        <v>11062</v>
      </c>
      <c r="G247" s="264" t="s">
        <v>1342</v>
      </c>
      <c r="H247" s="264" t="s">
        <v>11063</v>
      </c>
      <c r="I247" s="264" t="s">
        <v>887</v>
      </c>
      <c r="J247" s="264" t="s">
        <v>11008</v>
      </c>
      <c r="K247" s="264" t="s">
        <v>11063</v>
      </c>
      <c r="L247" s="264" t="s">
        <v>11065</v>
      </c>
      <c r="M247" s="264" t="s">
        <v>41</v>
      </c>
      <c r="N247" s="271" t="s">
        <v>10517</v>
      </c>
    </row>
    <row r="248" spans="1:14" ht="14.4">
      <c r="A248" s="264" t="s">
        <v>9850</v>
      </c>
      <c r="B248" s="264" t="s">
        <v>10485</v>
      </c>
      <c r="C248" s="276" t="s">
        <v>260</v>
      </c>
      <c r="D248" s="107" t="s">
        <v>1337</v>
      </c>
      <c r="E248" s="266" t="s">
        <v>54</v>
      </c>
      <c r="F248" s="264" t="s">
        <v>11068</v>
      </c>
      <c r="G248" s="264" t="s">
        <v>1342</v>
      </c>
      <c r="H248" s="264" t="s">
        <v>11070</v>
      </c>
      <c r="I248" s="264" t="s">
        <v>887</v>
      </c>
      <c r="J248" s="264" t="s">
        <v>11008</v>
      </c>
      <c r="K248" s="264" t="s">
        <v>11070</v>
      </c>
      <c r="L248" s="264" t="s">
        <v>4607</v>
      </c>
      <c r="M248" s="264" t="s">
        <v>41</v>
      </c>
      <c r="N248" s="271" t="s">
        <v>10517</v>
      </c>
    </row>
    <row r="249" spans="1:14" ht="14.4">
      <c r="A249" s="264" t="s">
        <v>9850</v>
      </c>
      <c r="B249" s="264" t="s">
        <v>10485</v>
      </c>
      <c r="C249" s="276" t="s">
        <v>260</v>
      </c>
      <c r="D249" s="107" t="s">
        <v>1337</v>
      </c>
      <c r="E249" s="266" t="s">
        <v>54</v>
      </c>
      <c r="F249" s="264" t="s">
        <v>11071</v>
      </c>
      <c r="G249" s="264" t="s">
        <v>1342</v>
      </c>
      <c r="H249" s="264" t="s">
        <v>11072</v>
      </c>
      <c r="I249" s="264" t="s">
        <v>887</v>
      </c>
      <c r="J249" s="264" t="s">
        <v>11008</v>
      </c>
      <c r="K249" s="264" t="s">
        <v>11072</v>
      </c>
      <c r="L249" s="264" t="s">
        <v>4607</v>
      </c>
      <c r="M249" s="264" t="s">
        <v>41</v>
      </c>
      <c r="N249" s="271" t="s">
        <v>10517</v>
      </c>
    </row>
    <row r="250" spans="1:14" ht="14.4">
      <c r="A250" s="264" t="s">
        <v>9850</v>
      </c>
      <c r="B250" s="264" t="s">
        <v>10485</v>
      </c>
      <c r="C250" s="276" t="s">
        <v>260</v>
      </c>
      <c r="D250" s="107" t="s">
        <v>1337</v>
      </c>
      <c r="E250" s="266" t="s">
        <v>54</v>
      </c>
      <c r="F250" s="264" t="s">
        <v>11076</v>
      </c>
      <c r="G250" s="264" t="s">
        <v>1342</v>
      </c>
      <c r="H250" s="264" t="s">
        <v>10682</v>
      </c>
      <c r="I250" s="264" t="s">
        <v>2714</v>
      </c>
      <c r="J250" s="264" t="s">
        <v>11008</v>
      </c>
      <c r="K250" s="264" t="s">
        <v>10682</v>
      </c>
      <c r="L250" s="264" t="s">
        <v>11078</v>
      </c>
      <c r="M250" s="264" t="s">
        <v>41</v>
      </c>
      <c r="N250" s="271" t="s">
        <v>10517</v>
      </c>
    </row>
    <row r="251" spans="1:14" ht="14.4">
      <c r="A251" s="264" t="s">
        <v>9850</v>
      </c>
      <c r="B251" s="264" t="s">
        <v>10485</v>
      </c>
      <c r="C251" s="276" t="s">
        <v>260</v>
      </c>
      <c r="D251" s="107" t="s">
        <v>1337</v>
      </c>
      <c r="E251" s="266" t="s">
        <v>54</v>
      </c>
      <c r="F251" s="264" t="s">
        <v>11079</v>
      </c>
      <c r="G251" s="264" t="s">
        <v>1342</v>
      </c>
      <c r="H251" s="264" t="s">
        <v>11080</v>
      </c>
      <c r="I251" s="264" t="s">
        <v>887</v>
      </c>
      <c r="J251" s="264" t="s">
        <v>11008</v>
      </c>
      <c r="K251" s="264" t="s">
        <v>11080</v>
      </c>
      <c r="L251" s="264" t="s">
        <v>11084</v>
      </c>
      <c r="M251" s="264" t="s">
        <v>41</v>
      </c>
      <c r="N251" s="271" t="s">
        <v>10517</v>
      </c>
    </row>
    <row r="252" spans="1:14" ht="14.4">
      <c r="A252" s="272" t="s">
        <v>9850</v>
      </c>
      <c r="B252" s="272" t="s">
        <v>10485</v>
      </c>
      <c r="C252" s="284" t="s">
        <v>20</v>
      </c>
      <c r="D252" s="254" t="s">
        <v>1305</v>
      </c>
      <c r="E252" s="264" t="s">
        <v>54</v>
      </c>
      <c r="F252" s="272" t="s">
        <v>11086</v>
      </c>
      <c r="G252" s="264" t="s">
        <v>11087</v>
      </c>
      <c r="H252" s="272" t="s">
        <v>10555</v>
      </c>
      <c r="I252" s="272" t="s">
        <v>933</v>
      </c>
      <c r="J252" s="272" t="s">
        <v>11088</v>
      </c>
      <c r="K252" s="272" t="s">
        <v>10555</v>
      </c>
      <c r="L252" s="272" t="s">
        <v>4362</v>
      </c>
      <c r="M252" s="272" t="s">
        <v>41</v>
      </c>
      <c r="N252" s="254" t="s">
        <v>10517</v>
      </c>
    </row>
    <row r="253" spans="1:14" ht="14.4">
      <c r="A253" s="264" t="s">
        <v>9850</v>
      </c>
      <c r="B253" s="194"/>
      <c r="C253" s="254" t="s">
        <v>220</v>
      </c>
      <c r="D253" s="267" t="s">
        <v>234</v>
      </c>
      <c r="E253" s="194"/>
      <c r="F253" s="28" t="s">
        <v>11091</v>
      </c>
      <c r="G253" s="194"/>
      <c r="H253" s="194"/>
      <c r="I253" s="194"/>
      <c r="J253" s="194"/>
      <c r="K253" s="194"/>
      <c r="L253" s="194"/>
      <c r="M253" s="194"/>
      <c r="N253" s="194"/>
    </row>
    <row r="254" spans="1:14" ht="14.4">
      <c r="A254" s="264" t="s">
        <v>9850</v>
      </c>
      <c r="B254" s="194"/>
      <c r="C254" s="254" t="s">
        <v>220</v>
      </c>
      <c r="D254" s="267" t="s">
        <v>234</v>
      </c>
      <c r="E254" s="194"/>
      <c r="F254" s="28" t="s">
        <v>11092</v>
      </c>
      <c r="G254" s="194"/>
      <c r="H254" s="194"/>
      <c r="I254" s="194"/>
      <c r="J254" s="194"/>
      <c r="K254" s="194"/>
      <c r="L254" s="194"/>
      <c r="M254" s="194"/>
      <c r="N254" s="194"/>
    </row>
    <row r="255" spans="1:14" ht="14.4">
      <c r="A255" s="264" t="s">
        <v>9850</v>
      </c>
      <c r="B255" s="194"/>
      <c r="C255" s="254" t="s">
        <v>220</v>
      </c>
      <c r="D255" s="267" t="s">
        <v>234</v>
      </c>
      <c r="E255" s="194"/>
      <c r="F255" s="28" t="s">
        <v>11095</v>
      </c>
      <c r="G255" s="194"/>
      <c r="H255" s="194"/>
      <c r="I255" s="194"/>
      <c r="J255" s="194"/>
      <c r="K255" s="194"/>
      <c r="L255" s="194"/>
      <c r="M255" s="194"/>
      <c r="N255" s="194"/>
    </row>
    <row r="256" spans="1:14" ht="14.4">
      <c r="A256" s="264" t="s">
        <v>9850</v>
      </c>
      <c r="B256" s="194"/>
      <c r="C256" s="254" t="s">
        <v>220</v>
      </c>
      <c r="D256" s="267" t="s">
        <v>234</v>
      </c>
      <c r="E256" s="194"/>
      <c r="F256" s="28" t="s">
        <v>11097</v>
      </c>
      <c r="G256" s="194"/>
      <c r="H256" s="194"/>
      <c r="I256" s="194"/>
      <c r="J256" s="194"/>
      <c r="K256" s="194"/>
      <c r="L256" s="194"/>
      <c r="M256" s="194"/>
      <c r="N256" s="194"/>
    </row>
    <row r="257" spans="1:14" ht="14.4">
      <c r="A257" s="264" t="s">
        <v>9850</v>
      </c>
      <c r="B257" s="194"/>
      <c r="C257" s="254" t="s">
        <v>220</v>
      </c>
      <c r="D257" s="267" t="s">
        <v>234</v>
      </c>
      <c r="E257" s="194"/>
      <c r="F257" s="28" t="s">
        <v>11101</v>
      </c>
      <c r="G257" s="194"/>
      <c r="H257" s="194"/>
      <c r="I257" s="194"/>
      <c r="J257" s="194"/>
      <c r="K257" s="194"/>
      <c r="L257" s="194"/>
      <c r="M257" s="194"/>
      <c r="N257" s="194"/>
    </row>
    <row r="258" spans="1:14" ht="14.4">
      <c r="A258" s="264" t="s">
        <v>9850</v>
      </c>
      <c r="B258" s="194"/>
      <c r="C258" s="254" t="s">
        <v>220</v>
      </c>
      <c r="D258" s="267" t="s">
        <v>234</v>
      </c>
      <c r="E258" s="194"/>
      <c r="F258" s="28" t="s">
        <v>11103</v>
      </c>
      <c r="G258" s="194"/>
      <c r="H258" s="194"/>
      <c r="I258" s="194"/>
      <c r="J258" s="194"/>
      <c r="K258" s="194"/>
      <c r="L258" s="194"/>
      <c r="M258" s="194"/>
      <c r="N258" s="194"/>
    </row>
    <row r="259" spans="1:14" ht="14.4">
      <c r="A259" s="264" t="s">
        <v>9850</v>
      </c>
      <c r="B259" s="194"/>
      <c r="C259" s="254" t="s">
        <v>220</v>
      </c>
      <c r="D259" s="267" t="s">
        <v>234</v>
      </c>
      <c r="E259" s="194"/>
      <c r="F259" s="28" t="s">
        <v>11108</v>
      </c>
      <c r="G259" s="194"/>
      <c r="H259" s="194"/>
      <c r="I259" s="194"/>
      <c r="J259" s="194"/>
      <c r="K259" s="194"/>
      <c r="L259" s="194"/>
      <c r="M259" s="194"/>
      <c r="N259" s="194"/>
    </row>
    <row r="260" spans="1:14" ht="14.4">
      <c r="A260" s="264" t="s">
        <v>9850</v>
      </c>
      <c r="B260" s="194"/>
      <c r="C260" s="254" t="s">
        <v>220</v>
      </c>
      <c r="D260" s="267" t="s">
        <v>234</v>
      </c>
      <c r="E260" s="194"/>
      <c r="F260" s="28" t="s">
        <v>11109</v>
      </c>
      <c r="G260" s="194"/>
      <c r="H260" s="194"/>
      <c r="I260" s="194"/>
      <c r="J260" s="194"/>
      <c r="K260" s="194"/>
      <c r="L260" s="194"/>
      <c r="M260" s="194"/>
      <c r="N260" s="194"/>
    </row>
    <row r="261" spans="1:14" ht="14.4">
      <c r="A261" s="264" t="s">
        <v>9850</v>
      </c>
      <c r="B261" s="194"/>
      <c r="C261" s="254" t="s">
        <v>220</v>
      </c>
      <c r="D261" s="267" t="s">
        <v>234</v>
      </c>
      <c r="E261" s="194"/>
      <c r="F261" s="28" t="s">
        <v>11113</v>
      </c>
      <c r="G261" s="194"/>
      <c r="H261" s="194"/>
      <c r="I261" s="194"/>
      <c r="J261" s="194"/>
      <c r="K261" s="194"/>
      <c r="L261" s="194"/>
      <c r="M261" s="194"/>
      <c r="N261" s="194"/>
    </row>
    <row r="262" spans="1:14" ht="14.4">
      <c r="A262" s="264" t="s">
        <v>9850</v>
      </c>
      <c r="B262" s="194"/>
      <c r="C262" s="254" t="s">
        <v>220</v>
      </c>
      <c r="D262" s="267" t="s">
        <v>234</v>
      </c>
      <c r="E262" s="194"/>
      <c r="F262" s="28" t="s">
        <v>11115</v>
      </c>
      <c r="G262" s="194"/>
      <c r="H262" s="194"/>
      <c r="I262" s="194"/>
      <c r="J262" s="194"/>
      <c r="K262" s="194"/>
      <c r="L262" s="194"/>
      <c r="M262" s="194"/>
      <c r="N262" s="194"/>
    </row>
  </sheetData>
  <autoFilter ref="A2:Z262" xr:uid="{00000000-0009-0000-0000-00000F000000}"/>
  <printOptions horizontalCentered="1" gridLines="1"/>
  <pageMargins left="1" right="1" top="1" bottom="1" header="0" footer="0"/>
  <pageSetup paperSize="9" fitToHeight="0" pageOrder="overThenDown" orientation="landscape" cellComments="atEnd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AE243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/>
  <cols>
    <col min="1" max="1" width="8.88671875" customWidth="1"/>
    <col min="2" max="2" width="18.44140625" customWidth="1"/>
    <col min="3" max="3" width="43.77734375" customWidth="1"/>
    <col min="6" max="6" width="34.44140625" customWidth="1"/>
    <col min="8" max="8" width="22.6640625" customWidth="1"/>
    <col min="9" max="9" width="21.88671875" customWidth="1"/>
  </cols>
  <sheetData>
    <row r="1" spans="1:14" ht="15.75" customHeight="1">
      <c r="A1" s="285" t="s">
        <v>0</v>
      </c>
      <c r="B1" s="285"/>
      <c r="C1" s="285"/>
      <c r="D1" s="285"/>
      <c r="E1" s="285"/>
      <c r="F1" s="286"/>
      <c r="G1" s="220"/>
      <c r="H1" s="286"/>
      <c r="I1" s="286"/>
      <c r="J1" s="286"/>
      <c r="K1" s="286"/>
      <c r="L1" s="286"/>
      <c r="M1" s="286"/>
      <c r="N1" s="286"/>
    </row>
    <row r="2" spans="1:14" ht="15.75" customHeight="1">
      <c r="A2" s="8" t="s">
        <v>2</v>
      </c>
      <c r="B2" s="8" t="s">
        <v>3</v>
      </c>
      <c r="C2" s="8" t="s">
        <v>4</v>
      </c>
      <c r="D2" s="8" t="s">
        <v>5</v>
      </c>
      <c r="E2" s="102" t="s">
        <v>6</v>
      </c>
      <c r="F2" s="102" t="s">
        <v>8</v>
      </c>
      <c r="G2" s="8" t="s">
        <v>24</v>
      </c>
      <c r="H2" s="103" t="s">
        <v>10</v>
      </c>
      <c r="I2" s="8" t="s">
        <v>11</v>
      </c>
      <c r="J2" s="8" t="s">
        <v>12</v>
      </c>
      <c r="K2" s="8" t="s">
        <v>14</v>
      </c>
      <c r="L2" s="8" t="s">
        <v>15</v>
      </c>
      <c r="M2" s="8" t="s">
        <v>4813</v>
      </c>
      <c r="N2" s="8" t="s">
        <v>17</v>
      </c>
    </row>
    <row r="3" spans="1:14" ht="15.75" customHeight="1">
      <c r="A3" s="28" t="s">
        <v>11197</v>
      </c>
      <c r="B3" s="28" t="s">
        <v>1379</v>
      </c>
      <c r="C3" s="107" t="s">
        <v>233</v>
      </c>
      <c r="D3" s="29" t="s">
        <v>298</v>
      </c>
      <c r="E3" s="287" t="s">
        <v>54</v>
      </c>
      <c r="F3" s="288" t="s">
        <v>11198</v>
      </c>
      <c r="G3" s="28"/>
      <c r="H3" s="60" t="s">
        <v>11199</v>
      </c>
      <c r="I3" s="28" t="s">
        <v>11200</v>
      </c>
      <c r="J3" s="28" t="s">
        <v>11201</v>
      </c>
      <c r="K3" s="28" t="s">
        <v>11199</v>
      </c>
      <c r="L3" s="28" t="s">
        <v>11202</v>
      </c>
      <c r="M3" s="60" t="s">
        <v>41</v>
      </c>
      <c r="N3" s="28"/>
    </row>
    <row r="4" spans="1:14" ht="15.75" customHeight="1">
      <c r="A4" s="28" t="s">
        <v>11197</v>
      </c>
      <c r="B4" s="28" t="s">
        <v>1379</v>
      </c>
      <c r="C4" s="107" t="s">
        <v>233</v>
      </c>
      <c r="D4" s="29" t="s">
        <v>298</v>
      </c>
      <c r="E4" s="287" t="s">
        <v>54</v>
      </c>
      <c r="F4" s="288" t="s">
        <v>8536</v>
      </c>
      <c r="G4" s="28"/>
      <c r="H4" s="60" t="s">
        <v>11203</v>
      </c>
      <c r="I4" s="28" t="s">
        <v>11204</v>
      </c>
      <c r="J4" s="28" t="s">
        <v>11201</v>
      </c>
      <c r="K4" s="28" t="s">
        <v>11205</v>
      </c>
      <c r="L4" s="28" t="s">
        <v>11202</v>
      </c>
      <c r="M4" s="60" t="s">
        <v>41</v>
      </c>
      <c r="N4" s="28"/>
    </row>
    <row r="5" spans="1:14" ht="15.75" customHeight="1">
      <c r="A5" s="28" t="s">
        <v>11197</v>
      </c>
      <c r="B5" s="28" t="s">
        <v>1379</v>
      </c>
      <c r="C5" s="107" t="s">
        <v>233</v>
      </c>
      <c r="D5" s="29" t="s">
        <v>298</v>
      </c>
      <c r="E5" s="287" t="s">
        <v>54</v>
      </c>
      <c r="F5" s="288" t="s">
        <v>8532</v>
      </c>
      <c r="G5" s="28"/>
      <c r="H5" s="60" t="s">
        <v>11206</v>
      </c>
      <c r="I5" s="28"/>
      <c r="J5" s="28" t="s">
        <v>11207</v>
      </c>
      <c r="K5" s="28" t="s">
        <v>11206</v>
      </c>
      <c r="L5" s="28"/>
      <c r="M5" s="60" t="s">
        <v>41</v>
      </c>
      <c r="N5" s="28"/>
    </row>
    <row r="6" spans="1:14" ht="15.75" customHeight="1">
      <c r="A6" s="28" t="s">
        <v>11197</v>
      </c>
      <c r="B6" s="28" t="s">
        <v>1379</v>
      </c>
      <c r="C6" s="107" t="s">
        <v>233</v>
      </c>
      <c r="D6" s="29" t="s">
        <v>298</v>
      </c>
      <c r="E6" s="287" t="s">
        <v>54</v>
      </c>
      <c r="F6" s="288" t="s">
        <v>8514</v>
      </c>
      <c r="G6" s="28"/>
      <c r="H6" s="60" t="s">
        <v>11208</v>
      </c>
      <c r="I6" s="28" t="s">
        <v>11209</v>
      </c>
      <c r="J6" s="28" t="s">
        <v>9735</v>
      </c>
      <c r="K6" s="28" t="s">
        <v>11210</v>
      </c>
      <c r="L6" s="28" t="s">
        <v>11202</v>
      </c>
      <c r="M6" s="60" t="s">
        <v>41</v>
      </c>
      <c r="N6" s="28"/>
    </row>
    <row r="7" spans="1:14" ht="15.75" customHeight="1">
      <c r="A7" s="28" t="s">
        <v>11197</v>
      </c>
      <c r="B7" s="28" t="s">
        <v>1379</v>
      </c>
      <c r="C7" s="107" t="s">
        <v>233</v>
      </c>
      <c r="D7" s="29" t="s">
        <v>298</v>
      </c>
      <c r="E7" s="287" t="s">
        <v>54</v>
      </c>
      <c r="F7" s="288" t="s">
        <v>11211</v>
      </c>
      <c r="G7" s="28"/>
      <c r="H7" s="60" t="s">
        <v>11206</v>
      </c>
      <c r="I7" s="28"/>
      <c r="J7" s="28" t="s">
        <v>9732</v>
      </c>
      <c r="K7" s="28" t="s">
        <v>11206</v>
      </c>
      <c r="L7" s="28"/>
      <c r="M7" s="60" t="s">
        <v>41</v>
      </c>
      <c r="N7" s="28"/>
    </row>
    <row r="8" spans="1:14" ht="15.75" customHeight="1">
      <c r="A8" s="28" t="s">
        <v>11197</v>
      </c>
      <c r="B8" s="28" t="s">
        <v>1379</v>
      </c>
      <c r="C8" s="107" t="s">
        <v>233</v>
      </c>
      <c r="D8" s="29" t="s">
        <v>298</v>
      </c>
      <c r="E8" s="287" t="s">
        <v>54</v>
      </c>
      <c r="F8" s="288" t="s">
        <v>11212</v>
      </c>
      <c r="G8" s="28"/>
      <c r="H8" s="60" t="s">
        <v>11213</v>
      </c>
      <c r="I8" s="28" t="s">
        <v>11214</v>
      </c>
      <c r="J8" s="28" t="s">
        <v>9736</v>
      </c>
      <c r="K8" s="28" t="s">
        <v>11215</v>
      </c>
      <c r="L8" s="28" t="s">
        <v>11202</v>
      </c>
      <c r="M8" s="60" t="s">
        <v>41</v>
      </c>
      <c r="N8" s="28"/>
    </row>
    <row r="9" spans="1:14" ht="15.75" customHeight="1">
      <c r="A9" s="28" t="s">
        <v>11197</v>
      </c>
      <c r="B9" s="28" t="s">
        <v>1379</v>
      </c>
      <c r="C9" s="107" t="s">
        <v>233</v>
      </c>
      <c r="D9" s="29" t="s">
        <v>298</v>
      </c>
      <c r="E9" s="287" t="s">
        <v>54</v>
      </c>
      <c r="F9" s="288" t="s">
        <v>11216</v>
      </c>
      <c r="G9" s="28"/>
      <c r="H9" s="60" t="s">
        <v>11217</v>
      </c>
      <c r="I9" s="28" t="s">
        <v>11218</v>
      </c>
      <c r="J9" s="28" t="s">
        <v>10762</v>
      </c>
      <c r="K9" s="28" t="s">
        <v>11219</v>
      </c>
      <c r="L9" s="28" t="s">
        <v>11202</v>
      </c>
      <c r="M9" s="60" t="s">
        <v>41</v>
      </c>
      <c r="N9" s="28"/>
    </row>
    <row r="10" spans="1:14" ht="15.75" customHeight="1">
      <c r="A10" s="28" t="s">
        <v>11197</v>
      </c>
      <c r="B10" s="28" t="s">
        <v>1379</v>
      </c>
      <c r="C10" s="107" t="s">
        <v>233</v>
      </c>
      <c r="D10" s="29" t="s">
        <v>298</v>
      </c>
      <c r="E10" s="175" t="s">
        <v>54</v>
      </c>
      <c r="F10" s="110" t="s">
        <v>8529</v>
      </c>
      <c r="G10" s="28"/>
      <c r="H10" s="104" t="s">
        <v>11213</v>
      </c>
      <c r="I10" s="28" t="s">
        <v>11214</v>
      </c>
      <c r="J10" s="28" t="s">
        <v>9579</v>
      </c>
      <c r="K10" s="28" t="s">
        <v>11213</v>
      </c>
      <c r="L10" s="28" t="s">
        <v>11202</v>
      </c>
      <c r="M10" s="24" t="s">
        <v>41</v>
      </c>
      <c r="N10" s="28"/>
    </row>
    <row r="11" spans="1:14" ht="15.75" customHeight="1">
      <c r="A11" s="28" t="s">
        <v>11197</v>
      </c>
      <c r="B11" s="28" t="s">
        <v>1379</v>
      </c>
      <c r="C11" s="107" t="s">
        <v>85</v>
      </c>
      <c r="D11" s="28" t="s">
        <v>86</v>
      </c>
      <c r="E11" s="175" t="s">
        <v>54</v>
      </c>
      <c r="F11" s="110" t="s">
        <v>11220</v>
      </c>
      <c r="G11" s="28"/>
      <c r="H11" s="104" t="s">
        <v>11221</v>
      </c>
      <c r="I11" s="28" t="s">
        <v>11222</v>
      </c>
      <c r="J11" s="28" t="s">
        <v>11201</v>
      </c>
      <c r="K11" s="28" t="s">
        <v>11223</v>
      </c>
      <c r="L11" s="28" t="s">
        <v>11202</v>
      </c>
      <c r="M11" s="24" t="s">
        <v>41</v>
      </c>
      <c r="N11" s="28"/>
    </row>
    <row r="12" spans="1:14" ht="15.75" customHeight="1">
      <c r="A12" s="28" t="s">
        <v>11197</v>
      </c>
      <c r="B12" s="28" t="s">
        <v>1379</v>
      </c>
      <c r="C12" s="107" t="s">
        <v>85</v>
      </c>
      <c r="D12" s="28" t="s">
        <v>86</v>
      </c>
      <c r="E12" s="175" t="s">
        <v>54</v>
      </c>
      <c r="F12" s="110" t="s">
        <v>11224</v>
      </c>
      <c r="G12" s="28"/>
      <c r="H12" s="104" t="s">
        <v>11225</v>
      </c>
      <c r="I12" s="28" t="s">
        <v>11226</v>
      </c>
      <c r="J12" s="28" t="s">
        <v>11207</v>
      </c>
      <c r="K12" s="28" t="s">
        <v>11225</v>
      </c>
      <c r="L12" s="28" t="s">
        <v>11202</v>
      </c>
      <c r="M12" s="24" t="s">
        <v>41</v>
      </c>
      <c r="N12" s="28"/>
    </row>
    <row r="13" spans="1:14" ht="15.75" customHeight="1">
      <c r="A13" s="28" t="s">
        <v>11197</v>
      </c>
      <c r="B13" s="28" t="s">
        <v>1379</v>
      </c>
      <c r="C13" s="107" t="s">
        <v>85</v>
      </c>
      <c r="D13" s="28" t="s">
        <v>86</v>
      </c>
      <c r="E13" s="175" t="s">
        <v>54</v>
      </c>
      <c r="F13" s="110" t="s">
        <v>11227</v>
      </c>
      <c r="G13" s="28"/>
      <c r="H13" s="104" t="s">
        <v>11225</v>
      </c>
      <c r="I13" s="28" t="s">
        <v>11226</v>
      </c>
      <c r="J13" s="28" t="s">
        <v>9732</v>
      </c>
      <c r="K13" s="28" t="s">
        <v>11225</v>
      </c>
      <c r="L13" s="28" t="s">
        <v>11202</v>
      </c>
      <c r="M13" s="24" t="s">
        <v>41</v>
      </c>
      <c r="N13" s="28"/>
    </row>
    <row r="14" spans="1:14" ht="15.75" customHeight="1">
      <c r="A14" s="28" t="s">
        <v>11197</v>
      </c>
      <c r="B14" s="28" t="s">
        <v>1379</v>
      </c>
      <c r="C14" s="107" t="s">
        <v>85</v>
      </c>
      <c r="D14" s="28" t="s">
        <v>86</v>
      </c>
      <c r="E14" s="175" t="s">
        <v>54</v>
      </c>
      <c r="F14" s="110" t="s">
        <v>11228</v>
      </c>
      <c r="G14" s="28"/>
      <c r="H14" s="104" t="s">
        <v>11229</v>
      </c>
      <c r="I14" s="28" t="s">
        <v>11230</v>
      </c>
      <c r="J14" s="28" t="s">
        <v>9735</v>
      </c>
      <c r="K14" s="28" t="s">
        <v>11231</v>
      </c>
      <c r="L14" s="28" t="s">
        <v>11202</v>
      </c>
      <c r="M14" s="24" t="s">
        <v>41</v>
      </c>
      <c r="N14" s="28"/>
    </row>
    <row r="15" spans="1:14" ht="15.75" customHeight="1">
      <c r="A15" s="28" t="s">
        <v>11197</v>
      </c>
      <c r="B15" s="28" t="s">
        <v>1379</v>
      </c>
      <c r="C15" s="107" t="s">
        <v>85</v>
      </c>
      <c r="D15" s="28" t="s">
        <v>86</v>
      </c>
      <c r="E15" s="175" t="s">
        <v>54</v>
      </c>
      <c r="F15" s="110" t="s">
        <v>11232</v>
      </c>
      <c r="G15" s="28"/>
      <c r="H15" s="104" t="s">
        <v>11233</v>
      </c>
      <c r="I15" s="28" t="s">
        <v>11234</v>
      </c>
      <c r="J15" s="28" t="s">
        <v>9736</v>
      </c>
      <c r="K15" s="28" t="s">
        <v>11235</v>
      </c>
      <c r="L15" s="28" t="s">
        <v>11202</v>
      </c>
      <c r="M15" s="24" t="s">
        <v>41</v>
      </c>
      <c r="N15" s="28"/>
    </row>
    <row r="16" spans="1:14" ht="15.75" customHeight="1">
      <c r="A16" s="28" t="s">
        <v>11197</v>
      </c>
      <c r="B16" s="28" t="s">
        <v>1379</v>
      </c>
      <c r="C16" s="107" t="s">
        <v>85</v>
      </c>
      <c r="D16" s="28" t="s">
        <v>86</v>
      </c>
      <c r="E16" s="175" t="s">
        <v>54</v>
      </c>
      <c r="F16" s="110" t="s">
        <v>11236</v>
      </c>
      <c r="G16" s="28"/>
      <c r="H16" s="104" t="s">
        <v>11208</v>
      </c>
      <c r="I16" s="28" t="s">
        <v>11237</v>
      </c>
      <c r="J16" s="28" t="s">
        <v>10762</v>
      </c>
      <c r="K16" s="28" t="s">
        <v>11208</v>
      </c>
      <c r="L16" s="28" t="s">
        <v>11202</v>
      </c>
      <c r="M16" s="24" t="s">
        <v>41</v>
      </c>
      <c r="N16" s="28"/>
    </row>
    <row r="17" spans="1:14" ht="15.75" customHeight="1">
      <c r="A17" s="28" t="s">
        <v>11197</v>
      </c>
      <c r="B17" s="28" t="s">
        <v>11238</v>
      </c>
      <c r="C17" s="107" t="s">
        <v>85</v>
      </c>
      <c r="D17" s="28" t="s">
        <v>86</v>
      </c>
      <c r="E17" s="175" t="s">
        <v>54</v>
      </c>
      <c r="F17" s="110" t="s">
        <v>11239</v>
      </c>
      <c r="G17" s="28"/>
      <c r="H17" s="104" t="s">
        <v>11208</v>
      </c>
      <c r="I17" s="28" t="s">
        <v>11240</v>
      </c>
      <c r="J17" s="28" t="s">
        <v>9579</v>
      </c>
      <c r="K17" s="28" t="s">
        <v>11208</v>
      </c>
      <c r="L17" s="28" t="s">
        <v>11202</v>
      </c>
      <c r="M17" s="24" t="s">
        <v>41</v>
      </c>
      <c r="N17" s="28"/>
    </row>
    <row r="18" spans="1:14" ht="14.4">
      <c r="A18" s="28" t="s">
        <v>11197</v>
      </c>
      <c r="B18" s="28" t="s">
        <v>11238</v>
      </c>
      <c r="C18" s="107" t="s">
        <v>85</v>
      </c>
      <c r="D18" s="28" t="s">
        <v>86</v>
      </c>
      <c r="E18" s="175" t="s">
        <v>54</v>
      </c>
      <c r="F18" s="110" t="s">
        <v>11241</v>
      </c>
      <c r="G18" s="28"/>
      <c r="H18" s="104"/>
      <c r="I18" s="28"/>
      <c r="J18" s="28"/>
      <c r="K18" s="28"/>
      <c r="L18" s="28"/>
      <c r="M18" s="24" t="s">
        <v>41</v>
      </c>
      <c r="N18" s="28"/>
    </row>
    <row r="19" spans="1:14" ht="14.4">
      <c r="A19" s="28" t="s">
        <v>11197</v>
      </c>
      <c r="B19" s="28" t="s">
        <v>11238</v>
      </c>
      <c r="C19" s="107" t="s">
        <v>85</v>
      </c>
      <c r="D19" s="28" t="s">
        <v>86</v>
      </c>
      <c r="E19" s="175" t="s">
        <v>54</v>
      </c>
      <c r="F19" s="110" t="s">
        <v>11242</v>
      </c>
      <c r="G19" s="28"/>
      <c r="H19" s="104"/>
      <c r="I19" s="28"/>
      <c r="J19" s="28"/>
      <c r="K19" s="28"/>
      <c r="L19" s="28"/>
      <c r="M19" s="24" t="s">
        <v>41</v>
      </c>
      <c r="N19" s="28"/>
    </row>
    <row r="20" spans="1:14" ht="14.4">
      <c r="A20" s="28" t="s">
        <v>11197</v>
      </c>
      <c r="B20" s="28" t="s">
        <v>1379</v>
      </c>
      <c r="C20" s="107" t="s">
        <v>85</v>
      </c>
      <c r="D20" s="28" t="s">
        <v>86</v>
      </c>
      <c r="E20" s="175" t="s">
        <v>54</v>
      </c>
      <c r="F20" s="110" t="s">
        <v>11243</v>
      </c>
      <c r="G20" s="28"/>
      <c r="H20" s="104" t="s">
        <v>11217</v>
      </c>
      <c r="I20" s="28" t="s">
        <v>11244</v>
      </c>
      <c r="J20" s="28" t="s">
        <v>9592</v>
      </c>
      <c r="K20" s="28" t="s">
        <v>11217</v>
      </c>
      <c r="L20" s="28" t="s">
        <v>11245</v>
      </c>
      <c r="M20" s="24" t="s">
        <v>41</v>
      </c>
      <c r="N20" s="28"/>
    </row>
    <row r="21" spans="1:14" ht="14.4">
      <c r="A21" s="28" t="s">
        <v>11197</v>
      </c>
      <c r="B21" s="28" t="s">
        <v>11238</v>
      </c>
      <c r="C21" s="107" t="s">
        <v>85</v>
      </c>
      <c r="D21" s="28" t="s">
        <v>86</v>
      </c>
      <c r="E21" s="175" t="s">
        <v>54</v>
      </c>
      <c r="F21" s="110" t="s">
        <v>11246</v>
      </c>
      <c r="G21" s="28"/>
      <c r="H21" s="104"/>
      <c r="I21" s="28"/>
      <c r="J21" s="28"/>
      <c r="K21" s="28"/>
      <c r="L21" s="28"/>
      <c r="M21" s="24" t="s">
        <v>41</v>
      </c>
      <c r="N21" s="28"/>
    </row>
    <row r="22" spans="1:14" ht="14.4">
      <c r="A22" s="28" t="s">
        <v>11197</v>
      </c>
      <c r="B22" s="28" t="s">
        <v>1379</v>
      </c>
      <c r="C22" s="107" t="s">
        <v>85</v>
      </c>
      <c r="D22" s="28" t="s">
        <v>86</v>
      </c>
      <c r="E22" s="175" t="s">
        <v>54</v>
      </c>
      <c r="F22" s="110" t="s">
        <v>11247</v>
      </c>
      <c r="G22" s="28"/>
      <c r="H22" s="104" t="s">
        <v>11248</v>
      </c>
      <c r="I22" s="28" t="s">
        <v>11249</v>
      </c>
      <c r="J22" s="28" t="s">
        <v>9600</v>
      </c>
      <c r="K22" s="28" t="s">
        <v>11250</v>
      </c>
      <c r="L22" s="28" t="s">
        <v>11202</v>
      </c>
      <c r="M22" s="24" t="s">
        <v>41</v>
      </c>
      <c r="N22" s="28"/>
    </row>
    <row r="23" spans="1:14" ht="14.4">
      <c r="A23" s="28" t="s">
        <v>11197</v>
      </c>
      <c r="B23" s="28" t="s">
        <v>1379</v>
      </c>
      <c r="C23" s="107" t="s">
        <v>85</v>
      </c>
      <c r="D23" s="28" t="s">
        <v>86</v>
      </c>
      <c r="E23" s="175" t="s">
        <v>54</v>
      </c>
      <c r="F23" s="110" t="s">
        <v>11251</v>
      </c>
      <c r="G23" s="28"/>
      <c r="H23" s="104"/>
      <c r="I23" s="28"/>
      <c r="J23" s="28"/>
      <c r="K23" s="28" t="s">
        <v>11252</v>
      </c>
      <c r="L23" s="28"/>
      <c r="M23" s="24" t="s">
        <v>41</v>
      </c>
      <c r="N23" s="28"/>
    </row>
    <row r="24" spans="1:14" ht="14.4">
      <c r="A24" s="28" t="s">
        <v>11197</v>
      </c>
      <c r="B24" s="28" t="s">
        <v>1379</v>
      </c>
      <c r="C24" s="107" t="s">
        <v>85</v>
      </c>
      <c r="D24" s="28" t="s">
        <v>86</v>
      </c>
      <c r="E24" s="175" t="s">
        <v>54</v>
      </c>
      <c r="F24" s="110" t="s">
        <v>11253</v>
      </c>
      <c r="G24" s="28"/>
      <c r="H24" s="104"/>
      <c r="I24" s="28"/>
      <c r="J24" s="28"/>
      <c r="K24" s="28" t="s">
        <v>11254</v>
      </c>
      <c r="L24" s="28"/>
      <c r="M24" s="24" t="s">
        <v>41</v>
      </c>
      <c r="N24" s="28"/>
    </row>
    <row r="25" spans="1:14" ht="14.4">
      <c r="A25" s="28" t="s">
        <v>11197</v>
      </c>
      <c r="B25" s="28" t="s">
        <v>1379</v>
      </c>
      <c r="C25" s="107" t="s">
        <v>85</v>
      </c>
      <c r="D25" s="28" t="s">
        <v>86</v>
      </c>
      <c r="E25" s="175" t="s">
        <v>54</v>
      </c>
      <c r="F25" s="110" t="s">
        <v>11255</v>
      </c>
      <c r="G25" s="28"/>
      <c r="H25" s="104" t="s">
        <v>11248</v>
      </c>
      <c r="I25" s="28" t="s">
        <v>11249</v>
      </c>
      <c r="J25" s="28" t="s">
        <v>9611</v>
      </c>
      <c r="K25" s="28" t="s">
        <v>11248</v>
      </c>
      <c r="L25" s="28" t="s">
        <v>11245</v>
      </c>
      <c r="M25" s="24" t="s">
        <v>41</v>
      </c>
      <c r="N25" s="28"/>
    </row>
    <row r="26" spans="1:14" ht="14.4">
      <c r="A26" s="28" t="s">
        <v>11197</v>
      </c>
      <c r="B26" s="28" t="s">
        <v>1379</v>
      </c>
      <c r="C26" s="107" t="s">
        <v>85</v>
      </c>
      <c r="D26" s="28" t="s">
        <v>86</v>
      </c>
      <c r="E26" s="287" t="s">
        <v>54</v>
      </c>
      <c r="F26" s="288" t="s">
        <v>11256</v>
      </c>
      <c r="G26" s="28"/>
      <c r="H26" s="60"/>
      <c r="I26" s="28"/>
      <c r="J26" s="28"/>
      <c r="K26" s="28" t="s">
        <v>11257</v>
      </c>
      <c r="L26" s="28"/>
      <c r="M26" s="60" t="s">
        <v>41</v>
      </c>
      <c r="N26" s="28"/>
    </row>
    <row r="27" spans="1:14" ht="14.4">
      <c r="A27" s="28" t="s">
        <v>11197</v>
      </c>
      <c r="B27" s="28" t="s">
        <v>1379</v>
      </c>
      <c r="C27" s="107" t="s">
        <v>85</v>
      </c>
      <c r="D27" s="28" t="s">
        <v>86</v>
      </c>
      <c r="E27" s="287" t="s">
        <v>54</v>
      </c>
      <c r="F27" s="288" t="s">
        <v>11258</v>
      </c>
      <c r="G27" s="28"/>
      <c r="H27" s="60"/>
      <c r="I27" s="28"/>
      <c r="J27" s="28"/>
      <c r="K27" s="28" t="s">
        <v>11259</v>
      </c>
      <c r="L27" s="28"/>
      <c r="M27" s="60" t="s">
        <v>41</v>
      </c>
      <c r="N27" s="28"/>
    </row>
    <row r="28" spans="1:14" ht="14.4">
      <c r="A28" s="28" t="s">
        <v>11197</v>
      </c>
      <c r="B28" s="28" t="s">
        <v>1379</v>
      </c>
      <c r="C28" s="107" t="s">
        <v>85</v>
      </c>
      <c r="D28" s="28" t="s">
        <v>86</v>
      </c>
      <c r="E28" s="287" t="s">
        <v>54</v>
      </c>
      <c r="F28" s="288" t="s">
        <v>11260</v>
      </c>
      <c r="G28" s="28"/>
      <c r="H28" s="60" t="s">
        <v>11203</v>
      </c>
      <c r="I28" s="28" t="s">
        <v>11204</v>
      </c>
      <c r="J28" s="28" t="s">
        <v>9621</v>
      </c>
      <c r="K28" s="28" t="s">
        <v>11203</v>
      </c>
      <c r="L28" s="28" t="s">
        <v>11245</v>
      </c>
      <c r="M28" s="60" t="s">
        <v>41</v>
      </c>
      <c r="N28" s="28"/>
    </row>
    <row r="29" spans="1:14" ht="14.4">
      <c r="A29" s="28" t="s">
        <v>11197</v>
      </c>
      <c r="B29" s="28" t="s">
        <v>1379</v>
      </c>
      <c r="C29" s="107" t="s">
        <v>85</v>
      </c>
      <c r="D29" s="28" t="s">
        <v>86</v>
      </c>
      <c r="E29" s="287" t="s">
        <v>54</v>
      </c>
      <c r="F29" s="288" t="s">
        <v>11261</v>
      </c>
      <c r="G29" s="28"/>
      <c r="H29" s="60" t="s">
        <v>11262</v>
      </c>
      <c r="I29" s="28" t="s">
        <v>11263</v>
      </c>
      <c r="J29" s="28" t="s">
        <v>9628</v>
      </c>
      <c r="K29" s="28" t="s">
        <v>11262</v>
      </c>
      <c r="L29" s="28" t="s">
        <v>11202</v>
      </c>
      <c r="M29" s="60" t="s">
        <v>41</v>
      </c>
      <c r="N29" s="28"/>
    </row>
    <row r="30" spans="1:14" ht="14.4">
      <c r="A30" s="28" t="s">
        <v>11197</v>
      </c>
      <c r="B30" s="28" t="s">
        <v>1379</v>
      </c>
      <c r="C30" s="107" t="s">
        <v>85</v>
      </c>
      <c r="D30" s="28" t="s">
        <v>86</v>
      </c>
      <c r="E30" s="287" t="s">
        <v>54</v>
      </c>
      <c r="F30" s="288" t="s">
        <v>11264</v>
      </c>
      <c r="G30" s="28"/>
      <c r="H30" s="60" t="s">
        <v>11265</v>
      </c>
      <c r="I30" s="28" t="s">
        <v>11266</v>
      </c>
      <c r="J30" s="28" t="s">
        <v>9639</v>
      </c>
      <c r="K30" s="28" t="s">
        <v>11267</v>
      </c>
      <c r="L30" s="28" t="s">
        <v>11202</v>
      </c>
      <c r="M30" s="60" t="s">
        <v>41</v>
      </c>
      <c r="N30" s="28"/>
    </row>
    <row r="31" spans="1:14" ht="14.4">
      <c r="A31" s="28" t="s">
        <v>11197</v>
      </c>
      <c r="B31" s="28" t="s">
        <v>1379</v>
      </c>
      <c r="C31" s="107" t="s">
        <v>85</v>
      </c>
      <c r="D31" s="28" t="s">
        <v>86</v>
      </c>
      <c r="E31" s="287" t="s">
        <v>54</v>
      </c>
      <c r="F31" s="288" t="s">
        <v>11268</v>
      </c>
      <c r="G31" s="28"/>
      <c r="H31" s="60" t="s">
        <v>11269</v>
      </c>
      <c r="I31" s="28" t="s">
        <v>11270</v>
      </c>
      <c r="J31" s="28" t="s">
        <v>9645</v>
      </c>
      <c r="K31" s="28" t="s">
        <v>11271</v>
      </c>
      <c r="L31" s="28" t="s">
        <v>11202</v>
      </c>
      <c r="M31" s="60" t="s">
        <v>41</v>
      </c>
      <c r="N31" s="28"/>
    </row>
    <row r="32" spans="1:14" ht="14.4">
      <c r="A32" s="28" t="s">
        <v>11197</v>
      </c>
      <c r="B32" s="28" t="s">
        <v>11238</v>
      </c>
      <c r="C32" s="107" t="s">
        <v>85</v>
      </c>
      <c r="D32" s="28" t="s">
        <v>86</v>
      </c>
      <c r="E32" s="287" t="s">
        <v>54</v>
      </c>
      <c r="F32" s="288" t="s">
        <v>11272</v>
      </c>
      <c r="G32" s="28"/>
      <c r="H32" s="60" t="s">
        <v>11248</v>
      </c>
      <c r="I32" s="28" t="s">
        <v>11249</v>
      </c>
      <c r="J32" s="28" t="s">
        <v>9651</v>
      </c>
      <c r="K32" s="28" t="s">
        <v>11273</v>
      </c>
      <c r="L32" s="28" t="s">
        <v>11245</v>
      </c>
      <c r="M32" s="60" t="s">
        <v>41</v>
      </c>
      <c r="N32" s="28"/>
    </row>
    <row r="33" spans="1:14" ht="14.4">
      <c r="A33" s="28" t="s">
        <v>11197</v>
      </c>
      <c r="B33" s="28" t="s">
        <v>1379</v>
      </c>
      <c r="C33" s="107" t="s">
        <v>85</v>
      </c>
      <c r="D33" s="28" t="s">
        <v>86</v>
      </c>
      <c r="E33" s="287" t="s">
        <v>54</v>
      </c>
      <c r="F33" s="288" t="s">
        <v>11274</v>
      </c>
      <c r="G33" s="28"/>
      <c r="H33" s="60"/>
      <c r="I33" s="28"/>
      <c r="J33" s="28"/>
      <c r="K33" s="28" t="s">
        <v>11275</v>
      </c>
      <c r="L33" s="28"/>
      <c r="M33" s="60" t="s">
        <v>41</v>
      </c>
      <c r="N33" s="28"/>
    </row>
    <row r="34" spans="1:14" ht="14.4">
      <c r="A34" s="28" t="s">
        <v>11197</v>
      </c>
      <c r="B34" s="28" t="s">
        <v>11238</v>
      </c>
      <c r="C34" s="107" t="s">
        <v>85</v>
      </c>
      <c r="D34" s="28" t="s">
        <v>86</v>
      </c>
      <c r="E34" s="287" t="s">
        <v>54</v>
      </c>
      <c r="F34" s="288" t="s">
        <v>11276</v>
      </c>
      <c r="G34" s="28"/>
      <c r="H34" s="60"/>
      <c r="I34" s="28"/>
      <c r="J34" s="28"/>
      <c r="K34" s="28" t="s">
        <v>11277</v>
      </c>
      <c r="L34" s="28"/>
      <c r="M34" s="60" t="s">
        <v>41</v>
      </c>
      <c r="N34" s="28"/>
    </row>
    <row r="35" spans="1:14" ht="14.4">
      <c r="A35" s="28" t="s">
        <v>11197</v>
      </c>
      <c r="B35" s="28" t="s">
        <v>1379</v>
      </c>
      <c r="C35" s="107" t="s">
        <v>85</v>
      </c>
      <c r="D35" s="28" t="s">
        <v>86</v>
      </c>
      <c r="E35" s="287" t="s">
        <v>54</v>
      </c>
      <c r="F35" s="288" t="s">
        <v>11278</v>
      </c>
      <c r="G35" s="28"/>
      <c r="H35" s="60"/>
      <c r="I35" s="28"/>
      <c r="J35" s="28"/>
      <c r="K35" s="28" t="s">
        <v>11215</v>
      </c>
      <c r="L35" s="28"/>
      <c r="M35" s="60" t="s">
        <v>41</v>
      </c>
      <c r="N35" s="28"/>
    </row>
    <row r="36" spans="1:14" ht="14.4">
      <c r="A36" s="28" t="s">
        <v>11197</v>
      </c>
      <c r="B36" s="28" t="s">
        <v>11238</v>
      </c>
      <c r="C36" s="107" t="s">
        <v>85</v>
      </c>
      <c r="D36" s="28" t="s">
        <v>86</v>
      </c>
      <c r="E36" s="287" t="s">
        <v>54</v>
      </c>
      <c r="F36" s="288" t="s">
        <v>11279</v>
      </c>
      <c r="G36" s="28"/>
      <c r="H36" s="60" t="s">
        <v>11280</v>
      </c>
      <c r="I36" s="28" t="s">
        <v>11281</v>
      </c>
      <c r="J36" s="28" t="s">
        <v>11282</v>
      </c>
      <c r="K36" s="28" t="s">
        <v>11280</v>
      </c>
      <c r="L36" s="28" t="s">
        <v>11283</v>
      </c>
      <c r="M36" s="60" t="s">
        <v>41</v>
      </c>
      <c r="N36" s="28"/>
    </row>
    <row r="37" spans="1:14" ht="14.4">
      <c r="A37" s="28" t="s">
        <v>11197</v>
      </c>
      <c r="B37" s="28" t="s">
        <v>1379</v>
      </c>
      <c r="C37" s="107" t="s">
        <v>220</v>
      </c>
      <c r="D37" s="29" t="s">
        <v>234</v>
      </c>
      <c r="E37" s="287" t="s">
        <v>54</v>
      </c>
      <c r="F37" s="288" t="s">
        <v>11284</v>
      </c>
      <c r="G37" s="28"/>
      <c r="H37" s="60" t="s">
        <v>11285</v>
      </c>
      <c r="I37" s="28" t="s">
        <v>11286</v>
      </c>
      <c r="J37" s="28" t="s">
        <v>11201</v>
      </c>
      <c r="K37" s="28" t="s">
        <v>11287</v>
      </c>
      <c r="L37" s="28" t="s">
        <v>11245</v>
      </c>
      <c r="M37" s="60" t="s">
        <v>41</v>
      </c>
      <c r="N37" s="28"/>
    </row>
    <row r="38" spans="1:14" ht="14.4">
      <c r="A38" s="28" t="s">
        <v>11197</v>
      </c>
      <c r="B38" s="28" t="s">
        <v>1379</v>
      </c>
      <c r="C38" s="107" t="s">
        <v>220</v>
      </c>
      <c r="D38" s="29" t="s">
        <v>234</v>
      </c>
      <c r="E38" s="287" t="s">
        <v>54</v>
      </c>
      <c r="F38" s="288" t="s">
        <v>11288</v>
      </c>
      <c r="G38" s="28"/>
      <c r="H38" s="60" t="s">
        <v>11265</v>
      </c>
      <c r="I38" s="28" t="s">
        <v>11289</v>
      </c>
      <c r="J38" s="28" t="s">
        <v>11207</v>
      </c>
      <c r="K38" s="28" t="s">
        <v>11290</v>
      </c>
      <c r="L38" s="28" t="s">
        <v>11245</v>
      </c>
      <c r="M38" s="60" t="s">
        <v>41</v>
      </c>
      <c r="N38" s="28"/>
    </row>
    <row r="39" spans="1:14" ht="14.4">
      <c r="A39" s="28" t="s">
        <v>11197</v>
      </c>
      <c r="B39" s="28" t="s">
        <v>1379</v>
      </c>
      <c r="C39" s="107" t="s">
        <v>220</v>
      </c>
      <c r="D39" s="29" t="s">
        <v>234</v>
      </c>
      <c r="E39" s="287" t="s">
        <v>54</v>
      </c>
      <c r="F39" s="288" t="s">
        <v>11291</v>
      </c>
      <c r="G39" s="28"/>
      <c r="H39" s="60"/>
      <c r="I39" s="28"/>
      <c r="J39" s="28"/>
      <c r="K39" s="28" t="s">
        <v>11292</v>
      </c>
      <c r="L39" s="28"/>
      <c r="M39" s="60" t="s">
        <v>41</v>
      </c>
      <c r="N39" s="28"/>
    </row>
    <row r="40" spans="1:14" ht="14.4">
      <c r="A40" s="28" t="s">
        <v>11197</v>
      </c>
      <c r="B40" s="28" t="s">
        <v>1379</v>
      </c>
      <c r="C40" s="107" t="s">
        <v>220</v>
      </c>
      <c r="D40" s="29" t="s">
        <v>234</v>
      </c>
      <c r="E40" s="287" t="s">
        <v>54</v>
      </c>
      <c r="F40" s="288" t="s">
        <v>11293</v>
      </c>
      <c r="G40" s="28"/>
      <c r="H40" s="60" t="s">
        <v>11248</v>
      </c>
      <c r="I40" s="28" t="s">
        <v>11294</v>
      </c>
      <c r="J40" s="28" t="s">
        <v>9732</v>
      </c>
      <c r="K40" s="28" t="s">
        <v>11295</v>
      </c>
      <c r="L40" s="28" t="s">
        <v>11202</v>
      </c>
      <c r="M40" s="60" t="s">
        <v>41</v>
      </c>
      <c r="N40" s="28"/>
    </row>
    <row r="41" spans="1:14" ht="14.4">
      <c r="A41" s="28" t="s">
        <v>11197</v>
      </c>
      <c r="B41" s="28" t="s">
        <v>1379</v>
      </c>
      <c r="C41" s="107" t="s">
        <v>220</v>
      </c>
      <c r="D41" s="29" t="s">
        <v>234</v>
      </c>
      <c r="E41" s="287" t="s">
        <v>54</v>
      </c>
      <c r="F41" s="288" t="s">
        <v>11296</v>
      </c>
      <c r="G41" s="28"/>
      <c r="H41" s="60" t="s">
        <v>11217</v>
      </c>
      <c r="I41" s="28" t="s">
        <v>11218</v>
      </c>
      <c r="J41" s="28" t="s">
        <v>9735</v>
      </c>
      <c r="K41" s="28" t="s">
        <v>11297</v>
      </c>
      <c r="L41" s="28" t="s">
        <v>11202</v>
      </c>
      <c r="M41" s="60" t="s">
        <v>41</v>
      </c>
      <c r="N41" s="28"/>
    </row>
    <row r="42" spans="1:14" ht="14.4">
      <c r="A42" s="28" t="s">
        <v>11197</v>
      </c>
      <c r="B42" s="28" t="s">
        <v>1379</v>
      </c>
      <c r="C42" s="107" t="s">
        <v>220</v>
      </c>
      <c r="D42" s="29" t="s">
        <v>234</v>
      </c>
      <c r="E42" s="287" t="s">
        <v>54</v>
      </c>
      <c r="F42" s="288" t="s">
        <v>11298</v>
      </c>
      <c r="G42" s="28"/>
      <c r="H42" s="60" t="s">
        <v>11299</v>
      </c>
      <c r="I42" s="28" t="s">
        <v>11300</v>
      </c>
      <c r="J42" s="28" t="s">
        <v>11301</v>
      </c>
      <c r="K42" s="28" t="s">
        <v>11299</v>
      </c>
      <c r="L42" s="28" t="s">
        <v>11302</v>
      </c>
      <c r="M42" s="60" t="s">
        <v>41</v>
      </c>
      <c r="N42" s="28"/>
    </row>
    <row r="43" spans="1:14" ht="14.4">
      <c r="A43" s="28" t="s">
        <v>11197</v>
      </c>
      <c r="B43" s="28" t="s">
        <v>1379</v>
      </c>
      <c r="C43" s="107" t="s">
        <v>220</v>
      </c>
      <c r="D43" s="29" t="s">
        <v>234</v>
      </c>
      <c r="E43" s="287" t="s">
        <v>54</v>
      </c>
      <c r="F43" s="288" t="s">
        <v>11303</v>
      </c>
      <c r="G43" s="28"/>
      <c r="H43" s="60"/>
      <c r="I43" s="28"/>
      <c r="J43" s="28"/>
      <c r="K43" s="28"/>
      <c r="L43" s="28"/>
      <c r="M43" s="60" t="s">
        <v>41</v>
      </c>
      <c r="N43" s="28"/>
    </row>
    <row r="44" spans="1:14" ht="14.4">
      <c r="A44" s="28" t="s">
        <v>11197</v>
      </c>
      <c r="B44" s="28" t="s">
        <v>1379</v>
      </c>
      <c r="C44" s="107" t="s">
        <v>220</v>
      </c>
      <c r="D44" s="29" t="s">
        <v>234</v>
      </c>
      <c r="E44" s="287" t="s">
        <v>54</v>
      </c>
      <c r="F44" s="288" t="s">
        <v>11304</v>
      </c>
      <c r="G44" s="28"/>
      <c r="H44" s="60"/>
      <c r="I44" s="28"/>
      <c r="J44" s="28"/>
      <c r="K44" s="28"/>
      <c r="L44" s="28"/>
      <c r="M44" s="60" t="s">
        <v>41</v>
      </c>
      <c r="N44" s="28"/>
    </row>
    <row r="45" spans="1:14" ht="14.4">
      <c r="A45" s="28" t="s">
        <v>11197</v>
      </c>
      <c r="B45" s="28" t="s">
        <v>1379</v>
      </c>
      <c r="C45" s="107" t="s">
        <v>220</v>
      </c>
      <c r="D45" s="29" t="s">
        <v>234</v>
      </c>
      <c r="E45" s="287" t="s">
        <v>54</v>
      </c>
      <c r="F45" s="288" t="s">
        <v>11305</v>
      </c>
      <c r="G45" s="28"/>
      <c r="H45" s="60"/>
      <c r="I45" s="28"/>
      <c r="J45" s="28"/>
      <c r="K45" s="28"/>
      <c r="L45" s="28"/>
      <c r="M45" s="60" t="s">
        <v>41</v>
      </c>
      <c r="N45" s="28"/>
    </row>
    <row r="46" spans="1:14" ht="14.4">
      <c r="A46" s="28" t="s">
        <v>11197</v>
      </c>
      <c r="B46" s="28" t="s">
        <v>1379</v>
      </c>
      <c r="C46" s="107" t="s">
        <v>220</v>
      </c>
      <c r="D46" s="29" t="s">
        <v>234</v>
      </c>
      <c r="E46" s="57" t="s">
        <v>54</v>
      </c>
      <c r="F46" s="289" t="s">
        <v>11306</v>
      </c>
      <c r="G46" s="28"/>
      <c r="H46" s="60"/>
      <c r="I46" s="28"/>
      <c r="J46" s="28"/>
      <c r="K46" s="28"/>
      <c r="L46" s="28"/>
      <c r="M46" s="60" t="s">
        <v>41</v>
      </c>
      <c r="N46" s="28"/>
    </row>
    <row r="47" spans="1:14" ht="14.4">
      <c r="A47" s="28" t="s">
        <v>11197</v>
      </c>
      <c r="B47" s="28" t="s">
        <v>11307</v>
      </c>
      <c r="C47" s="107" t="s">
        <v>79</v>
      </c>
      <c r="D47" s="290" t="s">
        <v>80</v>
      </c>
      <c r="E47" s="29" t="s">
        <v>54</v>
      </c>
      <c r="F47" s="28" t="s">
        <v>11308</v>
      </c>
      <c r="G47" s="28"/>
      <c r="H47" s="60" t="s">
        <v>11265</v>
      </c>
      <c r="I47" s="28" t="s">
        <v>11289</v>
      </c>
      <c r="J47" s="28" t="s">
        <v>11201</v>
      </c>
      <c r="K47" s="28" t="s">
        <v>11265</v>
      </c>
      <c r="L47" s="28" t="s">
        <v>11202</v>
      </c>
      <c r="M47" s="60" t="s">
        <v>41</v>
      </c>
      <c r="N47" s="28"/>
    </row>
    <row r="48" spans="1:14" ht="14.4">
      <c r="A48" s="28" t="s">
        <v>11197</v>
      </c>
      <c r="B48" s="28" t="s">
        <v>11309</v>
      </c>
      <c r="C48" s="107" t="s">
        <v>79</v>
      </c>
      <c r="D48" s="291" t="s">
        <v>80</v>
      </c>
      <c r="E48" s="29" t="s">
        <v>54</v>
      </c>
      <c r="F48" s="28" t="s">
        <v>11310</v>
      </c>
      <c r="G48" s="28"/>
      <c r="H48" s="60" t="s">
        <v>11265</v>
      </c>
      <c r="I48" s="28" t="s">
        <v>11289</v>
      </c>
      <c r="J48" s="28" t="s">
        <v>11201</v>
      </c>
      <c r="K48" s="28" t="s">
        <v>11265</v>
      </c>
      <c r="L48" s="28" t="s">
        <v>11202</v>
      </c>
      <c r="M48" s="60" t="s">
        <v>41</v>
      </c>
      <c r="N48" s="28"/>
    </row>
    <row r="49" spans="1:14" ht="14.4">
      <c r="A49" s="28" t="s">
        <v>11197</v>
      </c>
      <c r="B49" s="28" t="s">
        <v>11311</v>
      </c>
      <c r="C49" s="107" t="s">
        <v>79</v>
      </c>
      <c r="D49" s="291" t="s">
        <v>80</v>
      </c>
      <c r="E49" s="29" t="s">
        <v>54</v>
      </c>
      <c r="F49" s="28" t="s">
        <v>11312</v>
      </c>
      <c r="G49" s="28"/>
      <c r="H49" s="60" t="s">
        <v>11265</v>
      </c>
      <c r="I49" s="28" t="s">
        <v>11289</v>
      </c>
      <c r="J49" s="28" t="s">
        <v>11201</v>
      </c>
      <c r="K49" s="28" t="s">
        <v>11265</v>
      </c>
      <c r="L49" s="28" t="s">
        <v>11202</v>
      </c>
      <c r="M49" s="60" t="s">
        <v>41</v>
      </c>
      <c r="N49" s="28"/>
    </row>
    <row r="50" spans="1:14" ht="14.4">
      <c r="A50" s="28" t="s">
        <v>11197</v>
      </c>
      <c r="B50" s="28" t="s">
        <v>11313</v>
      </c>
      <c r="C50" s="107" t="s">
        <v>79</v>
      </c>
      <c r="D50" s="291" t="s">
        <v>80</v>
      </c>
      <c r="E50" s="29" t="s">
        <v>54</v>
      </c>
      <c r="F50" s="28" t="s">
        <v>11314</v>
      </c>
      <c r="G50" s="28"/>
      <c r="H50" s="60" t="s">
        <v>11265</v>
      </c>
      <c r="I50" s="28" t="s">
        <v>11289</v>
      </c>
      <c r="J50" s="28" t="s">
        <v>11201</v>
      </c>
      <c r="K50" s="28" t="s">
        <v>11265</v>
      </c>
      <c r="L50" s="28" t="s">
        <v>11202</v>
      </c>
      <c r="M50" s="60" t="s">
        <v>41</v>
      </c>
      <c r="N50" s="28"/>
    </row>
    <row r="51" spans="1:14" ht="14.4">
      <c r="A51" s="28" t="s">
        <v>11197</v>
      </c>
      <c r="B51" s="28" t="s">
        <v>1379</v>
      </c>
      <c r="C51" s="107" t="s">
        <v>79</v>
      </c>
      <c r="D51" s="291" t="s">
        <v>80</v>
      </c>
      <c r="E51" s="29" t="s">
        <v>54</v>
      </c>
      <c r="F51" s="28" t="s">
        <v>11315</v>
      </c>
      <c r="G51" s="28"/>
      <c r="H51" s="60" t="s">
        <v>11265</v>
      </c>
      <c r="I51" s="28" t="s">
        <v>11289</v>
      </c>
      <c r="J51" s="28" t="s">
        <v>11201</v>
      </c>
      <c r="K51" s="28" t="s">
        <v>11265</v>
      </c>
      <c r="L51" s="28" t="s">
        <v>11202</v>
      </c>
      <c r="M51" s="60" t="s">
        <v>41</v>
      </c>
      <c r="N51" s="28"/>
    </row>
    <row r="52" spans="1:14" ht="14.4">
      <c r="A52" s="28" t="s">
        <v>11197</v>
      </c>
      <c r="B52" s="28" t="s">
        <v>1379</v>
      </c>
      <c r="C52" s="107" t="s">
        <v>79</v>
      </c>
      <c r="D52" s="291" t="s">
        <v>80</v>
      </c>
      <c r="E52" s="29" t="s">
        <v>54</v>
      </c>
      <c r="F52" s="28" t="s">
        <v>11316</v>
      </c>
      <c r="G52" s="28"/>
      <c r="H52" s="60" t="s">
        <v>11265</v>
      </c>
      <c r="I52" s="28" t="s">
        <v>11289</v>
      </c>
      <c r="J52" s="28" t="s">
        <v>11201</v>
      </c>
      <c r="K52" s="28" t="s">
        <v>11265</v>
      </c>
      <c r="L52" s="28" t="s">
        <v>11202</v>
      </c>
      <c r="M52" s="60" t="s">
        <v>41</v>
      </c>
      <c r="N52" s="28"/>
    </row>
    <row r="53" spans="1:14" ht="14.4">
      <c r="A53" s="28" t="s">
        <v>11197</v>
      </c>
      <c r="B53" s="28" t="s">
        <v>1379</v>
      </c>
      <c r="C53" s="107" t="s">
        <v>287</v>
      </c>
      <c r="D53" s="292" t="s">
        <v>71</v>
      </c>
      <c r="E53" s="293" t="s">
        <v>54</v>
      </c>
      <c r="F53" s="279" t="s">
        <v>11317</v>
      </c>
      <c r="G53" s="28"/>
      <c r="H53" s="60" t="s">
        <v>6199</v>
      </c>
      <c r="I53" s="28" t="s">
        <v>6199</v>
      </c>
      <c r="J53" s="28" t="s">
        <v>6199</v>
      </c>
      <c r="K53" s="28" t="s">
        <v>6199</v>
      </c>
      <c r="L53" s="28" t="s">
        <v>6199</v>
      </c>
      <c r="M53" s="60" t="s">
        <v>41</v>
      </c>
      <c r="N53" s="28"/>
    </row>
    <row r="54" spans="1:14" ht="14.4">
      <c r="A54" s="28" t="s">
        <v>11197</v>
      </c>
      <c r="B54" s="28" t="s">
        <v>1379</v>
      </c>
      <c r="C54" s="107" t="s">
        <v>296</v>
      </c>
      <c r="D54" s="107" t="s">
        <v>954</v>
      </c>
      <c r="E54" s="287" t="s">
        <v>54</v>
      </c>
      <c r="F54" s="280" t="s">
        <v>11318</v>
      </c>
      <c r="G54" s="28"/>
      <c r="H54" s="60" t="s">
        <v>11319</v>
      </c>
      <c r="I54" s="28" t="s">
        <v>335</v>
      </c>
      <c r="J54" s="28" t="s">
        <v>11320</v>
      </c>
      <c r="K54" s="28"/>
      <c r="L54" s="28" t="s">
        <v>11321</v>
      </c>
      <c r="M54" s="60" t="s">
        <v>41</v>
      </c>
      <c r="N54" s="28"/>
    </row>
    <row r="55" spans="1:14" ht="14.4">
      <c r="A55" s="28" t="s">
        <v>11197</v>
      </c>
      <c r="B55" s="28" t="s">
        <v>1379</v>
      </c>
      <c r="C55" s="107" t="s">
        <v>306</v>
      </c>
      <c r="D55" s="271" t="s">
        <v>341</v>
      </c>
      <c r="E55" s="175" t="s">
        <v>54</v>
      </c>
      <c r="F55" s="110" t="s">
        <v>11322</v>
      </c>
      <c r="G55" s="28"/>
      <c r="H55" s="104" t="s">
        <v>11323</v>
      </c>
      <c r="I55" s="28" t="s">
        <v>1800</v>
      </c>
      <c r="J55" s="28"/>
      <c r="K55" s="28" t="s">
        <v>11323</v>
      </c>
      <c r="L55" s="28" t="s">
        <v>11202</v>
      </c>
      <c r="M55" s="24" t="s">
        <v>41</v>
      </c>
      <c r="N55" s="28"/>
    </row>
    <row r="56" spans="1:14" ht="14.4">
      <c r="A56" s="28" t="s">
        <v>11197</v>
      </c>
      <c r="B56" s="28" t="s">
        <v>1379</v>
      </c>
      <c r="C56" s="174" t="s">
        <v>306</v>
      </c>
      <c r="D56" s="254" t="s">
        <v>341</v>
      </c>
      <c r="E56" s="175" t="s">
        <v>54</v>
      </c>
      <c r="F56" s="110" t="s">
        <v>11324</v>
      </c>
      <c r="G56" s="28"/>
      <c r="H56" s="104" t="s">
        <v>11323</v>
      </c>
      <c r="I56" s="28" t="s">
        <v>1800</v>
      </c>
      <c r="J56" s="28"/>
      <c r="K56" s="28" t="s">
        <v>11323</v>
      </c>
      <c r="L56" s="28" t="s">
        <v>11202</v>
      </c>
      <c r="M56" s="24" t="s">
        <v>41</v>
      </c>
      <c r="N56" s="28"/>
    </row>
    <row r="57" spans="1:14" ht="14.4">
      <c r="A57" s="28" t="s">
        <v>11197</v>
      </c>
      <c r="B57" s="28" t="s">
        <v>11313</v>
      </c>
      <c r="C57" s="107" t="s">
        <v>233</v>
      </c>
      <c r="D57" s="294" t="s">
        <v>298</v>
      </c>
      <c r="E57" s="287" t="s">
        <v>54</v>
      </c>
      <c r="F57" s="288" t="s">
        <v>11325</v>
      </c>
      <c r="G57" s="28"/>
      <c r="H57" s="60" t="s">
        <v>11326</v>
      </c>
      <c r="I57" s="28" t="s">
        <v>933</v>
      </c>
      <c r="J57" s="28" t="s">
        <v>11327</v>
      </c>
      <c r="K57" s="28" t="s">
        <v>11326</v>
      </c>
      <c r="L57" s="28" t="s">
        <v>729</v>
      </c>
      <c r="M57" s="60" t="s">
        <v>41</v>
      </c>
      <c r="N57" s="28"/>
    </row>
    <row r="58" spans="1:14" ht="14.4">
      <c r="A58" s="28" t="s">
        <v>11197</v>
      </c>
      <c r="B58" s="28" t="s">
        <v>11313</v>
      </c>
      <c r="C58" s="107" t="s">
        <v>233</v>
      </c>
      <c r="D58" s="29" t="s">
        <v>298</v>
      </c>
      <c r="E58" s="175" t="s">
        <v>54</v>
      </c>
      <c r="F58" s="110" t="s">
        <v>11328</v>
      </c>
      <c r="G58" s="28"/>
      <c r="H58" s="104" t="s">
        <v>11329</v>
      </c>
      <c r="I58" s="28" t="s">
        <v>11330</v>
      </c>
      <c r="J58" s="28" t="s">
        <v>11331</v>
      </c>
      <c r="K58" s="28" t="s">
        <v>11332</v>
      </c>
      <c r="L58" s="28" t="s">
        <v>729</v>
      </c>
      <c r="M58" s="24" t="s">
        <v>41</v>
      </c>
      <c r="N58" s="28"/>
    </row>
    <row r="59" spans="1:14" ht="14.4">
      <c r="A59" s="28" t="s">
        <v>11197</v>
      </c>
      <c r="B59" s="28" t="s">
        <v>11313</v>
      </c>
      <c r="C59" s="107" t="s">
        <v>233</v>
      </c>
      <c r="D59" s="29" t="s">
        <v>298</v>
      </c>
      <c r="E59" s="175" t="s">
        <v>54</v>
      </c>
      <c r="F59" s="110" t="s">
        <v>11333</v>
      </c>
      <c r="G59" s="28"/>
      <c r="H59" s="104" t="s">
        <v>11334</v>
      </c>
      <c r="I59" s="28" t="s">
        <v>11335</v>
      </c>
      <c r="J59" s="28" t="s">
        <v>11336</v>
      </c>
      <c r="K59" s="28" t="s">
        <v>11334</v>
      </c>
      <c r="L59" s="28" t="s">
        <v>729</v>
      </c>
      <c r="M59" s="24" t="s">
        <v>41</v>
      </c>
      <c r="N59" s="28"/>
    </row>
    <row r="60" spans="1:14" ht="14.4">
      <c r="A60" s="28" t="s">
        <v>11197</v>
      </c>
      <c r="B60" s="28" t="s">
        <v>11313</v>
      </c>
      <c r="C60" s="107" t="s">
        <v>220</v>
      </c>
      <c r="D60" s="29" t="s">
        <v>234</v>
      </c>
      <c r="E60" s="175" t="s">
        <v>54</v>
      </c>
      <c r="F60" s="110" t="s">
        <v>11338</v>
      </c>
      <c r="G60" s="28"/>
      <c r="H60" s="104" t="s">
        <v>11329</v>
      </c>
      <c r="I60" s="28" t="s">
        <v>11330</v>
      </c>
      <c r="J60" s="28" t="s">
        <v>11327</v>
      </c>
      <c r="K60" s="28" t="s">
        <v>11339</v>
      </c>
      <c r="L60" s="28" t="s">
        <v>729</v>
      </c>
      <c r="M60" s="24" t="s">
        <v>41</v>
      </c>
      <c r="N60" s="28"/>
    </row>
    <row r="61" spans="1:14" ht="14.4">
      <c r="A61" s="28" t="s">
        <v>11197</v>
      </c>
      <c r="B61" s="28" t="s">
        <v>11313</v>
      </c>
      <c r="C61" s="107" t="s">
        <v>220</v>
      </c>
      <c r="D61" s="29" t="s">
        <v>234</v>
      </c>
      <c r="E61" s="175" t="s">
        <v>54</v>
      </c>
      <c r="F61" s="110" t="s">
        <v>11341</v>
      </c>
      <c r="G61" s="28"/>
      <c r="H61" s="104" t="s">
        <v>11329</v>
      </c>
      <c r="I61" s="28" t="s">
        <v>11330</v>
      </c>
      <c r="J61" s="28" t="s">
        <v>11331</v>
      </c>
      <c r="K61" s="28" t="s">
        <v>11342</v>
      </c>
      <c r="L61" s="28" t="s">
        <v>729</v>
      </c>
      <c r="M61" s="24" t="s">
        <v>41</v>
      </c>
      <c r="N61" s="28"/>
    </row>
    <row r="62" spans="1:14" ht="14.4">
      <c r="A62" s="28" t="s">
        <v>11197</v>
      </c>
      <c r="B62" s="28" t="s">
        <v>11313</v>
      </c>
      <c r="C62" s="107" t="s">
        <v>220</v>
      </c>
      <c r="D62" s="29" t="s">
        <v>234</v>
      </c>
      <c r="E62" s="175" t="s">
        <v>54</v>
      </c>
      <c r="F62" s="110" t="s">
        <v>11346</v>
      </c>
      <c r="G62" s="28"/>
      <c r="H62" s="104" t="s">
        <v>11347</v>
      </c>
      <c r="I62" s="28" t="s">
        <v>11349</v>
      </c>
      <c r="J62" s="28" t="s">
        <v>11336</v>
      </c>
      <c r="K62" s="28" t="s">
        <v>11347</v>
      </c>
      <c r="L62" s="28" t="s">
        <v>729</v>
      </c>
      <c r="M62" s="24" t="s">
        <v>41</v>
      </c>
      <c r="N62" s="28"/>
    </row>
    <row r="63" spans="1:14" ht="14.4">
      <c r="A63" s="28" t="s">
        <v>11197</v>
      </c>
      <c r="B63" s="28" t="s">
        <v>11313</v>
      </c>
      <c r="C63" s="107" t="s">
        <v>85</v>
      </c>
      <c r="D63" s="28" t="s">
        <v>86</v>
      </c>
      <c r="E63" s="175" t="s">
        <v>54</v>
      </c>
      <c r="F63" s="110" t="s">
        <v>11350</v>
      </c>
      <c r="G63" s="28"/>
      <c r="H63" s="104" t="s">
        <v>11329</v>
      </c>
      <c r="I63" s="28" t="s">
        <v>11351</v>
      </c>
      <c r="J63" s="28" t="s">
        <v>11352</v>
      </c>
      <c r="K63" s="28" t="s">
        <v>11329</v>
      </c>
      <c r="L63" s="28" t="s">
        <v>729</v>
      </c>
      <c r="M63" s="24" t="s">
        <v>41</v>
      </c>
      <c r="N63" s="28"/>
    </row>
    <row r="64" spans="1:14" ht="14.4">
      <c r="A64" s="28" t="s">
        <v>11197</v>
      </c>
      <c r="B64" s="28" t="s">
        <v>11313</v>
      </c>
      <c r="C64" s="107" t="s">
        <v>85</v>
      </c>
      <c r="D64" s="28" t="s">
        <v>86</v>
      </c>
      <c r="E64" s="175" t="s">
        <v>54</v>
      </c>
      <c r="F64" s="110" t="s">
        <v>11353</v>
      </c>
      <c r="G64" s="28"/>
      <c r="H64" s="104" t="s">
        <v>11354</v>
      </c>
      <c r="I64" s="28" t="s">
        <v>11355</v>
      </c>
      <c r="J64" s="28" t="s">
        <v>11356</v>
      </c>
      <c r="K64" s="28" t="s">
        <v>11358</v>
      </c>
      <c r="L64" s="28" t="s">
        <v>729</v>
      </c>
      <c r="M64" s="24" t="s">
        <v>41</v>
      </c>
      <c r="N64" s="28"/>
    </row>
    <row r="65" spans="1:14" ht="14.4">
      <c r="A65" s="28" t="s">
        <v>11197</v>
      </c>
      <c r="B65" s="28" t="s">
        <v>11313</v>
      </c>
      <c r="C65" s="107" t="s">
        <v>85</v>
      </c>
      <c r="D65" s="28" t="s">
        <v>86</v>
      </c>
      <c r="E65" s="175" t="s">
        <v>54</v>
      </c>
      <c r="F65" s="110" t="s">
        <v>11361</v>
      </c>
      <c r="G65" s="28"/>
      <c r="H65" s="104" t="s">
        <v>11354</v>
      </c>
      <c r="I65" s="28" t="s">
        <v>11355</v>
      </c>
      <c r="J65" s="28" t="s">
        <v>11362</v>
      </c>
      <c r="K65" s="28" t="s">
        <v>11363</v>
      </c>
      <c r="L65" s="28" t="s">
        <v>729</v>
      </c>
      <c r="M65" s="24" t="s">
        <v>41</v>
      </c>
      <c r="N65" s="28"/>
    </row>
    <row r="66" spans="1:14" ht="14.4">
      <c r="A66" s="28" t="s">
        <v>11197</v>
      </c>
      <c r="B66" s="28" t="s">
        <v>11313</v>
      </c>
      <c r="C66" s="107" t="s">
        <v>85</v>
      </c>
      <c r="D66" s="28" t="s">
        <v>86</v>
      </c>
      <c r="E66" s="175" t="s">
        <v>54</v>
      </c>
      <c r="F66" s="110" t="s">
        <v>11366</v>
      </c>
      <c r="G66" s="28"/>
      <c r="H66" s="104" t="s">
        <v>11367</v>
      </c>
      <c r="I66" s="28" t="s">
        <v>887</v>
      </c>
      <c r="J66" s="28" t="s">
        <v>11368</v>
      </c>
      <c r="K66" s="28" t="s">
        <v>11369</v>
      </c>
      <c r="L66" s="28" t="s">
        <v>729</v>
      </c>
      <c r="M66" s="24" t="s">
        <v>41</v>
      </c>
      <c r="N66" s="28"/>
    </row>
    <row r="67" spans="1:14" ht="14.4">
      <c r="A67" s="28" t="s">
        <v>11197</v>
      </c>
      <c r="B67" s="28" t="s">
        <v>11313</v>
      </c>
      <c r="C67" s="107" t="s">
        <v>85</v>
      </c>
      <c r="D67" s="28" t="s">
        <v>86</v>
      </c>
      <c r="E67" s="175" t="s">
        <v>54</v>
      </c>
      <c r="F67" s="110" t="s">
        <v>11371</v>
      </c>
      <c r="G67" s="28"/>
      <c r="H67" s="104" t="s">
        <v>11354</v>
      </c>
      <c r="I67" s="28" t="s">
        <v>11355</v>
      </c>
      <c r="J67" s="28" t="s">
        <v>11373</v>
      </c>
      <c r="K67" s="28" t="s">
        <v>11374</v>
      </c>
      <c r="L67" s="28" t="s">
        <v>729</v>
      </c>
      <c r="M67" s="24" t="s">
        <v>41</v>
      </c>
      <c r="N67" s="28"/>
    </row>
    <row r="68" spans="1:14" ht="14.4">
      <c r="A68" s="28" t="s">
        <v>11197</v>
      </c>
      <c r="B68" s="28" t="s">
        <v>11313</v>
      </c>
      <c r="C68" s="107" t="s">
        <v>85</v>
      </c>
      <c r="D68" s="28" t="s">
        <v>86</v>
      </c>
      <c r="E68" s="175" t="s">
        <v>54</v>
      </c>
      <c r="F68" s="110" t="s">
        <v>11377</v>
      </c>
      <c r="G68" s="28"/>
      <c r="H68" s="104" t="s">
        <v>11354</v>
      </c>
      <c r="I68" s="28" t="s">
        <v>11378</v>
      </c>
      <c r="J68" s="28" t="s">
        <v>11379</v>
      </c>
      <c r="K68" s="28" t="s">
        <v>11380</v>
      </c>
      <c r="L68" s="28" t="s">
        <v>729</v>
      </c>
      <c r="M68" s="24" t="s">
        <v>41</v>
      </c>
      <c r="N68" s="28"/>
    </row>
    <row r="69" spans="1:14" ht="14.4">
      <c r="A69" s="28" t="s">
        <v>11197</v>
      </c>
      <c r="B69" s="28" t="s">
        <v>11313</v>
      </c>
      <c r="C69" s="107" t="s">
        <v>85</v>
      </c>
      <c r="D69" s="28" t="s">
        <v>86</v>
      </c>
      <c r="E69" s="175" t="s">
        <v>54</v>
      </c>
      <c r="F69" s="110" t="s">
        <v>11383</v>
      </c>
      <c r="G69" s="28"/>
      <c r="H69" s="104" t="s">
        <v>11385</v>
      </c>
      <c r="I69" s="28" t="s">
        <v>2714</v>
      </c>
      <c r="J69" s="28" t="s">
        <v>11387</v>
      </c>
      <c r="K69" s="28" t="s">
        <v>11385</v>
      </c>
      <c r="L69" s="28" t="s">
        <v>729</v>
      </c>
      <c r="M69" s="24" t="s">
        <v>41</v>
      </c>
      <c r="N69" s="28"/>
    </row>
    <row r="70" spans="1:14" ht="14.4">
      <c r="A70" s="28" t="s">
        <v>11197</v>
      </c>
      <c r="B70" s="28" t="s">
        <v>11313</v>
      </c>
      <c r="C70" s="107" t="s">
        <v>85</v>
      </c>
      <c r="D70" s="28" t="s">
        <v>86</v>
      </c>
      <c r="E70" s="175" t="s">
        <v>54</v>
      </c>
      <c r="F70" s="110" t="s">
        <v>11390</v>
      </c>
      <c r="G70" s="28"/>
      <c r="H70" s="104" t="s">
        <v>11391</v>
      </c>
      <c r="I70" s="28" t="s">
        <v>887</v>
      </c>
      <c r="J70" s="28" t="s">
        <v>11392</v>
      </c>
      <c r="K70" s="28" t="s">
        <v>11391</v>
      </c>
      <c r="L70" s="28" t="s">
        <v>729</v>
      </c>
      <c r="M70" s="24" t="s">
        <v>41</v>
      </c>
      <c r="N70" s="28"/>
    </row>
    <row r="71" spans="1:14" ht="14.4">
      <c r="A71" s="28" t="s">
        <v>11197</v>
      </c>
      <c r="B71" s="28" t="s">
        <v>11313</v>
      </c>
      <c r="C71" s="107" t="s">
        <v>85</v>
      </c>
      <c r="D71" s="28" t="s">
        <v>86</v>
      </c>
      <c r="E71" s="175" t="s">
        <v>54</v>
      </c>
      <c r="F71" s="110" t="s">
        <v>11396</v>
      </c>
      <c r="G71" s="28"/>
      <c r="H71" s="104" t="s">
        <v>11397</v>
      </c>
      <c r="I71" s="28" t="s">
        <v>887</v>
      </c>
      <c r="J71" s="28" t="s">
        <v>11398</v>
      </c>
      <c r="K71" s="28" t="s">
        <v>11397</v>
      </c>
      <c r="L71" s="28" t="s">
        <v>729</v>
      </c>
      <c r="M71" s="24" t="s">
        <v>41</v>
      </c>
      <c r="N71" s="28"/>
    </row>
    <row r="72" spans="1:14" ht="14.4">
      <c r="A72" s="28" t="s">
        <v>11197</v>
      </c>
      <c r="B72" s="28" t="s">
        <v>11313</v>
      </c>
      <c r="C72" s="107" t="s">
        <v>85</v>
      </c>
      <c r="D72" s="28" t="s">
        <v>86</v>
      </c>
      <c r="E72" s="175" t="s">
        <v>54</v>
      </c>
      <c r="F72" s="110" t="s">
        <v>11399</v>
      </c>
      <c r="G72" s="28"/>
      <c r="H72" s="104" t="s">
        <v>11400</v>
      </c>
      <c r="I72" s="28" t="s">
        <v>4786</v>
      </c>
      <c r="J72" s="28" t="s">
        <v>11401</v>
      </c>
      <c r="K72" s="28" t="s">
        <v>11402</v>
      </c>
      <c r="L72" s="28" t="s">
        <v>729</v>
      </c>
      <c r="M72" s="24" t="s">
        <v>41</v>
      </c>
      <c r="N72" s="28"/>
    </row>
    <row r="73" spans="1:14" ht="14.4">
      <c r="A73" s="28" t="s">
        <v>11197</v>
      </c>
      <c r="B73" s="28" t="s">
        <v>11313</v>
      </c>
      <c r="C73" s="107" t="s">
        <v>85</v>
      </c>
      <c r="D73" s="28" t="s">
        <v>86</v>
      </c>
      <c r="E73" s="175" t="s">
        <v>54</v>
      </c>
      <c r="F73" s="110" t="s">
        <v>11405</v>
      </c>
      <c r="G73" s="28"/>
      <c r="H73" s="104" t="s">
        <v>11406</v>
      </c>
      <c r="I73" s="28" t="s">
        <v>2689</v>
      </c>
      <c r="J73" s="28" t="s">
        <v>11407</v>
      </c>
      <c r="K73" s="28" t="s">
        <v>11406</v>
      </c>
      <c r="L73" s="28" t="s">
        <v>11408</v>
      </c>
      <c r="M73" s="24" t="s">
        <v>41</v>
      </c>
      <c r="N73" s="28"/>
    </row>
    <row r="74" spans="1:14" ht="14.4">
      <c r="A74" s="28" t="s">
        <v>11197</v>
      </c>
      <c r="B74" s="28" t="s">
        <v>11313</v>
      </c>
      <c r="C74" s="107" t="s">
        <v>85</v>
      </c>
      <c r="D74" s="28" t="s">
        <v>86</v>
      </c>
      <c r="E74" s="175" t="s">
        <v>54</v>
      </c>
      <c r="F74" s="110" t="s">
        <v>11410</v>
      </c>
      <c r="G74" s="28"/>
      <c r="H74" s="104" t="s">
        <v>11412</v>
      </c>
      <c r="I74" s="28" t="s">
        <v>2689</v>
      </c>
      <c r="J74" s="28" t="s">
        <v>11414</v>
      </c>
      <c r="K74" s="28" t="s">
        <v>11412</v>
      </c>
      <c r="L74" s="28" t="s">
        <v>11415</v>
      </c>
      <c r="M74" s="24" t="s">
        <v>41</v>
      </c>
      <c r="N74" s="28"/>
    </row>
    <row r="75" spans="1:14" ht="14.4">
      <c r="A75" s="28" t="s">
        <v>11197</v>
      </c>
      <c r="B75" s="28" t="s">
        <v>11313</v>
      </c>
      <c r="C75" s="107" t="s">
        <v>85</v>
      </c>
      <c r="D75" s="28" t="s">
        <v>86</v>
      </c>
      <c r="E75" s="175" t="s">
        <v>54</v>
      </c>
      <c r="F75" s="110" t="s">
        <v>11416</v>
      </c>
      <c r="G75" s="28"/>
      <c r="H75" s="104" t="s">
        <v>11417</v>
      </c>
      <c r="I75" s="28" t="s">
        <v>11418</v>
      </c>
      <c r="J75" s="28" t="s">
        <v>11419</v>
      </c>
      <c r="K75" s="28" t="s">
        <v>11420</v>
      </c>
      <c r="L75" s="28" t="s">
        <v>729</v>
      </c>
      <c r="M75" s="24" t="s">
        <v>41</v>
      </c>
      <c r="N75" s="28"/>
    </row>
    <row r="76" spans="1:14" ht="14.4">
      <c r="A76" s="28" t="s">
        <v>11197</v>
      </c>
      <c r="B76" s="28" t="s">
        <v>11313</v>
      </c>
      <c r="C76" s="107" t="s">
        <v>85</v>
      </c>
      <c r="D76" s="28" t="s">
        <v>86</v>
      </c>
      <c r="E76" s="175" t="s">
        <v>54</v>
      </c>
      <c r="F76" s="110" t="s">
        <v>11422</v>
      </c>
      <c r="G76" s="28"/>
      <c r="H76" s="104" t="s">
        <v>11424</v>
      </c>
      <c r="I76" s="28" t="s">
        <v>2689</v>
      </c>
      <c r="J76" s="28" t="s">
        <v>11425</v>
      </c>
      <c r="K76" s="28" t="s">
        <v>11424</v>
      </c>
      <c r="L76" s="28" t="s">
        <v>11426</v>
      </c>
      <c r="M76" s="24" t="s">
        <v>41</v>
      </c>
      <c r="N76" s="28"/>
    </row>
    <row r="77" spans="1:14" ht="14.4">
      <c r="A77" s="28" t="s">
        <v>11197</v>
      </c>
      <c r="B77" s="28" t="s">
        <v>11313</v>
      </c>
      <c r="C77" s="107" t="s">
        <v>85</v>
      </c>
      <c r="D77" s="28" t="s">
        <v>86</v>
      </c>
      <c r="E77" s="287" t="s">
        <v>54</v>
      </c>
      <c r="F77" s="288" t="s">
        <v>11427</v>
      </c>
      <c r="G77" s="28"/>
      <c r="H77" s="60" t="s">
        <v>11428</v>
      </c>
      <c r="I77" s="28" t="s">
        <v>2689</v>
      </c>
      <c r="J77" s="28" t="s">
        <v>11430</v>
      </c>
      <c r="K77" s="28" t="s">
        <v>11428</v>
      </c>
      <c r="L77" s="28" t="s">
        <v>9124</v>
      </c>
      <c r="M77" s="60" t="s">
        <v>41</v>
      </c>
      <c r="N77" s="28"/>
    </row>
    <row r="78" spans="1:14" ht="14.4">
      <c r="A78" s="28" t="s">
        <v>11197</v>
      </c>
      <c r="B78" s="28" t="s">
        <v>11313</v>
      </c>
      <c r="C78" s="107" t="s">
        <v>85</v>
      </c>
      <c r="D78" s="28" t="s">
        <v>86</v>
      </c>
      <c r="E78" s="287" t="s">
        <v>54</v>
      </c>
      <c r="F78" s="288" t="s">
        <v>11433</v>
      </c>
      <c r="G78" s="28"/>
      <c r="H78" s="60" t="s">
        <v>11434</v>
      </c>
      <c r="I78" s="28" t="s">
        <v>11435</v>
      </c>
      <c r="J78" s="28" t="s">
        <v>11436</v>
      </c>
      <c r="K78" s="28" t="s">
        <v>11434</v>
      </c>
      <c r="L78" s="28" t="s">
        <v>729</v>
      </c>
      <c r="M78" s="60" t="s">
        <v>41</v>
      </c>
      <c r="N78" s="28"/>
    </row>
    <row r="79" spans="1:14" ht="14.4">
      <c r="A79" s="28" t="s">
        <v>11197</v>
      </c>
      <c r="B79" s="28" t="s">
        <v>11313</v>
      </c>
      <c r="C79" s="107" t="s">
        <v>85</v>
      </c>
      <c r="D79" s="28" t="s">
        <v>86</v>
      </c>
      <c r="E79" s="287" t="s">
        <v>54</v>
      </c>
      <c r="F79" s="288" t="s">
        <v>11437</v>
      </c>
      <c r="G79" s="28"/>
      <c r="H79" s="60" t="s">
        <v>11438</v>
      </c>
      <c r="I79" s="28" t="s">
        <v>2689</v>
      </c>
      <c r="J79" s="28" t="s">
        <v>11439</v>
      </c>
      <c r="K79" s="28" t="s">
        <v>11438</v>
      </c>
      <c r="L79" s="28" t="s">
        <v>11441</v>
      </c>
      <c r="M79" s="60" t="s">
        <v>41</v>
      </c>
      <c r="N79" s="28"/>
    </row>
    <row r="80" spans="1:14" ht="14.4">
      <c r="A80" s="28" t="s">
        <v>11197</v>
      </c>
      <c r="B80" s="28" t="s">
        <v>11313</v>
      </c>
      <c r="C80" s="107" t="s">
        <v>275</v>
      </c>
      <c r="D80" s="28" t="s">
        <v>543</v>
      </c>
      <c r="E80" s="287" t="s">
        <v>54</v>
      </c>
      <c r="F80" s="280" t="s">
        <v>11443</v>
      </c>
      <c r="G80" s="28"/>
      <c r="H80" s="60" t="s">
        <v>11354</v>
      </c>
      <c r="I80" s="28" t="s">
        <v>11355</v>
      </c>
      <c r="J80" s="28" t="s">
        <v>11444</v>
      </c>
      <c r="K80" s="28" t="s">
        <v>11354</v>
      </c>
      <c r="L80" s="28" t="s">
        <v>729</v>
      </c>
      <c r="M80" s="60" t="s">
        <v>41</v>
      </c>
      <c r="N80" s="28"/>
    </row>
    <row r="81" spans="1:14" ht="14.4">
      <c r="A81" s="28" t="s">
        <v>11197</v>
      </c>
      <c r="B81" s="28" t="s">
        <v>11313</v>
      </c>
      <c r="C81" s="107" t="s">
        <v>296</v>
      </c>
      <c r="D81" s="107" t="s">
        <v>954</v>
      </c>
      <c r="E81" s="287" t="s">
        <v>54</v>
      </c>
      <c r="F81" s="280" t="s">
        <v>11447</v>
      </c>
      <c r="G81" s="28"/>
      <c r="H81" s="60" t="s">
        <v>11319</v>
      </c>
      <c r="I81" s="28" t="s">
        <v>335</v>
      </c>
      <c r="J81" s="28" t="s">
        <v>11320</v>
      </c>
      <c r="K81" s="28"/>
      <c r="L81" s="28" t="s">
        <v>11449</v>
      </c>
      <c r="M81" s="60" t="s">
        <v>41</v>
      </c>
      <c r="N81" s="28"/>
    </row>
    <row r="82" spans="1:14" ht="14.4">
      <c r="A82" s="28" t="s">
        <v>11197</v>
      </c>
      <c r="B82" s="28" t="s">
        <v>11450</v>
      </c>
      <c r="C82" s="107" t="s">
        <v>85</v>
      </c>
      <c r="D82" s="28" t="s">
        <v>86</v>
      </c>
      <c r="E82" s="287" t="s">
        <v>54</v>
      </c>
      <c r="F82" s="288" t="s">
        <v>11451</v>
      </c>
      <c r="G82" s="28"/>
      <c r="H82" s="60" t="s">
        <v>11452</v>
      </c>
      <c r="I82" s="28" t="s">
        <v>11453</v>
      </c>
      <c r="J82" s="28" t="s">
        <v>9993</v>
      </c>
      <c r="K82" s="28" t="s">
        <v>11452</v>
      </c>
      <c r="L82" s="28" t="s">
        <v>11454</v>
      </c>
      <c r="M82" s="60" t="s">
        <v>41</v>
      </c>
      <c r="N82" s="28"/>
    </row>
    <row r="83" spans="1:14" ht="14.4">
      <c r="A83" s="28" t="s">
        <v>11197</v>
      </c>
      <c r="B83" s="28" t="s">
        <v>11450</v>
      </c>
      <c r="C83" s="107" t="s">
        <v>85</v>
      </c>
      <c r="D83" s="28" t="s">
        <v>86</v>
      </c>
      <c r="E83" s="287" t="s">
        <v>54</v>
      </c>
      <c r="F83" s="288" t="s">
        <v>11457</v>
      </c>
      <c r="G83" s="28"/>
      <c r="H83" s="60" t="s">
        <v>11452</v>
      </c>
      <c r="I83" s="28" t="s">
        <v>11453</v>
      </c>
      <c r="J83" s="28" t="s">
        <v>9993</v>
      </c>
      <c r="K83" s="28" t="s">
        <v>11452</v>
      </c>
      <c r="L83" s="28" t="s">
        <v>11454</v>
      </c>
      <c r="M83" s="60" t="s">
        <v>41</v>
      </c>
      <c r="N83" s="28"/>
    </row>
    <row r="84" spans="1:14" ht="14.4">
      <c r="A84" s="28" t="s">
        <v>11197</v>
      </c>
      <c r="B84" s="28" t="s">
        <v>11450</v>
      </c>
      <c r="C84" s="107" t="s">
        <v>85</v>
      </c>
      <c r="D84" s="28" t="s">
        <v>86</v>
      </c>
      <c r="E84" s="287" t="s">
        <v>54</v>
      </c>
      <c r="F84" s="288" t="s">
        <v>11458</v>
      </c>
      <c r="G84" s="28"/>
      <c r="H84" s="60" t="s">
        <v>11459</v>
      </c>
      <c r="I84" s="28" t="s">
        <v>11460</v>
      </c>
      <c r="J84" s="28" t="s">
        <v>9993</v>
      </c>
      <c r="K84" s="28" t="s">
        <v>11459</v>
      </c>
      <c r="L84" s="28" t="s">
        <v>11454</v>
      </c>
      <c r="M84" s="60" t="s">
        <v>41</v>
      </c>
      <c r="N84" s="28"/>
    </row>
    <row r="85" spans="1:14" ht="14.4">
      <c r="A85" s="28" t="s">
        <v>11197</v>
      </c>
      <c r="B85" s="28" t="s">
        <v>11450</v>
      </c>
      <c r="C85" s="107" t="s">
        <v>85</v>
      </c>
      <c r="D85" s="28" t="s">
        <v>86</v>
      </c>
      <c r="E85" s="287" t="s">
        <v>54</v>
      </c>
      <c r="F85" s="288" t="s">
        <v>11464</v>
      </c>
      <c r="G85" s="28"/>
      <c r="H85" s="60" t="s">
        <v>11465</v>
      </c>
      <c r="I85" s="28" t="s">
        <v>11466</v>
      </c>
      <c r="J85" s="28" t="s">
        <v>9993</v>
      </c>
      <c r="K85" s="28" t="s">
        <v>11465</v>
      </c>
      <c r="L85" s="28" t="s">
        <v>11467</v>
      </c>
      <c r="M85" s="60" t="s">
        <v>41</v>
      </c>
      <c r="N85" s="28"/>
    </row>
    <row r="86" spans="1:14" ht="14.4">
      <c r="A86" s="28" t="s">
        <v>11197</v>
      </c>
      <c r="B86" s="28" t="s">
        <v>11450</v>
      </c>
      <c r="C86" s="107" t="s">
        <v>220</v>
      </c>
      <c r="D86" s="29" t="s">
        <v>234</v>
      </c>
      <c r="E86" s="287" t="s">
        <v>54</v>
      </c>
      <c r="F86" s="288" t="s">
        <v>11470</v>
      </c>
      <c r="G86" s="28"/>
      <c r="H86" s="60" t="s">
        <v>11471</v>
      </c>
      <c r="I86" s="28" t="s">
        <v>933</v>
      </c>
      <c r="J86" s="28" t="s">
        <v>2820</v>
      </c>
      <c r="K86" s="28" t="s">
        <v>11471</v>
      </c>
      <c r="L86" s="28" t="s">
        <v>11454</v>
      </c>
      <c r="M86" s="60" t="s">
        <v>41</v>
      </c>
      <c r="N86" s="28"/>
    </row>
    <row r="87" spans="1:14" ht="14.4">
      <c r="A87" s="28" t="s">
        <v>11197</v>
      </c>
      <c r="B87" s="28" t="s">
        <v>11450</v>
      </c>
      <c r="C87" s="107" t="s">
        <v>275</v>
      </c>
      <c r="D87" s="28" t="s">
        <v>543</v>
      </c>
      <c r="E87" s="287" t="s">
        <v>54</v>
      </c>
      <c r="F87" s="280" t="s">
        <v>11472</v>
      </c>
      <c r="G87" s="28"/>
      <c r="H87" s="60" t="s">
        <v>11452</v>
      </c>
      <c r="I87" s="28" t="s">
        <v>11453</v>
      </c>
      <c r="J87" s="28" t="s">
        <v>3670</v>
      </c>
      <c r="K87" s="28" t="s">
        <v>11452</v>
      </c>
      <c r="L87" s="28" t="s">
        <v>11474</v>
      </c>
      <c r="M87" s="60" t="s">
        <v>41</v>
      </c>
      <c r="N87" s="28"/>
    </row>
    <row r="88" spans="1:14" ht="14.4">
      <c r="A88" s="28" t="s">
        <v>11197</v>
      </c>
      <c r="B88" s="28" t="s">
        <v>11450</v>
      </c>
      <c r="C88" s="107" t="s">
        <v>233</v>
      </c>
      <c r="D88" s="29" t="s">
        <v>298</v>
      </c>
      <c r="E88" s="287" t="s">
        <v>54</v>
      </c>
      <c r="F88" s="288" t="s">
        <v>11476</v>
      </c>
      <c r="G88" s="28"/>
      <c r="H88" s="60" t="s">
        <v>11477</v>
      </c>
      <c r="I88" s="28" t="s">
        <v>11478</v>
      </c>
      <c r="J88" s="28" t="s">
        <v>2820</v>
      </c>
      <c r="K88" s="28" t="s">
        <v>11477</v>
      </c>
      <c r="L88" s="28" t="s">
        <v>11454</v>
      </c>
      <c r="M88" s="60" t="s">
        <v>41</v>
      </c>
      <c r="N88" s="28"/>
    </row>
    <row r="89" spans="1:14" ht="14.4">
      <c r="A89" s="28" t="s">
        <v>11197</v>
      </c>
      <c r="B89" s="28" t="s">
        <v>11309</v>
      </c>
      <c r="C89" s="107" t="s">
        <v>85</v>
      </c>
      <c r="D89" s="28" t="s">
        <v>86</v>
      </c>
      <c r="E89" s="287" t="s">
        <v>54</v>
      </c>
      <c r="F89" s="288" t="s">
        <v>11480</v>
      </c>
      <c r="G89" s="28"/>
      <c r="H89" s="60" t="s">
        <v>11482</v>
      </c>
      <c r="I89" s="28" t="s">
        <v>11484</v>
      </c>
      <c r="J89" s="28" t="s">
        <v>11201</v>
      </c>
      <c r="K89" s="28" t="s">
        <v>11485</v>
      </c>
      <c r="L89" s="28" t="s">
        <v>11486</v>
      </c>
      <c r="M89" s="60" t="s">
        <v>41</v>
      </c>
      <c r="N89" s="28"/>
    </row>
    <row r="90" spans="1:14" ht="14.4">
      <c r="A90" s="28" t="s">
        <v>11197</v>
      </c>
      <c r="B90" s="28" t="s">
        <v>11309</v>
      </c>
      <c r="C90" s="107" t="s">
        <v>85</v>
      </c>
      <c r="D90" s="28" t="s">
        <v>86</v>
      </c>
      <c r="E90" s="287" t="s">
        <v>54</v>
      </c>
      <c r="F90" s="288" t="s">
        <v>11487</v>
      </c>
      <c r="G90" s="28"/>
      <c r="H90" s="60" t="s">
        <v>11488</v>
      </c>
      <c r="I90" s="28" t="s">
        <v>11489</v>
      </c>
      <c r="J90" s="28" t="s">
        <v>11207</v>
      </c>
      <c r="K90" s="28" t="s">
        <v>11490</v>
      </c>
      <c r="L90" s="28" t="s">
        <v>11486</v>
      </c>
      <c r="M90" s="60" t="s">
        <v>41</v>
      </c>
      <c r="N90" s="28"/>
    </row>
    <row r="91" spans="1:14" ht="14.4">
      <c r="A91" s="28" t="s">
        <v>11197</v>
      </c>
      <c r="B91" s="28" t="s">
        <v>11309</v>
      </c>
      <c r="C91" s="107" t="s">
        <v>85</v>
      </c>
      <c r="D91" s="28" t="s">
        <v>86</v>
      </c>
      <c r="E91" s="287" t="s">
        <v>54</v>
      </c>
      <c r="F91" s="288" t="s">
        <v>11495</v>
      </c>
      <c r="G91" s="28"/>
      <c r="H91" s="60" t="s">
        <v>11496</v>
      </c>
      <c r="I91" s="28" t="s">
        <v>11497</v>
      </c>
      <c r="J91" s="28" t="s">
        <v>9732</v>
      </c>
      <c r="K91" s="28" t="s">
        <v>11498</v>
      </c>
      <c r="L91" s="28" t="s">
        <v>11499</v>
      </c>
      <c r="M91" s="60" t="s">
        <v>41</v>
      </c>
      <c r="N91" s="28"/>
    </row>
    <row r="92" spans="1:14" ht="14.4">
      <c r="A92" s="28" t="s">
        <v>11197</v>
      </c>
      <c r="B92" s="28" t="s">
        <v>11309</v>
      </c>
      <c r="C92" s="107" t="s">
        <v>85</v>
      </c>
      <c r="D92" s="28" t="s">
        <v>86</v>
      </c>
      <c r="E92" s="287" t="s">
        <v>54</v>
      </c>
      <c r="F92" s="288" t="s">
        <v>11501</v>
      </c>
      <c r="G92" s="28"/>
      <c r="H92" s="60" t="s">
        <v>11503</v>
      </c>
      <c r="I92" s="28" t="s">
        <v>11505</v>
      </c>
      <c r="J92" s="28" t="s">
        <v>9735</v>
      </c>
      <c r="K92" s="28" t="s">
        <v>11506</v>
      </c>
      <c r="L92" s="28" t="s">
        <v>11508</v>
      </c>
      <c r="M92" s="60" t="s">
        <v>41</v>
      </c>
      <c r="N92" s="28"/>
    </row>
    <row r="93" spans="1:14" ht="14.4">
      <c r="A93" s="28" t="s">
        <v>11197</v>
      </c>
      <c r="B93" s="28" t="s">
        <v>11309</v>
      </c>
      <c r="C93" s="107" t="s">
        <v>85</v>
      </c>
      <c r="D93" s="28" t="s">
        <v>86</v>
      </c>
      <c r="E93" s="287" t="s">
        <v>54</v>
      </c>
      <c r="F93" s="288" t="s">
        <v>11510</v>
      </c>
      <c r="G93" s="28"/>
      <c r="H93" s="60" t="s">
        <v>11503</v>
      </c>
      <c r="I93" s="28" t="s">
        <v>11511</v>
      </c>
      <c r="J93" s="28" t="s">
        <v>9736</v>
      </c>
      <c r="K93" s="28" t="s">
        <v>11512</v>
      </c>
      <c r="L93" s="28" t="s">
        <v>11486</v>
      </c>
      <c r="M93" s="60" t="s">
        <v>41</v>
      </c>
      <c r="N93" s="28"/>
    </row>
    <row r="94" spans="1:14" ht="14.4">
      <c r="A94" s="28" t="s">
        <v>11197</v>
      </c>
      <c r="B94" s="28" t="s">
        <v>11309</v>
      </c>
      <c r="C94" s="107" t="s">
        <v>85</v>
      </c>
      <c r="D94" s="28" t="s">
        <v>86</v>
      </c>
      <c r="E94" s="287" t="s">
        <v>54</v>
      </c>
      <c r="F94" s="288" t="s">
        <v>11516</v>
      </c>
      <c r="G94" s="28"/>
      <c r="H94" s="60" t="s">
        <v>11518</v>
      </c>
      <c r="I94" s="28" t="s">
        <v>11519</v>
      </c>
      <c r="J94" s="28" t="s">
        <v>10762</v>
      </c>
      <c r="K94" s="28" t="s">
        <v>11520</v>
      </c>
      <c r="L94" s="28" t="s">
        <v>11486</v>
      </c>
      <c r="M94" s="60" t="s">
        <v>41</v>
      </c>
      <c r="N94" s="28"/>
    </row>
    <row r="95" spans="1:14" ht="14.4">
      <c r="A95" s="28" t="s">
        <v>11197</v>
      </c>
      <c r="B95" s="28" t="s">
        <v>11309</v>
      </c>
      <c r="C95" s="107" t="s">
        <v>85</v>
      </c>
      <c r="D95" s="28" t="s">
        <v>86</v>
      </c>
      <c r="E95" s="287" t="s">
        <v>54</v>
      </c>
      <c r="F95" s="288" t="s">
        <v>11521</v>
      </c>
      <c r="G95" s="28"/>
      <c r="H95" s="60" t="s">
        <v>11522</v>
      </c>
      <c r="I95" s="28" t="s">
        <v>2400</v>
      </c>
      <c r="J95" s="28" t="s">
        <v>9579</v>
      </c>
      <c r="K95" s="28" t="s">
        <v>11524</v>
      </c>
      <c r="L95" s="28" t="s">
        <v>11526</v>
      </c>
      <c r="M95" s="60" t="s">
        <v>41</v>
      </c>
      <c r="N95" s="28"/>
    </row>
    <row r="96" spans="1:14" ht="14.4">
      <c r="A96" s="28" t="s">
        <v>11197</v>
      </c>
      <c r="B96" s="28" t="s">
        <v>11309</v>
      </c>
      <c r="C96" s="107" t="s">
        <v>85</v>
      </c>
      <c r="D96" s="28" t="s">
        <v>86</v>
      </c>
      <c r="E96" s="287" t="s">
        <v>54</v>
      </c>
      <c r="F96" s="288" t="s">
        <v>11529</v>
      </c>
      <c r="G96" s="28"/>
      <c r="H96" s="60" t="s">
        <v>11530</v>
      </c>
      <c r="I96" s="28" t="s">
        <v>11531</v>
      </c>
      <c r="J96" s="28" t="s">
        <v>9592</v>
      </c>
      <c r="K96" s="28" t="s">
        <v>11532</v>
      </c>
      <c r="L96" s="28" t="s">
        <v>11486</v>
      </c>
      <c r="M96" s="60" t="s">
        <v>41</v>
      </c>
      <c r="N96" s="28"/>
    </row>
    <row r="97" spans="1:14" ht="14.4">
      <c r="A97" s="28" t="s">
        <v>11197</v>
      </c>
      <c r="B97" s="28" t="s">
        <v>11309</v>
      </c>
      <c r="C97" s="107" t="s">
        <v>85</v>
      </c>
      <c r="D97" s="28" t="s">
        <v>86</v>
      </c>
      <c r="E97" s="287" t="s">
        <v>54</v>
      </c>
      <c r="F97" s="288" t="s">
        <v>11533</v>
      </c>
      <c r="G97" s="28"/>
      <c r="H97" s="60" t="s">
        <v>11535</v>
      </c>
      <c r="I97" s="28" t="s">
        <v>11537</v>
      </c>
      <c r="J97" s="28"/>
      <c r="K97" s="28"/>
      <c r="L97" s="28" t="s">
        <v>11499</v>
      </c>
      <c r="M97" s="60" t="s">
        <v>41</v>
      </c>
      <c r="N97" s="28"/>
    </row>
    <row r="98" spans="1:14" ht="14.4">
      <c r="A98" s="28" t="s">
        <v>11197</v>
      </c>
      <c r="B98" s="28" t="s">
        <v>11309</v>
      </c>
      <c r="C98" s="107" t="s">
        <v>85</v>
      </c>
      <c r="D98" s="28" t="s">
        <v>86</v>
      </c>
      <c r="E98" s="287" t="s">
        <v>54</v>
      </c>
      <c r="F98" s="288" t="s">
        <v>11540</v>
      </c>
      <c r="G98" s="28"/>
      <c r="H98" s="60" t="s">
        <v>11541</v>
      </c>
      <c r="I98" s="28" t="s">
        <v>11542</v>
      </c>
      <c r="J98" s="28"/>
      <c r="K98" s="28" t="s">
        <v>11543</v>
      </c>
      <c r="L98" s="28" t="s">
        <v>11508</v>
      </c>
      <c r="M98" s="60" t="s">
        <v>41</v>
      </c>
      <c r="N98" s="28"/>
    </row>
    <row r="99" spans="1:14" ht="14.4">
      <c r="A99" s="28" t="s">
        <v>11197</v>
      </c>
      <c r="B99" s="28" t="s">
        <v>11309</v>
      </c>
      <c r="C99" s="107" t="s">
        <v>85</v>
      </c>
      <c r="D99" s="28" t="s">
        <v>86</v>
      </c>
      <c r="E99" s="287" t="s">
        <v>54</v>
      </c>
      <c r="F99" s="288" t="s">
        <v>11546</v>
      </c>
      <c r="G99" s="28"/>
      <c r="H99" s="60" t="s">
        <v>11482</v>
      </c>
      <c r="I99" s="28" t="s">
        <v>11548</v>
      </c>
      <c r="J99" s="28"/>
      <c r="K99" s="28" t="s">
        <v>11549</v>
      </c>
      <c r="L99" s="28" t="s">
        <v>11499</v>
      </c>
      <c r="M99" s="60" t="s">
        <v>41</v>
      </c>
      <c r="N99" s="28"/>
    </row>
    <row r="100" spans="1:14" ht="14.4">
      <c r="A100" s="28" t="s">
        <v>11197</v>
      </c>
      <c r="B100" s="28" t="s">
        <v>11309</v>
      </c>
      <c r="C100" s="107" t="s">
        <v>85</v>
      </c>
      <c r="D100" s="28" t="s">
        <v>86</v>
      </c>
      <c r="E100" s="287" t="s">
        <v>54</v>
      </c>
      <c r="F100" s="288" t="s">
        <v>11550</v>
      </c>
      <c r="G100" s="28"/>
      <c r="H100" s="60" t="s">
        <v>11503</v>
      </c>
      <c r="I100" s="28" t="s">
        <v>11551</v>
      </c>
      <c r="J100" s="28"/>
      <c r="K100" s="28" t="s">
        <v>11553</v>
      </c>
      <c r="L100" s="28" t="s">
        <v>11508</v>
      </c>
      <c r="M100" s="60" t="s">
        <v>41</v>
      </c>
      <c r="N100" s="28"/>
    </row>
    <row r="101" spans="1:14" ht="14.4">
      <c r="A101" s="28" t="s">
        <v>11197</v>
      </c>
      <c r="B101" s="28" t="s">
        <v>11309</v>
      </c>
      <c r="C101" s="107" t="s">
        <v>85</v>
      </c>
      <c r="D101" s="28" t="s">
        <v>86</v>
      </c>
      <c r="E101" s="287" t="s">
        <v>54</v>
      </c>
      <c r="F101" s="288" t="s">
        <v>11555</v>
      </c>
      <c r="G101" s="28"/>
      <c r="H101" s="60" t="s">
        <v>11556</v>
      </c>
      <c r="I101" s="28" t="s">
        <v>11557</v>
      </c>
      <c r="J101" s="28"/>
      <c r="K101" s="28" t="s">
        <v>11558</v>
      </c>
      <c r="L101" s="28" t="s">
        <v>11499</v>
      </c>
      <c r="M101" s="60" t="s">
        <v>41</v>
      </c>
      <c r="N101" s="28"/>
    </row>
    <row r="102" spans="1:14" ht="14.4">
      <c r="A102" s="28" t="s">
        <v>11197</v>
      </c>
      <c r="B102" s="28" t="s">
        <v>11309</v>
      </c>
      <c r="C102" s="107" t="s">
        <v>85</v>
      </c>
      <c r="D102" s="28" t="s">
        <v>86</v>
      </c>
      <c r="E102" s="287" t="s">
        <v>54</v>
      </c>
      <c r="F102" s="288" t="s">
        <v>11561</v>
      </c>
      <c r="G102" s="28"/>
      <c r="H102" s="60" t="s">
        <v>11503</v>
      </c>
      <c r="I102" s="28" t="s">
        <v>11505</v>
      </c>
      <c r="J102" s="28"/>
      <c r="K102" s="28" t="s">
        <v>11563</v>
      </c>
      <c r="L102" s="28" t="s">
        <v>11499</v>
      </c>
      <c r="M102" s="60" t="s">
        <v>41</v>
      </c>
      <c r="N102" s="28"/>
    </row>
    <row r="103" spans="1:14" ht="14.4">
      <c r="A103" s="28" t="s">
        <v>11197</v>
      </c>
      <c r="B103" s="28" t="s">
        <v>11309</v>
      </c>
      <c r="C103" s="107" t="s">
        <v>85</v>
      </c>
      <c r="D103" s="28" t="s">
        <v>86</v>
      </c>
      <c r="E103" s="287" t="s">
        <v>54</v>
      </c>
      <c r="F103" s="288" t="s">
        <v>11565</v>
      </c>
      <c r="G103" s="28"/>
      <c r="H103" s="60" t="s">
        <v>11566</v>
      </c>
      <c r="I103" s="28" t="s">
        <v>11567</v>
      </c>
      <c r="J103" s="28"/>
      <c r="K103" s="28" t="s">
        <v>11568</v>
      </c>
      <c r="L103" s="28" t="s">
        <v>11508</v>
      </c>
      <c r="M103" s="60" t="s">
        <v>41</v>
      </c>
      <c r="N103" s="28"/>
    </row>
    <row r="104" spans="1:14" ht="14.4">
      <c r="A104" s="28" t="s">
        <v>11197</v>
      </c>
      <c r="B104" s="28" t="s">
        <v>11309</v>
      </c>
      <c r="C104" s="107" t="s">
        <v>220</v>
      </c>
      <c r="D104" s="29" t="s">
        <v>234</v>
      </c>
      <c r="E104" s="287" t="s">
        <v>54</v>
      </c>
      <c r="F104" s="288" t="s">
        <v>11573</v>
      </c>
      <c r="G104" s="28"/>
      <c r="H104" s="60" t="s">
        <v>11574</v>
      </c>
      <c r="I104" s="28" t="s">
        <v>11575</v>
      </c>
      <c r="J104" s="28" t="s">
        <v>11576</v>
      </c>
      <c r="K104" s="28" t="s">
        <v>11574</v>
      </c>
      <c r="L104" s="28" t="s">
        <v>11499</v>
      </c>
      <c r="M104" s="60" t="s">
        <v>41</v>
      </c>
      <c r="N104" s="28"/>
    </row>
    <row r="105" spans="1:14" ht="14.4">
      <c r="A105" s="28" t="s">
        <v>11197</v>
      </c>
      <c r="B105" s="28" t="s">
        <v>11309</v>
      </c>
      <c r="C105" s="107" t="s">
        <v>220</v>
      </c>
      <c r="D105" s="29" t="s">
        <v>234</v>
      </c>
      <c r="E105" s="287" t="s">
        <v>54</v>
      </c>
      <c r="F105" s="288" t="s">
        <v>11577</v>
      </c>
      <c r="G105" s="28"/>
      <c r="H105" s="60" t="s">
        <v>11503</v>
      </c>
      <c r="I105" s="28" t="s">
        <v>11505</v>
      </c>
      <c r="J105" s="28" t="s">
        <v>11579</v>
      </c>
      <c r="K105" s="28" t="s">
        <v>11581</v>
      </c>
      <c r="L105" s="28" t="s">
        <v>11508</v>
      </c>
      <c r="M105" s="60" t="s">
        <v>41</v>
      </c>
      <c r="N105" s="28"/>
    </row>
    <row r="106" spans="1:14" ht="14.4">
      <c r="A106" s="28" t="s">
        <v>11197</v>
      </c>
      <c r="B106" s="28" t="s">
        <v>11309</v>
      </c>
      <c r="C106" s="107" t="s">
        <v>220</v>
      </c>
      <c r="D106" s="29" t="s">
        <v>234</v>
      </c>
      <c r="E106" s="287" t="s">
        <v>54</v>
      </c>
      <c r="F106" s="288" t="s">
        <v>11584</v>
      </c>
      <c r="G106" s="28"/>
      <c r="H106" s="60" t="s">
        <v>11503</v>
      </c>
      <c r="I106" s="28" t="s">
        <v>11505</v>
      </c>
      <c r="J106" s="28" t="s">
        <v>11585</v>
      </c>
      <c r="K106" s="28" t="s">
        <v>11586</v>
      </c>
      <c r="L106" s="28" t="s">
        <v>11508</v>
      </c>
      <c r="M106" s="60" t="s">
        <v>41</v>
      </c>
      <c r="N106" s="28"/>
    </row>
    <row r="107" spans="1:14" ht="14.4">
      <c r="A107" s="28" t="s">
        <v>11197</v>
      </c>
      <c r="B107" s="28" t="s">
        <v>11309</v>
      </c>
      <c r="C107" s="107" t="s">
        <v>233</v>
      </c>
      <c r="D107" s="29" t="s">
        <v>298</v>
      </c>
      <c r="E107" s="287" t="s">
        <v>54</v>
      </c>
      <c r="F107" s="288" t="s">
        <v>11590</v>
      </c>
      <c r="G107" s="28"/>
      <c r="H107" s="60" t="s">
        <v>11592</v>
      </c>
      <c r="I107" s="28" t="s">
        <v>11594</v>
      </c>
      <c r="J107" s="28" t="s">
        <v>11595</v>
      </c>
      <c r="K107" s="28" t="s">
        <v>11596</v>
      </c>
      <c r="L107" s="28" t="s">
        <v>11508</v>
      </c>
      <c r="M107" s="60" t="s">
        <v>41</v>
      </c>
      <c r="N107" s="28"/>
    </row>
    <row r="108" spans="1:14" ht="14.4">
      <c r="A108" s="28" t="s">
        <v>11197</v>
      </c>
      <c r="B108" s="28" t="s">
        <v>11309</v>
      </c>
      <c r="C108" s="107" t="s">
        <v>233</v>
      </c>
      <c r="D108" s="29" t="s">
        <v>298</v>
      </c>
      <c r="E108" s="287" t="s">
        <v>54</v>
      </c>
      <c r="F108" s="288" t="s">
        <v>11597</v>
      </c>
      <c r="G108" s="28"/>
      <c r="H108" s="60" t="s">
        <v>11598</v>
      </c>
      <c r="I108" s="28" t="s">
        <v>8937</v>
      </c>
      <c r="J108" s="28" t="s">
        <v>11600</v>
      </c>
      <c r="K108" s="28" t="s">
        <v>11602</v>
      </c>
      <c r="L108" s="28" t="s">
        <v>11499</v>
      </c>
      <c r="M108" s="60" t="s">
        <v>41</v>
      </c>
      <c r="N108" s="28"/>
    </row>
    <row r="109" spans="1:14" ht="14.4">
      <c r="A109" s="28" t="s">
        <v>11197</v>
      </c>
      <c r="B109" s="28" t="s">
        <v>11309</v>
      </c>
      <c r="C109" s="107" t="s">
        <v>233</v>
      </c>
      <c r="D109" s="29" t="s">
        <v>298</v>
      </c>
      <c r="E109" s="287" t="s">
        <v>54</v>
      </c>
      <c r="F109" s="288" t="s">
        <v>11604</v>
      </c>
      <c r="G109" s="28"/>
      <c r="H109" s="60" t="s">
        <v>11605</v>
      </c>
      <c r="I109" s="28" t="s">
        <v>3112</v>
      </c>
      <c r="J109" s="28"/>
      <c r="K109" s="28" t="s">
        <v>11606</v>
      </c>
      <c r="L109" s="28" t="s">
        <v>11499</v>
      </c>
      <c r="M109" s="60" t="s">
        <v>41</v>
      </c>
      <c r="N109" s="28"/>
    </row>
    <row r="110" spans="1:14" ht="14.4">
      <c r="A110" s="28" t="s">
        <v>11197</v>
      </c>
      <c r="B110" s="28" t="s">
        <v>11309</v>
      </c>
      <c r="C110" s="107" t="s">
        <v>275</v>
      </c>
      <c r="D110" s="28" t="s">
        <v>543</v>
      </c>
      <c r="E110" s="287" t="s">
        <v>54</v>
      </c>
      <c r="F110" s="280" t="s">
        <v>11609</v>
      </c>
      <c r="G110" s="28"/>
      <c r="H110" s="60" t="s">
        <v>11503</v>
      </c>
      <c r="I110" s="28" t="s">
        <v>11612</v>
      </c>
      <c r="J110" s="28"/>
      <c r="K110" s="28" t="s">
        <v>11613</v>
      </c>
      <c r="L110" s="28" t="s">
        <v>11508</v>
      </c>
      <c r="M110" s="60" t="s">
        <v>41</v>
      </c>
      <c r="N110" s="28"/>
    </row>
    <row r="111" spans="1:14" ht="14.4">
      <c r="A111" s="28" t="s">
        <v>11197</v>
      </c>
      <c r="B111" s="28" t="s">
        <v>11309</v>
      </c>
      <c r="C111" s="107" t="s">
        <v>296</v>
      </c>
      <c r="D111" s="107" t="s">
        <v>954</v>
      </c>
      <c r="E111" s="287" t="s">
        <v>54</v>
      </c>
      <c r="F111" s="280" t="s">
        <v>11614</v>
      </c>
      <c r="G111" s="28"/>
      <c r="H111" s="60" t="s">
        <v>11319</v>
      </c>
      <c r="I111" s="28" t="s">
        <v>335</v>
      </c>
      <c r="J111" s="28" t="s">
        <v>11320</v>
      </c>
      <c r="K111" s="28"/>
      <c r="L111" s="28" t="s">
        <v>11615</v>
      </c>
      <c r="M111" s="60" t="s">
        <v>41</v>
      </c>
      <c r="N111" s="28"/>
    </row>
    <row r="112" spans="1:14" ht="14.4">
      <c r="A112" s="28" t="s">
        <v>11197</v>
      </c>
      <c r="B112" s="28" t="s">
        <v>11619</v>
      </c>
      <c r="C112" s="107" t="s">
        <v>85</v>
      </c>
      <c r="D112" s="28" t="s">
        <v>86</v>
      </c>
      <c r="E112" s="287" t="s">
        <v>54</v>
      </c>
      <c r="F112" s="288" t="s">
        <v>11621</v>
      </c>
      <c r="G112" s="28"/>
      <c r="H112" s="60" t="s">
        <v>11622</v>
      </c>
      <c r="I112" s="28" t="s">
        <v>592</v>
      </c>
      <c r="J112" s="28"/>
      <c r="K112" s="28" t="s">
        <v>11622</v>
      </c>
      <c r="L112" s="28" t="s">
        <v>11623</v>
      </c>
      <c r="M112" s="60" t="s">
        <v>41</v>
      </c>
      <c r="N112" s="28"/>
    </row>
    <row r="113" spans="1:14" ht="14.4">
      <c r="A113" s="28" t="s">
        <v>11197</v>
      </c>
      <c r="B113" s="28" t="s">
        <v>11619</v>
      </c>
      <c r="C113" s="107" t="s">
        <v>85</v>
      </c>
      <c r="D113" s="28" t="s">
        <v>86</v>
      </c>
      <c r="E113" s="287" t="s">
        <v>54</v>
      </c>
      <c r="F113" s="288" t="s">
        <v>11628</v>
      </c>
      <c r="G113" s="28"/>
      <c r="H113" s="60" t="s">
        <v>11629</v>
      </c>
      <c r="I113" s="28" t="s">
        <v>887</v>
      </c>
      <c r="J113" s="28"/>
      <c r="K113" s="28" t="s">
        <v>11630</v>
      </c>
      <c r="L113" s="28" t="s">
        <v>9917</v>
      </c>
      <c r="M113" s="60" t="s">
        <v>41</v>
      </c>
      <c r="N113" s="28"/>
    </row>
    <row r="114" spans="1:14" ht="14.4">
      <c r="A114" s="28" t="s">
        <v>11197</v>
      </c>
      <c r="B114" s="28" t="s">
        <v>11619</v>
      </c>
      <c r="C114" s="107" t="s">
        <v>85</v>
      </c>
      <c r="D114" s="28" t="s">
        <v>86</v>
      </c>
      <c r="E114" s="287" t="s">
        <v>54</v>
      </c>
      <c r="F114" s="288" t="s">
        <v>11632</v>
      </c>
      <c r="G114" s="28"/>
      <c r="H114" s="60" t="s">
        <v>11634</v>
      </c>
      <c r="I114" s="28" t="s">
        <v>3573</v>
      </c>
      <c r="J114" s="28" t="s">
        <v>11636</v>
      </c>
      <c r="K114" s="28" t="s">
        <v>11634</v>
      </c>
      <c r="L114" s="28" t="s">
        <v>6768</v>
      </c>
      <c r="M114" s="60" t="s">
        <v>41</v>
      </c>
      <c r="N114" s="28"/>
    </row>
    <row r="115" spans="1:14" ht="14.4">
      <c r="A115" s="28" t="s">
        <v>11197</v>
      </c>
      <c r="B115" s="28" t="s">
        <v>11619</v>
      </c>
      <c r="C115" s="107" t="s">
        <v>85</v>
      </c>
      <c r="D115" s="28" t="s">
        <v>86</v>
      </c>
      <c r="E115" s="287" t="s">
        <v>54</v>
      </c>
      <c r="F115" s="288" t="s">
        <v>11638</v>
      </c>
      <c r="G115" s="28"/>
      <c r="H115" s="60" t="s">
        <v>11634</v>
      </c>
      <c r="I115" s="28" t="s">
        <v>3573</v>
      </c>
      <c r="J115" s="28" t="s">
        <v>11639</v>
      </c>
      <c r="K115" s="28" t="s">
        <v>11640</v>
      </c>
      <c r="L115" s="28" t="s">
        <v>6768</v>
      </c>
      <c r="M115" s="60" t="s">
        <v>41</v>
      </c>
      <c r="N115" s="28"/>
    </row>
    <row r="116" spans="1:14" ht="14.4">
      <c r="A116" s="28" t="s">
        <v>11197</v>
      </c>
      <c r="B116" s="28" t="s">
        <v>11619</v>
      </c>
      <c r="C116" s="107" t="s">
        <v>85</v>
      </c>
      <c r="D116" s="28" t="s">
        <v>86</v>
      </c>
      <c r="E116" s="287" t="s">
        <v>54</v>
      </c>
      <c r="F116" s="288" t="s">
        <v>11641</v>
      </c>
      <c r="G116" s="28"/>
      <c r="H116" s="60" t="s">
        <v>11642</v>
      </c>
      <c r="I116" s="28" t="s">
        <v>11643</v>
      </c>
      <c r="J116" s="28" t="s">
        <v>11644</v>
      </c>
      <c r="K116" s="28" t="s">
        <v>11642</v>
      </c>
      <c r="L116" s="28" t="s">
        <v>6945</v>
      </c>
      <c r="M116" s="60" t="s">
        <v>41</v>
      </c>
      <c r="N116" s="28"/>
    </row>
    <row r="117" spans="1:14" ht="14.4">
      <c r="A117" s="28" t="s">
        <v>11197</v>
      </c>
      <c r="B117" s="28" t="s">
        <v>11619</v>
      </c>
      <c r="C117" s="107" t="s">
        <v>85</v>
      </c>
      <c r="D117" s="28" t="s">
        <v>86</v>
      </c>
      <c r="E117" s="287" t="s">
        <v>54</v>
      </c>
      <c r="F117" s="288" t="s">
        <v>11649</v>
      </c>
      <c r="G117" s="28"/>
      <c r="H117" s="60" t="s">
        <v>11650</v>
      </c>
      <c r="I117" s="28" t="s">
        <v>11651</v>
      </c>
      <c r="J117" s="28" t="s">
        <v>11652</v>
      </c>
      <c r="K117" s="28" t="s">
        <v>11650</v>
      </c>
      <c r="L117" s="28" t="s">
        <v>11653</v>
      </c>
      <c r="M117" s="60" t="s">
        <v>41</v>
      </c>
      <c r="N117" s="28"/>
    </row>
    <row r="118" spans="1:14" ht="14.4">
      <c r="A118" s="28" t="s">
        <v>11197</v>
      </c>
      <c r="B118" s="28" t="s">
        <v>11619</v>
      </c>
      <c r="C118" s="107" t="s">
        <v>85</v>
      </c>
      <c r="D118" s="28" t="s">
        <v>86</v>
      </c>
      <c r="E118" s="287" t="s">
        <v>54</v>
      </c>
      <c r="F118" s="288" t="s">
        <v>11658</v>
      </c>
      <c r="G118" s="28"/>
      <c r="H118" s="60" t="s">
        <v>11659</v>
      </c>
      <c r="I118" s="28" t="s">
        <v>11349</v>
      </c>
      <c r="J118" s="28" t="s">
        <v>11661</v>
      </c>
      <c r="K118" s="28" t="s">
        <v>11662</v>
      </c>
      <c r="L118" s="28" t="s">
        <v>6768</v>
      </c>
      <c r="M118" s="60" t="s">
        <v>41</v>
      </c>
      <c r="N118" s="28"/>
    </row>
    <row r="119" spans="1:14" ht="14.4">
      <c r="A119" s="28" t="s">
        <v>11197</v>
      </c>
      <c r="B119" s="28" t="s">
        <v>11619</v>
      </c>
      <c r="C119" s="107" t="s">
        <v>85</v>
      </c>
      <c r="D119" s="28" t="s">
        <v>86</v>
      </c>
      <c r="E119" s="287" t="s">
        <v>54</v>
      </c>
      <c r="F119" s="288" t="s">
        <v>11663</v>
      </c>
      <c r="G119" s="28"/>
      <c r="H119" s="60" t="s">
        <v>11664</v>
      </c>
      <c r="I119" s="28" t="s">
        <v>1252</v>
      </c>
      <c r="J119" s="28" t="s">
        <v>11665</v>
      </c>
      <c r="K119" s="28" t="s">
        <v>11664</v>
      </c>
      <c r="L119" s="28" t="s">
        <v>6768</v>
      </c>
      <c r="M119" s="60" t="s">
        <v>41</v>
      </c>
      <c r="N119" s="28"/>
    </row>
    <row r="120" spans="1:14" ht="14.4">
      <c r="A120" s="28" t="s">
        <v>11197</v>
      </c>
      <c r="B120" s="28" t="s">
        <v>11619</v>
      </c>
      <c r="C120" s="107" t="s">
        <v>85</v>
      </c>
      <c r="D120" s="28" t="s">
        <v>86</v>
      </c>
      <c r="E120" s="287" t="s">
        <v>54</v>
      </c>
      <c r="F120" s="288" t="s">
        <v>11671</v>
      </c>
      <c r="G120" s="28"/>
      <c r="H120" s="60" t="s">
        <v>11672</v>
      </c>
      <c r="I120" s="28" t="s">
        <v>2714</v>
      </c>
      <c r="J120" s="28" t="s">
        <v>11673</v>
      </c>
      <c r="K120" s="28" t="s">
        <v>11674</v>
      </c>
      <c r="L120" s="28" t="s">
        <v>11653</v>
      </c>
      <c r="M120" s="60" t="s">
        <v>41</v>
      </c>
      <c r="N120" s="28"/>
    </row>
    <row r="121" spans="1:14" ht="14.4">
      <c r="A121" s="28" t="s">
        <v>11197</v>
      </c>
      <c r="B121" s="28" t="s">
        <v>11619</v>
      </c>
      <c r="C121" s="107" t="s">
        <v>85</v>
      </c>
      <c r="D121" s="28" t="s">
        <v>86</v>
      </c>
      <c r="E121" s="287" t="s">
        <v>54</v>
      </c>
      <c r="F121" s="288" t="s">
        <v>11675</v>
      </c>
      <c r="G121" s="28"/>
      <c r="H121" s="60" t="s">
        <v>11650</v>
      </c>
      <c r="I121" s="28" t="s">
        <v>11651</v>
      </c>
      <c r="J121" s="28" t="s">
        <v>11678</v>
      </c>
      <c r="K121" s="28" t="s">
        <v>11680</v>
      </c>
      <c r="L121" s="28" t="s">
        <v>11653</v>
      </c>
      <c r="M121" s="60" t="s">
        <v>41</v>
      </c>
      <c r="N121" s="28"/>
    </row>
    <row r="122" spans="1:14" ht="14.4">
      <c r="A122" s="28" t="s">
        <v>11197</v>
      </c>
      <c r="B122" s="28" t="s">
        <v>11619</v>
      </c>
      <c r="C122" s="107" t="s">
        <v>85</v>
      </c>
      <c r="D122" s="28" t="s">
        <v>86</v>
      </c>
      <c r="E122" s="287" t="s">
        <v>54</v>
      </c>
      <c r="F122" s="288" t="s">
        <v>11682</v>
      </c>
      <c r="G122" s="28"/>
      <c r="H122" s="60" t="s">
        <v>11650</v>
      </c>
      <c r="I122" s="28" t="s">
        <v>11651</v>
      </c>
      <c r="J122" s="28" t="s">
        <v>11683</v>
      </c>
      <c r="K122" s="28" t="s">
        <v>11685</v>
      </c>
      <c r="L122" s="28" t="s">
        <v>11653</v>
      </c>
      <c r="M122" s="60" t="s">
        <v>41</v>
      </c>
      <c r="N122" s="28"/>
    </row>
    <row r="123" spans="1:14" ht="14.4">
      <c r="A123" s="28" t="s">
        <v>11197</v>
      </c>
      <c r="B123" s="28" t="s">
        <v>11619</v>
      </c>
      <c r="C123" s="107" t="s">
        <v>85</v>
      </c>
      <c r="D123" s="28" t="s">
        <v>86</v>
      </c>
      <c r="E123" s="287" t="s">
        <v>54</v>
      </c>
      <c r="F123" s="288" t="s">
        <v>11689</v>
      </c>
      <c r="G123" s="28"/>
      <c r="H123" s="60" t="s">
        <v>11650</v>
      </c>
      <c r="I123" s="28" t="s">
        <v>11651</v>
      </c>
      <c r="J123" s="28" t="s">
        <v>11690</v>
      </c>
      <c r="K123" s="28" t="s">
        <v>11691</v>
      </c>
      <c r="L123" s="28" t="s">
        <v>11653</v>
      </c>
      <c r="M123" s="60" t="s">
        <v>41</v>
      </c>
      <c r="N123" s="28"/>
    </row>
    <row r="124" spans="1:14" ht="14.4">
      <c r="A124" s="28" t="s">
        <v>11197</v>
      </c>
      <c r="B124" s="28" t="s">
        <v>11619</v>
      </c>
      <c r="C124" s="107" t="s">
        <v>85</v>
      </c>
      <c r="D124" s="28" t="s">
        <v>86</v>
      </c>
      <c r="E124" s="287" t="s">
        <v>54</v>
      </c>
      <c r="F124" s="288" t="s">
        <v>11695</v>
      </c>
      <c r="G124" s="28"/>
      <c r="H124" s="60" t="s">
        <v>11650</v>
      </c>
      <c r="I124" s="28" t="s">
        <v>11651</v>
      </c>
      <c r="J124" s="28" t="s">
        <v>11697</v>
      </c>
      <c r="K124" s="28" t="s">
        <v>11698</v>
      </c>
      <c r="L124" s="28" t="s">
        <v>11653</v>
      </c>
      <c r="M124" s="60" t="s">
        <v>41</v>
      </c>
      <c r="N124" s="28"/>
    </row>
    <row r="125" spans="1:14" ht="14.4">
      <c r="A125" s="28" t="s">
        <v>11197</v>
      </c>
      <c r="B125" s="28" t="s">
        <v>11619</v>
      </c>
      <c r="C125" s="107" t="s">
        <v>275</v>
      </c>
      <c r="D125" s="28" t="s">
        <v>543</v>
      </c>
      <c r="E125" s="287" t="s">
        <v>54</v>
      </c>
      <c r="F125" s="280" t="s">
        <v>11699</v>
      </c>
      <c r="G125" s="28"/>
      <c r="H125" s="60" t="s">
        <v>11650</v>
      </c>
      <c r="I125" s="28" t="s">
        <v>11651</v>
      </c>
      <c r="J125" s="28" t="s">
        <v>11700</v>
      </c>
      <c r="K125" s="28" t="s">
        <v>11650</v>
      </c>
      <c r="L125" s="28" t="s">
        <v>11653</v>
      </c>
      <c r="M125" s="60" t="s">
        <v>41</v>
      </c>
      <c r="N125" s="28"/>
    </row>
    <row r="126" spans="1:14" ht="14.4">
      <c r="A126" s="28" t="s">
        <v>11197</v>
      </c>
      <c r="B126" s="28" t="s">
        <v>11619</v>
      </c>
      <c r="C126" s="107" t="s">
        <v>233</v>
      </c>
      <c r="D126" s="29" t="s">
        <v>298</v>
      </c>
      <c r="E126" s="287" t="s">
        <v>54</v>
      </c>
      <c r="F126" s="288" t="s">
        <v>11703</v>
      </c>
      <c r="G126" s="28"/>
      <c r="H126" s="60" t="s">
        <v>11650</v>
      </c>
      <c r="I126" s="28" t="s">
        <v>11651</v>
      </c>
      <c r="J126" s="28" t="s">
        <v>11705</v>
      </c>
      <c r="K126" s="28" t="s">
        <v>11707</v>
      </c>
      <c r="L126" s="28" t="s">
        <v>11653</v>
      </c>
      <c r="M126" s="60" t="s">
        <v>41</v>
      </c>
      <c r="N126" s="28"/>
    </row>
    <row r="127" spans="1:14" ht="14.4">
      <c r="A127" s="28" t="s">
        <v>11197</v>
      </c>
      <c r="B127" s="28" t="s">
        <v>11619</v>
      </c>
      <c r="C127" s="107" t="s">
        <v>233</v>
      </c>
      <c r="D127" s="29" t="s">
        <v>298</v>
      </c>
      <c r="E127" s="287" t="s">
        <v>54</v>
      </c>
      <c r="F127" s="288" t="s">
        <v>11708</v>
      </c>
      <c r="G127" s="28"/>
      <c r="H127" s="60" t="s">
        <v>11650</v>
      </c>
      <c r="I127" s="28" t="s">
        <v>11651</v>
      </c>
      <c r="J127" s="28" t="s">
        <v>11709</v>
      </c>
      <c r="K127" s="28" t="s">
        <v>11650</v>
      </c>
      <c r="L127" s="28" t="s">
        <v>11653</v>
      </c>
      <c r="M127" s="60" t="s">
        <v>41</v>
      </c>
      <c r="N127" s="28"/>
    </row>
    <row r="128" spans="1:14" ht="14.4">
      <c r="A128" s="28" t="s">
        <v>11197</v>
      </c>
      <c r="B128" s="28" t="s">
        <v>11619</v>
      </c>
      <c r="C128" s="107" t="s">
        <v>220</v>
      </c>
      <c r="D128" s="29" t="s">
        <v>234</v>
      </c>
      <c r="E128" s="287" t="s">
        <v>54</v>
      </c>
      <c r="F128" s="288" t="s">
        <v>11710</v>
      </c>
      <c r="G128" s="28"/>
      <c r="H128" s="60" t="s">
        <v>11650</v>
      </c>
      <c r="I128" s="28" t="s">
        <v>11651</v>
      </c>
      <c r="J128" s="28" t="s">
        <v>11712</v>
      </c>
      <c r="K128" s="28" t="s">
        <v>11650</v>
      </c>
      <c r="L128" s="28" t="s">
        <v>11653</v>
      </c>
      <c r="M128" s="60" t="s">
        <v>41</v>
      </c>
      <c r="N128" s="28"/>
    </row>
    <row r="129" spans="1:14" ht="14.4">
      <c r="A129" s="28" t="s">
        <v>11197</v>
      </c>
      <c r="B129" s="28" t="s">
        <v>11619</v>
      </c>
      <c r="C129" s="107" t="s">
        <v>220</v>
      </c>
      <c r="D129" s="29" t="s">
        <v>234</v>
      </c>
      <c r="E129" s="287" t="s">
        <v>54</v>
      </c>
      <c r="F129" s="288" t="s">
        <v>11716</v>
      </c>
      <c r="G129" s="28"/>
      <c r="H129" s="60" t="s">
        <v>11634</v>
      </c>
      <c r="I129" s="28" t="s">
        <v>3573</v>
      </c>
      <c r="J129" s="28" t="s">
        <v>11717</v>
      </c>
      <c r="K129" s="28" t="s">
        <v>11634</v>
      </c>
      <c r="L129" s="28" t="s">
        <v>6768</v>
      </c>
      <c r="M129" s="60" t="s">
        <v>41</v>
      </c>
      <c r="N129" s="28"/>
    </row>
    <row r="130" spans="1:14" ht="14.4">
      <c r="A130" s="28" t="s">
        <v>11197</v>
      </c>
      <c r="B130" s="28" t="s">
        <v>11619</v>
      </c>
      <c r="C130" s="107" t="s">
        <v>233</v>
      </c>
      <c r="D130" s="29" t="s">
        <v>298</v>
      </c>
      <c r="E130" s="287" t="s">
        <v>54</v>
      </c>
      <c r="F130" s="288" t="s">
        <v>11719</v>
      </c>
      <c r="G130" s="28"/>
      <c r="H130" s="60" t="s">
        <v>11659</v>
      </c>
      <c r="I130" s="28" t="s">
        <v>11349</v>
      </c>
      <c r="J130" s="28" t="s">
        <v>11720</v>
      </c>
      <c r="K130" s="28" t="s">
        <v>11659</v>
      </c>
      <c r="L130" s="28" t="s">
        <v>6768</v>
      </c>
      <c r="M130" s="60" t="s">
        <v>41</v>
      </c>
      <c r="N130" s="28"/>
    </row>
    <row r="131" spans="1:14" ht="14.4">
      <c r="A131" s="28" t="s">
        <v>11197</v>
      </c>
      <c r="B131" s="28" t="s">
        <v>11619</v>
      </c>
      <c r="C131" s="107" t="s">
        <v>296</v>
      </c>
      <c r="D131" s="107" t="s">
        <v>954</v>
      </c>
      <c r="E131" s="287" t="s">
        <v>54</v>
      </c>
      <c r="F131" s="280" t="s">
        <v>11724</v>
      </c>
      <c r="G131" s="28"/>
      <c r="H131" s="60" t="s">
        <v>11319</v>
      </c>
      <c r="I131" s="28" t="s">
        <v>335</v>
      </c>
      <c r="J131" s="28" t="s">
        <v>11320</v>
      </c>
      <c r="K131" s="28"/>
      <c r="L131" s="28" t="s">
        <v>11725</v>
      </c>
      <c r="M131" s="60" t="s">
        <v>41</v>
      </c>
      <c r="N131" s="28"/>
    </row>
    <row r="132" spans="1:14" ht="14.4">
      <c r="A132" s="28" t="s">
        <v>11197</v>
      </c>
      <c r="B132" s="28" t="s">
        <v>11307</v>
      </c>
      <c r="C132" s="107" t="s">
        <v>85</v>
      </c>
      <c r="D132" s="28" t="s">
        <v>86</v>
      </c>
      <c r="E132" s="287" t="s">
        <v>54</v>
      </c>
      <c r="F132" s="288" t="s">
        <v>11727</v>
      </c>
      <c r="G132" s="28"/>
      <c r="H132" s="60" t="s">
        <v>11729</v>
      </c>
      <c r="I132" s="28" t="s">
        <v>3573</v>
      </c>
      <c r="J132" s="28" t="s">
        <v>11732</v>
      </c>
      <c r="K132" s="28" t="s">
        <v>11729</v>
      </c>
      <c r="L132" s="28" t="s">
        <v>6768</v>
      </c>
      <c r="M132" s="60" t="s">
        <v>41</v>
      </c>
      <c r="N132" s="28"/>
    </row>
    <row r="133" spans="1:14" ht="14.4">
      <c r="A133" s="28" t="s">
        <v>11197</v>
      </c>
      <c r="B133" s="28" t="s">
        <v>11307</v>
      </c>
      <c r="C133" s="107" t="s">
        <v>85</v>
      </c>
      <c r="D133" s="28" t="s">
        <v>86</v>
      </c>
      <c r="E133" s="287" t="s">
        <v>54</v>
      </c>
      <c r="F133" s="288" t="s">
        <v>11734</v>
      </c>
      <c r="G133" s="28"/>
      <c r="H133" s="60" t="s">
        <v>11735</v>
      </c>
      <c r="I133" s="28" t="s">
        <v>11736</v>
      </c>
      <c r="J133" s="28" t="s">
        <v>11737</v>
      </c>
      <c r="K133" s="28" t="s">
        <v>11735</v>
      </c>
      <c r="L133" s="28" t="s">
        <v>11738</v>
      </c>
      <c r="M133" s="60" t="s">
        <v>41</v>
      </c>
      <c r="N133" s="28"/>
    </row>
    <row r="134" spans="1:14" ht="14.4">
      <c r="A134" s="28" t="s">
        <v>11197</v>
      </c>
      <c r="B134" s="28" t="s">
        <v>11307</v>
      </c>
      <c r="C134" s="107" t="s">
        <v>85</v>
      </c>
      <c r="D134" s="28" t="s">
        <v>86</v>
      </c>
      <c r="E134" s="287" t="s">
        <v>54</v>
      </c>
      <c r="F134" s="288" t="s">
        <v>11742</v>
      </c>
      <c r="G134" s="28"/>
      <c r="H134" s="60" t="s">
        <v>11743</v>
      </c>
      <c r="I134" s="28" t="s">
        <v>966</v>
      </c>
      <c r="J134" s="28" t="s">
        <v>11744</v>
      </c>
      <c r="K134" s="28" t="s">
        <v>11745</v>
      </c>
      <c r="L134" s="28" t="s">
        <v>2794</v>
      </c>
      <c r="M134" s="60" t="s">
        <v>41</v>
      </c>
      <c r="N134" s="28"/>
    </row>
    <row r="135" spans="1:14" ht="14.4">
      <c r="A135" s="28" t="s">
        <v>11197</v>
      </c>
      <c r="B135" s="28" t="s">
        <v>11307</v>
      </c>
      <c r="C135" s="107" t="s">
        <v>85</v>
      </c>
      <c r="D135" s="28" t="s">
        <v>86</v>
      </c>
      <c r="E135" s="287" t="s">
        <v>54</v>
      </c>
      <c r="F135" s="288" t="s">
        <v>11746</v>
      </c>
      <c r="G135" s="28"/>
      <c r="H135" s="60" t="s">
        <v>11743</v>
      </c>
      <c r="I135" s="28" t="s">
        <v>966</v>
      </c>
      <c r="J135" s="28" t="s">
        <v>11748</v>
      </c>
      <c r="K135" s="28" t="s">
        <v>11743</v>
      </c>
      <c r="L135" s="28" t="s">
        <v>2794</v>
      </c>
      <c r="M135" s="60" t="s">
        <v>41</v>
      </c>
      <c r="N135" s="28"/>
    </row>
    <row r="136" spans="1:14" ht="14.4">
      <c r="A136" s="28" t="s">
        <v>11197</v>
      </c>
      <c r="B136" s="28" t="s">
        <v>11307</v>
      </c>
      <c r="C136" s="107" t="s">
        <v>85</v>
      </c>
      <c r="D136" s="28" t="s">
        <v>86</v>
      </c>
      <c r="E136" s="287" t="s">
        <v>54</v>
      </c>
      <c r="F136" s="288" t="s">
        <v>11751</v>
      </c>
      <c r="G136" s="28"/>
      <c r="H136" s="60" t="s">
        <v>11752</v>
      </c>
      <c r="I136" s="28" t="s">
        <v>130</v>
      </c>
      <c r="J136" s="28" t="s">
        <v>11753</v>
      </c>
      <c r="K136" s="28" t="s">
        <v>11754</v>
      </c>
      <c r="L136" s="28" t="s">
        <v>2794</v>
      </c>
      <c r="M136" s="60" t="s">
        <v>41</v>
      </c>
      <c r="N136" s="28"/>
    </row>
    <row r="137" spans="1:14" ht="14.4">
      <c r="A137" s="28" t="s">
        <v>11197</v>
      </c>
      <c r="B137" s="28" t="s">
        <v>11307</v>
      </c>
      <c r="C137" s="107" t="s">
        <v>85</v>
      </c>
      <c r="D137" s="28" t="s">
        <v>86</v>
      </c>
      <c r="E137" s="287" t="s">
        <v>54</v>
      </c>
      <c r="F137" s="288" t="s">
        <v>11758</v>
      </c>
      <c r="G137" s="28"/>
      <c r="H137" s="60" t="s">
        <v>11752</v>
      </c>
      <c r="I137" s="28" t="s">
        <v>130</v>
      </c>
      <c r="J137" s="28" t="s">
        <v>11759</v>
      </c>
      <c r="K137" s="28" t="s">
        <v>11760</v>
      </c>
      <c r="L137" s="28" t="s">
        <v>2794</v>
      </c>
      <c r="M137" s="60" t="s">
        <v>41</v>
      </c>
      <c r="N137" s="28"/>
    </row>
    <row r="138" spans="1:14" ht="14.4">
      <c r="A138" s="28" t="s">
        <v>11197</v>
      </c>
      <c r="B138" s="28" t="s">
        <v>11307</v>
      </c>
      <c r="C138" s="107" t="s">
        <v>85</v>
      </c>
      <c r="D138" s="28" t="s">
        <v>86</v>
      </c>
      <c r="E138" s="287" t="s">
        <v>54</v>
      </c>
      <c r="F138" s="288" t="s">
        <v>11761</v>
      </c>
      <c r="G138" s="28"/>
      <c r="H138" s="60" t="s">
        <v>11752</v>
      </c>
      <c r="I138" s="28" t="s">
        <v>130</v>
      </c>
      <c r="J138" s="28" t="s">
        <v>11762</v>
      </c>
      <c r="K138" s="28" t="s">
        <v>11763</v>
      </c>
      <c r="L138" s="28" t="s">
        <v>2794</v>
      </c>
      <c r="M138" s="60" t="s">
        <v>41</v>
      </c>
      <c r="N138" s="28"/>
    </row>
    <row r="139" spans="1:14" ht="14.4">
      <c r="A139" s="28" t="s">
        <v>11197</v>
      </c>
      <c r="B139" s="28" t="s">
        <v>11307</v>
      </c>
      <c r="C139" s="107" t="s">
        <v>85</v>
      </c>
      <c r="D139" s="28" t="s">
        <v>86</v>
      </c>
      <c r="E139" s="287" t="s">
        <v>54</v>
      </c>
      <c r="F139" s="288" t="s">
        <v>11768</v>
      </c>
      <c r="G139" s="28"/>
      <c r="H139" s="60" t="s">
        <v>11769</v>
      </c>
      <c r="I139" s="28" t="s">
        <v>689</v>
      </c>
      <c r="J139" s="28" t="s">
        <v>11771</v>
      </c>
      <c r="K139" s="28" t="s">
        <v>11772</v>
      </c>
      <c r="L139" s="28" t="s">
        <v>6768</v>
      </c>
      <c r="M139" s="60" t="s">
        <v>41</v>
      </c>
      <c r="N139" s="28"/>
    </row>
    <row r="140" spans="1:14" ht="14.4">
      <c r="A140" s="28" t="s">
        <v>11197</v>
      </c>
      <c r="B140" s="28" t="s">
        <v>11307</v>
      </c>
      <c r="C140" s="107" t="s">
        <v>85</v>
      </c>
      <c r="D140" s="28" t="s">
        <v>86</v>
      </c>
      <c r="E140" s="287" t="s">
        <v>54</v>
      </c>
      <c r="F140" s="288" t="s">
        <v>11773</v>
      </c>
      <c r="G140" s="28"/>
      <c r="H140" s="60" t="s">
        <v>11774</v>
      </c>
      <c r="I140" s="28" t="s">
        <v>4786</v>
      </c>
      <c r="J140" s="28" t="s">
        <v>11777</v>
      </c>
      <c r="K140" s="28" t="s">
        <v>11774</v>
      </c>
      <c r="L140" s="28" t="s">
        <v>6768</v>
      </c>
      <c r="M140" s="60" t="s">
        <v>41</v>
      </c>
      <c r="N140" s="28"/>
    </row>
    <row r="141" spans="1:14" ht="14.4">
      <c r="A141" s="28" t="s">
        <v>11197</v>
      </c>
      <c r="B141" s="28" t="s">
        <v>11307</v>
      </c>
      <c r="C141" s="107" t="s">
        <v>85</v>
      </c>
      <c r="D141" s="28" t="s">
        <v>86</v>
      </c>
      <c r="E141" s="287" t="s">
        <v>54</v>
      </c>
      <c r="F141" s="288" t="s">
        <v>11782</v>
      </c>
      <c r="G141" s="28"/>
      <c r="H141" s="60" t="s">
        <v>11774</v>
      </c>
      <c r="I141" s="28" t="s">
        <v>11783</v>
      </c>
      <c r="J141" s="28" t="s">
        <v>11784</v>
      </c>
      <c r="K141" s="28" t="s">
        <v>11785</v>
      </c>
      <c r="L141" s="28" t="s">
        <v>6768</v>
      </c>
      <c r="M141" s="60" t="s">
        <v>41</v>
      </c>
      <c r="N141" s="28"/>
    </row>
    <row r="142" spans="1:14" ht="14.4">
      <c r="A142" s="28" t="s">
        <v>11197</v>
      </c>
      <c r="B142" s="28" t="s">
        <v>11307</v>
      </c>
      <c r="C142" s="107" t="s">
        <v>220</v>
      </c>
      <c r="D142" s="29" t="s">
        <v>234</v>
      </c>
      <c r="E142" s="287" t="s">
        <v>54</v>
      </c>
      <c r="F142" s="288" t="s">
        <v>11789</v>
      </c>
      <c r="G142" s="28"/>
      <c r="H142" s="60" t="s">
        <v>11477</v>
      </c>
      <c r="I142" s="28" t="s">
        <v>933</v>
      </c>
      <c r="J142" s="28" t="s">
        <v>11793</v>
      </c>
      <c r="K142" s="28" t="s">
        <v>11794</v>
      </c>
      <c r="L142" s="28" t="s">
        <v>11795</v>
      </c>
      <c r="M142" s="60" t="s">
        <v>41</v>
      </c>
      <c r="N142" s="28"/>
    </row>
    <row r="143" spans="1:14" ht="14.4">
      <c r="A143" s="28" t="s">
        <v>11197</v>
      </c>
      <c r="B143" s="28" t="s">
        <v>11307</v>
      </c>
      <c r="C143" s="107" t="s">
        <v>220</v>
      </c>
      <c r="D143" s="29" t="s">
        <v>234</v>
      </c>
      <c r="E143" s="287" t="s">
        <v>54</v>
      </c>
      <c r="F143" s="288" t="s">
        <v>11796</v>
      </c>
      <c r="G143" s="28"/>
      <c r="H143" s="60" t="s">
        <v>11797</v>
      </c>
      <c r="I143" s="28" t="s">
        <v>11335</v>
      </c>
      <c r="J143" s="28" t="s">
        <v>11798</v>
      </c>
      <c r="K143" s="28" t="s">
        <v>11797</v>
      </c>
      <c r="L143" s="28" t="s">
        <v>6839</v>
      </c>
      <c r="M143" s="60" t="s">
        <v>41</v>
      </c>
      <c r="N143" s="28"/>
    </row>
    <row r="144" spans="1:14" ht="14.4">
      <c r="A144" s="28" t="s">
        <v>11197</v>
      </c>
      <c r="B144" s="28" t="s">
        <v>11307</v>
      </c>
      <c r="C144" s="107" t="s">
        <v>275</v>
      </c>
      <c r="D144" s="28" t="s">
        <v>543</v>
      </c>
      <c r="E144" s="287" t="s">
        <v>54</v>
      </c>
      <c r="F144" s="280" t="s">
        <v>11803</v>
      </c>
      <c r="G144" s="28"/>
      <c r="H144" s="60" t="s">
        <v>11752</v>
      </c>
      <c r="I144" s="28" t="s">
        <v>130</v>
      </c>
      <c r="J144" s="28" t="s">
        <v>11804</v>
      </c>
      <c r="K144" s="28" t="s">
        <v>11752</v>
      </c>
      <c r="L144" s="28" t="s">
        <v>2794</v>
      </c>
      <c r="M144" s="60" t="s">
        <v>41</v>
      </c>
      <c r="N144" s="28"/>
    </row>
    <row r="145" spans="1:14" ht="14.4">
      <c r="A145" s="28" t="s">
        <v>11197</v>
      </c>
      <c r="B145" s="28" t="s">
        <v>11307</v>
      </c>
      <c r="C145" s="107" t="s">
        <v>233</v>
      </c>
      <c r="D145" s="29" t="s">
        <v>298</v>
      </c>
      <c r="E145" s="287" t="s">
        <v>54</v>
      </c>
      <c r="F145" s="288" t="s">
        <v>11806</v>
      </c>
      <c r="G145" s="28"/>
      <c r="H145" s="60" t="s">
        <v>11808</v>
      </c>
      <c r="I145" s="28" t="s">
        <v>933</v>
      </c>
      <c r="J145" s="28" t="s">
        <v>11810</v>
      </c>
      <c r="K145" s="28" t="s">
        <v>11477</v>
      </c>
      <c r="L145" s="28" t="s">
        <v>11795</v>
      </c>
      <c r="M145" s="60" t="s">
        <v>41</v>
      </c>
      <c r="N145" s="28"/>
    </row>
    <row r="146" spans="1:14" ht="14.4">
      <c r="A146" s="28" t="s">
        <v>11197</v>
      </c>
      <c r="B146" s="28" t="s">
        <v>11307</v>
      </c>
      <c r="C146" s="107" t="s">
        <v>233</v>
      </c>
      <c r="D146" s="29" t="s">
        <v>298</v>
      </c>
      <c r="E146" s="287" t="s">
        <v>54</v>
      </c>
      <c r="F146" s="288" t="s">
        <v>11476</v>
      </c>
      <c r="G146" s="28"/>
      <c r="H146" s="60" t="s">
        <v>11814</v>
      </c>
      <c r="I146" s="28" t="s">
        <v>3181</v>
      </c>
      <c r="J146" s="28" t="s">
        <v>11815</v>
      </c>
      <c r="K146" s="28" t="s">
        <v>11814</v>
      </c>
      <c r="L146" s="28" t="s">
        <v>2794</v>
      </c>
      <c r="M146" s="98" t="s">
        <v>41</v>
      </c>
      <c r="N146" s="28"/>
    </row>
    <row r="147" spans="1:14" ht="14.4">
      <c r="A147" s="133" t="s">
        <v>11197</v>
      </c>
      <c r="B147" s="98" t="s">
        <v>11307</v>
      </c>
      <c r="C147" s="107" t="s">
        <v>233</v>
      </c>
      <c r="D147" s="29" t="s">
        <v>298</v>
      </c>
      <c r="E147" s="287" t="s">
        <v>54</v>
      </c>
      <c r="F147" s="289" t="s">
        <v>11821</v>
      </c>
      <c r="G147" s="28"/>
      <c r="H147" s="98" t="s">
        <v>11823</v>
      </c>
      <c r="I147" s="98" t="s">
        <v>3498</v>
      </c>
      <c r="J147" s="98" t="s">
        <v>11826</v>
      </c>
      <c r="K147" s="98" t="s">
        <v>11823</v>
      </c>
      <c r="L147" s="186" t="s">
        <v>6768</v>
      </c>
      <c r="M147" s="28" t="s">
        <v>41</v>
      </c>
      <c r="N147" s="98"/>
    </row>
    <row r="148" spans="1:14" ht="14.4">
      <c r="A148" s="34" t="s">
        <v>11197</v>
      </c>
      <c r="B148" s="136" t="s">
        <v>11307</v>
      </c>
      <c r="C148" s="184" t="s">
        <v>296</v>
      </c>
      <c r="D148" s="184" t="s">
        <v>954</v>
      </c>
      <c r="E148" s="287" t="s">
        <v>54</v>
      </c>
      <c r="F148" s="31" t="s">
        <v>11835</v>
      </c>
      <c r="G148" s="28"/>
      <c r="H148" s="136" t="s">
        <v>11319</v>
      </c>
      <c r="I148" s="136" t="s">
        <v>335</v>
      </c>
      <c r="J148" s="136" t="s">
        <v>11320</v>
      </c>
      <c r="K148" s="136"/>
      <c r="L148" s="273" t="s">
        <v>11847</v>
      </c>
      <c r="M148" s="28" t="s">
        <v>41</v>
      </c>
      <c r="N148" s="136"/>
    </row>
    <row r="149" spans="1:14" ht="14.4">
      <c r="A149" s="28" t="s">
        <v>11197</v>
      </c>
      <c r="B149" s="136" t="s">
        <v>1379</v>
      </c>
      <c r="C149" s="299" t="s">
        <v>70</v>
      </c>
      <c r="D149" s="300" t="s">
        <v>71</v>
      </c>
      <c r="E149" s="293" t="s">
        <v>54</v>
      </c>
      <c r="F149" s="28" t="s">
        <v>11858</v>
      </c>
      <c r="G149" s="98"/>
      <c r="H149" s="104" t="s">
        <v>11265</v>
      </c>
      <c r="I149" s="28" t="s">
        <v>11289</v>
      </c>
      <c r="J149" s="28" t="s">
        <v>11201</v>
      </c>
      <c r="K149" s="28" t="s">
        <v>11265</v>
      </c>
      <c r="L149" s="28" t="s">
        <v>11202</v>
      </c>
      <c r="M149" s="28" t="s">
        <v>41</v>
      </c>
      <c r="N149" s="136"/>
    </row>
    <row r="150" spans="1:14" ht="14.4">
      <c r="A150" s="133" t="s">
        <v>11197</v>
      </c>
      <c r="B150" s="136" t="s">
        <v>11309</v>
      </c>
      <c r="C150" s="299" t="s">
        <v>70</v>
      </c>
      <c r="D150" s="300" t="s">
        <v>71</v>
      </c>
      <c r="E150" s="293" t="s">
        <v>54</v>
      </c>
      <c r="F150" s="28" t="s">
        <v>11865</v>
      </c>
      <c r="G150" s="136"/>
      <c r="H150" s="60" t="s">
        <v>11265</v>
      </c>
      <c r="I150" s="28" t="s">
        <v>11289</v>
      </c>
      <c r="J150" s="28" t="s">
        <v>11201</v>
      </c>
      <c r="K150" s="28" t="s">
        <v>11265</v>
      </c>
      <c r="L150" s="28" t="s">
        <v>11202</v>
      </c>
      <c r="M150" s="28" t="s">
        <v>41</v>
      </c>
      <c r="N150" s="136"/>
    </row>
    <row r="151" spans="1:14" ht="14.4">
      <c r="A151" s="34" t="s">
        <v>11197</v>
      </c>
      <c r="B151" s="136" t="s">
        <v>1379</v>
      </c>
      <c r="C151" s="299" t="s">
        <v>51</v>
      </c>
      <c r="D151" s="300" t="s">
        <v>52</v>
      </c>
      <c r="E151" s="293" t="s">
        <v>54</v>
      </c>
      <c r="F151" s="28" t="s">
        <v>11858</v>
      </c>
      <c r="G151" s="136"/>
      <c r="H151" s="60" t="s">
        <v>11265</v>
      </c>
      <c r="I151" s="28" t="s">
        <v>11289</v>
      </c>
      <c r="J151" s="28" t="s">
        <v>11201</v>
      </c>
      <c r="K151" s="28" t="s">
        <v>11265</v>
      </c>
      <c r="L151" s="28" t="s">
        <v>11202</v>
      </c>
      <c r="M151" s="28" t="s">
        <v>41</v>
      </c>
      <c r="N151" s="136"/>
    </row>
    <row r="152" spans="1:14" ht="14.4">
      <c r="A152" s="28"/>
      <c r="B152" s="28" t="s">
        <v>11313</v>
      </c>
      <c r="C152" s="107" t="s">
        <v>51</v>
      </c>
      <c r="D152" s="305" t="s">
        <v>52</v>
      </c>
      <c r="E152" s="293" t="s">
        <v>54</v>
      </c>
      <c r="F152" s="24" t="s">
        <v>11865</v>
      </c>
      <c r="G152" s="104"/>
      <c r="H152" s="60" t="s">
        <v>11265</v>
      </c>
      <c r="I152" s="28" t="s">
        <v>11289</v>
      </c>
      <c r="J152" s="28" t="s">
        <v>11201</v>
      </c>
      <c r="K152" s="28" t="s">
        <v>11265</v>
      </c>
      <c r="L152" s="28" t="s">
        <v>11202</v>
      </c>
      <c r="M152" s="28" t="s">
        <v>41</v>
      </c>
      <c r="N152" s="104"/>
    </row>
    <row r="153" spans="1:14" ht="14.4">
      <c r="A153" s="28" t="s">
        <v>11197</v>
      </c>
      <c r="B153" s="28" t="s">
        <v>1379</v>
      </c>
      <c r="C153" s="28" t="s">
        <v>319</v>
      </c>
      <c r="D153" s="29" t="s">
        <v>796</v>
      </c>
      <c r="E153" s="287" t="s">
        <v>54</v>
      </c>
      <c r="F153" s="280" t="s">
        <v>11887</v>
      </c>
      <c r="G153" s="28"/>
      <c r="H153" s="60" t="s">
        <v>11199</v>
      </c>
      <c r="I153" s="28" t="s">
        <v>11200</v>
      </c>
      <c r="J153" s="28" t="s">
        <v>11201</v>
      </c>
      <c r="K153" s="28" t="s">
        <v>11199</v>
      </c>
      <c r="L153" s="28" t="s">
        <v>11202</v>
      </c>
      <c r="M153" s="60" t="s">
        <v>41</v>
      </c>
      <c r="N153" s="28"/>
    </row>
    <row r="154" spans="1:14" ht="14.4">
      <c r="A154" s="28" t="s">
        <v>11197</v>
      </c>
      <c r="B154" s="28" t="s">
        <v>1379</v>
      </c>
      <c r="C154" s="28" t="s">
        <v>319</v>
      </c>
      <c r="D154" s="29" t="s">
        <v>796</v>
      </c>
      <c r="E154" s="287" t="s">
        <v>54</v>
      </c>
      <c r="F154" s="280" t="s">
        <v>11897</v>
      </c>
      <c r="G154" s="28"/>
      <c r="H154" s="60" t="s">
        <v>11199</v>
      </c>
      <c r="I154" s="28" t="s">
        <v>11200</v>
      </c>
      <c r="J154" s="28" t="s">
        <v>11201</v>
      </c>
      <c r="K154" s="28" t="s">
        <v>11199</v>
      </c>
      <c r="L154" s="28" t="s">
        <v>11202</v>
      </c>
      <c r="M154" s="60" t="s">
        <v>41</v>
      </c>
      <c r="N154" s="28"/>
    </row>
    <row r="155" spans="1:14" ht="14.4">
      <c r="A155" s="28" t="s">
        <v>11197</v>
      </c>
      <c r="B155" s="28" t="s">
        <v>1379</v>
      </c>
      <c r="C155" s="28" t="s">
        <v>319</v>
      </c>
      <c r="D155" s="29" t="s">
        <v>796</v>
      </c>
      <c r="E155" s="287" t="s">
        <v>54</v>
      </c>
      <c r="F155" s="280" t="s">
        <v>11903</v>
      </c>
      <c r="G155" s="28"/>
      <c r="H155" s="60" t="s">
        <v>11199</v>
      </c>
      <c r="I155" s="28" t="s">
        <v>11200</v>
      </c>
      <c r="J155" s="28" t="s">
        <v>11201</v>
      </c>
      <c r="K155" s="28" t="s">
        <v>11199</v>
      </c>
      <c r="L155" s="28" t="s">
        <v>11202</v>
      </c>
      <c r="M155" s="60" t="s">
        <v>41</v>
      </c>
      <c r="N155" s="28"/>
    </row>
    <row r="156" spans="1:14" ht="14.4">
      <c r="A156" s="28" t="s">
        <v>11197</v>
      </c>
      <c r="B156" s="28" t="s">
        <v>1379</v>
      </c>
      <c r="C156" s="28" t="s">
        <v>319</v>
      </c>
      <c r="D156" s="29" t="s">
        <v>796</v>
      </c>
      <c r="E156" s="287" t="s">
        <v>54</v>
      </c>
      <c r="F156" s="280" t="s">
        <v>11908</v>
      </c>
      <c r="G156" s="28"/>
      <c r="H156" s="60" t="s">
        <v>11199</v>
      </c>
      <c r="I156" s="28" t="s">
        <v>11200</v>
      </c>
      <c r="J156" s="28" t="s">
        <v>11201</v>
      </c>
      <c r="K156" s="28" t="s">
        <v>11199</v>
      </c>
      <c r="L156" s="28" t="s">
        <v>11202</v>
      </c>
      <c r="M156" s="60" t="s">
        <v>41</v>
      </c>
      <c r="N156" s="28"/>
    </row>
    <row r="157" spans="1:14" ht="14.4">
      <c r="A157" s="28" t="s">
        <v>11197</v>
      </c>
      <c r="B157" s="28" t="s">
        <v>1379</v>
      </c>
      <c r="C157" s="28" t="s">
        <v>319</v>
      </c>
      <c r="D157" s="29" t="s">
        <v>796</v>
      </c>
      <c r="E157" s="287" t="s">
        <v>54</v>
      </c>
      <c r="F157" s="280" t="s">
        <v>11915</v>
      </c>
      <c r="G157" s="28"/>
      <c r="H157" s="60" t="s">
        <v>11199</v>
      </c>
      <c r="I157" s="28" t="s">
        <v>11200</v>
      </c>
      <c r="J157" s="28" t="s">
        <v>11201</v>
      </c>
      <c r="K157" s="28" t="s">
        <v>11199</v>
      </c>
      <c r="L157" s="28" t="s">
        <v>11202</v>
      </c>
      <c r="M157" s="60" t="s">
        <v>41</v>
      </c>
      <c r="N157" s="28"/>
    </row>
    <row r="158" spans="1:14" ht="14.4">
      <c r="A158" s="28" t="s">
        <v>11197</v>
      </c>
      <c r="B158" s="28" t="s">
        <v>1379</v>
      </c>
      <c r="C158" s="28" t="s">
        <v>319</v>
      </c>
      <c r="D158" s="29" t="s">
        <v>796</v>
      </c>
      <c r="E158" s="287" t="s">
        <v>54</v>
      </c>
      <c r="F158" s="280" t="s">
        <v>11925</v>
      </c>
      <c r="G158" s="28"/>
      <c r="H158" s="60" t="s">
        <v>11199</v>
      </c>
      <c r="I158" s="28" t="s">
        <v>11200</v>
      </c>
      <c r="J158" s="28" t="s">
        <v>11201</v>
      </c>
      <c r="K158" s="28" t="s">
        <v>11199</v>
      </c>
      <c r="L158" s="28" t="s">
        <v>11202</v>
      </c>
      <c r="M158" s="60" t="s">
        <v>41</v>
      </c>
      <c r="N158" s="28"/>
    </row>
    <row r="159" spans="1:14" ht="14.4">
      <c r="A159" s="28" t="s">
        <v>11197</v>
      </c>
      <c r="B159" s="28" t="s">
        <v>1379</v>
      </c>
      <c r="C159" s="28" t="s">
        <v>319</v>
      </c>
      <c r="D159" s="29" t="s">
        <v>796</v>
      </c>
      <c r="E159" s="287" t="s">
        <v>54</v>
      </c>
      <c r="F159" s="280" t="s">
        <v>11934</v>
      </c>
      <c r="G159" s="28"/>
      <c r="H159" s="60" t="s">
        <v>11199</v>
      </c>
      <c r="I159" s="28" t="s">
        <v>11200</v>
      </c>
      <c r="J159" s="28" t="s">
        <v>11201</v>
      </c>
      <c r="K159" s="28" t="s">
        <v>11199</v>
      </c>
      <c r="L159" s="28" t="s">
        <v>11202</v>
      </c>
      <c r="M159" s="60" t="s">
        <v>41</v>
      </c>
      <c r="N159" s="28"/>
    </row>
    <row r="160" spans="1:14" ht="14.4">
      <c r="A160" s="28" t="s">
        <v>11197</v>
      </c>
      <c r="B160" s="28" t="s">
        <v>1379</v>
      </c>
      <c r="C160" s="28" t="s">
        <v>319</v>
      </c>
      <c r="D160" s="29" t="s">
        <v>796</v>
      </c>
      <c r="E160" s="287" t="s">
        <v>54</v>
      </c>
      <c r="F160" s="280" t="s">
        <v>11938</v>
      </c>
      <c r="G160" s="28"/>
      <c r="H160" s="60" t="s">
        <v>11199</v>
      </c>
      <c r="I160" s="28" t="s">
        <v>11200</v>
      </c>
      <c r="J160" s="28" t="s">
        <v>11201</v>
      </c>
      <c r="K160" s="28" t="s">
        <v>11199</v>
      </c>
      <c r="L160" s="28" t="s">
        <v>11202</v>
      </c>
      <c r="M160" s="60" t="s">
        <v>41</v>
      </c>
      <c r="N160" s="28"/>
    </row>
    <row r="161" spans="1:31" ht="14.4">
      <c r="A161" s="28" t="s">
        <v>11197</v>
      </c>
      <c r="B161" s="28" t="s">
        <v>1379</v>
      </c>
      <c r="C161" s="28" t="s">
        <v>319</v>
      </c>
      <c r="D161" s="29" t="s">
        <v>796</v>
      </c>
      <c r="E161" s="287" t="s">
        <v>54</v>
      </c>
      <c r="F161" s="280" t="s">
        <v>11947</v>
      </c>
      <c r="G161" s="28"/>
      <c r="H161" s="60" t="s">
        <v>11199</v>
      </c>
      <c r="I161" s="28" t="s">
        <v>11200</v>
      </c>
      <c r="J161" s="28" t="s">
        <v>11201</v>
      </c>
      <c r="K161" s="28" t="s">
        <v>11199</v>
      </c>
      <c r="L161" s="28" t="s">
        <v>11202</v>
      </c>
      <c r="M161" s="60" t="s">
        <v>41</v>
      </c>
      <c r="N161" s="28"/>
    </row>
    <row r="162" spans="1:31" ht="14.4">
      <c r="A162" s="28" t="s">
        <v>11197</v>
      </c>
      <c r="B162" s="28" t="s">
        <v>1379</v>
      </c>
      <c r="C162" s="28" t="s">
        <v>319</v>
      </c>
      <c r="D162" s="29" t="s">
        <v>796</v>
      </c>
      <c r="E162" s="287" t="s">
        <v>54</v>
      </c>
      <c r="F162" s="280" t="s">
        <v>11952</v>
      </c>
      <c r="G162" s="28"/>
      <c r="H162" s="60" t="s">
        <v>11199</v>
      </c>
      <c r="I162" s="28" t="s">
        <v>11200</v>
      </c>
      <c r="J162" s="28" t="s">
        <v>11201</v>
      </c>
      <c r="K162" s="28" t="s">
        <v>11199</v>
      </c>
      <c r="L162" s="28" t="s">
        <v>11202</v>
      </c>
      <c r="M162" s="60" t="s">
        <v>41</v>
      </c>
      <c r="N162" s="28"/>
    </row>
    <row r="163" spans="1:31" ht="14.4">
      <c r="A163" s="28" t="s">
        <v>11197</v>
      </c>
      <c r="B163" s="28" t="s">
        <v>1379</v>
      </c>
      <c r="C163" s="28" t="s">
        <v>319</v>
      </c>
      <c r="D163" s="29" t="s">
        <v>796</v>
      </c>
      <c r="E163" s="287" t="s">
        <v>54</v>
      </c>
      <c r="F163" s="280" t="s">
        <v>11960</v>
      </c>
      <c r="G163" s="28"/>
      <c r="H163" s="60" t="s">
        <v>11199</v>
      </c>
      <c r="I163" s="28" t="s">
        <v>11200</v>
      </c>
      <c r="J163" s="28" t="s">
        <v>11201</v>
      </c>
      <c r="K163" s="28" t="s">
        <v>11199</v>
      </c>
      <c r="L163" s="28" t="s">
        <v>11202</v>
      </c>
      <c r="M163" s="60" t="s">
        <v>41</v>
      </c>
      <c r="N163" s="28"/>
    </row>
    <row r="164" spans="1:31" ht="14.4">
      <c r="A164" s="28" t="s">
        <v>11197</v>
      </c>
      <c r="B164" s="28" t="s">
        <v>1379</v>
      </c>
      <c r="C164" s="28" t="s">
        <v>319</v>
      </c>
      <c r="D164" s="29" t="s">
        <v>796</v>
      </c>
      <c r="E164" s="287" t="s">
        <v>54</v>
      </c>
      <c r="F164" s="280" t="s">
        <v>11966</v>
      </c>
      <c r="G164" s="28"/>
      <c r="H164" s="60" t="s">
        <v>11199</v>
      </c>
      <c r="I164" s="28" t="s">
        <v>11200</v>
      </c>
      <c r="J164" s="28" t="s">
        <v>11201</v>
      </c>
      <c r="K164" s="28" t="s">
        <v>11199</v>
      </c>
      <c r="L164" s="28" t="s">
        <v>11202</v>
      </c>
      <c r="M164" s="60" t="s">
        <v>41</v>
      </c>
      <c r="N164" s="28"/>
    </row>
    <row r="165" spans="1:31" ht="14.4">
      <c r="A165" s="28" t="s">
        <v>11197</v>
      </c>
      <c r="B165" s="28" t="s">
        <v>1379</v>
      </c>
      <c r="C165" s="28" t="s">
        <v>319</v>
      </c>
      <c r="D165" s="29" t="s">
        <v>796</v>
      </c>
      <c r="E165" s="287" t="s">
        <v>54</v>
      </c>
      <c r="F165" s="280" t="s">
        <v>11974</v>
      </c>
      <c r="G165" s="28"/>
      <c r="H165" s="60" t="s">
        <v>11199</v>
      </c>
      <c r="I165" s="28" t="s">
        <v>11200</v>
      </c>
      <c r="J165" s="28" t="s">
        <v>11201</v>
      </c>
      <c r="K165" s="28" t="s">
        <v>11199</v>
      </c>
      <c r="L165" s="28" t="s">
        <v>11202</v>
      </c>
      <c r="M165" s="60" t="s">
        <v>41</v>
      </c>
      <c r="N165" s="28"/>
    </row>
    <row r="166" spans="1:31" ht="14.4">
      <c r="A166" s="28" t="s">
        <v>11197</v>
      </c>
      <c r="B166" s="28" t="s">
        <v>1379</v>
      </c>
      <c r="C166" s="28" t="s">
        <v>319</v>
      </c>
      <c r="D166" s="29" t="s">
        <v>796</v>
      </c>
      <c r="E166" s="287" t="s">
        <v>54</v>
      </c>
      <c r="F166" s="280" t="s">
        <v>11983</v>
      </c>
      <c r="G166" s="28"/>
      <c r="H166" s="60" t="s">
        <v>11199</v>
      </c>
      <c r="I166" s="28" t="s">
        <v>11200</v>
      </c>
      <c r="J166" s="28" t="s">
        <v>11201</v>
      </c>
      <c r="K166" s="28" t="s">
        <v>11199</v>
      </c>
      <c r="L166" s="28" t="s">
        <v>11202</v>
      </c>
      <c r="M166" s="60" t="s">
        <v>41</v>
      </c>
      <c r="N166" s="28"/>
    </row>
    <row r="167" spans="1:31" ht="14.4">
      <c r="A167" s="28" t="s">
        <v>11197</v>
      </c>
      <c r="B167" s="28" t="s">
        <v>1379</v>
      </c>
      <c r="C167" s="28" t="s">
        <v>319</v>
      </c>
      <c r="D167" s="29" t="s">
        <v>796</v>
      </c>
      <c r="E167" s="287" t="s">
        <v>54</v>
      </c>
      <c r="F167" s="280" t="s">
        <v>11990</v>
      </c>
      <c r="G167" s="28"/>
      <c r="H167" s="60" t="s">
        <v>11199</v>
      </c>
      <c r="I167" s="28" t="s">
        <v>11200</v>
      </c>
      <c r="J167" s="28" t="s">
        <v>11201</v>
      </c>
      <c r="K167" s="28" t="s">
        <v>11199</v>
      </c>
      <c r="L167" s="28" t="s">
        <v>11202</v>
      </c>
      <c r="M167" s="60" t="s">
        <v>41</v>
      </c>
      <c r="N167" s="28"/>
    </row>
    <row r="168" spans="1:31" ht="14.4">
      <c r="A168" s="28" t="s">
        <v>11197</v>
      </c>
      <c r="B168" s="28" t="s">
        <v>1379</v>
      </c>
      <c r="C168" s="28" t="s">
        <v>319</v>
      </c>
      <c r="D168" s="29" t="s">
        <v>796</v>
      </c>
      <c r="E168" s="287" t="s">
        <v>54</v>
      </c>
      <c r="F168" s="280" t="s">
        <v>12000</v>
      </c>
      <c r="G168" s="28"/>
      <c r="H168" s="60" t="s">
        <v>11199</v>
      </c>
      <c r="I168" s="28" t="s">
        <v>11200</v>
      </c>
      <c r="J168" s="28" t="s">
        <v>11201</v>
      </c>
      <c r="K168" s="28" t="s">
        <v>11199</v>
      </c>
      <c r="L168" s="28" t="s">
        <v>11202</v>
      </c>
      <c r="M168" s="60" t="s">
        <v>41</v>
      </c>
      <c r="N168" s="28"/>
    </row>
    <row r="169" spans="1:31" ht="14.4">
      <c r="A169" s="28" t="s">
        <v>11197</v>
      </c>
      <c r="B169" s="28" t="s">
        <v>1379</v>
      </c>
      <c r="C169" s="28" t="s">
        <v>319</v>
      </c>
      <c r="D169" s="29" t="s">
        <v>796</v>
      </c>
      <c r="E169" s="287" t="s">
        <v>54</v>
      </c>
      <c r="F169" s="280" t="s">
        <v>12006</v>
      </c>
      <c r="G169" s="28"/>
      <c r="H169" s="60" t="s">
        <v>11199</v>
      </c>
      <c r="I169" s="28" t="s">
        <v>11200</v>
      </c>
      <c r="J169" s="28" t="s">
        <v>11201</v>
      </c>
      <c r="K169" s="28" t="s">
        <v>11199</v>
      </c>
      <c r="L169" s="28" t="s">
        <v>11202</v>
      </c>
      <c r="M169" s="60" t="s">
        <v>41</v>
      </c>
      <c r="N169" s="28"/>
    </row>
    <row r="170" spans="1:31" ht="14.4">
      <c r="A170" s="28" t="s">
        <v>11197</v>
      </c>
      <c r="B170" s="28" t="s">
        <v>1379</v>
      </c>
      <c r="C170" s="28" t="s">
        <v>319</v>
      </c>
      <c r="D170" s="29" t="s">
        <v>796</v>
      </c>
      <c r="E170" s="287" t="s">
        <v>54</v>
      </c>
      <c r="F170" s="280" t="s">
        <v>12013</v>
      </c>
      <c r="G170" s="28"/>
      <c r="H170" s="60" t="s">
        <v>11199</v>
      </c>
      <c r="I170" s="28" t="s">
        <v>11200</v>
      </c>
      <c r="J170" s="28" t="s">
        <v>11201</v>
      </c>
      <c r="K170" s="28" t="s">
        <v>11199</v>
      </c>
      <c r="L170" s="28" t="s">
        <v>11202</v>
      </c>
      <c r="M170" s="60" t="s">
        <v>41</v>
      </c>
      <c r="N170" s="28"/>
    </row>
    <row r="171" spans="1:31" ht="14.4">
      <c r="A171" s="28" t="s">
        <v>11197</v>
      </c>
      <c r="B171" s="28" t="s">
        <v>1379</v>
      </c>
      <c r="C171" s="28" t="s">
        <v>319</v>
      </c>
      <c r="D171" s="29" t="s">
        <v>796</v>
      </c>
      <c r="E171" s="287" t="s">
        <v>54</v>
      </c>
      <c r="F171" s="280" t="s">
        <v>12019</v>
      </c>
      <c r="G171" s="28"/>
      <c r="H171" s="60" t="s">
        <v>11199</v>
      </c>
      <c r="I171" s="28" t="s">
        <v>11200</v>
      </c>
      <c r="J171" s="28" t="s">
        <v>11201</v>
      </c>
      <c r="K171" s="28" t="s">
        <v>11199</v>
      </c>
      <c r="L171" s="28" t="s">
        <v>11202</v>
      </c>
      <c r="M171" s="60" t="s">
        <v>41</v>
      </c>
      <c r="N171" s="28"/>
    </row>
    <row r="172" spans="1:31" ht="14.4">
      <c r="A172" s="28" t="s">
        <v>11197</v>
      </c>
      <c r="B172" s="28" t="s">
        <v>1379</v>
      </c>
      <c r="C172" s="28" t="s">
        <v>319</v>
      </c>
      <c r="D172" s="29" t="s">
        <v>796</v>
      </c>
      <c r="E172" s="287" t="s">
        <v>54</v>
      </c>
      <c r="F172" s="280" t="s">
        <v>12025</v>
      </c>
      <c r="G172" s="28"/>
      <c r="H172" s="60" t="s">
        <v>11199</v>
      </c>
      <c r="I172" s="28" t="s">
        <v>11200</v>
      </c>
      <c r="J172" s="28" t="s">
        <v>11201</v>
      </c>
      <c r="K172" s="28" t="s">
        <v>11199</v>
      </c>
      <c r="L172" s="28" t="s">
        <v>11202</v>
      </c>
      <c r="M172" s="60" t="s">
        <v>41</v>
      </c>
      <c r="N172" s="28"/>
    </row>
    <row r="173" spans="1:31" ht="14.4">
      <c r="A173" s="28" t="s">
        <v>11197</v>
      </c>
      <c r="B173" s="28" t="s">
        <v>1379</v>
      </c>
      <c r="C173" s="28" t="s">
        <v>319</v>
      </c>
      <c r="D173" s="29" t="s">
        <v>796</v>
      </c>
      <c r="E173" s="175" t="s">
        <v>54</v>
      </c>
      <c r="F173" s="97" t="s">
        <v>12035</v>
      </c>
      <c r="G173" s="28"/>
      <c r="H173" s="104" t="s">
        <v>11199</v>
      </c>
      <c r="I173" s="28" t="s">
        <v>11200</v>
      </c>
      <c r="J173" s="28" t="s">
        <v>11201</v>
      </c>
      <c r="K173" s="28" t="s">
        <v>11199</v>
      </c>
      <c r="L173" s="28" t="s">
        <v>11202</v>
      </c>
      <c r="M173" s="24" t="s">
        <v>41</v>
      </c>
      <c r="N173" s="28"/>
    </row>
    <row r="174" spans="1:31" ht="14.4">
      <c r="A174" s="28" t="s">
        <v>11197</v>
      </c>
      <c r="B174" s="28" t="s">
        <v>1379</v>
      </c>
      <c r="C174" s="107" t="s">
        <v>20</v>
      </c>
      <c r="D174" s="28" t="s">
        <v>1305</v>
      </c>
      <c r="E174" s="28"/>
      <c r="F174" s="28" t="s">
        <v>12042</v>
      </c>
      <c r="G174" s="28" t="s">
        <v>12044</v>
      </c>
      <c r="H174" s="28" t="s">
        <v>12046</v>
      </c>
      <c r="I174" s="28" t="s">
        <v>11286</v>
      </c>
      <c r="J174" s="28" t="s">
        <v>11201</v>
      </c>
      <c r="K174" s="28" t="s">
        <v>12050</v>
      </c>
      <c r="L174" s="28" t="s">
        <v>11202</v>
      </c>
      <c r="M174" s="24" t="s">
        <v>41</v>
      </c>
      <c r="N174" s="178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</row>
    <row r="175" spans="1:31" ht="14.4">
      <c r="A175" s="254" t="s">
        <v>11197</v>
      </c>
      <c r="B175" s="254" t="s">
        <v>1379</v>
      </c>
      <c r="C175" s="306" t="s">
        <v>20</v>
      </c>
      <c r="D175" s="254" t="s">
        <v>1305</v>
      </c>
      <c r="E175" s="254"/>
      <c r="F175" s="254" t="s">
        <v>12076</v>
      </c>
      <c r="G175" s="254" t="s">
        <v>12077</v>
      </c>
      <c r="H175" s="254" t="s">
        <v>11229</v>
      </c>
      <c r="I175" s="254" t="s">
        <v>12080</v>
      </c>
      <c r="J175" s="254" t="s">
        <v>11207</v>
      </c>
      <c r="K175" s="254" t="s">
        <v>11229</v>
      </c>
      <c r="L175" s="254" t="s">
        <v>11202</v>
      </c>
      <c r="M175" s="275" t="s">
        <v>41</v>
      </c>
      <c r="N175" s="307"/>
    </row>
    <row r="176" spans="1:31" ht="14.4">
      <c r="A176" s="254" t="s">
        <v>11197</v>
      </c>
      <c r="B176" s="254" t="s">
        <v>1379</v>
      </c>
      <c r="C176" s="306" t="s">
        <v>260</v>
      </c>
      <c r="D176" s="306" t="s">
        <v>1337</v>
      </c>
      <c r="E176" s="306"/>
      <c r="F176" s="254" t="s">
        <v>12093</v>
      </c>
      <c r="G176" s="254"/>
      <c r="H176" s="254" t="s">
        <v>11265</v>
      </c>
      <c r="I176" s="254" t="s">
        <v>11266</v>
      </c>
      <c r="J176" s="254" t="s">
        <v>11201</v>
      </c>
      <c r="K176" s="254" t="s">
        <v>11265</v>
      </c>
      <c r="L176" s="254" t="s">
        <v>11245</v>
      </c>
      <c r="M176" s="308" t="s">
        <v>41</v>
      </c>
      <c r="N176" s="307"/>
    </row>
    <row r="177" spans="1:14" ht="14.4">
      <c r="A177" s="254" t="s">
        <v>11197</v>
      </c>
      <c r="B177" s="254" t="s">
        <v>1379</v>
      </c>
      <c r="C177" s="306" t="s">
        <v>260</v>
      </c>
      <c r="D177" s="306" t="s">
        <v>1337</v>
      </c>
      <c r="E177" s="306"/>
      <c r="F177" s="254" t="s">
        <v>12107</v>
      </c>
      <c r="G177" s="254"/>
      <c r="H177" s="254" t="s">
        <v>11248</v>
      </c>
      <c r="I177" s="254" t="s">
        <v>12111</v>
      </c>
      <c r="J177" s="254" t="s">
        <v>11207</v>
      </c>
      <c r="K177" s="254" t="s">
        <v>11275</v>
      </c>
      <c r="L177" s="254" t="s">
        <v>11202</v>
      </c>
      <c r="M177" s="275" t="s">
        <v>41</v>
      </c>
      <c r="N177" s="307"/>
    </row>
    <row r="178" spans="1:14" ht="14.4">
      <c r="A178" s="254" t="s">
        <v>11197</v>
      </c>
      <c r="B178" s="254" t="s">
        <v>1379</v>
      </c>
      <c r="C178" s="306" t="s">
        <v>260</v>
      </c>
      <c r="D178" s="306" t="s">
        <v>1337</v>
      </c>
      <c r="E178" s="306"/>
      <c r="F178" s="254" t="s">
        <v>12114</v>
      </c>
      <c r="G178" s="254"/>
      <c r="H178" s="254" t="s">
        <v>11248</v>
      </c>
      <c r="I178" s="254" t="s">
        <v>12111</v>
      </c>
      <c r="J178" s="254" t="s">
        <v>9732</v>
      </c>
      <c r="K178" s="254" t="s">
        <v>12115</v>
      </c>
      <c r="L178" s="254" t="s">
        <v>11245</v>
      </c>
      <c r="M178" s="275" t="s">
        <v>41</v>
      </c>
      <c r="N178" s="307"/>
    </row>
    <row r="179" spans="1:14" ht="14.4">
      <c r="A179" s="254" t="s">
        <v>11197</v>
      </c>
      <c r="B179" s="254" t="s">
        <v>1379</v>
      </c>
      <c r="C179" s="306" t="s">
        <v>260</v>
      </c>
      <c r="D179" s="306" t="s">
        <v>1337</v>
      </c>
      <c r="E179" s="306"/>
      <c r="F179" s="254" t="s">
        <v>12124</v>
      </c>
      <c r="G179" s="254"/>
      <c r="H179" s="254" t="s">
        <v>11208</v>
      </c>
      <c r="I179" s="254" t="s">
        <v>12126</v>
      </c>
      <c r="J179" s="254" t="s">
        <v>9735</v>
      </c>
      <c r="K179" s="254" t="s">
        <v>12127</v>
      </c>
      <c r="L179" s="254" t="s">
        <v>11202</v>
      </c>
      <c r="M179" s="275" t="s">
        <v>41</v>
      </c>
      <c r="N179" s="307"/>
    </row>
    <row r="180" spans="1:14" ht="14.4">
      <c r="A180" s="254" t="s">
        <v>11197</v>
      </c>
      <c r="B180" s="254" t="s">
        <v>1379</v>
      </c>
      <c r="C180" s="306" t="s">
        <v>260</v>
      </c>
      <c r="D180" s="306" t="s">
        <v>1337</v>
      </c>
      <c r="E180" s="306"/>
      <c r="F180" s="254" t="s">
        <v>12128</v>
      </c>
      <c r="G180" s="254"/>
      <c r="H180" s="254" t="s">
        <v>11269</v>
      </c>
      <c r="I180" s="254" t="s">
        <v>11270</v>
      </c>
      <c r="J180" s="254" t="s">
        <v>9736</v>
      </c>
      <c r="K180" s="254" t="s">
        <v>11269</v>
      </c>
      <c r="L180" s="254" t="s">
        <v>11202</v>
      </c>
      <c r="M180" s="275" t="s">
        <v>41</v>
      </c>
      <c r="N180" s="307"/>
    </row>
    <row r="181" spans="1:14" ht="14.4">
      <c r="A181" s="254" t="s">
        <v>11197</v>
      </c>
      <c r="B181" s="254" t="s">
        <v>1379</v>
      </c>
      <c r="C181" s="306" t="s">
        <v>260</v>
      </c>
      <c r="D181" s="306" t="s">
        <v>1337</v>
      </c>
      <c r="E181" s="306"/>
      <c r="F181" s="254" t="s">
        <v>12133</v>
      </c>
      <c r="G181" s="254"/>
      <c r="H181" s="254" t="s">
        <v>11248</v>
      </c>
      <c r="I181" s="254" t="s">
        <v>12111</v>
      </c>
      <c r="J181" s="254" t="s">
        <v>10762</v>
      </c>
      <c r="K181" s="254" t="s">
        <v>11248</v>
      </c>
      <c r="L181" s="254" t="s">
        <v>11202</v>
      </c>
      <c r="M181" s="275" t="s">
        <v>41</v>
      </c>
      <c r="N181" s="307"/>
    </row>
    <row r="182" spans="1:14" ht="14.4">
      <c r="A182" s="254" t="s">
        <v>11197</v>
      </c>
      <c r="B182" s="254" t="s">
        <v>11313</v>
      </c>
      <c r="C182" s="306" t="s">
        <v>260</v>
      </c>
      <c r="D182" s="306" t="s">
        <v>1337</v>
      </c>
      <c r="E182" s="306"/>
      <c r="F182" s="254" t="s">
        <v>12134</v>
      </c>
      <c r="G182" s="254"/>
      <c r="H182" s="254" t="s">
        <v>12135</v>
      </c>
      <c r="I182" s="254" t="s">
        <v>887</v>
      </c>
      <c r="J182" s="254" t="s">
        <v>12136</v>
      </c>
      <c r="K182" s="254" t="s">
        <v>12135</v>
      </c>
      <c r="L182" s="254" t="s">
        <v>12137</v>
      </c>
      <c r="M182" s="275" t="s">
        <v>41</v>
      </c>
      <c r="N182" s="307"/>
    </row>
    <row r="183" spans="1:14" ht="14.4">
      <c r="A183" s="254" t="s">
        <v>11197</v>
      </c>
      <c r="B183" s="254" t="s">
        <v>11313</v>
      </c>
      <c r="C183" s="306" t="s">
        <v>260</v>
      </c>
      <c r="D183" s="306" t="s">
        <v>1337</v>
      </c>
      <c r="E183" s="306"/>
      <c r="F183" s="254" t="s">
        <v>12143</v>
      </c>
      <c r="G183" s="254"/>
      <c r="H183" s="254" t="s">
        <v>12144</v>
      </c>
      <c r="I183" s="254" t="s">
        <v>887</v>
      </c>
      <c r="J183" s="254" t="s">
        <v>12145</v>
      </c>
      <c r="K183" s="254" t="s">
        <v>12146</v>
      </c>
      <c r="L183" s="254" t="s">
        <v>12147</v>
      </c>
      <c r="M183" s="275" t="s">
        <v>41</v>
      </c>
      <c r="N183" s="307"/>
    </row>
    <row r="184" spans="1:14" ht="14.4">
      <c r="A184" s="254" t="s">
        <v>11197</v>
      </c>
      <c r="B184" s="254" t="s">
        <v>11313</v>
      </c>
      <c r="C184" s="306" t="s">
        <v>260</v>
      </c>
      <c r="D184" s="306" t="s">
        <v>1337</v>
      </c>
      <c r="E184" s="306"/>
      <c r="F184" s="254" t="s">
        <v>12150</v>
      </c>
      <c r="G184" s="254"/>
      <c r="H184" s="254" t="s">
        <v>12152</v>
      </c>
      <c r="I184" s="254" t="s">
        <v>2689</v>
      </c>
      <c r="J184" s="254" t="s">
        <v>12155</v>
      </c>
      <c r="K184" s="254" t="s">
        <v>12152</v>
      </c>
      <c r="L184" s="254" t="s">
        <v>12156</v>
      </c>
      <c r="M184" s="275" t="s">
        <v>41</v>
      </c>
      <c r="N184" s="307"/>
    </row>
    <row r="185" spans="1:14" ht="14.4">
      <c r="A185" s="254" t="s">
        <v>11197</v>
      </c>
      <c r="B185" s="254" t="s">
        <v>11313</v>
      </c>
      <c r="C185" s="306" t="s">
        <v>260</v>
      </c>
      <c r="D185" s="306" t="s">
        <v>1337</v>
      </c>
      <c r="E185" s="306"/>
      <c r="F185" s="254" t="s">
        <v>12159</v>
      </c>
      <c r="G185" s="254"/>
      <c r="H185" s="254" t="s">
        <v>12160</v>
      </c>
      <c r="I185" s="254" t="s">
        <v>2689</v>
      </c>
      <c r="J185" s="254" t="s">
        <v>12161</v>
      </c>
      <c r="K185" s="254" t="s">
        <v>12162</v>
      </c>
      <c r="L185" s="254" t="s">
        <v>12164</v>
      </c>
      <c r="M185" s="275" t="s">
        <v>41</v>
      </c>
      <c r="N185" s="307"/>
    </row>
    <row r="186" spans="1:14" ht="14.4">
      <c r="A186" s="254" t="s">
        <v>11197</v>
      </c>
      <c r="B186" s="254" t="s">
        <v>11313</v>
      </c>
      <c r="C186" s="306" t="s">
        <v>260</v>
      </c>
      <c r="D186" s="306" t="s">
        <v>1337</v>
      </c>
      <c r="E186" s="306"/>
      <c r="F186" s="254" t="s">
        <v>12169</v>
      </c>
      <c r="G186" s="254"/>
      <c r="H186" s="254" t="s">
        <v>12172</v>
      </c>
      <c r="I186" s="254" t="s">
        <v>887</v>
      </c>
      <c r="J186" s="254" t="s">
        <v>12173</v>
      </c>
      <c r="K186" s="254" t="s">
        <v>12172</v>
      </c>
      <c r="L186" s="254" t="s">
        <v>12175</v>
      </c>
      <c r="M186" s="275" t="s">
        <v>41</v>
      </c>
      <c r="N186" s="307"/>
    </row>
    <row r="187" spans="1:14" ht="14.4">
      <c r="A187" s="254" t="s">
        <v>11197</v>
      </c>
      <c r="B187" s="254" t="s">
        <v>11313</v>
      </c>
      <c r="C187" s="306" t="s">
        <v>260</v>
      </c>
      <c r="D187" s="306" t="s">
        <v>1337</v>
      </c>
      <c r="E187" s="306"/>
      <c r="F187" s="254" t="s">
        <v>12177</v>
      </c>
      <c r="G187" s="254"/>
      <c r="H187" s="254" t="s">
        <v>12179</v>
      </c>
      <c r="I187" s="254" t="s">
        <v>887</v>
      </c>
      <c r="J187" s="254" t="s">
        <v>12181</v>
      </c>
      <c r="K187" s="254" t="s">
        <v>12182</v>
      </c>
      <c r="L187" s="254" t="s">
        <v>12184</v>
      </c>
      <c r="M187" s="275" t="s">
        <v>41</v>
      </c>
      <c r="N187" s="307"/>
    </row>
    <row r="188" spans="1:14" ht="14.4">
      <c r="A188" s="254" t="s">
        <v>11197</v>
      </c>
      <c r="B188" s="254" t="s">
        <v>11313</v>
      </c>
      <c r="C188" s="306" t="s">
        <v>260</v>
      </c>
      <c r="D188" s="306" t="s">
        <v>1337</v>
      </c>
      <c r="E188" s="306"/>
      <c r="F188" s="254" t="s">
        <v>12189</v>
      </c>
      <c r="G188" s="254"/>
      <c r="H188" s="254" t="s">
        <v>12191</v>
      </c>
      <c r="I188" s="254" t="s">
        <v>887</v>
      </c>
      <c r="J188" s="254" t="s">
        <v>12193</v>
      </c>
      <c r="K188" s="254" t="s">
        <v>12194</v>
      </c>
      <c r="L188" s="254" t="s">
        <v>12196</v>
      </c>
      <c r="M188" s="275" t="s">
        <v>41</v>
      </c>
      <c r="N188" s="307"/>
    </row>
    <row r="189" spans="1:14" ht="14.4">
      <c r="A189" s="254" t="s">
        <v>11197</v>
      </c>
      <c r="B189" s="254" t="s">
        <v>11313</v>
      </c>
      <c r="C189" s="306" t="s">
        <v>260</v>
      </c>
      <c r="D189" s="306" t="s">
        <v>1337</v>
      </c>
      <c r="E189" s="306"/>
      <c r="F189" s="254" t="s">
        <v>12197</v>
      </c>
      <c r="G189" s="254"/>
      <c r="H189" s="254" t="s">
        <v>12198</v>
      </c>
      <c r="I189" s="254" t="s">
        <v>887</v>
      </c>
      <c r="J189" s="254" t="s">
        <v>12199</v>
      </c>
      <c r="K189" s="254" t="s">
        <v>12201</v>
      </c>
      <c r="L189" s="254" t="s">
        <v>12203</v>
      </c>
      <c r="M189" s="275" t="s">
        <v>41</v>
      </c>
      <c r="N189" s="307"/>
    </row>
    <row r="190" spans="1:14" ht="14.4">
      <c r="A190" s="254" t="s">
        <v>11197</v>
      </c>
      <c r="B190" s="254" t="s">
        <v>11313</v>
      </c>
      <c r="C190" s="306" t="s">
        <v>260</v>
      </c>
      <c r="D190" s="306" t="s">
        <v>1337</v>
      </c>
      <c r="E190" s="306"/>
      <c r="F190" s="254" t="s">
        <v>12210</v>
      </c>
      <c r="G190" s="254"/>
      <c r="H190" s="254" t="s">
        <v>12211</v>
      </c>
      <c r="I190" s="254" t="s">
        <v>887</v>
      </c>
      <c r="J190" s="254" t="s">
        <v>12212</v>
      </c>
      <c r="K190" s="254" t="s">
        <v>12214</v>
      </c>
      <c r="L190" s="254" t="s">
        <v>12215</v>
      </c>
      <c r="M190" s="275" t="s">
        <v>41</v>
      </c>
      <c r="N190" s="307"/>
    </row>
    <row r="191" spans="1:14" ht="14.4">
      <c r="A191" s="254" t="s">
        <v>11197</v>
      </c>
      <c r="B191" s="254" t="s">
        <v>11313</v>
      </c>
      <c r="C191" s="306" t="s">
        <v>260</v>
      </c>
      <c r="D191" s="306" t="s">
        <v>1337</v>
      </c>
      <c r="E191" s="306"/>
      <c r="F191" s="254" t="s">
        <v>12217</v>
      </c>
      <c r="G191" s="254"/>
      <c r="H191" s="254" t="s">
        <v>12219</v>
      </c>
      <c r="I191" s="254" t="s">
        <v>10911</v>
      </c>
      <c r="J191" s="254" t="s">
        <v>12222</v>
      </c>
      <c r="K191" s="254" t="s">
        <v>12219</v>
      </c>
      <c r="L191" s="254" t="s">
        <v>11653</v>
      </c>
      <c r="M191" s="275" t="s">
        <v>41</v>
      </c>
      <c r="N191" s="307"/>
    </row>
    <row r="192" spans="1:14" ht="14.4">
      <c r="A192" s="254" t="s">
        <v>11197</v>
      </c>
      <c r="B192" s="254" t="s">
        <v>11313</v>
      </c>
      <c r="C192" s="306" t="s">
        <v>260</v>
      </c>
      <c r="D192" s="306" t="s">
        <v>1337</v>
      </c>
      <c r="E192" s="306"/>
      <c r="F192" s="254" t="s">
        <v>12226</v>
      </c>
      <c r="G192" s="254"/>
      <c r="H192" s="254" t="s">
        <v>12228</v>
      </c>
      <c r="I192" s="254" t="s">
        <v>887</v>
      </c>
      <c r="J192" s="254" t="s">
        <v>12230</v>
      </c>
      <c r="K192" s="254" t="s">
        <v>12228</v>
      </c>
      <c r="L192" s="254" t="s">
        <v>12231</v>
      </c>
      <c r="M192" s="275" t="s">
        <v>41</v>
      </c>
      <c r="N192" s="307"/>
    </row>
    <row r="193" spans="1:14" ht="14.4">
      <c r="A193" s="254" t="s">
        <v>11197</v>
      </c>
      <c r="B193" s="254" t="s">
        <v>11313</v>
      </c>
      <c r="C193" s="306" t="s">
        <v>260</v>
      </c>
      <c r="D193" s="306" t="s">
        <v>1337</v>
      </c>
      <c r="E193" s="306"/>
      <c r="F193" s="254" t="s">
        <v>12233</v>
      </c>
      <c r="G193" s="254"/>
      <c r="H193" s="254" t="s">
        <v>12236</v>
      </c>
      <c r="I193" s="254" t="s">
        <v>887</v>
      </c>
      <c r="J193" s="254" t="s">
        <v>12238</v>
      </c>
      <c r="K193" s="254" t="s">
        <v>12239</v>
      </c>
      <c r="L193" s="254" t="s">
        <v>12241</v>
      </c>
      <c r="M193" s="308" t="s">
        <v>41</v>
      </c>
      <c r="N193" s="307"/>
    </row>
    <row r="194" spans="1:14" ht="14.4">
      <c r="A194" s="254" t="s">
        <v>11197</v>
      </c>
      <c r="B194" s="254" t="s">
        <v>11313</v>
      </c>
      <c r="C194" s="306" t="s">
        <v>260</v>
      </c>
      <c r="D194" s="306" t="s">
        <v>1337</v>
      </c>
      <c r="E194" s="306"/>
      <c r="F194" s="254" t="s">
        <v>12243</v>
      </c>
      <c r="G194" s="254"/>
      <c r="H194" s="254" t="s">
        <v>12245</v>
      </c>
      <c r="I194" s="254" t="s">
        <v>2714</v>
      </c>
      <c r="J194" s="254" t="s">
        <v>12247</v>
      </c>
      <c r="K194" s="254" t="s">
        <v>12248</v>
      </c>
      <c r="L194" s="254" t="s">
        <v>12250</v>
      </c>
      <c r="M194" s="308" t="s">
        <v>41</v>
      </c>
      <c r="N194" s="307"/>
    </row>
    <row r="195" spans="1:14" ht="14.4">
      <c r="A195" s="254" t="s">
        <v>11197</v>
      </c>
      <c r="B195" s="254" t="s">
        <v>11313</v>
      </c>
      <c r="C195" s="306" t="s">
        <v>260</v>
      </c>
      <c r="D195" s="306" t="s">
        <v>1337</v>
      </c>
      <c r="E195" s="306"/>
      <c r="F195" s="254" t="s">
        <v>12254</v>
      </c>
      <c r="G195" s="254"/>
      <c r="H195" s="254" t="s">
        <v>12255</v>
      </c>
      <c r="I195" s="254" t="s">
        <v>2714</v>
      </c>
      <c r="J195" s="254" t="s">
        <v>12256</v>
      </c>
      <c r="K195" s="254" t="s">
        <v>12255</v>
      </c>
      <c r="L195" s="254" t="s">
        <v>12257</v>
      </c>
      <c r="M195" s="308" t="s">
        <v>41</v>
      </c>
      <c r="N195" s="307"/>
    </row>
    <row r="196" spans="1:14" ht="14.4">
      <c r="A196" s="254" t="s">
        <v>11197</v>
      </c>
      <c r="B196" s="254" t="s">
        <v>11313</v>
      </c>
      <c r="C196" s="306" t="s">
        <v>260</v>
      </c>
      <c r="D196" s="306" t="s">
        <v>1337</v>
      </c>
      <c r="E196" s="306"/>
      <c r="F196" s="254" t="s">
        <v>12259</v>
      </c>
      <c r="G196" s="254"/>
      <c r="H196" s="254" t="s">
        <v>12260</v>
      </c>
      <c r="I196" s="254" t="s">
        <v>887</v>
      </c>
      <c r="J196" s="254" t="s">
        <v>12261</v>
      </c>
      <c r="K196" s="254" t="s">
        <v>12260</v>
      </c>
      <c r="L196" s="254" t="s">
        <v>12262</v>
      </c>
      <c r="M196" s="308" t="s">
        <v>41</v>
      </c>
      <c r="N196" s="307"/>
    </row>
    <row r="197" spans="1:14" ht="14.4">
      <c r="A197" s="254" t="s">
        <v>11197</v>
      </c>
      <c r="B197" s="254" t="s">
        <v>11313</v>
      </c>
      <c r="C197" s="306" t="s">
        <v>260</v>
      </c>
      <c r="D197" s="306" t="s">
        <v>1337</v>
      </c>
      <c r="E197" s="306"/>
      <c r="F197" s="254" t="s">
        <v>12265</v>
      </c>
      <c r="G197" s="254"/>
      <c r="H197" s="254" t="s">
        <v>12267</v>
      </c>
      <c r="I197" s="254" t="s">
        <v>3659</v>
      </c>
      <c r="J197" s="254" t="s">
        <v>12268</v>
      </c>
      <c r="K197" s="254" t="s">
        <v>12267</v>
      </c>
      <c r="L197" s="254" t="s">
        <v>149</v>
      </c>
      <c r="M197" s="308" t="s">
        <v>41</v>
      </c>
      <c r="N197" s="307"/>
    </row>
    <row r="198" spans="1:14" ht="14.4">
      <c r="A198" s="254" t="s">
        <v>11197</v>
      </c>
      <c r="B198" s="254" t="s">
        <v>11313</v>
      </c>
      <c r="C198" s="306" t="s">
        <v>260</v>
      </c>
      <c r="D198" s="306" t="s">
        <v>1337</v>
      </c>
      <c r="E198" s="306"/>
      <c r="F198" s="254" t="s">
        <v>12270</v>
      </c>
      <c r="G198" s="254"/>
      <c r="H198" s="254" t="s">
        <v>12272</v>
      </c>
      <c r="I198" s="254" t="s">
        <v>887</v>
      </c>
      <c r="J198" s="254" t="s">
        <v>12274</v>
      </c>
      <c r="K198" s="254" t="s">
        <v>12272</v>
      </c>
      <c r="L198" s="254" t="s">
        <v>12278</v>
      </c>
      <c r="M198" s="308" t="s">
        <v>41</v>
      </c>
      <c r="N198" s="307"/>
    </row>
    <row r="199" spans="1:14" ht="14.4">
      <c r="A199" s="254" t="s">
        <v>11197</v>
      </c>
      <c r="B199" s="254" t="s">
        <v>11313</v>
      </c>
      <c r="C199" s="306" t="s">
        <v>260</v>
      </c>
      <c r="D199" s="306" t="s">
        <v>1337</v>
      </c>
      <c r="E199" s="306"/>
      <c r="F199" s="254" t="s">
        <v>12280</v>
      </c>
      <c r="G199" s="254"/>
      <c r="H199" s="254" t="s">
        <v>12281</v>
      </c>
      <c r="I199" s="254" t="s">
        <v>7741</v>
      </c>
      <c r="J199" s="254" t="s">
        <v>12282</v>
      </c>
      <c r="K199" s="254" t="s">
        <v>12283</v>
      </c>
      <c r="L199" s="254" t="s">
        <v>12284</v>
      </c>
      <c r="M199" s="308" t="s">
        <v>41</v>
      </c>
      <c r="N199" s="307"/>
    </row>
    <row r="200" spans="1:14" ht="14.4">
      <c r="A200" s="254" t="s">
        <v>11197</v>
      </c>
      <c r="B200" s="254" t="s">
        <v>11313</v>
      </c>
      <c r="C200" s="306" t="s">
        <v>260</v>
      </c>
      <c r="D200" s="306" t="s">
        <v>1337</v>
      </c>
      <c r="E200" s="306"/>
      <c r="F200" s="254" t="s">
        <v>12288</v>
      </c>
      <c r="G200" s="254"/>
      <c r="H200" s="254" t="s">
        <v>12289</v>
      </c>
      <c r="I200" s="254" t="s">
        <v>3181</v>
      </c>
      <c r="J200" s="254" t="s">
        <v>12290</v>
      </c>
      <c r="K200" s="254" t="s">
        <v>12291</v>
      </c>
      <c r="L200" s="254" t="s">
        <v>729</v>
      </c>
      <c r="M200" s="308" t="s">
        <v>41</v>
      </c>
      <c r="N200" s="307"/>
    </row>
    <row r="201" spans="1:14" ht="14.4">
      <c r="A201" s="254" t="s">
        <v>11197</v>
      </c>
      <c r="B201" s="254" t="s">
        <v>11313</v>
      </c>
      <c r="C201" s="306" t="s">
        <v>260</v>
      </c>
      <c r="D201" s="306" t="s">
        <v>1337</v>
      </c>
      <c r="E201" s="306"/>
      <c r="F201" s="254" t="s">
        <v>12294</v>
      </c>
      <c r="G201" s="254"/>
      <c r="H201" s="254" t="s">
        <v>12295</v>
      </c>
      <c r="I201" s="254" t="s">
        <v>2714</v>
      </c>
      <c r="J201" s="254" t="s">
        <v>12296</v>
      </c>
      <c r="K201" s="254" t="s">
        <v>12297</v>
      </c>
      <c r="L201" s="254" t="s">
        <v>729</v>
      </c>
      <c r="M201" s="308" t="s">
        <v>41</v>
      </c>
      <c r="N201" s="307"/>
    </row>
    <row r="202" spans="1:14" ht="14.4">
      <c r="A202" s="254" t="s">
        <v>11197</v>
      </c>
      <c r="B202" s="254" t="s">
        <v>11313</v>
      </c>
      <c r="C202" s="306" t="s">
        <v>260</v>
      </c>
      <c r="D202" s="306" t="s">
        <v>1337</v>
      </c>
      <c r="E202" s="306"/>
      <c r="F202" s="254" t="s">
        <v>12300</v>
      </c>
      <c r="G202" s="254"/>
      <c r="H202" s="254" t="s">
        <v>11334</v>
      </c>
      <c r="I202" s="254" t="s">
        <v>898</v>
      </c>
      <c r="J202" s="254" t="s">
        <v>12302</v>
      </c>
      <c r="K202" s="254" t="s">
        <v>11334</v>
      </c>
      <c r="L202" s="254" t="s">
        <v>729</v>
      </c>
      <c r="M202" s="308" t="s">
        <v>41</v>
      </c>
      <c r="N202" s="307"/>
    </row>
    <row r="203" spans="1:14" ht="14.4">
      <c r="A203" s="254" t="s">
        <v>11197</v>
      </c>
      <c r="B203" s="254" t="s">
        <v>11313</v>
      </c>
      <c r="C203" s="306" t="s">
        <v>20</v>
      </c>
      <c r="D203" s="254" t="s">
        <v>1305</v>
      </c>
      <c r="E203" s="254"/>
      <c r="F203" s="254" t="s">
        <v>12303</v>
      </c>
      <c r="G203" s="254" t="s">
        <v>12044</v>
      </c>
      <c r="H203" s="254" t="s">
        <v>12304</v>
      </c>
      <c r="I203" s="254" t="s">
        <v>933</v>
      </c>
      <c r="J203" s="254" t="s">
        <v>12305</v>
      </c>
      <c r="K203" s="254" t="s">
        <v>11326</v>
      </c>
      <c r="L203" s="254" t="s">
        <v>729</v>
      </c>
      <c r="M203" s="275" t="s">
        <v>41</v>
      </c>
      <c r="N203" s="307"/>
    </row>
    <row r="204" spans="1:14" ht="14.4">
      <c r="A204" s="254" t="s">
        <v>11197</v>
      </c>
      <c r="B204" s="254" t="s">
        <v>11313</v>
      </c>
      <c r="C204" s="306" t="s">
        <v>20</v>
      </c>
      <c r="D204" s="254" t="s">
        <v>1305</v>
      </c>
      <c r="E204" s="254"/>
      <c r="F204" s="254" t="s">
        <v>12310</v>
      </c>
      <c r="G204" s="92" t="s">
        <v>12312</v>
      </c>
      <c r="H204" s="254" t="s">
        <v>12304</v>
      </c>
      <c r="I204" s="254" t="s">
        <v>933</v>
      </c>
      <c r="J204" s="254" t="s">
        <v>12313</v>
      </c>
      <c r="K204" s="254" t="s">
        <v>12304</v>
      </c>
      <c r="L204" s="254" t="s">
        <v>729</v>
      </c>
      <c r="M204" s="275" t="s">
        <v>41</v>
      </c>
      <c r="N204" s="307"/>
    </row>
    <row r="205" spans="1:14" ht="14.4">
      <c r="A205" s="254" t="s">
        <v>11197</v>
      </c>
      <c r="B205" s="254" t="s">
        <v>11450</v>
      </c>
      <c r="C205" s="306" t="s">
        <v>260</v>
      </c>
      <c r="D205" s="306" t="s">
        <v>1337</v>
      </c>
      <c r="E205" s="306"/>
      <c r="F205" s="254" t="s">
        <v>12314</v>
      </c>
      <c r="G205" s="254"/>
      <c r="H205" s="254" t="s">
        <v>11471</v>
      </c>
      <c r="I205" s="254" t="s">
        <v>12316</v>
      </c>
      <c r="J205" s="254" t="s">
        <v>12318</v>
      </c>
      <c r="K205" s="254" t="s">
        <v>11471</v>
      </c>
      <c r="L205" s="254" t="s">
        <v>12320</v>
      </c>
      <c r="M205" s="308" t="s">
        <v>41</v>
      </c>
      <c r="N205" s="307"/>
    </row>
    <row r="206" spans="1:14" ht="14.4">
      <c r="A206" s="254" t="s">
        <v>11197</v>
      </c>
      <c r="B206" s="254" t="s">
        <v>11450</v>
      </c>
      <c r="C206" s="306" t="s">
        <v>260</v>
      </c>
      <c r="D206" s="306" t="s">
        <v>1337</v>
      </c>
      <c r="E206" s="306"/>
      <c r="F206" s="254" t="s">
        <v>12323</v>
      </c>
      <c r="G206" s="254"/>
      <c r="H206" s="254" t="s">
        <v>11465</v>
      </c>
      <c r="I206" s="254" t="s">
        <v>11466</v>
      </c>
      <c r="J206" s="254" t="s">
        <v>12318</v>
      </c>
      <c r="K206" s="254" t="s">
        <v>11465</v>
      </c>
      <c r="L206" s="254" t="s">
        <v>11474</v>
      </c>
      <c r="M206" s="308" t="s">
        <v>41</v>
      </c>
      <c r="N206" s="307"/>
    </row>
    <row r="207" spans="1:14" ht="14.4">
      <c r="A207" s="254" t="s">
        <v>11197</v>
      </c>
      <c r="B207" s="254" t="s">
        <v>11309</v>
      </c>
      <c r="C207" s="306" t="s">
        <v>260</v>
      </c>
      <c r="D207" s="306" t="s">
        <v>1337</v>
      </c>
      <c r="E207" s="306"/>
      <c r="F207" s="254" t="s">
        <v>12324</v>
      </c>
      <c r="G207" s="254"/>
      <c r="H207" s="254" t="s">
        <v>11482</v>
      </c>
      <c r="I207" s="254" t="s">
        <v>11484</v>
      </c>
      <c r="J207" s="254"/>
      <c r="K207" s="254" t="s">
        <v>12328</v>
      </c>
      <c r="L207" s="254" t="s">
        <v>11508</v>
      </c>
      <c r="M207" s="308" t="s">
        <v>41</v>
      </c>
      <c r="N207" s="307"/>
    </row>
    <row r="208" spans="1:14" ht="14.4">
      <c r="A208" s="254" t="s">
        <v>11197</v>
      </c>
      <c r="B208" s="254" t="s">
        <v>11309</v>
      </c>
      <c r="C208" s="306" t="s">
        <v>260</v>
      </c>
      <c r="D208" s="306" t="s">
        <v>1337</v>
      </c>
      <c r="E208" s="306"/>
      <c r="F208" s="254" t="s">
        <v>12331</v>
      </c>
      <c r="G208" s="254"/>
      <c r="H208" s="254" t="s">
        <v>12332</v>
      </c>
      <c r="I208" s="254" t="s">
        <v>3181</v>
      </c>
      <c r="J208" s="254"/>
      <c r="K208" s="254" t="s">
        <v>12333</v>
      </c>
      <c r="L208" s="254" t="s">
        <v>11486</v>
      </c>
      <c r="M208" s="308" t="s">
        <v>41</v>
      </c>
      <c r="N208" s="307"/>
    </row>
    <row r="209" spans="1:14" ht="14.4">
      <c r="A209" s="254" t="s">
        <v>11197</v>
      </c>
      <c r="B209" s="254" t="s">
        <v>11309</v>
      </c>
      <c r="C209" s="306" t="s">
        <v>260</v>
      </c>
      <c r="D209" s="306" t="s">
        <v>1337</v>
      </c>
      <c r="E209" s="306"/>
      <c r="F209" s="254" t="s">
        <v>12335</v>
      </c>
      <c r="G209" s="254"/>
      <c r="H209" s="254" t="s">
        <v>12336</v>
      </c>
      <c r="I209" s="254" t="s">
        <v>887</v>
      </c>
      <c r="J209" s="254"/>
      <c r="K209" s="254" t="s">
        <v>12333</v>
      </c>
      <c r="L209" s="254" t="s">
        <v>11486</v>
      </c>
      <c r="M209" s="308" t="s">
        <v>41</v>
      </c>
      <c r="N209" s="307"/>
    </row>
    <row r="210" spans="1:14" ht="14.4">
      <c r="A210" s="254" t="s">
        <v>11197</v>
      </c>
      <c r="B210" s="254" t="s">
        <v>11309</v>
      </c>
      <c r="C210" s="306" t="s">
        <v>260</v>
      </c>
      <c r="D210" s="306" t="s">
        <v>1337</v>
      </c>
      <c r="E210" s="306"/>
      <c r="F210" s="254" t="s">
        <v>12342</v>
      </c>
      <c r="G210" s="254"/>
      <c r="H210" s="254" t="s">
        <v>12343</v>
      </c>
      <c r="I210" s="254"/>
      <c r="J210" s="254"/>
      <c r="K210" s="254" t="s">
        <v>12343</v>
      </c>
      <c r="L210" s="254" t="s">
        <v>12344</v>
      </c>
      <c r="M210" s="308" t="s">
        <v>41</v>
      </c>
      <c r="N210" s="307"/>
    </row>
    <row r="211" spans="1:14" ht="14.4">
      <c r="A211" s="254" t="s">
        <v>11197</v>
      </c>
      <c r="B211" s="254" t="s">
        <v>11309</v>
      </c>
      <c r="C211" s="306" t="s">
        <v>260</v>
      </c>
      <c r="D211" s="306" t="s">
        <v>1337</v>
      </c>
      <c r="E211" s="306"/>
      <c r="F211" s="254" t="s">
        <v>12348</v>
      </c>
      <c r="G211" s="254"/>
      <c r="H211" s="254" t="s">
        <v>11518</v>
      </c>
      <c r="I211" s="254" t="s">
        <v>11519</v>
      </c>
      <c r="J211" s="254"/>
      <c r="K211" s="254" t="s">
        <v>11518</v>
      </c>
      <c r="L211" s="254" t="s">
        <v>12353</v>
      </c>
      <c r="M211" s="308" t="s">
        <v>41</v>
      </c>
      <c r="N211" s="307"/>
    </row>
    <row r="212" spans="1:14" ht="14.4">
      <c r="A212" s="254" t="s">
        <v>11197</v>
      </c>
      <c r="B212" s="254" t="s">
        <v>11309</v>
      </c>
      <c r="C212" s="306" t="s">
        <v>260</v>
      </c>
      <c r="D212" s="306" t="s">
        <v>1337</v>
      </c>
      <c r="E212" s="306"/>
      <c r="F212" s="254" t="s">
        <v>12354</v>
      </c>
      <c r="G212" s="254"/>
      <c r="H212" s="254" t="s">
        <v>12355</v>
      </c>
      <c r="I212" s="254" t="s">
        <v>2714</v>
      </c>
      <c r="J212" s="254"/>
      <c r="K212" s="254" t="s">
        <v>12355</v>
      </c>
      <c r="L212" s="254" t="s">
        <v>12353</v>
      </c>
      <c r="M212" s="308" t="s">
        <v>41</v>
      </c>
      <c r="N212" s="307"/>
    </row>
    <row r="213" spans="1:14" ht="14.4">
      <c r="A213" s="254" t="s">
        <v>11197</v>
      </c>
      <c r="B213" s="254" t="s">
        <v>11309</v>
      </c>
      <c r="C213" s="306" t="s">
        <v>260</v>
      </c>
      <c r="D213" s="306" t="s">
        <v>1337</v>
      </c>
      <c r="E213" s="306"/>
      <c r="F213" s="254" t="s">
        <v>12359</v>
      </c>
      <c r="G213" s="254"/>
      <c r="H213" s="254" t="s">
        <v>12361</v>
      </c>
      <c r="I213" s="254" t="s">
        <v>887</v>
      </c>
      <c r="J213" s="254" t="s">
        <v>12365</v>
      </c>
      <c r="K213" s="254" t="s">
        <v>12333</v>
      </c>
      <c r="L213" s="254" t="s">
        <v>11499</v>
      </c>
      <c r="M213" s="308" t="s">
        <v>41</v>
      </c>
      <c r="N213" s="307"/>
    </row>
    <row r="214" spans="1:14" ht="14.4">
      <c r="A214" s="254" t="s">
        <v>11197</v>
      </c>
      <c r="B214" s="254" t="s">
        <v>11309</v>
      </c>
      <c r="C214" s="306" t="s">
        <v>260</v>
      </c>
      <c r="D214" s="306" t="s">
        <v>1337</v>
      </c>
      <c r="E214" s="306"/>
      <c r="F214" s="254" t="s">
        <v>12367</v>
      </c>
      <c r="G214" s="254"/>
      <c r="H214" s="254" t="s">
        <v>12368</v>
      </c>
      <c r="I214" s="254" t="s">
        <v>7741</v>
      </c>
      <c r="J214" s="254" t="s">
        <v>12369</v>
      </c>
      <c r="K214" s="254" t="s">
        <v>12333</v>
      </c>
      <c r="L214" s="254" t="s">
        <v>11486</v>
      </c>
      <c r="M214" s="308" t="s">
        <v>41</v>
      </c>
      <c r="N214" s="307"/>
    </row>
    <row r="215" spans="1:14" ht="14.4">
      <c r="A215" s="254" t="s">
        <v>11197</v>
      </c>
      <c r="B215" s="254" t="s">
        <v>11309</v>
      </c>
      <c r="C215" s="306" t="s">
        <v>260</v>
      </c>
      <c r="D215" s="306" t="s">
        <v>1337</v>
      </c>
      <c r="E215" s="306"/>
      <c r="F215" s="254" t="s">
        <v>12372</v>
      </c>
      <c r="G215" s="254"/>
      <c r="H215" s="254" t="s">
        <v>11566</v>
      </c>
      <c r="I215" s="254" t="s">
        <v>11567</v>
      </c>
      <c r="J215" s="254" t="s">
        <v>12374</v>
      </c>
      <c r="K215" s="254" t="s">
        <v>11568</v>
      </c>
      <c r="L215" s="254" t="s">
        <v>11499</v>
      </c>
      <c r="M215" s="308" t="s">
        <v>41</v>
      </c>
      <c r="N215" s="307"/>
    </row>
    <row r="216" spans="1:14" ht="14.4">
      <c r="A216" s="254" t="s">
        <v>11197</v>
      </c>
      <c r="B216" s="254" t="s">
        <v>11309</v>
      </c>
      <c r="C216" s="306" t="s">
        <v>260</v>
      </c>
      <c r="D216" s="306" t="s">
        <v>1337</v>
      </c>
      <c r="E216" s="306"/>
      <c r="F216" s="254" t="s">
        <v>12380</v>
      </c>
      <c r="G216" s="254"/>
      <c r="H216" s="254" t="s">
        <v>12382</v>
      </c>
      <c r="I216" s="254" t="s">
        <v>12384</v>
      </c>
      <c r="J216" s="254" t="s">
        <v>12385</v>
      </c>
      <c r="K216" s="254" t="s">
        <v>12386</v>
      </c>
      <c r="L216" s="254" t="s">
        <v>11486</v>
      </c>
      <c r="M216" s="308" t="s">
        <v>41</v>
      </c>
      <c r="N216" s="307"/>
    </row>
    <row r="217" spans="1:14" ht="14.4">
      <c r="A217" s="254" t="s">
        <v>11197</v>
      </c>
      <c r="B217" s="254" t="s">
        <v>11309</v>
      </c>
      <c r="C217" s="306" t="s">
        <v>260</v>
      </c>
      <c r="D217" s="306" t="s">
        <v>1337</v>
      </c>
      <c r="E217" s="306"/>
      <c r="F217" s="254" t="s">
        <v>12389</v>
      </c>
      <c r="G217" s="254"/>
      <c r="H217" s="254" t="s">
        <v>12390</v>
      </c>
      <c r="I217" s="254" t="s">
        <v>966</v>
      </c>
      <c r="J217" s="254" t="s">
        <v>12392</v>
      </c>
      <c r="K217" s="254" t="s">
        <v>12390</v>
      </c>
      <c r="L217" s="254" t="s">
        <v>11508</v>
      </c>
      <c r="M217" s="308" t="s">
        <v>41</v>
      </c>
      <c r="N217" s="307"/>
    </row>
    <row r="218" spans="1:14" ht="14.4">
      <c r="A218" s="254" t="s">
        <v>11197</v>
      </c>
      <c r="B218" s="254" t="s">
        <v>11309</v>
      </c>
      <c r="C218" s="306" t="s">
        <v>260</v>
      </c>
      <c r="D218" s="306" t="s">
        <v>1337</v>
      </c>
      <c r="E218" s="306"/>
      <c r="F218" s="254" t="s">
        <v>12395</v>
      </c>
      <c r="G218" s="254"/>
      <c r="H218" s="254" t="s">
        <v>12396</v>
      </c>
      <c r="I218" s="254" t="s">
        <v>887</v>
      </c>
      <c r="J218" s="254" t="s">
        <v>12397</v>
      </c>
      <c r="K218" s="254" t="s">
        <v>12396</v>
      </c>
      <c r="L218" s="254" t="s">
        <v>11486</v>
      </c>
      <c r="M218" s="308" t="s">
        <v>41</v>
      </c>
      <c r="N218" s="307"/>
    </row>
    <row r="219" spans="1:14" ht="14.4">
      <c r="A219" s="254" t="s">
        <v>11197</v>
      </c>
      <c r="B219" s="254" t="s">
        <v>11309</v>
      </c>
      <c r="C219" s="306" t="s">
        <v>260</v>
      </c>
      <c r="D219" s="306" t="s">
        <v>1337</v>
      </c>
      <c r="E219" s="306"/>
      <c r="F219" s="254" t="s">
        <v>12399</v>
      </c>
      <c r="G219" s="254"/>
      <c r="H219" s="254" t="s">
        <v>11535</v>
      </c>
      <c r="I219" s="254" t="s">
        <v>4615</v>
      </c>
      <c r="J219" s="254" t="s">
        <v>12402</v>
      </c>
      <c r="K219" s="254" t="s">
        <v>12333</v>
      </c>
      <c r="L219" s="254" t="s">
        <v>11508</v>
      </c>
      <c r="M219" s="308" t="s">
        <v>41</v>
      </c>
      <c r="N219" s="307"/>
    </row>
    <row r="220" spans="1:14" ht="14.4">
      <c r="A220" s="254" t="s">
        <v>11197</v>
      </c>
      <c r="B220" s="254" t="s">
        <v>11309</v>
      </c>
      <c r="C220" s="306" t="s">
        <v>20</v>
      </c>
      <c r="D220" s="254" t="s">
        <v>1305</v>
      </c>
      <c r="E220" s="254"/>
      <c r="F220" s="310" t="s">
        <v>12408</v>
      </c>
      <c r="G220" s="254" t="s">
        <v>12412</v>
      </c>
      <c r="H220" s="254" t="s">
        <v>11482</v>
      </c>
      <c r="I220" s="254" t="s">
        <v>12413</v>
      </c>
      <c r="J220" s="254"/>
      <c r="K220" s="254" t="s">
        <v>12414</v>
      </c>
      <c r="L220" s="254" t="s">
        <v>11508</v>
      </c>
      <c r="M220" s="275" t="s">
        <v>41</v>
      </c>
      <c r="N220" s="307"/>
    </row>
    <row r="221" spans="1:14" ht="14.4">
      <c r="A221" s="254" t="s">
        <v>11197</v>
      </c>
      <c r="B221" s="254" t="s">
        <v>11619</v>
      </c>
      <c r="C221" s="306" t="s">
        <v>260</v>
      </c>
      <c r="D221" s="306" t="s">
        <v>1337</v>
      </c>
      <c r="E221" s="306"/>
      <c r="F221" s="254" t="s">
        <v>12419</v>
      </c>
      <c r="G221" s="254"/>
      <c r="H221" s="254" t="s">
        <v>11642</v>
      </c>
      <c r="I221" s="254" t="s">
        <v>11643</v>
      </c>
      <c r="J221" s="254"/>
      <c r="K221" s="254" t="s">
        <v>11642</v>
      </c>
      <c r="L221" s="254" t="s">
        <v>6945</v>
      </c>
      <c r="M221" s="308" t="s">
        <v>41</v>
      </c>
      <c r="N221" s="307"/>
    </row>
    <row r="222" spans="1:14" ht="14.4">
      <c r="A222" s="254" t="s">
        <v>11197</v>
      </c>
      <c r="B222" s="254" t="s">
        <v>11619</v>
      </c>
      <c r="C222" s="306" t="s">
        <v>260</v>
      </c>
      <c r="D222" s="306" t="s">
        <v>1337</v>
      </c>
      <c r="E222" s="306"/>
      <c r="F222" s="254" t="s">
        <v>12424</v>
      </c>
      <c r="G222" s="254"/>
      <c r="H222" s="254" t="s">
        <v>12425</v>
      </c>
      <c r="I222" s="254" t="s">
        <v>898</v>
      </c>
      <c r="J222" s="254"/>
      <c r="K222" s="254" t="s">
        <v>12425</v>
      </c>
      <c r="L222" s="254" t="s">
        <v>6839</v>
      </c>
      <c r="M222" s="308" t="s">
        <v>41</v>
      </c>
      <c r="N222" s="307"/>
    </row>
    <row r="223" spans="1:14" ht="14.4">
      <c r="A223" s="254" t="s">
        <v>11197</v>
      </c>
      <c r="B223" s="254" t="s">
        <v>11619</v>
      </c>
      <c r="C223" s="306" t="s">
        <v>260</v>
      </c>
      <c r="D223" s="306" t="s">
        <v>1337</v>
      </c>
      <c r="E223" s="306"/>
      <c r="F223" s="254" t="s">
        <v>12428</v>
      </c>
      <c r="G223" s="254"/>
      <c r="H223" s="254" t="s">
        <v>11662</v>
      </c>
      <c r="I223" s="254" t="s">
        <v>5331</v>
      </c>
      <c r="J223" s="254"/>
      <c r="K223" s="254" t="s">
        <v>11662</v>
      </c>
      <c r="L223" s="254" t="s">
        <v>6768</v>
      </c>
      <c r="M223" s="308" t="s">
        <v>41</v>
      </c>
      <c r="N223" s="307"/>
    </row>
    <row r="224" spans="1:14" ht="14.4">
      <c r="A224" s="254" t="s">
        <v>11197</v>
      </c>
      <c r="B224" s="254" t="s">
        <v>11619</v>
      </c>
      <c r="C224" s="306" t="s">
        <v>260</v>
      </c>
      <c r="D224" s="306" t="s">
        <v>1337</v>
      </c>
      <c r="E224" s="306"/>
      <c r="F224" s="254" t="s">
        <v>12435</v>
      </c>
      <c r="G224" s="254"/>
      <c r="H224" s="254" t="s">
        <v>11650</v>
      </c>
      <c r="I224" s="254" t="s">
        <v>11651</v>
      </c>
      <c r="J224" s="254"/>
      <c r="K224" s="254" t="s">
        <v>11650</v>
      </c>
      <c r="L224" s="254" t="s">
        <v>11653</v>
      </c>
      <c r="M224" s="308" t="s">
        <v>41</v>
      </c>
      <c r="N224" s="307"/>
    </row>
    <row r="225" spans="1:14" ht="14.4">
      <c r="A225" s="254" t="s">
        <v>11197</v>
      </c>
      <c r="B225" s="254" t="s">
        <v>11619</v>
      </c>
      <c r="C225" s="306" t="s">
        <v>260</v>
      </c>
      <c r="D225" s="306" t="s">
        <v>1337</v>
      </c>
      <c r="E225" s="306"/>
      <c r="F225" s="254" t="s">
        <v>12436</v>
      </c>
      <c r="G225" s="254"/>
      <c r="H225" s="254" t="s">
        <v>11650</v>
      </c>
      <c r="I225" s="254" t="s">
        <v>11651</v>
      </c>
      <c r="J225" s="254"/>
      <c r="K225" s="254" t="s">
        <v>11650</v>
      </c>
      <c r="L225" s="254" t="s">
        <v>11653</v>
      </c>
      <c r="M225" s="308" t="s">
        <v>41</v>
      </c>
      <c r="N225" s="307"/>
    </row>
    <row r="226" spans="1:14" ht="14.4">
      <c r="A226" s="254" t="s">
        <v>11197</v>
      </c>
      <c r="B226" s="254" t="s">
        <v>11619</v>
      </c>
      <c r="C226" s="306" t="s">
        <v>260</v>
      </c>
      <c r="D226" s="306" t="s">
        <v>1337</v>
      </c>
      <c r="E226" s="306"/>
      <c r="F226" s="254" t="s">
        <v>12443</v>
      </c>
      <c r="G226" s="254"/>
      <c r="H226" s="254" t="s">
        <v>11650</v>
      </c>
      <c r="I226" s="254" t="s">
        <v>11651</v>
      </c>
      <c r="J226" s="254"/>
      <c r="K226" s="254" t="s">
        <v>11650</v>
      </c>
      <c r="L226" s="254" t="s">
        <v>11653</v>
      </c>
      <c r="M226" s="308" t="s">
        <v>41</v>
      </c>
      <c r="N226" s="307"/>
    </row>
    <row r="227" spans="1:14" ht="14.4">
      <c r="A227" s="254" t="s">
        <v>11197</v>
      </c>
      <c r="B227" s="254" t="s">
        <v>11619</v>
      </c>
      <c r="C227" s="306" t="s">
        <v>260</v>
      </c>
      <c r="D227" s="306" t="s">
        <v>1337</v>
      </c>
      <c r="E227" s="306"/>
      <c r="F227" s="254" t="s">
        <v>12445</v>
      </c>
      <c r="G227" s="254"/>
      <c r="H227" s="254" t="s">
        <v>11650</v>
      </c>
      <c r="I227" s="254" t="s">
        <v>11651</v>
      </c>
      <c r="J227" s="254"/>
      <c r="K227" s="254" t="s">
        <v>11650</v>
      </c>
      <c r="L227" s="254" t="s">
        <v>11653</v>
      </c>
      <c r="M227" s="308" t="s">
        <v>41</v>
      </c>
      <c r="N227" s="307"/>
    </row>
    <row r="228" spans="1:14" ht="14.4">
      <c r="A228" s="254" t="s">
        <v>11197</v>
      </c>
      <c r="B228" s="254" t="s">
        <v>11619</v>
      </c>
      <c r="C228" s="306" t="s">
        <v>260</v>
      </c>
      <c r="D228" s="306" t="s">
        <v>1337</v>
      </c>
      <c r="E228" s="306"/>
      <c r="F228" s="254" t="s">
        <v>12447</v>
      </c>
      <c r="G228" s="254"/>
      <c r="H228" s="254" t="s">
        <v>12449</v>
      </c>
      <c r="I228" s="254" t="s">
        <v>933</v>
      </c>
      <c r="J228" s="254"/>
      <c r="K228" s="254" t="s">
        <v>12451</v>
      </c>
      <c r="L228" s="254" t="s">
        <v>9917</v>
      </c>
      <c r="M228" s="308" t="s">
        <v>41</v>
      </c>
      <c r="N228" s="307"/>
    </row>
    <row r="229" spans="1:14" ht="14.4">
      <c r="A229" s="254" t="s">
        <v>11197</v>
      </c>
      <c r="B229" s="254" t="s">
        <v>11619</v>
      </c>
      <c r="C229" s="306" t="s">
        <v>20</v>
      </c>
      <c r="D229" s="254" t="s">
        <v>1305</v>
      </c>
      <c r="E229" s="254"/>
      <c r="F229" s="311" t="s">
        <v>12455</v>
      </c>
      <c r="G229" s="24" t="s">
        <v>12457</v>
      </c>
      <c r="H229" s="254" t="s">
        <v>12449</v>
      </c>
      <c r="I229" s="254" t="s">
        <v>933</v>
      </c>
      <c r="J229" s="254" t="s">
        <v>12462</v>
      </c>
      <c r="K229" s="254" t="s">
        <v>12451</v>
      </c>
      <c r="L229" s="254" t="s">
        <v>9917</v>
      </c>
      <c r="M229" s="275" t="s">
        <v>41</v>
      </c>
      <c r="N229" s="307"/>
    </row>
    <row r="230" spans="1:14" ht="14.4">
      <c r="A230" s="254" t="s">
        <v>11197</v>
      </c>
      <c r="B230" s="254" t="s">
        <v>11307</v>
      </c>
      <c r="C230" s="306" t="s">
        <v>260</v>
      </c>
      <c r="D230" s="306" t="s">
        <v>1337</v>
      </c>
      <c r="E230" s="306"/>
      <c r="F230" s="254" t="s">
        <v>12464</v>
      </c>
      <c r="G230" s="254"/>
      <c r="H230" s="254" t="s">
        <v>12467</v>
      </c>
      <c r="I230" s="254" t="s">
        <v>898</v>
      </c>
      <c r="J230" s="254" t="s">
        <v>12468</v>
      </c>
      <c r="K230" s="254" t="s">
        <v>12467</v>
      </c>
      <c r="L230" s="254" t="s">
        <v>6839</v>
      </c>
      <c r="M230" s="308" t="s">
        <v>41</v>
      </c>
      <c r="N230" s="307"/>
    </row>
    <row r="231" spans="1:14" ht="14.4">
      <c r="A231" s="254" t="s">
        <v>11197</v>
      </c>
      <c r="B231" s="254" t="s">
        <v>11307</v>
      </c>
      <c r="C231" s="306" t="s">
        <v>260</v>
      </c>
      <c r="D231" s="306" t="s">
        <v>1337</v>
      </c>
      <c r="E231" s="306"/>
      <c r="F231" s="254" t="s">
        <v>12470</v>
      </c>
      <c r="G231" s="254"/>
      <c r="H231" s="254" t="s">
        <v>12471</v>
      </c>
      <c r="I231" s="254" t="s">
        <v>2714</v>
      </c>
      <c r="J231" s="254" t="s">
        <v>12473</v>
      </c>
      <c r="K231" s="254" t="s">
        <v>12474</v>
      </c>
      <c r="L231" s="254" t="s">
        <v>12475</v>
      </c>
      <c r="M231" s="308" t="s">
        <v>41</v>
      </c>
      <c r="N231" s="307"/>
    </row>
    <row r="232" spans="1:14" ht="14.4">
      <c r="A232" s="254" t="s">
        <v>11197</v>
      </c>
      <c r="B232" s="254" t="s">
        <v>11307</v>
      </c>
      <c r="C232" s="306" t="s">
        <v>260</v>
      </c>
      <c r="D232" s="306" t="s">
        <v>1337</v>
      </c>
      <c r="E232" s="306"/>
      <c r="F232" s="254" t="s">
        <v>12479</v>
      </c>
      <c r="G232" s="254"/>
      <c r="H232" s="254" t="s">
        <v>12480</v>
      </c>
      <c r="I232" s="254" t="s">
        <v>12481</v>
      </c>
      <c r="J232" s="254" t="s">
        <v>12482</v>
      </c>
      <c r="K232" s="254" t="s">
        <v>12480</v>
      </c>
      <c r="L232" s="254" t="s">
        <v>12483</v>
      </c>
      <c r="M232" s="308" t="s">
        <v>41</v>
      </c>
      <c r="N232" s="307"/>
    </row>
    <row r="233" spans="1:14" ht="14.4">
      <c r="A233" s="254" t="s">
        <v>11197</v>
      </c>
      <c r="B233" s="254" t="s">
        <v>11307</v>
      </c>
      <c r="C233" s="306" t="s">
        <v>260</v>
      </c>
      <c r="D233" s="306" t="s">
        <v>1337</v>
      </c>
      <c r="E233" s="306"/>
      <c r="F233" s="254" t="s">
        <v>12484</v>
      </c>
      <c r="G233" s="254"/>
      <c r="H233" s="254" t="s">
        <v>12485</v>
      </c>
      <c r="I233" s="254" t="s">
        <v>2689</v>
      </c>
      <c r="J233" s="254" t="s">
        <v>12486</v>
      </c>
      <c r="K233" s="254" t="s">
        <v>12485</v>
      </c>
      <c r="L233" s="254" t="s">
        <v>12487</v>
      </c>
      <c r="M233" s="308" t="s">
        <v>41</v>
      </c>
      <c r="N233" s="307"/>
    </row>
    <row r="234" spans="1:14" ht="14.4">
      <c r="A234" s="254" t="s">
        <v>11197</v>
      </c>
      <c r="B234" s="254" t="s">
        <v>11307</v>
      </c>
      <c r="C234" s="306" t="s">
        <v>260</v>
      </c>
      <c r="D234" s="306" t="s">
        <v>1337</v>
      </c>
      <c r="E234" s="306"/>
      <c r="F234" s="254" t="s">
        <v>12493</v>
      </c>
      <c r="G234" s="254"/>
      <c r="H234" s="254" t="s">
        <v>12496</v>
      </c>
      <c r="I234" s="254" t="s">
        <v>2689</v>
      </c>
      <c r="J234" s="254" t="s">
        <v>12497</v>
      </c>
      <c r="K234" s="254" t="s">
        <v>12496</v>
      </c>
      <c r="L234" s="254" t="s">
        <v>12498</v>
      </c>
      <c r="M234" s="308" t="s">
        <v>41</v>
      </c>
      <c r="N234" s="307"/>
    </row>
    <row r="235" spans="1:14" ht="14.4">
      <c r="A235" s="254" t="s">
        <v>11197</v>
      </c>
      <c r="B235" s="254" t="s">
        <v>11307</v>
      </c>
      <c r="C235" s="306" t="s">
        <v>260</v>
      </c>
      <c r="D235" s="306" t="s">
        <v>1337</v>
      </c>
      <c r="E235" s="306"/>
      <c r="F235" s="254" t="s">
        <v>12499</v>
      </c>
      <c r="G235" s="254"/>
      <c r="H235" s="254" t="s">
        <v>12500</v>
      </c>
      <c r="I235" s="254" t="s">
        <v>130</v>
      </c>
      <c r="J235" s="254" t="s">
        <v>12501</v>
      </c>
      <c r="K235" s="254" t="s">
        <v>12503</v>
      </c>
      <c r="L235" s="254" t="s">
        <v>2794</v>
      </c>
      <c r="M235" s="308" t="s">
        <v>41</v>
      </c>
      <c r="N235" s="307"/>
    </row>
    <row r="236" spans="1:14" ht="14.4">
      <c r="A236" s="254" t="s">
        <v>11197</v>
      </c>
      <c r="B236" s="254" t="s">
        <v>11307</v>
      </c>
      <c r="C236" s="306" t="s">
        <v>260</v>
      </c>
      <c r="D236" s="306" t="s">
        <v>1337</v>
      </c>
      <c r="E236" s="306"/>
      <c r="F236" s="254" t="s">
        <v>12510</v>
      </c>
      <c r="G236" s="254"/>
      <c r="H236" s="254" t="s">
        <v>12500</v>
      </c>
      <c r="I236" s="254" t="s">
        <v>130</v>
      </c>
      <c r="J236" s="254" t="s">
        <v>12511</v>
      </c>
      <c r="K236" s="254" t="s">
        <v>12512</v>
      </c>
      <c r="L236" s="254" t="s">
        <v>2794</v>
      </c>
      <c r="M236" s="308" t="s">
        <v>41</v>
      </c>
      <c r="N236" s="307"/>
    </row>
    <row r="237" spans="1:14" ht="14.4">
      <c r="A237" s="254" t="s">
        <v>11197</v>
      </c>
      <c r="B237" s="254" t="s">
        <v>11307</v>
      </c>
      <c r="C237" s="306" t="s">
        <v>260</v>
      </c>
      <c r="D237" s="306" t="s">
        <v>1337</v>
      </c>
      <c r="E237" s="306"/>
      <c r="F237" s="254" t="s">
        <v>12514</v>
      </c>
      <c r="G237" s="254"/>
      <c r="H237" s="254" t="s">
        <v>12500</v>
      </c>
      <c r="I237" s="254" t="s">
        <v>130</v>
      </c>
      <c r="J237" s="254" t="s">
        <v>12517</v>
      </c>
      <c r="K237" s="254" t="s">
        <v>12518</v>
      </c>
      <c r="L237" s="254" t="s">
        <v>2794</v>
      </c>
      <c r="M237" s="308" t="s">
        <v>41</v>
      </c>
      <c r="N237" s="307"/>
    </row>
    <row r="238" spans="1:14" ht="14.4">
      <c r="A238" s="254" t="s">
        <v>11197</v>
      </c>
      <c r="B238" s="254" t="s">
        <v>11307</v>
      </c>
      <c r="C238" s="306" t="s">
        <v>260</v>
      </c>
      <c r="D238" s="306" t="s">
        <v>1337</v>
      </c>
      <c r="E238" s="306"/>
      <c r="F238" s="254" t="s">
        <v>12522</v>
      </c>
      <c r="G238" s="254"/>
      <c r="H238" s="254" t="s">
        <v>12524</v>
      </c>
      <c r="I238" s="254" t="s">
        <v>887</v>
      </c>
      <c r="J238" s="254" t="s">
        <v>12526</v>
      </c>
      <c r="K238" s="254" t="s">
        <v>12524</v>
      </c>
      <c r="L238" s="254" t="s">
        <v>12528</v>
      </c>
      <c r="M238" s="308" t="s">
        <v>41</v>
      </c>
      <c r="N238" s="307"/>
    </row>
    <row r="239" spans="1:14" ht="14.4">
      <c r="A239" s="254" t="s">
        <v>11197</v>
      </c>
      <c r="B239" s="254" t="s">
        <v>11307</v>
      </c>
      <c r="C239" s="306" t="s">
        <v>260</v>
      </c>
      <c r="D239" s="306" t="s">
        <v>1337</v>
      </c>
      <c r="E239" s="306"/>
      <c r="F239" s="254" t="s">
        <v>12522</v>
      </c>
      <c r="G239" s="254"/>
      <c r="H239" s="254" t="s">
        <v>12532</v>
      </c>
      <c r="I239" s="254" t="s">
        <v>887</v>
      </c>
      <c r="J239" s="254" t="s">
        <v>12534</v>
      </c>
      <c r="K239" s="254" t="s">
        <v>12532</v>
      </c>
      <c r="L239" s="254" t="s">
        <v>12535</v>
      </c>
      <c r="M239" s="308" t="s">
        <v>41</v>
      </c>
      <c r="N239" s="307"/>
    </row>
    <row r="240" spans="1:14" ht="14.4">
      <c r="A240" s="254" t="s">
        <v>11197</v>
      </c>
      <c r="B240" s="254" t="s">
        <v>11307</v>
      </c>
      <c r="C240" s="306" t="s">
        <v>20</v>
      </c>
      <c r="D240" s="254" t="s">
        <v>1305</v>
      </c>
      <c r="E240" s="254"/>
      <c r="F240" s="311" t="s">
        <v>12537</v>
      </c>
      <c r="G240" s="24" t="s">
        <v>12538</v>
      </c>
      <c r="H240" s="254" t="s">
        <v>11729</v>
      </c>
      <c r="I240" s="254" t="s">
        <v>933</v>
      </c>
      <c r="J240" s="254" t="s">
        <v>12541</v>
      </c>
      <c r="K240" s="254" t="s">
        <v>11477</v>
      </c>
      <c r="L240" s="254" t="s">
        <v>6768</v>
      </c>
      <c r="M240" s="275" t="s">
        <v>41</v>
      </c>
      <c r="N240" s="307"/>
    </row>
    <row r="241" spans="1:30" ht="14.4">
      <c r="A241" s="254" t="s">
        <v>11197</v>
      </c>
      <c r="C241" s="122" t="s">
        <v>337</v>
      </c>
      <c r="D241" s="164" t="s">
        <v>3635</v>
      </c>
      <c r="F241" s="122" t="s">
        <v>12547</v>
      </c>
    </row>
    <row r="242" spans="1:30" ht="43.2">
      <c r="A242" s="254" t="s">
        <v>11197</v>
      </c>
      <c r="B242" s="254" t="s">
        <v>1379</v>
      </c>
      <c r="C242" s="254" t="s">
        <v>20</v>
      </c>
      <c r="D242" s="254"/>
      <c r="E242" s="254"/>
      <c r="F242" s="254" t="s">
        <v>12548</v>
      </c>
      <c r="G242" s="208" t="s">
        <v>12551</v>
      </c>
      <c r="H242" s="254" t="s">
        <v>12556</v>
      </c>
      <c r="I242" s="254" t="s">
        <v>12527</v>
      </c>
      <c r="J242" s="254" t="s">
        <v>12559</v>
      </c>
      <c r="K242" s="254"/>
      <c r="L242" s="254"/>
      <c r="M242" s="275" t="s">
        <v>41</v>
      </c>
      <c r="N242" s="254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 spans="1:30" ht="14.4">
      <c r="A243" s="254" t="s">
        <v>11197</v>
      </c>
      <c r="B243" s="28" t="s">
        <v>12565</v>
      </c>
      <c r="C243" s="28" t="s">
        <v>20</v>
      </c>
      <c r="D243" s="28"/>
      <c r="E243" s="26"/>
      <c r="F243" s="28" t="s">
        <v>12568</v>
      </c>
      <c r="G243" s="37" t="s">
        <v>12571</v>
      </c>
      <c r="H243" s="28" t="s">
        <v>12573</v>
      </c>
      <c r="I243" s="28" t="s">
        <v>933</v>
      </c>
      <c r="J243" s="28" t="s">
        <v>12574</v>
      </c>
      <c r="K243" s="28"/>
      <c r="L243" s="28" t="s">
        <v>12577</v>
      </c>
      <c r="M243" s="24" t="s">
        <v>41</v>
      </c>
    </row>
  </sheetData>
  <autoFilter ref="A2:AE243" xr:uid="{00000000-0009-0000-0000-000010000000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AE327"/>
  <sheetViews>
    <sheetView workbookViewId="0"/>
  </sheetViews>
  <sheetFormatPr defaultColWidth="12.6640625" defaultRowHeight="15.75" customHeight="1"/>
  <cols>
    <col min="1" max="1" width="9.77734375" customWidth="1"/>
    <col min="2" max="2" width="20" customWidth="1"/>
    <col min="3" max="3" width="40" customWidth="1"/>
    <col min="6" max="6" width="24.88671875" customWidth="1"/>
  </cols>
  <sheetData>
    <row r="1" spans="1:31" ht="15.75" customHeight="1">
      <c r="A1" s="99" t="s">
        <v>0</v>
      </c>
      <c r="B1" s="99"/>
      <c r="C1" s="99"/>
      <c r="D1" s="99"/>
      <c r="E1" s="126"/>
      <c r="F1" s="126"/>
      <c r="G1" s="126"/>
      <c r="H1" s="126"/>
      <c r="I1" s="126"/>
      <c r="J1" s="126"/>
      <c r="K1" s="126"/>
      <c r="L1" s="126"/>
      <c r="M1" s="126"/>
      <c r="N1" s="126"/>
    </row>
    <row r="2" spans="1:31" ht="15.75" customHeight="1">
      <c r="A2" s="102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8</v>
      </c>
      <c r="G2" s="8" t="s">
        <v>24</v>
      </c>
      <c r="H2" s="8" t="s">
        <v>10</v>
      </c>
      <c r="I2" s="8" t="s">
        <v>11</v>
      </c>
      <c r="J2" s="8" t="s">
        <v>12</v>
      </c>
      <c r="K2" s="8" t="s">
        <v>14</v>
      </c>
      <c r="L2" s="8" t="s">
        <v>15</v>
      </c>
      <c r="M2" s="8" t="s">
        <v>16</v>
      </c>
      <c r="N2" s="8" t="s">
        <v>17</v>
      </c>
    </row>
    <row r="3" spans="1:31" ht="15.75" customHeight="1">
      <c r="A3" s="288" t="s">
        <v>11337</v>
      </c>
      <c r="B3" s="28" t="s">
        <v>11340</v>
      </c>
      <c r="C3" s="28" t="s">
        <v>275</v>
      </c>
      <c r="D3" s="28" t="s">
        <v>543</v>
      </c>
      <c r="E3" s="28" t="s">
        <v>54</v>
      </c>
      <c r="F3" s="79" t="s">
        <v>11343</v>
      </c>
      <c r="G3" s="28" t="s">
        <v>11344</v>
      </c>
      <c r="H3" s="28" t="s">
        <v>11345</v>
      </c>
      <c r="I3" s="28" t="s">
        <v>130</v>
      </c>
      <c r="J3" s="28" t="s">
        <v>11348</v>
      </c>
      <c r="K3" s="28" t="s">
        <v>11345</v>
      </c>
      <c r="L3" s="28" t="s">
        <v>2149</v>
      </c>
      <c r="M3" s="28" t="s">
        <v>41</v>
      </c>
      <c r="N3" s="28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</row>
    <row r="4" spans="1:31" ht="15.75" customHeight="1">
      <c r="A4" s="288" t="s">
        <v>11337</v>
      </c>
      <c r="B4" s="28" t="s">
        <v>11357</v>
      </c>
      <c r="C4" s="28" t="s">
        <v>275</v>
      </c>
      <c r="D4" s="28" t="s">
        <v>543</v>
      </c>
      <c r="E4" s="28" t="s">
        <v>54</v>
      </c>
      <c r="F4" s="79" t="s">
        <v>11359</v>
      </c>
      <c r="G4" s="28" t="s">
        <v>11344</v>
      </c>
      <c r="H4" s="28" t="s">
        <v>11360</v>
      </c>
      <c r="I4" s="295" t="s">
        <v>3573</v>
      </c>
      <c r="J4" s="28" t="s">
        <v>11364</v>
      </c>
      <c r="K4" s="28" t="s">
        <v>11365</v>
      </c>
      <c r="L4" s="28" t="s">
        <v>989</v>
      </c>
      <c r="M4" s="28" t="s">
        <v>41</v>
      </c>
      <c r="N4" s="28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</row>
    <row r="5" spans="1:31" ht="15.75" customHeight="1">
      <c r="A5" s="288" t="s">
        <v>11337</v>
      </c>
      <c r="B5" s="28" t="s">
        <v>11370</v>
      </c>
      <c r="C5" s="28" t="s">
        <v>275</v>
      </c>
      <c r="D5" s="28" t="s">
        <v>543</v>
      </c>
      <c r="E5" s="28" t="s">
        <v>54</v>
      </c>
      <c r="F5" s="79" t="s">
        <v>11372</v>
      </c>
      <c r="G5" s="28"/>
      <c r="H5" s="28" t="s">
        <v>11375</v>
      </c>
      <c r="I5" s="28" t="s">
        <v>1610</v>
      </c>
      <c r="J5" s="28" t="s">
        <v>11376</v>
      </c>
      <c r="K5" s="28" t="s">
        <v>11375</v>
      </c>
      <c r="L5" s="28" t="s">
        <v>989</v>
      </c>
      <c r="M5" s="28" t="s">
        <v>41</v>
      </c>
      <c r="N5" s="28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</row>
    <row r="6" spans="1:31" ht="15.75" customHeight="1">
      <c r="A6" s="288" t="s">
        <v>11337</v>
      </c>
      <c r="B6" s="28" t="s">
        <v>11381</v>
      </c>
      <c r="C6" s="28" t="s">
        <v>275</v>
      </c>
      <c r="D6" s="28" t="s">
        <v>543</v>
      </c>
      <c r="E6" s="28" t="s">
        <v>54</v>
      </c>
      <c r="F6" s="79" t="s">
        <v>11382</v>
      </c>
      <c r="G6" s="28"/>
      <c r="H6" s="28" t="s">
        <v>11384</v>
      </c>
      <c r="I6" s="28" t="s">
        <v>11386</v>
      </c>
      <c r="J6" s="28" t="s">
        <v>11388</v>
      </c>
      <c r="K6" s="28" t="s">
        <v>11389</v>
      </c>
      <c r="L6" s="28" t="s">
        <v>6768</v>
      </c>
      <c r="M6" s="28" t="s">
        <v>41</v>
      </c>
      <c r="N6" s="28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</row>
    <row r="7" spans="1:31" ht="15.75" customHeight="1">
      <c r="A7" s="288" t="s">
        <v>11337</v>
      </c>
      <c r="B7" s="28" t="s">
        <v>11340</v>
      </c>
      <c r="C7" s="28" t="s">
        <v>296</v>
      </c>
      <c r="D7" s="28" t="s">
        <v>954</v>
      </c>
      <c r="E7" s="28" t="s">
        <v>54</v>
      </c>
      <c r="F7" s="28" t="s">
        <v>11393</v>
      </c>
      <c r="G7" s="28"/>
      <c r="H7" s="28" t="s">
        <v>11394</v>
      </c>
      <c r="I7" s="28" t="s">
        <v>11395</v>
      </c>
      <c r="J7" s="28" t="s">
        <v>8654</v>
      </c>
      <c r="K7" s="28" t="s">
        <v>11394</v>
      </c>
      <c r="L7" s="28" t="s">
        <v>2149</v>
      </c>
      <c r="M7" s="28" t="s">
        <v>41</v>
      </c>
      <c r="N7" s="28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</row>
    <row r="8" spans="1:31" ht="15.75" customHeight="1">
      <c r="A8" s="288" t="s">
        <v>11337</v>
      </c>
      <c r="B8" s="28" t="s">
        <v>11357</v>
      </c>
      <c r="C8" s="28" t="s">
        <v>296</v>
      </c>
      <c r="D8" s="28" t="s">
        <v>954</v>
      </c>
      <c r="E8" s="28" t="s">
        <v>54</v>
      </c>
      <c r="F8" s="28" t="s">
        <v>11403</v>
      </c>
      <c r="G8" s="28"/>
      <c r="H8" s="28" t="s">
        <v>11404</v>
      </c>
      <c r="I8" s="295" t="s">
        <v>3573</v>
      </c>
      <c r="J8" s="28" t="s">
        <v>8654</v>
      </c>
      <c r="K8" s="28" t="s">
        <v>11365</v>
      </c>
      <c r="L8" s="28" t="s">
        <v>989</v>
      </c>
      <c r="M8" s="28" t="s">
        <v>41</v>
      </c>
      <c r="N8" s="28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</row>
    <row r="9" spans="1:31" ht="15.75" customHeight="1">
      <c r="A9" s="288" t="s">
        <v>11337</v>
      </c>
      <c r="B9" s="28" t="s">
        <v>11409</v>
      </c>
      <c r="C9" s="28" t="s">
        <v>296</v>
      </c>
      <c r="D9" s="28" t="s">
        <v>954</v>
      </c>
      <c r="E9" s="28" t="s">
        <v>54</v>
      </c>
      <c r="F9" s="28" t="s">
        <v>11411</v>
      </c>
      <c r="G9" s="28"/>
      <c r="H9" s="28" t="s">
        <v>11413</v>
      </c>
      <c r="I9" s="28" t="s">
        <v>3181</v>
      </c>
      <c r="J9" s="28" t="s">
        <v>8654</v>
      </c>
      <c r="K9" s="28" t="s">
        <v>11413</v>
      </c>
      <c r="L9" s="28" t="s">
        <v>2794</v>
      </c>
      <c r="M9" s="28" t="s">
        <v>41</v>
      </c>
      <c r="N9" s="28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</row>
    <row r="10" spans="1:31" ht="15.75" customHeight="1">
      <c r="A10" s="288" t="s">
        <v>11337</v>
      </c>
      <c r="B10" s="28" t="s">
        <v>11370</v>
      </c>
      <c r="C10" s="28" t="s">
        <v>296</v>
      </c>
      <c r="D10" s="28" t="s">
        <v>954</v>
      </c>
      <c r="E10" s="28" t="s">
        <v>54</v>
      </c>
      <c r="F10" s="28" t="s">
        <v>11421</v>
      </c>
      <c r="G10" s="28"/>
      <c r="H10" s="28" t="s">
        <v>11375</v>
      </c>
      <c r="I10" s="28" t="s">
        <v>1610</v>
      </c>
      <c r="J10" s="28" t="s">
        <v>8654</v>
      </c>
      <c r="K10" s="28" t="s">
        <v>11375</v>
      </c>
      <c r="L10" s="28" t="s">
        <v>11423</v>
      </c>
      <c r="M10" s="28" t="s">
        <v>41</v>
      </c>
      <c r="N10" s="28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</row>
    <row r="11" spans="1:31" ht="15.75" customHeight="1">
      <c r="A11" s="288" t="s">
        <v>11337</v>
      </c>
      <c r="B11" s="28" t="s">
        <v>11340</v>
      </c>
      <c r="C11" s="28" t="s">
        <v>85</v>
      </c>
      <c r="D11" s="28" t="s">
        <v>86</v>
      </c>
      <c r="E11" s="28" t="s">
        <v>54</v>
      </c>
      <c r="F11" s="28" t="s">
        <v>11429</v>
      </c>
      <c r="G11" s="28" t="s">
        <v>11431</v>
      </c>
      <c r="H11" s="28" t="s">
        <v>11432</v>
      </c>
      <c r="I11" s="28" t="s">
        <v>887</v>
      </c>
      <c r="J11" s="28" t="s">
        <v>7596</v>
      </c>
      <c r="K11" s="28" t="s">
        <v>11432</v>
      </c>
      <c r="L11" s="28" t="s">
        <v>2149</v>
      </c>
      <c r="M11" s="28" t="s">
        <v>41</v>
      </c>
      <c r="N11" s="28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</row>
    <row r="12" spans="1:31" ht="15.75" customHeight="1">
      <c r="A12" s="288" t="s">
        <v>11337</v>
      </c>
      <c r="B12" s="28" t="s">
        <v>11340</v>
      </c>
      <c r="C12" s="28" t="s">
        <v>85</v>
      </c>
      <c r="D12" s="28" t="s">
        <v>86</v>
      </c>
      <c r="E12" s="28" t="s">
        <v>54</v>
      </c>
      <c r="F12" s="28" t="s">
        <v>11440</v>
      </c>
      <c r="G12" s="28" t="s">
        <v>11442</v>
      </c>
      <c r="H12" s="28" t="s">
        <v>11394</v>
      </c>
      <c r="I12" s="28" t="s">
        <v>966</v>
      </c>
      <c r="J12" s="28" t="s">
        <v>7591</v>
      </c>
      <c r="K12" s="28" t="s">
        <v>11394</v>
      </c>
      <c r="L12" s="28" t="s">
        <v>2149</v>
      </c>
      <c r="M12" s="28" t="s">
        <v>41</v>
      </c>
      <c r="N12" s="28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</row>
    <row r="13" spans="1:31" ht="15.75" customHeight="1">
      <c r="A13" s="288" t="s">
        <v>11337</v>
      </c>
      <c r="B13" s="28" t="s">
        <v>11340</v>
      </c>
      <c r="C13" s="28" t="s">
        <v>85</v>
      </c>
      <c r="D13" s="28" t="s">
        <v>86</v>
      </c>
      <c r="E13" s="28" t="s">
        <v>54</v>
      </c>
      <c r="F13" s="28" t="s">
        <v>11445</v>
      </c>
      <c r="G13" s="28" t="s">
        <v>11446</v>
      </c>
      <c r="H13" s="28" t="s">
        <v>11448</v>
      </c>
      <c r="I13" s="28" t="s">
        <v>877</v>
      </c>
      <c r="J13" s="28" t="s">
        <v>7664</v>
      </c>
      <c r="K13" s="28" t="s">
        <v>11448</v>
      </c>
      <c r="L13" s="28" t="s">
        <v>989</v>
      </c>
      <c r="M13" s="28" t="s">
        <v>41</v>
      </c>
      <c r="N13" s="28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</row>
    <row r="14" spans="1:31" ht="15.75" customHeight="1">
      <c r="A14" s="288" t="s">
        <v>11337</v>
      </c>
      <c r="B14" s="28" t="s">
        <v>11340</v>
      </c>
      <c r="C14" s="28" t="s">
        <v>85</v>
      </c>
      <c r="D14" s="28" t="s">
        <v>86</v>
      </c>
      <c r="E14" s="28" t="s">
        <v>54</v>
      </c>
      <c r="F14" s="28" t="s">
        <v>11455</v>
      </c>
      <c r="G14" s="28" t="s">
        <v>11456</v>
      </c>
      <c r="H14" s="28" t="s">
        <v>11345</v>
      </c>
      <c r="I14" s="28" t="s">
        <v>130</v>
      </c>
      <c r="J14" s="28" t="s">
        <v>7642</v>
      </c>
      <c r="K14" s="28" t="s">
        <v>11345</v>
      </c>
      <c r="L14" s="28" t="s">
        <v>2149</v>
      </c>
      <c r="M14" s="28" t="s">
        <v>41</v>
      </c>
      <c r="N14" s="28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</row>
    <row r="15" spans="1:31" ht="14.4">
      <c r="A15" s="288" t="s">
        <v>11337</v>
      </c>
      <c r="B15" s="28" t="s">
        <v>11340</v>
      </c>
      <c r="C15" s="28" t="s">
        <v>85</v>
      </c>
      <c r="D15" s="28" t="s">
        <v>86</v>
      </c>
      <c r="E15" s="28" t="s">
        <v>54</v>
      </c>
      <c r="F15" s="28" t="s">
        <v>11461</v>
      </c>
      <c r="G15" s="28" t="s">
        <v>11462</v>
      </c>
      <c r="H15" s="28" t="s">
        <v>11463</v>
      </c>
      <c r="I15" s="28" t="s">
        <v>3573</v>
      </c>
      <c r="J15" s="28" t="s">
        <v>7658</v>
      </c>
      <c r="K15" s="28" t="s">
        <v>11463</v>
      </c>
      <c r="L15" s="28" t="s">
        <v>989</v>
      </c>
      <c r="M15" s="28" t="s">
        <v>41</v>
      </c>
      <c r="N15" s="28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</row>
    <row r="16" spans="1:31" ht="14.4">
      <c r="A16" s="288" t="s">
        <v>11337</v>
      </c>
      <c r="B16" s="28" t="s">
        <v>11340</v>
      </c>
      <c r="C16" s="28" t="s">
        <v>85</v>
      </c>
      <c r="D16" s="28" t="s">
        <v>86</v>
      </c>
      <c r="E16" s="28" t="s">
        <v>54</v>
      </c>
      <c r="F16" s="28" t="s">
        <v>11468</v>
      </c>
      <c r="G16" s="28" t="s">
        <v>11469</v>
      </c>
      <c r="H16" s="28" t="s">
        <v>11463</v>
      </c>
      <c r="I16" s="28" t="s">
        <v>3573</v>
      </c>
      <c r="J16" s="28" t="s">
        <v>7615</v>
      </c>
      <c r="K16" s="28" t="s">
        <v>11463</v>
      </c>
      <c r="L16" s="28" t="s">
        <v>989</v>
      </c>
      <c r="M16" s="28" t="s">
        <v>41</v>
      </c>
      <c r="N16" s="28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</row>
    <row r="17" spans="1:31" ht="14.4">
      <c r="A17" s="288" t="s">
        <v>11337</v>
      </c>
      <c r="B17" s="28" t="s">
        <v>11340</v>
      </c>
      <c r="C17" s="28" t="s">
        <v>85</v>
      </c>
      <c r="D17" s="28" t="s">
        <v>86</v>
      </c>
      <c r="E17" s="28" t="s">
        <v>54</v>
      </c>
      <c r="F17" s="28" t="s">
        <v>11473</v>
      </c>
      <c r="G17" s="28" t="s">
        <v>11475</v>
      </c>
      <c r="H17" s="28" t="s">
        <v>11345</v>
      </c>
      <c r="I17" s="28" t="s">
        <v>130</v>
      </c>
      <c r="J17" s="28" t="s">
        <v>7610</v>
      </c>
      <c r="K17" s="28" t="s">
        <v>11345</v>
      </c>
      <c r="L17" s="28" t="s">
        <v>2149</v>
      </c>
      <c r="M17" s="28" t="s">
        <v>41</v>
      </c>
      <c r="N17" s="28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</row>
    <row r="18" spans="1:31" ht="14.4">
      <c r="A18" s="288" t="s">
        <v>11337</v>
      </c>
      <c r="B18" s="28" t="s">
        <v>11340</v>
      </c>
      <c r="C18" s="28" t="s">
        <v>85</v>
      </c>
      <c r="D18" s="28" t="s">
        <v>86</v>
      </c>
      <c r="E18" s="28" t="s">
        <v>54</v>
      </c>
      <c r="F18" s="28" t="s">
        <v>11479</v>
      </c>
      <c r="G18" s="28" t="s">
        <v>11481</v>
      </c>
      <c r="H18" s="28" t="s">
        <v>11483</v>
      </c>
      <c r="I18" s="28" t="s">
        <v>887</v>
      </c>
      <c r="J18" s="28" t="s">
        <v>6098</v>
      </c>
      <c r="K18" s="28" t="s">
        <v>11483</v>
      </c>
      <c r="L18" s="28" t="s">
        <v>989</v>
      </c>
      <c r="M18" s="28" t="s">
        <v>41</v>
      </c>
      <c r="N18" s="28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</row>
    <row r="19" spans="1:31" ht="14.4">
      <c r="A19" s="288" t="s">
        <v>11337</v>
      </c>
      <c r="B19" s="28" t="s">
        <v>11340</v>
      </c>
      <c r="C19" s="28" t="s">
        <v>85</v>
      </c>
      <c r="D19" s="28" t="s">
        <v>86</v>
      </c>
      <c r="E19" s="28" t="s">
        <v>54</v>
      </c>
      <c r="F19" s="28" t="s">
        <v>11491</v>
      </c>
      <c r="G19" s="28" t="s">
        <v>11492</v>
      </c>
      <c r="H19" s="28" t="s">
        <v>11493</v>
      </c>
      <c r="I19" s="28" t="s">
        <v>11494</v>
      </c>
      <c r="J19" s="28" t="s">
        <v>7603</v>
      </c>
      <c r="K19" s="28" t="s">
        <v>2149</v>
      </c>
      <c r="L19" s="28" t="s">
        <v>989</v>
      </c>
      <c r="M19" s="28" t="s">
        <v>41</v>
      </c>
      <c r="N19" s="28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</row>
    <row r="20" spans="1:31" ht="14.4">
      <c r="A20" s="288" t="s">
        <v>11337</v>
      </c>
      <c r="B20" s="28" t="s">
        <v>11340</v>
      </c>
      <c r="C20" s="28" t="s">
        <v>85</v>
      </c>
      <c r="D20" s="28" t="s">
        <v>86</v>
      </c>
      <c r="E20" s="28" t="s">
        <v>54</v>
      </c>
      <c r="F20" s="28" t="s">
        <v>11500</v>
      </c>
      <c r="G20" s="28" t="s">
        <v>11502</v>
      </c>
      <c r="H20" s="28" t="s">
        <v>11504</v>
      </c>
      <c r="I20" s="28" t="s">
        <v>2689</v>
      </c>
      <c r="J20" s="28" t="s">
        <v>11507</v>
      </c>
      <c r="K20" s="28" t="s">
        <v>11504</v>
      </c>
      <c r="L20" s="28" t="s">
        <v>11509</v>
      </c>
      <c r="M20" s="28" t="s">
        <v>41</v>
      </c>
      <c r="N20" s="28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</row>
    <row r="21" spans="1:31" ht="14.4">
      <c r="A21" s="288" t="s">
        <v>11337</v>
      </c>
      <c r="B21" s="28" t="s">
        <v>11340</v>
      </c>
      <c r="C21" s="28" t="s">
        <v>85</v>
      </c>
      <c r="D21" s="28" t="s">
        <v>86</v>
      </c>
      <c r="E21" s="28" t="s">
        <v>54</v>
      </c>
      <c r="F21" s="28" t="s">
        <v>11513</v>
      </c>
      <c r="G21" s="28" t="s">
        <v>11514</v>
      </c>
      <c r="H21" s="28" t="s">
        <v>11515</v>
      </c>
      <c r="I21" s="28" t="s">
        <v>2400</v>
      </c>
      <c r="J21" s="28" t="s">
        <v>7624</v>
      </c>
      <c r="K21" s="28" t="s">
        <v>11515</v>
      </c>
      <c r="L21" s="28" t="s">
        <v>11517</v>
      </c>
      <c r="M21" s="28" t="s">
        <v>41</v>
      </c>
      <c r="N21" s="28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</row>
    <row r="22" spans="1:31" ht="14.4">
      <c r="A22" s="288" t="s">
        <v>11337</v>
      </c>
      <c r="B22" s="28" t="s">
        <v>11340</v>
      </c>
      <c r="C22" s="28" t="s">
        <v>85</v>
      </c>
      <c r="D22" s="28" t="s">
        <v>86</v>
      </c>
      <c r="E22" s="28" t="s">
        <v>54</v>
      </c>
      <c r="F22" s="28" t="s">
        <v>11523</v>
      </c>
      <c r="G22" s="28" t="s">
        <v>11525</v>
      </c>
      <c r="H22" s="28" t="s">
        <v>11527</v>
      </c>
      <c r="I22" s="28" t="s">
        <v>11528</v>
      </c>
      <c r="J22" s="28" t="s">
        <v>7629</v>
      </c>
      <c r="K22" s="28" t="s">
        <v>11527</v>
      </c>
      <c r="L22" s="28" t="s">
        <v>989</v>
      </c>
      <c r="M22" s="28" t="s">
        <v>41</v>
      </c>
      <c r="N22" s="28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</row>
    <row r="23" spans="1:31" ht="14.4">
      <c r="A23" s="288" t="s">
        <v>11337</v>
      </c>
      <c r="B23" s="28" t="s">
        <v>11340</v>
      </c>
      <c r="C23" s="28" t="s">
        <v>85</v>
      </c>
      <c r="D23" s="28" t="s">
        <v>86</v>
      </c>
      <c r="E23" s="28" t="s">
        <v>54</v>
      </c>
      <c r="F23" s="28" t="s">
        <v>11534</v>
      </c>
      <c r="G23" s="28" t="s">
        <v>11536</v>
      </c>
      <c r="H23" s="28" t="s">
        <v>11538</v>
      </c>
      <c r="I23" s="28" t="s">
        <v>2400</v>
      </c>
      <c r="J23" s="28" t="s">
        <v>7633</v>
      </c>
      <c r="K23" s="28" t="s">
        <v>11538</v>
      </c>
      <c r="L23" s="28" t="s">
        <v>11539</v>
      </c>
      <c r="M23" s="28" t="s">
        <v>41</v>
      </c>
      <c r="N23" s="28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</row>
    <row r="24" spans="1:31" ht="14.4">
      <c r="A24" s="288" t="s">
        <v>11337</v>
      </c>
      <c r="B24" s="28" t="s">
        <v>11340</v>
      </c>
      <c r="C24" s="28" t="s">
        <v>85</v>
      </c>
      <c r="D24" s="28" t="s">
        <v>86</v>
      </c>
      <c r="E24" s="28" t="s">
        <v>54</v>
      </c>
      <c r="F24" s="28" t="s">
        <v>11544</v>
      </c>
      <c r="G24" s="28" t="s">
        <v>11545</v>
      </c>
      <c r="H24" s="28" t="s">
        <v>11345</v>
      </c>
      <c r="I24" s="28" t="s">
        <v>130</v>
      </c>
      <c r="J24" s="28" t="s">
        <v>7638</v>
      </c>
      <c r="K24" s="28" t="s">
        <v>11345</v>
      </c>
      <c r="L24" s="28" t="s">
        <v>11547</v>
      </c>
      <c r="M24" s="28" t="s">
        <v>41</v>
      </c>
      <c r="N24" s="28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</row>
    <row r="25" spans="1:31" ht="14.4">
      <c r="A25" s="288" t="s">
        <v>11337</v>
      </c>
      <c r="B25" s="28" t="s">
        <v>11340</v>
      </c>
      <c r="C25" s="28" t="s">
        <v>85</v>
      </c>
      <c r="D25" s="28" t="s">
        <v>86</v>
      </c>
      <c r="E25" s="28" t="s">
        <v>54</v>
      </c>
      <c r="F25" s="28" t="s">
        <v>11552</v>
      </c>
      <c r="G25" s="28" t="s">
        <v>11514</v>
      </c>
      <c r="H25" s="28" t="s">
        <v>11554</v>
      </c>
      <c r="I25" s="28" t="s">
        <v>898</v>
      </c>
      <c r="J25" s="28" t="s">
        <v>7647</v>
      </c>
      <c r="K25" s="28" t="s">
        <v>11554</v>
      </c>
      <c r="L25" s="28" t="s">
        <v>729</v>
      </c>
      <c r="M25" s="28" t="s">
        <v>41</v>
      </c>
      <c r="N25" s="28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</row>
    <row r="26" spans="1:31" ht="14.4">
      <c r="A26" s="288" t="s">
        <v>11337</v>
      </c>
      <c r="B26" s="28" t="s">
        <v>11340</v>
      </c>
      <c r="C26" s="28" t="s">
        <v>85</v>
      </c>
      <c r="D26" s="28" t="s">
        <v>86</v>
      </c>
      <c r="E26" s="28" t="s">
        <v>54</v>
      </c>
      <c r="F26" s="28" t="s">
        <v>11559</v>
      </c>
      <c r="G26" s="28" t="s">
        <v>11560</v>
      </c>
      <c r="H26" s="28" t="s">
        <v>11562</v>
      </c>
      <c r="I26" s="28" t="s">
        <v>2689</v>
      </c>
      <c r="J26" s="28" t="s">
        <v>7653</v>
      </c>
      <c r="K26" s="28" t="s">
        <v>11562</v>
      </c>
      <c r="L26" s="28" t="s">
        <v>11564</v>
      </c>
      <c r="M26" s="28" t="s">
        <v>41</v>
      </c>
      <c r="N26" s="28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</row>
    <row r="27" spans="1:31" ht="14.4">
      <c r="A27" s="288" t="s">
        <v>11337</v>
      </c>
      <c r="B27" s="28" t="s">
        <v>11357</v>
      </c>
      <c r="C27" s="28" t="s">
        <v>85</v>
      </c>
      <c r="D27" s="28" t="s">
        <v>86</v>
      </c>
      <c r="E27" s="28" t="s">
        <v>54</v>
      </c>
      <c r="F27" s="28" t="s">
        <v>11569</v>
      </c>
      <c r="G27" s="28" t="s">
        <v>11570</v>
      </c>
      <c r="H27" s="28" t="s">
        <v>11571</v>
      </c>
      <c r="I27" s="28" t="s">
        <v>2400</v>
      </c>
      <c r="J27" s="28" t="s">
        <v>11572</v>
      </c>
      <c r="K27" s="28" t="s">
        <v>11571</v>
      </c>
      <c r="L27" s="28" t="s">
        <v>989</v>
      </c>
      <c r="M27" s="28" t="s">
        <v>41</v>
      </c>
      <c r="N27" s="28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</row>
    <row r="28" spans="1:31" ht="14.4">
      <c r="A28" s="288" t="s">
        <v>11337</v>
      </c>
      <c r="B28" s="28" t="s">
        <v>11357</v>
      </c>
      <c r="C28" s="28" t="s">
        <v>85</v>
      </c>
      <c r="D28" s="28" t="s">
        <v>86</v>
      </c>
      <c r="E28" s="28" t="s">
        <v>54</v>
      </c>
      <c r="F28" s="28" t="s">
        <v>11578</v>
      </c>
      <c r="G28" s="28" t="s">
        <v>11580</v>
      </c>
      <c r="H28" s="28" t="s">
        <v>11582</v>
      </c>
      <c r="I28" s="28" t="s">
        <v>2400</v>
      </c>
      <c r="J28" s="28" t="s">
        <v>11583</v>
      </c>
      <c r="K28" s="28" t="s">
        <v>11582</v>
      </c>
      <c r="L28" s="28" t="s">
        <v>989</v>
      </c>
      <c r="M28" s="28" t="s">
        <v>41</v>
      </c>
      <c r="N28" s="28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</row>
    <row r="29" spans="1:31" ht="14.4">
      <c r="A29" s="288" t="s">
        <v>11337</v>
      </c>
      <c r="B29" s="28" t="s">
        <v>11357</v>
      </c>
      <c r="C29" s="28" t="s">
        <v>85</v>
      </c>
      <c r="D29" s="28" t="s">
        <v>86</v>
      </c>
      <c r="E29" s="28" t="s">
        <v>54</v>
      </c>
      <c r="F29" s="28" t="s">
        <v>11587</v>
      </c>
      <c r="G29" s="28" t="s">
        <v>11588</v>
      </c>
      <c r="H29" s="28" t="s">
        <v>11589</v>
      </c>
      <c r="I29" s="28" t="s">
        <v>2400</v>
      </c>
      <c r="J29" s="28" t="s">
        <v>11591</v>
      </c>
      <c r="K29" s="28" t="s">
        <v>11593</v>
      </c>
      <c r="L29" s="28" t="s">
        <v>989</v>
      </c>
      <c r="M29" s="28" t="s">
        <v>41</v>
      </c>
      <c r="N29" s="28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</row>
    <row r="30" spans="1:31" ht="14.4">
      <c r="A30" s="288" t="s">
        <v>11337</v>
      </c>
      <c r="B30" s="28" t="s">
        <v>11357</v>
      </c>
      <c r="C30" s="28" t="s">
        <v>85</v>
      </c>
      <c r="D30" s="28" t="s">
        <v>86</v>
      </c>
      <c r="E30" s="28" t="s">
        <v>54</v>
      </c>
      <c r="F30" s="28" t="s">
        <v>11599</v>
      </c>
      <c r="G30" s="28" t="s">
        <v>11601</v>
      </c>
      <c r="H30" s="28" t="s">
        <v>11603</v>
      </c>
      <c r="I30" s="28" t="s">
        <v>2400</v>
      </c>
      <c r="J30" s="28" t="s">
        <v>3889</v>
      </c>
      <c r="K30" s="28" t="s">
        <v>11603</v>
      </c>
      <c r="L30" s="28" t="s">
        <v>989</v>
      </c>
      <c r="M30" s="28" t="s">
        <v>41</v>
      </c>
      <c r="N30" s="28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</row>
    <row r="31" spans="1:31" ht="14.4">
      <c r="A31" s="288" t="s">
        <v>11337</v>
      </c>
      <c r="B31" s="28" t="s">
        <v>11357</v>
      </c>
      <c r="C31" s="28" t="s">
        <v>85</v>
      </c>
      <c r="D31" s="28" t="s">
        <v>86</v>
      </c>
      <c r="E31" s="28" t="s">
        <v>54</v>
      </c>
      <c r="F31" s="28" t="s">
        <v>11607</v>
      </c>
      <c r="G31" s="28" t="s">
        <v>11608</v>
      </c>
      <c r="H31" s="28" t="s">
        <v>11365</v>
      </c>
      <c r="I31" s="28" t="s">
        <v>3573</v>
      </c>
      <c r="J31" s="28" t="s">
        <v>11610</v>
      </c>
      <c r="K31" s="28" t="s">
        <v>11611</v>
      </c>
      <c r="L31" s="28" t="s">
        <v>989</v>
      </c>
      <c r="M31" s="28" t="s">
        <v>41</v>
      </c>
      <c r="N31" s="28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</row>
    <row r="32" spans="1:31" ht="14.4">
      <c r="A32" s="288" t="s">
        <v>11337</v>
      </c>
      <c r="B32" s="28" t="s">
        <v>11357</v>
      </c>
      <c r="C32" s="28" t="s">
        <v>85</v>
      </c>
      <c r="D32" s="28" t="s">
        <v>86</v>
      </c>
      <c r="E32" s="28" t="s">
        <v>54</v>
      </c>
      <c r="F32" s="28" t="s">
        <v>11616</v>
      </c>
      <c r="G32" s="28" t="s">
        <v>11617</v>
      </c>
      <c r="H32" s="28" t="s">
        <v>11618</v>
      </c>
      <c r="I32" s="28" t="s">
        <v>2790</v>
      </c>
      <c r="J32" s="28" t="s">
        <v>11620</v>
      </c>
      <c r="K32" s="28" t="s">
        <v>11618</v>
      </c>
      <c r="L32" s="28" t="s">
        <v>989</v>
      </c>
      <c r="M32" s="28" t="s">
        <v>41</v>
      </c>
      <c r="N32" s="28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</row>
    <row r="33" spans="1:31" ht="14.4">
      <c r="A33" s="288" t="s">
        <v>11337</v>
      </c>
      <c r="B33" s="28" t="s">
        <v>11357</v>
      </c>
      <c r="C33" s="28" t="s">
        <v>85</v>
      </c>
      <c r="D33" s="28" t="s">
        <v>86</v>
      </c>
      <c r="E33" s="28" t="s">
        <v>54</v>
      </c>
      <c r="F33" s="28" t="s">
        <v>11624</v>
      </c>
      <c r="G33" s="28" t="s">
        <v>11625</v>
      </c>
      <c r="H33" s="28" t="s">
        <v>11626</v>
      </c>
      <c r="I33" s="28" t="s">
        <v>6349</v>
      </c>
      <c r="J33" s="28" t="s">
        <v>11627</v>
      </c>
      <c r="K33" s="28" t="s">
        <v>11626</v>
      </c>
      <c r="L33" s="28" t="s">
        <v>989</v>
      </c>
      <c r="M33" s="28" t="s">
        <v>41</v>
      </c>
      <c r="N33" s="28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</row>
    <row r="34" spans="1:31" ht="14.4">
      <c r="A34" s="288" t="s">
        <v>11337</v>
      </c>
      <c r="B34" s="28" t="s">
        <v>11357</v>
      </c>
      <c r="C34" s="28" t="s">
        <v>85</v>
      </c>
      <c r="D34" s="28" t="s">
        <v>86</v>
      </c>
      <c r="E34" s="28" t="s">
        <v>54</v>
      </c>
      <c r="F34" s="28" t="s">
        <v>11631</v>
      </c>
      <c r="G34" s="28" t="s">
        <v>11633</v>
      </c>
      <c r="H34" s="28" t="s">
        <v>11635</v>
      </c>
      <c r="I34" s="28" t="s">
        <v>5726</v>
      </c>
      <c r="J34" s="28" t="s">
        <v>11637</v>
      </c>
      <c r="K34" s="28" t="s">
        <v>11635</v>
      </c>
      <c r="L34" s="28" t="s">
        <v>989</v>
      </c>
      <c r="M34" s="28" t="s">
        <v>41</v>
      </c>
      <c r="N34" s="28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</row>
    <row r="35" spans="1:31" ht="14.4">
      <c r="A35" s="288" t="s">
        <v>11337</v>
      </c>
      <c r="B35" s="28" t="s">
        <v>11357</v>
      </c>
      <c r="C35" s="28" t="s">
        <v>85</v>
      </c>
      <c r="D35" s="28" t="s">
        <v>86</v>
      </c>
      <c r="E35" s="28" t="s">
        <v>54</v>
      </c>
      <c r="F35" s="28" t="s">
        <v>11645</v>
      </c>
      <c r="G35" s="28" t="s">
        <v>11646</v>
      </c>
      <c r="H35" s="28" t="s">
        <v>11647</v>
      </c>
      <c r="I35" s="28" t="s">
        <v>2400</v>
      </c>
      <c r="J35" s="28" t="s">
        <v>11648</v>
      </c>
      <c r="K35" s="28" t="s">
        <v>11647</v>
      </c>
      <c r="L35" s="28" t="s">
        <v>989</v>
      </c>
      <c r="M35" s="28" t="s">
        <v>41</v>
      </c>
      <c r="N35" s="28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</row>
    <row r="36" spans="1:31" ht="14.4">
      <c r="A36" s="288" t="s">
        <v>11337</v>
      </c>
      <c r="B36" s="28" t="s">
        <v>11357</v>
      </c>
      <c r="C36" s="28" t="s">
        <v>85</v>
      </c>
      <c r="D36" s="28" t="s">
        <v>86</v>
      </c>
      <c r="E36" s="28" t="s">
        <v>54</v>
      </c>
      <c r="F36" s="28" t="s">
        <v>11654</v>
      </c>
      <c r="G36" s="28" t="s">
        <v>11655</v>
      </c>
      <c r="H36" s="28" t="s">
        <v>11656</v>
      </c>
      <c r="I36" s="28" t="s">
        <v>2400</v>
      </c>
      <c r="J36" s="28" t="s">
        <v>11657</v>
      </c>
      <c r="K36" s="28" t="s">
        <v>11660</v>
      </c>
      <c r="L36" s="28" t="s">
        <v>989</v>
      </c>
      <c r="M36" s="28" t="s">
        <v>41</v>
      </c>
      <c r="N36" s="28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</row>
    <row r="37" spans="1:31" ht="14.4">
      <c r="A37" s="288" t="s">
        <v>11337</v>
      </c>
      <c r="B37" s="28" t="s">
        <v>11357</v>
      </c>
      <c r="C37" s="28" t="s">
        <v>85</v>
      </c>
      <c r="D37" s="28" t="s">
        <v>86</v>
      </c>
      <c r="E37" s="28" t="s">
        <v>54</v>
      </c>
      <c r="F37" s="28" t="s">
        <v>11666</v>
      </c>
      <c r="G37" s="28" t="s">
        <v>11667</v>
      </c>
      <c r="H37" s="28" t="s">
        <v>11668</v>
      </c>
      <c r="I37" s="28" t="s">
        <v>2714</v>
      </c>
      <c r="J37" s="28" t="s">
        <v>11669</v>
      </c>
      <c r="K37" s="28" t="s">
        <v>11670</v>
      </c>
      <c r="L37" s="28" t="s">
        <v>989</v>
      </c>
      <c r="M37" s="28" t="s">
        <v>41</v>
      </c>
      <c r="N37" s="28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</row>
    <row r="38" spans="1:31" ht="14.4">
      <c r="A38" s="288" t="s">
        <v>11337</v>
      </c>
      <c r="B38" s="28" t="s">
        <v>11357</v>
      </c>
      <c r="C38" s="28" t="s">
        <v>85</v>
      </c>
      <c r="D38" s="28" t="s">
        <v>86</v>
      </c>
      <c r="E38" s="28" t="s">
        <v>54</v>
      </c>
      <c r="F38" s="28" t="s">
        <v>11676</v>
      </c>
      <c r="G38" s="28" t="s">
        <v>11677</v>
      </c>
      <c r="H38" s="28" t="s">
        <v>11679</v>
      </c>
      <c r="I38" s="28" t="s">
        <v>2400</v>
      </c>
      <c r="J38" s="28" t="s">
        <v>11681</v>
      </c>
      <c r="K38" s="28" t="s">
        <v>11679</v>
      </c>
      <c r="L38" s="28" t="s">
        <v>989</v>
      </c>
      <c r="M38" s="28" t="s">
        <v>41</v>
      </c>
      <c r="N38" s="28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</row>
    <row r="39" spans="1:31" ht="14.4">
      <c r="A39" s="288" t="s">
        <v>11337</v>
      </c>
      <c r="B39" s="28" t="s">
        <v>11357</v>
      </c>
      <c r="C39" s="28" t="s">
        <v>85</v>
      </c>
      <c r="D39" s="28" t="s">
        <v>86</v>
      </c>
      <c r="E39" s="28" t="s">
        <v>54</v>
      </c>
      <c r="F39" s="28" t="s">
        <v>11684</v>
      </c>
      <c r="G39" s="28" t="s">
        <v>11686</v>
      </c>
      <c r="H39" s="28" t="s">
        <v>11687</v>
      </c>
      <c r="I39" s="28" t="s">
        <v>898</v>
      </c>
      <c r="J39" s="28" t="s">
        <v>11637</v>
      </c>
      <c r="K39" s="28" t="s">
        <v>11688</v>
      </c>
      <c r="L39" s="28" t="s">
        <v>989</v>
      </c>
      <c r="M39" s="28" t="s">
        <v>41</v>
      </c>
      <c r="N39" s="28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</row>
    <row r="40" spans="1:31" ht="14.4">
      <c r="A40" s="288" t="s">
        <v>11337</v>
      </c>
      <c r="B40" s="28" t="s">
        <v>11357</v>
      </c>
      <c r="C40" s="28" t="s">
        <v>85</v>
      </c>
      <c r="D40" s="28" t="s">
        <v>86</v>
      </c>
      <c r="E40" s="28" t="s">
        <v>54</v>
      </c>
      <c r="F40" s="28" t="s">
        <v>11692</v>
      </c>
      <c r="G40" s="28" t="s">
        <v>11693</v>
      </c>
      <c r="H40" s="28" t="s">
        <v>11694</v>
      </c>
      <c r="I40" s="28" t="s">
        <v>2400</v>
      </c>
      <c r="J40" s="28" t="s">
        <v>11696</v>
      </c>
      <c r="K40" s="28" t="s">
        <v>11694</v>
      </c>
      <c r="L40" s="28" t="s">
        <v>989</v>
      </c>
      <c r="M40" s="28" t="s">
        <v>41</v>
      </c>
      <c r="N40" s="28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</row>
    <row r="41" spans="1:31" ht="14.4">
      <c r="A41" s="288" t="s">
        <v>11337</v>
      </c>
      <c r="B41" s="28" t="s">
        <v>11357</v>
      </c>
      <c r="C41" s="28" t="s">
        <v>85</v>
      </c>
      <c r="D41" s="28" t="s">
        <v>86</v>
      </c>
      <c r="E41" s="28" t="s">
        <v>54</v>
      </c>
      <c r="F41" s="28" t="s">
        <v>11701</v>
      </c>
      <c r="G41" s="28" t="s">
        <v>11702</v>
      </c>
      <c r="H41" s="28" t="s">
        <v>11704</v>
      </c>
      <c r="I41" s="28" t="s">
        <v>2400</v>
      </c>
      <c r="J41" s="28" t="s">
        <v>11706</v>
      </c>
      <c r="K41" s="28" t="s">
        <v>11704</v>
      </c>
      <c r="L41" s="28" t="s">
        <v>989</v>
      </c>
      <c r="M41" s="28" t="s">
        <v>41</v>
      </c>
      <c r="N41" s="28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</row>
    <row r="42" spans="1:31" ht="14.4">
      <c r="A42" s="288" t="s">
        <v>11337</v>
      </c>
      <c r="B42" s="28" t="s">
        <v>11357</v>
      </c>
      <c r="C42" s="28" t="s">
        <v>85</v>
      </c>
      <c r="D42" s="28" t="s">
        <v>86</v>
      </c>
      <c r="E42" s="28" t="s">
        <v>54</v>
      </c>
      <c r="F42" s="28" t="s">
        <v>11711</v>
      </c>
      <c r="G42" s="28" t="s">
        <v>11713</v>
      </c>
      <c r="H42" s="28" t="s">
        <v>11593</v>
      </c>
      <c r="I42" s="28" t="s">
        <v>2400</v>
      </c>
      <c r="J42" s="28" t="s">
        <v>11714</v>
      </c>
      <c r="K42" s="28" t="s">
        <v>11715</v>
      </c>
      <c r="L42" s="28" t="s">
        <v>989</v>
      </c>
      <c r="M42" s="28" t="s">
        <v>41</v>
      </c>
      <c r="N42" s="28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</row>
    <row r="43" spans="1:31" ht="14.4">
      <c r="A43" s="288" t="s">
        <v>11337</v>
      </c>
      <c r="B43" s="28" t="s">
        <v>11409</v>
      </c>
      <c r="C43" s="28" t="s">
        <v>85</v>
      </c>
      <c r="D43" s="28" t="s">
        <v>86</v>
      </c>
      <c r="E43" s="28" t="s">
        <v>54</v>
      </c>
      <c r="F43" s="28" t="s">
        <v>11718</v>
      </c>
      <c r="G43" s="28" t="s">
        <v>11721</v>
      </c>
      <c r="H43" s="28" t="s">
        <v>11722</v>
      </c>
      <c r="I43" s="28" t="s">
        <v>887</v>
      </c>
      <c r="J43" s="28" t="s">
        <v>11723</v>
      </c>
      <c r="K43" s="28" t="s">
        <v>11722</v>
      </c>
      <c r="L43" s="28" t="s">
        <v>6768</v>
      </c>
      <c r="M43" s="28" t="s">
        <v>41</v>
      </c>
      <c r="N43" s="28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</row>
    <row r="44" spans="1:31" ht="14.4">
      <c r="A44" s="288" t="s">
        <v>11337</v>
      </c>
      <c r="B44" s="28" t="s">
        <v>11409</v>
      </c>
      <c r="C44" s="28" t="s">
        <v>85</v>
      </c>
      <c r="D44" s="28" t="s">
        <v>86</v>
      </c>
      <c r="E44" s="28" t="s">
        <v>54</v>
      </c>
      <c r="F44" s="28" t="s">
        <v>11726</v>
      </c>
      <c r="G44" s="28" t="s">
        <v>11728</v>
      </c>
      <c r="H44" s="28" t="s">
        <v>11730</v>
      </c>
      <c r="I44" s="28" t="s">
        <v>11731</v>
      </c>
      <c r="J44" s="28" t="s">
        <v>11733</v>
      </c>
      <c r="K44" s="28" t="s">
        <v>11730</v>
      </c>
      <c r="L44" s="28" t="s">
        <v>6768</v>
      </c>
      <c r="M44" s="28" t="s">
        <v>41</v>
      </c>
      <c r="N44" s="28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</row>
    <row r="45" spans="1:31" ht="14.4">
      <c r="A45" s="288" t="s">
        <v>11337</v>
      </c>
      <c r="B45" s="28" t="s">
        <v>11409</v>
      </c>
      <c r="C45" s="28" t="s">
        <v>85</v>
      </c>
      <c r="D45" s="28" t="s">
        <v>86</v>
      </c>
      <c r="E45" s="28" t="s">
        <v>54</v>
      </c>
      <c r="F45" s="28" t="s">
        <v>11739</v>
      </c>
      <c r="G45" s="28" t="s">
        <v>11740</v>
      </c>
      <c r="H45" s="28" t="s">
        <v>11741</v>
      </c>
      <c r="I45" s="28" t="s">
        <v>966</v>
      </c>
      <c r="J45" s="28" t="s">
        <v>3974</v>
      </c>
      <c r="K45" s="28" t="s">
        <v>11741</v>
      </c>
      <c r="L45" s="28" t="s">
        <v>9100</v>
      </c>
      <c r="M45" s="28" t="s">
        <v>41</v>
      </c>
      <c r="N45" s="28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</row>
    <row r="46" spans="1:31" ht="14.4">
      <c r="A46" s="288" t="s">
        <v>11337</v>
      </c>
      <c r="B46" s="28" t="s">
        <v>11409</v>
      </c>
      <c r="C46" s="28" t="s">
        <v>85</v>
      </c>
      <c r="D46" s="28" t="s">
        <v>86</v>
      </c>
      <c r="E46" s="28" t="s">
        <v>54</v>
      </c>
      <c r="F46" s="28" t="s">
        <v>11747</v>
      </c>
      <c r="G46" s="28" t="s">
        <v>11749</v>
      </c>
      <c r="H46" s="28" t="s">
        <v>11750</v>
      </c>
      <c r="I46" s="28" t="s">
        <v>887</v>
      </c>
      <c r="J46" s="28" t="s">
        <v>3979</v>
      </c>
      <c r="K46" s="28" t="s">
        <v>11750</v>
      </c>
      <c r="L46" s="28" t="s">
        <v>9100</v>
      </c>
      <c r="M46" s="28" t="s">
        <v>41</v>
      </c>
      <c r="N46" s="28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</row>
    <row r="47" spans="1:31" ht="14.4">
      <c r="A47" s="288" t="s">
        <v>11337</v>
      </c>
      <c r="B47" s="28" t="s">
        <v>11409</v>
      </c>
      <c r="C47" s="28" t="s">
        <v>85</v>
      </c>
      <c r="D47" s="28" t="s">
        <v>86</v>
      </c>
      <c r="E47" s="28" t="s">
        <v>54</v>
      </c>
      <c r="F47" s="28" t="s">
        <v>11755</v>
      </c>
      <c r="G47" s="28" t="s">
        <v>11756</v>
      </c>
      <c r="H47" s="28" t="s">
        <v>11757</v>
      </c>
      <c r="I47" s="28" t="s">
        <v>887</v>
      </c>
      <c r="J47" s="28" t="s">
        <v>3987</v>
      </c>
      <c r="K47" s="28" t="s">
        <v>11757</v>
      </c>
      <c r="L47" s="28" t="s">
        <v>6839</v>
      </c>
      <c r="M47" s="28" t="s">
        <v>41</v>
      </c>
      <c r="N47" s="28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</row>
    <row r="48" spans="1:31" ht="14.4">
      <c r="A48" s="288" t="s">
        <v>11337</v>
      </c>
      <c r="B48" s="28" t="s">
        <v>11409</v>
      </c>
      <c r="C48" s="28" t="s">
        <v>85</v>
      </c>
      <c r="D48" s="28" t="s">
        <v>86</v>
      </c>
      <c r="E48" s="28" t="s">
        <v>54</v>
      </c>
      <c r="F48" s="28" t="s">
        <v>11764</v>
      </c>
      <c r="G48" s="28" t="s">
        <v>11765</v>
      </c>
      <c r="H48" s="28" t="s">
        <v>11766</v>
      </c>
      <c r="I48" s="28" t="s">
        <v>2790</v>
      </c>
      <c r="J48" s="28" t="s">
        <v>11767</v>
      </c>
      <c r="K48" s="28" t="s">
        <v>11766</v>
      </c>
      <c r="L48" s="28" t="s">
        <v>11770</v>
      </c>
      <c r="M48" s="28" t="s">
        <v>41</v>
      </c>
      <c r="N48" s="28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</row>
    <row r="49" spans="1:31" ht="14.4">
      <c r="A49" s="288" t="s">
        <v>11337</v>
      </c>
      <c r="B49" s="28" t="s">
        <v>11409</v>
      </c>
      <c r="C49" s="28" t="s">
        <v>85</v>
      </c>
      <c r="D49" s="28" t="s">
        <v>86</v>
      </c>
      <c r="E49" s="28" t="s">
        <v>54</v>
      </c>
      <c r="F49" s="28" t="s">
        <v>11775</v>
      </c>
      <c r="G49" s="28" t="s">
        <v>11776</v>
      </c>
      <c r="H49" s="28" t="s">
        <v>11778</v>
      </c>
      <c r="I49" s="28" t="s">
        <v>887</v>
      </c>
      <c r="J49" s="28" t="s">
        <v>11779</v>
      </c>
      <c r="K49" s="28" t="s">
        <v>11780</v>
      </c>
      <c r="L49" s="28" t="s">
        <v>11781</v>
      </c>
      <c r="M49" s="28" t="s">
        <v>41</v>
      </c>
      <c r="N49" s="28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</row>
    <row r="50" spans="1:31" ht="14.4">
      <c r="A50" s="288" t="s">
        <v>11337</v>
      </c>
      <c r="B50" s="28" t="s">
        <v>11409</v>
      </c>
      <c r="C50" s="28" t="s">
        <v>85</v>
      </c>
      <c r="D50" s="28" t="s">
        <v>86</v>
      </c>
      <c r="E50" s="28" t="s">
        <v>54</v>
      </c>
      <c r="F50" s="28" t="s">
        <v>11786</v>
      </c>
      <c r="G50" s="28" t="s">
        <v>11787</v>
      </c>
      <c r="H50" s="28" t="s">
        <v>11788</v>
      </c>
      <c r="I50" s="28" t="s">
        <v>11790</v>
      </c>
      <c r="J50" s="28" t="s">
        <v>11791</v>
      </c>
      <c r="K50" s="28" t="s">
        <v>11792</v>
      </c>
      <c r="L50" s="28" t="s">
        <v>11781</v>
      </c>
      <c r="M50" s="28" t="s">
        <v>41</v>
      </c>
      <c r="N50" s="28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</row>
    <row r="51" spans="1:31" ht="14.4">
      <c r="A51" s="288" t="s">
        <v>11337</v>
      </c>
      <c r="B51" s="28" t="s">
        <v>11409</v>
      </c>
      <c r="C51" s="28" t="s">
        <v>85</v>
      </c>
      <c r="D51" s="28" t="s">
        <v>86</v>
      </c>
      <c r="E51" s="28" t="s">
        <v>54</v>
      </c>
      <c r="F51" s="28" t="s">
        <v>11799</v>
      </c>
      <c r="G51" s="28" t="s">
        <v>11800</v>
      </c>
      <c r="H51" s="28" t="s">
        <v>11801</v>
      </c>
      <c r="I51" s="28" t="s">
        <v>11790</v>
      </c>
      <c r="J51" s="28" t="s">
        <v>11802</v>
      </c>
      <c r="K51" s="28" t="s">
        <v>11792</v>
      </c>
      <c r="L51" s="28" t="s">
        <v>6768</v>
      </c>
      <c r="M51" s="28" t="s">
        <v>41</v>
      </c>
      <c r="N51" s="28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</row>
    <row r="52" spans="1:31" ht="14.4">
      <c r="A52" s="288" t="s">
        <v>11337</v>
      </c>
      <c r="B52" s="28" t="s">
        <v>11409</v>
      </c>
      <c r="C52" s="28" t="s">
        <v>85</v>
      </c>
      <c r="D52" s="28" t="s">
        <v>86</v>
      </c>
      <c r="E52" s="28" t="s">
        <v>54</v>
      </c>
      <c r="F52" s="28" t="s">
        <v>11805</v>
      </c>
      <c r="G52" s="28" t="s">
        <v>11807</v>
      </c>
      <c r="H52" s="28" t="s">
        <v>11809</v>
      </c>
      <c r="I52" s="28" t="s">
        <v>887</v>
      </c>
      <c r="J52" s="28" t="s">
        <v>11811</v>
      </c>
      <c r="K52" s="28" t="s">
        <v>11812</v>
      </c>
      <c r="L52" s="28" t="s">
        <v>11813</v>
      </c>
      <c r="M52" s="28" t="s">
        <v>41</v>
      </c>
      <c r="N52" s="28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</row>
    <row r="53" spans="1:31" ht="14.4">
      <c r="A53" s="288" t="s">
        <v>11337</v>
      </c>
      <c r="B53" s="28" t="s">
        <v>11409</v>
      </c>
      <c r="C53" s="28" t="s">
        <v>85</v>
      </c>
      <c r="D53" s="28" t="s">
        <v>86</v>
      </c>
      <c r="E53" s="28" t="s">
        <v>54</v>
      </c>
      <c r="F53" s="28" t="s">
        <v>11816</v>
      </c>
      <c r="G53" s="28" t="s">
        <v>11817</v>
      </c>
      <c r="H53" s="28" t="s">
        <v>11818</v>
      </c>
      <c r="I53" s="28" t="s">
        <v>887</v>
      </c>
      <c r="J53" s="28" t="s">
        <v>11723</v>
      </c>
      <c r="K53" s="28" t="s">
        <v>11819</v>
      </c>
      <c r="L53" s="28" t="s">
        <v>11820</v>
      </c>
      <c r="M53" s="28" t="s">
        <v>41</v>
      </c>
      <c r="N53" s="28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</row>
    <row r="54" spans="1:31" ht="14.4">
      <c r="A54" s="288" t="s">
        <v>11337</v>
      </c>
      <c r="B54" s="28" t="s">
        <v>11409</v>
      </c>
      <c r="C54" s="28" t="s">
        <v>85</v>
      </c>
      <c r="D54" s="28" t="s">
        <v>86</v>
      </c>
      <c r="E54" s="28" t="s">
        <v>54</v>
      </c>
      <c r="F54" s="28" t="s">
        <v>11822</v>
      </c>
      <c r="G54" s="28" t="s">
        <v>11824</v>
      </c>
      <c r="H54" s="28" t="s">
        <v>11825</v>
      </c>
      <c r="I54" s="28" t="s">
        <v>2400</v>
      </c>
      <c r="J54" s="28" t="s">
        <v>11827</v>
      </c>
      <c r="K54" s="28" t="s">
        <v>11825</v>
      </c>
      <c r="L54" s="28" t="s">
        <v>11828</v>
      </c>
      <c r="M54" s="28" t="s">
        <v>41</v>
      </c>
      <c r="N54" s="28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</row>
    <row r="55" spans="1:31" ht="14.4">
      <c r="A55" s="288" t="s">
        <v>11337</v>
      </c>
      <c r="B55" s="28" t="s">
        <v>11409</v>
      </c>
      <c r="C55" s="28" t="s">
        <v>85</v>
      </c>
      <c r="D55" s="28" t="s">
        <v>86</v>
      </c>
      <c r="E55" s="28" t="s">
        <v>54</v>
      </c>
      <c r="F55" s="28" t="s">
        <v>11829</v>
      </c>
      <c r="G55" s="28" t="s">
        <v>11830</v>
      </c>
      <c r="H55" s="28" t="s">
        <v>11831</v>
      </c>
      <c r="I55" s="28" t="s">
        <v>2714</v>
      </c>
      <c r="J55" s="28" t="s">
        <v>11832</v>
      </c>
      <c r="K55" s="28" t="s">
        <v>11833</v>
      </c>
      <c r="L55" s="28" t="s">
        <v>2794</v>
      </c>
      <c r="M55" s="28" t="s">
        <v>41</v>
      </c>
      <c r="N55" s="28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</row>
    <row r="56" spans="1:31" ht="14.4">
      <c r="A56" s="288" t="s">
        <v>11337</v>
      </c>
      <c r="B56" s="28" t="s">
        <v>11409</v>
      </c>
      <c r="C56" s="28" t="s">
        <v>85</v>
      </c>
      <c r="D56" s="28" t="s">
        <v>86</v>
      </c>
      <c r="E56" s="28" t="s">
        <v>54</v>
      </c>
      <c r="F56" s="28" t="s">
        <v>11837</v>
      </c>
      <c r="G56" s="28" t="s">
        <v>11839</v>
      </c>
      <c r="H56" s="28" t="s">
        <v>11841</v>
      </c>
      <c r="I56" s="28" t="s">
        <v>898</v>
      </c>
      <c r="J56" s="28" t="s">
        <v>11842</v>
      </c>
      <c r="K56" s="28" t="s">
        <v>11844</v>
      </c>
      <c r="L56" s="28" t="s">
        <v>11845</v>
      </c>
      <c r="M56" s="28" t="s">
        <v>41</v>
      </c>
      <c r="N56" s="28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</row>
    <row r="57" spans="1:31" ht="14.4">
      <c r="A57" s="288" t="s">
        <v>11337</v>
      </c>
      <c r="B57" s="28" t="s">
        <v>11409</v>
      </c>
      <c r="C57" s="28" t="s">
        <v>85</v>
      </c>
      <c r="D57" s="28" t="s">
        <v>86</v>
      </c>
      <c r="E57" s="28" t="s">
        <v>54</v>
      </c>
      <c r="F57" s="28" t="s">
        <v>11848</v>
      </c>
      <c r="G57" s="28" t="s">
        <v>11850</v>
      </c>
      <c r="H57" s="28" t="s">
        <v>11851</v>
      </c>
      <c r="I57" s="28" t="s">
        <v>887</v>
      </c>
      <c r="J57" s="28" t="s">
        <v>11852</v>
      </c>
      <c r="K57" s="28" t="s">
        <v>11851</v>
      </c>
      <c r="L57" s="28" t="s">
        <v>6768</v>
      </c>
      <c r="M57" s="28" t="s">
        <v>41</v>
      </c>
      <c r="N57" s="28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</row>
    <row r="58" spans="1:31" ht="14.4">
      <c r="A58" s="288" t="s">
        <v>11337</v>
      </c>
      <c r="B58" s="28" t="s">
        <v>11409</v>
      </c>
      <c r="C58" s="28" t="s">
        <v>85</v>
      </c>
      <c r="D58" s="28" t="s">
        <v>86</v>
      </c>
      <c r="E58" s="28" t="s">
        <v>54</v>
      </c>
      <c r="F58" s="28" t="s">
        <v>11860</v>
      </c>
      <c r="G58" s="28" t="s">
        <v>11861</v>
      </c>
      <c r="H58" s="28" t="s">
        <v>11862</v>
      </c>
      <c r="I58" s="28" t="s">
        <v>521</v>
      </c>
      <c r="J58" s="28" t="s">
        <v>11863</v>
      </c>
      <c r="K58" s="28" t="s">
        <v>11862</v>
      </c>
      <c r="L58" s="28" t="s">
        <v>989</v>
      </c>
      <c r="M58" s="28" t="s">
        <v>41</v>
      </c>
      <c r="N58" s="28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</row>
    <row r="59" spans="1:31" ht="14.4">
      <c r="A59" s="288" t="s">
        <v>11337</v>
      </c>
      <c r="B59" s="28" t="s">
        <v>11370</v>
      </c>
      <c r="C59" s="28" t="s">
        <v>85</v>
      </c>
      <c r="D59" s="28" t="s">
        <v>86</v>
      </c>
      <c r="E59" s="28" t="s">
        <v>54</v>
      </c>
      <c r="F59" s="28" t="s">
        <v>11866</v>
      </c>
      <c r="G59" s="28" t="s">
        <v>11867</v>
      </c>
      <c r="H59" s="28" t="s">
        <v>11869</v>
      </c>
      <c r="I59" s="28" t="s">
        <v>887</v>
      </c>
      <c r="J59" s="28" t="s">
        <v>11872</v>
      </c>
      <c r="K59" s="28" t="s">
        <v>11869</v>
      </c>
      <c r="L59" s="28" t="s">
        <v>989</v>
      </c>
      <c r="M59" s="28" t="s">
        <v>41</v>
      </c>
      <c r="N59" s="28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</row>
    <row r="60" spans="1:31" ht="14.4">
      <c r="A60" s="288" t="s">
        <v>11337</v>
      </c>
      <c r="B60" s="28" t="s">
        <v>11370</v>
      </c>
      <c r="C60" s="28" t="s">
        <v>85</v>
      </c>
      <c r="D60" s="28" t="s">
        <v>86</v>
      </c>
      <c r="E60" s="28" t="s">
        <v>54</v>
      </c>
      <c r="F60" s="28" t="s">
        <v>11876</v>
      </c>
      <c r="G60" s="28" t="s">
        <v>11877</v>
      </c>
      <c r="H60" s="28" t="s">
        <v>11878</v>
      </c>
      <c r="I60" s="28" t="s">
        <v>887</v>
      </c>
      <c r="J60" s="28" t="s">
        <v>11879</v>
      </c>
      <c r="K60" s="28" t="s">
        <v>11878</v>
      </c>
      <c r="L60" s="28" t="s">
        <v>989</v>
      </c>
      <c r="M60" s="28" t="s">
        <v>41</v>
      </c>
      <c r="N60" s="28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</row>
    <row r="61" spans="1:31" ht="14.4">
      <c r="A61" s="288" t="s">
        <v>11337</v>
      </c>
      <c r="B61" s="28" t="s">
        <v>11370</v>
      </c>
      <c r="C61" s="28" t="s">
        <v>85</v>
      </c>
      <c r="D61" s="28" t="s">
        <v>86</v>
      </c>
      <c r="E61" s="28" t="s">
        <v>54</v>
      </c>
      <c r="F61" s="28" t="s">
        <v>11889</v>
      </c>
      <c r="G61" s="28" t="s">
        <v>11890</v>
      </c>
      <c r="H61" s="28" t="s">
        <v>11891</v>
      </c>
      <c r="I61" s="28" t="s">
        <v>887</v>
      </c>
      <c r="J61" s="28" t="s">
        <v>11893</v>
      </c>
      <c r="K61" s="28" t="s">
        <v>11891</v>
      </c>
      <c r="L61" s="28" t="s">
        <v>989</v>
      </c>
      <c r="M61" s="28" t="s">
        <v>41</v>
      </c>
      <c r="N61" s="28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</row>
    <row r="62" spans="1:31" ht="14.4">
      <c r="A62" s="288" t="s">
        <v>11337</v>
      </c>
      <c r="B62" s="28" t="s">
        <v>11370</v>
      </c>
      <c r="C62" s="28" t="s">
        <v>85</v>
      </c>
      <c r="D62" s="28" t="s">
        <v>86</v>
      </c>
      <c r="E62" s="28" t="s">
        <v>54</v>
      </c>
      <c r="F62" s="28" t="s">
        <v>11900</v>
      </c>
      <c r="G62" s="28" t="s">
        <v>11901</v>
      </c>
      <c r="H62" s="28" t="s">
        <v>11902</v>
      </c>
      <c r="I62" s="28" t="s">
        <v>887</v>
      </c>
      <c r="J62" s="28" t="s">
        <v>11904</v>
      </c>
      <c r="K62" s="28" t="s">
        <v>11902</v>
      </c>
      <c r="L62" s="28" t="s">
        <v>989</v>
      </c>
      <c r="M62" s="28" t="s">
        <v>41</v>
      </c>
      <c r="N62" s="28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</row>
    <row r="63" spans="1:31" ht="14.4">
      <c r="A63" s="288" t="s">
        <v>11337</v>
      </c>
      <c r="B63" s="28" t="s">
        <v>11370</v>
      </c>
      <c r="C63" s="28" t="s">
        <v>85</v>
      </c>
      <c r="D63" s="28" t="s">
        <v>86</v>
      </c>
      <c r="E63" s="28" t="s">
        <v>54</v>
      </c>
      <c r="F63" s="28" t="s">
        <v>11911</v>
      </c>
      <c r="G63" s="28" t="s">
        <v>11912</v>
      </c>
      <c r="H63" s="28" t="s">
        <v>11913</v>
      </c>
      <c r="I63" s="28" t="s">
        <v>887</v>
      </c>
      <c r="J63" s="28" t="s">
        <v>11914</v>
      </c>
      <c r="K63" s="28" t="s">
        <v>11913</v>
      </c>
      <c r="L63" s="28" t="s">
        <v>989</v>
      </c>
      <c r="M63" s="28" t="s">
        <v>41</v>
      </c>
      <c r="N63" s="28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</row>
    <row r="64" spans="1:31" ht="14.4">
      <c r="A64" s="288" t="s">
        <v>11337</v>
      </c>
      <c r="B64" s="28" t="s">
        <v>11370</v>
      </c>
      <c r="C64" s="28" t="s">
        <v>85</v>
      </c>
      <c r="D64" s="28" t="s">
        <v>86</v>
      </c>
      <c r="E64" s="28" t="s">
        <v>54</v>
      </c>
      <c r="F64" s="28" t="s">
        <v>11919</v>
      </c>
      <c r="G64" s="28" t="s">
        <v>11921</v>
      </c>
      <c r="H64" s="28" t="s">
        <v>11922</v>
      </c>
      <c r="I64" s="28" t="s">
        <v>887</v>
      </c>
      <c r="J64" s="28" t="s">
        <v>11924</v>
      </c>
      <c r="K64" s="28" t="s">
        <v>11922</v>
      </c>
      <c r="L64" s="28" t="s">
        <v>989</v>
      </c>
      <c r="M64" s="28" t="s">
        <v>41</v>
      </c>
      <c r="N64" s="28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</row>
    <row r="65" spans="1:31" ht="14.4">
      <c r="A65" s="288" t="s">
        <v>11337</v>
      </c>
      <c r="B65" s="28" t="s">
        <v>11370</v>
      </c>
      <c r="C65" s="28" t="s">
        <v>85</v>
      </c>
      <c r="D65" s="28" t="s">
        <v>86</v>
      </c>
      <c r="E65" s="28" t="s">
        <v>54</v>
      </c>
      <c r="F65" s="28" t="s">
        <v>11930</v>
      </c>
      <c r="G65" s="28" t="s">
        <v>11932</v>
      </c>
      <c r="H65" s="28" t="s">
        <v>11935</v>
      </c>
      <c r="I65" s="28" t="s">
        <v>887</v>
      </c>
      <c r="J65" s="28" t="s">
        <v>11936</v>
      </c>
      <c r="K65" s="28" t="s">
        <v>11935</v>
      </c>
      <c r="L65" s="28" t="s">
        <v>989</v>
      </c>
      <c r="M65" s="28" t="s">
        <v>41</v>
      </c>
      <c r="N65" s="28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</row>
    <row r="66" spans="1:31" ht="14.4">
      <c r="A66" s="288" t="s">
        <v>11337</v>
      </c>
      <c r="B66" s="28" t="s">
        <v>11370</v>
      </c>
      <c r="C66" s="28" t="s">
        <v>85</v>
      </c>
      <c r="D66" s="28" t="s">
        <v>86</v>
      </c>
      <c r="E66" s="28" t="s">
        <v>54</v>
      </c>
      <c r="F66" s="28" t="s">
        <v>11942</v>
      </c>
      <c r="G66" s="28" t="s">
        <v>11944</v>
      </c>
      <c r="H66" s="28" t="s">
        <v>11945</v>
      </c>
      <c r="I66" s="28" t="s">
        <v>887</v>
      </c>
      <c r="J66" s="28" t="s">
        <v>11946</v>
      </c>
      <c r="K66" s="28" t="s">
        <v>11945</v>
      </c>
      <c r="L66" s="28" t="s">
        <v>989</v>
      </c>
      <c r="M66" s="28" t="s">
        <v>41</v>
      </c>
      <c r="N66" s="28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</row>
    <row r="67" spans="1:31" ht="14.4">
      <c r="A67" s="288" t="s">
        <v>11337</v>
      </c>
      <c r="B67" s="28" t="s">
        <v>11370</v>
      </c>
      <c r="C67" s="28" t="s">
        <v>85</v>
      </c>
      <c r="D67" s="28" t="s">
        <v>86</v>
      </c>
      <c r="E67" s="28" t="s">
        <v>54</v>
      </c>
      <c r="F67" s="28" t="s">
        <v>11956</v>
      </c>
      <c r="G67" s="28" t="s">
        <v>11957</v>
      </c>
      <c r="H67" s="28" t="s">
        <v>11958</v>
      </c>
      <c r="I67" s="28" t="s">
        <v>887</v>
      </c>
      <c r="J67" s="28" t="s">
        <v>11959</v>
      </c>
      <c r="K67" s="28" t="s">
        <v>11958</v>
      </c>
      <c r="L67" s="28" t="s">
        <v>989</v>
      </c>
      <c r="M67" s="28" t="s">
        <v>41</v>
      </c>
      <c r="N67" s="28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</row>
    <row r="68" spans="1:31" ht="14.4">
      <c r="A68" s="288" t="s">
        <v>11337</v>
      </c>
      <c r="B68" s="28" t="s">
        <v>11370</v>
      </c>
      <c r="C68" s="28" t="s">
        <v>85</v>
      </c>
      <c r="D68" s="28" t="s">
        <v>86</v>
      </c>
      <c r="E68" s="28" t="s">
        <v>54</v>
      </c>
      <c r="F68" s="28" t="s">
        <v>11967</v>
      </c>
      <c r="G68" s="28" t="s">
        <v>11968</v>
      </c>
      <c r="H68" s="28" t="s">
        <v>11969</v>
      </c>
      <c r="I68" s="28" t="s">
        <v>887</v>
      </c>
      <c r="J68" s="28" t="s">
        <v>11970</v>
      </c>
      <c r="K68" s="28" t="s">
        <v>11969</v>
      </c>
      <c r="L68" s="28" t="s">
        <v>989</v>
      </c>
      <c r="M68" s="28" t="s">
        <v>41</v>
      </c>
      <c r="N68" s="28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</row>
    <row r="69" spans="1:31" ht="14.4">
      <c r="A69" s="288" t="s">
        <v>11337</v>
      </c>
      <c r="B69" s="28" t="s">
        <v>11370</v>
      </c>
      <c r="C69" s="28" t="s">
        <v>85</v>
      </c>
      <c r="D69" s="28" t="s">
        <v>86</v>
      </c>
      <c r="E69" s="28" t="s">
        <v>54</v>
      </c>
      <c r="F69" s="28" t="s">
        <v>11979</v>
      </c>
      <c r="G69" s="28" t="s">
        <v>11980</v>
      </c>
      <c r="H69" s="28" t="s">
        <v>11981</v>
      </c>
      <c r="I69" s="28" t="s">
        <v>887</v>
      </c>
      <c r="J69" s="28" t="s">
        <v>11982</v>
      </c>
      <c r="K69" s="28" t="s">
        <v>11981</v>
      </c>
      <c r="L69" s="28" t="s">
        <v>989</v>
      </c>
      <c r="M69" s="28" t="s">
        <v>41</v>
      </c>
      <c r="N69" s="28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</row>
    <row r="70" spans="1:31" ht="14.4">
      <c r="A70" s="288" t="s">
        <v>11337</v>
      </c>
      <c r="B70" s="28" t="s">
        <v>11370</v>
      </c>
      <c r="C70" s="28" t="s">
        <v>85</v>
      </c>
      <c r="D70" s="28" t="s">
        <v>86</v>
      </c>
      <c r="E70" s="28" t="s">
        <v>54</v>
      </c>
      <c r="F70" s="28" t="s">
        <v>11991</v>
      </c>
      <c r="G70" s="28" t="s">
        <v>11992</v>
      </c>
      <c r="H70" s="28" t="s">
        <v>11993</v>
      </c>
      <c r="I70" s="28" t="s">
        <v>887</v>
      </c>
      <c r="J70" s="28" t="s">
        <v>11994</v>
      </c>
      <c r="K70" s="28" t="s">
        <v>11993</v>
      </c>
      <c r="L70" s="28" t="s">
        <v>989</v>
      </c>
      <c r="M70" s="28" t="s">
        <v>41</v>
      </c>
      <c r="N70" s="28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</row>
    <row r="71" spans="1:31" ht="14.4">
      <c r="A71" s="288" t="s">
        <v>11337</v>
      </c>
      <c r="B71" s="28" t="s">
        <v>11370</v>
      </c>
      <c r="C71" s="28" t="s">
        <v>85</v>
      </c>
      <c r="D71" s="28" t="s">
        <v>86</v>
      </c>
      <c r="E71" s="28" t="s">
        <v>54</v>
      </c>
      <c r="F71" s="28" t="s">
        <v>12003</v>
      </c>
      <c r="G71" s="28" t="s">
        <v>12004</v>
      </c>
      <c r="H71" s="28" t="s">
        <v>12005</v>
      </c>
      <c r="I71" s="28" t="s">
        <v>887</v>
      </c>
      <c r="J71" s="28" t="s">
        <v>11982</v>
      </c>
      <c r="K71" s="28" t="s">
        <v>12005</v>
      </c>
      <c r="L71" s="28" t="s">
        <v>989</v>
      </c>
      <c r="M71" s="28" t="s">
        <v>41</v>
      </c>
      <c r="N71" s="28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</row>
    <row r="72" spans="1:31" ht="14.4">
      <c r="A72" s="288" t="s">
        <v>11337</v>
      </c>
      <c r="B72" s="28" t="s">
        <v>11370</v>
      </c>
      <c r="C72" s="28" t="s">
        <v>85</v>
      </c>
      <c r="D72" s="28" t="s">
        <v>86</v>
      </c>
      <c r="E72" s="28" t="s">
        <v>54</v>
      </c>
      <c r="F72" s="28" t="s">
        <v>12012</v>
      </c>
      <c r="G72" s="28" t="s">
        <v>12014</v>
      </c>
      <c r="H72" s="28" t="s">
        <v>12015</v>
      </c>
      <c r="I72" s="28" t="s">
        <v>887</v>
      </c>
      <c r="J72" s="28" t="s">
        <v>11982</v>
      </c>
      <c r="K72" s="28" t="s">
        <v>12015</v>
      </c>
      <c r="L72" s="28" t="s">
        <v>989</v>
      </c>
      <c r="M72" s="28" t="s">
        <v>41</v>
      </c>
      <c r="N72" s="28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</row>
    <row r="73" spans="1:31" ht="14.4">
      <c r="A73" s="288" t="s">
        <v>11337</v>
      </c>
      <c r="B73" s="28" t="s">
        <v>11370</v>
      </c>
      <c r="C73" s="28" t="s">
        <v>85</v>
      </c>
      <c r="D73" s="28" t="s">
        <v>86</v>
      </c>
      <c r="E73" s="28" t="s">
        <v>54</v>
      </c>
      <c r="F73" s="28" t="s">
        <v>12021</v>
      </c>
      <c r="G73" s="28" t="s">
        <v>12022</v>
      </c>
      <c r="H73" s="28" t="s">
        <v>12023</v>
      </c>
      <c r="I73" s="28" t="s">
        <v>887</v>
      </c>
      <c r="J73" s="28" t="s">
        <v>12024</v>
      </c>
      <c r="K73" s="28" t="s">
        <v>12023</v>
      </c>
      <c r="L73" s="28" t="s">
        <v>989</v>
      </c>
      <c r="M73" s="28" t="s">
        <v>41</v>
      </c>
      <c r="N73" s="28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</row>
    <row r="74" spans="1:31" ht="14.4">
      <c r="A74" s="288" t="s">
        <v>11337</v>
      </c>
      <c r="B74" s="28" t="s">
        <v>11370</v>
      </c>
      <c r="C74" s="28" t="s">
        <v>85</v>
      </c>
      <c r="D74" s="28" t="s">
        <v>86</v>
      </c>
      <c r="E74" s="28" t="s">
        <v>54</v>
      </c>
      <c r="F74" s="28" t="s">
        <v>12032</v>
      </c>
      <c r="G74" s="28" t="s">
        <v>12033</v>
      </c>
      <c r="H74" s="28" t="s">
        <v>12034</v>
      </c>
      <c r="I74" s="28" t="s">
        <v>887</v>
      </c>
      <c r="J74" s="28" t="s">
        <v>12036</v>
      </c>
      <c r="K74" s="28" t="s">
        <v>12034</v>
      </c>
      <c r="L74" s="28" t="s">
        <v>989</v>
      </c>
      <c r="M74" s="28" t="s">
        <v>41</v>
      </c>
      <c r="N74" s="28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</row>
    <row r="75" spans="1:31" ht="14.4">
      <c r="A75" s="288" t="s">
        <v>11337</v>
      </c>
      <c r="B75" s="28" t="s">
        <v>62</v>
      </c>
      <c r="C75" s="28" t="s">
        <v>85</v>
      </c>
      <c r="D75" s="28" t="s">
        <v>86</v>
      </c>
      <c r="E75" s="28" t="s">
        <v>54</v>
      </c>
      <c r="F75" s="28" t="s">
        <v>12043</v>
      </c>
      <c r="G75" s="28" t="s">
        <v>12045</v>
      </c>
      <c r="H75" s="28" t="s">
        <v>12047</v>
      </c>
      <c r="I75" s="28" t="s">
        <v>12048</v>
      </c>
      <c r="J75" s="28" t="s">
        <v>12049</v>
      </c>
      <c r="K75" s="28" t="s">
        <v>12047</v>
      </c>
      <c r="L75" s="28" t="s">
        <v>989</v>
      </c>
      <c r="M75" s="28" t="s">
        <v>41</v>
      </c>
      <c r="N75" s="28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</row>
    <row r="76" spans="1:31" ht="14.4">
      <c r="A76" s="288" t="s">
        <v>11337</v>
      </c>
      <c r="B76" s="28" t="s">
        <v>62</v>
      </c>
      <c r="C76" s="28" t="s">
        <v>85</v>
      </c>
      <c r="D76" s="28" t="s">
        <v>86</v>
      </c>
      <c r="E76" s="28" t="s">
        <v>54</v>
      </c>
      <c r="F76" s="28" t="s">
        <v>12057</v>
      </c>
      <c r="G76" s="28" t="s">
        <v>12058</v>
      </c>
      <c r="H76" s="28" t="s">
        <v>12059</v>
      </c>
      <c r="I76" s="28" t="s">
        <v>12048</v>
      </c>
      <c r="J76" s="28" t="s">
        <v>8116</v>
      </c>
      <c r="K76" s="28" t="s">
        <v>12059</v>
      </c>
      <c r="L76" s="28" t="s">
        <v>989</v>
      </c>
      <c r="M76" s="28" t="s">
        <v>41</v>
      </c>
      <c r="N76" s="28" t="s">
        <v>12061</v>
      </c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</row>
    <row r="77" spans="1:31" ht="14.4">
      <c r="A77" s="288" t="s">
        <v>11337</v>
      </c>
      <c r="B77" s="28" t="s">
        <v>62</v>
      </c>
      <c r="C77" s="28" t="s">
        <v>85</v>
      </c>
      <c r="D77" s="28" t="s">
        <v>86</v>
      </c>
      <c r="E77" s="28" t="s">
        <v>54</v>
      </c>
      <c r="F77" s="28" t="s">
        <v>12067</v>
      </c>
      <c r="G77" s="28" t="s">
        <v>12068</v>
      </c>
      <c r="H77" s="28" t="s">
        <v>12069</v>
      </c>
      <c r="I77" s="28" t="s">
        <v>12070</v>
      </c>
      <c r="J77" s="28" t="s">
        <v>12071</v>
      </c>
      <c r="K77" s="28" t="s">
        <v>12069</v>
      </c>
      <c r="L77" s="28" t="s">
        <v>12072</v>
      </c>
      <c r="M77" s="28" t="s">
        <v>41</v>
      </c>
      <c r="N77" s="28" t="s">
        <v>12061</v>
      </c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</row>
    <row r="78" spans="1:31" ht="14.4">
      <c r="A78" s="288" t="s">
        <v>11337</v>
      </c>
      <c r="B78" s="28" t="s">
        <v>62</v>
      </c>
      <c r="C78" s="28" t="s">
        <v>85</v>
      </c>
      <c r="D78" s="28" t="s">
        <v>86</v>
      </c>
      <c r="E78" s="28" t="s">
        <v>54</v>
      </c>
      <c r="F78" s="28" t="s">
        <v>12082</v>
      </c>
      <c r="G78" s="28" t="s">
        <v>12083</v>
      </c>
      <c r="H78" s="28" t="s">
        <v>12084</v>
      </c>
      <c r="I78" s="28" t="s">
        <v>521</v>
      </c>
      <c r="J78" s="28" t="s">
        <v>12085</v>
      </c>
      <c r="K78" s="28" t="s">
        <v>12084</v>
      </c>
      <c r="L78" s="28" t="s">
        <v>9862</v>
      </c>
      <c r="M78" s="28" t="s">
        <v>41</v>
      </c>
      <c r="N78" s="28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</row>
    <row r="79" spans="1:31" ht="14.4">
      <c r="A79" s="288" t="s">
        <v>11337</v>
      </c>
      <c r="B79" s="28" t="s">
        <v>62</v>
      </c>
      <c r="C79" s="28" t="s">
        <v>85</v>
      </c>
      <c r="D79" s="28" t="s">
        <v>86</v>
      </c>
      <c r="E79" s="28" t="s">
        <v>54</v>
      </c>
      <c r="F79" s="28" t="s">
        <v>12090</v>
      </c>
      <c r="G79" s="28" t="s">
        <v>12091</v>
      </c>
      <c r="H79" s="28" t="s">
        <v>12092</v>
      </c>
      <c r="I79" s="28" t="s">
        <v>11200</v>
      </c>
      <c r="J79" s="28" t="s">
        <v>12094</v>
      </c>
      <c r="K79" s="28" t="s">
        <v>12097</v>
      </c>
      <c r="L79" s="28" t="s">
        <v>4480</v>
      </c>
      <c r="M79" s="28" t="s">
        <v>41</v>
      </c>
      <c r="N79" s="28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</row>
    <row r="80" spans="1:31" ht="14.4">
      <c r="A80" s="288" t="s">
        <v>11337</v>
      </c>
      <c r="B80" s="28" t="s">
        <v>62</v>
      </c>
      <c r="C80" s="28" t="s">
        <v>85</v>
      </c>
      <c r="D80" s="28" t="s">
        <v>86</v>
      </c>
      <c r="E80" s="28" t="s">
        <v>54</v>
      </c>
      <c r="F80" s="28" t="s">
        <v>12102</v>
      </c>
      <c r="G80" s="28" t="s">
        <v>12103</v>
      </c>
      <c r="H80" s="28" t="s">
        <v>12104</v>
      </c>
      <c r="I80" s="28" t="s">
        <v>12105</v>
      </c>
      <c r="J80" s="28" t="s">
        <v>12108</v>
      </c>
      <c r="K80" s="28" t="s">
        <v>12110</v>
      </c>
      <c r="L80" s="28" t="s">
        <v>12112</v>
      </c>
      <c r="M80" s="28" t="s">
        <v>41</v>
      </c>
      <c r="N80" s="28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</row>
    <row r="81" spans="1:31" ht="14.4">
      <c r="A81" s="288" t="s">
        <v>11337</v>
      </c>
      <c r="B81" s="28" t="s">
        <v>62</v>
      </c>
      <c r="C81" s="28" t="s">
        <v>85</v>
      </c>
      <c r="D81" s="28" t="s">
        <v>86</v>
      </c>
      <c r="E81" s="28" t="s">
        <v>54</v>
      </c>
      <c r="F81" s="28" t="s">
        <v>12116</v>
      </c>
      <c r="G81" s="28" t="s">
        <v>12118</v>
      </c>
      <c r="H81" s="28" t="s">
        <v>12120</v>
      </c>
      <c r="I81" s="28" t="s">
        <v>12105</v>
      </c>
      <c r="J81" s="28" t="s">
        <v>12122</v>
      </c>
      <c r="K81" s="28" t="s">
        <v>12120</v>
      </c>
      <c r="L81" s="28" t="s">
        <v>12125</v>
      </c>
      <c r="M81" s="28" t="s">
        <v>41</v>
      </c>
      <c r="N81" s="28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</row>
    <row r="82" spans="1:31" ht="14.4">
      <c r="A82" s="288" t="s">
        <v>11337</v>
      </c>
      <c r="B82" s="28" t="s">
        <v>62</v>
      </c>
      <c r="C82" s="28" t="s">
        <v>85</v>
      </c>
      <c r="D82" s="28" t="s">
        <v>86</v>
      </c>
      <c r="E82" s="28" t="s">
        <v>54</v>
      </c>
      <c r="F82" s="28" t="s">
        <v>12129</v>
      </c>
      <c r="G82" s="28" t="s">
        <v>12130</v>
      </c>
      <c r="H82" s="28" t="s">
        <v>12131</v>
      </c>
      <c r="I82" s="28" t="s">
        <v>1252</v>
      </c>
      <c r="J82" s="28" t="s">
        <v>12132</v>
      </c>
      <c r="K82" s="28" t="s">
        <v>12131</v>
      </c>
      <c r="L82" s="28" t="s">
        <v>989</v>
      </c>
      <c r="M82" s="28" t="s">
        <v>41</v>
      </c>
      <c r="N82" s="28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</row>
    <row r="83" spans="1:31" ht="14.4">
      <c r="A83" s="288" t="s">
        <v>11337</v>
      </c>
      <c r="B83" s="28" t="s">
        <v>62</v>
      </c>
      <c r="C83" s="28" t="s">
        <v>85</v>
      </c>
      <c r="D83" s="28" t="s">
        <v>86</v>
      </c>
      <c r="E83" s="28" t="s">
        <v>54</v>
      </c>
      <c r="F83" s="28" t="s">
        <v>12138</v>
      </c>
      <c r="G83" s="28" t="s">
        <v>12140</v>
      </c>
      <c r="H83" s="28" t="s">
        <v>12141</v>
      </c>
      <c r="I83" s="28" t="s">
        <v>521</v>
      </c>
      <c r="J83" s="28" t="s">
        <v>12142</v>
      </c>
      <c r="K83" s="28" t="s">
        <v>12141</v>
      </c>
      <c r="L83" s="28" t="s">
        <v>12112</v>
      </c>
      <c r="M83" s="28" t="s">
        <v>41</v>
      </c>
      <c r="N83" s="28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</row>
    <row r="84" spans="1:31" ht="14.4">
      <c r="A84" s="288" t="s">
        <v>11337</v>
      </c>
      <c r="B84" s="28" t="s">
        <v>62</v>
      </c>
      <c r="C84" s="28" t="s">
        <v>85</v>
      </c>
      <c r="D84" s="28" t="s">
        <v>86</v>
      </c>
      <c r="E84" s="28" t="s">
        <v>54</v>
      </c>
      <c r="F84" s="28" t="s">
        <v>12151</v>
      </c>
      <c r="G84" s="28" t="s">
        <v>12153</v>
      </c>
      <c r="H84" s="28" t="s">
        <v>12154</v>
      </c>
      <c r="I84" s="28" t="s">
        <v>9683</v>
      </c>
      <c r="J84" s="28" t="s">
        <v>12157</v>
      </c>
      <c r="K84" s="28" t="s">
        <v>12154</v>
      </c>
      <c r="L84" s="28" t="s">
        <v>12158</v>
      </c>
      <c r="M84" s="28" t="s">
        <v>41</v>
      </c>
      <c r="N84" s="28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</row>
    <row r="85" spans="1:31" ht="14.4">
      <c r="A85" s="288" t="s">
        <v>11337</v>
      </c>
      <c r="B85" s="28" t="s">
        <v>62</v>
      </c>
      <c r="C85" s="28" t="s">
        <v>85</v>
      </c>
      <c r="D85" s="28" t="s">
        <v>86</v>
      </c>
      <c r="E85" s="28" t="s">
        <v>54</v>
      </c>
      <c r="F85" s="28" t="s">
        <v>12168</v>
      </c>
      <c r="G85" s="28" t="s">
        <v>12170</v>
      </c>
      <c r="H85" s="28" t="s">
        <v>12171</v>
      </c>
      <c r="I85" s="28" t="s">
        <v>12048</v>
      </c>
      <c r="J85" s="28" t="s">
        <v>12174</v>
      </c>
      <c r="K85" s="28" t="s">
        <v>12171</v>
      </c>
      <c r="L85" s="28" t="s">
        <v>989</v>
      </c>
      <c r="M85" s="28" t="s">
        <v>41</v>
      </c>
      <c r="N85" s="28" t="s">
        <v>8524</v>
      </c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</row>
    <row r="86" spans="1:31" ht="14.4">
      <c r="A86" s="288" t="s">
        <v>11337</v>
      </c>
      <c r="B86" s="28" t="s">
        <v>62</v>
      </c>
      <c r="C86" s="28" t="s">
        <v>85</v>
      </c>
      <c r="D86" s="28" t="s">
        <v>86</v>
      </c>
      <c r="E86" s="28" t="s">
        <v>54</v>
      </c>
      <c r="F86" s="28" t="s">
        <v>12187</v>
      </c>
      <c r="G86" s="28" t="s">
        <v>12188</v>
      </c>
      <c r="H86" s="28" t="s">
        <v>12154</v>
      </c>
      <c r="I86" s="28" t="s">
        <v>9683</v>
      </c>
      <c r="J86" s="28" t="s">
        <v>12190</v>
      </c>
      <c r="K86" s="28" t="s">
        <v>12192</v>
      </c>
      <c r="L86" s="28" t="s">
        <v>12195</v>
      </c>
      <c r="M86" s="28" t="s">
        <v>41</v>
      </c>
      <c r="N86" s="28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</row>
    <row r="87" spans="1:31" ht="14.4">
      <c r="A87" s="288" t="s">
        <v>11337</v>
      </c>
      <c r="B87" s="28" t="s">
        <v>62</v>
      </c>
      <c r="C87" s="28" t="s">
        <v>85</v>
      </c>
      <c r="D87" s="28" t="s">
        <v>86</v>
      </c>
      <c r="E87" s="28" t="s">
        <v>54</v>
      </c>
      <c r="F87" s="28" t="s">
        <v>12206</v>
      </c>
      <c r="G87" s="28" t="s">
        <v>12207</v>
      </c>
      <c r="H87" s="28" t="s">
        <v>12209</v>
      </c>
      <c r="I87" s="28" t="s">
        <v>3181</v>
      </c>
      <c r="J87" s="28" t="s">
        <v>8112</v>
      </c>
      <c r="K87" s="28" t="s">
        <v>12213</v>
      </c>
      <c r="L87" s="28" t="s">
        <v>12195</v>
      </c>
      <c r="M87" s="28" t="s">
        <v>41</v>
      </c>
      <c r="N87" s="28" t="s">
        <v>8524</v>
      </c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</row>
    <row r="88" spans="1:31" ht="14.4">
      <c r="A88" s="288" t="s">
        <v>11337</v>
      </c>
      <c r="B88" s="28" t="s">
        <v>62</v>
      </c>
      <c r="C88" s="28" t="s">
        <v>85</v>
      </c>
      <c r="D88" s="28" t="s">
        <v>86</v>
      </c>
      <c r="E88" s="28" t="s">
        <v>54</v>
      </c>
      <c r="F88" s="28" t="s">
        <v>12224</v>
      </c>
      <c r="G88" s="28" t="s">
        <v>12225</v>
      </c>
      <c r="H88" s="28" t="s">
        <v>12227</v>
      </c>
      <c r="I88" s="28" t="s">
        <v>12229</v>
      </c>
      <c r="J88" s="28" t="s">
        <v>8105</v>
      </c>
      <c r="K88" s="28" t="s">
        <v>12232</v>
      </c>
      <c r="L88" s="28" t="s">
        <v>12195</v>
      </c>
      <c r="M88" s="28" t="s">
        <v>41</v>
      </c>
      <c r="N88" s="28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</row>
    <row r="89" spans="1:31" ht="14.4">
      <c r="A89" s="288" t="s">
        <v>11337</v>
      </c>
      <c r="B89" s="28" t="s">
        <v>62</v>
      </c>
      <c r="C89" s="28" t="s">
        <v>85</v>
      </c>
      <c r="D89" s="28" t="s">
        <v>86</v>
      </c>
      <c r="E89" s="28" t="s">
        <v>54</v>
      </c>
      <c r="F89" s="28" t="s">
        <v>12244</v>
      </c>
      <c r="G89" s="28" t="s">
        <v>12246</v>
      </c>
      <c r="H89" s="28" t="s">
        <v>12249</v>
      </c>
      <c r="I89" s="28" t="s">
        <v>12048</v>
      </c>
      <c r="J89" s="28" t="s">
        <v>8112</v>
      </c>
      <c r="K89" s="28" t="s">
        <v>12249</v>
      </c>
      <c r="L89" s="28" t="s">
        <v>989</v>
      </c>
      <c r="M89" s="28" t="s">
        <v>41</v>
      </c>
      <c r="N89" s="28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</row>
    <row r="90" spans="1:31" ht="14.4">
      <c r="A90" s="288" t="s">
        <v>11337</v>
      </c>
      <c r="B90" s="28" t="s">
        <v>62</v>
      </c>
      <c r="C90" s="28" t="s">
        <v>85</v>
      </c>
      <c r="D90" s="28" t="s">
        <v>86</v>
      </c>
      <c r="E90" s="28" t="s">
        <v>54</v>
      </c>
      <c r="F90" s="28" t="s">
        <v>12258</v>
      </c>
      <c r="G90" s="28" t="s">
        <v>12246</v>
      </c>
      <c r="H90" s="28" t="s">
        <v>12192</v>
      </c>
      <c r="I90" s="28" t="s">
        <v>9683</v>
      </c>
      <c r="J90" s="28" t="s">
        <v>12190</v>
      </c>
      <c r="K90" s="28" t="s">
        <v>12192</v>
      </c>
      <c r="L90" s="28" t="s">
        <v>12195</v>
      </c>
      <c r="M90" s="28" t="s">
        <v>41</v>
      </c>
      <c r="N90" s="28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</row>
    <row r="91" spans="1:31" ht="14.4">
      <c r="A91" s="288" t="s">
        <v>11337</v>
      </c>
      <c r="B91" s="28" t="s">
        <v>62</v>
      </c>
      <c r="C91" s="28" t="s">
        <v>287</v>
      </c>
      <c r="D91" s="28" t="s">
        <v>796</v>
      </c>
      <c r="E91" s="28" t="s">
        <v>54</v>
      </c>
      <c r="F91" s="28" t="s">
        <v>12269</v>
      </c>
      <c r="G91" s="28"/>
      <c r="H91" s="28" t="s">
        <v>12271</v>
      </c>
      <c r="I91" s="28" t="s">
        <v>8326</v>
      </c>
      <c r="J91" s="28" t="s">
        <v>6199</v>
      </c>
      <c r="K91" s="28" t="s">
        <v>12271</v>
      </c>
      <c r="L91" s="28" t="s">
        <v>12276</v>
      </c>
      <c r="M91" s="28" t="s">
        <v>41</v>
      </c>
      <c r="N91" s="28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</row>
    <row r="92" spans="1:31" ht="14.4">
      <c r="A92" s="288" t="s">
        <v>11337</v>
      </c>
      <c r="B92" s="28" t="s">
        <v>62</v>
      </c>
      <c r="C92" s="28" t="s">
        <v>296</v>
      </c>
      <c r="D92" s="28" t="s">
        <v>954</v>
      </c>
      <c r="E92" s="28" t="s">
        <v>54</v>
      </c>
      <c r="F92" s="28" t="s">
        <v>12285</v>
      </c>
      <c r="G92" s="28"/>
      <c r="H92" s="28" t="s">
        <v>12249</v>
      </c>
      <c r="I92" s="28" t="s">
        <v>9936</v>
      </c>
      <c r="J92" s="28" t="s">
        <v>8654</v>
      </c>
      <c r="K92" s="28"/>
      <c r="L92" s="28" t="s">
        <v>12292</v>
      </c>
      <c r="M92" s="28" t="s">
        <v>41</v>
      </c>
      <c r="N92" s="28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</row>
    <row r="93" spans="1:31" ht="14.4">
      <c r="A93" s="288" t="s">
        <v>11337</v>
      </c>
      <c r="B93" s="28" t="s">
        <v>62</v>
      </c>
      <c r="C93" s="28" t="s">
        <v>306</v>
      </c>
      <c r="D93" s="28" t="s">
        <v>341</v>
      </c>
      <c r="E93" s="28" t="s">
        <v>54</v>
      </c>
      <c r="F93" s="28" t="s">
        <v>12298</v>
      </c>
      <c r="G93" s="28" t="s">
        <v>12299</v>
      </c>
      <c r="H93" s="28" t="s">
        <v>12232</v>
      </c>
      <c r="I93" s="28" t="s">
        <v>12301</v>
      </c>
      <c r="J93" s="28"/>
      <c r="K93" s="28" t="s">
        <v>12232</v>
      </c>
      <c r="L93" s="28" t="s">
        <v>989</v>
      </c>
      <c r="M93" s="28" t="s">
        <v>41</v>
      </c>
      <c r="N93" s="28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</row>
    <row r="94" spans="1:31" ht="14.4">
      <c r="A94" s="288" t="s">
        <v>11337</v>
      </c>
      <c r="B94" s="28" t="s">
        <v>62</v>
      </c>
      <c r="C94" s="28" t="s">
        <v>306</v>
      </c>
      <c r="D94" s="28" t="s">
        <v>341</v>
      </c>
      <c r="E94" s="28" t="s">
        <v>54</v>
      </c>
      <c r="F94" s="28" t="s">
        <v>12307</v>
      </c>
      <c r="G94" s="28"/>
      <c r="H94" s="28" t="s">
        <v>12308</v>
      </c>
      <c r="I94" s="28" t="s">
        <v>12309</v>
      </c>
      <c r="J94" s="28"/>
      <c r="K94" s="28" t="s">
        <v>12308</v>
      </c>
      <c r="L94" s="28" t="s">
        <v>12311</v>
      </c>
      <c r="M94" s="28" t="s">
        <v>41</v>
      </c>
      <c r="N94" s="28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</row>
    <row r="95" spans="1:31" ht="14.4">
      <c r="A95" s="288" t="s">
        <v>11337</v>
      </c>
      <c r="B95" s="28" t="s">
        <v>11340</v>
      </c>
      <c r="C95" s="28" t="s">
        <v>220</v>
      </c>
      <c r="D95" s="28" t="s">
        <v>234</v>
      </c>
      <c r="E95" s="28" t="s">
        <v>54</v>
      </c>
      <c r="F95" s="28" t="s">
        <v>12315</v>
      </c>
      <c r="G95" s="28" t="s">
        <v>12317</v>
      </c>
      <c r="H95" s="28" t="s">
        <v>12319</v>
      </c>
      <c r="I95" s="28" t="s">
        <v>12321</v>
      </c>
      <c r="J95" s="28" t="s">
        <v>12322</v>
      </c>
      <c r="K95" s="28" t="s">
        <v>12319</v>
      </c>
      <c r="L95" s="28" t="s">
        <v>2336</v>
      </c>
      <c r="M95" s="28" t="s">
        <v>41</v>
      </c>
      <c r="N95" s="28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</row>
    <row r="96" spans="1:31" ht="14.4">
      <c r="A96" s="288" t="s">
        <v>11337</v>
      </c>
      <c r="B96" s="28" t="s">
        <v>11340</v>
      </c>
      <c r="C96" s="28" t="s">
        <v>220</v>
      </c>
      <c r="D96" s="28" t="s">
        <v>234</v>
      </c>
      <c r="E96" s="28" t="s">
        <v>54</v>
      </c>
      <c r="F96" s="28" t="s">
        <v>12325</v>
      </c>
      <c r="G96" s="28" t="s">
        <v>12326</v>
      </c>
      <c r="H96" s="28" t="s">
        <v>12329</v>
      </c>
      <c r="I96" s="28" t="s">
        <v>1252</v>
      </c>
      <c r="J96" s="28" t="s">
        <v>12330</v>
      </c>
      <c r="K96" s="28" t="s">
        <v>12329</v>
      </c>
      <c r="L96" s="28" t="s">
        <v>989</v>
      </c>
      <c r="M96" s="28" t="s">
        <v>41</v>
      </c>
      <c r="N96" s="28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</row>
    <row r="97" spans="1:31" ht="14.4">
      <c r="A97" s="288" t="s">
        <v>11337</v>
      </c>
      <c r="B97" s="28" t="s">
        <v>11340</v>
      </c>
      <c r="C97" s="28" t="s">
        <v>220</v>
      </c>
      <c r="D97" s="28" t="s">
        <v>234</v>
      </c>
      <c r="E97" s="28" t="s">
        <v>54</v>
      </c>
      <c r="F97" s="28" t="s">
        <v>12337</v>
      </c>
      <c r="G97" s="28" t="s">
        <v>12338</v>
      </c>
      <c r="H97" s="28" t="s">
        <v>12339</v>
      </c>
      <c r="I97" s="28" t="s">
        <v>521</v>
      </c>
      <c r="J97" s="28" t="s">
        <v>12340</v>
      </c>
      <c r="K97" s="28" t="s">
        <v>12339</v>
      </c>
      <c r="L97" s="28" t="s">
        <v>12341</v>
      </c>
      <c r="M97" s="28" t="s">
        <v>41</v>
      </c>
      <c r="N97" s="28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</row>
    <row r="98" spans="1:31" ht="14.4">
      <c r="A98" s="288" t="s">
        <v>11337</v>
      </c>
      <c r="B98" s="28" t="s">
        <v>11340</v>
      </c>
      <c r="C98" s="28" t="s">
        <v>12347</v>
      </c>
      <c r="D98" s="28"/>
      <c r="E98" s="28" t="s">
        <v>54</v>
      </c>
      <c r="F98" s="28" t="s">
        <v>12349</v>
      </c>
      <c r="G98" s="28"/>
      <c r="H98" s="28" t="s">
        <v>12351</v>
      </c>
      <c r="I98" s="28" t="s">
        <v>1610</v>
      </c>
      <c r="J98" s="28" t="s">
        <v>12352</v>
      </c>
      <c r="K98" s="28" t="s">
        <v>12351</v>
      </c>
      <c r="L98" s="28" t="s">
        <v>989</v>
      </c>
      <c r="M98" s="28" t="s">
        <v>41</v>
      </c>
      <c r="N98" s="28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</row>
    <row r="99" spans="1:31" ht="14.4">
      <c r="A99" s="288" t="s">
        <v>11337</v>
      </c>
      <c r="B99" s="28" t="s">
        <v>11340</v>
      </c>
      <c r="C99" s="28" t="s">
        <v>220</v>
      </c>
      <c r="D99" s="28" t="s">
        <v>234</v>
      </c>
      <c r="E99" s="28" t="s">
        <v>54</v>
      </c>
      <c r="F99" s="28" t="s">
        <v>12356</v>
      </c>
      <c r="G99" s="28" t="s">
        <v>12358</v>
      </c>
      <c r="H99" s="28" t="s">
        <v>12362</v>
      </c>
      <c r="I99" s="28" t="s">
        <v>521</v>
      </c>
      <c r="J99" s="28" t="s">
        <v>12364</v>
      </c>
      <c r="K99" s="28" t="s">
        <v>12362</v>
      </c>
      <c r="L99" s="28" t="s">
        <v>2149</v>
      </c>
      <c r="M99" s="28" t="s">
        <v>41</v>
      </c>
      <c r="N99" s="28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</row>
    <row r="100" spans="1:31" ht="14.4">
      <c r="A100" s="288" t="s">
        <v>11337</v>
      </c>
      <c r="B100" s="28" t="s">
        <v>11340</v>
      </c>
      <c r="C100" s="28" t="s">
        <v>220</v>
      </c>
      <c r="D100" s="28" t="s">
        <v>234</v>
      </c>
      <c r="E100" s="28" t="s">
        <v>54</v>
      </c>
      <c r="F100" s="28" t="s">
        <v>12370</v>
      </c>
      <c r="G100" s="28" t="s">
        <v>12371</v>
      </c>
      <c r="H100" s="28" t="s">
        <v>12373</v>
      </c>
      <c r="I100" s="28" t="s">
        <v>4190</v>
      </c>
      <c r="J100" s="28" t="s">
        <v>12375</v>
      </c>
      <c r="K100" s="28" t="s">
        <v>12376</v>
      </c>
      <c r="L100" s="28" t="s">
        <v>12377</v>
      </c>
      <c r="M100" s="28" t="s">
        <v>41</v>
      </c>
      <c r="N100" s="28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</row>
    <row r="101" spans="1:31" ht="14.4">
      <c r="A101" s="288" t="s">
        <v>11337</v>
      </c>
      <c r="B101" s="28" t="s">
        <v>11357</v>
      </c>
      <c r="C101" s="28" t="s">
        <v>220</v>
      </c>
      <c r="D101" s="28" t="s">
        <v>234</v>
      </c>
      <c r="E101" s="28" t="s">
        <v>54</v>
      </c>
      <c r="F101" s="28" t="s">
        <v>12388</v>
      </c>
      <c r="G101" s="28"/>
      <c r="H101" s="28" t="s">
        <v>12391</v>
      </c>
      <c r="I101" s="28" t="s">
        <v>887</v>
      </c>
      <c r="J101" s="28" t="s">
        <v>12393</v>
      </c>
      <c r="K101" s="28" t="s">
        <v>12394</v>
      </c>
      <c r="L101" s="28" t="s">
        <v>3389</v>
      </c>
      <c r="M101" s="28" t="s">
        <v>41</v>
      </c>
      <c r="N101" s="28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</row>
    <row r="102" spans="1:31" ht="14.4">
      <c r="A102" s="288" t="s">
        <v>11337</v>
      </c>
      <c r="B102" s="28" t="s">
        <v>11357</v>
      </c>
      <c r="C102" s="28" t="s">
        <v>220</v>
      </c>
      <c r="D102" s="28" t="s">
        <v>234</v>
      </c>
      <c r="E102" s="28" t="s">
        <v>54</v>
      </c>
      <c r="F102" s="28" t="s">
        <v>12398</v>
      </c>
      <c r="G102" s="28"/>
      <c r="H102" s="28" t="s">
        <v>12400</v>
      </c>
      <c r="I102" s="28" t="s">
        <v>2790</v>
      </c>
      <c r="J102" s="28" t="s">
        <v>12401</v>
      </c>
      <c r="K102" s="28" t="s">
        <v>12403</v>
      </c>
      <c r="L102" s="28" t="s">
        <v>3389</v>
      </c>
      <c r="M102" s="28" t="s">
        <v>41</v>
      </c>
      <c r="N102" s="28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</row>
    <row r="103" spans="1:31" ht="14.4">
      <c r="A103" s="288" t="s">
        <v>11337</v>
      </c>
      <c r="B103" s="28" t="s">
        <v>11357</v>
      </c>
      <c r="C103" s="28" t="s">
        <v>220</v>
      </c>
      <c r="D103" s="28" t="s">
        <v>234</v>
      </c>
      <c r="E103" s="28" t="s">
        <v>54</v>
      </c>
      <c r="F103" s="28" t="s">
        <v>12407</v>
      </c>
      <c r="G103" s="28"/>
      <c r="H103" s="28" t="s">
        <v>12409</v>
      </c>
      <c r="I103" s="28" t="s">
        <v>689</v>
      </c>
      <c r="J103" s="28" t="s">
        <v>12410</v>
      </c>
      <c r="K103" s="28" t="s">
        <v>12411</v>
      </c>
      <c r="L103" s="28" t="s">
        <v>989</v>
      </c>
      <c r="M103" s="28" t="s">
        <v>41</v>
      </c>
      <c r="N103" s="28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</row>
    <row r="104" spans="1:31" ht="14.4">
      <c r="A104" s="288" t="s">
        <v>11337</v>
      </c>
      <c r="B104" s="28" t="s">
        <v>11357</v>
      </c>
      <c r="C104" s="28" t="s">
        <v>220</v>
      </c>
      <c r="D104" s="28" t="s">
        <v>234</v>
      </c>
      <c r="E104" s="28" t="s">
        <v>54</v>
      </c>
      <c r="F104" s="28" t="s">
        <v>12421</v>
      </c>
      <c r="G104" s="28"/>
      <c r="H104" s="28" t="s">
        <v>11626</v>
      </c>
      <c r="I104" s="28" t="s">
        <v>6349</v>
      </c>
      <c r="J104" s="28" t="s">
        <v>12423</v>
      </c>
      <c r="K104" s="28" t="s">
        <v>11626</v>
      </c>
      <c r="L104" s="28" t="s">
        <v>2764</v>
      </c>
      <c r="M104" s="28" t="s">
        <v>41</v>
      </c>
      <c r="N104" s="28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</row>
    <row r="105" spans="1:31" ht="14.4">
      <c r="A105" s="288" t="s">
        <v>11337</v>
      </c>
      <c r="B105" s="28" t="s">
        <v>11357</v>
      </c>
      <c r="C105" s="28" t="s">
        <v>220</v>
      </c>
      <c r="D105" s="28" t="s">
        <v>234</v>
      </c>
      <c r="E105" s="28" t="s">
        <v>54</v>
      </c>
      <c r="F105" s="28" t="s">
        <v>12429</v>
      </c>
      <c r="G105" s="28"/>
      <c r="H105" s="28" t="s">
        <v>12431</v>
      </c>
      <c r="I105" s="28" t="s">
        <v>887</v>
      </c>
      <c r="J105" s="28" t="s">
        <v>12434</v>
      </c>
      <c r="K105" s="28" t="s">
        <v>12431</v>
      </c>
      <c r="L105" s="28" t="s">
        <v>989</v>
      </c>
      <c r="M105" s="28" t="s">
        <v>41</v>
      </c>
      <c r="N105" s="28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</row>
    <row r="106" spans="1:31" ht="14.4">
      <c r="A106" s="288" t="s">
        <v>11337</v>
      </c>
      <c r="B106" s="28" t="s">
        <v>11370</v>
      </c>
      <c r="C106" s="28" t="s">
        <v>220</v>
      </c>
      <c r="D106" s="28" t="s">
        <v>234</v>
      </c>
      <c r="E106" s="28" t="s">
        <v>54</v>
      </c>
      <c r="F106" s="28"/>
      <c r="G106" s="28" t="s">
        <v>12440</v>
      </c>
      <c r="H106" s="28" t="s">
        <v>12441</v>
      </c>
      <c r="I106" s="28" t="s">
        <v>887</v>
      </c>
      <c r="J106" s="28" t="s">
        <v>12444</v>
      </c>
      <c r="K106" s="28" t="s">
        <v>12441</v>
      </c>
      <c r="L106" s="28" t="s">
        <v>989</v>
      </c>
      <c r="M106" s="28" t="s">
        <v>41</v>
      </c>
      <c r="N106" s="28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</row>
    <row r="107" spans="1:31" ht="14.4">
      <c r="A107" s="288" t="s">
        <v>11337</v>
      </c>
      <c r="B107" s="28" t="s">
        <v>11370</v>
      </c>
      <c r="C107" s="28" t="s">
        <v>220</v>
      </c>
      <c r="D107" s="28" t="s">
        <v>234</v>
      </c>
      <c r="E107" s="28" t="s">
        <v>54</v>
      </c>
      <c r="F107" s="28"/>
      <c r="G107" s="28" t="s">
        <v>12446</v>
      </c>
      <c r="H107" s="28" t="s">
        <v>12448</v>
      </c>
      <c r="I107" s="28" t="s">
        <v>2400</v>
      </c>
      <c r="J107" s="28" t="s">
        <v>12452</v>
      </c>
      <c r="K107" s="28" t="s">
        <v>11375</v>
      </c>
      <c r="L107" s="28" t="s">
        <v>989</v>
      </c>
      <c r="M107" s="28" t="s">
        <v>41</v>
      </c>
      <c r="N107" s="28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</row>
    <row r="108" spans="1:31" ht="14.4">
      <c r="A108" s="288" t="s">
        <v>11337</v>
      </c>
      <c r="B108" s="28" t="s">
        <v>11370</v>
      </c>
      <c r="C108" s="28" t="s">
        <v>220</v>
      </c>
      <c r="D108" s="28" t="s">
        <v>234</v>
      </c>
      <c r="E108" s="28" t="s">
        <v>54</v>
      </c>
      <c r="F108" s="28"/>
      <c r="G108" s="28" t="s">
        <v>12456</v>
      </c>
      <c r="H108" s="28" t="s">
        <v>12458</v>
      </c>
      <c r="I108" s="28" t="s">
        <v>887</v>
      </c>
      <c r="J108" s="28" t="s">
        <v>12459</v>
      </c>
      <c r="K108" s="28" t="s">
        <v>12458</v>
      </c>
      <c r="L108" s="28" t="s">
        <v>989</v>
      </c>
      <c r="M108" s="28" t="s">
        <v>41</v>
      </c>
      <c r="N108" s="28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</row>
    <row r="109" spans="1:31" ht="14.4">
      <c r="A109" s="288" t="s">
        <v>11337</v>
      </c>
      <c r="B109" s="28" t="s">
        <v>11370</v>
      </c>
      <c r="C109" s="28" t="s">
        <v>220</v>
      </c>
      <c r="D109" s="28" t="s">
        <v>234</v>
      </c>
      <c r="E109" s="28" t="s">
        <v>54</v>
      </c>
      <c r="F109" s="28"/>
      <c r="G109" s="28" t="s">
        <v>12465</v>
      </c>
      <c r="H109" s="28" t="s">
        <v>12466</v>
      </c>
      <c r="I109" s="28" t="s">
        <v>887</v>
      </c>
      <c r="J109" s="28" t="s">
        <v>12469</v>
      </c>
      <c r="K109" s="28" t="s">
        <v>12466</v>
      </c>
      <c r="L109" s="28" t="s">
        <v>989</v>
      </c>
      <c r="M109" s="28" t="s">
        <v>41</v>
      </c>
      <c r="N109" s="28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</row>
    <row r="110" spans="1:31" ht="14.4">
      <c r="A110" s="288" t="s">
        <v>11337</v>
      </c>
      <c r="B110" s="28" t="s">
        <v>11370</v>
      </c>
      <c r="C110" s="28" t="s">
        <v>220</v>
      </c>
      <c r="D110" s="28" t="s">
        <v>234</v>
      </c>
      <c r="E110" s="28" t="s">
        <v>54</v>
      </c>
      <c r="F110" s="28"/>
      <c r="G110" s="28" t="s">
        <v>12465</v>
      </c>
      <c r="H110" s="28" t="s">
        <v>12477</v>
      </c>
      <c r="I110" s="28" t="s">
        <v>7741</v>
      </c>
      <c r="J110" s="28" t="s">
        <v>12478</v>
      </c>
      <c r="K110" s="28" t="s">
        <v>12477</v>
      </c>
      <c r="L110" s="28" t="s">
        <v>989</v>
      </c>
      <c r="M110" s="28" t="s">
        <v>41</v>
      </c>
      <c r="N110" s="28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</row>
    <row r="111" spans="1:31" ht="14.4">
      <c r="A111" s="288" t="s">
        <v>11337</v>
      </c>
      <c r="B111" s="28" t="s">
        <v>11381</v>
      </c>
      <c r="C111" s="28" t="s">
        <v>220</v>
      </c>
      <c r="D111" s="28"/>
      <c r="E111" s="28" t="s">
        <v>54</v>
      </c>
      <c r="F111" s="28" t="s">
        <v>12488</v>
      </c>
      <c r="G111" s="28" t="s">
        <v>12489</v>
      </c>
      <c r="H111" s="28" t="s">
        <v>12490</v>
      </c>
      <c r="I111" s="28" t="s">
        <v>521</v>
      </c>
      <c r="J111" s="28" t="s">
        <v>12492</v>
      </c>
      <c r="K111" s="28" t="s">
        <v>12494</v>
      </c>
      <c r="L111" s="28" t="s">
        <v>6768</v>
      </c>
      <c r="M111" s="28" t="s">
        <v>41</v>
      </c>
      <c r="N111" s="28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</row>
    <row r="112" spans="1:31" ht="14.4">
      <c r="A112" s="288" t="s">
        <v>11337</v>
      </c>
      <c r="B112" s="28" t="s">
        <v>11381</v>
      </c>
      <c r="C112" s="28" t="s">
        <v>220</v>
      </c>
      <c r="D112" s="28" t="s">
        <v>234</v>
      </c>
      <c r="E112" s="28" t="s">
        <v>54</v>
      </c>
      <c r="F112" s="28" t="s">
        <v>12502</v>
      </c>
      <c r="G112" s="28" t="s">
        <v>12504</v>
      </c>
      <c r="H112" s="28" t="s">
        <v>12505</v>
      </c>
      <c r="I112" s="28" t="s">
        <v>2400</v>
      </c>
      <c r="J112" s="28" t="s">
        <v>12506</v>
      </c>
      <c r="K112" s="28" t="s">
        <v>12505</v>
      </c>
      <c r="L112" s="28" t="s">
        <v>12509</v>
      </c>
      <c r="M112" s="28" t="s">
        <v>41</v>
      </c>
      <c r="N112" s="28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</row>
    <row r="113" spans="1:31" ht="14.4">
      <c r="A113" s="288" t="s">
        <v>11337</v>
      </c>
      <c r="B113" s="28" t="s">
        <v>11381</v>
      </c>
      <c r="C113" s="28" t="s">
        <v>220</v>
      </c>
      <c r="D113" s="28" t="s">
        <v>234</v>
      </c>
      <c r="E113" s="28" t="s">
        <v>54</v>
      </c>
      <c r="F113" s="28" t="s">
        <v>12513</v>
      </c>
      <c r="G113" s="28" t="s">
        <v>12515</v>
      </c>
      <c r="H113" s="28" t="s">
        <v>12516</v>
      </c>
      <c r="I113" s="28" t="s">
        <v>966</v>
      </c>
      <c r="J113" s="28" t="s">
        <v>12519</v>
      </c>
      <c r="K113" s="28" t="s">
        <v>12520</v>
      </c>
      <c r="L113" s="28" t="s">
        <v>2794</v>
      </c>
      <c r="M113" s="28" t="s">
        <v>41</v>
      </c>
      <c r="N113" s="28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</row>
    <row r="114" spans="1:31" ht="14.4">
      <c r="A114" s="288" t="s">
        <v>11337</v>
      </c>
      <c r="B114" s="28" t="s">
        <v>11381</v>
      </c>
      <c r="C114" s="28" t="s">
        <v>220</v>
      </c>
      <c r="D114" s="28" t="s">
        <v>234</v>
      </c>
      <c r="E114" s="28" t="s">
        <v>54</v>
      </c>
      <c r="F114" s="28" t="s">
        <v>12530</v>
      </c>
      <c r="G114" s="28" t="s">
        <v>12531</v>
      </c>
      <c r="H114" s="28" t="s">
        <v>12533</v>
      </c>
      <c r="I114" s="28" t="s">
        <v>3498</v>
      </c>
      <c r="J114" s="28" t="s">
        <v>12536</v>
      </c>
      <c r="K114" s="28" t="s">
        <v>12533</v>
      </c>
      <c r="L114" s="28" t="s">
        <v>6768</v>
      </c>
      <c r="M114" s="28" t="s">
        <v>41</v>
      </c>
      <c r="N114" s="28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</row>
    <row r="115" spans="1:31" ht="14.4">
      <c r="A115" s="288" t="s">
        <v>11337</v>
      </c>
      <c r="B115" s="28" t="s">
        <v>11381</v>
      </c>
      <c r="C115" s="28" t="s">
        <v>220</v>
      </c>
      <c r="D115" s="28" t="s">
        <v>234</v>
      </c>
      <c r="E115" s="28" t="s">
        <v>54</v>
      </c>
      <c r="F115" s="28" t="s">
        <v>12543</v>
      </c>
      <c r="G115" s="28" t="s">
        <v>12544</v>
      </c>
      <c r="H115" s="28" t="s">
        <v>12545</v>
      </c>
      <c r="I115" s="28" t="s">
        <v>898</v>
      </c>
      <c r="J115" s="28" t="s">
        <v>12506</v>
      </c>
      <c r="K115" s="28" t="s">
        <v>12546</v>
      </c>
      <c r="L115" s="28" t="s">
        <v>6839</v>
      </c>
      <c r="M115" s="28" t="s">
        <v>41</v>
      </c>
      <c r="N115" s="28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</row>
    <row r="116" spans="1:31" ht="14.4">
      <c r="A116" s="288" t="s">
        <v>11337</v>
      </c>
      <c r="B116" s="28" t="s">
        <v>62</v>
      </c>
      <c r="C116" s="28" t="s">
        <v>220</v>
      </c>
      <c r="D116" s="28" t="s">
        <v>234</v>
      </c>
      <c r="E116" s="28" t="s">
        <v>54</v>
      </c>
      <c r="F116" s="28" t="s">
        <v>12553</v>
      </c>
      <c r="G116" s="28" t="s">
        <v>12555</v>
      </c>
      <c r="H116" s="28" t="s">
        <v>12557</v>
      </c>
      <c r="I116" s="28" t="s">
        <v>887</v>
      </c>
      <c r="J116" s="28" t="s">
        <v>12561</v>
      </c>
      <c r="K116" s="28" t="s">
        <v>12557</v>
      </c>
      <c r="L116" s="28" t="s">
        <v>10758</v>
      </c>
      <c r="M116" s="28" t="s">
        <v>41</v>
      </c>
      <c r="N116" s="28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</row>
    <row r="117" spans="1:31" ht="14.4">
      <c r="A117" s="288" t="s">
        <v>11337</v>
      </c>
      <c r="B117" s="28" t="s">
        <v>62</v>
      </c>
      <c r="C117" s="28" t="s">
        <v>220</v>
      </c>
      <c r="D117" s="28" t="s">
        <v>234</v>
      </c>
      <c r="E117" s="28" t="s">
        <v>54</v>
      </c>
      <c r="F117" s="251" t="s">
        <v>12567</v>
      </c>
      <c r="G117" s="28" t="s">
        <v>12317</v>
      </c>
      <c r="H117" s="28" t="s">
        <v>12569</v>
      </c>
      <c r="I117" s="28" t="s">
        <v>12570</v>
      </c>
      <c r="J117" s="28" t="s">
        <v>12572</v>
      </c>
      <c r="K117" s="28" t="s">
        <v>12569</v>
      </c>
      <c r="L117" s="28" t="s">
        <v>2230</v>
      </c>
      <c r="M117" s="28" t="s">
        <v>41</v>
      </c>
      <c r="N117" s="28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</row>
    <row r="118" spans="1:31" ht="14.4">
      <c r="A118" s="288" t="s">
        <v>11337</v>
      </c>
      <c r="B118" s="28" t="s">
        <v>62</v>
      </c>
      <c r="C118" s="28" t="s">
        <v>220</v>
      </c>
      <c r="D118" s="28" t="s">
        <v>234</v>
      </c>
      <c r="E118" s="28" t="s">
        <v>54</v>
      </c>
      <c r="F118" s="28" t="s">
        <v>12581</v>
      </c>
      <c r="G118" s="28" t="s">
        <v>12582</v>
      </c>
      <c r="H118" s="28" t="s">
        <v>12583</v>
      </c>
      <c r="I118" s="28" t="s">
        <v>898</v>
      </c>
      <c r="J118" s="28" t="s">
        <v>12584</v>
      </c>
      <c r="K118" s="28" t="s">
        <v>12583</v>
      </c>
      <c r="L118" s="28" t="s">
        <v>12072</v>
      </c>
      <c r="M118" s="28" t="s">
        <v>41</v>
      </c>
      <c r="N118" s="28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</row>
    <row r="119" spans="1:31" ht="14.4">
      <c r="A119" s="288" t="s">
        <v>11337</v>
      </c>
      <c r="B119" s="28" t="s">
        <v>62</v>
      </c>
      <c r="C119" s="28" t="s">
        <v>220</v>
      </c>
      <c r="D119" s="28" t="s">
        <v>234</v>
      </c>
      <c r="E119" s="28" t="s">
        <v>54</v>
      </c>
      <c r="F119" s="28" t="s">
        <v>12587</v>
      </c>
      <c r="G119" s="28" t="s">
        <v>12589</v>
      </c>
      <c r="H119" s="28" t="s">
        <v>12591</v>
      </c>
      <c r="I119" s="28" t="s">
        <v>12593</v>
      </c>
      <c r="J119" s="28" t="s">
        <v>12594</v>
      </c>
      <c r="K119" s="28" t="s">
        <v>12591</v>
      </c>
      <c r="L119" s="28" t="s">
        <v>12595</v>
      </c>
      <c r="M119" s="28" t="s">
        <v>41</v>
      </c>
      <c r="N119" s="28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</row>
    <row r="120" spans="1:31" ht="14.4">
      <c r="A120" s="288" t="s">
        <v>11337</v>
      </c>
      <c r="B120" s="28" t="s">
        <v>62</v>
      </c>
      <c r="C120" s="28" t="s">
        <v>220</v>
      </c>
      <c r="D120" s="28" t="s">
        <v>234</v>
      </c>
      <c r="E120" s="28" t="s">
        <v>54</v>
      </c>
      <c r="F120" s="28" t="s">
        <v>12502</v>
      </c>
      <c r="G120" s="28" t="s">
        <v>12504</v>
      </c>
      <c r="H120" s="28" t="s">
        <v>12591</v>
      </c>
      <c r="I120" s="28" t="s">
        <v>12593</v>
      </c>
      <c r="J120" s="28" t="s">
        <v>12596</v>
      </c>
      <c r="K120" s="28" t="s">
        <v>12591</v>
      </c>
      <c r="L120" s="28" t="s">
        <v>12595</v>
      </c>
      <c r="M120" s="28" t="s">
        <v>41</v>
      </c>
      <c r="N120" s="28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</row>
    <row r="121" spans="1:31" ht="14.4">
      <c r="A121" s="288" t="s">
        <v>11337</v>
      </c>
      <c r="B121" s="28" t="s">
        <v>11340</v>
      </c>
      <c r="C121" s="28" t="s">
        <v>233</v>
      </c>
      <c r="D121" s="28" t="s">
        <v>298</v>
      </c>
      <c r="E121" s="28" t="s">
        <v>54</v>
      </c>
      <c r="F121" s="28" t="s">
        <v>12598</v>
      </c>
      <c r="G121" s="28" t="s">
        <v>12599</v>
      </c>
      <c r="H121" s="28" t="s">
        <v>11394</v>
      </c>
      <c r="I121" s="28" t="s">
        <v>966</v>
      </c>
      <c r="J121" s="28" t="s">
        <v>12600</v>
      </c>
      <c r="K121" s="28" t="s">
        <v>11394</v>
      </c>
      <c r="L121" s="28" t="s">
        <v>2149</v>
      </c>
      <c r="M121" s="28" t="s">
        <v>41</v>
      </c>
      <c r="N121" s="28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</row>
    <row r="122" spans="1:31" ht="14.4">
      <c r="A122" s="288" t="s">
        <v>11337</v>
      </c>
      <c r="B122" s="28" t="s">
        <v>11340</v>
      </c>
      <c r="C122" s="28" t="s">
        <v>233</v>
      </c>
      <c r="D122" s="28" t="s">
        <v>298</v>
      </c>
      <c r="E122" s="28" t="s">
        <v>54</v>
      </c>
      <c r="F122" s="28" t="s">
        <v>12603</v>
      </c>
      <c r="G122" s="28" t="s">
        <v>12604</v>
      </c>
      <c r="H122" s="28" t="s">
        <v>12606</v>
      </c>
      <c r="I122" s="28" t="s">
        <v>6349</v>
      </c>
      <c r="J122" s="28" t="s">
        <v>12608</v>
      </c>
      <c r="K122" s="28" t="s">
        <v>12606</v>
      </c>
      <c r="L122" s="28" t="s">
        <v>2149</v>
      </c>
      <c r="M122" s="28" t="s">
        <v>41</v>
      </c>
      <c r="N122" s="28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</row>
    <row r="123" spans="1:31" ht="14.4">
      <c r="A123" s="288" t="s">
        <v>11337</v>
      </c>
      <c r="B123" s="28" t="s">
        <v>11340</v>
      </c>
      <c r="C123" s="28" t="s">
        <v>233</v>
      </c>
      <c r="D123" s="28" t="s">
        <v>298</v>
      </c>
      <c r="E123" s="28" t="s">
        <v>54</v>
      </c>
      <c r="F123" s="28" t="s">
        <v>12609</v>
      </c>
      <c r="G123" s="28" t="s">
        <v>12610</v>
      </c>
      <c r="H123" s="28" t="s">
        <v>11493</v>
      </c>
      <c r="I123" s="28" t="s">
        <v>521</v>
      </c>
      <c r="J123" s="28" t="s">
        <v>12612</v>
      </c>
      <c r="K123" s="28" t="s">
        <v>11493</v>
      </c>
      <c r="L123" s="28" t="s">
        <v>2149</v>
      </c>
      <c r="M123" s="28" t="s">
        <v>41</v>
      </c>
      <c r="N123" s="28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</row>
    <row r="124" spans="1:31" ht="14.4">
      <c r="A124" s="288" t="s">
        <v>11337</v>
      </c>
      <c r="B124" s="28" t="s">
        <v>11340</v>
      </c>
      <c r="C124" s="28" t="s">
        <v>233</v>
      </c>
      <c r="D124" s="28" t="s">
        <v>298</v>
      </c>
      <c r="E124" s="28" t="s">
        <v>54</v>
      </c>
      <c r="F124" s="28" t="s">
        <v>12616</v>
      </c>
      <c r="G124" s="28" t="s">
        <v>12617</v>
      </c>
      <c r="H124" s="28" t="s">
        <v>12618</v>
      </c>
      <c r="I124" s="28" t="s">
        <v>2514</v>
      </c>
      <c r="J124" s="28" t="s">
        <v>12619</v>
      </c>
      <c r="K124" s="28" t="s">
        <v>12618</v>
      </c>
      <c r="L124" s="28" t="s">
        <v>11517</v>
      </c>
      <c r="M124" s="28" t="s">
        <v>41</v>
      </c>
      <c r="N124" s="28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</row>
    <row r="125" spans="1:31" ht="14.4">
      <c r="A125" s="288" t="s">
        <v>11337</v>
      </c>
      <c r="B125" s="28" t="s">
        <v>11357</v>
      </c>
      <c r="C125" s="28" t="s">
        <v>233</v>
      </c>
      <c r="D125" s="28" t="s">
        <v>298</v>
      </c>
      <c r="E125" s="28" t="s">
        <v>54</v>
      </c>
      <c r="F125" s="28" t="s">
        <v>12620</v>
      </c>
      <c r="G125" s="28" t="s">
        <v>12622</v>
      </c>
      <c r="H125" s="28" t="s">
        <v>12623</v>
      </c>
      <c r="I125" s="28" t="s">
        <v>521</v>
      </c>
      <c r="J125" s="28" t="s">
        <v>12430</v>
      </c>
      <c r="K125" s="28" t="s">
        <v>12623</v>
      </c>
      <c r="L125" s="28" t="s">
        <v>989</v>
      </c>
      <c r="M125" s="28" t="s">
        <v>41</v>
      </c>
      <c r="N125" s="28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</row>
    <row r="126" spans="1:31" ht="14.4">
      <c r="A126" s="288" t="s">
        <v>11337</v>
      </c>
      <c r="B126" s="28" t="s">
        <v>11357</v>
      </c>
      <c r="C126" s="28" t="s">
        <v>233</v>
      </c>
      <c r="D126" s="28" t="s">
        <v>298</v>
      </c>
      <c r="E126" s="28" t="s">
        <v>54</v>
      </c>
      <c r="F126" s="28" t="s">
        <v>12628</v>
      </c>
      <c r="G126" s="28" t="s">
        <v>12630</v>
      </c>
      <c r="H126" s="28" t="s">
        <v>12631</v>
      </c>
      <c r="I126" s="28" t="s">
        <v>521</v>
      </c>
      <c r="J126" s="28" t="s">
        <v>12632</v>
      </c>
      <c r="K126" s="28" t="s">
        <v>12631</v>
      </c>
      <c r="L126" s="28" t="s">
        <v>989</v>
      </c>
      <c r="M126" s="28" t="s">
        <v>41</v>
      </c>
      <c r="N126" s="28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</row>
    <row r="127" spans="1:31" ht="14.4">
      <c r="A127" s="288" t="s">
        <v>11337</v>
      </c>
      <c r="B127" s="28" t="s">
        <v>11357</v>
      </c>
      <c r="C127" s="28" t="s">
        <v>233</v>
      </c>
      <c r="D127" s="28" t="s">
        <v>298</v>
      </c>
      <c r="E127" s="28" t="s">
        <v>54</v>
      </c>
      <c r="F127" s="28" t="s">
        <v>12633</v>
      </c>
      <c r="G127" s="28" t="s">
        <v>12635</v>
      </c>
      <c r="H127" s="28" t="s">
        <v>12400</v>
      </c>
      <c r="I127" s="28" t="s">
        <v>521</v>
      </c>
      <c r="J127" s="28" t="s">
        <v>12637</v>
      </c>
      <c r="K127" s="28" t="s">
        <v>12400</v>
      </c>
      <c r="L127" s="28" t="s">
        <v>989</v>
      </c>
      <c r="M127" s="28" t="s">
        <v>41</v>
      </c>
      <c r="N127" s="28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</row>
    <row r="128" spans="1:31" ht="14.4">
      <c r="A128" s="288" t="s">
        <v>11337</v>
      </c>
      <c r="B128" s="28" t="s">
        <v>11357</v>
      </c>
      <c r="C128" s="28" t="s">
        <v>233</v>
      </c>
      <c r="D128" s="28" t="s">
        <v>298</v>
      </c>
      <c r="E128" s="28" t="s">
        <v>54</v>
      </c>
      <c r="F128" s="28" t="s">
        <v>12640</v>
      </c>
      <c r="G128" s="28" t="s">
        <v>12641</v>
      </c>
      <c r="H128" s="28" t="s">
        <v>12642</v>
      </c>
      <c r="I128" s="28" t="s">
        <v>521</v>
      </c>
      <c r="J128" s="28" t="s">
        <v>12643</v>
      </c>
      <c r="K128" s="28" t="s">
        <v>12642</v>
      </c>
      <c r="L128" s="28" t="s">
        <v>989</v>
      </c>
      <c r="M128" s="28" t="s">
        <v>41</v>
      </c>
      <c r="N128" s="28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</row>
    <row r="129" spans="1:31" ht="14.4">
      <c r="A129" s="288" t="s">
        <v>11337</v>
      </c>
      <c r="B129" s="28" t="s">
        <v>11381</v>
      </c>
      <c r="C129" s="28" t="s">
        <v>233</v>
      </c>
      <c r="D129" s="28" t="s">
        <v>298</v>
      </c>
      <c r="E129" s="28" t="s">
        <v>54</v>
      </c>
      <c r="F129" s="28" t="s">
        <v>12651</v>
      </c>
      <c r="G129" s="28"/>
      <c r="H129" s="28" t="s">
        <v>12653</v>
      </c>
      <c r="I129" s="28" t="s">
        <v>6349</v>
      </c>
      <c r="J129" s="28" t="s">
        <v>12654</v>
      </c>
      <c r="K129" s="28" t="s">
        <v>12653</v>
      </c>
      <c r="L129" s="28" t="s">
        <v>9100</v>
      </c>
      <c r="M129" s="28" t="s">
        <v>41</v>
      </c>
      <c r="N129" s="28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</row>
    <row r="130" spans="1:31" ht="14.4">
      <c r="A130" s="288" t="s">
        <v>11337</v>
      </c>
      <c r="B130" s="28" t="s">
        <v>11381</v>
      </c>
      <c r="C130" s="28" t="s">
        <v>233</v>
      </c>
      <c r="D130" s="28" t="s">
        <v>298</v>
      </c>
      <c r="E130" s="28" t="s">
        <v>54</v>
      </c>
      <c r="F130" s="28" t="s">
        <v>12657</v>
      </c>
      <c r="G130" s="28"/>
      <c r="H130" s="28" t="s">
        <v>12659</v>
      </c>
      <c r="I130" s="28" t="s">
        <v>887</v>
      </c>
      <c r="J130" s="28" t="s">
        <v>12661</v>
      </c>
      <c r="K130" s="28" t="s">
        <v>12659</v>
      </c>
      <c r="L130" s="28" t="s">
        <v>6768</v>
      </c>
      <c r="M130" s="28" t="s">
        <v>41</v>
      </c>
      <c r="N130" s="28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</row>
    <row r="131" spans="1:31" ht="14.4">
      <c r="A131" s="288" t="s">
        <v>11337</v>
      </c>
      <c r="B131" s="28" t="s">
        <v>11381</v>
      </c>
      <c r="C131" s="28" t="s">
        <v>233</v>
      </c>
      <c r="D131" s="28" t="s">
        <v>298</v>
      </c>
      <c r="E131" s="28" t="s">
        <v>54</v>
      </c>
      <c r="F131" s="28" t="s">
        <v>12663</v>
      </c>
      <c r="G131" s="28"/>
      <c r="H131" s="28" t="s">
        <v>12665</v>
      </c>
      <c r="I131" s="28" t="s">
        <v>887</v>
      </c>
      <c r="J131" s="28" t="s">
        <v>12667</v>
      </c>
      <c r="K131" s="28" t="s">
        <v>12665</v>
      </c>
      <c r="L131" s="28" t="s">
        <v>6768</v>
      </c>
      <c r="M131" s="28" t="s">
        <v>41</v>
      </c>
      <c r="N131" s="28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</row>
    <row r="132" spans="1:31" ht="14.4">
      <c r="A132" s="288" t="s">
        <v>11337</v>
      </c>
      <c r="B132" s="28" t="s">
        <v>11381</v>
      </c>
      <c r="C132" s="28" t="s">
        <v>233</v>
      </c>
      <c r="D132" s="28" t="s">
        <v>298</v>
      </c>
      <c r="E132" s="28" t="s">
        <v>54</v>
      </c>
      <c r="F132" s="28" t="s">
        <v>12670</v>
      </c>
      <c r="G132" s="28"/>
      <c r="H132" s="28" t="s">
        <v>12671</v>
      </c>
      <c r="I132" s="28" t="s">
        <v>898</v>
      </c>
      <c r="J132" s="28" t="s">
        <v>12673</v>
      </c>
      <c r="K132" s="28" t="s">
        <v>12671</v>
      </c>
      <c r="L132" s="28" t="s">
        <v>2794</v>
      </c>
      <c r="M132" s="28" t="s">
        <v>41</v>
      </c>
      <c r="N132" s="28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</row>
    <row r="133" spans="1:31" ht="14.4">
      <c r="A133" s="288" t="s">
        <v>11337</v>
      </c>
      <c r="B133" s="28" t="s">
        <v>11370</v>
      </c>
      <c r="C133" s="28" t="s">
        <v>233</v>
      </c>
      <c r="D133" s="28" t="s">
        <v>298</v>
      </c>
      <c r="E133" s="28" t="s">
        <v>54</v>
      </c>
      <c r="F133" s="28"/>
      <c r="G133" s="28" t="s">
        <v>12677</v>
      </c>
      <c r="H133" s="28" t="s">
        <v>12678</v>
      </c>
      <c r="I133" s="28" t="s">
        <v>3181</v>
      </c>
      <c r="J133" s="28" t="s">
        <v>12680</v>
      </c>
      <c r="K133" s="28" t="s">
        <v>12678</v>
      </c>
      <c r="L133" s="295" t="s">
        <v>11781</v>
      </c>
      <c r="M133" s="28" t="s">
        <v>41</v>
      </c>
      <c r="N133" s="28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</row>
    <row r="134" spans="1:31" ht="14.4">
      <c r="A134" s="288" t="s">
        <v>11337</v>
      </c>
      <c r="B134" s="28" t="s">
        <v>11370</v>
      </c>
      <c r="C134" s="28" t="s">
        <v>233</v>
      </c>
      <c r="D134" s="28" t="s">
        <v>298</v>
      </c>
      <c r="E134" s="28" t="s">
        <v>54</v>
      </c>
      <c r="F134" s="28"/>
      <c r="G134" s="28" t="s">
        <v>12686</v>
      </c>
      <c r="H134" s="28" t="s">
        <v>12441</v>
      </c>
      <c r="I134" s="28" t="s">
        <v>887</v>
      </c>
      <c r="J134" s="28" t="s">
        <v>12690</v>
      </c>
      <c r="K134" s="28" t="s">
        <v>12441</v>
      </c>
      <c r="L134" s="28" t="s">
        <v>989</v>
      </c>
      <c r="M134" s="28" t="s">
        <v>41</v>
      </c>
      <c r="N134" s="28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</row>
    <row r="135" spans="1:31" ht="14.4">
      <c r="A135" s="288" t="s">
        <v>11337</v>
      </c>
      <c r="B135" s="28" t="s">
        <v>11370</v>
      </c>
      <c r="C135" s="28" t="s">
        <v>233</v>
      </c>
      <c r="D135" s="28" t="s">
        <v>298</v>
      </c>
      <c r="E135" s="28" t="s">
        <v>54</v>
      </c>
      <c r="F135" s="28"/>
      <c r="G135" s="28" t="s">
        <v>12692</v>
      </c>
      <c r="H135" s="28" t="s">
        <v>12693</v>
      </c>
      <c r="I135" s="28" t="s">
        <v>1252</v>
      </c>
      <c r="J135" s="28" t="s">
        <v>12696</v>
      </c>
      <c r="K135" s="28" t="s">
        <v>12693</v>
      </c>
      <c r="L135" s="28" t="s">
        <v>989</v>
      </c>
      <c r="M135" s="28" t="s">
        <v>41</v>
      </c>
      <c r="N135" s="28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</row>
    <row r="136" spans="1:31" ht="14.4">
      <c r="A136" s="288" t="s">
        <v>11337</v>
      </c>
      <c r="B136" s="28" t="s">
        <v>11370</v>
      </c>
      <c r="C136" s="28" t="s">
        <v>233</v>
      </c>
      <c r="D136" s="28" t="s">
        <v>298</v>
      </c>
      <c r="E136" s="28" t="s">
        <v>54</v>
      </c>
      <c r="F136" s="28"/>
      <c r="G136" s="28" t="s">
        <v>12699</v>
      </c>
      <c r="H136" s="28" t="s">
        <v>11969</v>
      </c>
      <c r="I136" s="28" t="s">
        <v>9936</v>
      </c>
      <c r="J136" s="28" t="s">
        <v>12701</v>
      </c>
      <c r="K136" s="28" t="s">
        <v>11969</v>
      </c>
      <c r="L136" s="28" t="s">
        <v>989</v>
      </c>
      <c r="M136" s="28" t="s">
        <v>41</v>
      </c>
      <c r="N136" s="28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</row>
    <row r="137" spans="1:31" ht="14.4">
      <c r="A137" s="288" t="s">
        <v>11337</v>
      </c>
      <c r="B137" s="28" t="s">
        <v>62</v>
      </c>
      <c r="C137" s="28" t="s">
        <v>233</v>
      </c>
      <c r="D137" s="28" t="s">
        <v>298</v>
      </c>
      <c r="E137" s="28" t="s">
        <v>54</v>
      </c>
      <c r="F137" s="28" t="s">
        <v>12705</v>
      </c>
      <c r="G137" s="28" t="s">
        <v>12706</v>
      </c>
      <c r="H137" s="28" t="s">
        <v>12707</v>
      </c>
      <c r="I137" s="28" t="s">
        <v>11200</v>
      </c>
      <c r="J137" s="28" t="s">
        <v>12710</v>
      </c>
      <c r="K137" s="28" t="s">
        <v>12711</v>
      </c>
      <c r="L137" s="28" t="s">
        <v>989</v>
      </c>
      <c r="M137" s="28" t="s">
        <v>41</v>
      </c>
      <c r="N137" s="28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</row>
    <row r="138" spans="1:31" ht="14.4">
      <c r="A138" s="288" t="s">
        <v>11337</v>
      </c>
      <c r="B138" s="28" t="s">
        <v>62</v>
      </c>
      <c r="C138" s="28" t="s">
        <v>233</v>
      </c>
      <c r="D138" s="28" t="s">
        <v>298</v>
      </c>
      <c r="E138" s="28" t="s">
        <v>54</v>
      </c>
      <c r="F138" s="28" t="s">
        <v>12714</v>
      </c>
      <c r="G138" s="28" t="s">
        <v>12715</v>
      </c>
      <c r="H138" s="28" t="s">
        <v>12716</v>
      </c>
      <c r="I138" s="28" t="s">
        <v>12048</v>
      </c>
      <c r="J138" s="28" t="s">
        <v>12718</v>
      </c>
      <c r="K138" s="28" t="s">
        <v>12716</v>
      </c>
      <c r="L138" s="28" t="s">
        <v>989</v>
      </c>
      <c r="M138" s="28" t="s">
        <v>41</v>
      </c>
      <c r="N138" s="28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</row>
    <row r="139" spans="1:31" ht="14.4">
      <c r="A139" s="288" t="s">
        <v>11337</v>
      </c>
      <c r="B139" s="28" t="s">
        <v>62</v>
      </c>
      <c r="C139" s="28" t="s">
        <v>233</v>
      </c>
      <c r="D139" s="28" t="s">
        <v>298</v>
      </c>
      <c r="E139" s="28" t="s">
        <v>54</v>
      </c>
      <c r="F139" s="28" t="s">
        <v>12721</v>
      </c>
      <c r="G139" s="28" t="s">
        <v>12722</v>
      </c>
      <c r="H139" s="28" t="s">
        <v>12723</v>
      </c>
      <c r="I139" s="28" t="s">
        <v>12048</v>
      </c>
      <c r="J139" s="28" t="s">
        <v>12724</v>
      </c>
      <c r="K139" s="28" t="s">
        <v>12723</v>
      </c>
      <c r="L139" s="28" t="s">
        <v>989</v>
      </c>
      <c r="M139" s="28" t="s">
        <v>41</v>
      </c>
      <c r="N139" s="28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</row>
    <row r="140" spans="1:31" ht="14.4">
      <c r="A140" s="288" t="s">
        <v>11337</v>
      </c>
      <c r="B140" s="28" t="s">
        <v>11340</v>
      </c>
      <c r="C140" s="28" t="s">
        <v>233</v>
      </c>
      <c r="D140" s="28" t="s">
        <v>298</v>
      </c>
      <c r="E140" s="28" t="s">
        <v>54</v>
      </c>
      <c r="F140" s="28" t="s">
        <v>12728</v>
      </c>
      <c r="G140" s="28" t="s">
        <v>12729</v>
      </c>
      <c r="H140" s="28" t="s">
        <v>12092</v>
      </c>
      <c r="I140" s="28" t="s">
        <v>11200</v>
      </c>
      <c r="J140" s="28" t="s">
        <v>12730</v>
      </c>
      <c r="K140" s="28" t="s">
        <v>12092</v>
      </c>
      <c r="L140" s="28" t="s">
        <v>10907</v>
      </c>
      <c r="M140" s="28" t="s">
        <v>41</v>
      </c>
      <c r="N140" s="28" t="s">
        <v>41</v>
      </c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</row>
    <row r="141" spans="1:31" ht="14.4">
      <c r="A141" s="288" t="s">
        <v>11337</v>
      </c>
      <c r="B141" s="28" t="s">
        <v>11370</v>
      </c>
      <c r="C141" s="28" t="s">
        <v>233</v>
      </c>
      <c r="D141" s="28" t="s">
        <v>298</v>
      </c>
      <c r="E141" s="28" t="s">
        <v>54</v>
      </c>
      <c r="F141" s="28" t="s">
        <v>12721</v>
      </c>
      <c r="G141" s="28"/>
      <c r="H141" s="28" t="s">
        <v>12707</v>
      </c>
      <c r="I141" s="28" t="s">
        <v>11200</v>
      </c>
      <c r="J141" s="28" t="s">
        <v>12710</v>
      </c>
      <c r="K141" s="28" t="s">
        <v>12734</v>
      </c>
      <c r="L141" s="28" t="s">
        <v>989</v>
      </c>
      <c r="M141" s="28" t="s">
        <v>41</v>
      </c>
      <c r="N141" s="28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</row>
    <row r="142" spans="1:31" ht="14.4">
      <c r="A142" s="288" t="s">
        <v>11337</v>
      </c>
      <c r="B142" s="28" t="s">
        <v>11381</v>
      </c>
      <c r="C142" s="28" t="s">
        <v>233</v>
      </c>
      <c r="D142" s="28" t="s">
        <v>298</v>
      </c>
      <c r="E142" s="28" t="s">
        <v>54</v>
      </c>
      <c r="F142" s="28" t="s">
        <v>12714</v>
      </c>
      <c r="G142" s="28"/>
      <c r="H142" s="28" t="s">
        <v>12739</v>
      </c>
      <c r="I142" s="28" t="s">
        <v>12741</v>
      </c>
      <c r="J142" s="28" t="s">
        <v>12742</v>
      </c>
      <c r="K142" s="28" t="s">
        <v>12739</v>
      </c>
      <c r="L142" s="28" t="s">
        <v>11781</v>
      </c>
      <c r="M142" s="28" t="s">
        <v>41</v>
      </c>
      <c r="N142" s="28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</row>
    <row r="143" spans="1:31" ht="14.4">
      <c r="A143" s="288" t="s">
        <v>11337</v>
      </c>
      <c r="B143" s="28" t="s">
        <v>11357</v>
      </c>
      <c r="C143" s="28" t="s">
        <v>233</v>
      </c>
      <c r="D143" s="28" t="s">
        <v>298</v>
      </c>
      <c r="E143" s="28" t="s">
        <v>54</v>
      </c>
      <c r="F143" s="28" t="s">
        <v>12705</v>
      </c>
      <c r="G143" s="28" t="s">
        <v>12744</v>
      </c>
      <c r="H143" s="28" t="s">
        <v>12745</v>
      </c>
      <c r="I143" s="28" t="s">
        <v>11200</v>
      </c>
      <c r="J143" s="28" t="s">
        <v>12746</v>
      </c>
      <c r="K143" s="28" t="s">
        <v>12745</v>
      </c>
      <c r="L143" s="28" t="s">
        <v>989</v>
      </c>
      <c r="M143" s="28" t="s">
        <v>41</v>
      </c>
      <c r="N143" s="28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</row>
    <row r="144" spans="1:31" ht="14.4">
      <c r="A144" s="288" t="s">
        <v>11337</v>
      </c>
      <c r="B144" s="28" t="s">
        <v>62</v>
      </c>
      <c r="C144" s="28" t="s">
        <v>233</v>
      </c>
      <c r="D144" s="28" t="s">
        <v>298</v>
      </c>
      <c r="E144" s="28" t="s">
        <v>54</v>
      </c>
      <c r="F144" s="28" t="s">
        <v>12728</v>
      </c>
      <c r="G144" s="28"/>
      <c r="H144" s="28" t="s">
        <v>12092</v>
      </c>
      <c r="I144" s="28" t="s">
        <v>11200</v>
      </c>
      <c r="J144" s="28" t="s">
        <v>12749</v>
      </c>
      <c r="K144" s="28" t="s">
        <v>12092</v>
      </c>
      <c r="L144" s="28" t="s">
        <v>989</v>
      </c>
      <c r="M144" s="28" t="s">
        <v>41</v>
      </c>
      <c r="N144" s="28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</row>
    <row r="145" spans="1:31" ht="14.4">
      <c r="A145" s="288" t="s">
        <v>11337</v>
      </c>
      <c r="B145" s="28" t="s">
        <v>11370</v>
      </c>
      <c r="C145" s="28" t="s">
        <v>51</v>
      </c>
      <c r="D145" s="28" t="s">
        <v>52</v>
      </c>
      <c r="E145" s="28" t="s">
        <v>54</v>
      </c>
      <c r="F145" s="28" t="s">
        <v>1726</v>
      </c>
      <c r="G145" s="28"/>
      <c r="H145" s="28" t="s">
        <v>12751</v>
      </c>
      <c r="I145" s="28" t="s">
        <v>3181</v>
      </c>
      <c r="J145" s="28" t="s">
        <v>12753</v>
      </c>
      <c r="K145" s="28" t="s">
        <v>12751</v>
      </c>
      <c r="L145" s="28" t="s">
        <v>989</v>
      </c>
      <c r="M145" s="28" t="s">
        <v>41</v>
      </c>
      <c r="N145" s="28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</row>
    <row r="146" spans="1:31" ht="14.4">
      <c r="A146" s="288" t="s">
        <v>11337</v>
      </c>
      <c r="B146" s="28" t="s">
        <v>62</v>
      </c>
      <c r="C146" s="28" t="s">
        <v>51</v>
      </c>
      <c r="D146" s="28" t="s">
        <v>52</v>
      </c>
      <c r="E146" s="28" t="s">
        <v>54</v>
      </c>
      <c r="F146" s="28" t="s">
        <v>1735</v>
      </c>
      <c r="G146" s="28"/>
      <c r="H146" s="28" t="s">
        <v>12755</v>
      </c>
      <c r="I146" s="28" t="s">
        <v>3181</v>
      </c>
      <c r="J146" s="28" t="s">
        <v>12758</v>
      </c>
      <c r="K146" s="28" t="s">
        <v>12755</v>
      </c>
      <c r="L146" s="28" t="s">
        <v>12276</v>
      </c>
      <c r="M146" s="28" t="s">
        <v>41</v>
      </c>
      <c r="N146" s="28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</row>
    <row r="147" spans="1:31" ht="14.4">
      <c r="A147" s="288" t="s">
        <v>11337</v>
      </c>
      <c r="B147" s="28" t="s">
        <v>11370</v>
      </c>
      <c r="C147" s="28" t="s">
        <v>70</v>
      </c>
      <c r="D147" s="28" t="s">
        <v>71</v>
      </c>
      <c r="E147" s="28" t="s">
        <v>54</v>
      </c>
      <c r="F147" s="28" t="s">
        <v>1735</v>
      </c>
      <c r="G147" s="28"/>
      <c r="H147" s="28" t="s">
        <v>12751</v>
      </c>
      <c r="I147" s="28" t="s">
        <v>3181</v>
      </c>
      <c r="J147" s="28" t="s">
        <v>12753</v>
      </c>
      <c r="K147" s="28" t="s">
        <v>12751</v>
      </c>
      <c r="L147" s="28" t="s">
        <v>989</v>
      </c>
      <c r="M147" s="28" t="s">
        <v>41</v>
      </c>
      <c r="N147" s="28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</row>
    <row r="148" spans="1:31" ht="14.4">
      <c r="A148" s="288" t="s">
        <v>11337</v>
      </c>
      <c r="B148" s="28" t="s">
        <v>62</v>
      </c>
      <c r="C148" s="28" t="s">
        <v>70</v>
      </c>
      <c r="D148" s="28" t="s">
        <v>71</v>
      </c>
      <c r="E148" s="28" t="s">
        <v>54</v>
      </c>
      <c r="F148" s="28" t="s">
        <v>1726</v>
      </c>
      <c r="G148" s="28"/>
      <c r="H148" s="28" t="s">
        <v>12755</v>
      </c>
      <c r="I148" s="28" t="s">
        <v>12048</v>
      </c>
      <c r="J148" s="28" t="s">
        <v>12765</v>
      </c>
      <c r="K148" s="28" t="s">
        <v>12755</v>
      </c>
      <c r="L148" s="28" t="s">
        <v>989</v>
      </c>
      <c r="M148" s="28" t="s">
        <v>41</v>
      </c>
      <c r="N148" s="28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</row>
    <row r="149" spans="1:31" ht="14.4">
      <c r="A149" s="288" t="s">
        <v>11337</v>
      </c>
      <c r="B149" s="28" t="s">
        <v>11370</v>
      </c>
      <c r="C149" s="28" t="s">
        <v>79</v>
      </c>
      <c r="D149" s="28" t="s">
        <v>80</v>
      </c>
      <c r="E149" s="28" t="s">
        <v>54</v>
      </c>
      <c r="F149" s="28" t="s">
        <v>12770</v>
      </c>
      <c r="G149" s="28"/>
      <c r="H149" s="28" t="s">
        <v>12751</v>
      </c>
      <c r="I149" s="28" t="s">
        <v>3181</v>
      </c>
      <c r="J149" s="28" t="s">
        <v>12753</v>
      </c>
      <c r="K149" s="28" t="s">
        <v>12751</v>
      </c>
      <c r="L149" s="28" t="s">
        <v>989</v>
      </c>
      <c r="M149" s="28" t="s">
        <v>41</v>
      </c>
      <c r="N149" s="28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</row>
    <row r="150" spans="1:31" ht="14.4">
      <c r="A150" s="288" t="s">
        <v>11337</v>
      </c>
      <c r="B150" s="28" t="s">
        <v>62</v>
      </c>
      <c r="C150" s="28" t="s">
        <v>79</v>
      </c>
      <c r="D150" s="28" t="s">
        <v>80</v>
      </c>
      <c r="E150" s="28" t="s">
        <v>54</v>
      </c>
      <c r="F150" s="28" t="s">
        <v>12775</v>
      </c>
      <c r="G150" s="28"/>
      <c r="H150" s="28" t="s">
        <v>12755</v>
      </c>
      <c r="I150" s="28" t="s">
        <v>12048</v>
      </c>
      <c r="J150" s="28" t="s">
        <v>12778</v>
      </c>
      <c r="K150" s="28" t="s">
        <v>12755</v>
      </c>
      <c r="L150" s="28" t="s">
        <v>989</v>
      </c>
      <c r="M150" s="28" t="s">
        <v>41</v>
      </c>
      <c r="N150" s="313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</row>
    <row r="151" spans="1:31" ht="14.4">
      <c r="A151" s="288" t="s">
        <v>11337</v>
      </c>
      <c r="B151" s="28" t="s">
        <v>11340</v>
      </c>
      <c r="C151" s="28" t="s">
        <v>319</v>
      </c>
      <c r="D151" s="28" t="s">
        <v>796</v>
      </c>
      <c r="E151" s="28" t="s">
        <v>54</v>
      </c>
      <c r="F151" s="79" t="s">
        <v>12788</v>
      </c>
      <c r="G151" s="314" t="s">
        <v>12796</v>
      </c>
      <c r="H151" s="28" t="s">
        <v>12798</v>
      </c>
      <c r="I151" s="28" t="s">
        <v>12799</v>
      </c>
      <c r="J151" s="28" t="s">
        <v>12800</v>
      </c>
      <c r="K151" s="28" t="s">
        <v>12798</v>
      </c>
      <c r="L151" s="28" t="s">
        <v>12801</v>
      </c>
      <c r="M151" s="28" t="s">
        <v>41</v>
      </c>
      <c r="N151" s="28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</row>
    <row r="152" spans="1:31" ht="14.4">
      <c r="A152" s="288" t="s">
        <v>11337</v>
      </c>
      <c r="B152" s="28" t="s">
        <v>11340</v>
      </c>
      <c r="C152" s="28" t="s">
        <v>319</v>
      </c>
      <c r="D152" s="28" t="s">
        <v>796</v>
      </c>
      <c r="E152" s="28" t="s">
        <v>54</v>
      </c>
      <c r="F152" s="79" t="s">
        <v>12805</v>
      </c>
      <c r="G152" s="314" t="s">
        <v>12807</v>
      </c>
      <c r="H152" s="28" t="s">
        <v>12808</v>
      </c>
      <c r="I152" s="28" t="s">
        <v>3573</v>
      </c>
      <c r="J152" s="28" t="s">
        <v>12809</v>
      </c>
      <c r="K152" s="28" t="s">
        <v>12810</v>
      </c>
      <c r="L152" s="28" t="s">
        <v>12801</v>
      </c>
      <c r="M152" s="28" t="s">
        <v>41</v>
      </c>
      <c r="N152" s="28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</row>
    <row r="153" spans="1:31" ht="14.4">
      <c r="A153" s="288" t="s">
        <v>11337</v>
      </c>
      <c r="B153" s="28" t="s">
        <v>11340</v>
      </c>
      <c r="C153" s="28" t="s">
        <v>319</v>
      </c>
      <c r="D153" s="28" t="s">
        <v>796</v>
      </c>
      <c r="E153" s="28" t="s">
        <v>54</v>
      </c>
      <c r="F153" s="79" t="s">
        <v>12817</v>
      </c>
      <c r="G153" s="314" t="s">
        <v>12818</v>
      </c>
      <c r="H153" s="28" t="s">
        <v>12819</v>
      </c>
      <c r="I153" s="28" t="s">
        <v>2714</v>
      </c>
      <c r="J153" s="28" t="s">
        <v>12820</v>
      </c>
      <c r="K153" s="28" t="s">
        <v>12821</v>
      </c>
      <c r="L153" s="28" t="s">
        <v>12801</v>
      </c>
      <c r="M153" s="28" t="s">
        <v>41</v>
      </c>
      <c r="N153" s="28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</row>
    <row r="154" spans="1:31" ht="14.4">
      <c r="A154" s="288" t="s">
        <v>11337</v>
      </c>
      <c r="B154" s="28" t="s">
        <v>11340</v>
      </c>
      <c r="C154" s="28" t="s">
        <v>319</v>
      </c>
      <c r="D154" s="28" t="s">
        <v>796</v>
      </c>
      <c r="E154" s="28" t="s">
        <v>54</v>
      </c>
      <c r="F154" s="79" t="s">
        <v>12830</v>
      </c>
      <c r="G154" s="314" t="s">
        <v>12831</v>
      </c>
      <c r="H154" s="28" t="s">
        <v>12832</v>
      </c>
      <c r="I154" s="28" t="s">
        <v>130</v>
      </c>
      <c r="J154" s="28" t="s">
        <v>12833</v>
      </c>
      <c r="K154" s="28" t="s">
        <v>12834</v>
      </c>
      <c r="L154" s="28" t="s">
        <v>12801</v>
      </c>
      <c r="M154" s="28" t="s">
        <v>41</v>
      </c>
      <c r="N154" s="28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</row>
    <row r="155" spans="1:31" ht="14.4">
      <c r="A155" s="288" t="s">
        <v>11337</v>
      </c>
      <c r="B155" s="28" t="s">
        <v>11381</v>
      </c>
      <c r="C155" s="28" t="s">
        <v>319</v>
      </c>
      <c r="D155" s="28" t="s">
        <v>796</v>
      </c>
      <c r="E155" s="28" t="s">
        <v>54</v>
      </c>
      <c r="F155" s="79" t="s">
        <v>12846</v>
      </c>
      <c r="G155" s="28"/>
      <c r="H155" s="28" t="s">
        <v>12848</v>
      </c>
      <c r="I155" s="28" t="s">
        <v>887</v>
      </c>
      <c r="J155" s="28" t="s">
        <v>12850</v>
      </c>
      <c r="K155" s="28" t="s">
        <v>12852</v>
      </c>
      <c r="L155" s="28" t="s">
        <v>6768</v>
      </c>
      <c r="M155" s="28" t="s">
        <v>41</v>
      </c>
      <c r="N155" s="28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</row>
    <row r="156" spans="1:31" ht="14.4">
      <c r="A156" s="288" t="s">
        <v>11337</v>
      </c>
      <c r="B156" s="28" t="s">
        <v>11381</v>
      </c>
      <c r="C156" s="28" t="s">
        <v>319</v>
      </c>
      <c r="D156" s="28" t="s">
        <v>796</v>
      </c>
      <c r="E156" s="28" t="s">
        <v>54</v>
      </c>
      <c r="F156" s="79" t="s">
        <v>12855</v>
      </c>
      <c r="G156" s="28"/>
      <c r="H156" s="28" t="s">
        <v>12858</v>
      </c>
      <c r="I156" s="28" t="s">
        <v>898</v>
      </c>
      <c r="J156" s="28" t="s">
        <v>12861</v>
      </c>
      <c r="K156" s="28" t="s">
        <v>12858</v>
      </c>
      <c r="L156" s="28" t="s">
        <v>2794</v>
      </c>
      <c r="M156" s="28" t="s">
        <v>41</v>
      </c>
      <c r="N156" s="28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</row>
    <row r="157" spans="1:31" ht="14.4">
      <c r="A157" s="288" t="s">
        <v>11337</v>
      </c>
      <c r="B157" s="28" t="s">
        <v>11381</v>
      </c>
      <c r="C157" s="28" t="s">
        <v>319</v>
      </c>
      <c r="D157" s="28" t="s">
        <v>796</v>
      </c>
      <c r="E157" s="28" t="s">
        <v>54</v>
      </c>
      <c r="F157" s="79" t="s">
        <v>12865</v>
      </c>
      <c r="G157" s="28"/>
      <c r="H157" s="28" t="s">
        <v>12866</v>
      </c>
      <c r="I157" s="28" t="s">
        <v>2714</v>
      </c>
      <c r="J157" s="28" t="s">
        <v>12868</v>
      </c>
      <c r="K157" s="28" t="s">
        <v>12866</v>
      </c>
      <c r="L157" s="28" t="s">
        <v>2794</v>
      </c>
      <c r="M157" s="28" t="s">
        <v>41</v>
      </c>
      <c r="N157" s="28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</row>
    <row r="158" spans="1:31" ht="14.4">
      <c r="A158" s="288" t="s">
        <v>11337</v>
      </c>
      <c r="B158" s="28" t="s">
        <v>11381</v>
      </c>
      <c r="C158" s="28" t="s">
        <v>319</v>
      </c>
      <c r="D158" s="28" t="s">
        <v>796</v>
      </c>
      <c r="E158" s="28" t="s">
        <v>54</v>
      </c>
      <c r="F158" s="79" t="s">
        <v>12875</v>
      </c>
      <c r="G158" s="28"/>
      <c r="H158" s="28" t="s">
        <v>11766</v>
      </c>
      <c r="I158" s="28" t="s">
        <v>2790</v>
      </c>
      <c r="J158" s="28" t="s">
        <v>12877</v>
      </c>
      <c r="K158" s="28" t="s">
        <v>11766</v>
      </c>
      <c r="L158" s="28" t="s">
        <v>2794</v>
      </c>
      <c r="M158" s="28" t="s">
        <v>41</v>
      </c>
      <c r="N158" s="28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</row>
    <row r="159" spans="1:31" ht="14.4">
      <c r="A159" s="288" t="s">
        <v>11337</v>
      </c>
      <c r="B159" s="28" t="s">
        <v>62</v>
      </c>
      <c r="C159" s="28" t="s">
        <v>79</v>
      </c>
      <c r="D159" s="28" t="s">
        <v>80</v>
      </c>
      <c r="E159" s="28"/>
      <c r="F159" s="28" t="s">
        <v>12886</v>
      </c>
      <c r="G159" s="28"/>
      <c r="H159" s="28" t="s">
        <v>12755</v>
      </c>
      <c r="I159" s="28" t="s">
        <v>8326</v>
      </c>
      <c r="J159" s="28" t="s">
        <v>12778</v>
      </c>
      <c r="K159" s="28" t="s">
        <v>12755</v>
      </c>
      <c r="L159" s="28" t="s">
        <v>12276</v>
      </c>
      <c r="M159" s="28" t="s">
        <v>41</v>
      </c>
      <c r="N159" s="28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</row>
    <row r="160" spans="1:31" ht="14.4">
      <c r="A160" s="288" t="s">
        <v>11337</v>
      </c>
      <c r="B160" s="28" t="s">
        <v>62</v>
      </c>
      <c r="C160" s="28" t="s">
        <v>79</v>
      </c>
      <c r="D160" s="28" t="s">
        <v>80</v>
      </c>
      <c r="E160" s="28"/>
      <c r="F160" s="28" t="s">
        <v>12894</v>
      </c>
      <c r="G160" s="28"/>
      <c r="H160" s="28" t="s">
        <v>12755</v>
      </c>
      <c r="I160" s="28" t="s">
        <v>8326</v>
      </c>
      <c r="J160" s="28">
        <v>0</v>
      </c>
      <c r="K160" s="28" t="s">
        <v>12755</v>
      </c>
      <c r="L160" s="28" t="s">
        <v>12195</v>
      </c>
      <c r="M160" s="28" t="s">
        <v>41</v>
      </c>
      <c r="N160" s="28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</row>
    <row r="161" spans="1:31" ht="14.4">
      <c r="A161" s="288" t="s">
        <v>11337</v>
      </c>
      <c r="B161" s="28" t="s">
        <v>62</v>
      </c>
      <c r="C161" s="28" t="s">
        <v>79</v>
      </c>
      <c r="D161" s="28" t="s">
        <v>80</v>
      </c>
      <c r="E161" s="28"/>
      <c r="F161" s="28" t="s">
        <v>12896</v>
      </c>
      <c r="G161" s="28"/>
      <c r="H161" s="28" t="s">
        <v>12227</v>
      </c>
      <c r="I161" s="28" t="s">
        <v>12229</v>
      </c>
      <c r="J161" s="28">
        <v>0</v>
      </c>
      <c r="K161" s="28" t="s">
        <v>12227</v>
      </c>
      <c r="L161" s="28" t="s">
        <v>12898</v>
      </c>
      <c r="M161" s="28" t="s">
        <v>41</v>
      </c>
      <c r="N161" s="28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</row>
    <row r="162" spans="1:31" ht="14.4">
      <c r="A162" s="288" t="s">
        <v>11337</v>
      </c>
      <c r="B162" s="28" t="s">
        <v>62</v>
      </c>
      <c r="C162" s="28" t="s">
        <v>79</v>
      </c>
      <c r="D162" s="28" t="s">
        <v>80</v>
      </c>
      <c r="E162" s="28"/>
      <c r="F162" s="28" t="s">
        <v>12905</v>
      </c>
      <c r="G162" s="28"/>
      <c r="H162" s="28" t="s">
        <v>12171</v>
      </c>
      <c r="I162" s="28" t="s">
        <v>12048</v>
      </c>
      <c r="J162" s="28">
        <v>0</v>
      </c>
      <c r="K162" s="28" t="s">
        <v>12171</v>
      </c>
      <c r="L162" s="28" t="s">
        <v>12195</v>
      </c>
      <c r="M162" s="28" t="s">
        <v>41</v>
      </c>
      <c r="N162" s="28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</row>
    <row r="163" spans="1:31" ht="14.4">
      <c r="A163" s="288" t="s">
        <v>11337</v>
      </c>
      <c r="B163" s="28" t="s">
        <v>62</v>
      </c>
      <c r="C163" s="28" t="s">
        <v>319</v>
      </c>
      <c r="D163" s="28" t="s">
        <v>796</v>
      </c>
      <c r="E163" s="28" t="s">
        <v>54</v>
      </c>
      <c r="F163" s="79" t="s">
        <v>12912</v>
      </c>
      <c r="G163" s="28"/>
      <c r="H163" s="28" t="s">
        <v>12914</v>
      </c>
      <c r="I163" s="28" t="s">
        <v>5007</v>
      </c>
      <c r="J163" s="28" t="s">
        <v>12915</v>
      </c>
      <c r="K163" s="28" t="s">
        <v>12914</v>
      </c>
      <c r="L163" s="28" t="s">
        <v>12898</v>
      </c>
      <c r="M163" s="28" t="s">
        <v>41</v>
      </c>
      <c r="N163" s="28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</row>
    <row r="164" spans="1:31" ht="14.4">
      <c r="A164" s="288" t="s">
        <v>11337</v>
      </c>
      <c r="B164" s="28" t="s">
        <v>62</v>
      </c>
      <c r="C164" s="28" t="s">
        <v>319</v>
      </c>
      <c r="D164" s="28" t="s">
        <v>796</v>
      </c>
      <c r="E164" s="28" t="s">
        <v>54</v>
      </c>
      <c r="F164" s="79" t="s">
        <v>12923</v>
      </c>
      <c r="G164" s="28"/>
      <c r="H164" s="28" t="s">
        <v>12711</v>
      </c>
      <c r="I164" s="28" t="s">
        <v>9599</v>
      </c>
      <c r="J164" s="28" t="s">
        <v>12926</v>
      </c>
      <c r="K164" s="28" t="s">
        <v>12711</v>
      </c>
      <c r="L164" s="28" t="s">
        <v>12928</v>
      </c>
      <c r="M164" s="28" t="s">
        <v>41</v>
      </c>
      <c r="N164" s="28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</row>
    <row r="165" spans="1:31" ht="14.4">
      <c r="A165" s="288" t="s">
        <v>11337</v>
      </c>
      <c r="B165" s="28" t="s">
        <v>62</v>
      </c>
      <c r="C165" s="28" t="s">
        <v>319</v>
      </c>
      <c r="D165" s="28" t="s">
        <v>796</v>
      </c>
      <c r="E165" s="28" t="s">
        <v>54</v>
      </c>
      <c r="F165" s="79" t="s">
        <v>12930</v>
      </c>
      <c r="G165" s="28"/>
      <c r="H165" s="28" t="s">
        <v>12931</v>
      </c>
      <c r="I165" s="28" t="s">
        <v>4955</v>
      </c>
      <c r="J165" s="28" t="s">
        <v>12933</v>
      </c>
      <c r="K165" s="28" t="s">
        <v>12934</v>
      </c>
      <c r="L165" s="28" t="s">
        <v>12935</v>
      </c>
      <c r="M165" s="28" t="s">
        <v>41</v>
      </c>
      <c r="N165" s="28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</row>
    <row r="166" spans="1:31" ht="14.4">
      <c r="A166" s="288" t="s">
        <v>11337</v>
      </c>
      <c r="B166" s="28" t="s">
        <v>62</v>
      </c>
      <c r="C166" s="28" t="s">
        <v>319</v>
      </c>
      <c r="D166" s="28" t="s">
        <v>796</v>
      </c>
      <c r="E166" s="28" t="s">
        <v>54</v>
      </c>
      <c r="F166" s="79" t="s">
        <v>12940</v>
      </c>
      <c r="G166" s="28"/>
      <c r="H166" s="28" t="s">
        <v>12271</v>
      </c>
      <c r="I166" s="28" t="s">
        <v>8326</v>
      </c>
      <c r="J166" s="28" t="s">
        <v>12943</v>
      </c>
      <c r="K166" s="28" t="s">
        <v>12271</v>
      </c>
      <c r="L166" s="28" t="s">
        <v>12898</v>
      </c>
      <c r="M166" s="28" t="s">
        <v>41</v>
      </c>
      <c r="N166" s="28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</row>
    <row r="167" spans="1:31" ht="14.4">
      <c r="A167" s="288" t="s">
        <v>11337</v>
      </c>
      <c r="B167" s="28" t="s">
        <v>62</v>
      </c>
      <c r="C167" s="28" t="s">
        <v>319</v>
      </c>
      <c r="D167" s="28" t="s">
        <v>796</v>
      </c>
      <c r="E167" s="28" t="s">
        <v>54</v>
      </c>
      <c r="F167" s="79" t="s">
        <v>12946</v>
      </c>
      <c r="G167" s="28"/>
      <c r="H167" s="28" t="s">
        <v>12948</v>
      </c>
      <c r="I167" s="28" t="s">
        <v>5754</v>
      </c>
      <c r="J167" s="28" t="s">
        <v>12949</v>
      </c>
      <c r="K167" s="28" t="s">
        <v>12948</v>
      </c>
      <c r="L167" s="28" t="s">
        <v>12950</v>
      </c>
      <c r="M167" s="28" t="s">
        <v>41</v>
      </c>
      <c r="N167" s="28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</row>
    <row r="168" spans="1:31" ht="14.4">
      <c r="A168" s="288" t="s">
        <v>11337</v>
      </c>
      <c r="B168" s="28" t="s">
        <v>62</v>
      </c>
      <c r="C168" s="28" t="s">
        <v>319</v>
      </c>
      <c r="D168" s="28" t="s">
        <v>796</v>
      </c>
      <c r="E168" s="28" t="s">
        <v>54</v>
      </c>
      <c r="F168" s="79" t="s">
        <v>12957</v>
      </c>
      <c r="G168" s="28"/>
      <c r="H168" s="28" t="s">
        <v>12959</v>
      </c>
      <c r="I168" s="28" t="s">
        <v>12960</v>
      </c>
      <c r="J168" s="28" t="s">
        <v>12961</v>
      </c>
      <c r="K168" s="28" t="s">
        <v>12959</v>
      </c>
      <c r="L168" s="28" t="s">
        <v>12962</v>
      </c>
      <c r="M168" s="28" t="s">
        <v>41</v>
      </c>
      <c r="N168" s="28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</row>
    <row r="169" spans="1:31" ht="14.4">
      <c r="A169" s="288" t="s">
        <v>11337</v>
      </c>
      <c r="B169" s="28" t="s">
        <v>62</v>
      </c>
      <c r="C169" s="28" t="s">
        <v>319</v>
      </c>
      <c r="D169" s="28" t="s">
        <v>796</v>
      </c>
      <c r="E169" s="28" t="s">
        <v>54</v>
      </c>
      <c r="F169" s="79" t="s">
        <v>12946</v>
      </c>
      <c r="G169" s="28"/>
      <c r="H169" s="28" t="s">
        <v>12970</v>
      </c>
      <c r="I169" s="28" t="s">
        <v>12971</v>
      </c>
      <c r="J169" s="28" t="s">
        <v>12973</v>
      </c>
      <c r="K169" s="28" t="s">
        <v>12970</v>
      </c>
      <c r="L169" s="28" t="s">
        <v>12974</v>
      </c>
      <c r="M169" s="28" t="s">
        <v>41</v>
      </c>
      <c r="N169" s="28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</row>
    <row r="170" spans="1:31" ht="14.4">
      <c r="A170" s="288" t="s">
        <v>11337</v>
      </c>
      <c r="B170" s="28" t="s">
        <v>11370</v>
      </c>
      <c r="C170" s="28" t="s">
        <v>319</v>
      </c>
      <c r="D170" s="28" t="s">
        <v>796</v>
      </c>
      <c r="E170" s="28" t="s">
        <v>54</v>
      </c>
      <c r="F170" s="79" t="s">
        <v>12981</v>
      </c>
      <c r="G170" s="28"/>
      <c r="H170" s="28" t="s">
        <v>12982</v>
      </c>
      <c r="I170" s="28" t="s">
        <v>2400</v>
      </c>
      <c r="J170" s="28"/>
      <c r="K170" s="28" t="s">
        <v>12982</v>
      </c>
      <c r="L170" s="28" t="s">
        <v>12984</v>
      </c>
      <c r="M170" s="28" t="s">
        <v>41</v>
      </c>
      <c r="N170" s="28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</row>
    <row r="171" spans="1:31" ht="14.4">
      <c r="A171" s="288" t="s">
        <v>11337</v>
      </c>
      <c r="B171" s="28" t="s">
        <v>11370</v>
      </c>
      <c r="C171" s="28" t="s">
        <v>319</v>
      </c>
      <c r="D171" s="28" t="s">
        <v>796</v>
      </c>
      <c r="E171" s="28" t="s">
        <v>54</v>
      </c>
      <c r="F171" s="79" t="s">
        <v>12991</v>
      </c>
      <c r="G171" s="28"/>
      <c r="H171" s="28" t="s">
        <v>12992</v>
      </c>
      <c r="I171" s="28" t="s">
        <v>887</v>
      </c>
      <c r="J171" s="28"/>
      <c r="K171" s="28" t="s">
        <v>12992</v>
      </c>
      <c r="L171" s="28" t="s">
        <v>12984</v>
      </c>
      <c r="M171" s="28" t="s">
        <v>41</v>
      </c>
      <c r="N171" s="28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</row>
    <row r="172" spans="1:31" ht="14.4">
      <c r="A172" s="288" t="s">
        <v>11337</v>
      </c>
      <c r="B172" s="28" t="s">
        <v>11370</v>
      </c>
      <c r="C172" s="28" t="s">
        <v>319</v>
      </c>
      <c r="D172" s="28" t="s">
        <v>796</v>
      </c>
      <c r="E172" s="28" t="s">
        <v>54</v>
      </c>
      <c r="F172" s="79" t="s">
        <v>12996</v>
      </c>
      <c r="G172" s="28"/>
      <c r="H172" s="28" t="s">
        <v>12997</v>
      </c>
      <c r="I172" s="28" t="s">
        <v>521</v>
      </c>
      <c r="J172" s="28"/>
      <c r="K172" s="28" t="s">
        <v>12997</v>
      </c>
      <c r="L172" s="28" t="s">
        <v>12984</v>
      </c>
      <c r="M172" s="28" t="s">
        <v>41</v>
      </c>
      <c r="N172" s="28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</row>
    <row r="173" spans="1:31" ht="14.4">
      <c r="A173" s="288" t="s">
        <v>11337</v>
      </c>
      <c r="B173" s="28" t="s">
        <v>11370</v>
      </c>
      <c r="C173" s="28" t="s">
        <v>319</v>
      </c>
      <c r="D173" s="28" t="s">
        <v>796</v>
      </c>
      <c r="E173" s="28" t="s">
        <v>54</v>
      </c>
      <c r="F173" s="79" t="s">
        <v>13005</v>
      </c>
      <c r="G173" s="28"/>
      <c r="H173" s="28" t="s">
        <v>13006</v>
      </c>
      <c r="I173" s="28" t="s">
        <v>7741</v>
      </c>
      <c r="J173" s="28"/>
      <c r="K173" s="28" t="s">
        <v>13006</v>
      </c>
      <c r="L173" s="28" t="s">
        <v>12984</v>
      </c>
      <c r="M173" s="28" t="s">
        <v>41</v>
      </c>
      <c r="N173" s="28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</row>
    <row r="174" spans="1:31" ht="14.4">
      <c r="A174" s="288" t="s">
        <v>11337</v>
      </c>
      <c r="B174" s="28" t="s">
        <v>11357</v>
      </c>
      <c r="C174" s="28" t="s">
        <v>319</v>
      </c>
      <c r="D174" s="28" t="s">
        <v>796</v>
      </c>
      <c r="E174" s="28" t="s">
        <v>54</v>
      </c>
      <c r="F174" s="79" t="s">
        <v>13010</v>
      </c>
      <c r="G174" s="28"/>
      <c r="H174" s="28" t="s">
        <v>13011</v>
      </c>
      <c r="I174" s="28" t="s">
        <v>13012</v>
      </c>
      <c r="J174" s="28" t="s">
        <v>13014</v>
      </c>
      <c r="K174" s="28" t="s">
        <v>13011</v>
      </c>
      <c r="L174" s="28" t="s">
        <v>989</v>
      </c>
      <c r="M174" s="28" t="s">
        <v>41</v>
      </c>
      <c r="N174" s="28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</row>
    <row r="175" spans="1:31" ht="14.4">
      <c r="A175" s="288" t="s">
        <v>11337</v>
      </c>
      <c r="B175" s="28" t="s">
        <v>11357</v>
      </c>
      <c r="C175" s="28" t="s">
        <v>319</v>
      </c>
      <c r="D175" s="28" t="s">
        <v>796</v>
      </c>
      <c r="E175" s="28" t="s">
        <v>54</v>
      </c>
      <c r="F175" s="79" t="s">
        <v>13018</v>
      </c>
      <c r="G175" s="28"/>
      <c r="H175" s="28" t="s">
        <v>12411</v>
      </c>
      <c r="I175" s="28" t="s">
        <v>3573</v>
      </c>
      <c r="J175" s="28" t="s">
        <v>13021</v>
      </c>
      <c r="K175" s="28" t="s">
        <v>12411</v>
      </c>
      <c r="L175" s="28" t="s">
        <v>989</v>
      </c>
      <c r="M175" s="28" t="s">
        <v>41</v>
      </c>
      <c r="N175" s="28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</row>
    <row r="176" spans="1:31" ht="14.4">
      <c r="A176" s="288" t="s">
        <v>11337</v>
      </c>
      <c r="B176" s="28" t="s">
        <v>11357</v>
      </c>
      <c r="C176" s="28" t="s">
        <v>319</v>
      </c>
      <c r="D176" s="28" t="s">
        <v>796</v>
      </c>
      <c r="E176" s="28" t="s">
        <v>54</v>
      </c>
      <c r="F176" s="79" t="s">
        <v>13026</v>
      </c>
      <c r="G176" s="28"/>
      <c r="H176" s="28" t="s">
        <v>13028</v>
      </c>
      <c r="I176" s="28" t="s">
        <v>898</v>
      </c>
      <c r="J176" s="28" t="s">
        <v>13029</v>
      </c>
      <c r="K176" s="28" t="s">
        <v>13028</v>
      </c>
      <c r="L176" s="28" t="s">
        <v>933</v>
      </c>
      <c r="M176" s="28" t="s">
        <v>41</v>
      </c>
      <c r="N176" s="28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</row>
    <row r="177" spans="1:31" ht="14.4">
      <c r="A177" s="288" t="s">
        <v>11337</v>
      </c>
      <c r="B177" s="28" t="s">
        <v>11357</v>
      </c>
      <c r="C177" s="28" t="s">
        <v>319</v>
      </c>
      <c r="D177" s="28" t="s">
        <v>796</v>
      </c>
      <c r="E177" s="28" t="s">
        <v>54</v>
      </c>
      <c r="F177" s="79" t="s">
        <v>13034</v>
      </c>
      <c r="G177" s="28"/>
      <c r="H177" s="28" t="s">
        <v>12400</v>
      </c>
      <c r="I177" s="28" t="s">
        <v>2790</v>
      </c>
      <c r="J177" s="28" t="s">
        <v>13037</v>
      </c>
      <c r="K177" s="28" t="s">
        <v>12400</v>
      </c>
      <c r="L177" s="28" t="s">
        <v>3389</v>
      </c>
      <c r="M177" s="28" t="s">
        <v>41</v>
      </c>
      <c r="N177" s="28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</row>
    <row r="178" spans="1:31" ht="14.4">
      <c r="A178" s="288" t="s">
        <v>11337</v>
      </c>
      <c r="B178" s="28" t="s">
        <v>62</v>
      </c>
      <c r="C178" s="28" t="s">
        <v>220</v>
      </c>
      <c r="D178" s="28" t="s">
        <v>234</v>
      </c>
      <c r="E178" s="28"/>
      <c r="F178" s="28" t="s">
        <v>13041</v>
      </c>
      <c r="G178" s="28"/>
      <c r="H178" s="28" t="s">
        <v>12583</v>
      </c>
      <c r="I178" s="28" t="s">
        <v>898</v>
      </c>
      <c r="J178" s="28" t="s">
        <v>12584</v>
      </c>
      <c r="K178" s="28" t="s">
        <v>12583</v>
      </c>
      <c r="L178" s="28" t="s">
        <v>12072</v>
      </c>
      <c r="M178" s="28" t="s">
        <v>41</v>
      </c>
      <c r="N178" s="28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</row>
    <row r="179" spans="1:31" ht="14.4">
      <c r="A179" s="288" t="s">
        <v>11337</v>
      </c>
      <c r="B179" s="28" t="s">
        <v>11340</v>
      </c>
      <c r="C179" s="28" t="s">
        <v>220</v>
      </c>
      <c r="D179" s="28" t="s">
        <v>234</v>
      </c>
      <c r="E179" s="28"/>
      <c r="F179" s="28" t="s">
        <v>13048</v>
      </c>
      <c r="G179" s="28"/>
      <c r="H179" s="28" t="s">
        <v>12329</v>
      </c>
      <c r="I179" s="28" t="s">
        <v>1252</v>
      </c>
      <c r="J179" s="28" t="s">
        <v>12330</v>
      </c>
      <c r="K179" s="28" t="s">
        <v>12329</v>
      </c>
      <c r="L179" s="28" t="s">
        <v>989</v>
      </c>
      <c r="M179" s="28" t="s">
        <v>41</v>
      </c>
      <c r="N179" s="28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</row>
    <row r="180" spans="1:31" ht="14.4">
      <c r="A180" s="288" t="s">
        <v>11337</v>
      </c>
      <c r="B180" s="28" t="s">
        <v>11340</v>
      </c>
      <c r="C180" s="107" t="s">
        <v>260</v>
      </c>
      <c r="D180" s="107" t="s">
        <v>1337</v>
      </c>
      <c r="E180" s="107"/>
      <c r="F180" s="28" t="s">
        <v>13057</v>
      </c>
      <c r="G180" s="28" t="s">
        <v>1342</v>
      </c>
      <c r="H180" s="28" t="s">
        <v>13058</v>
      </c>
      <c r="I180" s="28" t="s">
        <v>1610</v>
      </c>
      <c r="J180" s="28" t="s">
        <v>13059</v>
      </c>
      <c r="K180" s="29" t="s">
        <v>13058</v>
      </c>
      <c r="L180" s="28" t="s">
        <v>2149</v>
      </c>
      <c r="M180" s="28" t="s">
        <v>41</v>
      </c>
      <c r="N180" s="28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</row>
    <row r="181" spans="1:31" ht="14.4">
      <c r="A181" s="288" t="s">
        <v>11337</v>
      </c>
      <c r="B181" s="28" t="s">
        <v>11340</v>
      </c>
      <c r="C181" s="107" t="s">
        <v>260</v>
      </c>
      <c r="D181" s="107" t="s">
        <v>1337</v>
      </c>
      <c r="E181" s="107"/>
      <c r="F181" s="28" t="s">
        <v>13066</v>
      </c>
      <c r="G181" s="28" t="s">
        <v>1342</v>
      </c>
      <c r="H181" s="28" t="s">
        <v>13067</v>
      </c>
      <c r="I181" s="28" t="s">
        <v>1610</v>
      </c>
      <c r="J181" s="28" t="s">
        <v>13068</v>
      </c>
      <c r="K181" s="29" t="s">
        <v>13067</v>
      </c>
      <c r="L181" s="28" t="s">
        <v>2149</v>
      </c>
      <c r="M181" s="28" t="s">
        <v>41</v>
      </c>
      <c r="N181" s="28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</row>
    <row r="182" spans="1:31" ht="14.4">
      <c r="A182" s="288" t="s">
        <v>11337</v>
      </c>
      <c r="B182" s="28" t="s">
        <v>11340</v>
      </c>
      <c r="C182" s="107" t="s">
        <v>260</v>
      </c>
      <c r="D182" s="107" t="s">
        <v>1337</v>
      </c>
      <c r="E182" s="107"/>
      <c r="F182" s="28" t="s">
        <v>13073</v>
      </c>
      <c r="G182" s="28" t="s">
        <v>1342</v>
      </c>
      <c r="H182" s="28" t="s">
        <v>11432</v>
      </c>
      <c r="I182" s="28" t="s">
        <v>1610</v>
      </c>
      <c r="J182" s="28" t="s">
        <v>13074</v>
      </c>
      <c r="K182" s="29" t="s">
        <v>11432</v>
      </c>
      <c r="L182" s="28" t="s">
        <v>729</v>
      </c>
      <c r="M182" s="28" t="s">
        <v>41</v>
      </c>
      <c r="N182" s="28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</row>
    <row r="183" spans="1:31" ht="14.4">
      <c r="A183" s="288" t="s">
        <v>11337</v>
      </c>
      <c r="B183" s="28" t="s">
        <v>11340</v>
      </c>
      <c r="C183" s="107" t="s">
        <v>260</v>
      </c>
      <c r="D183" s="107" t="s">
        <v>1337</v>
      </c>
      <c r="E183" s="107"/>
      <c r="F183" s="28" t="s">
        <v>13078</v>
      </c>
      <c r="G183" s="28" t="s">
        <v>1342</v>
      </c>
      <c r="H183" s="28" t="s">
        <v>13079</v>
      </c>
      <c r="I183" s="28" t="s">
        <v>1610</v>
      </c>
      <c r="J183" s="28" t="s">
        <v>13081</v>
      </c>
      <c r="K183" s="29" t="s">
        <v>13079</v>
      </c>
      <c r="L183" s="28" t="s">
        <v>12341</v>
      </c>
      <c r="M183" s="28" t="s">
        <v>41</v>
      </c>
      <c r="N183" s="28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</row>
    <row r="184" spans="1:31" ht="14.4">
      <c r="A184" s="288" t="s">
        <v>11337</v>
      </c>
      <c r="B184" s="28" t="s">
        <v>11340</v>
      </c>
      <c r="C184" s="107" t="s">
        <v>260</v>
      </c>
      <c r="D184" s="107" t="s">
        <v>1337</v>
      </c>
      <c r="E184" s="107"/>
      <c r="F184" s="28" t="s">
        <v>13085</v>
      </c>
      <c r="G184" s="28" t="s">
        <v>1342</v>
      </c>
      <c r="H184" s="28" t="s">
        <v>13087</v>
      </c>
      <c r="I184" s="28" t="s">
        <v>1610</v>
      </c>
      <c r="J184" s="28" t="s">
        <v>13090</v>
      </c>
      <c r="K184" s="29" t="s">
        <v>13087</v>
      </c>
      <c r="L184" s="28" t="s">
        <v>11564</v>
      </c>
      <c r="M184" s="28" t="s">
        <v>41</v>
      </c>
      <c r="N184" s="28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</row>
    <row r="185" spans="1:31" ht="14.4">
      <c r="A185" s="288" t="s">
        <v>11337</v>
      </c>
      <c r="B185" s="28" t="s">
        <v>11340</v>
      </c>
      <c r="C185" s="107" t="s">
        <v>260</v>
      </c>
      <c r="D185" s="107" t="s">
        <v>1337</v>
      </c>
      <c r="E185" s="107"/>
      <c r="F185" s="28" t="s">
        <v>13093</v>
      </c>
      <c r="G185" s="28" t="s">
        <v>1342</v>
      </c>
      <c r="H185" s="28" t="s">
        <v>12351</v>
      </c>
      <c r="I185" s="28" t="s">
        <v>1610</v>
      </c>
      <c r="J185" s="28" t="s">
        <v>13095</v>
      </c>
      <c r="K185" s="29" t="s">
        <v>12351</v>
      </c>
      <c r="L185" s="28" t="s">
        <v>13096</v>
      </c>
      <c r="M185" s="28" t="s">
        <v>41</v>
      </c>
      <c r="N185" s="28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</row>
    <row r="186" spans="1:31" ht="14.4">
      <c r="A186" s="288" t="s">
        <v>11337</v>
      </c>
      <c r="B186" s="28" t="s">
        <v>11340</v>
      </c>
      <c r="C186" s="107" t="s">
        <v>260</v>
      </c>
      <c r="D186" s="107" t="s">
        <v>1337</v>
      </c>
      <c r="E186" s="107"/>
      <c r="F186" s="28" t="s">
        <v>13100</v>
      </c>
      <c r="G186" s="28" t="s">
        <v>1342</v>
      </c>
      <c r="H186" s="28" t="s">
        <v>13101</v>
      </c>
      <c r="I186" s="28" t="s">
        <v>1610</v>
      </c>
      <c r="J186" s="28" t="s">
        <v>13102</v>
      </c>
      <c r="K186" s="29" t="s">
        <v>13103</v>
      </c>
      <c r="L186" s="28" t="s">
        <v>729</v>
      </c>
      <c r="M186" s="28" t="s">
        <v>41</v>
      </c>
      <c r="N186" s="28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</row>
    <row r="187" spans="1:31" ht="14.4">
      <c r="A187" s="288" t="s">
        <v>11337</v>
      </c>
      <c r="B187" s="28" t="s">
        <v>11340</v>
      </c>
      <c r="C187" s="107" t="s">
        <v>260</v>
      </c>
      <c r="D187" s="107" t="s">
        <v>1337</v>
      </c>
      <c r="E187" s="107"/>
      <c r="F187" s="28" t="s">
        <v>13105</v>
      </c>
      <c r="G187" s="28" t="s">
        <v>1342</v>
      </c>
      <c r="H187" s="28" t="s">
        <v>13106</v>
      </c>
      <c r="I187" s="28" t="s">
        <v>1610</v>
      </c>
      <c r="J187" s="28" t="s">
        <v>13107</v>
      </c>
      <c r="K187" s="29" t="s">
        <v>13106</v>
      </c>
      <c r="L187" s="28" t="s">
        <v>11547</v>
      </c>
      <c r="M187" s="28" t="s">
        <v>41</v>
      </c>
      <c r="N187" s="28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</row>
    <row r="188" spans="1:31" ht="14.4">
      <c r="A188" s="288" t="s">
        <v>11337</v>
      </c>
      <c r="B188" s="28" t="s">
        <v>11340</v>
      </c>
      <c r="C188" s="107" t="s">
        <v>260</v>
      </c>
      <c r="D188" s="107" t="s">
        <v>1337</v>
      </c>
      <c r="E188" s="107"/>
      <c r="F188" s="28" t="s">
        <v>13111</v>
      </c>
      <c r="G188" s="28" t="s">
        <v>1342</v>
      </c>
      <c r="H188" s="28" t="s">
        <v>13112</v>
      </c>
      <c r="I188" s="28" t="s">
        <v>1610</v>
      </c>
      <c r="J188" s="28" t="s">
        <v>13113</v>
      </c>
      <c r="K188" s="29" t="s">
        <v>13112</v>
      </c>
      <c r="L188" s="28" t="s">
        <v>11517</v>
      </c>
      <c r="M188" s="28" t="s">
        <v>41</v>
      </c>
      <c r="N188" s="28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</row>
    <row r="189" spans="1:31" ht="14.4">
      <c r="A189" s="288" t="s">
        <v>11337</v>
      </c>
      <c r="B189" s="28" t="s">
        <v>11340</v>
      </c>
      <c r="C189" s="107" t="s">
        <v>260</v>
      </c>
      <c r="D189" s="107" t="s">
        <v>1337</v>
      </c>
      <c r="E189" s="107"/>
      <c r="F189" s="28" t="s">
        <v>13116</v>
      </c>
      <c r="G189" s="28" t="s">
        <v>1342</v>
      </c>
      <c r="H189" s="28" t="s">
        <v>13118</v>
      </c>
      <c r="I189" s="28" t="s">
        <v>1610</v>
      </c>
      <c r="J189" s="28" t="s">
        <v>13119</v>
      </c>
      <c r="K189" s="29" t="s">
        <v>13118</v>
      </c>
      <c r="L189" s="28" t="s">
        <v>729</v>
      </c>
      <c r="M189" s="28" t="s">
        <v>41</v>
      </c>
      <c r="N189" s="28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</row>
    <row r="190" spans="1:31" ht="14.4">
      <c r="A190" s="288" t="s">
        <v>11337</v>
      </c>
      <c r="B190" s="28" t="s">
        <v>11340</v>
      </c>
      <c r="C190" s="107" t="s">
        <v>260</v>
      </c>
      <c r="D190" s="107" t="s">
        <v>1337</v>
      </c>
      <c r="E190" s="107"/>
      <c r="F190" s="28" t="s">
        <v>13121</v>
      </c>
      <c r="G190" s="28" t="s">
        <v>1342</v>
      </c>
      <c r="H190" s="28" t="s">
        <v>13124</v>
      </c>
      <c r="I190" s="28" t="s">
        <v>1610</v>
      </c>
      <c r="J190" s="28" t="s">
        <v>13125</v>
      </c>
      <c r="K190" s="29" t="s">
        <v>13124</v>
      </c>
      <c r="L190" s="28" t="s">
        <v>13127</v>
      </c>
      <c r="M190" s="28" t="s">
        <v>41</v>
      </c>
      <c r="N190" s="28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</row>
    <row r="191" spans="1:31" ht="14.4">
      <c r="A191" s="288" t="s">
        <v>11337</v>
      </c>
      <c r="B191" s="28" t="s">
        <v>11340</v>
      </c>
      <c r="C191" s="107" t="s">
        <v>260</v>
      </c>
      <c r="D191" s="107" t="s">
        <v>1337</v>
      </c>
      <c r="E191" s="107"/>
      <c r="F191" s="28" t="s">
        <v>13128</v>
      </c>
      <c r="G191" s="28" t="s">
        <v>1342</v>
      </c>
      <c r="H191" s="28" t="s">
        <v>13129</v>
      </c>
      <c r="I191" s="28" t="s">
        <v>1610</v>
      </c>
      <c r="J191" s="28" t="s">
        <v>13130</v>
      </c>
      <c r="K191" s="29" t="s">
        <v>13129</v>
      </c>
      <c r="L191" s="28" t="s">
        <v>729</v>
      </c>
      <c r="M191" s="28" t="s">
        <v>41</v>
      </c>
      <c r="N191" s="28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</row>
    <row r="192" spans="1:31" ht="14.4">
      <c r="A192" s="288" t="s">
        <v>11337</v>
      </c>
      <c r="B192" s="28" t="s">
        <v>11340</v>
      </c>
      <c r="C192" s="107" t="s">
        <v>260</v>
      </c>
      <c r="D192" s="107" t="s">
        <v>1337</v>
      </c>
      <c r="E192" s="107"/>
      <c r="F192" s="28" t="s">
        <v>13136</v>
      </c>
      <c r="G192" s="28" t="s">
        <v>1342</v>
      </c>
      <c r="H192" s="28" t="s">
        <v>13138</v>
      </c>
      <c r="I192" s="28" t="s">
        <v>1610</v>
      </c>
      <c r="J192" s="28" t="s">
        <v>13139</v>
      </c>
      <c r="K192" s="241" t="s">
        <v>13138</v>
      </c>
      <c r="L192" s="314" t="s">
        <v>729</v>
      </c>
      <c r="M192" s="28" t="s">
        <v>41</v>
      </c>
      <c r="N192" s="28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</row>
    <row r="193" spans="1:31" ht="14.4">
      <c r="A193" s="288" t="s">
        <v>11337</v>
      </c>
      <c r="B193" s="28" t="s">
        <v>11357</v>
      </c>
      <c r="C193" s="107" t="s">
        <v>260</v>
      </c>
      <c r="D193" s="107" t="s">
        <v>1337</v>
      </c>
      <c r="E193" s="107"/>
      <c r="F193" s="28" t="s">
        <v>13146</v>
      </c>
      <c r="G193" s="28" t="s">
        <v>1342</v>
      </c>
      <c r="H193" s="28" t="s">
        <v>13149</v>
      </c>
      <c r="I193" s="28" t="s">
        <v>9402</v>
      </c>
      <c r="J193" s="28" t="s">
        <v>13151</v>
      </c>
      <c r="K193" s="28" t="s">
        <v>13149</v>
      </c>
      <c r="L193" s="28" t="s">
        <v>989</v>
      </c>
      <c r="M193" s="28" t="s">
        <v>41</v>
      </c>
      <c r="N193" s="28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</row>
    <row r="194" spans="1:31" ht="14.4">
      <c r="A194" s="288" t="s">
        <v>11337</v>
      </c>
      <c r="B194" s="28" t="s">
        <v>11357</v>
      </c>
      <c r="C194" s="107" t="s">
        <v>260</v>
      </c>
      <c r="D194" s="107" t="s">
        <v>1337</v>
      </c>
      <c r="E194" s="107"/>
      <c r="F194" s="28" t="s">
        <v>13154</v>
      </c>
      <c r="G194" s="28" t="s">
        <v>1342</v>
      </c>
      <c r="H194" s="28" t="s">
        <v>13155</v>
      </c>
      <c r="I194" s="28" t="s">
        <v>2714</v>
      </c>
      <c r="J194" s="28" t="s">
        <v>13156</v>
      </c>
      <c r="K194" s="28" t="s">
        <v>13155</v>
      </c>
      <c r="L194" s="28" t="s">
        <v>989</v>
      </c>
      <c r="M194" s="28" t="s">
        <v>41</v>
      </c>
      <c r="N194" s="28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</row>
    <row r="195" spans="1:31" ht="14.4">
      <c r="A195" s="288" t="s">
        <v>11337</v>
      </c>
      <c r="B195" s="28" t="s">
        <v>11357</v>
      </c>
      <c r="C195" s="107" t="s">
        <v>260</v>
      </c>
      <c r="D195" s="107" t="s">
        <v>1337</v>
      </c>
      <c r="E195" s="107"/>
      <c r="F195" s="28" t="s">
        <v>13162</v>
      </c>
      <c r="G195" s="28" t="s">
        <v>1342</v>
      </c>
      <c r="H195" s="28" t="s">
        <v>13163</v>
      </c>
      <c r="I195" s="28" t="s">
        <v>3498</v>
      </c>
      <c r="J195" s="28" t="s">
        <v>13166</v>
      </c>
      <c r="K195" s="28" t="s">
        <v>13163</v>
      </c>
      <c r="L195" s="28" t="s">
        <v>989</v>
      </c>
      <c r="M195" s="28" t="s">
        <v>41</v>
      </c>
      <c r="N195" s="28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</row>
    <row r="196" spans="1:31" ht="14.4">
      <c r="A196" s="288" t="s">
        <v>11337</v>
      </c>
      <c r="B196" s="28" t="s">
        <v>11357</v>
      </c>
      <c r="C196" s="107" t="s">
        <v>260</v>
      </c>
      <c r="D196" s="107" t="s">
        <v>1337</v>
      </c>
      <c r="E196" s="107"/>
      <c r="F196" s="28" t="s">
        <v>13170</v>
      </c>
      <c r="G196" s="28" t="s">
        <v>1342</v>
      </c>
      <c r="H196" s="28" t="s">
        <v>13173</v>
      </c>
      <c r="I196" s="28" t="s">
        <v>3181</v>
      </c>
      <c r="J196" s="28" t="s">
        <v>13176</v>
      </c>
      <c r="K196" s="28" t="s">
        <v>13173</v>
      </c>
      <c r="L196" s="28" t="s">
        <v>989</v>
      </c>
      <c r="M196" s="28" t="s">
        <v>41</v>
      </c>
      <c r="N196" s="28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</row>
    <row r="197" spans="1:31" ht="14.4">
      <c r="A197" s="288" t="s">
        <v>11337</v>
      </c>
      <c r="B197" s="28" t="s">
        <v>11357</v>
      </c>
      <c r="C197" s="107" t="s">
        <v>260</v>
      </c>
      <c r="D197" s="107" t="s">
        <v>1337</v>
      </c>
      <c r="E197" s="107"/>
      <c r="F197" s="28" t="s">
        <v>13184</v>
      </c>
      <c r="G197" s="28" t="s">
        <v>1342</v>
      </c>
      <c r="H197" s="28" t="s">
        <v>12631</v>
      </c>
      <c r="I197" s="28" t="s">
        <v>3498</v>
      </c>
      <c r="J197" s="28" t="s">
        <v>13185</v>
      </c>
      <c r="K197" s="28" t="s">
        <v>12631</v>
      </c>
      <c r="L197" s="28" t="s">
        <v>989</v>
      </c>
      <c r="M197" s="28" t="s">
        <v>41</v>
      </c>
      <c r="N197" s="28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</row>
    <row r="198" spans="1:31" ht="14.4">
      <c r="A198" s="288" t="s">
        <v>11337</v>
      </c>
      <c r="B198" s="28" t="s">
        <v>11357</v>
      </c>
      <c r="C198" s="107" t="s">
        <v>260</v>
      </c>
      <c r="D198" s="107" t="s">
        <v>1337</v>
      </c>
      <c r="E198" s="107"/>
      <c r="F198" s="28" t="s">
        <v>13191</v>
      </c>
      <c r="G198" s="28" t="s">
        <v>1342</v>
      </c>
      <c r="H198" s="28" t="s">
        <v>13193</v>
      </c>
      <c r="I198" s="28" t="s">
        <v>887</v>
      </c>
      <c r="J198" s="28" t="s">
        <v>13194</v>
      </c>
      <c r="K198" s="28" t="s">
        <v>13193</v>
      </c>
      <c r="L198" s="28" t="s">
        <v>989</v>
      </c>
      <c r="M198" s="28" t="s">
        <v>41</v>
      </c>
      <c r="N198" s="28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</row>
    <row r="199" spans="1:31" ht="14.4">
      <c r="A199" s="288" t="s">
        <v>11337</v>
      </c>
      <c r="B199" s="28" t="s">
        <v>11357</v>
      </c>
      <c r="C199" s="107" t="s">
        <v>260</v>
      </c>
      <c r="D199" s="107" t="s">
        <v>1337</v>
      </c>
      <c r="E199" s="107"/>
      <c r="F199" s="28" t="s">
        <v>13198</v>
      </c>
      <c r="G199" s="28" t="s">
        <v>1342</v>
      </c>
      <c r="H199" s="28" t="s">
        <v>13199</v>
      </c>
      <c r="I199" s="28" t="s">
        <v>887</v>
      </c>
      <c r="J199" s="28" t="s">
        <v>13200</v>
      </c>
      <c r="K199" s="28" t="s">
        <v>13199</v>
      </c>
      <c r="L199" s="28" t="s">
        <v>933</v>
      </c>
      <c r="M199" s="28" t="s">
        <v>41</v>
      </c>
      <c r="N199" s="28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</row>
    <row r="200" spans="1:31" ht="14.4">
      <c r="A200" s="288" t="s">
        <v>11337</v>
      </c>
      <c r="B200" s="28" t="s">
        <v>11357</v>
      </c>
      <c r="C200" s="107" t="s">
        <v>260</v>
      </c>
      <c r="D200" s="107" t="s">
        <v>1337</v>
      </c>
      <c r="E200" s="107"/>
      <c r="F200" s="28" t="s">
        <v>13203</v>
      </c>
      <c r="G200" s="28" t="s">
        <v>1342</v>
      </c>
      <c r="H200" s="28" t="s">
        <v>13204</v>
      </c>
      <c r="I200" s="28" t="s">
        <v>887</v>
      </c>
      <c r="J200" s="28" t="s">
        <v>13205</v>
      </c>
      <c r="K200" s="28" t="s">
        <v>13204</v>
      </c>
      <c r="L200" s="28" t="s">
        <v>3389</v>
      </c>
      <c r="M200" s="28" t="s">
        <v>41</v>
      </c>
      <c r="N200" s="28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</row>
    <row r="201" spans="1:31" ht="14.4">
      <c r="A201" s="288" t="s">
        <v>11337</v>
      </c>
      <c r="B201" s="28" t="s">
        <v>11357</v>
      </c>
      <c r="C201" s="107" t="s">
        <v>260</v>
      </c>
      <c r="D201" s="107" t="s">
        <v>1337</v>
      </c>
      <c r="E201" s="107"/>
      <c r="F201" s="28" t="s">
        <v>13207</v>
      </c>
      <c r="G201" s="28" t="s">
        <v>1342</v>
      </c>
      <c r="H201" s="28" t="s">
        <v>13208</v>
      </c>
      <c r="I201" s="28" t="s">
        <v>898</v>
      </c>
      <c r="J201" s="28" t="s">
        <v>13210</v>
      </c>
      <c r="K201" s="28" t="s">
        <v>13208</v>
      </c>
      <c r="L201" s="28" t="s">
        <v>989</v>
      </c>
      <c r="M201" s="28" t="s">
        <v>41</v>
      </c>
      <c r="N201" s="28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</row>
    <row r="202" spans="1:31" ht="14.4">
      <c r="A202" s="288" t="s">
        <v>11337</v>
      </c>
      <c r="B202" s="28" t="s">
        <v>11357</v>
      </c>
      <c r="C202" s="107" t="s">
        <v>260</v>
      </c>
      <c r="D202" s="107" t="s">
        <v>1337</v>
      </c>
      <c r="E202" s="107"/>
      <c r="F202" s="28" t="s">
        <v>13212</v>
      </c>
      <c r="G202" s="28" t="s">
        <v>1342</v>
      </c>
      <c r="H202" s="28" t="s">
        <v>13028</v>
      </c>
      <c r="I202" s="28" t="s">
        <v>898</v>
      </c>
      <c r="J202" s="28" t="s">
        <v>13213</v>
      </c>
      <c r="K202" s="28" t="s">
        <v>13028</v>
      </c>
      <c r="L202" s="28" t="s">
        <v>3389</v>
      </c>
      <c r="M202" s="28" t="s">
        <v>41</v>
      </c>
      <c r="N202" s="28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</row>
    <row r="203" spans="1:31" ht="14.4">
      <c r="A203" s="288" t="s">
        <v>11337</v>
      </c>
      <c r="B203" s="28" t="s">
        <v>11357</v>
      </c>
      <c r="C203" s="107" t="s">
        <v>260</v>
      </c>
      <c r="D203" s="107" t="s">
        <v>1337</v>
      </c>
      <c r="E203" s="107"/>
      <c r="F203" s="28" t="s">
        <v>13219</v>
      </c>
      <c r="G203" s="28" t="s">
        <v>1342</v>
      </c>
      <c r="H203" s="28" t="s">
        <v>13220</v>
      </c>
      <c r="I203" s="28" t="s">
        <v>898</v>
      </c>
      <c r="J203" s="28" t="s">
        <v>13221</v>
      </c>
      <c r="K203" s="28" t="s">
        <v>13220</v>
      </c>
      <c r="L203" s="28" t="s">
        <v>989</v>
      </c>
      <c r="M203" s="28" t="s">
        <v>41</v>
      </c>
      <c r="N203" s="28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</row>
    <row r="204" spans="1:31" ht="14.4">
      <c r="A204" s="288" t="s">
        <v>11337</v>
      </c>
      <c r="B204" s="28" t="s">
        <v>11357</v>
      </c>
      <c r="C204" s="107" t="s">
        <v>260</v>
      </c>
      <c r="D204" s="107" t="s">
        <v>1337</v>
      </c>
      <c r="E204" s="107"/>
      <c r="F204" s="28" t="s">
        <v>13226</v>
      </c>
      <c r="G204" s="28" t="s">
        <v>1342</v>
      </c>
      <c r="H204" s="28" t="s">
        <v>12391</v>
      </c>
      <c r="I204" s="28" t="s">
        <v>887</v>
      </c>
      <c r="J204" s="28" t="s">
        <v>13227</v>
      </c>
      <c r="K204" s="28" t="s">
        <v>12391</v>
      </c>
      <c r="L204" s="28" t="s">
        <v>13228</v>
      </c>
      <c r="M204" s="28" t="s">
        <v>41</v>
      </c>
      <c r="N204" s="28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</row>
    <row r="205" spans="1:31" ht="14.4">
      <c r="A205" s="288" t="s">
        <v>11337</v>
      </c>
      <c r="B205" s="28" t="s">
        <v>11357</v>
      </c>
      <c r="C205" s="107" t="s">
        <v>260</v>
      </c>
      <c r="D205" s="107" t="s">
        <v>1337</v>
      </c>
      <c r="E205" s="107"/>
      <c r="F205" s="28" t="s">
        <v>13233</v>
      </c>
      <c r="G205" s="28" t="s">
        <v>1342</v>
      </c>
      <c r="H205" s="28" t="s">
        <v>13149</v>
      </c>
      <c r="I205" s="28" t="s">
        <v>13234</v>
      </c>
      <c r="J205" s="28" t="s">
        <v>13235</v>
      </c>
      <c r="K205" s="28" t="s">
        <v>12642</v>
      </c>
      <c r="L205" s="28" t="s">
        <v>13236</v>
      </c>
      <c r="M205" s="28" t="s">
        <v>41</v>
      </c>
      <c r="N205" s="28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</row>
    <row r="206" spans="1:31" ht="14.4">
      <c r="A206" s="288" t="s">
        <v>11337</v>
      </c>
      <c r="B206" s="28" t="s">
        <v>11357</v>
      </c>
      <c r="C206" s="107" t="s">
        <v>260</v>
      </c>
      <c r="D206" s="107" t="s">
        <v>1337</v>
      </c>
      <c r="E206" s="107"/>
      <c r="F206" s="28" t="s">
        <v>13240</v>
      </c>
      <c r="G206" s="28" t="s">
        <v>1342</v>
      </c>
      <c r="H206" s="28" t="s">
        <v>13155</v>
      </c>
      <c r="I206" s="28" t="s">
        <v>521</v>
      </c>
      <c r="J206" s="28" t="s">
        <v>13242</v>
      </c>
      <c r="K206" s="28" t="s">
        <v>13243</v>
      </c>
      <c r="L206" s="28" t="s">
        <v>13244</v>
      </c>
      <c r="M206" s="28" t="s">
        <v>41</v>
      </c>
      <c r="N206" s="28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</row>
    <row r="207" spans="1:31" ht="14.4">
      <c r="A207" s="288" t="s">
        <v>11337</v>
      </c>
      <c r="B207" s="28" t="s">
        <v>11357</v>
      </c>
      <c r="C207" s="107" t="s">
        <v>260</v>
      </c>
      <c r="D207" s="107" t="s">
        <v>1337</v>
      </c>
      <c r="E207" s="107"/>
      <c r="F207" s="28" t="s">
        <v>13249</v>
      </c>
      <c r="G207" s="28" t="s">
        <v>1342</v>
      </c>
      <c r="H207" s="28" t="s">
        <v>13163</v>
      </c>
      <c r="I207" s="28" t="s">
        <v>2714</v>
      </c>
      <c r="J207" s="28" t="s">
        <v>13250</v>
      </c>
      <c r="K207" s="28" t="s">
        <v>13251</v>
      </c>
      <c r="L207" s="28" t="s">
        <v>933</v>
      </c>
      <c r="M207" s="28" t="s">
        <v>41</v>
      </c>
      <c r="N207" s="28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</row>
    <row r="208" spans="1:31" ht="14.4">
      <c r="A208" s="288" t="s">
        <v>11337</v>
      </c>
      <c r="B208" s="28" t="s">
        <v>11357</v>
      </c>
      <c r="C208" s="107" t="s">
        <v>260</v>
      </c>
      <c r="D208" s="107" t="s">
        <v>1337</v>
      </c>
      <c r="E208" s="107"/>
      <c r="F208" s="28" t="s">
        <v>13254</v>
      </c>
      <c r="G208" s="28" t="s">
        <v>1342</v>
      </c>
      <c r="H208" s="28" t="s">
        <v>13173</v>
      </c>
      <c r="I208" s="28" t="s">
        <v>887</v>
      </c>
      <c r="J208" s="28" t="s">
        <v>13255</v>
      </c>
      <c r="K208" s="28" t="s">
        <v>13256</v>
      </c>
      <c r="L208" s="28" t="s">
        <v>933</v>
      </c>
      <c r="M208" s="28" t="s">
        <v>41</v>
      </c>
      <c r="N208" s="28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</row>
    <row r="209" spans="1:31" ht="14.4">
      <c r="A209" s="288" t="s">
        <v>11337</v>
      </c>
      <c r="B209" s="28" t="s">
        <v>11357</v>
      </c>
      <c r="C209" s="107" t="s">
        <v>260</v>
      </c>
      <c r="D209" s="107" t="s">
        <v>1337</v>
      </c>
      <c r="E209" s="107"/>
      <c r="F209" s="28" t="s">
        <v>13260</v>
      </c>
      <c r="G209" s="28" t="s">
        <v>1342</v>
      </c>
      <c r="H209" s="28" t="s">
        <v>12631</v>
      </c>
      <c r="I209" s="28" t="s">
        <v>2714</v>
      </c>
      <c r="J209" s="28" t="s">
        <v>13261</v>
      </c>
      <c r="K209" s="28" t="s">
        <v>13199</v>
      </c>
      <c r="L209" s="28" t="s">
        <v>2336</v>
      </c>
      <c r="M209" s="28" t="s">
        <v>41</v>
      </c>
      <c r="N209" s="28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</row>
    <row r="210" spans="1:31" ht="14.4">
      <c r="A210" s="288" t="s">
        <v>11337</v>
      </c>
      <c r="B210" s="28" t="s">
        <v>11357</v>
      </c>
      <c r="C210" s="107" t="s">
        <v>260</v>
      </c>
      <c r="D210" s="107" t="s">
        <v>1337</v>
      </c>
      <c r="E210" s="107"/>
      <c r="F210" s="28" t="s">
        <v>13264</v>
      </c>
      <c r="G210" s="28" t="s">
        <v>1342</v>
      </c>
      <c r="H210" s="28" t="s">
        <v>13193</v>
      </c>
      <c r="I210" s="28" t="s">
        <v>2714</v>
      </c>
      <c r="J210" s="28" t="s">
        <v>13265</v>
      </c>
      <c r="K210" s="28" t="s">
        <v>13266</v>
      </c>
      <c r="L210" s="28" t="s">
        <v>13244</v>
      </c>
      <c r="M210" s="28" t="s">
        <v>41</v>
      </c>
      <c r="N210" s="28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</row>
    <row r="211" spans="1:31" ht="14.4">
      <c r="A211" s="288" t="s">
        <v>11337</v>
      </c>
      <c r="B211" s="28" t="s">
        <v>11357</v>
      </c>
      <c r="C211" s="107" t="s">
        <v>260</v>
      </c>
      <c r="D211" s="107" t="s">
        <v>1337</v>
      </c>
      <c r="E211" s="107"/>
      <c r="F211" s="28" t="s">
        <v>13267</v>
      </c>
      <c r="G211" s="28" t="s">
        <v>1342</v>
      </c>
      <c r="H211" s="28" t="s">
        <v>13199</v>
      </c>
      <c r="I211" s="28" t="s">
        <v>887</v>
      </c>
      <c r="J211" s="28" t="s">
        <v>13268</v>
      </c>
      <c r="K211" s="28" t="s">
        <v>13269</v>
      </c>
      <c r="L211" s="28" t="s">
        <v>989</v>
      </c>
      <c r="M211" s="28" t="s">
        <v>41</v>
      </c>
      <c r="N211" s="28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</row>
    <row r="212" spans="1:31" ht="14.4">
      <c r="A212" s="288" t="s">
        <v>11337</v>
      </c>
      <c r="B212" s="28" t="s">
        <v>11357</v>
      </c>
      <c r="C212" s="107" t="s">
        <v>260</v>
      </c>
      <c r="D212" s="107" t="s">
        <v>1337</v>
      </c>
      <c r="E212" s="107"/>
      <c r="F212" s="28" t="s">
        <v>13270</v>
      </c>
      <c r="G212" s="28" t="s">
        <v>1342</v>
      </c>
      <c r="H212" s="28" t="s">
        <v>13204</v>
      </c>
      <c r="I212" s="28" t="s">
        <v>2714</v>
      </c>
      <c r="J212" s="28" t="s">
        <v>13271</v>
      </c>
      <c r="K212" s="28" t="s">
        <v>13272</v>
      </c>
      <c r="L212" s="28" t="s">
        <v>13273</v>
      </c>
      <c r="M212" s="28" t="s">
        <v>41</v>
      </c>
      <c r="N212" s="28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</row>
    <row r="213" spans="1:31" ht="14.4">
      <c r="A213" s="288" t="s">
        <v>11337</v>
      </c>
      <c r="B213" s="28" t="s">
        <v>11357</v>
      </c>
      <c r="C213" s="107" t="s">
        <v>260</v>
      </c>
      <c r="D213" s="107" t="s">
        <v>1337</v>
      </c>
      <c r="E213" s="107"/>
      <c r="F213" s="28" t="s">
        <v>13276</v>
      </c>
      <c r="G213" s="28" t="s">
        <v>1342</v>
      </c>
      <c r="H213" s="28" t="s">
        <v>13277</v>
      </c>
      <c r="I213" s="28" t="s">
        <v>2714</v>
      </c>
      <c r="J213" s="28" t="s">
        <v>13278</v>
      </c>
      <c r="K213" s="28" t="s">
        <v>13279</v>
      </c>
      <c r="L213" s="28" t="s">
        <v>10907</v>
      </c>
      <c r="M213" s="28" t="s">
        <v>41</v>
      </c>
      <c r="N213" s="28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</row>
    <row r="214" spans="1:31" ht="14.4">
      <c r="A214" s="288" t="s">
        <v>11337</v>
      </c>
      <c r="B214" s="28" t="s">
        <v>11357</v>
      </c>
      <c r="C214" s="107" t="s">
        <v>260</v>
      </c>
      <c r="D214" s="107" t="s">
        <v>1337</v>
      </c>
      <c r="E214" s="107"/>
      <c r="F214" s="28" t="s">
        <v>13285</v>
      </c>
      <c r="G214" s="28" t="s">
        <v>1342</v>
      </c>
      <c r="H214" s="28" t="s">
        <v>13028</v>
      </c>
      <c r="I214" s="28" t="s">
        <v>887</v>
      </c>
      <c r="J214" s="28" t="s">
        <v>13286</v>
      </c>
      <c r="K214" s="28" t="s">
        <v>13287</v>
      </c>
      <c r="L214" s="28" t="s">
        <v>2764</v>
      </c>
      <c r="M214" s="28" t="s">
        <v>41</v>
      </c>
      <c r="N214" s="28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</row>
    <row r="215" spans="1:31" ht="14.4">
      <c r="A215" s="288" t="s">
        <v>11337</v>
      </c>
      <c r="B215" s="28" t="s">
        <v>11357</v>
      </c>
      <c r="C215" s="107" t="s">
        <v>260</v>
      </c>
      <c r="D215" s="107" t="s">
        <v>1337</v>
      </c>
      <c r="E215" s="107"/>
      <c r="F215" s="28" t="s">
        <v>13294</v>
      </c>
      <c r="G215" s="28" t="s">
        <v>1342</v>
      </c>
      <c r="H215" s="28" t="s">
        <v>13220</v>
      </c>
      <c r="I215" s="28" t="s">
        <v>2714</v>
      </c>
      <c r="J215" s="28" t="s">
        <v>13295</v>
      </c>
      <c r="K215" s="28" t="s">
        <v>13296</v>
      </c>
      <c r="L215" s="28" t="s">
        <v>13236</v>
      </c>
      <c r="M215" s="28" t="s">
        <v>41</v>
      </c>
      <c r="N215" s="28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</row>
    <row r="216" spans="1:31" ht="14.4">
      <c r="A216" s="288" t="s">
        <v>11337</v>
      </c>
      <c r="B216" s="28" t="s">
        <v>11357</v>
      </c>
      <c r="C216" s="107" t="s">
        <v>260</v>
      </c>
      <c r="D216" s="107" t="s">
        <v>1337</v>
      </c>
      <c r="E216" s="107"/>
      <c r="F216" s="28" t="s">
        <v>13300</v>
      </c>
      <c r="G216" s="28" t="s">
        <v>1342</v>
      </c>
      <c r="H216" s="28" t="s">
        <v>12391</v>
      </c>
      <c r="I216" s="28" t="s">
        <v>521</v>
      </c>
      <c r="J216" s="28" t="s">
        <v>13301</v>
      </c>
      <c r="K216" s="28" t="s">
        <v>13302</v>
      </c>
      <c r="L216" s="28" t="s">
        <v>13303</v>
      </c>
      <c r="M216" s="28" t="s">
        <v>41</v>
      </c>
      <c r="N216" s="28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</row>
    <row r="217" spans="1:31" ht="14.4">
      <c r="A217" s="288" t="s">
        <v>11337</v>
      </c>
      <c r="B217" s="28" t="s">
        <v>11357</v>
      </c>
      <c r="C217" s="107" t="s">
        <v>260</v>
      </c>
      <c r="D217" s="107" t="s">
        <v>1337</v>
      </c>
      <c r="E217" s="107"/>
      <c r="F217" s="28" t="s">
        <v>13307</v>
      </c>
      <c r="G217" s="28" t="s">
        <v>1342</v>
      </c>
      <c r="H217" s="28" t="s">
        <v>12642</v>
      </c>
      <c r="I217" s="28" t="s">
        <v>2714</v>
      </c>
      <c r="J217" s="28" t="s">
        <v>13308</v>
      </c>
      <c r="K217" s="28" t="s">
        <v>13310</v>
      </c>
      <c r="L217" s="28" t="s">
        <v>13311</v>
      </c>
      <c r="M217" s="28" t="s">
        <v>41</v>
      </c>
      <c r="N217" s="28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</row>
    <row r="218" spans="1:31" ht="14.4">
      <c r="A218" s="288" t="s">
        <v>11337</v>
      </c>
      <c r="B218" s="28" t="s">
        <v>11357</v>
      </c>
      <c r="C218" s="107" t="s">
        <v>260</v>
      </c>
      <c r="D218" s="107" t="s">
        <v>1337</v>
      </c>
      <c r="E218" s="107"/>
      <c r="F218" s="28" t="s">
        <v>13312</v>
      </c>
      <c r="G218" s="28" t="s">
        <v>1342</v>
      </c>
      <c r="H218" s="28" t="s">
        <v>13243</v>
      </c>
      <c r="I218" s="28" t="s">
        <v>2714</v>
      </c>
      <c r="J218" s="28" t="s">
        <v>13314</v>
      </c>
      <c r="K218" s="28" t="s">
        <v>13316</v>
      </c>
      <c r="L218" s="28" t="s">
        <v>13317</v>
      </c>
      <c r="M218" s="28" t="s">
        <v>41</v>
      </c>
      <c r="N218" s="28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</row>
    <row r="219" spans="1:31" ht="14.4">
      <c r="A219" s="288" t="s">
        <v>11337</v>
      </c>
      <c r="B219" s="28" t="s">
        <v>11357</v>
      </c>
      <c r="C219" s="107" t="s">
        <v>260</v>
      </c>
      <c r="D219" s="107" t="s">
        <v>1337</v>
      </c>
      <c r="E219" s="107"/>
      <c r="F219" s="28" t="s">
        <v>13319</v>
      </c>
      <c r="G219" s="28" t="s">
        <v>1342</v>
      </c>
      <c r="H219" s="28" t="s">
        <v>13251</v>
      </c>
      <c r="I219" s="28" t="s">
        <v>887</v>
      </c>
      <c r="J219" s="28" t="s">
        <v>13321</v>
      </c>
      <c r="K219" s="28" t="s">
        <v>13323</v>
      </c>
      <c r="L219" s="28" t="s">
        <v>13324</v>
      </c>
      <c r="M219" s="28" t="s">
        <v>41</v>
      </c>
      <c r="N219" s="28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</row>
    <row r="220" spans="1:31" ht="14.4">
      <c r="A220" s="288" t="s">
        <v>11337</v>
      </c>
      <c r="B220" s="28" t="s">
        <v>11409</v>
      </c>
      <c r="C220" s="107" t="s">
        <v>260</v>
      </c>
      <c r="D220" s="107" t="s">
        <v>1337</v>
      </c>
      <c r="E220" s="107"/>
      <c r="F220" s="214" t="s">
        <v>13327</v>
      </c>
      <c r="G220" s="28" t="s">
        <v>1342</v>
      </c>
      <c r="H220" s="214" t="s">
        <v>13329</v>
      </c>
      <c r="I220" s="28" t="s">
        <v>13330</v>
      </c>
      <c r="J220" s="28" t="s">
        <v>13331</v>
      </c>
      <c r="K220" s="214" t="s">
        <v>13333</v>
      </c>
      <c r="L220" s="28" t="s">
        <v>6768</v>
      </c>
      <c r="M220" s="28" t="s">
        <v>41</v>
      </c>
      <c r="N220" s="28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</row>
    <row r="221" spans="1:31" ht="14.4">
      <c r="A221" s="288" t="s">
        <v>11337</v>
      </c>
      <c r="B221" s="28" t="s">
        <v>11409</v>
      </c>
      <c r="C221" s="107" t="s">
        <v>260</v>
      </c>
      <c r="D221" s="107" t="s">
        <v>1337</v>
      </c>
      <c r="E221" s="107"/>
      <c r="F221" s="214" t="s">
        <v>13336</v>
      </c>
      <c r="G221" s="28" t="s">
        <v>1342</v>
      </c>
      <c r="H221" s="214" t="s">
        <v>11413</v>
      </c>
      <c r="I221" s="28" t="s">
        <v>3181</v>
      </c>
      <c r="J221" s="28" t="s">
        <v>13338</v>
      </c>
      <c r="K221" s="214" t="s">
        <v>11413</v>
      </c>
      <c r="L221" s="28" t="s">
        <v>2794</v>
      </c>
      <c r="M221" s="28" t="s">
        <v>41</v>
      </c>
      <c r="N221" s="28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</row>
    <row r="222" spans="1:31" ht="14.4">
      <c r="A222" s="288" t="s">
        <v>11337</v>
      </c>
      <c r="B222" s="28" t="s">
        <v>11409</v>
      </c>
      <c r="C222" s="107" t="s">
        <v>260</v>
      </c>
      <c r="D222" s="107" t="s">
        <v>1337</v>
      </c>
      <c r="E222" s="107"/>
      <c r="F222" s="214" t="s">
        <v>13339</v>
      </c>
      <c r="G222" s="28" t="s">
        <v>1342</v>
      </c>
      <c r="H222" s="214" t="s">
        <v>13340</v>
      </c>
      <c r="I222" s="28" t="s">
        <v>887</v>
      </c>
      <c r="J222" s="28" t="s">
        <v>13341</v>
      </c>
      <c r="K222" s="214" t="s">
        <v>13340</v>
      </c>
      <c r="L222" s="28" t="s">
        <v>2794</v>
      </c>
      <c r="M222" s="28" t="s">
        <v>41</v>
      </c>
      <c r="N222" s="28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</row>
    <row r="223" spans="1:31" ht="14.4">
      <c r="A223" s="288" t="s">
        <v>11337</v>
      </c>
      <c r="B223" s="28" t="s">
        <v>11409</v>
      </c>
      <c r="C223" s="107" t="s">
        <v>260</v>
      </c>
      <c r="D223" s="107" t="s">
        <v>1337</v>
      </c>
      <c r="E223" s="107"/>
      <c r="F223" s="214" t="s">
        <v>13343</v>
      </c>
      <c r="G223" s="28" t="s">
        <v>1342</v>
      </c>
      <c r="H223" s="214" t="s">
        <v>13344</v>
      </c>
      <c r="I223" s="28" t="s">
        <v>887</v>
      </c>
      <c r="J223" s="28" t="s">
        <v>13345</v>
      </c>
      <c r="K223" s="214" t="s">
        <v>13344</v>
      </c>
      <c r="L223" s="28" t="s">
        <v>9100</v>
      </c>
      <c r="M223" s="28" t="s">
        <v>41</v>
      </c>
      <c r="N223" s="28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</row>
    <row r="224" spans="1:31" ht="14.4">
      <c r="A224" s="288" t="s">
        <v>11337</v>
      </c>
      <c r="B224" s="28" t="s">
        <v>11409</v>
      </c>
      <c r="C224" s="107" t="s">
        <v>260</v>
      </c>
      <c r="D224" s="107" t="s">
        <v>1337</v>
      </c>
      <c r="E224" s="107"/>
      <c r="F224" s="214" t="s">
        <v>13349</v>
      </c>
      <c r="G224" s="28" t="s">
        <v>1342</v>
      </c>
      <c r="H224" s="214" t="s">
        <v>13350</v>
      </c>
      <c r="I224" s="28" t="s">
        <v>887</v>
      </c>
      <c r="J224" s="28" t="s">
        <v>13351</v>
      </c>
      <c r="K224" s="214" t="s">
        <v>13350</v>
      </c>
      <c r="L224" s="28" t="s">
        <v>9100</v>
      </c>
      <c r="M224" s="28" t="s">
        <v>41</v>
      </c>
      <c r="N224" s="28" t="s">
        <v>13353</v>
      </c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</row>
    <row r="225" spans="1:31" ht="14.4">
      <c r="A225" s="288" t="s">
        <v>11337</v>
      </c>
      <c r="B225" s="28" t="s">
        <v>11409</v>
      </c>
      <c r="C225" s="107" t="s">
        <v>260</v>
      </c>
      <c r="D225" s="107" t="s">
        <v>1337</v>
      </c>
      <c r="E225" s="107"/>
      <c r="F225" s="214" t="s">
        <v>13355</v>
      </c>
      <c r="G225" s="28" t="s">
        <v>1342</v>
      </c>
      <c r="H225" s="214" t="s">
        <v>13356</v>
      </c>
      <c r="I225" s="28" t="s">
        <v>2400</v>
      </c>
      <c r="J225" s="28" t="s">
        <v>13358</v>
      </c>
      <c r="K225" s="214" t="s">
        <v>5615</v>
      </c>
      <c r="L225" s="28" t="s">
        <v>6839</v>
      </c>
      <c r="M225" s="28" t="s">
        <v>41</v>
      </c>
      <c r="N225" s="28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</row>
    <row r="226" spans="1:31" ht="14.4">
      <c r="A226" s="288" t="s">
        <v>11337</v>
      </c>
      <c r="B226" s="28" t="s">
        <v>11409</v>
      </c>
      <c r="C226" s="107" t="s">
        <v>260</v>
      </c>
      <c r="D226" s="107" t="s">
        <v>1337</v>
      </c>
      <c r="E226" s="107"/>
      <c r="F226" s="214" t="s">
        <v>13360</v>
      </c>
      <c r="G226" s="28" t="s">
        <v>1342</v>
      </c>
      <c r="H226" s="214" t="s">
        <v>11780</v>
      </c>
      <c r="I226" s="28" t="s">
        <v>898</v>
      </c>
      <c r="J226" s="28" t="s">
        <v>13361</v>
      </c>
      <c r="K226" s="214" t="s">
        <v>11780</v>
      </c>
      <c r="L226" s="28" t="s">
        <v>11770</v>
      </c>
      <c r="M226" s="28" t="s">
        <v>41</v>
      </c>
      <c r="N226" s="28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</row>
    <row r="227" spans="1:31" ht="14.4">
      <c r="A227" s="288" t="s">
        <v>11337</v>
      </c>
      <c r="B227" s="28" t="s">
        <v>11409</v>
      </c>
      <c r="C227" s="107" t="s">
        <v>260</v>
      </c>
      <c r="D227" s="107" t="s">
        <v>1337</v>
      </c>
      <c r="E227" s="107"/>
      <c r="F227" s="214" t="s">
        <v>13364</v>
      </c>
      <c r="G227" s="28" t="s">
        <v>1342</v>
      </c>
      <c r="H227" s="214" t="s">
        <v>11788</v>
      </c>
      <c r="I227" s="28" t="s">
        <v>2714</v>
      </c>
      <c r="J227" s="28" t="s">
        <v>13366</v>
      </c>
      <c r="K227" s="214" t="s">
        <v>11788</v>
      </c>
      <c r="L227" s="28" t="s">
        <v>11781</v>
      </c>
      <c r="M227" s="28" t="s">
        <v>41</v>
      </c>
      <c r="N227" s="28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</row>
    <row r="228" spans="1:31" ht="14.4">
      <c r="A228" s="288" t="s">
        <v>11337</v>
      </c>
      <c r="B228" s="28" t="s">
        <v>11409</v>
      </c>
      <c r="C228" s="107" t="s">
        <v>260</v>
      </c>
      <c r="D228" s="107" t="s">
        <v>1337</v>
      </c>
      <c r="E228" s="107"/>
      <c r="F228" s="214" t="s">
        <v>13368</v>
      </c>
      <c r="G228" s="28" t="s">
        <v>1342</v>
      </c>
      <c r="H228" s="214" t="s">
        <v>13369</v>
      </c>
      <c r="I228" s="28" t="s">
        <v>887</v>
      </c>
      <c r="J228" s="28" t="s">
        <v>13370</v>
      </c>
      <c r="K228" s="214" t="s">
        <v>13369</v>
      </c>
      <c r="L228" s="28" t="s">
        <v>11781</v>
      </c>
      <c r="M228" s="28" t="s">
        <v>41</v>
      </c>
      <c r="N228" s="28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</row>
    <row r="229" spans="1:31" ht="14.4">
      <c r="A229" s="288" t="s">
        <v>11337</v>
      </c>
      <c r="B229" s="28" t="s">
        <v>11409</v>
      </c>
      <c r="C229" s="107" t="s">
        <v>260</v>
      </c>
      <c r="D229" s="107" t="s">
        <v>1337</v>
      </c>
      <c r="E229" s="107"/>
      <c r="F229" s="214" t="s">
        <v>13373</v>
      </c>
      <c r="G229" s="28" t="s">
        <v>1342</v>
      </c>
      <c r="H229" s="214" t="s">
        <v>13374</v>
      </c>
      <c r="I229" s="28" t="s">
        <v>877</v>
      </c>
      <c r="J229" s="28" t="s">
        <v>13376</v>
      </c>
      <c r="K229" s="214" t="s">
        <v>5615</v>
      </c>
      <c r="L229" s="28" t="s">
        <v>6839</v>
      </c>
      <c r="M229" s="28" t="s">
        <v>41</v>
      </c>
      <c r="N229" s="28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</row>
    <row r="230" spans="1:31" ht="14.4">
      <c r="A230" s="288" t="s">
        <v>11337</v>
      </c>
      <c r="B230" s="28" t="s">
        <v>11409</v>
      </c>
      <c r="C230" s="107" t="s">
        <v>260</v>
      </c>
      <c r="D230" s="107" t="s">
        <v>1337</v>
      </c>
      <c r="E230" s="107"/>
      <c r="F230" s="214" t="s">
        <v>13377</v>
      </c>
      <c r="G230" s="28" t="s">
        <v>1342</v>
      </c>
      <c r="H230" s="214" t="s">
        <v>11801</v>
      </c>
      <c r="I230" s="28" t="s">
        <v>887</v>
      </c>
      <c r="J230" s="28" t="s">
        <v>13379</v>
      </c>
      <c r="K230" s="214" t="s">
        <v>11801</v>
      </c>
      <c r="L230" s="28" t="s">
        <v>11781</v>
      </c>
      <c r="M230" s="28" t="s">
        <v>41</v>
      </c>
      <c r="N230" s="28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</row>
    <row r="231" spans="1:31" ht="14.4">
      <c r="A231" s="288" t="s">
        <v>11337</v>
      </c>
      <c r="B231" s="28" t="s">
        <v>11409</v>
      </c>
      <c r="C231" s="107" t="s">
        <v>260</v>
      </c>
      <c r="D231" s="107" t="s">
        <v>1337</v>
      </c>
      <c r="E231" s="107"/>
      <c r="F231" s="214" t="s">
        <v>13381</v>
      </c>
      <c r="G231" s="28" t="s">
        <v>1342</v>
      </c>
      <c r="H231" s="214" t="s">
        <v>13382</v>
      </c>
      <c r="I231" s="28" t="s">
        <v>887</v>
      </c>
      <c r="J231" s="28" t="s">
        <v>13383</v>
      </c>
      <c r="K231" s="214" t="s">
        <v>13382</v>
      </c>
      <c r="L231" s="28" t="s">
        <v>13384</v>
      </c>
      <c r="M231" s="28" t="s">
        <v>41</v>
      </c>
      <c r="N231" s="28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</row>
    <row r="232" spans="1:31" ht="14.4">
      <c r="A232" s="288" t="s">
        <v>11337</v>
      </c>
      <c r="B232" s="28" t="s">
        <v>11409</v>
      </c>
      <c r="C232" s="107" t="s">
        <v>260</v>
      </c>
      <c r="D232" s="107" t="s">
        <v>1337</v>
      </c>
      <c r="E232" s="107"/>
      <c r="F232" s="214" t="s">
        <v>13386</v>
      </c>
      <c r="G232" s="28" t="s">
        <v>1342</v>
      </c>
      <c r="H232" s="214" t="s">
        <v>13387</v>
      </c>
      <c r="I232" s="28" t="s">
        <v>887</v>
      </c>
      <c r="J232" s="28" t="s">
        <v>13388</v>
      </c>
      <c r="K232" s="214" t="s">
        <v>13387</v>
      </c>
      <c r="L232" s="28" t="s">
        <v>13389</v>
      </c>
      <c r="M232" s="28" t="s">
        <v>41</v>
      </c>
      <c r="N232" s="28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</row>
    <row r="233" spans="1:31" ht="14.4">
      <c r="A233" s="288" t="s">
        <v>11337</v>
      </c>
      <c r="B233" s="28" t="s">
        <v>11409</v>
      </c>
      <c r="C233" s="107" t="s">
        <v>260</v>
      </c>
      <c r="D233" s="107" t="s">
        <v>1337</v>
      </c>
      <c r="E233" s="107"/>
      <c r="F233" s="214" t="s">
        <v>13392</v>
      </c>
      <c r="G233" s="28" t="s">
        <v>1342</v>
      </c>
      <c r="H233" s="214" t="s">
        <v>13393</v>
      </c>
      <c r="I233" s="28" t="s">
        <v>2714</v>
      </c>
      <c r="J233" s="28" t="s">
        <v>13394</v>
      </c>
      <c r="K233" s="214" t="s">
        <v>13393</v>
      </c>
      <c r="L233" s="28" t="s">
        <v>13395</v>
      </c>
      <c r="M233" s="28" t="s">
        <v>41</v>
      </c>
      <c r="N233" s="28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</row>
    <row r="234" spans="1:31" ht="14.4">
      <c r="A234" s="288" t="s">
        <v>11337</v>
      </c>
      <c r="B234" s="28" t="s">
        <v>11409</v>
      </c>
      <c r="C234" s="107" t="s">
        <v>260</v>
      </c>
      <c r="D234" s="107" t="s">
        <v>1337</v>
      </c>
      <c r="E234" s="107"/>
      <c r="F234" s="214" t="s">
        <v>13398</v>
      </c>
      <c r="G234" s="28" t="s">
        <v>1342</v>
      </c>
      <c r="H234" s="214" t="s">
        <v>13399</v>
      </c>
      <c r="I234" s="28" t="s">
        <v>887</v>
      </c>
      <c r="J234" s="28" t="s">
        <v>13401</v>
      </c>
      <c r="K234" s="214" t="s">
        <v>13399</v>
      </c>
      <c r="L234" s="28" t="s">
        <v>13402</v>
      </c>
      <c r="M234" s="28" t="s">
        <v>41</v>
      </c>
      <c r="N234" s="28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</row>
    <row r="235" spans="1:31" ht="14.4">
      <c r="A235" s="288" t="s">
        <v>11337</v>
      </c>
      <c r="B235" s="28" t="s">
        <v>11409</v>
      </c>
      <c r="C235" s="107" t="s">
        <v>260</v>
      </c>
      <c r="D235" s="107" t="s">
        <v>1337</v>
      </c>
      <c r="E235" s="107"/>
      <c r="F235" s="214" t="s">
        <v>13406</v>
      </c>
      <c r="G235" s="28" t="s">
        <v>1342</v>
      </c>
      <c r="H235" s="214" t="s">
        <v>13407</v>
      </c>
      <c r="I235" s="28" t="s">
        <v>887</v>
      </c>
      <c r="J235" s="28" t="s">
        <v>13408</v>
      </c>
      <c r="K235" s="214" t="s">
        <v>13407</v>
      </c>
      <c r="L235" s="28" t="s">
        <v>13409</v>
      </c>
      <c r="M235" s="28" t="s">
        <v>41</v>
      </c>
      <c r="N235" s="28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</row>
    <row r="236" spans="1:31" ht="14.4">
      <c r="A236" s="288" t="s">
        <v>11337</v>
      </c>
      <c r="B236" s="28" t="s">
        <v>11409</v>
      </c>
      <c r="C236" s="107" t="s">
        <v>260</v>
      </c>
      <c r="D236" s="107" t="s">
        <v>1337</v>
      </c>
      <c r="E236" s="107"/>
      <c r="F236" s="214" t="s">
        <v>13412</v>
      </c>
      <c r="G236" s="28" t="s">
        <v>1342</v>
      </c>
      <c r="H236" s="214" t="s">
        <v>13414</v>
      </c>
      <c r="I236" s="28" t="s">
        <v>2714</v>
      </c>
      <c r="J236" s="28" t="s">
        <v>13415</v>
      </c>
      <c r="K236" s="214" t="s">
        <v>13414</v>
      </c>
      <c r="L236" s="28" t="s">
        <v>13416</v>
      </c>
      <c r="M236" s="28" t="s">
        <v>41</v>
      </c>
      <c r="N236" s="28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</row>
    <row r="237" spans="1:31" ht="14.4">
      <c r="A237" s="288" t="s">
        <v>11337</v>
      </c>
      <c r="B237" s="28" t="s">
        <v>11409</v>
      </c>
      <c r="C237" s="107" t="s">
        <v>260</v>
      </c>
      <c r="D237" s="107" t="s">
        <v>1337</v>
      </c>
      <c r="E237" s="107"/>
      <c r="F237" s="214" t="s">
        <v>13420</v>
      </c>
      <c r="G237" s="28" t="s">
        <v>1342</v>
      </c>
      <c r="H237" s="214" t="s">
        <v>13421</v>
      </c>
      <c r="I237" s="28" t="s">
        <v>887</v>
      </c>
      <c r="J237" s="28" t="s">
        <v>13422</v>
      </c>
      <c r="K237" s="214" t="s">
        <v>13421</v>
      </c>
      <c r="L237" s="28" t="s">
        <v>13423</v>
      </c>
      <c r="M237" s="28" t="s">
        <v>41</v>
      </c>
      <c r="N237" s="28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</row>
    <row r="238" spans="1:31" ht="14.4">
      <c r="A238" s="288" t="s">
        <v>11337</v>
      </c>
      <c r="B238" s="28" t="s">
        <v>11409</v>
      </c>
      <c r="C238" s="107" t="s">
        <v>260</v>
      </c>
      <c r="D238" s="107" t="s">
        <v>1337</v>
      </c>
      <c r="E238" s="107"/>
      <c r="F238" s="214" t="s">
        <v>13427</v>
      </c>
      <c r="G238" s="28" t="s">
        <v>1342</v>
      </c>
      <c r="H238" s="214" t="s">
        <v>11818</v>
      </c>
      <c r="I238" s="28" t="s">
        <v>887</v>
      </c>
      <c r="J238" s="28" t="s">
        <v>13428</v>
      </c>
      <c r="K238" s="214" t="s">
        <v>5615</v>
      </c>
      <c r="L238" s="28" t="s">
        <v>13431</v>
      </c>
      <c r="M238" s="28" t="s">
        <v>41</v>
      </c>
      <c r="N238" s="28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</row>
    <row r="239" spans="1:31" ht="14.4">
      <c r="A239" s="288" t="s">
        <v>11337</v>
      </c>
      <c r="B239" s="28" t="s">
        <v>11409</v>
      </c>
      <c r="C239" s="107" t="s">
        <v>260</v>
      </c>
      <c r="D239" s="107" t="s">
        <v>1337</v>
      </c>
      <c r="E239" s="107"/>
      <c r="F239" s="214" t="s">
        <v>13435</v>
      </c>
      <c r="G239" s="28" t="s">
        <v>1342</v>
      </c>
      <c r="H239" s="214" t="s">
        <v>13437</v>
      </c>
      <c r="I239" s="28" t="s">
        <v>887</v>
      </c>
      <c r="J239" s="28" t="s">
        <v>13438</v>
      </c>
      <c r="K239" s="214" t="s">
        <v>13437</v>
      </c>
      <c r="L239" s="28" t="s">
        <v>13439</v>
      </c>
      <c r="M239" s="28" t="s">
        <v>41</v>
      </c>
      <c r="N239" s="28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</row>
    <row r="240" spans="1:31" ht="14.4">
      <c r="A240" s="288" t="s">
        <v>11337</v>
      </c>
      <c r="B240" s="28" t="s">
        <v>11409</v>
      </c>
      <c r="C240" s="107" t="s">
        <v>260</v>
      </c>
      <c r="D240" s="107" t="s">
        <v>1337</v>
      </c>
      <c r="E240" s="107"/>
      <c r="F240" s="214" t="s">
        <v>13443</v>
      </c>
      <c r="G240" s="28" t="s">
        <v>1342</v>
      </c>
      <c r="H240" s="214" t="s">
        <v>11831</v>
      </c>
      <c r="I240" s="28" t="s">
        <v>2714</v>
      </c>
      <c r="J240" s="28" t="s">
        <v>13445</v>
      </c>
      <c r="K240" s="214" t="s">
        <v>11831</v>
      </c>
      <c r="L240" s="28" t="s">
        <v>11828</v>
      </c>
      <c r="M240" s="28" t="s">
        <v>41</v>
      </c>
      <c r="N240" s="28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</row>
    <row r="241" spans="1:31" ht="14.4">
      <c r="A241" s="288" t="s">
        <v>11337</v>
      </c>
      <c r="B241" s="28" t="s">
        <v>11409</v>
      </c>
      <c r="C241" s="107" t="s">
        <v>260</v>
      </c>
      <c r="D241" s="107" t="s">
        <v>1337</v>
      </c>
      <c r="E241" s="107"/>
      <c r="F241" s="214" t="s">
        <v>13446</v>
      </c>
      <c r="G241" s="28" t="s">
        <v>1342</v>
      </c>
      <c r="H241" s="214" t="s">
        <v>13447</v>
      </c>
      <c r="I241" s="28" t="s">
        <v>887</v>
      </c>
      <c r="J241" s="28" t="s">
        <v>13448</v>
      </c>
      <c r="K241" s="214" t="s">
        <v>13447</v>
      </c>
      <c r="L241" s="28" t="s">
        <v>11845</v>
      </c>
      <c r="M241" s="28" t="s">
        <v>41</v>
      </c>
      <c r="N241" s="28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</row>
    <row r="242" spans="1:31" ht="14.4">
      <c r="A242" s="288" t="s">
        <v>11337</v>
      </c>
      <c r="B242" s="28" t="s">
        <v>11409</v>
      </c>
      <c r="C242" s="107" t="s">
        <v>260</v>
      </c>
      <c r="D242" s="107" t="s">
        <v>1337</v>
      </c>
      <c r="E242" s="107"/>
      <c r="F242" s="214" t="s">
        <v>13452</v>
      </c>
      <c r="G242" s="28" t="s">
        <v>1342</v>
      </c>
      <c r="H242" s="214" t="s">
        <v>13454</v>
      </c>
      <c r="I242" s="28" t="s">
        <v>2714</v>
      </c>
      <c r="J242" s="28" t="s">
        <v>13455</v>
      </c>
      <c r="K242" s="214" t="s">
        <v>13454</v>
      </c>
      <c r="L242" s="28" t="s">
        <v>13384</v>
      </c>
      <c r="M242" s="28" t="s">
        <v>41</v>
      </c>
      <c r="N242" s="28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</row>
    <row r="243" spans="1:31" ht="14.4">
      <c r="A243" s="288" t="s">
        <v>11337</v>
      </c>
      <c r="B243" s="28" t="s">
        <v>11409</v>
      </c>
      <c r="C243" s="107" t="s">
        <v>260</v>
      </c>
      <c r="D243" s="107" t="s">
        <v>1337</v>
      </c>
      <c r="E243" s="107"/>
      <c r="F243" s="214" t="s">
        <v>13457</v>
      </c>
      <c r="G243" s="28" t="s">
        <v>1342</v>
      </c>
      <c r="H243" s="214" t="s">
        <v>13459</v>
      </c>
      <c r="I243" s="28" t="s">
        <v>887</v>
      </c>
      <c r="J243" s="28" t="s">
        <v>13460</v>
      </c>
      <c r="K243" s="214" t="s">
        <v>13459</v>
      </c>
      <c r="L243" s="28" t="s">
        <v>13461</v>
      </c>
      <c r="M243" s="28" t="s">
        <v>41</v>
      </c>
      <c r="N243" s="28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</row>
    <row r="244" spans="1:31" ht="14.4">
      <c r="A244" s="288" t="s">
        <v>11337</v>
      </c>
      <c r="B244" s="28" t="s">
        <v>11409</v>
      </c>
      <c r="C244" s="107" t="s">
        <v>260</v>
      </c>
      <c r="D244" s="107" t="s">
        <v>1337</v>
      </c>
      <c r="E244" s="107"/>
      <c r="F244" s="214" t="s">
        <v>13464</v>
      </c>
      <c r="G244" s="28" t="s">
        <v>1342</v>
      </c>
      <c r="H244" s="214" t="s">
        <v>13466</v>
      </c>
      <c r="I244" s="28" t="s">
        <v>887</v>
      </c>
      <c r="J244" s="28" t="s">
        <v>13468</v>
      </c>
      <c r="K244" s="214" t="s">
        <v>13466</v>
      </c>
      <c r="L244" s="28" t="s">
        <v>13423</v>
      </c>
      <c r="M244" s="28" t="s">
        <v>41</v>
      </c>
      <c r="N244" s="28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</row>
    <row r="245" spans="1:31" ht="14.4">
      <c r="A245" s="288" t="s">
        <v>11337</v>
      </c>
      <c r="B245" s="28" t="s">
        <v>11409</v>
      </c>
      <c r="C245" s="107" t="s">
        <v>260</v>
      </c>
      <c r="D245" s="107" t="s">
        <v>1337</v>
      </c>
      <c r="E245" s="107"/>
      <c r="F245" s="214" t="s">
        <v>13471</v>
      </c>
      <c r="G245" s="28" t="s">
        <v>1342</v>
      </c>
      <c r="H245" s="214" t="s">
        <v>13474</v>
      </c>
      <c r="I245" s="28" t="s">
        <v>887</v>
      </c>
      <c r="J245" s="28" t="s">
        <v>13477</v>
      </c>
      <c r="K245" s="214" t="s">
        <v>13474</v>
      </c>
      <c r="L245" s="28" t="s">
        <v>13479</v>
      </c>
      <c r="M245" s="28" t="s">
        <v>41</v>
      </c>
      <c r="N245" s="28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</row>
    <row r="246" spans="1:31" ht="14.4">
      <c r="A246" s="288" t="s">
        <v>11337</v>
      </c>
      <c r="B246" s="28" t="s">
        <v>11409</v>
      </c>
      <c r="C246" s="107" t="s">
        <v>260</v>
      </c>
      <c r="D246" s="107" t="s">
        <v>1337</v>
      </c>
      <c r="E246" s="107"/>
      <c r="F246" s="214" t="s">
        <v>13485</v>
      </c>
      <c r="G246" s="28" t="s">
        <v>1342</v>
      </c>
      <c r="H246" s="214" t="s">
        <v>13486</v>
      </c>
      <c r="I246" s="28" t="s">
        <v>2714</v>
      </c>
      <c r="J246" s="28" t="s">
        <v>13487</v>
      </c>
      <c r="K246" s="214" t="s">
        <v>13486</v>
      </c>
      <c r="L246" s="28" t="s">
        <v>13488</v>
      </c>
      <c r="M246" s="28" t="s">
        <v>41</v>
      </c>
      <c r="N246" s="28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</row>
    <row r="247" spans="1:31" ht="14.4">
      <c r="A247" s="288" t="s">
        <v>11337</v>
      </c>
      <c r="B247" s="28" t="s">
        <v>11409</v>
      </c>
      <c r="C247" s="107" t="s">
        <v>260</v>
      </c>
      <c r="D247" s="107" t="s">
        <v>1337</v>
      </c>
      <c r="E247" s="107"/>
      <c r="F247" s="214" t="s">
        <v>13493</v>
      </c>
      <c r="G247" s="28" t="s">
        <v>1342</v>
      </c>
      <c r="H247" s="214" t="s">
        <v>13494</v>
      </c>
      <c r="I247" s="28" t="s">
        <v>2714</v>
      </c>
      <c r="J247" s="28" t="s">
        <v>13495</v>
      </c>
      <c r="K247" s="214" t="s">
        <v>13494</v>
      </c>
      <c r="L247" s="28" t="s">
        <v>13439</v>
      </c>
      <c r="M247" s="28" t="s">
        <v>41</v>
      </c>
      <c r="N247" s="28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</row>
    <row r="248" spans="1:31" ht="14.4">
      <c r="A248" s="288" t="s">
        <v>11337</v>
      </c>
      <c r="B248" s="28" t="s">
        <v>11409</v>
      </c>
      <c r="C248" s="107" t="s">
        <v>260</v>
      </c>
      <c r="D248" s="107" t="s">
        <v>1337</v>
      </c>
      <c r="E248" s="107"/>
      <c r="F248" s="214" t="s">
        <v>13501</v>
      </c>
      <c r="G248" s="28" t="s">
        <v>1342</v>
      </c>
      <c r="H248" s="214" t="s">
        <v>13503</v>
      </c>
      <c r="I248" s="28" t="s">
        <v>2714</v>
      </c>
      <c r="J248" s="28" t="s">
        <v>13504</v>
      </c>
      <c r="K248" s="214" t="s">
        <v>13503</v>
      </c>
      <c r="L248" s="28" t="s">
        <v>13439</v>
      </c>
      <c r="M248" s="28" t="s">
        <v>41</v>
      </c>
      <c r="N248" s="28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</row>
    <row r="249" spans="1:31" ht="14.4">
      <c r="A249" s="288" t="s">
        <v>11337</v>
      </c>
      <c r="B249" s="28" t="s">
        <v>11409</v>
      </c>
      <c r="C249" s="107" t="s">
        <v>260</v>
      </c>
      <c r="D249" s="107" t="s">
        <v>1337</v>
      </c>
      <c r="E249" s="107"/>
      <c r="F249" s="214" t="s">
        <v>13508</v>
      </c>
      <c r="G249" s="28" t="s">
        <v>1342</v>
      </c>
      <c r="H249" s="214" t="s">
        <v>13509</v>
      </c>
      <c r="I249" s="28" t="s">
        <v>2714</v>
      </c>
      <c r="J249" s="28" t="s">
        <v>13510</v>
      </c>
      <c r="K249" s="214" t="s">
        <v>5615</v>
      </c>
      <c r="L249" s="28" t="s">
        <v>13511</v>
      </c>
      <c r="M249" s="28" t="s">
        <v>41</v>
      </c>
      <c r="N249" s="28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</row>
    <row r="250" spans="1:31" ht="14.4">
      <c r="A250" s="288" t="s">
        <v>11337</v>
      </c>
      <c r="B250" s="28" t="s">
        <v>11409</v>
      </c>
      <c r="C250" s="107" t="s">
        <v>260</v>
      </c>
      <c r="D250" s="107" t="s">
        <v>1337</v>
      </c>
      <c r="E250" s="107"/>
      <c r="F250" s="214" t="s">
        <v>13516</v>
      </c>
      <c r="G250" s="28" t="s">
        <v>1342</v>
      </c>
      <c r="H250" s="214" t="s">
        <v>13518</v>
      </c>
      <c r="I250" s="28" t="s">
        <v>887</v>
      </c>
      <c r="J250" s="28" t="s">
        <v>13519</v>
      </c>
      <c r="K250" s="214" t="s">
        <v>13518</v>
      </c>
      <c r="L250" s="28" t="s">
        <v>11845</v>
      </c>
      <c r="M250" s="28" t="s">
        <v>41</v>
      </c>
      <c r="N250" s="28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</row>
    <row r="251" spans="1:31" ht="14.4">
      <c r="A251" s="288" t="s">
        <v>11337</v>
      </c>
      <c r="B251" s="28" t="s">
        <v>11370</v>
      </c>
      <c r="C251" s="107" t="s">
        <v>260</v>
      </c>
      <c r="D251" s="107" t="s">
        <v>1337</v>
      </c>
      <c r="E251" s="107"/>
      <c r="F251" s="28" t="s">
        <v>13522</v>
      </c>
      <c r="G251" s="28" t="s">
        <v>1342</v>
      </c>
      <c r="H251" s="28" t="s">
        <v>13523</v>
      </c>
      <c r="I251" s="28" t="s">
        <v>887</v>
      </c>
      <c r="J251" s="28" t="s">
        <v>13524</v>
      </c>
      <c r="K251" s="29" t="s">
        <v>13523</v>
      </c>
      <c r="L251" s="28" t="s">
        <v>989</v>
      </c>
      <c r="M251" s="28" t="s">
        <v>41</v>
      </c>
      <c r="N251" s="28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</row>
    <row r="252" spans="1:31" ht="14.4">
      <c r="A252" s="288" t="s">
        <v>11337</v>
      </c>
      <c r="B252" s="28" t="s">
        <v>11370</v>
      </c>
      <c r="C252" s="107" t="s">
        <v>260</v>
      </c>
      <c r="D252" s="107" t="s">
        <v>1337</v>
      </c>
      <c r="E252" s="107"/>
      <c r="F252" s="28" t="s">
        <v>13526</v>
      </c>
      <c r="G252" s="28" t="s">
        <v>1342</v>
      </c>
      <c r="H252" s="28" t="s">
        <v>13527</v>
      </c>
      <c r="I252" s="28" t="s">
        <v>887</v>
      </c>
      <c r="J252" s="28" t="s">
        <v>13528</v>
      </c>
      <c r="K252" s="29" t="s">
        <v>13527</v>
      </c>
      <c r="L252" s="28" t="s">
        <v>989</v>
      </c>
      <c r="M252" s="28" t="s">
        <v>41</v>
      </c>
      <c r="N252" s="28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</row>
    <row r="253" spans="1:31" ht="14.4">
      <c r="A253" s="288" t="s">
        <v>11337</v>
      </c>
      <c r="B253" s="28" t="s">
        <v>11370</v>
      </c>
      <c r="C253" s="107" t="s">
        <v>260</v>
      </c>
      <c r="D253" s="107" t="s">
        <v>1337</v>
      </c>
      <c r="E253" s="107"/>
      <c r="F253" s="28" t="s">
        <v>13533</v>
      </c>
      <c r="G253" s="28" t="s">
        <v>1342</v>
      </c>
      <c r="H253" s="28" t="s">
        <v>13534</v>
      </c>
      <c r="I253" s="28" t="s">
        <v>2714</v>
      </c>
      <c r="J253" s="28" t="s">
        <v>13535</v>
      </c>
      <c r="K253" s="29" t="s">
        <v>13534</v>
      </c>
      <c r="L253" s="28" t="s">
        <v>989</v>
      </c>
      <c r="M253" s="28" t="s">
        <v>41</v>
      </c>
      <c r="N253" s="28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</row>
    <row r="254" spans="1:31" ht="14.4">
      <c r="A254" s="288" t="s">
        <v>11337</v>
      </c>
      <c r="B254" s="28" t="s">
        <v>11370</v>
      </c>
      <c r="C254" s="107" t="s">
        <v>260</v>
      </c>
      <c r="D254" s="107" t="s">
        <v>1337</v>
      </c>
      <c r="E254" s="107"/>
      <c r="F254" s="28" t="s">
        <v>13539</v>
      </c>
      <c r="G254" s="28" t="s">
        <v>1342</v>
      </c>
      <c r="H254" s="28" t="s">
        <v>13541</v>
      </c>
      <c r="I254" s="28" t="s">
        <v>887</v>
      </c>
      <c r="J254" s="28" t="s">
        <v>13544</v>
      </c>
      <c r="K254" s="29" t="s">
        <v>13541</v>
      </c>
      <c r="L254" s="28" t="s">
        <v>989</v>
      </c>
      <c r="M254" s="28" t="s">
        <v>41</v>
      </c>
      <c r="N254" s="28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</row>
    <row r="255" spans="1:31" ht="14.4">
      <c r="A255" s="288" t="s">
        <v>11337</v>
      </c>
      <c r="B255" s="28" t="s">
        <v>11370</v>
      </c>
      <c r="C255" s="107" t="s">
        <v>260</v>
      </c>
      <c r="D255" s="107" t="s">
        <v>1337</v>
      </c>
      <c r="E255" s="107"/>
      <c r="F255" s="28" t="s">
        <v>13546</v>
      </c>
      <c r="G255" s="28" t="s">
        <v>1342</v>
      </c>
      <c r="H255" s="28" t="s">
        <v>13548</v>
      </c>
      <c r="I255" s="28" t="s">
        <v>887</v>
      </c>
      <c r="J255" s="28" t="s">
        <v>13550</v>
      </c>
      <c r="K255" s="29" t="s">
        <v>13548</v>
      </c>
      <c r="L255" s="28" t="s">
        <v>989</v>
      </c>
      <c r="M255" s="28" t="s">
        <v>41</v>
      </c>
      <c r="N255" s="28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</row>
    <row r="256" spans="1:31" ht="14.4">
      <c r="A256" s="288" t="s">
        <v>11337</v>
      </c>
      <c r="B256" s="28" t="s">
        <v>11370</v>
      </c>
      <c r="C256" s="107" t="s">
        <v>260</v>
      </c>
      <c r="D256" s="107" t="s">
        <v>1337</v>
      </c>
      <c r="E256" s="107"/>
      <c r="F256" s="28" t="s">
        <v>13556</v>
      </c>
      <c r="G256" s="28" t="s">
        <v>1342</v>
      </c>
      <c r="H256" s="28" t="s">
        <v>13557</v>
      </c>
      <c r="I256" s="28" t="s">
        <v>2714</v>
      </c>
      <c r="J256" s="28" t="s">
        <v>13559</v>
      </c>
      <c r="K256" s="29" t="s">
        <v>13557</v>
      </c>
      <c r="L256" s="28" t="s">
        <v>989</v>
      </c>
      <c r="M256" s="28" t="s">
        <v>41</v>
      </c>
      <c r="N256" s="28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</row>
    <row r="257" spans="1:31" ht="14.4">
      <c r="A257" s="288" t="s">
        <v>11337</v>
      </c>
      <c r="B257" s="28" t="s">
        <v>11370</v>
      </c>
      <c r="C257" s="107" t="s">
        <v>260</v>
      </c>
      <c r="D257" s="107" t="s">
        <v>1337</v>
      </c>
      <c r="E257" s="107"/>
      <c r="F257" s="28" t="s">
        <v>13567</v>
      </c>
      <c r="G257" s="28" t="s">
        <v>1342</v>
      </c>
      <c r="H257" s="28" t="s">
        <v>13570</v>
      </c>
      <c r="I257" s="28" t="s">
        <v>887</v>
      </c>
      <c r="J257" s="28" t="s">
        <v>13572</v>
      </c>
      <c r="K257" s="29" t="s">
        <v>13570</v>
      </c>
      <c r="L257" s="28" t="s">
        <v>989</v>
      </c>
      <c r="M257" s="28" t="s">
        <v>41</v>
      </c>
      <c r="N257" s="28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</row>
    <row r="258" spans="1:31" ht="14.4">
      <c r="A258" s="288" t="s">
        <v>11337</v>
      </c>
      <c r="B258" s="28" t="s">
        <v>11370</v>
      </c>
      <c r="C258" s="107" t="s">
        <v>260</v>
      </c>
      <c r="D258" s="107" t="s">
        <v>1337</v>
      </c>
      <c r="E258" s="107"/>
      <c r="F258" s="28" t="s">
        <v>13576</v>
      </c>
      <c r="G258" s="28" t="s">
        <v>1342</v>
      </c>
      <c r="H258" s="28" t="s">
        <v>13577</v>
      </c>
      <c r="I258" s="28" t="s">
        <v>887</v>
      </c>
      <c r="J258" s="28" t="s">
        <v>13580</v>
      </c>
      <c r="K258" s="29" t="s">
        <v>13577</v>
      </c>
      <c r="L258" s="28" t="s">
        <v>989</v>
      </c>
      <c r="M258" s="28" t="s">
        <v>41</v>
      </c>
      <c r="N258" s="28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</row>
    <row r="259" spans="1:31" ht="14.4">
      <c r="A259" s="288" t="s">
        <v>11337</v>
      </c>
      <c r="B259" s="28" t="s">
        <v>11370</v>
      </c>
      <c r="C259" s="107" t="s">
        <v>260</v>
      </c>
      <c r="D259" s="107" t="s">
        <v>1337</v>
      </c>
      <c r="E259" s="107"/>
      <c r="F259" s="28" t="s">
        <v>13585</v>
      </c>
      <c r="G259" s="28" t="s">
        <v>1342</v>
      </c>
      <c r="H259" s="28" t="s">
        <v>13586</v>
      </c>
      <c r="I259" s="28" t="s">
        <v>887</v>
      </c>
      <c r="J259" s="28" t="s">
        <v>13588</v>
      </c>
      <c r="K259" s="29" t="s">
        <v>13586</v>
      </c>
      <c r="L259" s="28" t="s">
        <v>989</v>
      </c>
      <c r="M259" s="28" t="s">
        <v>41</v>
      </c>
      <c r="N259" s="28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</row>
    <row r="260" spans="1:31" ht="14.4">
      <c r="A260" s="288" t="s">
        <v>11337</v>
      </c>
      <c r="B260" s="28" t="s">
        <v>11370</v>
      </c>
      <c r="C260" s="107" t="s">
        <v>260</v>
      </c>
      <c r="D260" s="107" t="s">
        <v>1337</v>
      </c>
      <c r="E260" s="107"/>
      <c r="F260" s="28" t="s">
        <v>13594</v>
      </c>
      <c r="G260" s="28" t="s">
        <v>1342</v>
      </c>
      <c r="H260" s="28" t="s">
        <v>13595</v>
      </c>
      <c r="I260" s="28" t="s">
        <v>887</v>
      </c>
      <c r="J260" s="28" t="s">
        <v>13596</v>
      </c>
      <c r="K260" s="29" t="s">
        <v>13595</v>
      </c>
      <c r="L260" s="28" t="s">
        <v>989</v>
      </c>
      <c r="M260" s="28" t="s">
        <v>41</v>
      </c>
      <c r="N260" s="28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</row>
    <row r="261" spans="1:31" ht="14.4">
      <c r="A261" s="288" t="s">
        <v>11337</v>
      </c>
      <c r="B261" s="28" t="s">
        <v>11370</v>
      </c>
      <c r="C261" s="107" t="s">
        <v>260</v>
      </c>
      <c r="D261" s="107" t="s">
        <v>1337</v>
      </c>
      <c r="E261" s="107"/>
      <c r="F261" s="28" t="s">
        <v>13601</v>
      </c>
      <c r="G261" s="28" t="s">
        <v>1342</v>
      </c>
      <c r="H261" s="28" t="s">
        <v>13603</v>
      </c>
      <c r="I261" s="28" t="s">
        <v>887</v>
      </c>
      <c r="J261" s="28" t="s">
        <v>13605</v>
      </c>
      <c r="K261" s="29" t="s">
        <v>13603</v>
      </c>
      <c r="L261" s="28" t="s">
        <v>989</v>
      </c>
      <c r="M261" s="28" t="s">
        <v>41</v>
      </c>
      <c r="N261" s="28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</row>
    <row r="262" spans="1:31" ht="14.4">
      <c r="A262" s="288" t="s">
        <v>11337</v>
      </c>
      <c r="B262" s="28" t="s">
        <v>11370</v>
      </c>
      <c r="C262" s="107" t="s">
        <v>260</v>
      </c>
      <c r="D262" s="107" t="s">
        <v>1337</v>
      </c>
      <c r="E262" s="107"/>
      <c r="F262" s="28" t="s">
        <v>13612</v>
      </c>
      <c r="G262" s="28" t="s">
        <v>1342</v>
      </c>
      <c r="H262" s="28" t="s">
        <v>13613</v>
      </c>
      <c r="I262" s="28" t="s">
        <v>887</v>
      </c>
      <c r="J262" s="28" t="s">
        <v>13614</v>
      </c>
      <c r="K262" s="29" t="s">
        <v>13613</v>
      </c>
      <c r="L262" s="28" t="s">
        <v>989</v>
      </c>
      <c r="M262" s="28" t="s">
        <v>41</v>
      </c>
      <c r="N262" s="28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</row>
    <row r="263" spans="1:31" ht="14.4">
      <c r="A263" s="288" t="s">
        <v>11337</v>
      </c>
      <c r="B263" s="28" t="s">
        <v>11370</v>
      </c>
      <c r="C263" s="107" t="s">
        <v>260</v>
      </c>
      <c r="D263" s="107" t="s">
        <v>1337</v>
      </c>
      <c r="E263" s="107"/>
      <c r="F263" s="28" t="s">
        <v>13619</v>
      </c>
      <c r="G263" s="28" t="s">
        <v>1342</v>
      </c>
      <c r="H263" s="28" t="s">
        <v>13622</v>
      </c>
      <c r="I263" s="28" t="s">
        <v>887</v>
      </c>
      <c r="J263" s="28" t="s">
        <v>13623</v>
      </c>
      <c r="K263" s="29" t="s">
        <v>13622</v>
      </c>
      <c r="L263" s="28" t="s">
        <v>989</v>
      </c>
      <c r="M263" s="28" t="s">
        <v>41</v>
      </c>
      <c r="N263" s="28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</row>
    <row r="264" spans="1:31" ht="14.4">
      <c r="A264" s="288" t="s">
        <v>11337</v>
      </c>
      <c r="B264" s="28" t="s">
        <v>11370</v>
      </c>
      <c r="C264" s="107" t="s">
        <v>260</v>
      </c>
      <c r="D264" s="107" t="s">
        <v>1337</v>
      </c>
      <c r="E264" s="107"/>
      <c r="F264" s="28" t="s">
        <v>13627</v>
      </c>
      <c r="G264" s="28" t="s">
        <v>1342</v>
      </c>
      <c r="H264" s="28" t="s">
        <v>13628</v>
      </c>
      <c r="I264" s="28" t="s">
        <v>887</v>
      </c>
      <c r="J264" s="28" t="s">
        <v>13629</v>
      </c>
      <c r="K264" s="29" t="s">
        <v>13628</v>
      </c>
      <c r="L264" s="28" t="s">
        <v>989</v>
      </c>
      <c r="M264" s="28" t="s">
        <v>41</v>
      </c>
      <c r="N264" s="28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</row>
    <row r="265" spans="1:31" ht="14.4">
      <c r="A265" s="288" t="s">
        <v>11337</v>
      </c>
      <c r="B265" s="28" t="s">
        <v>11370</v>
      </c>
      <c r="C265" s="107" t="s">
        <v>260</v>
      </c>
      <c r="D265" s="107" t="s">
        <v>1337</v>
      </c>
      <c r="E265" s="107"/>
      <c r="F265" s="28" t="s">
        <v>13632</v>
      </c>
      <c r="G265" s="28" t="s">
        <v>1342</v>
      </c>
      <c r="H265" s="28" t="s">
        <v>13633</v>
      </c>
      <c r="I265" s="28" t="s">
        <v>887</v>
      </c>
      <c r="J265" s="28" t="s">
        <v>13634</v>
      </c>
      <c r="K265" s="29" t="s">
        <v>13633</v>
      </c>
      <c r="L265" s="28" t="s">
        <v>989</v>
      </c>
      <c r="M265" s="28" t="s">
        <v>41</v>
      </c>
      <c r="N265" s="28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</row>
    <row r="266" spans="1:31" ht="14.4">
      <c r="A266" s="288" t="s">
        <v>11337</v>
      </c>
      <c r="B266" s="28" t="s">
        <v>11370</v>
      </c>
      <c r="C266" s="107" t="s">
        <v>260</v>
      </c>
      <c r="D266" s="107" t="s">
        <v>1337</v>
      </c>
      <c r="E266" s="107"/>
      <c r="F266" s="28" t="s">
        <v>13638</v>
      </c>
      <c r="G266" s="28" t="s">
        <v>1342</v>
      </c>
      <c r="H266" s="28" t="s">
        <v>13640</v>
      </c>
      <c r="I266" s="28" t="s">
        <v>887</v>
      </c>
      <c r="J266" s="28" t="s">
        <v>13643</v>
      </c>
      <c r="K266" s="29" t="s">
        <v>13640</v>
      </c>
      <c r="L266" s="28" t="s">
        <v>989</v>
      </c>
      <c r="M266" s="28" t="s">
        <v>41</v>
      </c>
      <c r="N266" s="28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</row>
    <row r="267" spans="1:31" ht="14.4">
      <c r="A267" s="288" t="s">
        <v>11337</v>
      </c>
      <c r="B267" s="28" t="s">
        <v>11370</v>
      </c>
      <c r="C267" s="107" t="s">
        <v>260</v>
      </c>
      <c r="D267" s="107" t="s">
        <v>1337</v>
      </c>
      <c r="E267" s="107"/>
      <c r="F267" s="28" t="s">
        <v>13648</v>
      </c>
      <c r="G267" s="28" t="s">
        <v>1342</v>
      </c>
      <c r="H267" s="28" t="s">
        <v>13649</v>
      </c>
      <c r="I267" s="28" t="s">
        <v>887</v>
      </c>
      <c r="J267" s="28" t="s">
        <v>13650</v>
      </c>
      <c r="K267" s="29" t="s">
        <v>13649</v>
      </c>
      <c r="L267" s="28" t="s">
        <v>989</v>
      </c>
      <c r="M267" s="28" t="s">
        <v>41</v>
      </c>
      <c r="N267" s="28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</row>
    <row r="268" spans="1:31" ht="14.4">
      <c r="A268" s="288" t="s">
        <v>11337</v>
      </c>
      <c r="B268" s="28" t="s">
        <v>11340</v>
      </c>
      <c r="C268" s="28" t="s">
        <v>20</v>
      </c>
      <c r="D268" s="28" t="s">
        <v>1305</v>
      </c>
      <c r="E268" s="28"/>
      <c r="F268" s="28" t="s">
        <v>13654</v>
      </c>
      <c r="G268" s="28" t="s">
        <v>13655</v>
      </c>
      <c r="H268" s="28" t="s">
        <v>13129</v>
      </c>
      <c r="I268" s="28" t="s">
        <v>887</v>
      </c>
      <c r="J268" s="28" t="s">
        <v>13656</v>
      </c>
      <c r="K268" s="28" t="s">
        <v>13657</v>
      </c>
      <c r="L268" s="314" t="s">
        <v>729</v>
      </c>
      <c r="M268" s="28" t="s">
        <v>41</v>
      </c>
      <c r="N268" s="28" t="s">
        <v>13658</v>
      </c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</row>
    <row r="269" spans="1:31" ht="14.4">
      <c r="A269" s="288" t="s">
        <v>11337</v>
      </c>
      <c r="B269" s="28" t="s">
        <v>11357</v>
      </c>
      <c r="C269" s="28" t="s">
        <v>20</v>
      </c>
      <c r="D269" s="28" t="s">
        <v>1305</v>
      </c>
      <c r="E269" s="28"/>
      <c r="F269" s="28" t="s">
        <v>13662</v>
      </c>
      <c r="G269" s="28" t="s">
        <v>13663</v>
      </c>
      <c r="H269" s="28" t="s">
        <v>12623</v>
      </c>
      <c r="I269" s="28" t="s">
        <v>933</v>
      </c>
      <c r="J269" s="28" t="s">
        <v>13664</v>
      </c>
      <c r="K269" s="28" t="s">
        <v>12623</v>
      </c>
      <c r="L269" s="28" t="s">
        <v>10907</v>
      </c>
      <c r="M269" s="28" t="s">
        <v>41</v>
      </c>
      <c r="N269" s="28" t="s">
        <v>13658</v>
      </c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</row>
    <row r="270" spans="1:31" ht="14.4">
      <c r="A270" s="288" t="s">
        <v>11337</v>
      </c>
      <c r="B270" s="28" t="s">
        <v>11370</v>
      </c>
      <c r="C270" s="28" t="s">
        <v>20</v>
      </c>
      <c r="D270" s="28" t="s">
        <v>1305</v>
      </c>
      <c r="E270" s="28"/>
      <c r="F270" s="28" t="s">
        <v>13668</v>
      </c>
      <c r="G270" s="28" t="s">
        <v>13669</v>
      </c>
      <c r="H270" s="28" t="s">
        <v>13670</v>
      </c>
      <c r="I270" s="28" t="s">
        <v>933</v>
      </c>
      <c r="J270" s="28" t="s">
        <v>13671</v>
      </c>
      <c r="K270" s="28" t="s">
        <v>13670</v>
      </c>
      <c r="L270" s="295" t="s">
        <v>10907</v>
      </c>
      <c r="M270" s="28" t="s">
        <v>41</v>
      </c>
      <c r="N270" s="28" t="s">
        <v>13658</v>
      </c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</row>
    <row r="271" spans="1:31" ht="14.4">
      <c r="A271" s="288" t="s">
        <v>11337</v>
      </c>
      <c r="B271" s="28" t="s">
        <v>11409</v>
      </c>
      <c r="C271" s="28" t="s">
        <v>20</v>
      </c>
      <c r="D271" s="28" t="s">
        <v>1305</v>
      </c>
      <c r="E271" s="28"/>
      <c r="F271" s="28" t="s">
        <v>13675</v>
      </c>
      <c r="G271" s="28" t="s">
        <v>13676</v>
      </c>
      <c r="H271" s="28" t="s">
        <v>11812</v>
      </c>
      <c r="I271" s="295" t="s">
        <v>3573</v>
      </c>
      <c r="J271" s="28" t="s">
        <v>13680</v>
      </c>
      <c r="K271" s="28" t="s">
        <v>11812</v>
      </c>
      <c r="L271" s="295" t="s">
        <v>6768</v>
      </c>
      <c r="M271" s="28" t="s">
        <v>41</v>
      </c>
      <c r="N271" s="28" t="s">
        <v>13658</v>
      </c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</row>
    <row r="272" spans="1:31" ht="14.4">
      <c r="A272" s="288" t="s">
        <v>11337</v>
      </c>
      <c r="B272" s="28" t="s">
        <v>62</v>
      </c>
      <c r="C272" s="28" t="s">
        <v>20</v>
      </c>
      <c r="D272" s="28" t="s">
        <v>1305</v>
      </c>
      <c r="E272" s="28"/>
      <c r="F272" s="28" t="s">
        <v>10746</v>
      </c>
      <c r="G272" s="28" t="s">
        <v>10753</v>
      </c>
      <c r="H272" s="28" t="s">
        <v>13684</v>
      </c>
      <c r="I272" s="28" t="s">
        <v>4480</v>
      </c>
      <c r="J272" s="28" t="s">
        <v>13685</v>
      </c>
      <c r="K272" s="28" t="s">
        <v>9402</v>
      </c>
      <c r="L272" s="28" t="s">
        <v>4480</v>
      </c>
      <c r="M272" s="28" t="s">
        <v>41</v>
      </c>
      <c r="N272" s="28" t="s">
        <v>13658</v>
      </c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</row>
    <row r="273" spans="1:31" ht="14.4">
      <c r="A273" s="288" t="s">
        <v>11337</v>
      </c>
      <c r="B273" s="28" t="s">
        <v>62</v>
      </c>
      <c r="C273" s="28" t="s">
        <v>20</v>
      </c>
      <c r="D273" s="28" t="s">
        <v>1305</v>
      </c>
      <c r="E273" s="28"/>
      <c r="F273" s="28" t="s">
        <v>13688</v>
      </c>
      <c r="G273" s="28" t="s">
        <v>13690</v>
      </c>
      <c r="H273" s="28" t="s">
        <v>13692</v>
      </c>
      <c r="I273" s="28" t="s">
        <v>12527</v>
      </c>
      <c r="J273" s="28" t="s">
        <v>13695</v>
      </c>
      <c r="K273" s="28" t="s">
        <v>9402</v>
      </c>
      <c r="L273" s="28" t="s">
        <v>12527</v>
      </c>
      <c r="M273" s="28" t="s">
        <v>41</v>
      </c>
      <c r="N273" s="28" t="s">
        <v>13658</v>
      </c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</row>
    <row r="274" spans="1:31" ht="43.2">
      <c r="A274" s="288" t="s">
        <v>11337</v>
      </c>
      <c r="B274" s="79"/>
      <c r="C274" s="79" t="s">
        <v>20</v>
      </c>
      <c r="D274" s="79"/>
      <c r="E274" s="79"/>
      <c r="F274" s="79" t="s">
        <v>13699</v>
      </c>
      <c r="G274" s="332" t="s">
        <v>13701</v>
      </c>
      <c r="H274" s="79"/>
      <c r="I274" s="79"/>
      <c r="J274" s="79" t="s">
        <v>13703</v>
      </c>
      <c r="K274" s="45"/>
      <c r="L274" s="79"/>
      <c r="M274" s="333" t="s">
        <v>41</v>
      </c>
      <c r="N274" s="45"/>
      <c r="O274" s="335"/>
      <c r="P274" s="336"/>
      <c r="Q274" s="336"/>
      <c r="R274" s="336"/>
      <c r="S274" s="336"/>
      <c r="T274" s="336"/>
      <c r="U274" s="336"/>
      <c r="V274" s="336"/>
      <c r="W274" s="336"/>
      <c r="X274" s="336"/>
      <c r="Y274" s="336"/>
      <c r="Z274" s="336"/>
      <c r="AA274" s="336"/>
      <c r="AB274" s="336"/>
      <c r="AC274" s="336"/>
      <c r="AD274" s="336"/>
      <c r="AE274" s="336"/>
    </row>
    <row r="275" spans="1:31" ht="13.2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</row>
    <row r="276" spans="1:31" ht="13.2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</row>
    <row r="277" spans="1:31" ht="13.2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</row>
    <row r="278" spans="1:31" ht="13.2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</row>
    <row r="279" spans="1:31" ht="13.2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</row>
    <row r="280" spans="1:31" ht="13.2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</row>
    <row r="281" spans="1:31" ht="13.2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</row>
    <row r="282" spans="1:31" ht="13.2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</row>
    <row r="283" spans="1:31" ht="13.2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</row>
    <row r="284" spans="1:31" ht="13.2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</row>
    <row r="285" spans="1:31" ht="13.2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</row>
    <row r="286" spans="1:31" ht="13.2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</row>
    <row r="287" spans="1:31" ht="13.2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</row>
    <row r="288" spans="1:31" ht="13.2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</row>
    <row r="289" spans="1:31" ht="13.2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</row>
    <row r="290" spans="1:31" ht="13.2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</row>
    <row r="291" spans="1:31" ht="13.2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</row>
    <row r="292" spans="1:31" ht="13.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</row>
    <row r="293" spans="1:31" ht="13.2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</row>
    <row r="294" spans="1:31" ht="13.2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</row>
    <row r="295" spans="1:31" ht="13.2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</row>
    <row r="296" spans="1:31" ht="13.2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</row>
    <row r="297" spans="1:31" ht="13.2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</row>
    <row r="298" spans="1:31" ht="13.2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</row>
    <row r="299" spans="1:31" ht="13.2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</row>
    <row r="300" spans="1:31" ht="13.2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</row>
    <row r="301" spans="1:31" ht="13.2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</row>
    <row r="302" spans="1:31" ht="13.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</row>
    <row r="303" spans="1:31" ht="13.2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</row>
    <row r="304" spans="1:31" ht="13.2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</row>
    <row r="305" spans="1:31" ht="13.2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</row>
    <row r="306" spans="1:31" ht="13.2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</row>
    <row r="307" spans="1:31" ht="13.2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</row>
    <row r="308" spans="1:31" ht="13.2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</row>
    <row r="309" spans="1:31" ht="13.2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</row>
    <row r="310" spans="1:31" ht="13.2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</row>
    <row r="311" spans="1:31" ht="13.2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</row>
    <row r="312" spans="1:31" ht="13.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</row>
    <row r="313" spans="1:31" ht="13.2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</row>
    <row r="314" spans="1:31" ht="13.2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</row>
    <row r="315" spans="1:31" ht="13.2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</row>
    <row r="316" spans="1:31" ht="13.2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</row>
    <row r="317" spans="1:31" ht="13.2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</row>
    <row r="318" spans="1:31" ht="13.2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</row>
    <row r="319" spans="1:31" ht="13.2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</row>
    <row r="320" spans="1:31" ht="13.2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</row>
    <row r="321" spans="1:31" ht="13.2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</row>
    <row r="322" spans="1:31" ht="13.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</row>
    <row r="323" spans="1:31" ht="13.2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</row>
    <row r="324" spans="1:31" ht="13.2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</row>
    <row r="325" spans="1:31" ht="13.2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</row>
    <row r="326" spans="1:31" ht="13.2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</row>
    <row r="327" spans="1:31" ht="13.2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</row>
  </sheetData>
  <autoFilter ref="A2:N274" xr:uid="{00000000-0009-0000-0000-000011000000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AE1000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/>
  <cols>
    <col min="1" max="1" width="8.33203125" customWidth="1"/>
    <col min="2" max="2" width="14" customWidth="1"/>
    <col min="3" max="3" width="40" customWidth="1"/>
    <col min="6" max="6" width="23.6640625" customWidth="1"/>
  </cols>
  <sheetData>
    <row r="1" spans="1:31" ht="15.75" customHeight="1">
      <c r="A1" s="348" t="s">
        <v>0</v>
      </c>
      <c r="B1" s="349"/>
      <c r="C1" s="349"/>
      <c r="D1" s="349"/>
      <c r="E1" s="11"/>
      <c r="F1" s="296"/>
      <c r="G1" s="11"/>
      <c r="H1" s="11"/>
      <c r="I1" s="11"/>
      <c r="J1" s="11"/>
      <c r="K1" s="11"/>
      <c r="L1" s="11"/>
      <c r="M1" s="11"/>
      <c r="N1" s="1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</row>
    <row r="2" spans="1:31" ht="15.75" customHeight="1">
      <c r="A2" s="297" t="s">
        <v>2</v>
      </c>
      <c r="B2" s="297" t="s">
        <v>3</v>
      </c>
      <c r="C2" s="297" t="s">
        <v>4</v>
      </c>
      <c r="D2" s="297" t="s">
        <v>5</v>
      </c>
      <c r="E2" s="297" t="s">
        <v>6</v>
      </c>
      <c r="F2" s="297" t="s">
        <v>8</v>
      </c>
      <c r="G2" s="297" t="s">
        <v>24</v>
      </c>
      <c r="H2" s="297" t="s">
        <v>10</v>
      </c>
      <c r="I2" s="297" t="s">
        <v>11</v>
      </c>
      <c r="J2" s="297" t="s">
        <v>12</v>
      </c>
      <c r="K2" s="297" t="s">
        <v>14</v>
      </c>
      <c r="L2" s="297" t="s">
        <v>15</v>
      </c>
      <c r="M2" s="297" t="s">
        <v>16</v>
      </c>
      <c r="N2" s="298" t="s">
        <v>17</v>
      </c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</row>
    <row r="3" spans="1:31" ht="15.75" customHeight="1">
      <c r="A3" s="264" t="s">
        <v>45</v>
      </c>
      <c r="B3" s="264" t="s">
        <v>11834</v>
      </c>
      <c r="C3" s="264" t="s">
        <v>275</v>
      </c>
      <c r="D3" s="264"/>
      <c r="E3" s="264" t="s">
        <v>54</v>
      </c>
      <c r="F3" s="31" t="s">
        <v>11836</v>
      </c>
      <c r="G3" s="264" t="s">
        <v>11838</v>
      </c>
      <c r="H3" s="264" t="s">
        <v>11840</v>
      </c>
      <c r="I3" s="264" t="s">
        <v>887</v>
      </c>
      <c r="J3" s="264" t="s">
        <v>11843</v>
      </c>
      <c r="K3" s="264" t="s">
        <v>11840</v>
      </c>
      <c r="L3" s="264" t="s">
        <v>11846</v>
      </c>
      <c r="M3" s="264" t="s">
        <v>41</v>
      </c>
      <c r="N3" s="27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</row>
    <row r="4" spans="1:31" ht="15.75" customHeight="1">
      <c r="A4" s="264" t="s">
        <v>45</v>
      </c>
      <c r="B4" s="264" t="s">
        <v>11849</v>
      </c>
      <c r="C4" s="264" t="s">
        <v>275</v>
      </c>
      <c r="D4" s="264"/>
      <c r="E4" s="264" t="s">
        <v>54</v>
      </c>
      <c r="F4" s="31" t="s">
        <v>11853</v>
      </c>
      <c r="G4" s="264" t="s">
        <v>11854</v>
      </c>
      <c r="H4" s="264" t="s">
        <v>11855</v>
      </c>
      <c r="I4" s="264" t="s">
        <v>11856</v>
      </c>
      <c r="J4" s="264" t="s">
        <v>11857</v>
      </c>
      <c r="K4" s="264" t="s">
        <v>11855</v>
      </c>
      <c r="L4" s="264" t="s">
        <v>11859</v>
      </c>
      <c r="M4" s="264" t="s">
        <v>2660</v>
      </c>
      <c r="N4" s="27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</row>
    <row r="5" spans="1:31" ht="15.75" customHeight="1">
      <c r="A5" s="301" t="s">
        <v>45</v>
      </c>
      <c r="B5" s="301" t="s">
        <v>11864</v>
      </c>
      <c r="C5" s="301" t="s">
        <v>275</v>
      </c>
      <c r="D5" s="302" t="s">
        <v>543</v>
      </c>
      <c r="E5" s="303" t="s">
        <v>54</v>
      </c>
      <c r="F5" s="31" t="s">
        <v>11868</v>
      </c>
      <c r="G5" s="301" t="s">
        <v>11870</v>
      </c>
      <c r="H5" s="301" t="s">
        <v>11871</v>
      </c>
      <c r="I5" s="301" t="s">
        <v>6927</v>
      </c>
      <c r="J5" s="301" t="s">
        <v>11873</v>
      </c>
      <c r="K5" s="301" t="s">
        <v>11874</v>
      </c>
      <c r="L5" s="301" t="s">
        <v>11875</v>
      </c>
      <c r="M5" s="301" t="s">
        <v>2660</v>
      </c>
      <c r="N5" s="304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</row>
    <row r="6" spans="1:31" ht="15.75" customHeight="1">
      <c r="A6" s="264" t="s">
        <v>45</v>
      </c>
      <c r="B6" s="264" t="s">
        <v>11864</v>
      </c>
      <c r="C6" s="264" t="s">
        <v>275</v>
      </c>
      <c r="D6" s="254" t="s">
        <v>543</v>
      </c>
      <c r="E6" s="266" t="s">
        <v>54</v>
      </c>
      <c r="F6" s="31" t="s">
        <v>11880</v>
      </c>
      <c r="G6" s="264" t="s">
        <v>11881</v>
      </c>
      <c r="H6" s="264" t="s">
        <v>11882</v>
      </c>
      <c r="I6" s="264" t="s">
        <v>11883</v>
      </c>
      <c r="J6" s="264" t="s">
        <v>11884</v>
      </c>
      <c r="K6" s="264" t="s">
        <v>11874</v>
      </c>
      <c r="L6" s="264" t="s">
        <v>11885</v>
      </c>
      <c r="M6" s="119" t="s">
        <v>11886</v>
      </c>
      <c r="N6" s="264" t="s">
        <v>11888</v>
      </c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</row>
    <row r="7" spans="1:31" ht="15.75" customHeight="1">
      <c r="A7" s="264" t="s">
        <v>45</v>
      </c>
      <c r="B7" s="264" t="s">
        <v>11892</v>
      </c>
      <c r="C7" s="264" t="s">
        <v>275</v>
      </c>
      <c r="D7" s="254" t="s">
        <v>543</v>
      </c>
      <c r="E7" s="266" t="s">
        <v>54</v>
      </c>
      <c r="F7" s="31" t="s">
        <v>11894</v>
      </c>
      <c r="G7" s="264" t="s">
        <v>11895</v>
      </c>
      <c r="H7" s="264" t="s">
        <v>11896</v>
      </c>
      <c r="I7" s="264" t="s">
        <v>1610</v>
      </c>
      <c r="J7" s="264" t="s">
        <v>11898</v>
      </c>
      <c r="K7" s="264" t="s">
        <v>11896</v>
      </c>
      <c r="L7" s="264" t="s">
        <v>11899</v>
      </c>
      <c r="M7" s="264" t="s">
        <v>41</v>
      </c>
      <c r="N7" s="27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</row>
    <row r="8" spans="1:31" ht="15.75" customHeight="1">
      <c r="A8" s="264" t="s">
        <v>45</v>
      </c>
      <c r="B8" s="264" t="s">
        <v>49</v>
      </c>
      <c r="C8" s="264" t="s">
        <v>233</v>
      </c>
      <c r="D8" s="267" t="s">
        <v>298</v>
      </c>
      <c r="E8" s="266" t="s">
        <v>54</v>
      </c>
      <c r="F8" s="264" t="s">
        <v>11905</v>
      </c>
      <c r="G8" s="264" t="s">
        <v>11906</v>
      </c>
      <c r="H8" s="264" t="s">
        <v>11907</v>
      </c>
      <c r="I8" s="264" t="s">
        <v>11909</v>
      </c>
      <c r="J8" s="264" t="s">
        <v>3109</v>
      </c>
      <c r="K8" s="264" t="s">
        <v>11907</v>
      </c>
      <c r="L8" s="264" t="s">
        <v>11910</v>
      </c>
      <c r="M8" s="264" t="s">
        <v>2660</v>
      </c>
      <c r="N8" s="27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</row>
    <row r="9" spans="1:31" ht="15.75" customHeight="1">
      <c r="A9" s="264" t="s">
        <v>45</v>
      </c>
      <c r="B9" s="264" t="s">
        <v>49</v>
      </c>
      <c r="C9" s="264" t="s">
        <v>233</v>
      </c>
      <c r="D9" s="267" t="s">
        <v>298</v>
      </c>
      <c r="E9" s="266" t="s">
        <v>54</v>
      </c>
      <c r="F9" s="264" t="s">
        <v>11916</v>
      </c>
      <c r="G9" s="264" t="s">
        <v>11917</v>
      </c>
      <c r="H9" s="264" t="s">
        <v>11918</v>
      </c>
      <c r="I9" s="264" t="s">
        <v>916</v>
      </c>
      <c r="J9" s="264" t="s">
        <v>11920</v>
      </c>
      <c r="K9" s="264" t="s">
        <v>11918</v>
      </c>
      <c r="L9" s="264" t="s">
        <v>11923</v>
      </c>
      <c r="M9" s="264" t="s">
        <v>2660</v>
      </c>
      <c r="N9" s="27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</row>
    <row r="10" spans="1:31" ht="15.75" customHeight="1">
      <c r="A10" s="264" t="s">
        <v>45</v>
      </c>
      <c r="B10" s="264" t="s">
        <v>49</v>
      </c>
      <c r="C10" s="264" t="s">
        <v>233</v>
      </c>
      <c r="D10" s="267" t="s">
        <v>298</v>
      </c>
      <c r="E10" s="266" t="s">
        <v>54</v>
      </c>
      <c r="F10" s="264" t="s">
        <v>11926</v>
      </c>
      <c r="G10" s="264" t="s">
        <v>11927</v>
      </c>
      <c r="H10" s="264" t="s">
        <v>11928</v>
      </c>
      <c r="I10" s="264" t="s">
        <v>11929</v>
      </c>
      <c r="J10" s="264" t="s">
        <v>2951</v>
      </c>
      <c r="K10" s="264" t="s">
        <v>11931</v>
      </c>
      <c r="L10" s="264" t="s">
        <v>11933</v>
      </c>
      <c r="M10" s="264" t="s">
        <v>2660</v>
      </c>
      <c r="N10" s="27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</row>
    <row r="11" spans="1:31" ht="15.75" customHeight="1">
      <c r="A11" s="264" t="s">
        <v>45</v>
      </c>
      <c r="B11" s="264" t="s">
        <v>49</v>
      </c>
      <c r="C11" s="264" t="s">
        <v>233</v>
      </c>
      <c r="D11" s="267" t="s">
        <v>298</v>
      </c>
      <c r="E11" s="266" t="s">
        <v>54</v>
      </c>
      <c r="F11" s="264" t="s">
        <v>11937</v>
      </c>
      <c r="G11" s="264" t="s">
        <v>11939</v>
      </c>
      <c r="H11" s="264" t="s">
        <v>11940</v>
      </c>
      <c r="I11" s="264" t="s">
        <v>4057</v>
      </c>
      <c r="J11" s="264" t="s">
        <v>11941</v>
      </c>
      <c r="K11" s="264" t="s">
        <v>11940</v>
      </c>
      <c r="L11" s="264" t="s">
        <v>11943</v>
      </c>
      <c r="M11" s="264" t="s">
        <v>2660</v>
      </c>
      <c r="N11" s="27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</row>
    <row r="12" spans="1:31" ht="15.75" customHeight="1">
      <c r="A12" s="264" t="s">
        <v>45</v>
      </c>
      <c r="B12" s="264" t="s">
        <v>11834</v>
      </c>
      <c r="C12" s="264" t="s">
        <v>233</v>
      </c>
      <c r="D12" s="267" t="s">
        <v>298</v>
      </c>
      <c r="E12" s="266" t="s">
        <v>54</v>
      </c>
      <c r="F12" s="264" t="s">
        <v>11948</v>
      </c>
      <c r="G12" s="264" t="s">
        <v>11949</v>
      </c>
      <c r="H12" s="264" t="s">
        <v>11950</v>
      </c>
      <c r="I12" s="264" t="s">
        <v>11951</v>
      </c>
      <c r="J12" s="264" t="s">
        <v>11953</v>
      </c>
      <c r="K12" s="264" t="s">
        <v>11954</v>
      </c>
      <c r="L12" s="264" t="s">
        <v>11955</v>
      </c>
      <c r="M12" s="264" t="s">
        <v>41</v>
      </c>
      <c r="N12" s="27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</row>
    <row r="13" spans="1:31" ht="15.75" customHeight="1">
      <c r="A13" s="264" t="s">
        <v>45</v>
      </c>
      <c r="B13" s="264" t="s">
        <v>11834</v>
      </c>
      <c r="C13" s="264" t="s">
        <v>233</v>
      </c>
      <c r="D13" s="267" t="s">
        <v>298</v>
      </c>
      <c r="E13" s="264" t="s">
        <v>54</v>
      </c>
      <c r="F13" s="264" t="s">
        <v>11961</v>
      </c>
      <c r="G13" s="264" t="s">
        <v>11962</v>
      </c>
      <c r="H13" s="264" t="s">
        <v>11963</v>
      </c>
      <c r="I13" s="264" t="s">
        <v>2400</v>
      </c>
      <c r="J13" s="264" t="s">
        <v>11964</v>
      </c>
      <c r="K13" s="264" t="s">
        <v>11963</v>
      </c>
      <c r="L13" s="264" t="s">
        <v>11965</v>
      </c>
      <c r="M13" s="264" t="s">
        <v>41</v>
      </c>
      <c r="N13" s="27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</row>
    <row r="14" spans="1:31" ht="15.75" customHeight="1">
      <c r="A14" s="264" t="s">
        <v>45</v>
      </c>
      <c r="B14" s="264" t="s">
        <v>11849</v>
      </c>
      <c r="C14" s="264" t="s">
        <v>233</v>
      </c>
      <c r="D14" s="267" t="s">
        <v>298</v>
      </c>
      <c r="E14" s="264" t="s">
        <v>54</v>
      </c>
      <c r="F14" s="264" t="s">
        <v>11971</v>
      </c>
      <c r="G14" s="264" t="s">
        <v>11972</v>
      </c>
      <c r="H14" s="264" t="s">
        <v>11973</v>
      </c>
      <c r="I14" s="264" t="s">
        <v>11975</v>
      </c>
      <c r="J14" s="264" t="s">
        <v>11976</v>
      </c>
      <c r="K14" s="264" t="s">
        <v>11977</v>
      </c>
      <c r="L14" s="264" t="s">
        <v>11978</v>
      </c>
      <c r="M14" s="264" t="s">
        <v>2660</v>
      </c>
      <c r="N14" s="27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</row>
    <row r="15" spans="1:31" ht="15.75" customHeight="1">
      <c r="A15" s="264" t="s">
        <v>45</v>
      </c>
      <c r="B15" s="264" t="s">
        <v>11849</v>
      </c>
      <c r="C15" s="264" t="s">
        <v>233</v>
      </c>
      <c r="D15" s="267" t="s">
        <v>298</v>
      </c>
      <c r="E15" s="264" t="s">
        <v>54</v>
      </c>
      <c r="F15" s="264" t="s">
        <v>11984</v>
      </c>
      <c r="G15" s="264" t="s">
        <v>11985</v>
      </c>
      <c r="H15" s="264" t="s">
        <v>11986</v>
      </c>
      <c r="I15" s="264" t="s">
        <v>11987</v>
      </c>
      <c r="J15" s="264" t="s">
        <v>11988</v>
      </c>
      <c r="K15" s="264" t="s">
        <v>11986</v>
      </c>
      <c r="L15" s="264" t="s">
        <v>11989</v>
      </c>
      <c r="M15" s="264" t="s">
        <v>2660</v>
      </c>
      <c r="N15" s="27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</row>
    <row r="16" spans="1:31" ht="15.75" customHeight="1">
      <c r="A16" s="264" t="s">
        <v>45</v>
      </c>
      <c r="B16" s="264" t="s">
        <v>11849</v>
      </c>
      <c r="C16" s="264" t="s">
        <v>233</v>
      </c>
      <c r="D16" s="267" t="s">
        <v>298</v>
      </c>
      <c r="E16" s="264" t="s">
        <v>54</v>
      </c>
      <c r="F16" s="264" t="s">
        <v>11995</v>
      </c>
      <c r="G16" s="264" t="s">
        <v>11996</v>
      </c>
      <c r="H16" s="264" t="s">
        <v>11997</v>
      </c>
      <c r="I16" s="264" t="s">
        <v>11998</v>
      </c>
      <c r="J16" s="264" t="s">
        <v>11999</v>
      </c>
      <c r="K16" s="264" t="s">
        <v>11997</v>
      </c>
      <c r="L16" s="264" t="s">
        <v>12001</v>
      </c>
      <c r="M16" s="264" t="s">
        <v>12002</v>
      </c>
      <c r="N16" s="27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</row>
    <row r="17" spans="1:31" ht="15.75" customHeight="1">
      <c r="A17" s="264" t="s">
        <v>45</v>
      </c>
      <c r="B17" s="264" t="s">
        <v>11849</v>
      </c>
      <c r="C17" s="264" t="s">
        <v>233</v>
      </c>
      <c r="D17" s="267" t="s">
        <v>298</v>
      </c>
      <c r="E17" s="264" t="s">
        <v>54</v>
      </c>
      <c r="F17" s="264" t="s">
        <v>12007</v>
      </c>
      <c r="G17" s="264" t="s">
        <v>12008</v>
      </c>
      <c r="H17" s="264" t="s">
        <v>12009</v>
      </c>
      <c r="I17" s="264" t="s">
        <v>5456</v>
      </c>
      <c r="J17" s="264" t="s">
        <v>12010</v>
      </c>
      <c r="K17" s="264" t="s">
        <v>12009</v>
      </c>
      <c r="L17" s="264" t="s">
        <v>12011</v>
      </c>
      <c r="M17" s="264" t="s">
        <v>2660</v>
      </c>
      <c r="N17" s="27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</row>
    <row r="18" spans="1:31" ht="14.4">
      <c r="A18" s="264" t="s">
        <v>45</v>
      </c>
      <c r="B18" s="264" t="s">
        <v>11849</v>
      </c>
      <c r="C18" s="264" t="s">
        <v>233</v>
      </c>
      <c r="D18" s="267" t="s">
        <v>298</v>
      </c>
      <c r="E18" s="264" t="s">
        <v>54</v>
      </c>
      <c r="F18" s="264" t="s">
        <v>12016</v>
      </c>
      <c r="G18" s="264" t="s">
        <v>12017</v>
      </c>
      <c r="H18" s="264" t="s">
        <v>12018</v>
      </c>
      <c r="I18" s="264" t="s">
        <v>887</v>
      </c>
      <c r="J18" s="264"/>
      <c r="K18" s="264" t="s">
        <v>12018</v>
      </c>
      <c r="L18" s="264" t="s">
        <v>12020</v>
      </c>
      <c r="M18" s="264" t="s">
        <v>2660</v>
      </c>
      <c r="N18" s="27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</row>
    <row r="19" spans="1:31" ht="14.4">
      <c r="A19" s="264" t="s">
        <v>45</v>
      </c>
      <c r="B19" s="264" t="s">
        <v>11864</v>
      </c>
      <c r="C19" s="264" t="s">
        <v>233</v>
      </c>
      <c r="D19" s="267" t="s">
        <v>298</v>
      </c>
      <c r="E19" s="264" t="s">
        <v>54</v>
      </c>
      <c r="F19" s="264" t="s">
        <v>12026</v>
      </c>
      <c r="G19" s="264" t="s">
        <v>12027</v>
      </c>
      <c r="H19" s="264" t="s">
        <v>12028</v>
      </c>
      <c r="I19" s="264" t="s">
        <v>6927</v>
      </c>
      <c r="J19" s="264" t="s">
        <v>12029</v>
      </c>
      <c r="K19" s="264" t="s">
        <v>12030</v>
      </c>
      <c r="L19" s="264" t="s">
        <v>12031</v>
      </c>
      <c r="M19" s="264" t="s">
        <v>2660</v>
      </c>
      <c r="N19" s="27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</row>
    <row r="20" spans="1:31" ht="14.4">
      <c r="A20" s="264" t="s">
        <v>45</v>
      </c>
      <c r="B20" s="264" t="s">
        <v>11864</v>
      </c>
      <c r="C20" s="264" t="s">
        <v>233</v>
      </c>
      <c r="D20" s="267" t="s">
        <v>298</v>
      </c>
      <c r="E20" s="264" t="s">
        <v>54</v>
      </c>
      <c r="F20" s="264" t="s">
        <v>12037</v>
      </c>
      <c r="G20" s="264" t="s">
        <v>12038</v>
      </c>
      <c r="H20" s="264" t="s">
        <v>12028</v>
      </c>
      <c r="I20" s="264" t="s">
        <v>1595</v>
      </c>
      <c r="J20" s="264" t="s">
        <v>12039</v>
      </c>
      <c r="K20" s="264" t="s">
        <v>12040</v>
      </c>
      <c r="L20" s="264" t="s">
        <v>12041</v>
      </c>
      <c r="M20" s="264" t="s">
        <v>2660</v>
      </c>
      <c r="N20" s="27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</row>
    <row r="21" spans="1:31" ht="14.4">
      <c r="A21" s="264" t="s">
        <v>45</v>
      </c>
      <c r="B21" s="264" t="s">
        <v>11864</v>
      </c>
      <c r="C21" s="264" t="s">
        <v>233</v>
      </c>
      <c r="D21" s="267" t="s">
        <v>298</v>
      </c>
      <c r="E21" s="264" t="s">
        <v>54</v>
      </c>
      <c r="F21" s="264" t="s">
        <v>12051</v>
      </c>
      <c r="G21" s="264" t="s">
        <v>12052</v>
      </c>
      <c r="H21" s="264" t="s">
        <v>12053</v>
      </c>
      <c r="I21" s="264" t="s">
        <v>12054</v>
      </c>
      <c r="J21" s="264" t="s">
        <v>12055</v>
      </c>
      <c r="K21" s="264" t="s">
        <v>12028</v>
      </c>
      <c r="L21" s="264" t="s">
        <v>12056</v>
      </c>
      <c r="M21" s="264" t="s">
        <v>2660</v>
      </c>
      <c r="N21" s="27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</row>
    <row r="22" spans="1:31" ht="14.4">
      <c r="A22" s="264" t="s">
        <v>45</v>
      </c>
      <c r="B22" s="264" t="s">
        <v>11864</v>
      </c>
      <c r="C22" s="264" t="s">
        <v>233</v>
      </c>
      <c r="D22" s="267" t="s">
        <v>298</v>
      </c>
      <c r="E22" s="264" t="s">
        <v>54</v>
      </c>
      <c r="F22" s="264" t="s">
        <v>12060</v>
      </c>
      <c r="G22" s="264" t="s">
        <v>12062</v>
      </c>
      <c r="H22" s="264" t="s">
        <v>12063</v>
      </c>
      <c r="I22" s="264" t="s">
        <v>1610</v>
      </c>
      <c r="J22" s="264" t="s">
        <v>12064</v>
      </c>
      <c r="K22" s="264" t="s">
        <v>12063</v>
      </c>
      <c r="L22" s="264" t="s">
        <v>12065</v>
      </c>
      <c r="M22" s="264" t="s">
        <v>2660</v>
      </c>
      <c r="N22" s="271" t="s">
        <v>12066</v>
      </c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</row>
    <row r="23" spans="1:31" ht="14.4">
      <c r="A23" s="264" t="s">
        <v>45</v>
      </c>
      <c r="B23" s="264" t="s">
        <v>11892</v>
      </c>
      <c r="C23" s="264" t="s">
        <v>233</v>
      </c>
      <c r="D23" s="267" t="s">
        <v>298</v>
      </c>
      <c r="E23" s="264" t="s">
        <v>54</v>
      </c>
      <c r="F23" s="264" t="s">
        <v>12073</v>
      </c>
      <c r="G23" s="264" t="s">
        <v>12074</v>
      </c>
      <c r="H23" s="264" t="s">
        <v>12075</v>
      </c>
      <c r="I23" s="264" t="s">
        <v>6550</v>
      </c>
      <c r="J23" s="264" t="s">
        <v>12078</v>
      </c>
      <c r="K23" s="264" t="s">
        <v>12079</v>
      </c>
      <c r="L23" s="264" t="s">
        <v>12081</v>
      </c>
      <c r="M23" s="264" t="s">
        <v>41</v>
      </c>
      <c r="N23" s="27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</row>
    <row r="24" spans="1:31" ht="14.4">
      <c r="A24" s="264" t="s">
        <v>45</v>
      </c>
      <c r="B24" s="264" t="s">
        <v>11892</v>
      </c>
      <c r="C24" s="264" t="s">
        <v>233</v>
      </c>
      <c r="D24" s="267" t="s">
        <v>298</v>
      </c>
      <c r="E24" s="264" t="s">
        <v>54</v>
      </c>
      <c r="F24" s="264" t="s">
        <v>12086</v>
      </c>
      <c r="G24" s="264" t="s">
        <v>12087</v>
      </c>
      <c r="H24" s="264" t="s">
        <v>12075</v>
      </c>
      <c r="I24" s="264" t="s">
        <v>6550</v>
      </c>
      <c r="J24" s="264" t="s">
        <v>12088</v>
      </c>
      <c r="K24" s="264" t="s">
        <v>12089</v>
      </c>
      <c r="L24" s="264" t="s">
        <v>12081</v>
      </c>
      <c r="M24" s="264" t="s">
        <v>41</v>
      </c>
      <c r="N24" s="27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</row>
    <row r="25" spans="1:31" ht="14.4">
      <c r="A25" s="264" t="s">
        <v>45</v>
      </c>
      <c r="B25" s="264" t="s">
        <v>11892</v>
      </c>
      <c r="C25" s="264" t="s">
        <v>233</v>
      </c>
      <c r="D25" s="267" t="s">
        <v>298</v>
      </c>
      <c r="E25" s="264" t="s">
        <v>54</v>
      </c>
      <c r="F25" s="264" t="s">
        <v>12095</v>
      </c>
      <c r="G25" s="264" t="s">
        <v>12096</v>
      </c>
      <c r="H25" s="264" t="s">
        <v>12098</v>
      </c>
      <c r="I25" s="264" t="s">
        <v>6886</v>
      </c>
      <c r="J25" s="264" t="s">
        <v>12099</v>
      </c>
      <c r="K25" s="264" t="s">
        <v>12100</v>
      </c>
      <c r="L25" s="264" t="s">
        <v>12101</v>
      </c>
      <c r="M25" s="264" t="s">
        <v>41</v>
      </c>
      <c r="N25" s="27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</row>
    <row r="26" spans="1:31" ht="14.4">
      <c r="A26" s="264" t="s">
        <v>45</v>
      </c>
      <c r="B26" s="264" t="s">
        <v>11892</v>
      </c>
      <c r="C26" s="264" t="s">
        <v>233</v>
      </c>
      <c r="D26" s="267" t="s">
        <v>298</v>
      </c>
      <c r="E26" s="264" t="s">
        <v>54</v>
      </c>
      <c r="F26" s="264" t="s">
        <v>12106</v>
      </c>
      <c r="G26" s="264" t="s">
        <v>12109</v>
      </c>
      <c r="H26" s="264" t="s">
        <v>12098</v>
      </c>
      <c r="I26" s="264" t="s">
        <v>6886</v>
      </c>
      <c r="J26" s="264" t="s">
        <v>1740</v>
      </c>
      <c r="K26" s="264" t="s">
        <v>12098</v>
      </c>
      <c r="L26" s="264" t="s">
        <v>12113</v>
      </c>
      <c r="M26" s="264" t="s">
        <v>41</v>
      </c>
      <c r="N26" s="27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</row>
    <row r="27" spans="1:31" ht="14.4">
      <c r="A27" s="264" t="s">
        <v>45</v>
      </c>
      <c r="B27" s="264" t="s">
        <v>11892</v>
      </c>
      <c r="C27" s="264" t="s">
        <v>233</v>
      </c>
      <c r="D27" s="267" t="s">
        <v>298</v>
      </c>
      <c r="E27" s="264" t="s">
        <v>54</v>
      </c>
      <c r="F27" s="264" t="s">
        <v>12117</v>
      </c>
      <c r="G27" s="264" t="s">
        <v>12119</v>
      </c>
      <c r="H27" s="264" t="s">
        <v>12121</v>
      </c>
      <c r="I27" s="264" t="s">
        <v>521</v>
      </c>
      <c r="J27" s="264" t="s">
        <v>12123</v>
      </c>
      <c r="K27" s="309" t="s">
        <v>12121</v>
      </c>
      <c r="L27" s="264" t="s">
        <v>12139</v>
      </c>
      <c r="M27" s="264" t="s">
        <v>41</v>
      </c>
      <c r="N27" s="27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</row>
    <row r="28" spans="1:31" ht="14.4">
      <c r="A28" s="264" t="s">
        <v>45</v>
      </c>
      <c r="B28" s="264" t="s">
        <v>49</v>
      </c>
      <c r="C28" s="264" t="s">
        <v>85</v>
      </c>
      <c r="D28" s="265" t="s">
        <v>86</v>
      </c>
      <c r="E28" s="264" t="s">
        <v>54</v>
      </c>
      <c r="F28" s="264" t="s">
        <v>12148</v>
      </c>
      <c r="G28" s="264" t="s">
        <v>12149</v>
      </c>
      <c r="H28" s="264" t="s">
        <v>11907</v>
      </c>
      <c r="I28" s="264" t="s">
        <v>11909</v>
      </c>
      <c r="J28" s="264" t="s">
        <v>3849</v>
      </c>
      <c r="K28" s="264" t="s">
        <v>11907</v>
      </c>
      <c r="L28" s="264" t="s">
        <v>11910</v>
      </c>
      <c r="M28" s="264" t="s">
        <v>2660</v>
      </c>
      <c r="N28" s="27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</row>
    <row r="29" spans="1:31" ht="14.4">
      <c r="A29" s="264" t="s">
        <v>45</v>
      </c>
      <c r="B29" s="264" t="s">
        <v>49</v>
      </c>
      <c r="C29" s="264" t="s">
        <v>85</v>
      </c>
      <c r="D29" s="264" t="s">
        <v>86</v>
      </c>
      <c r="E29" s="264" t="s">
        <v>54</v>
      </c>
      <c r="F29" s="264" t="s">
        <v>12163</v>
      </c>
      <c r="G29" s="264" t="s">
        <v>12165</v>
      </c>
      <c r="H29" s="264" t="s">
        <v>11907</v>
      </c>
      <c r="I29" s="264" t="s">
        <v>11909</v>
      </c>
      <c r="J29" s="264" t="s">
        <v>12166</v>
      </c>
      <c r="K29" s="264" t="s">
        <v>12167</v>
      </c>
      <c r="L29" s="264" t="s">
        <v>11910</v>
      </c>
      <c r="M29" s="264" t="s">
        <v>2660</v>
      </c>
      <c r="N29" s="27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</row>
    <row r="30" spans="1:31" ht="14.4">
      <c r="A30" s="264" t="s">
        <v>45</v>
      </c>
      <c r="B30" s="264" t="s">
        <v>49</v>
      </c>
      <c r="C30" s="264" t="s">
        <v>85</v>
      </c>
      <c r="D30" s="264" t="s">
        <v>86</v>
      </c>
      <c r="E30" s="264" t="s">
        <v>54</v>
      </c>
      <c r="F30" s="264" t="s">
        <v>12176</v>
      </c>
      <c r="G30" s="264" t="s">
        <v>12178</v>
      </c>
      <c r="H30" s="264" t="s">
        <v>12180</v>
      </c>
      <c r="I30" s="264" t="s">
        <v>6019</v>
      </c>
      <c r="J30" s="264" t="s">
        <v>12183</v>
      </c>
      <c r="K30" s="264" t="s">
        <v>12185</v>
      </c>
      <c r="L30" s="264" t="s">
        <v>12186</v>
      </c>
      <c r="M30" s="264" t="s">
        <v>2660</v>
      </c>
      <c r="N30" s="27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</row>
    <row r="31" spans="1:31" ht="14.4">
      <c r="A31" s="264" t="s">
        <v>45</v>
      </c>
      <c r="B31" s="264" t="s">
        <v>49</v>
      </c>
      <c r="C31" s="264" t="s">
        <v>85</v>
      </c>
      <c r="D31" s="264" t="s">
        <v>86</v>
      </c>
      <c r="E31" s="264" t="s">
        <v>54</v>
      </c>
      <c r="F31" s="264" t="s">
        <v>12200</v>
      </c>
      <c r="G31" s="264" t="s">
        <v>12202</v>
      </c>
      <c r="H31" s="264" t="s">
        <v>12204</v>
      </c>
      <c r="I31" s="264" t="s">
        <v>12205</v>
      </c>
      <c r="J31" s="264" t="s">
        <v>3046</v>
      </c>
      <c r="K31" s="264" t="s">
        <v>12204</v>
      </c>
      <c r="L31" s="264" t="s">
        <v>12208</v>
      </c>
      <c r="M31" s="264" t="s">
        <v>2660</v>
      </c>
      <c r="N31" s="27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</row>
    <row r="32" spans="1:31" ht="14.4">
      <c r="A32" s="264" t="s">
        <v>45</v>
      </c>
      <c r="B32" s="264" t="s">
        <v>49</v>
      </c>
      <c r="C32" s="264" t="s">
        <v>85</v>
      </c>
      <c r="D32" s="264" t="s">
        <v>86</v>
      </c>
      <c r="E32" s="264" t="s">
        <v>54</v>
      </c>
      <c r="F32" s="264" t="s">
        <v>12216</v>
      </c>
      <c r="G32" s="264" t="s">
        <v>12218</v>
      </c>
      <c r="H32" s="264" t="s">
        <v>12220</v>
      </c>
      <c r="I32" s="264" t="s">
        <v>12221</v>
      </c>
      <c r="J32" s="264" t="s">
        <v>3143</v>
      </c>
      <c r="K32" s="264" t="s">
        <v>12220</v>
      </c>
      <c r="L32" s="264" t="s">
        <v>12223</v>
      </c>
      <c r="M32" s="264" t="s">
        <v>2660</v>
      </c>
      <c r="N32" s="27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</row>
    <row r="33" spans="1:31" ht="14.4">
      <c r="A33" s="264" t="s">
        <v>45</v>
      </c>
      <c r="B33" s="264" t="s">
        <v>49</v>
      </c>
      <c r="C33" s="264" t="s">
        <v>85</v>
      </c>
      <c r="D33" s="264" t="s">
        <v>86</v>
      </c>
      <c r="E33" s="264" t="s">
        <v>54</v>
      </c>
      <c r="F33" s="264" t="s">
        <v>12234</v>
      </c>
      <c r="G33" s="264" t="s">
        <v>12235</v>
      </c>
      <c r="H33" s="264" t="s">
        <v>12237</v>
      </c>
      <c r="I33" s="264" t="s">
        <v>898</v>
      </c>
      <c r="J33" s="264" t="s">
        <v>12240</v>
      </c>
      <c r="K33" s="264" t="s">
        <v>12237</v>
      </c>
      <c r="L33" s="264" t="s">
        <v>12242</v>
      </c>
      <c r="M33" s="264" t="s">
        <v>2660</v>
      </c>
      <c r="N33" s="27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</row>
    <row r="34" spans="1:31" ht="14.4">
      <c r="A34" s="264" t="s">
        <v>45</v>
      </c>
      <c r="B34" s="264" t="s">
        <v>49</v>
      </c>
      <c r="C34" s="264" t="s">
        <v>85</v>
      </c>
      <c r="D34" s="264" t="s">
        <v>86</v>
      </c>
      <c r="E34" s="264" t="s">
        <v>54</v>
      </c>
      <c r="F34" s="264" t="s">
        <v>12251</v>
      </c>
      <c r="G34" s="264" t="s">
        <v>12252</v>
      </c>
      <c r="H34" s="264" t="s">
        <v>11928</v>
      </c>
      <c r="I34" s="264" t="s">
        <v>11929</v>
      </c>
      <c r="J34" s="264" t="s">
        <v>12253</v>
      </c>
      <c r="K34" s="264" t="s">
        <v>11928</v>
      </c>
      <c r="L34" s="264" t="s">
        <v>11933</v>
      </c>
      <c r="M34" s="264" t="s">
        <v>2660</v>
      </c>
      <c r="N34" s="271" t="s">
        <v>10492</v>
      </c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</row>
    <row r="35" spans="1:31" ht="14.4">
      <c r="A35" s="264" t="s">
        <v>45</v>
      </c>
      <c r="B35" s="264" t="s">
        <v>49</v>
      </c>
      <c r="C35" s="264" t="s">
        <v>85</v>
      </c>
      <c r="D35" s="264" t="s">
        <v>86</v>
      </c>
      <c r="E35" s="264" t="s">
        <v>54</v>
      </c>
      <c r="F35" s="264" t="s">
        <v>12263</v>
      </c>
      <c r="G35" s="264" t="s">
        <v>12264</v>
      </c>
      <c r="H35" s="264" t="s">
        <v>12180</v>
      </c>
      <c r="I35" s="264" t="s">
        <v>6019</v>
      </c>
      <c r="J35" s="264" t="s">
        <v>3880</v>
      </c>
      <c r="K35" s="264" t="s">
        <v>12266</v>
      </c>
      <c r="L35" s="264" t="s">
        <v>12186</v>
      </c>
      <c r="M35" s="264" t="s">
        <v>2660</v>
      </c>
      <c r="N35" s="27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</row>
    <row r="36" spans="1:31" ht="14.4">
      <c r="A36" s="264" t="s">
        <v>45</v>
      </c>
      <c r="B36" s="264" t="s">
        <v>49</v>
      </c>
      <c r="C36" s="264" t="s">
        <v>85</v>
      </c>
      <c r="D36" s="264" t="s">
        <v>86</v>
      </c>
      <c r="E36" s="264" t="s">
        <v>54</v>
      </c>
      <c r="F36" s="264" t="s">
        <v>12273</v>
      </c>
      <c r="G36" s="264" t="s">
        <v>12275</v>
      </c>
      <c r="H36" s="264" t="s">
        <v>12277</v>
      </c>
      <c r="I36" s="264" t="s">
        <v>6002</v>
      </c>
      <c r="J36" s="264" t="s">
        <v>3118</v>
      </c>
      <c r="K36" s="264" t="s">
        <v>12277</v>
      </c>
      <c r="L36" s="264" t="s">
        <v>12279</v>
      </c>
      <c r="M36" s="264" t="s">
        <v>2660</v>
      </c>
      <c r="N36" s="271" t="s">
        <v>10492</v>
      </c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</row>
    <row r="37" spans="1:31" ht="14.4">
      <c r="A37" s="264" t="s">
        <v>45</v>
      </c>
      <c r="B37" s="264" t="s">
        <v>49</v>
      </c>
      <c r="C37" s="264" t="s">
        <v>85</v>
      </c>
      <c r="D37" s="264" t="s">
        <v>86</v>
      </c>
      <c r="E37" s="264" t="s">
        <v>54</v>
      </c>
      <c r="F37" s="264" t="s">
        <v>12286</v>
      </c>
      <c r="G37" s="264" t="s">
        <v>12287</v>
      </c>
      <c r="H37" s="264" t="s">
        <v>12293</v>
      </c>
      <c r="I37" s="264" t="s">
        <v>6011</v>
      </c>
      <c r="J37" s="264" t="s">
        <v>3129</v>
      </c>
      <c r="K37" s="264" t="s">
        <v>12293</v>
      </c>
      <c r="L37" s="264" t="s">
        <v>12306</v>
      </c>
      <c r="M37" s="264" t="s">
        <v>2660</v>
      </c>
      <c r="N37" s="264" t="s">
        <v>41</v>
      </c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</row>
    <row r="38" spans="1:31" ht="14.4">
      <c r="A38" s="264" t="s">
        <v>45</v>
      </c>
      <c r="B38" s="264" t="s">
        <v>49</v>
      </c>
      <c r="C38" s="264" t="s">
        <v>85</v>
      </c>
      <c r="D38" s="264" t="s">
        <v>86</v>
      </c>
      <c r="E38" s="264" t="s">
        <v>54</v>
      </c>
      <c r="F38" s="264" t="s">
        <v>12327</v>
      </c>
      <c r="G38" s="119" t="s">
        <v>12334</v>
      </c>
      <c r="H38" s="119" t="s">
        <v>11940</v>
      </c>
      <c r="I38" s="119" t="s">
        <v>4057</v>
      </c>
      <c r="J38" s="119" t="s">
        <v>12345</v>
      </c>
      <c r="K38" s="119" t="s">
        <v>12346</v>
      </c>
      <c r="L38" s="119" t="s">
        <v>11943</v>
      </c>
      <c r="M38" s="119" t="s">
        <v>2660</v>
      </c>
      <c r="N38" s="271" t="s">
        <v>12350</v>
      </c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</row>
    <row r="39" spans="1:31" ht="14.4">
      <c r="A39" s="264" t="s">
        <v>45</v>
      </c>
      <c r="B39" s="264" t="s">
        <v>49</v>
      </c>
      <c r="C39" s="264" t="s">
        <v>85</v>
      </c>
      <c r="D39" s="264" t="s">
        <v>86</v>
      </c>
      <c r="E39" s="264" t="s">
        <v>54</v>
      </c>
      <c r="F39" s="264" t="s">
        <v>12357</v>
      </c>
      <c r="G39" s="264" t="s">
        <v>12360</v>
      </c>
      <c r="H39" s="264" t="s">
        <v>11950</v>
      </c>
      <c r="I39" s="264" t="s">
        <v>12363</v>
      </c>
      <c r="J39" s="264" t="s">
        <v>3857</v>
      </c>
      <c r="K39" s="264" t="s">
        <v>12366</v>
      </c>
      <c r="L39" s="264" t="s">
        <v>12186</v>
      </c>
      <c r="M39" s="264" t="s">
        <v>2660</v>
      </c>
      <c r="N39" s="27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</row>
    <row r="40" spans="1:31" ht="14.4">
      <c r="A40" s="264" t="s">
        <v>45</v>
      </c>
      <c r="B40" s="264" t="s">
        <v>49</v>
      </c>
      <c r="C40" s="264" t="s">
        <v>85</v>
      </c>
      <c r="D40" s="264" t="s">
        <v>86</v>
      </c>
      <c r="E40" s="264" t="s">
        <v>54</v>
      </c>
      <c r="F40" s="264" t="s">
        <v>12378</v>
      </c>
      <c r="G40" s="264" t="s">
        <v>12379</v>
      </c>
      <c r="H40" s="264" t="s">
        <v>12381</v>
      </c>
      <c r="I40" s="264" t="s">
        <v>12383</v>
      </c>
      <c r="J40" s="264" t="s">
        <v>3133</v>
      </c>
      <c r="K40" s="264" t="s">
        <v>12381</v>
      </c>
      <c r="L40" s="264" t="s">
        <v>12387</v>
      </c>
      <c r="M40" s="264" t="s">
        <v>2660</v>
      </c>
      <c r="N40" s="27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</row>
    <row r="41" spans="1:31" ht="14.4">
      <c r="A41" s="264" t="s">
        <v>45</v>
      </c>
      <c r="B41" s="264" t="s">
        <v>49</v>
      </c>
      <c r="C41" s="264" t="s">
        <v>220</v>
      </c>
      <c r="D41" s="274" t="s">
        <v>234</v>
      </c>
      <c r="E41" s="264" t="s">
        <v>54</v>
      </c>
      <c r="F41" s="264" t="s">
        <v>12404</v>
      </c>
      <c r="G41" s="264" t="s">
        <v>12405</v>
      </c>
      <c r="H41" s="264" t="s">
        <v>12406</v>
      </c>
      <c r="I41" s="264" t="s">
        <v>887</v>
      </c>
      <c r="J41" s="264" t="s">
        <v>11591</v>
      </c>
      <c r="K41" s="264" t="s">
        <v>12180</v>
      </c>
      <c r="L41" s="264" t="s">
        <v>12186</v>
      </c>
      <c r="M41" s="264" t="s">
        <v>2660</v>
      </c>
      <c r="N41" s="27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</row>
    <row r="42" spans="1:31" ht="14.4">
      <c r="A42" s="264" t="s">
        <v>45</v>
      </c>
      <c r="B42" s="264" t="s">
        <v>49</v>
      </c>
      <c r="C42" s="264" t="s">
        <v>220</v>
      </c>
      <c r="D42" s="274" t="s">
        <v>234</v>
      </c>
      <c r="E42" s="264" t="s">
        <v>54</v>
      </c>
      <c r="F42" s="264" t="s">
        <v>12415</v>
      </c>
      <c r="G42" s="264" t="s">
        <v>12416</v>
      </c>
      <c r="H42" s="264" t="s">
        <v>12417</v>
      </c>
      <c r="I42" s="264" t="s">
        <v>12418</v>
      </c>
      <c r="J42" s="264" t="s">
        <v>11583</v>
      </c>
      <c r="K42" s="264" t="s">
        <v>12420</v>
      </c>
      <c r="L42" s="264" t="s">
        <v>12422</v>
      </c>
      <c r="M42" s="264" t="s">
        <v>2660</v>
      </c>
      <c r="N42" s="27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</row>
    <row r="43" spans="1:31" ht="14.4">
      <c r="A43" s="264" t="s">
        <v>45</v>
      </c>
      <c r="B43" s="264" t="s">
        <v>49</v>
      </c>
      <c r="C43" s="264" t="s">
        <v>220</v>
      </c>
      <c r="D43" s="274" t="s">
        <v>234</v>
      </c>
      <c r="E43" s="264" t="s">
        <v>54</v>
      </c>
      <c r="F43" s="264" t="s">
        <v>12426</v>
      </c>
      <c r="G43" s="264" t="s">
        <v>12427</v>
      </c>
      <c r="H43" s="264" t="s">
        <v>11907</v>
      </c>
      <c r="I43" s="264" t="s">
        <v>11909</v>
      </c>
      <c r="J43" s="264" t="s">
        <v>12430</v>
      </c>
      <c r="K43" s="264" t="s">
        <v>12432</v>
      </c>
      <c r="L43" s="264" t="s">
        <v>12433</v>
      </c>
      <c r="M43" s="264" t="s">
        <v>2660</v>
      </c>
      <c r="N43" s="271" t="s">
        <v>12350</v>
      </c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</row>
    <row r="44" spans="1:31" ht="14.4">
      <c r="A44" s="264" t="s">
        <v>45</v>
      </c>
      <c r="B44" s="264" t="s">
        <v>49</v>
      </c>
      <c r="C44" s="264" t="s">
        <v>220</v>
      </c>
      <c r="D44" s="274" t="s">
        <v>234</v>
      </c>
      <c r="E44" s="264" t="s">
        <v>54</v>
      </c>
      <c r="F44" s="264" t="s">
        <v>12437</v>
      </c>
      <c r="G44" s="264" t="s">
        <v>12438</v>
      </c>
      <c r="H44" s="264" t="s">
        <v>12439</v>
      </c>
      <c r="I44" s="264" t="s">
        <v>6116</v>
      </c>
      <c r="J44" s="264" t="s">
        <v>3889</v>
      </c>
      <c r="K44" s="264" t="s">
        <v>12442</v>
      </c>
      <c r="L44" s="264" t="s">
        <v>12186</v>
      </c>
      <c r="M44" s="264" t="s">
        <v>2660</v>
      </c>
      <c r="N44" s="27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</row>
    <row r="45" spans="1:31" ht="14.4">
      <c r="A45" s="264" t="s">
        <v>45</v>
      </c>
      <c r="B45" s="264" t="s">
        <v>49</v>
      </c>
      <c r="C45" s="264" t="s">
        <v>85</v>
      </c>
      <c r="D45" s="264"/>
      <c r="E45" s="264" t="s">
        <v>54</v>
      </c>
      <c r="F45" s="264" t="s">
        <v>12450</v>
      </c>
      <c r="G45" s="264" t="s">
        <v>12453</v>
      </c>
      <c r="H45" s="264" t="s">
        <v>11907</v>
      </c>
      <c r="I45" s="264" t="s">
        <v>11909</v>
      </c>
      <c r="J45" s="264" t="s">
        <v>3060</v>
      </c>
      <c r="K45" s="264" t="s">
        <v>12454</v>
      </c>
      <c r="L45" s="264" t="s">
        <v>12433</v>
      </c>
      <c r="M45" s="264" t="s">
        <v>2660</v>
      </c>
      <c r="N45" s="27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</row>
    <row r="46" spans="1:31" ht="14.4">
      <c r="A46" s="264" t="s">
        <v>45</v>
      </c>
      <c r="B46" s="264" t="s">
        <v>49</v>
      </c>
      <c r="C46" s="264" t="s">
        <v>220</v>
      </c>
      <c r="D46" s="274" t="s">
        <v>234</v>
      </c>
      <c r="E46" s="264" t="s">
        <v>54</v>
      </c>
      <c r="F46" s="264" t="s">
        <v>6154</v>
      </c>
      <c r="G46" s="264" t="s">
        <v>12460</v>
      </c>
      <c r="H46" s="264" t="s">
        <v>12461</v>
      </c>
      <c r="I46" s="264" t="s">
        <v>550</v>
      </c>
      <c r="J46" s="264" t="s">
        <v>12463</v>
      </c>
      <c r="K46" s="264" t="s">
        <v>12461</v>
      </c>
      <c r="L46" s="264" t="s">
        <v>550</v>
      </c>
      <c r="M46" s="264" t="s">
        <v>2660</v>
      </c>
      <c r="N46" s="27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  <c r="AD46" s="101"/>
      <c r="AE46" s="101"/>
    </row>
    <row r="47" spans="1:31" ht="14.4">
      <c r="A47" s="264" t="s">
        <v>45</v>
      </c>
      <c r="B47" s="264" t="s">
        <v>49</v>
      </c>
      <c r="C47" s="264" t="s">
        <v>220</v>
      </c>
      <c r="D47" s="274" t="s">
        <v>234</v>
      </c>
      <c r="E47" s="264" t="s">
        <v>54</v>
      </c>
      <c r="F47" s="264" t="s">
        <v>6162</v>
      </c>
      <c r="G47" s="264" t="s">
        <v>12472</v>
      </c>
      <c r="H47" s="264" t="s">
        <v>11907</v>
      </c>
      <c r="I47" s="264" t="s">
        <v>11909</v>
      </c>
      <c r="J47" s="264" t="s">
        <v>3109</v>
      </c>
      <c r="K47" s="264" t="s">
        <v>12476</v>
      </c>
      <c r="L47" s="264" t="s">
        <v>12433</v>
      </c>
      <c r="M47" s="264" t="s">
        <v>2660</v>
      </c>
      <c r="N47" s="271" t="s">
        <v>12350</v>
      </c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  <c r="AD47" s="101"/>
      <c r="AE47" s="101"/>
    </row>
    <row r="48" spans="1:31" ht="14.4">
      <c r="A48" s="264" t="s">
        <v>45</v>
      </c>
      <c r="B48" s="264" t="s">
        <v>49</v>
      </c>
      <c r="C48" s="264" t="s">
        <v>220</v>
      </c>
      <c r="D48" s="274" t="s">
        <v>234</v>
      </c>
      <c r="E48" s="264" t="s">
        <v>54</v>
      </c>
      <c r="F48" s="264" t="s">
        <v>6169</v>
      </c>
      <c r="G48" s="264" t="s">
        <v>12491</v>
      </c>
      <c r="H48" s="264" t="s">
        <v>11940</v>
      </c>
      <c r="I48" s="264" t="s">
        <v>4057</v>
      </c>
      <c r="J48" s="264" t="s">
        <v>12495</v>
      </c>
      <c r="K48" s="264" t="s">
        <v>11940</v>
      </c>
      <c r="L48" s="264" t="s">
        <v>11943</v>
      </c>
      <c r="M48" s="264" t="s">
        <v>2660</v>
      </c>
      <c r="N48" s="271" t="s">
        <v>12350</v>
      </c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101"/>
      <c r="AC48" s="101"/>
      <c r="AD48" s="101"/>
      <c r="AE48" s="101"/>
    </row>
    <row r="49" spans="1:31" ht="14.4">
      <c r="A49" s="264" t="s">
        <v>45</v>
      </c>
      <c r="B49" s="264" t="s">
        <v>49</v>
      </c>
      <c r="C49" s="264" t="s">
        <v>85</v>
      </c>
      <c r="D49" s="264" t="s">
        <v>86</v>
      </c>
      <c r="E49" s="264" t="s">
        <v>54</v>
      </c>
      <c r="F49" s="264" t="s">
        <v>12507</v>
      </c>
      <c r="G49" s="264" t="s">
        <v>12508</v>
      </c>
      <c r="H49" s="264" t="s">
        <v>11907</v>
      </c>
      <c r="I49" s="264" t="s">
        <v>11909</v>
      </c>
      <c r="J49" s="264" t="s">
        <v>12166</v>
      </c>
      <c r="K49" s="264" t="s">
        <v>12167</v>
      </c>
      <c r="L49" s="264" t="s">
        <v>11910</v>
      </c>
      <c r="M49" s="264" t="s">
        <v>2660</v>
      </c>
      <c r="N49" s="27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</row>
    <row r="50" spans="1:31" ht="14.4">
      <c r="A50" s="264" t="s">
        <v>45</v>
      </c>
      <c r="B50" s="264" t="s">
        <v>49</v>
      </c>
      <c r="C50" s="264" t="s">
        <v>85</v>
      </c>
      <c r="D50" s="264" t="s">
        <v>86</v>
      </c>
      <c r="E50" s="264" t="s">
        <v>54</v>
      </c>
      <c r="F50" s="264" t="s">
        <v>12521</v>
      </c>
      <c r="G50" s="264" t="s">
        <v>12523</v>
      </c>
      <c r="H50" s="264" t="s">
        <v>12525</v>
      </c>
      <c r="I50" s="264" t="s">
        <v>12527</v>
      </c>
      <c r="J50" s="264" t="s">
        <v>4070</v>
      </c>
      <c r="K50" s="264" t="s">
        <v>12525</v>
      </c>
      <c r="L50" s="264" t="s">
        <v>12529</v>
      </c>
      <c r="M50" s="264" t="s">
        <v>2660</v>
      </c>
      <c r="N50" s="27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</row>
    <row r="51" spans="1:31" ht="14.4">
      <c r="A51" s="264" t="s">
        <v>45</v>
      </c>
      <c r="B51" s="264" t="s">
        <v>49</v>
      </c>
      <c r="C51" s="264" t="s">
        <v>85</v>
      </c>
      <c r="D51" s="264" t="s">
        <v>86</v>
      </c>
      <c r="E51" s="264" t="s">
        <v>54</v>
      </c>
      <c r="F51" s="264" t="s">
        <v>12539</v>
      </c>
      <c r="G51" s="264" t="s">
        <v>12540</v>
      </c>
      <c r="H51" s="264" t="s">
        <v>12542</v>
      </c>
      <c r="I51" s="264" t="s">
        <v>440</v>
      </c>
      <c r="J51" s="264" t="s">
        <v>4290</v>
      </c>
      <c r="K51" s="264" t="s">
        <v>12542</v>
      </c>
      <c r="L51" s="264" t="s">
        <v>11910</v>
      </c>
      <c r="M51" s="264" t="s">
        <v>2660</v>
      </c>
      <c r="N51" s="27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</row>
    <row r="52" spans="1:31" ht="14.4">
      <c r="A52" s="264" t="s">
        <v>45</v>
      </c>
      <c r="B52" s="264" t="s">
        <v>49</v>
      </c>
      <c r="C52" s="264" t="s">
        <v>85</v>
      </c>
      <c r="D52" s="264" t="s">
        <v>86</v>
      </c>
      <c r="E52" s="264" t="s">
        <v>54</v>
      </c>
      <c r="F52" s="264" t="s">
        <v>12549</v>
      </c>
      <c r="G52" s="264" t="s">
        <v>12550</v>
      </c>
      <c r="H52" s="264" t="s">
        <v>12552</v>
      </c>
      <c r="I52" s="264" t="s">
        <v>12554</v>
      </c>
      <c r="J52" s="264" t="s">
        <v>5203</v>
      </c>
      <c r="K52" s="264" t="s">
        <v>12558</v>
      </c>
      <c r="L52" s="264" t="s">
        <v>12560</v>
      </c>
      <c r="M52" s="264" t="s">
        <v>2660</v>
      </c>
      <c r="N52" s="27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1"/>
      <c r="AE52" s="101"/>
    </row>
    <row r="53" spans="1:31" ht="14.4">
      <c r="A53" s="264" t="s">
        <v>45</v>
      </c>
      <c r="B53" s="264" t="s">
        <v>49</v>
      </c>
      <c r="C53" s="264" t="s">
        <v>85</v>
      </c>
      <c r="D53" s="264" t="s">
        <v>86</v>
      </c>
      <c r="E53" s="264" t="s">
        <v>54</v>
      </c>
      <c r="F53" s="264" t="s">
        <v>12562</v>
      </c>
      <c r="G53" s="264" t="s">
        <v>12563</v>
      </c>
      <c r="H53" s="264" t="s">
        <v>12552</v>
      </c>
      <c r="I53" s="264" t="s">
        <v>12554</v>
      </c>
      <c r="J53" s="264" t="s">
        <v>12564</v>
      </c>
      <c r="K53" s="264" t="s">
        <v>12566</v>
      </c>
      <c r="L53" s="264" t="s">
        <v>12560</v>
      </c>
      <c r="M53" s="264" t="s">
        <v>2660</v>
      </c>
      <c r="N53" s="27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</row>
    <row r="54" spans="1:31" ht="14.4">
      <c r="A54" s="264" t="s">
        <v>45</v>
      </c>
      <c r="B54" s="264" t="s">
        <v>49</v>
      </c>
      <c r="C54" s="264" t="s">
        <v>85</v>
      </c>
      <c r="D54" s="264" t="s">
        <v>86</v>
      </c>
      <c r="E54" s="264" t="s">
        <v>54</v>
      </c>
      <c r="F54" s="264" t="s">
        <v>12575</v>
      </c>
      <c r="G54" s="264" t="s">
        <v>12576</v>
      </c>
      <c r="H54" s="264" t="s">
        <v>12578</v>
      </c>
      <c r="I54" s="264" t="s">
        <v>12554</v>
      </c>
      <c r="J54" s="264" t="s">
        <v>12579</v>
      </c>
      <c r="K54" s="264" t="s">
        <v>12580</v>
      </c>
      <c r="L54" s="264" t="s">
        <v>11910</v>
      </c>
      <c r="M54" s="264" t="s">
        <v>2660</v>
      </c>
      <c r="N54" s="27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</row>
    <row r="55" spans="1:31" ht="14.4">
      <c r="A55" s="264" t="s">
        <v>45</v>
      </c>
      <c r="B55" s="264" t="s">
        <v>49</v>
      </c>
      <c r="C55" s="264" t="s">
        <v>85</v>
      </c>
      <c r="D55" s="264" t="s">
        <v>86</v>
      </c>
      <c r="E55" s="264" t="s">
        <v>54</v>
      </c>
      <c r="F55" s="264" t="s">
        <v>12585</v>
      </c>
      <c r="G55" s="264" t="s">
        <v>12379</v>
      </c>
      <c r="H55" s="264" t="s">
        <v>12586</v>
      </c>
      <c r="I55" s="264" t="s">
        <v>887</v>
      </c>
      <c r="J55" s="264" t="s">
        <v>12588</v>
      </c>
      <c r="K55" s="264" t="s">
        <v>12590</v>
      </c>
      <c r="L55" s="264" t="s">
        <v>12592</v>
      </c>
      <c r="M55" s="264" t="s">
        <v>2660</v>
      </c>
      <c r="N55" s="27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101"/>
      <c r="AB55" s="101"/>
      <c r="AC55" s="101"/>
      <c r="AD55" s="101"/>
      <c r="AE55" s="101"/>
    </row>
    <row r="56" spans="1:31" ht="14.4">
      <c r="A56" s="264" t="s">
        <v>45</v>
      </c>
      <c r="B56" s="264" t="s">
        <v>49</v>
      </c>
      <c r="C56" s="264" t="s">
        <v>287</v>
      </c>
      <c r="D56" s="28" t="s">
        <v>796</v>
      </c>
      <c r="E56" s="266" t="s">
        <v>54</v>
      </c>
      <c r="F56" s="264" t="s">
        <v>12597</v>
      </c>
      <c r="G56" s="264"/>
      <c r="H56" s="264" t="s">
        <v>6199</v>
      </c>
      <c r="I56" s="264" t="s">
        <v>6199</v>
      </c>
      <c r="J56" s="264" t="s">
        <v>6199</v>
      </c>
      <c r="K56" s="264" t="s">
        <v>6199</v>
      </c>
      <c r="L56" s="264" t="s">
        <v>6199</v>
      </c>
      <c r="M56" s="264" t="s">
        <v>41</v>
      </c>
      <c r="N56" s="27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</row>
    <row r="57" spans="1:31" ht="14.4">
      <c r="A57" s="264" t="s">
        <v>45</v>
      </c>
      <c r="B57" s="264" t="s">
        <v>49</v>
      </c>
      <c r="C57" s="264" t="s">
        <v>296</v>
      </c>
      <c r="D57" s="265" t="s">
        <v>954</v>
      </c>
      <c r="E57" s="264" t="s">
        <v>54</v>
      </c>
      <c r="F57" s="264" t="s">
        <v>12601</v>
      </c>
      <c r="G57" s="264"/>
      <c r="H57" s="264" t="s">
        <v>12602</v>
      </c>
      <c r="I57" s="264" t="s">
        <v>8413</v>
      </c>
      <c r="J57" s="264" t="s">
        <v>12605</v>
      </c>
      <c r="K57" s="264"/>
      <c r="L57" s="264" t="s">
        <v>12607</v>
      </c>
      <c r="M57" s="264"/>
      <c r="N57" s="27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</row>
    <row r="58" spans="1:31" ht="14.4">
      <c r="A58" s="264" t="s">
        <v>45</v>
      </c>
      <c r="B58" s="264" t="s">
        <v>49</v>
      </c>
      <c r="C58" s="264" t="s">
        <v>306</v>
      </c>
      <c r="D58" s="271" t="s">
        <v>341</v>
      </c>
      <c r="E58" s="264" t="s">
        <v>54</v>
      </c>
      <c r="F58" s="264" t="s">
        <v>12611</v>
      </c>
      <c r="G58" s="264"/>
      <c r="H58" s="264" t="s">
        <v>12613</v>
      </c>
      <c r="I58" s="264" t="s">
        <v>12614</v>
      </c>
      <c r="J58" s="264"/>
      <c r="K58" s="264" t="s">
        <v>12613</v>
      </c>
      <c r="L58" s="264" t="s">
        <v>12615</v>
      </c>
      <c r="M58" s="264" t="s">
        <v>41</v>
      </c>
      <c r="N58" s="27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</row>
    <row r="59" spans="1:31" ht="14.4">
      <c r="A59" s="272" t="s">
        <v>45</v>
      </c>
      <c r="B59" s="272" t="s">
        <v>49</v>
      </c>
      <c r="C59" s="272" t="s">
        <v>306</v>
      </c>
      <c r="D59" s="254" t="s">
        <v>341</v>
      </c>
      <c r="E59" s="272" t="s">
        <v>54</v>
      </c>
      <c r="F59" s="272" t="s">
        <v>12621</v>
      </c>
      <c r="G59" s="272"/>
      <c r="H59" s="272" t="s">
        <v>12613</v>
      </c>
      <c r="I59" s="272" t="s">
        <v>12614</v>
      </c>
      <c r="J59" s="272"/>
      <c r="K59" s="272" t="s">
        <v>12613</v>
      </c>
      <c r="L59" s="272" t="s">
        <v>12615</v>
      </c>
      <c r="M59" s="272" t="s">
        <v>41</v>
      </c>
      <c r="N59" s="254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</row>
    <row r="60" spans="1:31" ht="14.4">
      <c r="A60" s="264" t="s">
        <v>45</v>
      </c>
      <c r="B60" s="264" t="s">
        <v>11834</v>
      </c>
      <c r="C60" s="264" t="s">
        <v>85</v>
      </c>
      <c r="D60" s="264" t="s">
        <v>86</v>
      </c>
      <c r="E60" s="264" t="s">
        <v>54</v>
      </c>
      <c r="F60" s="264" t="s">
        <v>12624</v>
      </c>
      <c r="G60" s="264"/>
      <c r="H60" s="264" t="s">
        <v>12625</v>
      </c>
      <c r="I60" s="264" t="s">
        <v>12626</v>
      </c>
      <c r="J60" s="264" t="s">
        <v>12627</v>
      </c>
      <c r="K60" s="264" t="s">
        <v>12625</v>
      </c>
      <c r="L60" s="264" t="s">
        <v>12629</v>
      </c>
      <c r="M60" s="264" t="s">
        <v>41</v>
      </c>
      <c r="N60" s="27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</row>
    <row r="61" spans="1:31" ht="14.4">
      <c r="A61" s="264" t="s">
        <v>45</v>
      </c>
      <c r="B61" s="264" t="s">
        <v>11834</v>
      </c>
      <c r="C61" s="264" t="s">
        <v>85</v>
      </c>
      <c r="D61" s="264" t="s">
        <v>86</v>
      </c>
      <c r="E61" s="264" t="s">
        <v>54</v>
      </c>
      <c r="F61" s="264" t="s">
        <v>12634</v>
      </c>
      <c r="G61" s="264"/>
      <c r="H61" s="264" t="s">
        <v>12636</v>
      </c>
      <c r="I61" s="264" t="s">
        <v>887</v>
      </c>
      <c r="J61" s="264" t="s">
        <v>12638</v>
      </c>
      <c r="K61" s="264" t="s">
        <v>12636</v>
      </c>
      <c r="L61" s="264" t="s">
        <v>12639</v>
      </c>
      <c r="M61" s="264" t="s">
        <v>41</v>
      </c>
      <c r="N61" s="27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</row>
    <row r="62" spans="1:31" ht="14.4">
      <c r="A62" s="264" t="s">
        <v>45</v>
      </c>
      <c r="B62" s="264" t="s">
        <v>11834</v>
      </c>
      <c r="C62" s="264" t="s">
        <v>85</v>
      </c>
      <c r="D62" s="264" t="s">
        <v>86</v>
      </c>
      <c r="E62" s="264" t="s">
        <v>54</v>
      </c>
      <c r="F62" s="264" t="s">
        <v>12644</v>
      </c>
      <c r="G62" s="264"/>
      <c r="H62" s="264" t="s">
        <v>12645</v>
      </c>
      <c r="I62" s="264" t="s">
        <v>887</v>
      </c>
      <c r="J62" s="264" t="s">
        <v>12646</v>
      </c>
      <c r="K62" s="264" t="s">
        <v>12645</v>
      </c>
      <c r="L62" s="264" t="s">
        <v>12647</v>
      </c>
      <c r="M62" s="264" t="s">
        <v>41</v>
      </c>
      <c r="N62" s="27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</row>
    <row r="63" spans="1:31" ht="14.4">
      <c r="A63" s="264" t="s">
        <v>45</v>
      </c>
      <c r="B63" s="264" t="s">
        <v>11834</v>
      </c>
      <c r="C63" s="264" t="s">
        <v>85</v>
      </c>
      <c r="D63" s="264" t="s">
        <v>86</v>
      </c>
      <c r="E63" s="264" t="s">
        <v>54</v>
      </c>
      <c r="F63" s="264" t="s">
        <v>12648</v>
      </c>
      <c r="G63" s="264"/>
      <c r="H63" s="264" t="s">
        <v>12649</v>
      </c>
      <c r="I63" s="264" t="s">
        <v>2400</v>
      </c>
      <c r="J63" s="264" t="s">
        <v>12650</v>
      </c>
      <c r="K63" s="264" t="s">
        <v>12649</v>
      </c>
      <c r="L63" s="264" t="s">
        <v>12652</v>
      </c>
      <c r="M63" s="264" t="s">
        <v>41</v>
      </c>
      <c r="N63" s="27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</row>
    <row r="64" spans="1:31" ht="14.4">
      <c r="A64" s="264" t="s">
        <v>45</v>
      </c>
      <c r="B64" s="264" t="s">
        <v>11834</v>
      </c>
      <c r="C64" s="264" t="s">
        <v>85</v>
      </c>
      <c r="D64" s="264" t="s">
        <v>86</v>
      </c>
      <c r="E64" s="264" t="s">
        <v>54</v>
      </c>
      <c r="F64" s="264" t="s">
        <v>12655</v>
      </c>
      <c r="G64" s="264"/>
      <c r="H64" s="264" t="s">
        <v>12656</v>
      </c>
      <c r="I64" s="264" t="s">
        <v>1610</v>
      </c>
      <c r="J64" s="264" t="s">
        <v>12658</v>
      </c>
      <c r="K64" s="264" t="s">
        <v>12656</v>
      </c>
      <c r="L64" s="264" t="s">
        <v>12660</v>
      </c>
      <c r="M64" s="264" t="s">
        <v>41</v>
      </c>
      <c r="N64" s="27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</row>
    <row r="65" spans="1:31" ht="14.4">
      <c r="A65" s="264" t="s">
        <v>45</v>
      </c>
      <c r="B65" s="264" t="s">
        <v>11834</v>
      </c>
      <c r="C65" s="264" t="s">
        <v>85</v>
      </c>
      <c r="D65" s="264" t="s">
        <v>86</v>
      </c>
      <c r="E65" s="264" t="s">
        <v>54</v>
      </c>
      <c r="F65" s="264" t="s">
        <v>12662</v>
      </c>
      <c r="G65" s="264"/>
      <c r="H65" s="264" t="s">
        <v>12664</v>
      </c>
      <c r="I65" s="264" t="s">
        <v>4243</v>
      </c>
      <c r="J65" s="264" t="s">
        <v>12666</v>
      </c>
      <c r="K65" s="264" t="s">
        <v>12668</v>
      </c>
      <c r="L65" s="264" t="s">
        <v>12669</v>
      </c>
      <c r="M65" s="264" t="s">
        <v>41</v>
      </c>
      <c r="N65" s="27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</row>
    <row r="66" spans="1:31" ht="14.4">
      <c r="A66" s="264" t="s">
        <v>45</v>
      </c>
      <c r="B66" s="264" t="s">
        <v>11834</v>
      </c>
      <c r="C66" s="264" t="s">
        <v>85</v>
      </c>
      <c r="D66" s="264" t="s">
        <v>86</v>
      </c>
      <c r="E66" s="264" t="s">
        <v>54</v>
      </c>
      <c r="F66" s="264" t="s">
        <v>12672</v>
      </c>
      <c r="G66" s="264"/>
      <c r="H66" s="264" t="s">
        <v>12674</v>
      </c>
      <c r="I66" s="264" t="s">
        <v>6331</v>
      </c>
      <c r="J66" s="264" t="s">
        <v>12675</v>
      </c>
      <c r="K66" s="264" t="s">
        <v>12674</v>
      </c>
      <c r="L66" s="264" t="s">
        <v>12676</v>
      </c>
      <c r="M66" s="264" t="s">
        <v>41</v>
      </c>
      <c r="N66" s="27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</row>
    <row r="67" spans="1:31" ht="14.4">
      <c r="A67" s="264" t="s">
        <v>45</v>
      </c>
      <c r="B67" s="264" t="s">
        <v>11834</v>
      </c>
      <c r="C67" s="264" t="s">
        <v>85</v>
      </c>
      <c r="D67" s="264" t="s">
        <v>86</v>
      </c>
      <c r="E67" s="264" t="s">
        <v>54</v>
      </c>
      <c r="F67" s="264" t="s">
        <v>12679</v>
      </c>
      <c r="G67" s="264"/>
      <c r="H67" s="264" t="s">
        <v>12681</v>
      </c>
      <c r="I67" s="264" t="s">
        <v>521</v>
      </c>
      <c r="J67" s="264" t="s">
        <v>12682</v>
      </c>
      <c r="K67" s="264" t="s">
        <v>12681</v>
      </c>
      <c r="L67" s="264" t="s">
        <v>12683</v>
      </c>
      <c r="M67" s="264" t="s">
        <v>41</v>
      </c>
      <c r="N67" s="27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</row>
    <row r="68" spans="1:31" ht="14.4">
      <c r="A68" s="264" t="s">
        <v>45</v>
      </c>
      <c r="B68" s="264" t="s">
        <v>11834</v>
      </c>
      <c r="C68" s="264" t="s">
        <v>85</v>
      </c>
      <c r="D68" s="264" t="s">
        <v>86</v>
      </c>
      <c r="E68" s="264" t="s">
        <v>54</v>
      </c>
      <c r="F68" s="264" t="s">
        <v>12684</v>
      </c>
      <c r="G68" s="264"/>
      <c r="H68" s="264" t="s">
        <v>12685</v>
      </c>
      <c r="I68" s="264" t="s">
        <v>12687</v>
      </c>
      <c r="J68" s="264" t="s">
        <v>12688</v>
      </c>
      <c r="K68" s="264" t="s">
        <v>12689</v>
      </c>
      <c r="L68" s="264" t="s">
        <v>12691</v>
      </c>
      <c r="M68" s="264" t="s">
        <v>41</v>
      </c>
      <c r="N68" s="27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</row>
    <row r="69" spans="1:31" ht="14.4">
      <c r="A69" s="264" t="s">
        <v>45</v>
      </c>
      <c r="B69" s="264" t="s">
        <v>11834</v>
      </c>
      <c r="C69" s="264" t="s">
        <v>85</v>
      </c>
      <c r="D69" s="264" t="s">
        <v>86</v>
      </c>
      <c r="E69" s="264" t="s">
        <v>54</v>
      </c>
      <c r="F69" s="264" t="s">
        <v>12694</v>
      </c>
      <c r="G69" s="264"/>
      <c r="H69" s="264" t="s">
        <v>12695</v>
      </c>
      <c r="I69" s="264" t="s">
        <v>887</v>
      </c>
      <c r="J69" s="264" t="s">
        <v>11953</v>
      </c>
      <c r="K69" s="264" t="s">
        <v>12697</v>
      </c>
      <c r="L69" s="264" t="s">
        <v>12698</v>
      </c>
      <c r="M69" s="264" t="s">
        <v>41</v>
      </c>
      <c r="N69" s="27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</row>
    <row r="70" spans="1:31" ht="14.4">
      <c r="A70" s="264" t="s">
        <v>45</v>
      </c>
      <c r="B70" s="264" t="s">
        <v>11834</v>
      </c>
      <c r="C70" s="264" t="s">
        <v>85</v>
      </c>
      <c r="D70" s="264" t="s">
        <v>86</v>
      </c>
      <c r="E70" s="264" t="s">
        <v>54</v>
      </c>
      <c r="F70" s="264" t="s">
        <v>12700</v>
      </c>
      <c r="G70" s="264"/>
      <c r="H70" s="264" t="s">
        <v>11950</v>
      </c>
      <c r="I70" s="264" t="s">
        <v>12626</v>
      </c>
      <c r="J70" s="264" t="s">
        <v>12702</v>
      </c>
      <c r="K70" s="264" t="s">
        <v>12703</v>
      </c>
      <c r="L70" s="264" t="s">
        <v>12704</v>
      </c>
      <c r="M70" s="264" t="s">
        <v>41</v>
      </c>
      <c r="N70" s="27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</row>
    <row r="71" spans="1:31" ht="14.4">
      <c r="A71" s="264" t="s">
        <v>45</v>
      </c>
      <c r="B71" s="264" t="s">
        <v>11834</v>
      </c>
      <c r="C71" s="264" t="s">
        <v>85</v>
      </c>
      <c r="D71" s="264" t="s">
        <v>86</v>
      </c>
      <c r="E71" s="264" t="s">
        <v>54</v>
      </c>
      <c r="F71" s="264" t="s">
        <v>12708</v>
      </c>
      <c r="G71" s="264"/>
      <c r="H71" s="264" t="s">
        <v>12709</v>
      </c>
      <c r="I71" s="264" t="s">
        <v>887</v>
      </c>
      <c r="J71" s="264" t="s">
        <v>12712</v>
      </c>
      <c r="K71" s="264" t="s">
        <v>12713</v>
      </c>
      <c r="L71" s="264" t="s">
        <v>12704</v>
      </c>
      <c r="M71" s="264" t="s">
        <v>41</v>
      </c>
      <c r="N71" s="27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</row>
    <row r="72" spans="1:31" ht="14.4">
      <c r="A72" s="264" t="s">
        <v>45</v>
      </c>
      <c r="B72" s="264" t="s">
        <v>11834</v>
      </c>
      <c r="C72" s="264" t="s">
        <v>85</v>
      </c>
      <c r="D72" s="264" t="s">
        <v>86</v>
      </c>
      <c r="E72" s="264" t="s">
        <v>54</v>
      </c>
      <c r="F72" s="264" t="s">
        <v>12717</v>
      </c>
      <c r="G72" s="264"/>
      <c r="H72" s="264" t="s">
        <v>12719</v>
      </c>
      <c r="I72" s="264" t="s">
        <v>887</v>
      </c>
      <c r="J72" s="264" t="s">
        <v>11843</v>
      </c>
      <c r="K72" s="264" t="s">
        <v>12720</v>
      </c>
      <c r="L72" s="264" t="s">
        <v>12704</v>
      </c>
      <c r="M72" s="264" t="s">
        <v>41</v>
      </c>
      <c r="N72" s="27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</row>
    <row r="73" spans="1:31" ht="14.4">
      <c r="A73" s="264" t="s">
        <v>45</v>
      </c>
      <c r="B73" s="264" t="s">
        <v>11834</v>
      </c>
      <c r="C73" s="264" t="s">
        <v>85</v>
      </c>
      <c r="D73" s="264" t="s">
        <v>86</v>
      </c>
      <c r="E73" s="264" t="s">
        <v>54</v>
      </c>
      <c r="F73" s="264" t="s">
        <v>12725</v>
      </c>
      <c r="G73" s="264"/>
      <c r="H73" s="264" t="s">
        <v>11840</v>
      </c>
      <c r="I73" s="264" t="s">
        <v>2400</v>
      </c>
      <c r="J73" s="264" t="s">
        <v>12726</v>
      </c>
      <c r="K73" s="264" t="s">
        <v>12727</v>
      </c>
      <c r="L73" s="264" t="s">
        <v>12704</v>
      </c>
      <c r="M73" s="264" t="s">
        <v>41</v>
      </c>
      <c r="N73" s="27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</row>
    <row r="74" spans="1:31" ht="14.4">
      <c r="A74" s="264" t="s">
        <v>45</v>
      </c>
      <c r="B74" s="264" t="s">
        <v>11834</v>
      </c>
      <c r="C74" s="264" t="s">
        <v>85</v>
      </c>
      <c r="D74" s="264" t="s">
        <v>86</v>
      </c>
      <c r="E74" s="264" t="s">
        <v>54</v>
      </c>
      <c r="F74" s="264" t="s">
        <v>12731</v>
      </c>
      <c r="G74" s="264"/>
      <c r="H74" s="264" t="s">
        <v>12732</v>
      </c>
      <c r="I74" s="264" t="s">
        <v>1610</v>
      </c>
      <c r="J74" s="264" t="s">
        <v>12702</v>
      </c>
      <c r="K74" s="264" t="s">
        <v>12733</v>
      </c>
      <c r="L74" s="264" t="s">
        <v>12704</v>
      </c>
      <c r="M74" s="264" t="s">
        <v>41</v>
      </c>
      <c r="N74" s="27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</row>
    <row r="75" spans="1:31" ht="14.4">
      <c r="A75" s="264" t="s">
        <v>45</v>
      </c>
      <c r="B75" s="264" t="s">
        <v>11834</v>
      </c>
      <c r="C75" s="264" t="s">
        <v>85</v>
      </c>
      <c r="D75" s="264" t="s">
        <v>86</v>
      </c>
      <c r="E75" s="264" t="s">
        <v>54</v>
      </c>
      <c r="F75" s="264" t="s">
        <v>12735</v>
      </c>
      <c r="G75" s="264"/>
      <c r="H75" s="264" t="s">
        <v>12709</v>
      </c>
      <c r="I75" s="264" t="s">
        <v>4243</v>
      </c>
      <c r="J75" s="264" t="s">
        <v>12736</v>
      </c>
      <c r="K75" s="264" t="s">
        <v>12737</v>
      </c>
      <c r="L75" s="264" t="s">
        <v>12704</v>
      </c>
      <c r="M75" s="264" t="s">
        <v>41</v>
      </c>
      <c r="N75" s="27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</row>
    <row r="76" spans="1:31" ht="14.4">
      <c r="A76" s="264" t="s">
        <v>45</v>
      </c>
      <c r="B76" s="264" t="s">
        <v>11834</v>
      </c>
      <c r="C76" s="264" t="s">
        <v>220</v>
      </c>
      <c r="D76" s="274" t="s">
        <v>234</v>
      </c>
      <c r="E76" s="264" t="s">
        <v>54</v>
      </c>
      <c r="F76" s="264" t="s">
        <v>12738</v>
      </c>
      <c r="G76" s="264"/>
      <c r="H76" s="264" t="s">
        <v>12740</v>
      </c>
      <c r="I76" s="264" t="s">
        <v>966</v>
      </c>
      <c r="J76" s="264" t="s">
        <v>12736</v>
      </c>
      <c r="K76" s="264" t="s">
        <v>12740</v>
      </c>
      <c r="L76" s="264" t="s">
        <v>12743</v>
      </c>
      <c r="M76" s="264" t="s">
        <v>41</v>
      </c>
      <c r="N76" s="27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</row>
    <row r="77" spans="1:31" ht="14.4">
      <c r="A77" s="264" t="s">
        <v>45</v>
      </c>
      <c r="B77" s="264" t="s">
        <v>11834</v>
      </c>
      <c r="C77" s="264" t="s">
        <v>220</v>
      </c>
      <c r="D77" s="274" t="s">
        <v>234</v>
      </c>
      <c r="E77" s="264" t="s">
        <v>54</v>
      </c>
      <c r="F77" s="264" t="s">
        <v>12747</v>
      </c>
      <c r="G77" s="264"/>
      <c r="H77" s="264" t="s">
        <v>12748</v>
      </c>
      <c r="I77" s="264" t="s">
        <v>887</v>
      </c>
      <c r="J77" s="264" t="s">
        <v>12726</v>
      </c>
      <c r="K77" s="264" t="s">
        <v>12748</v>
      </c>
      <c r="L77" s="264" t="s">
        <v>8440</v>
      </c>
      <c r="M77" s="264" t="s">
        <v>41</v>
      </c>
      <c r="N77" s="27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</row>
    <row r="78" spans="1:31" ht="14.4">
      <c r="A78" s="264" t="s">
        <v>45</v>
      </c>
      <c r="B78" s="264" t="s">
        <v>11834</v>
      </c>
      <c r="C78" s="264" t="s">
        <v>220</v>
      </c>
      <c r="D78" s="274" t="s">
        <v>234</v>
      </c>
      <c r="E78" s="264" t="s">
        <v>54</v>
      </c>
      <c r="F78" s="264" t="s">
        <v>12750</v>
      </c>
      <c r="G78" s="264"/>
      <c r="H78" s="264" t="s">
        <v>12674</v>
      </c>
      <c r="I78" s="264" t="s">
        <v>4243</v>
      </c>
      <c r="J78" s="264" t="s">
        <v>12666</v>
      </c>
      <c r="K78" s="264" t="s">
        <v>12752</v>
      </c>
      <c r="L78" s="264" t="s">
        <v>12669</v>
      </c>
      <c r="M78" s="264" t="s">
        <v>41</v>
      </c>
      <c r="N78" s="27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</row>
    <row r="79" spans="1:31" ht="14.4">
      <c r="A79" s="264" t="s">
        <v>45</v>
      </c>
      <c r="B79" s="264" t="s">
        <v>11834</v>
      </c>
      <c r="C79" s="264" t="s">
        <v>296</v>
      </c>
      <c r="D79" s="264" t="s">
        <v>954</v>
      </c>
      <c r="E79" s="264" t="s">
        <v>54</v>
      </c>
      <c r="F79" s="264" t="s">
        <v>12754</v>
      </c>
      <c r="G79" s="264" t="s">
        <v>12756</v>
      </c>
      <c r="H79" s="264" t="s">
        <v>12757</v>
      </c>
      <c r="I79" s="264" t="s">
        <v>966</v>
      </c>
      <c r="J79" s="264">
        <v>1</v>
      </c>
      <c r="K79" s="264" t="s">
        <v>12757</v>
      </c>
      <c r="L79" s="264" t="s">
        <v>11846</v>
      </c>
      <c r="M79" s="264" t="s">
        <v>2660</v>
      </c>
      <c r="N79" s="27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</row>
    <row r="80" spans="1:31" ht="14.4">
      <c r="A80" s="264" t="s">
        <v>45</v>
      </c>
      <c r="B80" s="264" t="s">
        <v>11849</v>
      </c>
      <c r="C80" s="264" t="s">
        <v>85</v>
      </c>
      <c r="D80" s="264" t="s">
        <v>86</v>
      </c>
      <c r="E80" s="264" t="s">
        <v>54</v>
      </c>
      <c r="F80" s="264" t="s">
        <v>12759</v>
      </c>
      <c r="G80" s="264" t="s">
        <v>12760</v>
      </c>
      <c r="H80" s="264" t="s">
        <v>12761</v>
      </c>
      <c r="I80" s="264" t="s">
        <v>11975</v>
      </c>
      <c r="J80" s="264" t="s">
        <v>12762</v>
      </c>
      <c r="K80" s="264" t="s">
        <v>12763</v>
      </c>
      <c r="L80" s="264" t="s">
        <v>12764</v>
      </c>
      <c r="M80" s="264" t="s">
        <v>2660</v>
      </c>
      <c r="N80" s="27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</row>
    <row r="81" spans="1:31" ht="14.4">
      <c r="A81" s="264" t="s">
        <v>45</v>
      </c>
      <c r="B81" s="264" t="s">
        <v>11849</v>
      </c>
      <c r="C81" s="264" t="s">
        <v>85</v>
      </c>
      <c r="D81" s="264" t="s">
        <v>86</v>
      </c>
      <c r="E81" s="264" t="s">
        <v>54</v>
      </c>
      <c r="F81" s="264" t="s">
        <v>12766</v>
      </c>
      <c r="G81" s="264" t="s">
        <v>12767</v>
      </c>
      <c r="H81" s="264" t="s">
        <v>12761</v>
      </c>
      <c r="I81" s="264" t="s">
        <v>11975</v>
      </c>
      <c r="J81" s="264" t="s">
        <v>12768</v>
      </c>
      <c r="K81" s="264" t="s">
        <v>12769</v>
      </c>
      <c r="L81" s="264" t="s">
        <v>12764</v>
      </c>
      <c r="M81" s="264" t="s">
        <v>2660</v>
      </c>
      <c r="N81" s="27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  <c r="AD81" s="101"/>
      <c r="AE81" s="101"/>
    </row>
    <row r="82" spans="1:31" ht="14.4">
      <c r="A82" s="264" t="s">
        <v>45</v>
      </c>
      <c r="B82" s="264" t="s">
        <v>11849</v>
      </c>
      <c r="C82" s="264" t="s">
        <v>85</v>
      </c>
      <c r="D82" s="264" t="s">
        <v>86</v>
      </c>
      <c r="E82" s="264" t="s">
        <v>54</v>
      </c>
      <c r="F82" s="264" t="s">
        <v>12771</v>
      </c>
      <c r="G82" s="264" t="s">
        <v>12772</v>
      </c>
      <c r="H82" s="264" t="s">
        <v>12773</v>
      </c>
      <c r="I82" s="264" t="s">
        <v>12774</v>
      </c>
      <c r="J82" s="264" t="s">
        <v>12166</v>
      </c>
      <c r="K82" s="264" t="s">
        <v>12776</v>
      </c>
      <c r="L82" s="264" t="s">
        <v>12777</v>
      </c>
      <c r="M82" s="264" t="s">
        <v>2660</v>
      </c>
      <c r="N82" s="27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</row>
    <row r="83" spans="1:31" ht="14.4">
      <c r="A83" s="264" t="s">
        <v>45</v>
      </c>
      <c r="B83" s="264" t="s">
        <v>11849</v>
      </c>
      <c r="C83" s="264" t="s">
        <v>85</v>
      </c>
      <c r="D83" s="264" t="s">
        <v>86</v>
      </c>
      <c r="E83" s="264" t="s">
        <v>54</v>
      </c>
      <c r="F83" s="264" t="s">
        <v>12780</v>
      </c>
      <c r="G83" s="264" t="s">
        <v>12781</v>
      </c>
      <c r="H83" s="264" t="s">
        <v>12782</v>
      </c>
      <c r="I83" s="264" t="s">
        <v>12783</v>
      </c>
      <c r="J83" s="264" t="s">
        <v>1664</v>
      </c>
      <c r="K83" s="264" t="s">
        <v>12782</v>
      </c>
      <c r="L83" s="264" t="s">
        <v>12784</v>
      </c>
      <c r="M83" s="264" t="s">
        <v>2660</v>
      </c>
      <c r="N83" s="27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</row>
    <row r="84" spans="1:31" ht="14.4">
      <c r="A84" s="264" t="s">
        <v>45</v>
      </c>
      <c r="B84" s="264" t="s">
        <v>11849</v>
      </c>
      <c r="C84" s="264" t="s">
        <v>85</v>
      </c>
      <c r="D84" s="264" t="s">
        <v>86</v>
      </c>
      <c r="E84" s="264" t="s">
        <v>54</v>
      </c>
      <c r="F84" s="264" t="s">
        <v>12787</v>
      </c>
      <c r="G84" s="264" t="s">
        <v>12789</v>
      </c>
      <c r="H84" s="264" t="s">
        <v>12790</v>
      </c>
      <c r="I84" s="264" t="s">
        <v>12791</v>
      </c>
      <c r="J84" s="264"/>
      <c r="K84" s="264" t="s">
        <v>12790</v>
      </c>
      <c r="L84" s="264" t="s">
        <v>12794</v>
      </c>
      <c r="M84" s="264" t="s">
        <v>2660</v>
      </c>
      <c r="N84" s="27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</row>
    <row r="85" spans="1:31" ht="14.4">
      <c r="A85" s="264" t="s">
        <v>45</v>
      </c>
      <c r="B85" s="264" t="s">
        <v>11849</v>
      </c>
      <c r="C85" s="264" t="s">
        <v>85</v>
      </c>
      <c r="D85" s="264" t="s">
        <v>86</v>
      </c>
      <c r="E85" s="264" t="s">
        <v>54</v>
      </c>
      <c r="F85" s="264" t="s">
        <v>12802</v>
      </c>
      <c r="G85" s="264" t="s">
        <v>12508</v>
      </c>
      <c r="H85" s="264" t="s">
        <v>12803</v>
      </c>
      <c r="I85" s="264" t="s">
        <v>887</v>
      </c>
      <c r="J85" s="264" t="s">
        <v>1584</v>
      </c>
      <c r="K85" s="264" t="s">
        <v>12803</v>
      </c>
      <c r="L85" s="264" t="s">
        <v>12804</v>
      </c>
      <c r="M85" s="264" t="s">
        <v>2660</v>
      </c>
      <c r="N85" s="27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</row>
    <row r="86" spans="1:31" ht="14.4">
      <c r="A86" s="264" t="s">
        <v>45</v>
      </c>
      <c r="B86" s="264" t="s">
        <v>11849</v>
      </c>
      <c r="C86" s="264" t="s">
        <v>85</v>
      </c>
      <c r="D86" s="264" t="s">
        <v>86</v>
      </c>
      <c r="E86" s="264" t="s">
        <v>54</v>
      </c>
      <c r="F86" s="264" t="s">
        <v>12811</v>
      </c>
      <c r="G86" s="264" t="s">
        <v>12812</v>
      </c>
      <c r="H86" s="264" t="s">
        <v>12813</v>
      </c>
      <c r="I86" s="264" t="s">
        <v>12814</v>
      </c>
      <c r="J86" s="264" t="s">
        <v>1494</v>
      </c>
      <c r="K86" s="264" t="s">
        <v>12813</v>
      </c>
      <c r="L86" s="264" t="s">
        <v>12815</v>
      </c>
      <c r="M86" s="264" t="s">
        <v>2660</v>
      </c>
      <c r="N86" s="27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</row>
    <row r="87" spans="1:31" ht="14.4">
      <c r="A87" s="264" t="s">
        <v>45</v>
      </c>
      <c r="B87" s="264" t="s">
        <v>11849</v>
      </c>
      <c r="C87" s="264" t="s">
        <v>85</v>
      </c>
      <c r="D87" s="264" t="s">
        <v>86</v>
      </c>
      <c r="E87" s="264" t="s">
        <v>54</v>
      </c>
      <c r="F87" s="264" t="s">
        <v>12822</v>
      </c>
      <c r="G87" s="264" t="s">
        <v>12824</v>
      </c>
      <c r="H87" s="264" t="s">
        <v>12825</v>
      </c>
      <c r="I87" s="264" t="s">
        <v>12827</v>
      </c>
      <c r="J87" s="264" t="s">
        <v>12828</v>
      </c>
      <c r="K87" s="264" t="s">
        <v>12825</v>
      </c>
      <c r="L87" s="264" t="s">
        <v>12829</v>
      </c>
      <c r="M87" s="264" t="s">
        <v>2660</v>
      </c>
      <c r="N87" s="27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</row>
    <row r="88" spans="1:31" ht="14.4">
      <c r="A88" s="264" t="s">
        <v>45</v>
      </c>
      <c r="B88" s="264" t="s">
        <v>11849</v>
      </c>
      <c r="C88" s="264" t="s">
        <v>85</v>
      </c>
      <c r="D88" s="264" t="s">
        <v>86</v>
      </c>
      <c r="E88" s="264" t="s">
        <v>54</v>
      </c>
      <c r="F88" s="264" t="s">
        <v>12836</v>
      </c>
      <c r="G88" s="264" t="s">
        <v>12837</v>
      </c>
      <c r="H88" s="264" t="s">
        <v>12838</v>
      </c>
      <c r="I88" s="264" t="s">
        <v>12839</v>
      </c>
      <c r="J88" s="264" t="s">
        <v>12840</v>
      </c>
      <c r="K88" s="264" t="s">
        <v>12841</v>
      </c>
      <c r="L88" s="264" t="s">
        <v>12842</v>
      </c>
      <c r="M88" s="264" t="s">
        <v>2660</v>
      </c>
      <c r="N88" s="27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</row>
    <row r="89" spans="1:31" ht="14.4">
      <c r="A89" s="264" t="s">
        <v>45</v>
      </c>
      <c r="B89" s="264" t="s">
        <v>11849</v>
      </c>
      <c r="C89" s="264" t="s">
        <v>85</v>
      </c>
      <c r="D89" s="264" t="s">
        <v>86</v>
      </c>
      <c r="E89" s="264" t="s">
        <v>54</v>
      </c>
      <c r="F89" s="264" t="s">
        <v>12844</v>
      </c>
      <c r="G89" s="264" t="s">
        <v>12847</v>
      </c>
      <c r="H89" s="264" t="s">
        <v>12838</v>
      </c>
      <c r="I89" s="264" t="s">
        <v>12839</v>
      </c>
      <c r="J89" s="264" t="s">
        <v>12849</v>
      </c>
      <c r="K89" s="264" t="s">
        <v>12851</v>
      </c>
      <c r="L89" s="264" t="s">
        <v>12853</v>
      </c>
      <c r="M89" s="264" t="s">
        <v>2660</v>
      </c>
      <c r="N89" s="27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</row>
    <row r="90" spans="1:31" ht="14.4">
      <c r="A90" s="264" t="s">
        <v>45</v>
      </c>
      <c r="B90" s="264" t="s">
        <v>11849</v>
      </c>
      <c r="C90" s="264" t="s">
        <v>85</v>
      </c>
      <c r="D90" s="264" t="s">
        <v>86</v>
      </c>
      <c r="E90" s="264" t="s">
        <v>54</v>
      </c>
      <c r="F90" s="264" t="s">
        <v>12856</v>
      </c>
      <c r="G90" s="264" t="s">
        <v>12857</v>
      </c>
      <c r="H90" s="264" t="s">
        <v>12859</v>
      </c>
      <c r="I90" s="264" t="s">
        <v>12860</v>
      </c>
      <c r="J90" s="264" t="s">
        <v>12862</v>
      </c>
      <c r="K90" s="264" t="s">
        <v>12859</v>
      </c>
      <c r="L90" s="264" t="s">
        <v>12863</v>
      </c>
      <c r="M90" s="264" t="s">
        <v>2660</v>
      </c>
      <c r="N90" s="27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</row>
    <row r="91" spans="1:31" ht="14.4">
      <c r="A91" s="264" t="s">
        <v>45</v>
      </c>
      <c r="B91" s="264" t="s">
        <v>11849</v>
      </c>
      <c r="C91" s="264" t="s">
        <v>85</v>
      </c>
      <c r="D91" s="264" t="s">
        <v>86</v>
      </c>
      <c r="E91" s="264" t="s">
        <v>54</v>
      </c>
      <c r="F91" s="264" t="s">
        <v>12867</v>
      </c>
      <c r="G91" s="264" t="s">
        <v>12869</v>
      </c>
      <c r="H91" s="264" t="s">
        <v>12871</v>
      </c>
      <c r="I91" s="264" t="s">
        <v>2400</v>
      </c>
      <c r="J91" s="264" t="s">
        <v>12872</v>
      </c>
      <c r="K91" s="264" t="s">
        <v>12873</v>
      </c>
      <c r="L91" s="264" t="s">
        <v>12874</v>
      </c>
      <c r="M91" s="264" t="s">
        <v>2660</v>
      </c>
      <c r="N91" s="27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</row>
    <row r="92" spans="1:31" ht="14.4">
      <c r="A92" s="264" t="s">
        <v>45</v>
      </c>
      <c r="B92" s="264" t="s">
        <v>11849</v>
      </c>
      <c r="C92" s="264" t="s">
        <v>85</v>
      </c>
      <c r="D92" s="264" t="s">
        <v>86</v>
      </c>
      <c r="E92" s="264" t="s">
        <v>54</v>
      </c>
      <c r="F92" s="264" t="s">
        <v>12879</v>
      </c>
      <c r="G92" s="264" t="s">
        <v>12880</v>
      </c>
      <c r="H92" s="264" t="s">
        <v>12881</v>
      </c>
      <c r="I92" s="264" t="s">
        <v>2400</v>
      </c>
      <c r="J92" s="264" t="s">
        <v>12882</v>
      </c>
      <c r="K92" s="264" t="s">
        <v>12883</v>
      </c>
      <c r="L92" s="264" t="s">
        <v>12884</v>
      </c>
      <c r="M92" s="264" t="s">
        <v>2660</v>
      </c>
      <c r="N92" s="27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  <c r="AA92" s="101"/>
      <c r="AB92" s="101"/>
      <c r="AC92" s="101"/>
      <c r="AD92" s="101"/>
      <c r="AE92" s="101"/>
    </row>
    <row r="93" spans="1:31" ht="14.4">
      <c r="A93" s="264" t="s">
        <v>45</v>
      </c>
      <c r="B93" s="264" t="s">
        <v>11849</v>
      </c>
      <c r="C93" s="264" t="s">
        <v>85</v>
      </c>
      <c r="D93" s="264" t="s">
        <v>86</v>
      </c>
      <c r="E93" s="264" t="s">
        <v>54</v>
      </c>
      <c r="F93" s="264" t="s">
        <v>12887</v>
      </c>
      <c r="G93" s="264" t="s">
        <v>12888</v>
      </c>
      <c r="H93" s="264" t="s">
        <v>12890</v>
      </c>
      <c r="I93" s="264" t="s">
        <v>2400</v>
      </c>
      <c r="J93" s="264" t="s">
        <v>12891</v>
      </c>
      <c r="K93" s="264" t="s">
        <v>12892</v>
      </c>
      <c r="L93" s="264" t="s">
        <v>12893</v>
      </c>
      <c r="M93" s="264" t="s">
        <v>2660</v>
      </c>
      <c r="N93" s="27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  <c r="AD93" s="101"/>
      <c r="AE93" s="101"/>
    </row>
    <row r="94" spans="1:31" ht="14.4">
      <c r="A94" s="264" t="s">
        <v>45</v>
      </c>
      <c r="B94" s="264" t="s">
        <v>11849</v>
      </c>
      <c r="C94" s="264" t="s">
        <v>85</v>
      </c>
      <c r="D94" s="264" t="s">
        <v>86</v>
      </c>
      <c r="E94" s="264" t="s">
        <v>54</v>
      </c>
      <c r="F94" s="264" t="s">
        <v>12899</v>
      </c>
      <c r="G94" s="264" t="s">
        <v>12900</v>
      </c>
      <c r="H94" s="264" t="s">
        <v>12901</v>
      </c>
      <c r="I94" s="264" t="s">
        <v>2400</v>
      </c>
      <c r="J94" s="264" t="s">
        <v>12902</v>
      </c>
      <c r="K94" s="264" t="s">
        <v>12903</v>
      </c>
      <c r="L94" s="264" t="s">
        <v>12904</v>
      </c>
      <c r="M94" s="264" t="s">
        <v>2660</v>
      </c>
      <c r="N94" s="27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  <c r="AA94" s="101"/>
      <c r="AB94" s="101"/>
      <c r="AC94" s="101"/>
      <c r="AD94" s="101"/>
      <c r="AE94" s="101"/>
    </row>
    <row r="95" spans="1:31" ht="14.4">
      <c r="A95" s="264" t="s">
        <v>45</v>
      </c>
      <c r="B95" s="264" t="s">
        <v>11849</v>
      </c>
      <c r="C95" s="264" t="s">
        <v>85</v>
      </c>
      <c r="D95" s="264" t="s">
        <v>86</v>
      </c>
      <c r="E95" s="264" t="s">
        <v>54</v>
      </c>
      <c r="F95" s="264" t="s">
        <v>12916</v>
      </c>
      <c r="G95" s="264" t="s">
        <v>12917</v>
      </c>
      <c r="H95" s="264" t="s">
        <v>12918</v>
      </c>
      <c r="I95" s="264" t="s">
        <v>2400</v>
      </c>
      <c r="J95" s="264" t="s">
        <v>12919</v>
      </c>
      <c r="K95" s="264" t="s">
        <v>12920</v>
      </c>
      <c r="L95" s="264" t="s">
        <v>12922</v>
      </c>
      <c r="M95" s="264" t="s">
        <v>2660</v>
      </c>
      <c r="N95" s="27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</row>
    <row r="96" spans="1:31" ht="14.4">
      <c r="A96" s="264" t="s">
        <v>45</v>
      </c>
      <c r="B96" s="264" t="s">
        <v>11849</v>
      </c>
      <c r="C96" s="264" t="s">
        <v>220</v>
      </c>
      <c r="D96" s="274" t="s">
        <v>234</v>
      </c>
      <c r="E96" s="264" t="s">
        <v>54</v>
      </c>
      <c r="F96" s="264" t="s">
        <v>12936</v>
      </c>
      <c r="G96" s="264" t="s">
        <v>12937</v>
      </c>
      <c r="H96" s="264" t="s">
        <v>12939</v>
      </c>
      <c r="I96" s="264" t="s">
        <v>12941</v>
      </c>
      <c r="J96" s="264" t="s">
        <v>12942</v>
      </c>
      <c r="K96" s="264" t="s">
        <v>12939</v>
      </c>
      <c r="L96" s="264" t="s">
        <v>12944</v>
      </c>
      <c r="M96" s="264" t="s">
        <v>2660</v>
      </c>
      <c r="N96" s="27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</row>
    <row r="97" spans="1:31" ht="14.4">
      <c r="A97" s="264" t="s">
        <v>45</v>
      </c>
      <c r="B97" s="264" t="s">
        <v>11849</v>
      </c>
      <c r="C97" s="264" t="s">
        <v>220</v>
      </c>
      <c r="D97" s="274" t="s">
        <v>234</v>
      </c>
      <c r="E97" s="264" t="s">
        <v>54</v>
      </c>
      <c r="F97" s="264" t="s">
        <v>4186</v>
      </c>
      <c r="G97" s="264" t="s">
        <v>12951</v>
      </c>
      <c r="H97" s="264" t="s">
        <v>12952</v>
      </c>
      <c r="I97" s="264" t="s">
        <v>12954</v>
      </c>
      <c r="J97" s="264" t="s">
        <v>12955</v>
      </c>
      <c r="K97" s="264" t="s">
        <v>12956</v>
      </c>
      <c r="L97" s="264" t="s">
        <v>12863</v>
      </c>
      <c r="M97" s="264" t="s">
        <v>2660</v>
      </c>
      <c r="N97" s="27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  <c r="AA97" s="101"/>
      <c r="AB97" s="101"/>
      <c r="AC97" s="101"/>
      <c r="AD97" s="101"/>
      <c r="AE97" s="101"/>
    </row>
    <row r="98" spans="1:31" ht="14.4">
      <c r="A98" s="264" t="s">
        <v>45</v>
      </c>
      <c r="B98" s="264" t="s">
        <v>11849</v>
      </c>
      <c r="C98" s="264" t="s">
        <v>220</v>
      </c>
      <c r="D98" s="274" t="s">
        <v>234</v>
      </c>
      <c r="E98" s="264" t="s">
        <v>54</v>
      </c>
      <c r="F98" s="264" t="s">
        <v>4189</v>
      </c>
      <c r="G98" s="264" t="s">
        <v>12963</v>
      </c>
      <c r="H98" s="264" t="s">
        <v>12964</v>
      </c>
      <c r="I98" s="264" t="s">
        <v>12965</v>
      </c>
      <c r="J98" s="264" t="s">
        <v>12967</v>
      </c>
      <c r="K98" s="264" t="s">
        <v>12968</v>
      </c>
      <c r="L98" s="264" t="s">
        <v>12969</v>
      </c>
      <c r="M98" s="264" t="s">
        <v>2660</v>
      </c>
      <c r="N98" s="27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</row>
    <row r="99" spans="1:31" ht="14.4">
      <c r="A99" s="264" t="s">
        <v>45</v>
      </c>
      <c r="B99" s="264" t="s">
        <v>11849</v>
      </c>
      <c r="C99" s="264" t="s">
        <v>220</v>
      </c>
      <c r="D99" s="274" t="s">
        <v>234</v>
      </c>
      <c r="E99" s="264" t="s">
        <v>54</v>
      </c>
      <c r="F99" s="264" t="s">
        <v>12975</v>
      </c>
      <c r="G99" s="264" t="s">
        <v>12976</v>
      </c>
      <c r="H99" s="264" t="s">
        <v>12977</v>
      </c>
      <c r="I99" s="264" t="s">
        <v>12774</v>
      </c>
      <c r="J99" s="264" t="s">
        <v>12978</v>
      </c>
      <c r="K99" s="264" t="s">
        <v>12979</v>
      </c>
      <c r="L99" s="264" t="s">
        <v>12777</v>
      </c>
      <c r="M99" s="264" t="s">
        <v>2660</v>
      </c>
      <c r="N99" s="27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</row>
    <row r="100" spans="1:31" ht="14.4">
      <c r="A100" s="264" t="s">
        <v>45</v>
      </c>
      <c r="B100" s="264" t="s">
        <v>11849</v>
      </c>
      <c r="C100" s="264" t="s">
        <v>220</v>
      </c>
      <c r="D100" s="274" t="s">
        <v>234</v>
      </c>
      <c r="E100" s="264" t="s">
        <v>54</v>
      </c>
      <c r="F100" s="264" t="s">
        <v>12985</v>
      </c>
      <c r="G100" s="264" t="s">
        <v>12986</v>
      </c>
      <c r="H100" s="264" t="s">
        <v>11855</v>
      </c>
      <c r="I100" s="264" t="s">
        <v>12987</v>
      </c>
      <c r="J100" s="264" t="s">
        <v>12988</v>
      </c>
      <c r="K100" s="264" t="s">
        <v>11855</v>
      </c>
      <c r="L100" s="264" t="s">
        <v>12989</v>
      </c>
      <c r="M100" s="264" t="s">
        <v>2660</v>
      </c>
      <c r="N100" s="27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  <c r="AA100" s="101"/>
      <c r="AB100" s="101"/>
      <c r="AC100" s="101"/>
      <c r="AD100" s="101"/>
      <c r="AE100" s="101"/>
    </row>
    <row r="101" spans="1:31" ht="14.4">
      <c r="A101" s="264" t="s">
        <v>45</v>
      </c>
      <c r="B101" s="264" t="s">
        <v>11849</v>
      </c>
      <c r="C101" s="264" t="s">
        <v>296</v>
      </c>
      <c r="D101" s="264" t="s">
        <v>954</v>
      </c>
      <c r="E101" s="264" t="s">
        <v>54</v>
      </c>
      <c r="F101" s="264" t="s">
        <v>12993</v>
      </c>
      <c r="G101" s="264"/>
      <c r="H101" s="264" t="s">
        <v>12602</v>
      </c>
      <c r="I101" s="264" t="s">
        <v>8413</v>
      </c>
      <c r="J101" s="264" t="s">
        <v>12605</v>
      </c>
      <c r="K101" s="264"/>
      <c r="L101" s="264" t="s">
        <v>12995</v>
      </c>
      <c r="M101" s="264"/>
      <c r="N101" s="27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  <c r="AD101" s="101"/>
      <c r="AE101" s="101"/>
    </row>
    <row r="102" spans="1:31" ht="14.4">
      <c r="A102" s="264" t="s">
        <v>45</v>
      </c>
      <c r="B102" s="264" t="s">
        <v>11864</v>
      </c>
      <c r="C102" s="264" t="s">
        <v>85</v>
      </c>
      <c r="D102" s="264" t="s">
        <v>86</v>
      </c>
      <c r="E102" s="264" t="s">
        <v>54</v>
      </c>
      <c r="F102" s="264" t="s">
        <v>12999</v>
      </c>
      <c r="G102" s="264"/>
      <c r="H102" s="264" t="s">
        <v>13000</v>
      </c>
      <c r="I102" s="264" t="s">
        <v>13001</v>
      </c>
      <c r="J102" s="264" t="s">
        <v>13002</v>
      </c>
      <c r="K102" s="264" t="s">
        <v>13000</v>
      </c>
      <c r="L102" s="264" t="s">
        <v>13003</v>
      </c>
      <c r="M102" s="264" t="s">
        <v>41</v>
      </c>
      <c r="N102" s="27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  <c r="AD102" s="101"/>
      <c r="AE102" s="101"/>
    </row>
    <row r="103" spans="1:31" ht="14.4">
      <c r="A103" s="264" t="s">
        <v>45</v>
      </c>
      <c r="B103" s="264" t="s">
        <v>11864</v>
      </c>
      <c r="C103" s="264" t="s">
        <v>85</v>
      </c>
      <c r="D103" s="264" t="s">
        <v>86</v>
      </c>
      <c r="E103" s="264" t="s">
        <v>54</v>
      </c>
      <c r="F103" s="264" t="s">
        <v>13007</v>
      </c>
      <c r="G103" s="264"/>
      <c r="H103" s="264" t="s">
        <v>13000</v>
      </c>
      <c r="I103" s="264" t="s">
        <v>13001</v>
      </c>
      <c r="J103" s="264" t="s">
        <v>13009</v>
      </c>
      <c r="K103" s="264" t="s">
        <v>13000</v>
      </c>
      <c r="L103" s="264" t="s">
        <v>13003</v>
      </c>
      <c r="M103" s="264" t="s">
        <v>41</v>
      </c>
      <c r="N103" s="27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  <c r="AD103" s="101"/>
      <c r="AE103" s="101"/>
    </row>
    <row r="104" spans="1:31" ht="14.4">
      <c r="A104" s="264" t="s">
        <v>45</v>
      </c>
      <c r="B104" s="264" t="s">
        <v>11864</v>
      </c>
      <c r="C104" s="264" t="s">
        <v>85</v>
      </c>
      <c r="D104" s="264" t="s">
        <v>86</v>
      </c>
      <c r="E104" s="264" t="s">
        <v>54</v>
      </c>
      <c r="F104" s="264" t="s">
        <v>13015</v>
      </c>
      <c r="G104" s="264"/>
      <c r="H104" s="264" t="s">
        <v>13000</v>
      </c>
      <c r="I104" s="264" t="s">
        <v>13001</v>
      </c>
      <c r="J104" s="264" t="s">
        <v>13016</v>
      </c>
      <c r="K104" s="264" t="s">
        <v>13000</v>
      </c>
      <c r="L104" s="264" t="s">
        <v>13003</v>
      </c>
      <c r="M104" s="264" t="s">
        <v>41</v>
      </c>
      <c r="N104" s="27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</row>
    <row r="105" spans="1:31" ht="14.4">
      <c r="A105" s="264" t="s">
        <v>45</v>
      </c>
      <c r="B105" s="264" t="s">
        <v>11864</v>
      </c>
      <c r="C105" s="264" t="s">
        <v>85</v>
      </c>
      <c r="D105" s="264" t="s">
        <v>86</v>
      </c>
      <c r="E105" s="264" t="s">
        <v>54</v>
      </c>
      <c r="F105" s="264" t="s">
        <v>13019</v>
      </c>
      <c r="G105" s="264"/>
      <c r="H105" s="264" t="s">
        <v>13020</v>
      </c>
      <c r="I105" s="264" t="s">
        <v>1595</v>
      </c>
      <c r="J105" s="264" t="s">
        <v>13022</v>
      </c>
      <c r="K105" s="264" t="s">
        <v>13023</v>
      </c>
      <c r="L105" s="264" t="s">
        <v>13003</v>
      </c>
      <c r="M105" s="264" t="s">
        <v>41</v>
      </c>
      <c r="N105" s="27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</row>
    <row r="106" spans="1:31" ht="14.4">
      <c r="A106" s="264" t="s">
        <v>45</v>
      </c>
      <c r="B106" s="264" t="s">
        <v>11864</v>
      </c>
      <c r="C106" s="264" t="s">
        <v>85</v>
      </c>
      <c r="D106" s="264" t="s">
        <v>86</v>
      </c>
      <c r="E106" s="264" t="s">
        <v>54</v>
      </c>
      <c r="F106" s="264" t="s">
        <v>13027</v>
      </c>
      <c r="G106" s="264"/>
      <c r="H106" s="264" t="s">
        <v>13020</v>
      </c>
      <c r="I106" s="264" t="s">
        <v>1595</v>
      </c>
      <c r="J106" s="264" t="s">
        <v>13030</v>
      </c>
      <c r="K106" s="264" t="s">
        <v>13031</v>
      </c>
      <c r="L106" s="264" t="s">
        <v>13003</v>
      </c>
      <c r="M106" s="264" t="s">
        <v>41</v>
      </c>
      <c r="N106" s="27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</row>
    <row r="107" spans="1:31" ht="14.4">
      <c r="A107" s="264" t="s">
        <v>45</v>
      </c>
      <c r="B107" s="264" t="s">
        <v>11864</v>
      </c>
      <c r="C107" s="264" t="s">
        <v>85</v>
      </c>
      <c r="D107" s="264" t="s">
        <v>86</v>
      </c>
      <c r="E107" s="264" t="s">
        <v>54</v>
      </c>
      <c r="F107" s="264" t="s">
        <v>13033</v>
      </c>
      <c r="G107" s="264"/>
      <c r="H107" s="264" t="s">
        <v>13020</v>
      </c>
      <c r="I107" s="264" t="s">
        <v>1595</v>
      </c>
      <c r="J107" s="264" t="s">
        <v>13036</v>
      </c>
      <c r="K107" s="264" t="s">
        <v>13038</v>
      </c>
      <c r="L107" s="264" t="s">
        <v>13003</v>
      </c>
      <c r="M107" s="264" t="s">
        <v>41</v>
      </c>
      <c r="N107" s="27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</row>
    <row r="108" spans="1:31" ht="14.4">
      <c r="A108" s="264" t="s">
        <v>45</v>
      </c>
      <c r="B108" s="264" t="s">
        <v>11864</v>
      </c>
      <c r="C108" s="264" t="s">
        <v>85</v>
      </c>
      <c r="D108" s="264" t="s">
        <v>86</v>
      </c>
      <c r="E108" s="264" t="s">
        <v>54</v>
      </c>
      <c r="F108" s="264" t="s">
        <v>13040</v>
      </c>
      <c r="G108" s="264"/>
      <c r="H108" s="264" t="s">
        <v>13020</v>
      </c>
      <c r="I108" s="264" t="s">
        <v>1595</v>
      </c>
      <c r="J108" s="264" t="s">
        <v>13042</v>
      </c>
      <c r="K108" s="264" t="s">
        <v>13043</v>
      </c>
      <c r="L108" s="264" t="s">
        <v>13003</v>
      </c>
      <c r="M108" s="264" t="s">
        <v>41</v>
      </c>
      <c r="N108" s="27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</row>
    <row r="109" spans="1:31" ht="14.4">
      <c r="A109" s="264" t="s">
        <v>45</v>
      </c>
      <c r="B109" s="264" t="s">
        <v>11864</v>
      </c>
      <c r="C109" s="264" t="s">
        <v>85</v>
      </c>
      <c r="D109" s="264" t="s">
        <v>86</v>
      </c>
      <c r="E109" s="264" t="s">
        <v>54</v>
      </c>
      <c r="F109" s="264" t="s">
        <v>13045</v>
      </c>
      <c r="G109" s="264"/>
      <c r="H109" s="264" t="s">
        <v>13020</v>
      </c>
      <c r="I109" s="264" t="s">
        <v>1595</v>
      </c>
      <c r="J109" s="264" t="s">
        <v>13047</v>
      </c>
      <c r="K109" s="264" t="s">
        <v>13049</v>
      </c>
      <c r="L109" s="264" t="s">
        <v>13003</v>
      </c>
      <c r="M109" s="264" t="s">
        <v>41</v>
      </c>
      <c r="N109" s="27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</row>
    <row r="110" spans="1:31" ht="14.4">
      <c r="A110" s="264" t="s">
        <v>45</v>
      </c>
      <c r="B110" s="264" t="s">
        <v>11864</v>
      </c>
      <c r="C110" s="264" t="s">
        <v>85</v>
      </c>
      <c r="D110" s="264" t="s">
        <v>86</v>
      </c>
      <c r="E110" s="264" t="s">
        <v>54</v>
      </c>
      <c r="F110" s="264" t="s">
        <v>13050</v>
      </c>
      <c r="G110" s="264"/>
      <c r="H110" s="264" t="s">
        <v>13020</v>
      </c>
      <c r="I110" s="264" t="s">
        <v>1595</v>
      </c>
      <c r="J110" s="264" t="s">
        <v>13051</v>
      </c>
      <c r="K110" s="264" t="s">
        <v>13052</v>
      </c>
      <c r="L110" s="264" t="s">
        <v>13003</v>
      </c>
      <c r="M110" s="264" t="s">
        <v>41</v>
      </c>
      <c r="N110" s="27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</row>
    <row r="111" spans="1:31" ht="14.4">
      <c r="A111" s="264" t="s">
        <v>45</v>
      </c>
      <c r="B111" s="264" t="s">
        <v>11864</v>
      </c>
      <c r="C111" s="264" t="s">
        <v>85</v>
      </c>
      <c r="D111" s="264" t="s">
        <v>86</v>
      </c>
      <c r="E111" s="264" t="s">
        <v>54</v>
      </c>
      <c r="F111" s="264" t="s">
        <v>13054</v>
      </c>
      <c r="G111" s="264"/>
      <c r="H111" s="264" t="s">
        <v>13020</v>
      </c>
      <c r="I111" s="264" t="s">
        <v>1595</v>
      </c>
      <c r="J111" s="264" t="s">
        <v>13055</v>
      </c>
      <c r="K111" s="264" t="s">
        <v>13056</v>
      </c>
      <c r="L111" s="264" t="s">
        <v>13003</v>
      </c>
      <c r="M111" s="264" t="s">
        <v>41</v>
      </c>
      <c r="N111" s="27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</row>
    <row r="112" spans="1:31" ht="14.4">
      <c r="A112" s="264" t="s">
        <v>45</v>
      </c>
      <c r="B112" s="264" t="s">
        <v>11864</v>
      </c>
      <c r="C112" s="264" t="s">
        <v>85</v>
      </c>
      <c r="D112" s="264" t="s">
        <v>86</v>
      </c>
      <c r="E112" s="264" t="s">
        <v>54</v>
      </c>
      <c r="F112" s="264" t="s">
        <v>13060</v>
      </c>
      <c r="G112" s="264"/>
      <c r="H112" s="264" t="s">
        <v>13020</v>
      </c>
      <c r="I112" s="264" t="s">
        <v>1595</v>
      </c>
      <c r="J112" s="264" t="s">
        <v>13061</v>
      </c>
      <c r="K112" s="264" t="s">
        <v>13062</v>
      </c>
      <c r="L112" s="264" t="s">
        <v>13003</v>
      </c>
      <c r="M112" s="264" t="s">
        <v>41</v>
      </c>
      <c r="N112" s="27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  <c r="AA112" s="101"/>
      <c r="AB112" s="101"/>
      <c r="AC112" s="101"/>
      <c r="AD112" s="101"/>
      <c r="AE112" s="101"/>
    </row>
    <row r="113" spans="1:31" ht="14.4">
      <c r="A113" s="264" t="s">
        <v>45</v>
      </c>
      <c r="B113" s="264" t="s">
        <v>11864</v>
      </c>
      <c r="C113" s="264" t="s">
        <v>85</v>
      </c>
      <c r="D113" s="264" t="s">
        <v>86</v>
      </c>
      <c r="E113" s="264" t="s">
        <v>54</v>
      </c>
      <c r="F113" s="264" t="s">
        <v>13063</v>
      </c>
      <c r="G113" s="264"/>
      <c r="H113" s="264" t="s">
        <v>13020</v>
      </c>
      <c r="I113" s="264" t="s">
        <v>1595</v>
      </c>
      <c r="J113" s="264" t="s">
        <v>13064</v>
      </c>
      <c r="K113" s="264" t="s">
        <v>13065</v>
      </c>
      <c r="L113" s="264" t="s">
        <v>13003</v>
      </c>
      <c r="M113" s="264" t="s">
        <v>41</v>
      </c>
      <c r="N113" s="27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  <c r="AA113" s="101"/>
      <c r="AB113" s="101"/>
      <c r="AC113" s="101"/>
      <c r="AD113" s="101"/>
      <c r="AE113" s="101"/>
    </row>
    <row r="114" spans="1:31" ht="14.4">
      <c r="A114" s="264" t="s">
        <v>45</v>
      </c>
      <c r="B114" s="264" t="s">
        <v>11864</v>
      </c>
      <c r="C114" s="264" t="s">
        <v>85</v>
      </c>
      <c r="D114" s="264" t="s">
        <v>86</v>
      </c>
      <c r="E114" s="264" t="s">
        <v>54</v>
      </c>
      <c r="F114" s="264" t="s">
        <v>13069</v>
      </c>
      <c r="G114" s="264"/>
      <c r="H114" s="264" t="s">
        <v>13070</v>
      </c>
      <c r="I114" s="264" t="s">
        <v>689</v>
      </c>
      <c r="J114" s="264" t="s">
        <v>13071</v>
      </c>
      <c r="K114" s="264" t="s">
        <v>13072</v>
      </c>
      <c r="L114" s="264" t="s">
        <v>13003</v>
      </c>
      <c r="M114" s="264" t="s">
        <v>41</v>
      </c>
      <c r="N114" s="27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  <c r="AD114" s="101"/>
      <c r="AE114" s="101"/>
    </row>
    <row r="115" spans="1:31" ht="14.4">
      <c r="A115" s="264" t="s">
        <v>45</v>
      </c>
      <c r="B115" s="264" t="s">
        <v>11864</v>
      </c>
      <c r="C115" s="264" t="s">
        <v>85</v>
      </c>
      <c r="D115" s="264" t="s">
        <v>86</v>
      </c>
      <c r="E115" s="264" t="s">
        <v>54</v>
      </c>
      <c r="F115" s="264" t="s">
        <v>13075</v>
      </c>
      <c r="G115" s="264"/>
      <c r="H115" s="264" t="s">
        <v>13020</v>
      </c>
      <c r="I115" s="264" t="s">
        <v>1595</v>
      </c>
      <c r="J115" s="264" t="s">
        <v>13076</v>
      </c>
      <c r="K115" s="264" t="s">
        <v>13077</v>
      </c>
      <c r="L115" s="264" t="s">
        <v>13003</v>
      </c>
      <c r="M115" s="264" t="s">
        <v>41</v>
      </c>
      <c r="N115" s="27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</row>
    <row r="116" spans="1:31" ht="14.4">
      <c r="A116" s="264" t="s">
        <v>45</v>
      </c>
      <c r="B116" s="264" t="s">
        <v>11864</v>
      </c>
      <c r="C116" s="264" t="s">
        <v>85</v>
      </c>
      <c r="D116" s="264" t="s">
        <v>86</v>
      </c>
      <c r="E116" s="264" t="s">
        <v>54</v>
      </c>
      <c r="F116" s="264" t="s">
        <v>13080</v>
      </c>
      <c r="G116" s="264"/>
      <c r="H116" s="264" t="s">
        <v>13082</v>
      </c>
      <c r="I116" s="264" t="s">
        <v>1610</v>
      </c>
      <c r="J116" s="264" t="s">
        <v>13083</v>
      </c>
      <c r="K116" s="264" t="s">
        <v>13084</v>
      </c>
      <c r="L116" s="264" t="s">
        <v>13003</v>
      </c>
      <c r="M116" s="264" t="s">
        <v>41</v>
      </c>
      <c r="N116" s="27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  <c r="AD116" s="101"/>
      <c r="AE116" s="101"/>
    </row>
    <row r="117" spans="1:31" ht="14.4">
      <c r="A117" s="264" t="s">
        <v>45</v>
      </c>
      <c r="B117" s="264" t="s">
        <v>11864</v>
      </c>
      <c r="C117" s="264" t="s">
        <v>85</v>
      </c>
      <c r="D117" s="264" t="s">
        <v>86</v>
      </c>
      <c r="E117" s="264" t="s">
        <v>54</v>
      </c>
      <c r="F117" s="264" t="s">
        <v>13086</v>
      </c>
      <c r="G117" s="264"/>
      <c r="H117" s="264" t="s">
        <v>13082</v>
      </c>
      <c r="I117" s="264" t="s">
        <v>13088</v>
      </c>
      <c r="J117" s="264" t="s">
        <v>13089</v>
      </c>
      <c r="K117" s="264" t="s">
        <v>13091</v>
      </c>
      <c r="L117" s="264" t="s">
        <v>13003</v>
      </c>
      <c r="M117" s="264" t="s">
        <v>41</v>
      </c>
      <c r="N117" s="27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  <c r="AA117" s="101"/>
      <c r="AB117" s="101"/>
      <c r="AC117" s="101"/>
      <c r="AD117" s="101"/>
      <c r="AE117" s="101"/>
    </row>
    <row r="118" spans="1:31" ht="14.4">
      <c r="A118" s="264" t="s">
        <v>45</v>
      </c>
      <c r="B118" s="264" t="s">
        <v>11864</v>
      </c>
      <c r="C118" s="264" t="s">
        <v>296</v>
      </c>
      <c r="D118" s="264" t="s">
        <v>954</v>
      </c>
      <c r="E118" s="264" t="s">
        <v>54</v>
      </c>
      <c r="F118" s="264" t="s">
        <v>13092</v>
      </c>
      <c r="G118" s="264"/>
      <c r="H118" s="264" t="s">
        <v>12602</v>
      </c>
      <c r="I118" s="264" t="s">
        <v>8413</v>
      </c>
      <c r="J118" s="264" t="s">
        <v>12605</v>
      </c>
      <c r="K118" s="264"/>
      <c r="L118" s="264" t="s">
        <v>13094</v>
      </c>
      <c r="M118" s="264"/>
      <c r="N118" s="27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</row>
    <row r="119" spans="1:31" ht="14.4">
      <c r="A119" s="264" t="s">
        <v>45</v>
      </c>
      <c r="B119" s="264" t="s">
        <v>11892</v>
      </c>
      <c r="C119" s="264" t="s">
        <v>85</v>
      </c>
      <c r="D119" s="264" t="s">
        <v>86</v>
      </c>
      <c r="E119" s="264" t="s">
        <v>54</v>
      </c>
      <c r="F119" s="264" t="s">
        <v>13097</v>
      </c>
      <c r="G119" s="264" t="s">
        <v>13098</v>
      </c>
      <c r="H119" s="319" t="s">
        <v>13099</v>
      </c>
      <c r="I119" s="264" t="s">
        <v>3243</v>
      </c>
      <c r="J119" s="264" t="s">
        <v>12078</v>
      </c>
      <c r="K119" s="319" t="s">
        <v>13104</v>
      </c>
      <c r="L119" s="319" t="s">
        <v>12139</v>
      </c>
      <c r="M119" s="264" t="s">
        <v>41</v>
      </c>
      <c r="N119" s="27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</row>
    <row r="120" spans="1:31" ht="14.4">
      <c r="A120" s="264" t="s">
        <v>45</v>
      </c>
      <c r="B120" s="264" t="s">
        <v>11892</v>
      </c>
      <c r="C120" s="264" t="s">
        <v>85</v>
      </c>
      <c r="D120" s="264" t="s">
        <v>86</v>
      </c>
      <c r="E120" s="264" t="s">
        <v>54</v>
      </c>
      <c r="F120" s="264" t="s">
        <v>13108</v>
      </c>
      <c r="G120" s="264" t="s">
        <v>13109</v>
      </c>
      <c r="H120" s="319" t="s">
        <v>13099</v>
      </c>
      <c r="I120" s="264" t="s">
        <v>3243</v>
      </c>
      <c r="J120" s="264" t="s">
        <v>12088</v>
      </c>
      <c r="K120" s="319" t="s">
        <v>13110</v>
      </c>
      <c r="L120" s="319" t="s">
        <v>12139</v>
      </c>
      <c r="M120" s="264" t="s">
        <v>41</v>
      </c>
      <c r="N120" s="320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  <c r="AC120" s="101"/>
      <c r="AD120" s="101"/>
      <c r="AE120" s="101"/>
    </row>
    <row r="121" spans="1:31" ht="14.4">
      <c r="A121" s="264" t="s">
        <v>45</v>
      </c>
      <c r="B121" s="264" t="s">
        <v>11892</v>
      </c>
      <c r="C121" s="264" t="s">
        <v>85</v>
      </c>
      <c r="D121" s="264" t="s">
        <v>86</v>
      </c>
      <c r="E121" s="264" t="s">
        <v>54</v>
      </c>
      <c r="F121" s="264" t="s">
        <v>13114</v>
      </c>
      <c r="G121" s="264" t="s">
        <v>13115</v>
      </c>
      <c r="H121" s="319" t="s">
        <v>13099</v>
      </c>
      <c r="I121" s="264" t="s">
        <v>3243</v>
      </c>
      <c r="J121" s="264" t="s">
        <v>12099</v>
      </c>
      <c r="K121" s="319" t="s">
        <v>13117</v>
      </c>
      <c r="L121" s="319" t="s">
        <v>12139</v>
      </c>
      <c r="M121" s="264" t="s">
        <v>41</v>
      </c>
      <c r="N121" s="320" t="s">
        <v>13120</v>
      </c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  <c r="AA121" s="101"/>
      <c r="AB121" s="101"/>
      <c r="AC121" s="101"/>
      <c r="AD121" s="101"/>
      <c r="AE121" s="101"/>
    </row>
    <row r="122" spans="1:31" ht="14.4">
      <c r="A122" s="264" t="s">
        <v>45</v>
      </c>
      <c r="B122" s="264" t="s">
        <v>11892</v>
      </c>
      <c r="C122" s="264" t="s">
        <v>85</v>
      </c>
      <c r="D122" s="264" t="s">
        <v>86</v>
      </c>
      <c r="E122" s="264" t="s">
        <v>54</v>
      </c>
      <c r="F122" s="264" t="s">
        <v>13122</v>
      </c>
      <c r="G122" s="264" t="s">
        <v>13123</v>
      </c>
      <c r="H122" s="319" t="s">
        <v>13099</v>
      </c>
      <c r="I122" s="264" t="s">
        <v>3243</v>
      </c>
      <c r="J122" s="264" t="s">
        <v>12123</v>
      </c>
      <c r="K122" s="319" t="s">
        <v>13126</v>
      </c>
      <c r="L122" s="319" t="s">
        <v>12139</v>
      </c>
      <c r="M122" s="264" t="s">
        <v>41</v>
      </c>
      <c r="N122" s="32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  <c r="AD122" s="101"/>
      <c r="AE122" s="101"/>
    </row>
    <row r="123" spans="1:31" ht="14.4">
      <c r="A123" s="264" t="s">
        <v>45</v>
      </c>
      <c r="B123" s="264" t="s">
        <v>11892</v>
      </c>
      <c r="C123" s="264" t="s">
        <v>85</v>
      </c>
      <c r="D123" s="264" t="s">
        <v>86</v>
      </c>
      <c r="E123" s="264" t="s">
        <v>54</v>
      </c>
      <c r="F123" s="264" t="s">
        <v>13131</v>
      </c>
      <c r="G123" s="264" t="s">
        <v>13132</v>
      </c>
      <c r="H123" s="319" t="s">
        <v>13133</v>
      </c>
      <c r="I123" s="264" t="s">
        <v>5788</v>
      </c>
      <c r="J123" s="264" t="s">
        <v>13134</v>
      </c>
      <c r="K123" s="319" t="s">
        <v>13133</v>
      </c>
      <c r="L123" s="319" t="s">
        <v>13135</v>
      </c>
      <c r="M123" s="264" t="s">
        <v>41</v>
      </c>
      <c r="N123" s="320" t="s">
        <v>13137</v>
      </c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  <c r="AD123" s="101"/>
      <c r="AE123" s="101"/>
    </row>
    <row r="124" spans="1:31" ht="14.4">
      <c r="A124" s="264" t="s">
        <v>45</v>
      </c>
      <c r="B124" s="264" t="s">
        <v>11892</v>
      </c>
      <c r="C124" s="264" t="s">
        <v>85</v>
      </c>
      <c r="D124" s="264" t="s">
        <v>86</v>
      </c>
      <c r="E124" s="264" t="s">
        <v>54</v>
      </c>
      <c r="F124" s="264" t="s">
        <v>13140</v>
      </c>
      <c r="G124" s="264" t="s">
        <v>13141</v>
      </c>
      <c r="H124" s="319" t="s">
        <v>13142</v>
      </c>
      <c r="I124" s="264" t="s">
        <v>2400</v>
      </c>
      <c r="J124" s="264" t="s">
        <v>13143</v>
      </c>
      <c r="K124" s="319" t="s">
        <v>13144</v>
      </c>
      <c r="L124" s="319" t="s">
        <v>13145</v>
      </c>
      <c r="M124" s="264" t="s">
        <v>41</v>
      </c>
      <c r="N124" s="32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  <c r="AA124" s="101"/>
      <c r="AB124" s="101"/>
      <c r="AC124" s="101"/>
      <c r="AD124" s="101"/>
      <c r="AE124" s="101"/>
    </row>
    <row r="125" spans="1:31" ht="14.4">
      <c r="A125" s="264" t="s">
        <v>45</v>
      </c>
      <c r="B125" s="264" t="s">
        <v>11892</v>
      </c>
      <c r="C125" s="264" t="s">
        <v>85</v>
      </c>
      <c r="D125" s="264" t="s">
        <v>86</v>
      </c>
      <c r="E125" s="264" t="s">
        <v>54</v>
      </c>
      <c r="F125" s="264" t="s">
        <v>13147</v>
      </c>
      <c r="G125" s="264" t="s">
        <v>13148</v>
      </c>
      <c r="H125" s="319" t="s">
        <v>13150</v>
      </c>
      <c r="I125" s="264" t="s">
        <v>2400</v>
      </c>
      <c r="J125" s="264" t="s">
        <v>13152</v>
      </c>
      <c r="K125" s="319" t="s">
        <v>13150</v>
      </c>
      <c r="L125" s="319" t="s">
        <v>13153</v>
      </c>
      <c r="M125" s="264" t="s">
        <v>41</v>
      </c>
      <c r="N125" s="320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1"/>
    </row>
    <row r="126" spans="1:31" ht="14.4">
      <c r="A126" s="264" t="s">
        <v>45</v>
      </c>
      <c r="B126" s="264" t="s">
        <v>11892</v>
      </c>
      <c r="C126" s="264" t="s">
        <v>85</v>
      </c>
      <c r="D126" s="264" t="s">
        <v>86</v>
      </c>
      <c r="E126" s="264" t="s">
        <v>54</v>
      </c>
      <c r="F126" s="264" t="s">
        <v>13157</v>
      </c>
      <c r="G126" s="264" t="s">
        <v>13158</v>
      </c>
      <c r="H126" s="319" t="s">
        <v>13159</v>
      </c>
      <c r="I126" s="264" t="s">
        <v>2400</v>
      </c>
      <c r="J126" s="264" t="s">
        <v>13160</v>
      </c>
      <c r="K126" s="319" t="s">
        <v>13159</v>
      </c>
      <c r="L126" s="319" t="s">
        <v>13161</v>
      </c>
      <c r="M126" s="264" t="s">
        <v>41</v>
      </c>
      <c r="N126" s="320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  <c r="AA126" s="101"/>
      <c r="AB126" s="101"/>
      <c r="AC126" s="101"/>
      <c r="AD126" s="101"/>
      <c r="AE126" s="101"/>
    </row>
    <row r="127" spans="1:31" ht="14.4">
      <c r="A127" s="264" t="s">
        <v>45</v>
      </c>
      <c r="B127" s="264" t="s">
        <v>11892</v>
      </c>
      <c r="C127" s="264" t="s">
        <v>85</v>
      </c>
      <c r="D127" s="264" t="s">
        <v>86</v>
      </c>
      <c r="E127" s="264" t="s">
        <v>54</v>
      </c>
      <c r="F127" s="264" t="s">
        <v>13164</v>
      </c>
      <c r="G127" s="264" t="s">
        <v>13165</v>
      </c>
      <c r="H127" s="319" t="s">
        <v>13167</v>
      </c>
      <c r="I127" s="264" t="s">
        <v>2400</v>
      </c>
      <c r="J127" s="264" t="s">
        <v>13168</v>
      </c>
      <c r="K127" s="319" t="s">
        <v>13167</v>
      </c>
      <c r="L127" s="319" t="s">
        <v>13169</v>
      </c>
      <c r="M127" s="264" t="s">
        <v>41</v>
      </c>
      <c r="N127" s="320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  <c r="AA127" s="101"/>
      <c r="AB127" s="101"/>
      <c r="AC127" s="101"/>
      <c r="AD127" s="101"/>
      <c r="AE127" s="101"/>
    </row>
    <row r="128" spans="1:31" ht="14.4">
      <c r="A128" s="264" t="s">
        <v>45</v>
      </c>
      <c r="B128" s="264" t="s">
        <v>11892</v>
      </c>
      <c r="C128" s="264" t="s">
        <v>85</v>
      </c>
      <c r="D128" s="264" t="s">
        <v>86</v>
      </c>
      <c r="E128" s="264" t="s">
        <v>54</v>
      </c>
      <c r="F128" s="264" t="s">
        <v>13171</v>
      </c>
      <c r="G128" s="264" t="s">
        <v>13172</v>
      </c>
      <c r="H128" s="319" t="s">
        <v>13174</v>
      </c>
      <c r="I128" s="264" t="s">
        <v>2400</v>
      </c>
      <c r="J128" s="264" t="s">
        <v>13175</v>
      </c>
      <c r="K128" s="319" t="s">
        <v>13174</v>
      </c>
      <c r="L128" s="319" t="s">
        <v>13177</v>
      </c>
      <c r="M128" s="264" t="s">
        <v>41</v>
      </c>
      <c r="N128" s="320" t="s">
        <v>13120</v>
      </c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  <c r="AD128" s="101"/>
      <c r="AE128" s="101"/>
    </row>
    <row r="129" spans="1:31" ht="14.4">
      <c r="A129" s="264" t="s">
        <v>45</v>
      </c>
      <c r="B129" s="264" t="s">
        <v>11892</v>
      </c>
      <c r="C129" s="264" t="s">
        <v>85</v>
      </c>
      <c r="D129" s="264" t="s">
        <v>86</v>
      </c>
      <c r="E129" s="264" t="s">
        <v>54</v>
      </c>
      <c r="F129" s="264" t="s">
        <v>13178</v>
      </c>
      <c r="G129" s="264" t="s">
        <v>13179</v>
      </c>
      <c r="H129" s="319" t="s">
        <v>13180</v>
      </c>
      <c r="I129" s="264" t="s">
        <v>2400</v>
      </c>
      <c r="J129" s="264" t="s">
        <v>13181</v>
      </c>
      <c r="K129" s="319" t="s">
        <v>13180</v>
      </c>
      <c r="L129" s="319" t="s">
        <v>13182</v>
      </c>
      <c r="M129" s="264" t="s">
        <v>41</v>
      </c>
      <c r="N129" s="321" t="s">
        <v>13183</v>
      </c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  <c r="AA129" s="101"/>
      <c r="AB129" s="101"/>
      <c r="AC129" s="101"/>
      <c r="AD129" s="101"/>
      <c r="AE129" s="101"/>
    </row>
    <row r="130" spans="1:31" ht="14.4">
      <c r="A130" s="264" t="s">
        <v>45</v>
      </c>
      <c r="B130" s="264" t="s">
        <v>11892</v>
      </c>
      <c r="C130" s="264" t="s">
        <v>85</v>
      </c>
      <c r="D130" s="264" t="s">
        <v>86</v>
      </c>
      <c r="E130" s="264" t="s">
        <v>54</v>
      </c>
      <c r="F130" s="264" t="s">
        <v>13186</v>
      </c>
      <c r="G130" s="264" t="s">
        <v>13187</v>
      </c>
      <c r="H130" s="319" t="s">
        <v>13188</v>
      </c>
      <c r="I130" s="264" t="s">
        <v>2400</v>
      </c>
      <c r="J130" s="264" t="s">
        <v>13189</v>
      </c>
      <c r="K130" s="319" t="s">
        <v>13188</v>
      </c>
      <c r="L130" s="319" t="s">
        <v>13190</v>
      </c>
      <c r="M130" s="264" t="s">
        <v>41</v>
      </c>
      <c r="N130" s="321" t="s">
        <v>13192</v>
      </c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  <c r="AA130" s="101"/>
      <c r="AB130" s="101"/>
      <c r="AC130" s="101"/>
      <c r="AD130" s="101"/>
      <c r="AE130" s="101"/>
    </row>
    <row r="131" spans="1:31" ht="14.4">
      <c r="A131" s="264" t="s">
        <v>45</v>
      </c>
      <c r="B131" s="264" t="s">
        <v>11892</v>
      </c>
      <c r="C131" s="264" t="s">
        <v>85</v>
      </c>
      <c r="D131" s="264" t="s">
        <v>86</v>
      </c>
      <c r="E131" s="264" t="s">
        <v>54</v>
      </c>
      <c r="F131" s="264" t="s">
        <v>13195</v>
      </c>
      <c r="G131" s="264" t="s">
        <v>13196</v>
      </c>
      <c r="H131" s="319" t="s">
        <v>13188</v>
      </c>
      <c r="I131" s="264" t="s">
        <v>2400</v>
      </c>
      <c r="J131" s="264" t="s">
        <v>13197</v>
      </c>
      <c r="K131" s="319" t="s">
        <v>13188</v>
      </c>
      <c r="L131" s="319" t="s">
        <v>13190</v>
      </c>
      <c r="M131" s="264" t="s">
        <v>41</v>
      </c>
      <c r="N131" s="321" t="s">
        <v>13120</v>
      </c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  <c r="AA131" s="101"/>
      <c r="AB131" s="101"/>
      <c r="AC131" s="101"/>
      <c r="AD131" s="101"/>
      <c r="AE131" s="101"/>
    </row>
    <row r="132" spans="1:31" ht="14.4">
      <c r="A132" s="264" t="s">
        <v>45</v>
      </c>
      <c r="B132" s="264" t="s">
        <v>11892</v>
      </c>
      <c r="C132" s="264" t="s">
        <v>85</v>
      </c>
      <c r="D132" s="264" t="s">
        <v>86</v>
      </c>
      <c r="E132" s="264" t="s">
        <v>54</v>
      </c>
      <c r="F132" s="264" t="s">
        <v>13201</v>
      </c>
      <c r="G132" s="264" t="s">
        <v>13202</v>
      </c>
      <c r="H132" s="322" t="s">
        <v>13206</v>
      </c>
      <c r="I132" s="323" t="s">
        <v>2400</v>
      </c>
      <c r="J132" s="264" t="s">
        <v>13209</v>
      </c>
      <c r="K132" s="322" t="s">
        <v>13211</v>
      </c>
      <c r="L132" s="322" t="s">
        <v>12139</v>
      </c>
      <c r="M132" s="264" t="s">
        <v>41</v>
      </c>
      <c r="N132" s="32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  <c r="AA132" s="101"/>
      <c r="AB132" s="101"/>
      <c r="AC132" s="101"/>
      <c r="AD132" s="101"/>
      <c r="AE132" s="101"/>
    </row>
    <row r="133" spans="1:31" ht="14.4">
      <c r="A133" s="264" t="s">
        <v>45</v>
      </c>
      <c r="B133" s="264" t="s">
        <v>11892</v>
      </c>
      <c r="C133" s="264" t="s">
        <v>85</v>
      </c>
      <c r="D133" s="264" t="s">
        <v>86</v>
      </c>
      <c r="E133" s="264" t="s">
        <v>54</v>
      </c>
      <c r="F133" s="264" t="s">
        <v>13214</v>
      </c>
      <c r="G133" s="264" t="s">
        <v>13215</v>
      </c>
      <c r="H133" s="322" t="s">
        <v>13216</v>
      </c>
      <c r="I133" s="323" t="s">
        <v>2400</v>
      </c>
      <c r="J133" s="264" t="s">
        <v>13217</v>
      </c>
      <c r="K133" s="322" t="s">
        <v>13216</v>
      </c>
      <c r="L133" s="322" t="s">
        <v>13218</v>
      </c>
      <c r="M133" s="264" t="s">
        <v>41</v>
      </c>
      <c r="N133" s="324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  <c r="AC133" s="101"/>
      <c r="AD133" s="101"/>
      <c r="AE133" s="101"/>
    </row>
    <row r="134" spans="1:31" ht="14.4">
      <c r="A134" s="264" t="s">
        <v>45</v>
      </c>
      <c r="B134" s="264" t="s">
        <v>11892</v>
      </c>
      <c r="C134" s="264" t="s">
        <v>85</v>
      </c>
      <c r="D134" s="264" t="s">
        <v>86</v>
      </c>
      <c r="E134" s="264" t="s">
        <v>54</v>
      </c>
      <c r="F134" s="264" t="s">
        <v>13222</v>
      </c>
      <c r="G134" s="264" t="s">
        <v>13223</v>
      </c>
      <c r="H134" s="322" t="s">
        <v>13206</v>
      </c>
      <c r="I134" s="323" t="s">
        <v>2400</v>
      </c>
      <c r="J134" s="264" t="s">
        <v>13224</v>
      </c>
      <c r="K134" s="322" t="s">
        <v>13225</v>
      </c>
      <c r="L134" s="322" t="s">
        <v>12139</v>
      </c>
      <c r="M134" s="264" t="s">
        <v>41</v>
      </c>
      <c r="N134" s="324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/>
      <c r="AB134" s="101"/>
      <c r="AC134" s="101"/>
      <c r="AD134" s="101"/>
      <c r="AE134" s="101"/>
    </row>
    <row r="135" spans="1:31" ht="14.4">
      <c r="A135" s="264" t="s">
        <v>45</v>
      </c>
      <c r="B135" s="264" t="s">
        <v>11892</v>
      </c>
      <c r="C135" s="264" t="s">
        <v>220</v>
      </c>
      <c r="D135" s="274" t="s">
        <v>234</v>
      </c>
      <c r="E135" s="264" t="s">
        <v>54</v>
      </c>
      <c r="F135" s="264" t="s">
        <v>13229</v>
      </c>
      <c r="G135" s="264"/>
      <c r="H135" s="264" t="s">
        <v>13230</v>
      </c>
      <c r="I135" s="322" t="s">
        <v>2400</v>
      </c>
      <c r="J135" s="264" t="s">
        <v>13231</v>
      </c>
      <c r="K135" s="309" t="s">
        <v>13232</v>
      </c>
      <c r="L135" s="264" t="s">
        <v>13230</v>
      </c>
      <c r="M135" s="264" t="s">
        <v>41</v>
      </c>
      <c r="N135" s="324" t="s">
        <v>13137</v>
      </c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  <c r="AA135" s="101"/>
      <c r="AB135" s="101"/>
      <c r="AC135" s="101"/>
      <c r="AD135" s="101"/>
      <c r="AE135" s="101"/>
    </row>
    <row r="136" spans="1:31" ht="14.4">
      <c r="A136" s="264" t="s">
        <v>45</v>
      </c>
      <c r="B136" s="264" t="s">
        <v>11892</v>
      </c>
      <c r="C136" s="264" t="s">
        <v>220</v>
      </c>
      <c r="D136" s="274" t="s">
        <v>234</v>
      </c>
      <c r="E136" s="264" t="s">
        <v>54</v>
      </c>
      <c r="F136" s="264" t="s">
        <v>13237</v>
      </c>
      <c r="G136" s="264"/>
      <c r="H136" s="264" t="s">
        <v>13238</v>
      </c>
      <c r="I136" s="322" t="s">
        <v>2400</v>
      </c>
      <c r="J136" s="264" t="s">
        <v>13239</v>
      </c>
      <c r="K136" s="309" t="s">
        <v>13241</v>
      </c>
      <c r="L136" s="264" t="s">
        <v>13238</v>
      </c>
      <c r="M136" s="264" t="s">
        <v>41</v>
      </c>
      <c r="N136" s="27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  <c r="AA136" s="101"/>
      <c r="AB136" s="101"/>
      <c r="AC136" s="101"/>
      <c r="AD136" s="101"/>
      <c r="AE136" s="101"/>
    </row>
    <row r="137" spans="1:31" ht="14.4">
      <c r="A137" s="264" t="s">
        <v>45</v>
      </c>
      <c r="B137" s="264" t="s">
        <v>11892</v>
      </c>
      <c r="C137" s="264" t="s">
        <v>220</v>
      </c>
      <c r="D137" s="274" t="s">
        <v>234</v>
      </c>
      <c r="E137" s="264" t="s">
        <v>54</v>
      </c>
      <c r="F137" s="264" t="s">
        <v>13245</v>
      </c>
      <c r="G137" s="264"/>
      <c r="H137" s="264" t="s">
        <v>13246</v>
      </c>
      <c r="I137" s="322" t="s">
        <v>4190</v>
      </c>
      <c r="J137" s="264" t="s">
        <v>13247</v>
      </c>
      <c r="K137" s="309" t="s">
        <v>13248</v>
      </c>
      <c r="L137" s="264" t="s">
        <v>13246</v>
      </c>
      <c r="M137" s="264" t="s">
        <v>41</v>
      </c>
      <c r="N137" s="271" t="s">
        <v>13137</v>
      </c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  <c r="AA137" s="101"/>
      <c r="AB137" s="101"/>
      <c r="AC137" s="101"/>
      <c r="AD137" s="101"/>
      <c r="AE137" s="101"/>
    </row>
    <row r="138" spans="1:31" ht="14.4">
      <c r="A138" s="264" t="s">
        <v>45</v>
      </c>
      <c r="B138" s="264" t="s">
        <v>11892</v>
      </c>
      <c r="C138" s="264" t="s">
        <v>220</v>
      </c>
      <c r="D138" s="274" t="s">
        <v>234</v>
      </c>
      <c r="E138" s="264" t="s">
        <v>54</v>
      </c>
      <c r="F138" s="264" t="s">
        <v>13252</v>
      </c>
      <c r="G138" s="264"/>
      <c r="H138" s="264" t="s">
        <v>12098</v>
      </c>
      <c r="I138" s="319" t="s">
        <v>6886</v>
      </c>
      <c r="J138" s="264" t="s">
        <v>13253</v>
      </c>
      <c r="K138" s="264" t="s">
        <v>12098</v>
      </c>
      <c r="L138" s="264" t="s">
        <v>12098</v>
      </c>
      <c r="M138" s="264" t="s">
        <v>41</v>
      </c>
      <c r="N138" s="27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  <c r="AA138" s="101"/>
      <c r="AB138" s="101"/>
      <c r="AC138" s="101"/>
      <c r="AD138" s="101"/>
      <c r="AE138" s="101"/>
    </row>
    <row r="139" spans="1:31" ht="14.4">
      <c r="A139" s="264" t="s">
        <v>45</v>
      </c>
      <c r="B139" s="264" t="s">
        <v>11892</v>
      </c>
      <c r="C139" s="264" t="s">
        <v>220</v>
      </c>
      <c r="D139" s="274" t="s">
        <v>234</v>
      </c>
      <c r="E139" s="264" t="s">
        <v>54</v>
      </c>
      <c r="F139" s="264" t="s">
        <v>13257</v>
      </c>
      <c r="G139" s="264"/>
      <c r="H139" s="264" t="s">
        <v>11896</v>
      </c>
      <c r="I139" s="319" t="s">
        <v>12687</v>
      </c>
      <c r="J139" s="264" t="s">
        <v>13258</v>
      </c>
      <c r="K139" s="264" t="s">
        <v>11896</v>
      </c>
      <c r="L139" s="264" t="s">
        <v>13259</v>
      </c>
      <c r="M139" s="264" t="s">
        <v>41</v>
      </c>
      <c r="N139" s="27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  <c r="AA139" s="101"/>
      <c r="AB139" s="101"/>
      <c r="AC139" s="101"/>
      <c r="AD139" s="101"/>
      <c r="AE139" s="101"/>
    </row>
    <row r="140" spans="1:31" ht="14.4">
      <c r="A140" s="264" t="s">
        <v>45</v>
      </c>
      <c r="B140" s="264" t="s">
        <v>49</v>
      </c>
      <c r="C140" s="264" t="s">
        <v>79</v>
      </c>
      <c r="D140" s="274" t="s">
        <v>80</v>
      </c>
      <c r="E140" s="264" t="s">
        <v>54</v>
      </c>
      <c r="F140" s="264" t="s">
        <v>13262</v>
      </c>
      <c r="G140" s="264"/>
      <c r="H140" s="264" t="s">
        <v>13263</v>
      </c>
      <c r="I140" s="264" t="s">
        <v>11909</v>
      </c>
      <c r="J140" s="264" t="s">
        <v>3692</v>
      </c>
      <c r="K140" s="264" t="s">
        <v>13263</v>
      </c>
      <c r="L140" s="264" t="s">
        <v>12615</v>
      </c>
      <c r="M140" s="264" t="s">
        <v>41</v>
      </c>
      <c r="N140" s="27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  <c r="AA140" s="101"/>
      <c r="AB140" s="101"/>
      <c r="AC140" s="101"/>
      <c r="AD140" s="101"/>
      <c r="AE140" s="101"/>
    </row>
    <row r="141" spans="1:31" ht="14.4">
      <c r="A141" s="264" t="s">
        <v>45</v>
      </c>
      <c r="B141" s="264" t="s">
        <v>49</v>
      </c>
      <c r="C141" s="264" t="s">
        <v>79</v>
      </c>
      <c r="D141" s="325" t="s">
        <v>80</v>
      </c>
      <c r="E141" s="264" t="s">
        <v>54</v>
      </c>
      <c r="F141" s="264" t="s">
        <v>13274</v>
      </c>
      <c r="G141" s="264"/>
      <c r="H141" s="264" t="s">
        <v>13263</v>
      </c>
      <c r="I141" s="264" t="s">
        <v>11909</v>
      </c>
      <c r="J141" s="264" t="s">
        <v>13275</v>
      </c>
      <c r="K141" s="264" t="s">
        <v>13263</v>
      </c>
      <c r="L141" s="264" t="s">
        <v>12615</v>
      </c>
      <c r="M141" s="264" t="s">
        <v>41</v>
      </c>
      <c r="N141" s="27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</row>
    <row r="142" spans="1:31" ht="14.4">
      <c r="A142" s="264" t="s">
        <v>45</v>
      </c>
      <c r="B142" s="264" t="s">
        <v>11834</v>
      </c>
      <c r="C142" s="264" t="s">
        <v>79</v>
      </c>
      <c r="D142" s="325" t="s">
        <v>80</v>
      </c>
      <c r="E142" s="264" t="s">
        <v>54</v>
      </c>
      <c r="F142" s="264" t="s">
        <v>13280</v>
      </c>
      <c r="G142" s="264" t="s">
        <v>13281</v>
      </c>
      <c r="H142" s="264" t="s">
        <v>13282</v>
      </c>
      <c r="I142" s="264" t="s">
        <v>521</v>
      </c>
      <c r="J142" s="264" t="s">
        <v>13283</v>
      </c>
      <c r="K142" s="264" t="s">
        <v>13282</v>
      </c>
      <c r="L142" s="264" t="s">
        <v>13284</v>
      </c>
      <c r="M142" s="264" t="s">
        <v>41</v>
      </c>
      <c r="N142" s="27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</row>
    <row r="143" spans="1:31" ht="14.4">
      <c r="A143" s="264" t="s">
        <v>45</v>
      </c>
      <c r="B143" s="264" t="s">
        <v>11849</v>
      </c>
      <c r="C143" s="264" t="s">
        <v>79</v>
      </c>
      <c r="D143" s="325" t="s">
        <v>80</v>
      </c>
      <c r="E143" s="264" t="s">
        <v>54</v>
      </c>
      <c r="F143" s="264" t="s">
        <v>13288</v>
      </c>
      <c r="G143" s="264" t="s">
        <v>13289</v>
      </c>
      <c r="H143" s="264" t="s">
        <v>13290</v>
      </c>
      <c r="I143" s="264" t="s">
        <v>13291</v>
      </c>
      <c r="J143" s="264" t="s">
        <v>13292</v>
      </c>
      <c r="K143" s="264" t="s">
        <v>13290</v>
      </c>
      <c r="L143" s="264" t="s">
        <v>13293</v>
      </c>
      <c r="M143" s="264" t="s">
        <v>2660</v>
      </c>
      <c r="N143" s="27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  <c r="AA143" s="101"/>
      <c r="AB143" s="101"/>
      <c r="AC143" s="101"/>
      <c r="AD143" s="101"/>
      <c r="AE143" s="101"/>
    </row>
    <row r="144" spans="1:31" ht="14.4">
      <c r="A144" s="264" t="s">
        <v>45</v>
      </c>
      <c r="B144" s="264" t="s">
        <v>11849</v>
      </c>
      <c r="C144" s="264" t="s">
        <v>79</v>
      </c>
      <c r="D144" s="325" t="s">
        <v>80</v>
      </c>
      <c r="E144" s="264" t="s">
        <v>54</v>
      </c>
      <c r="F144" s="264" t="s">
        <v>13297</v>
      </c>
      <c r="G144" s="264" t="s">
        <v>13298</v>
      </c>
      <c r="H144" s="264" t="s">
        <v>13290</v>
      </c>
      <c r="I144" s="264" t="s">
        <v>13291</v>
      </c>
      <c r="J144" s="264" t="s">
        <v>13299</v>
      </c>
      <c r="K144" s="264" t="s">
        <v>13290</v>
      </c>
      <c r="L144" s="264" t="s">
        <v>13293</v>
      </c>
      <c r="M144" s="264" t="s">
        <v>2660</v>
      </c>
      <c r="N144" s="27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  <c r="AA144" s="101"/>
      <c r="AB144" s="101"/>
      <c r="AC144" s="101"/>
      <c r="AD144" s="101"/>
      <c r="AE144" s="101"/>
    </row>
    <row r="145" spans="1:31" ht="14.4">
      <c r="A145" s="264" t="s">
        <v>45</v>
      </c>
      <c r="B145" s="264" t="s">
        <v>11892</v>
      </c>
      <c r="C145" s="264" t="s">
        <v>79</v>
      </c>
      <c r="D145" s="325" t="s">
        <v>80</v>
      </c>
      <c r="E145" s="264" t="s">
        <v>54</v>
      </c>
      <c r="F145" s="264" t="s">
        <v>13304</v>
      </c>
      <c r="G145" s="264"/>
      <c r="H145" s="264" t="s">
        <v>13305</v>
      </c>
      <c r="I145" s="264" t="s">
        <v>13306</v>
      </c>
      <c r="J145" s="264"/>
      <c r="K145" s="264" t="s">
        <v>13305</v>
      </c>
      <c r="L145" s="264" t="s">
        <v>12139</v>
      </c>
      <c r="M145" s="264" t="s">
        <v>41</v>
      </c>
      <c r="N145" s="27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  <c r="AA145" s="101"/>
      <c r="AB145" s="101"/>
      <c r="AC145" s="101"/>
      <c r="AD145" s="101"/>
      <c r="AE145" s="101"/>
    </row>
    <row r="146" spans="1:31" ht="14.4">
      <c r="A146" s="264" t="s">
        <v>45</v>
      </c>
      <c r="B146" s="264" t="s">
        <v>11892</v>
      </c>
      <c r="C146" s="264" t="s">
        <v>296</v>
      </c>
      <c r="D146" s="264" t="s">
        <v>954</v>
      </c>
      <c r="E146" s="264" t="s">
        <v>54</v>
      </c>
      <c r="F146" s="264" t="s">
        <v>13309</v>
      </c>
      <c r="G146" s="264"/>
      <c r="H146" s="264" t="s">
        <v>13099</v>
      </c>
      <c r="I146" s="264" t="s">
        <v>3243</v>
      </c>
      <c r="J146" s="264" t="s">
        <v>12605</v>
      </c>
      <c r="K146" s="264" t="s">
        <v>13099</v>
      </c>
      <c r="L146" s="264" t="s">
        <v>12139</v>
      </c>
      <c r="M146" s="264"/>
      <c r="N146" s="27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  <c r="AA146" s="101"/>
      <c r="AB146" s="101"/>
      <c r="AC146" s="101"/>
      <c r="AD146" s="101"/>
      <c r="AE146" s="101"/>
    </row>
    <row r="147" spans="1:31" ht="14.4">
      <c r="A147" s="264" t="s">
        <v>45</v>
      </c>
      <c r="B147" s="264" t="s">
        <v>11834</v>
      </c>
      <c r="C147" s="264" t="s">
        <v>51</v>
      </c>
      <c r="D147" s="274" t="s">
        <v>52</v>
      </c>
      <c r="E147" s="264" t="s">
        <v>54</v>
      </c>
      <c r="F147" s="264" t="s">
        <v>13313</v>
      </c>
      <c r="G147" s="264" t="s">
        <v>13315</v>
      </c>
      <c r="H147" s="264" t="s">
        <v>13282</v>
      </c>
      <c r="I147" s="264" t="s">
        <v>521</v>
      </c>
      <c r="J147" s="264" t="s">
        <v>13283</v>
      </c>
      <c r="K147" s="264" t="s">
        <v>13282</v>
      </c>
      <c r="L147" s="264" t="s">
        <v>13318</v>
      </c>
      <c r="M147" s="264" t="s">
        <v>41</v>
      </c>
      <c r="N147" s="27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  <c r="AA147" s="101"/>
      <c r="AB147" s="101"/>
      <c r="AC147" s="101"/>
      <c r="AD147" s="101"/>
      <c r="AE147" s="101"/>
    </row>
    <row r="148" spans="1:31" ht="14.4">
      <c r="A148" s="264" t="s">
        <v>45</v>
      </c>
      <c r="B148" s="264" t="s">
        <v>11849</v>
      </c>
      <c r="C148" s="264" t="s">
        <v>51</v>
      </c>
      <c r="D148" s="274" t="s">
        <v>52</v>
      </c>
      <c r="E148" s="264" t="s">
        <v>54</v>
      </c>
      <c r="F148" s="264" t="s">
        <v>13320</v>
      </c>
      <c r="G148" s="264" t="s">
        <v>13322</v>
      </c>
      <c r="H148" s="264" t="s">
        <v>12773</v>
      </c>
      <c r="I148" s="264" t="s">
        <v>8224</v>
      </c>
      <c r="J148" s="264" t="s">
        <v>13325</v>
      </c>
      <c r="K148" s="264" t="s">
        <v>13290</v>
      </c>
      <c r="L148" s="264" t="s">
        <v>13293</v>
      </c>
      <c r="M148" s="264" t="s">
        <v>2660</v>
      </c>
      <c r="N148" s="27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  <c r="AA148" s="101"/>
      <c r="AB148" s="101"/>
      <c r="AC148" s="101"/>
      <c r="AD148" s="101"/>
      <c r="AE148" s="101"/>
    </row>
    <row r="149" spans="1:31" ht="14.4">
      <c r="A149" s="264" t="s">
        <v>45</v>
      </c>
      <c r="B149" s="264" t="s">
        <v>11892</v>
      </c>
      <c r="C149" s="264" t="s">
        <v>51</v>
      </c>
      <c r="D149" s="274" t="s">
        <v>52</v>
      </c>
      <c r="E149" s="264" t="s">
        <v>54</v>
      </c>
      <c r="F149" s="264" t="s">
        <v>13326</v>
      </c>
      <c r="G149" s="264"/>
      <c r="H149" s="264" t="s">
        <v>13305</v>
      </c>
      <c r="I149" s="264" t="s">
        <v>13306</v>
      </c>
      <c r="J149" s="264" t="s">
        <v>13328</v>
      </c>
      <c r="K149" s="264" t="s">
        <v>13305</v>
      </c>
      <c r="L149" s="264" t="s">
        <v>12139</v>
      </c>
      <c r="M149" s="264" t="s">
        <v>41</v>
      </c>
      <c r="N149" s="27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  <c r="AA149" s="101"/>
      <c r="AB149" s="101"/>
      <c r="AC149" s="101"/>
      <c r="AD149" s="101"/>
      <c r="AE149" s="101"/>
    </row>
    <row r="150" spans="1:31" ht="14.4">
      <c r="A150" s="264" t="s">
        <v>45</v>
      </c>
      <c r="B150" s="264" t="s">
        <v>11834</v>
      </c>
      <c r="C150" s="264" t="s">
        <v>70</v>
      </c>
      <c r="D150" s="274" t="s">
        <v>71</v>
      </c>
      <c r="E150" s="264" t="s">
        <v>54</v>
      </c>
      <c r="F150" s="264" t="s">
        <v>13313</v>
      </c>
      <c r="G150" s="264" t="s">
        <v>13332</v>
      </c>
      <c r="H150" s="264" t="s">
        <v>13282</v>
      </c>
      <c r="I150" s="264" t="s">
        <v>521</v>
      </c>
      <c r="J150" s="264" t="s">
        <v>13283</v>
      </c>
      <c r="K150" s="264" t="s">
        <v>13282</v>
      </c>
      <c r="L150" s="264" t="s">
        <v>13334</v>
      </c>
      <c r="M150" s="264" t="s">
        <v>41</v>
      </c>
      <c r="N150" s="27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  <c r="AA150" s="101"/>
      <c r="AB150" s="101"/>
      <c r="AC150" s="101"/>
      <c r="AD150" s="101"/>
      <c r="AE150" s="101"/>
    </row>
    <row r="151" spans="1:31" ht="14.4">
      <c r="A151" s="264" t="s">
        <v>45</v>
      </c>
      <c r="B151" s="264" t="s">
        <v>11849</v>
      </c>
      <c r="C151" s="264" t="s">
        <v>70</v>
      </c>
      <c r="D151" s="274" t="s">
        <v>71</v>
      </c>
      <c r="E151" s="264" t="s">
        <v>54</v>
      </c>
      <c r="F151" s="264" t="s">
        <v>13320</v>
      </c>
      <c r="G151" s="264" t="s">
        <v>13335</v>
      </c>
      <c r="H151" s="264" t="s">
        <v>12773</v>
      </c>
      <c r="I151" s="264" t="s">
        <v>8224</v>
      </c>
      <c r="J151" s="264" t="s">
        <v>13325</v>
      </c>
      <c r="K151" s="264" t="s">
        <v>13290</v>
      </c>
      <c r="L151" s="264" t="s">
        <v>13293</v>
      </c>
      <c r="M151" s="264" t="s">
        <v>2660</v>
      </c>
      <c r="N151" s="27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  <c r="AA151" s="101"/>
      <c r="AB151" s="101"/>
      <c r="AC151" s="101"/>
      <c r="AD151" s="101"/>
      <c r="AE151" s="101"/>
    </row>
    <row r="152" spans="1:31" ht="14.4">
      <c r="A152" s="264" t="s">
        <v>45</v>
      </c>
      <c r="B152" s="264" t="s">
        <v>11892</v>
      </c>
      <c r="C152" s="264" t="s">
        <v>70</v>
      </c>
      <c r="D152" s="274" t="s">
        <v>71</v>
      </c>
      <c r="E152" s="264" t="s">
        <v>54</v>
      </c>
      <c r="F152" s="264" t="s">
        <v>13326</v>
      </c>
      <c r="G152" s="264"/>
      <c r="H152" s="264" t="s">
        <v>13305</v>
      </c>
      <c r="I152" s="264" t="s">
        <v>13306</v>
      </c>
      <c r="J152" s="264" t="s">
        <v>13337</v>
      </c>
      <c r="K152" s="264" t="s">
        <v>13305</v>
      </c>
      <c r="L152" s="264" t="s">
        <v>12139</v>
      </c>
      <c r="M152" s="264" t="s">
        <v>41</v>
      </c>
      <c r="N152" s="27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  <c r="AA152" s="101"/>
      <c r="AB152" s="101"/>
      <c r="AC152" s="101"/>
      <c r="AD152" s="101"/>
      <c r="AE152" s="101"/>
    </row>
    <row r="153" spans="1:31" ht="14.4">
      <c r="A153" s="254" t="s">
        <v>45</v>
      </c>
      <c r="B153" s="254" t="s">
        <v>11834</v>
      </c>
      <c r="C153" s="306" t="s">
        <v>319</v>
      </c>
      <c r="D153" s="306" t="s">
        <v>796</v>
      </c>
      <c r="E153" s="254" t="s">
        <v>54</v>
      </c>
      <c r="F153" s="326" t="s">
        <v>13342</v>
      </c>
      <c r="G153" s="254"/>
      <c r="H153" s="254" t="s">
        <v>11950</v>
      </c>
      <c r="I153" s="254" t="s">
        <v>11951</v>
      </c>
      <c r="J153" s="254" t="s">
        <v>13346</v>
      </c>
      <c r="K153" s="254" t="s">
        <v>13347</v>
      </c>
      <c r="L153" s="254" t="s">
        <v>13348</v>
      </c>
      <c r="M153" s="254" t="s">
        <v>2660</v>
      </c>
      <c r="N153" s="254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  <c r="AA153" s="101"/>
      <c r="AB153" s="101"/>
      <c r="AC153" s="101"/>
      <c r="AD153" s="101"/>
      <c r="AE153" s="101"/>
    </row>
    <row r="154" spans="1:31" ht="14.4">
      <c r="A154" s="254" t="s">
        <v>45</v>
      </c>
      <c r="B154" s="254" t="s">
        <v>11834</v>
      </c>
      <c r="C154" s="306" t="s">
        <v>319</v>
      </c>
      <c r="D154" s="306" t="s">
        <v>796</v>
      </c>
      <c r="E154" s="254" t="s">
        <v>54</v>
      </c>
      <c r="F154" s="254" t="s">
        <v>13352</v>
      </c>
      <c r="G154" s="254"/>
      <c r="H154" s="254" t="s">
        <v>11950</v>
      </c>
      <c r="I154" s="254" t="s">
        <v>11951</v>
      </c>
      <c r="J154" s="254" t="s">
        <v>13346</v>
      </c>
      <c r="K154" s="254" t="s">
        <v>13354</v>
      </c>
      <c r="L154" s="254" t="s">
        <v>13348</v>
      </c>
      <c r="M154" s="254" t="s">
        <v>2660</v>
      </c>
      <c r="N154" s="254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  <c r="AA154" s="101"/>
      <c r="AB154" s="101"/>
      <c r="AC154" s="101"/>
      <c r="AD154" s="101"/>
      <c r="AE154" s="101"/>
    </row>
    <row r="155" spans="1:31" ht="14.4">
      <c r="A155" s="254" t="s">
        <v>45</v>
      </c>
      <c r="B155" s="254" t="s">
        <v>11834</v>
      </c>
      <c r="C155" s="306" t="s">
        <v>319</v>
      </c>
      <c r="D155" s="306" t="s">
        <v>796</v>
      </c>
      <c r="E155" s="254" t="s">
        <v>54</v>
      </c>
      <c r="F155" s="254" t="s">
        <v>13357</v>
      </c>
      <c r="G155" s="254"/>
      <c r="H155" s="254" t="s">
        <v>11950</v>
      </c>
      <c r="I155" s="254" t="s">
        <v>11951</v>
      </c>
      <c r="J155" s="254" t="s">
        <v>13346</v>
      </c>
      <c r="K155" s="254" t="s">
        <v>13359</v>
      </c>
      <c r="L155" s="254" t="s">
        <v>13348</v>
      </c>
      <c r="M155" s="254" t="s">
        <v>2660</v>
      </c>
      <c r="N155" s="254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  <c r="AA155" s="101"/>
      <c r="AB155" s="101"/>
      <c r="AC155" s="101"/>
      <c r="AD155" s="101"/>
      <c r="AE155" s="101"/>
    </row>
    <row r="156" spans="1:31" ht="14.4">
      <c r="A156" s="265" t="s">
        <v>45</v>
      </c>
      <c r="B156" s="265" t="s">
        <v>49</v>
      </c>
      <c r="C156" s="306" t="s">
        <v>319</v>
      </c>
      <c r="D156" s="306" t="s">
        <v>796</v>
      </c>
      <c r="E156" s="254" t="s">
        <v>54</v>
      </c>
      <c r="F156" s="254" t="s">
        <v>13362</v>
      </c>
      <c r="G156" s="254"/>
      <c r="H156" s="254" t="s">
        <v>11950</v>
      </c>
      <c r="I156" s="254" t="s">
        <v>11951</v>
      </c>
      <c r="J156" s="254" t="s">
        <v>13363</v>
      </c>
      <c r="K156" s="254" t="s">
        <v>13359</v>
      </c>
      <c r="L156" s="254" t="s">
        <v>13348</v>
      </c>
      <c r="M156" s="254" t="s">
        <v>2660</v>
      </c>
      <c r="N156" s="254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1"/>
      <c r="AE156" s="101"/>
    </row>
    <row r="157" spans="1:31" ht="14.4">
      <c r="A157" s="264" t="s">
        <v>45</v>
      </c>
      <c r="B157" s="264" t="s">
        <v>49</v>
      </c>
      <c r="C157" s="306" t="s">
        <v>319</v>
      </c>
      <c r="D157" s="306" t="s">
        <v>796</v>
      </c>
      <c r="E157" s="254" t="s">
        <v>54</v>
      </c>
      <c r="F157" s="254" t="s">
        <v>13365</v>
      </c>
      <c r="G157" s="254"/>
      <c r="H157" s="254" t="s">
        <v>11950</v>
      </c>
      <c r="I157" s="254" t="s">
        <v>11951</v>
      </c>
      <c r="J157" s="254" t="s">
        <v>13367</v>
      </c>
      <c r="K157" s="254" t="s">
        <v>13359</v>
      </c>
      <c r="L157" s="254" t="s">
        <v>13348</v>
      </c>
      <c r="M157" s="254" t="s">
        <v>2660</v>
      </c>
      <c r="N157" s="254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  <c r="AA157" s="101"/>
      <c r="AB157" s="101"/>
      <c r="AC157" s="101"/>
      <c r="AD157" s="101"/>
      <c r="AE157" s="101"/>
    </row>
    <row r="158" spans="1:31" ht="14.4">
      <c r="A158" s="264" t="s">
        <v>45</v>
      </c>
      <c r="B158" s="264" t="s">
        <v>49</v>
      </c>
      <c r="C158" s="306" t="s">
        <v>319</v>
      </c>
      <c r="D158" s="306" t="s">
        <v>796</v>
      </c>
      <c r="E158" s="254" t="s">
        <v>54</v>
      </c>
      <c r="F158" s="254" t="s">
        <v>13371</v>
      </c>
      <c r="G158" s="254" t="s">
        <v>13372</v>
      </c>
      <c r="H158" s="254" t="s">
        <v>11950</v>
      </c>
      <c r="I158" s="254" t="s">
        <v>11951</v>
      </c>
      <c r="J158" s="254" t="s">
        <v>13346</v>
      </c>
      <c r="K158" s="254" t="s">
        <v>13347</v>
      </c>
      <c r="L158" s="254" t="s">
        <v>13348</v>
      </c>
      <c r="M158" s="254" t="s">
        <v>2660</v>
      </c>
      <c r="N158" s="254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  <c r="AA158" s="101"/>
      <c r="AB158" s="101"/>
      <c r="AC158" s="101"/>
      <c r="AD158" s="101"/>
      <c r="AE158" s="101"/>
    </row>
    <row r="159" spans="1:31" ht="14.4">
      <c r="A159" s="264" t="s">
        <v>45</v>
      </c>
      <c r="B159" s="264" t="s">
        <v>49</v>
      </c>
      <c r="C159" s="306" t="s">
        <v>319</v>
      </c>
      <c r="D159" s="306" t="s">
        <v>796</v>
      </c>
      <c r="E159" s="254" t="s">
        <v>54</v>
      </c>
      <c r="F159" s="254" t="s">
        <v>13375</v>
      </c>
      <c r="G159" s="254" t="s">
        <v>13372</v>
      </c>
      <c r="H159" s="254" t="s">
        <v>11950</v>
      </c>
      <c r="I159" s="254" t="s">
        <v>11951</v>
      </c>
      <c r="J159" s="254" t="s">
        <v>13346</v>
      </c>
      <c r="K159" s="254" t="s">
        <v>13354</v>
      </c>
      <c r="L159" s="254" t="s">
        <v>13348</v>
      </c>
      <c r="M159" s="254" t="s">
        <v>2660</v>
      </c>
      <c r="N159" s="254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  <c r="AA159" s="101"/>
      <c r="AB159" s="101"/>
      <c r="AC159" s="101"/>
      <c r="AD159" s="101"/>
      <c r="AE159" s="101"/>
    </row>
    <row r="160" spans="1:31" ht="14.4">
      <c r="A160" s="264" t="s">
        <v>45</v>
      </c>
      <c r="B160" s="264" t="s">
        <v>49</v>
      </c>
      <c r="C160" s="306" t="s">
        <v>319</v>
      </c>
      <c r="D160" s="306" t="s">
        <v>796</v>
      </c>
      <c r="E160" s="254" t="s">
        <v>54</v>
      </c>
      <c r="F160" s="254" t="s">
        <v>13378</v>
      </c>
      <c r="G160" s="254" t="s">
        <v>3315</v>
      </c>
      <c r="H160" s="254" t="s">
        <v>11950</v>
      </c>
      <c r="I160" s="254" t="s">
        <v>11951</v>
      </c>
      <c r="J160" s="254" t="s">
        <v>13346</v>
      </c>
      <c r="K160" s="254" t="s">
        <v>13359</v>
      </c>
      <c r="L160" s="254" t="s">
        <v>13348</v>
      </c>
      <c r="M160" s="254" t="s">
        <v>2660</v>
      </c>
      <c r="N160" s="254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  <c r="AA160" s="101"/>
      <c r="AB160" s="101"/>
      <c r="AC160" s="101"/>
      <c r="AD160" s="101"/>
      <c r="AE160" s="101"/>
    </row>
    <row r="161" spans="1:31" ht="14.4">
      <c r="A161" s="264" t="s">
        <v>45</v>
      </c>
      <c r="B161" s="264" t="s">
        <v>49</v>
      </c>
      <c r="C161" s="306" t="s">
        <v>319</v>
      </c>
      <c r="D161" s="306" t="s">
        <v>796</v>
      </c>
      <c r="E161" s="254" t="s">
        <v>54</v>
      </c>
      <c r="F161" s="254" t="s">
        <v>13380</v>
      </c>
      <c r="G161" s="254"/>
      <c r="H161" s="254" t="s">
        <v>11950</v>
      </c>
      <c r="I161" s="254" t="s">
        <v>11951</v>
      </c>
      <c r="J161" s="254" t="s">
        <v>13363</v>
      </c>
      <c r="K161" s="254" t="s">
        <v>13359</v>
      </c>
      <c r="L161" s="254" t="s">
        <v>13348</v>
      </c>
      <c r="M161" s="254" t="s">
        <v>2660</v>
      </c>
      <c r="N161" s="254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  <c r="AA161" s="101"/>
      <c r="AB161" s="101"/>
      <c r="AC161" s="101"/>
      <c r="AD161" s="101"/>
      <c r="AE161" s="101"/>
    </row>
    <row r="162" spans="1:31" ht="14.4">
      <c r="A162" s="264" t="s">
        <v>45</v>
      </c>
      <c r="B162" s="264" t="s">
        <v>49</v>
      </c>
      <c r="C162" s="306" t="s">
        <v>319</v>
      </c>
      <c r="D162" s="306" t="s">
        <v>796</v>
      </c>
      <c r="E162" s="254" t="s">
        <v>54</v>
      </c>
      <c r="F162" s="254" t="s">
        <v>13385</v>
      </c>
      <c r="G162" s="254"/>
      <c r="H162" s="254" t="s">
        <v>11950</v>
      </c>
      <c r="I162" s="254" t="s">
        <v>11951</v>
      </c>
      <c r="J162" s="254" t="s">
        <v>13367</v>
      </c>
      <c r="K162" s="254" t="s">
        <v>13359</v>
      </c>
      <c r="L162" s="254" t="s">
        <v>13348</v>
      </c>
      <c r="M162" s="254" t="s">
        <v>2660</v>
      </c>
      <c r="N162" s="254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  <c r="AA162" s="101"/>
      <c r="AB162" s="101"/>
      <c r="AC162" s="101"/>
      <c r="AD162" s="101"/>
      <c r="AE162" s="101"/>
    </row>
    <row r="163" spans="1:31" ht="14.4">
      <c r="A163" s="264" t="s">
        <v>45</v>
      </c>
      <c r="B163" s="264" t="s">
        <v>49</v>
      </c>
      <c r="C163" s="306" t="s">
        <v>319</v>
      </c>
      <c r="D163" s="306" t="s">
        <v>796</v>
      </c>
      <c r="E163" s="254" t="s">
        <v>54</v>
      </c>
      <c r="F163" s="254" t="s">
        <v>13390</v>
      </c>
      <c r="G163" s="254"/>
      <c r="H163" s="254" t="s">
        <v>11950</v>
      </c>
      <c r="I163" s="254" t="s">
        <v>11951</v>
      </c>
      <c r="J163" s="254" t="s">
        <v>13391</v>
      </c>
      <c r="K163" s="254" t="s">
        <v>13359</v>
      </c>
      <c r="L163" s="254" t="s">
        <v>13348</v>
      </c>
      <c r="M163" s="254" t="s">
        <v>2660</v>
      </c>
      <c r="N163" s="254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  <c r="AA163" s="101"/>
      <c r="AB163" s="101"/>
      <c r="AC163" s="101"/>
      <c r="AD163" s="101"/>
      <c r="AE163" s="101"/>
    </row>
    <row r="164" spans="1:31" ht="14.4">
      <c r="A164" s="264" t="s">
        <v>45</v>
      </c>
      <c r="B164" s="264" t="s">
        <v>49</v>
      </c>
      <c r="C164" s="306" t="s">
        <v>319</v>
      </c>
      <c r="D164" s="306" t="s">
        <v>796</v>
      </c>
      <c r="E164" s="254" t="s">
        <v>54</v>
      </c>
      <c r="F164" s="254" t="s">
        <v>13396</v>
      </c>
      <c r="G164" s="254"/>
      <c r="H164" s="254" t="s">
        <v>11950</v>
      </c>
      <c r="I164" s="254" t="s">
        <v>11951</v>
      </c>
      <c r="J164" s="254" t="s">
        <v>13397</v>
      </c>
      <c r="K164" s="254" t="s">
        <v>13359</v>
      </c>
      <c r="L164" s="254" t="s">
        <v>13348</v>
      </c>
      <c r="M164" s="254" t="s">
        <v>2660</v>
      </c>
      <c r="N164" s="254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</row>
    <row r="165" spans="1:31" ht="14.4">
      <c r="A165" s="264" t="s">
        <v>45</v>
      </c>
      <c r="B165" s="264" t="s">
        <v>49</v>
      </c>
      <c r="C165" s="306" t="s">
        <v>319</v>
      </c>
      <c r="D165" s="306" t="s">
        <v>796</v>
      </c>
      <c r="E165" s="254" t="s">
        <v>54</v>
      </c>
      <c r="F165" s="254" t="s">
        <v>13403</v>
      </c>
      <c r="G165" s="254"/>
      <c r="H165" s="254" t="s">
        <v>11950</v>
      </c>
      <c r="I165" s="254" t="s">
        <v>11951</v>
      </c>
      <c r="J165" s="254" t="s">
        <v>13404</v>
      </c>
      <c r="K165" s="254" t="s">
        <v>13359</v>
      </c>
      <c r="L165" s="254" t="s">
        <v>13348</v>
      </c>
      <c r="M165" s="254" t="s">
        <v>2660</v>
      </c>
      <c r="N165" s="254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</row>
    <row r="166" spans="1:31" ht="14.4">
      <c r="A166" s="264" t="s">
        <v>45</v>
      </c>
      <c r="B166" s="264" t="s">
        <v>49</v>
      </c>
      <c r="C166" s="306" t="s">
        <v>319</v>
      </c>
      <c r="D166" s="306" t="s">
        <v>796</v>
      </c>
      <c r="E166" s="254" t="s">
        <v>54</v>
      </c>
      <c r="F166" s="254" t="s">
        <v>13410</v>
      </c>
      <c r="G166" s="254"/>
      <c r="H166" s="254" t="s">
        <v>11950</v>
      </c>
      <c r="I166" s="254" t="s">
        <v>11951</v>
      </c>
      <c r="J166" s="254" t="s">
        <v>13411</v>
      </c>
      <c r="K166" s="254" t="s">
        <v>13359</v>
      </c>
      <c r="L166" s="254" t="s">
        <v>13348</v>
      </c>
      <c r="M166" s="254" t="s">
        <v>2660</v>
      </c>
      <c r="N166" s="254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  <c r="AA166" s="101"/>
      <c r="AB166" s="101"/>
      <c r="AC166" s="101"/>
      <c r="AD166" s="101"/>
      <c r="AE166" s="101"/>
    </row>
    <row r="167" spans="1:31" ht="14.4">
      <c r="A167" s="264" t="s">
        <v>45</v>
      </c>
      <c r="B167" s="264" t="s">
        <v>49</v>
      </c>
      <c r="C167" s="306" t="s">
        <v>319</v>
      </c>
      <c r="D167" s="306" t="s">
        <v>796</v>
      </c>
      <c r="E167" s="254" t="s">
        <v>54</v>
      </c>
      <c r="F167" s="254" t="s">
        <v>13417</v>
      </c>
      <c r="G167" s="254"/>
      <c r="H167" s="254" t="s">
        <v>11950</v>
      </c>
      <c r="I167" s="254" t="s">
        <v>11951</v>
      </c>
      <c r="J167" s="254" t="s">
        <v>13419</v>
      </c>
      <c r="K167" s="254" t="s">
        <v>13359</v>
      </c>
      <c r="L167" s="254" t="s">
        <v>13348</v>
      </c>
      <c r="M167" s="254" t="s">
        <v>2660</v>
      </c>
      <c r="N167" s="254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  <c r="AA167" s="101"/>
      <c r="AB167" s="101"/>
      <c r="AC167" s="101"/>
      <c r="AD167" s="101"/>
      <c r="AE167" s="101"/>
    </row>
    <row r="168" spans="1:31" ht="14.4">
      <c r="A168" s="264" t="s">
        <v>45</v>
      </c>
      <c r="B168" s="264" t="s">
        <v>49</v>
      </c>
      <c r="C168" s="306" t="s">
        <v>319</v>
      </c>
      <c r="D168" s="306" t="s">
        <v>796</v>
      </c>
      <c r="E168" s="254" t="s">
        <v>54</v>
      </c>
      <c r="F168" s="254" t="s">
        <v>13424</v>
      </c>
      <c r="G168" s="254"/>
      <c r="H168" s="254" t="s">
        <v>11950</v>
      </c>
      <c r="I168" s="254" t="s">
        <v>11951</v>
      </c>
      <c r="J168" s="254" t="s">
        <v>13426</v>
      </c>
      <c r="K168" s="254" t="s">
        <v>13359</v>
      </c>
      <c r="L168" s="254" t="s">
        <v>13348</v>
      </c>
      <c r="M168" s="254" t="s">
        <v>2660</v>
      </c>
      <c r="N168" s="254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  <c r="AA168" s="101"/>
      <c r="AB168" s="101"/>
      <c r="AC168" s="101"/>
      <c r="AD168" s="101"/>
      <c r="AE168" s="101"/>
    </row>
    <row r="169" spans="1:31" ht="14.4">
      <c r="A169" s="264" t="s">
        <v>45</v>
      </c>
      <c r="B169" s="264" t="s">
        <v>49</v>
      </c>
      <c r="C169" s="306" t="s">
        <v>319</v>
      </c>
      <c r="D169" s="306" t="s">
        <v>796</v>
      </c>
      <c r="E169" s="254" t="s">
        <v>54</v>
      </c>
      <c r="F169" s="254" t="s">
        <v>13430</v>
      </c>
      <c r="G169" s="254"/>
      <c r="H169" s="254" t="s">
        <v>11950</v>
      </c>
      <c r="I169" s="254" t="s">
        <v>11951</v>
      </c>
      <c r="J169" s="254" t="s">
        <v>13432</v>
      </c>
      <c r="K169" s="254" t="s">
        <v>13359</v>
      </c>
      <c r="L169" s="254" t="s">
        <v>13348</v>
      </c>
      <c r="M169" s="254" t="s">
        <v>2660</v>
      </c>
      <c r="N169" s="254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  <c r="AA169" s="101"/>
      <c r="AB169" s="101"/>
      <c r="AC169" s="101"/>
      <c r="AD169" s="101"/>
      <c r="AE169" s="101"/>
    </row>
    <row r="170" spans="1:31" ht="14.4">
      <c r="A170" s="264" t="s">
        <v>45</v>
      </c>
      <c r="B170" s="264" t="s">
        <v>49</v>
      </c>
      <c r="C170" s="306" t="s">
        <v>319</v>
      </c>
      <c r="D170" s="306" t="s">
        <v>796</v>
      </c>
      <c r="E170" s="254" t="s">
        <v>54</v>
      </c>
      <c r="F170" s="254" t="s">
        <v>13434</v>
      </c>
      <c r="G170" s="254"/>
      <c r="H170" s="254" t="s">
        <v>11950</v>
      </c>
      <c r="I170" s="254" t="s">
        <v>11951</v>
      </c>
      <c r="J170" s="254" t="s">
        <v>13436</v>
      </c>
      <c r="K170" s="254" t="s">
        <v>13359</v>
      </c>
      <c r="L170" s="254" t="s">
        <v>13348</v>
      </c>
      <c r="M170" s="254" t="s">
        <v>2660</v>
      </c>
      <c r="N170" s="254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  <c r="AE170" s="101"/>
    </row>
    <row r="171" spans="1:31" ht="14.4">
      <c r="A171" s="272" t="s">
        <v>45</v>
      </c>
      <c r="B171" s="272" t="s">
        <v>49</v>
      </c>
      <c r="C171" s="306" t="s">
        <v>319</v>
      </c>
      <c r="D171" s="306" t="s">
        <v>796</v>
      </c>
      <c r="E171" s="254" t="s">
        <v>54</v>
      </c>
      <c r="F171" s="254" t="s">
        <v>13442</v>
      </c>
      <c r="G171" s="254"/>
      <c r="H171" s="254" t="s">
        <v>11950</v>
      </c>
      <c r="I171" s="254" t="s">
        <v>11951</v>
      </c>
      <c r="J171" s="254" t="s">
        <v>13444</v>
      </c>
      <c r="K171" s="254" t="s">
        <v>13359</v>
      </c>
      <c r="L171" s="254" t="s">
        <v>13348</v>
      </c>
      <c r="M171" s="254" t="s">
        <v>2660</v>
      </c>
      <c r="N171" s="254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  <c r="AD171" s="101"/>
      <c r="AE171" s="101"/>
    </row>
    <row r="172" spans="1:31" ht="14.4">
      <c r="A172" s="24" t="s">
        <v>45</v>
      </c>
      <c r="B172" s="60" t="s">
        <v>49</v>
      </c>
      <c r="C172" s="308" t="s">
        <v>20</v>
      </c>
      <c r="D172" s="254" t="s">
        <v>1305</v>
      </c>
      <c r="E172" s="308"/>
      <c r="F172" s="60" t="s">
        <v>13450</v>
      </c>
      <c r="G172" s="60" t="s">
        <v>13451</v>
      </c>
      <c r="H172" s="60" t="s">
        <v>11918</v>
      </c>
      <c r="I172" s="60" t="s">
        <v>916</v>
      </c>
      <c r="J172" s="60" t="s">
        <v>12637</v>
      </c>
      <c r="K172" s="60" t="s">
        <v>11918</v>
      </c>
      <c r="L172" s="60" t="s">
        <v>11923</v>
      </c>
      <c r="M172" s="308" t="s">
        <v>2660</v>
      </c>
      <c r="N172" s="60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  <c r="AD172" s="101"/>
      <c r="AE172" s="101"/>
    </row>
    <row r="173" spans="1:31" ht="14.4">
      <c r="A173" s="28" t="s">
        <v>45</v>
      </c>
      <c r="B173" s="28" t="s">
        <v>49</v>
      </c>
      <c r="C173" s="254" t="s">
        <v>20</v>
      </c>
      <c r="D173" s="254" t="s">
        <v>1305</v>
      </c>
      <c r="E173" s="254"/>
      <c r="F173" s="28" t="s">
        <v>13463</v>
      </c>
      <c r="G173" s="60" t="s">
        <v>13465</v>
      </c>
      <c r="H173" s="28" t="s">
        <v>12525</v>
      </c>
      <c r="I173" s="28" t="s">
        <v>13467</v>
      </c>
      <c r="J173" s="28" t="s">
        <v>13469</v>
      </c>
      <c r="K173" s="28" t="s">
        <v>12525</v>
      </c>
      <c r="L173" s="28" t="s">
        <v>13470</v>
      </c>
      <c r="M173" s="308" t="s">
        <v>2660</v>
      </c>
      <c r="N173" s="28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1"/>
      <c r="AE173" s="101"/>
    </row>
    <row r="174" spans="1:31" ht="14.4">
      <c r="A174" s="28" t="s">
        <v>45</v>
      </c>
      <c r="B174" s="254" t="s">
        <v>11834</v>
      </c>
      <c r="C174" s="254" t="s">
        <v>20</v>
      </c>
      <c r="D174" s="254" t="s">
        <v>1305</v>
      </c>
      <c r="E174" s="254"/>
      <c r="F174" s="254" t="s">
        <v>13472</v>
      </c>
      <c r="G174" s="60" t="s">
        <v>13473</v>
      </c>
      <c r="H174" s="254" t="s">
        <v>12695</v>
      </c>
      <c r="I174" s="254" t="s">
        <v>13475</v>
      </c>
      <c r="J174" s="28" t="s">
        <v>12688</v>
      </c>
      <c r="K174" s="254" t="s">
        <v>13476</v>
      </c>
      <c r="L174" s="254" t="s">
        <v>13478</v>
      </c>
      <c r="M174" s="308" t="s">
        <v>41</v>
      </c>
      <c r="N174" s="254" t="s">
        <v>13480</v>
      </c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  <c r="AA174" s="101"/>
      <c r="AB174" s="101"/>
      <c r="AC174" s="101"/>
      <c r="AD174" s="101"/>
      <c r="AE174" s="101"/>
    </row>
    <row r="175" spans="1:31" ht="14.4">
      <c r="A175" s="28" t="s">
        <v>45</v>
      </c>
      <c r="B175" s="254" t="s">
        <v>11849</v>
      </c>
      <c r="C175" s="254" t="s">
        <v>20</v>
      </c>
      <c r="D175" s="254" t="s">
        <v>1305</v>
      </c>
      <c r="E175" s="254"/>
      <c r="F175" s="254" t="s">
        <v>13481</v>
      </c>
      <c r="G175" s="60" t="s">
        <v>13482</v>
      </c>
      <c r="H175" s="254" t="s">
        <v>13483</v>
      </c>
      <c r="I175" s="254" t="s">
        <v>11856</v>
      </c>
      <c r="J175" s="28" t="s">
        <v>1151</v>
      </c>
      <c r="K175" s="254" t="s">
        <v>13484</v>
      </c>
      <c r="L175" s="254" t="s">
        <v>11859</v>
      </c>
      <c r="M175" s="308" t="s">
        <v>2660</v>
      </c>
      <c r="N175" s="254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  <c r="AA175" s="101"/>
      <c r="AB175" s="101"/>
      <c r="AC175" s="101"/>
      <c r="AD175" s="101"/>
      <c r="AE175" s="101"/>
    </row>
    <row r="176" spans="1:31" ht="14.4">
      <c r="A176" s="28" t="s">
        <v>45</v>
      </c>
      <c r="B176" s="254" t="s">
        <v>11864</v>
      </c>
      <c r="C176" s="254" t="s">
        <v>20</v>
      </c>
      <c r="D176" s="254" t="s">
        <v>1305</v>
      </c>
      <c r="E176" s="254"/>
      <c r="F176" s="254" t="s">
        <v>13489</v>
      </c>
      <c r="G176" s="60" t="s">
        <v>13490</v>
      </c>
      <c r="H176" s="254" t="s">
        <v>13491</v>
      </c>
      <c r="I176" s="254" t="s">
        <v>13001</v>
      </c>
      <c r="J176" s="28" t="s">
        <v>13492</v>
      </c>
      <c r="K176" s="254" t="s">
        <v>5615</v>
      </c>
      <c r="L176" s="254" t="s">
        <v>11885</v>
      </c>
      <c r="M176" s="308" t="s">
        <v>2660</v>
      </c>
      <c r="N176" s="254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  <c r="AA176" s="101"/>
      <c r="AB176" s="101"/>
      <c r="AC176" s="101"/>
      <c r="AD176" s="101"/>
      <c r="AE176" s="101"/>
    </row>
    <row r="177" spans="1:31" ht="14.4">
      <c r="A177" s="28" t="s">
        <v>45</v>
      </c>
      <c r="B177" s="254" t="s">
        <v>11864</v>
      </c>
      <c r="C177" s="254" t="s">
        <v>20</v>
      </c>
      <c r="D177" s="254" t="s">
        <v>1305</v>
      </c>
      <c r="E177" s="254"/>
      <c r="F177" s="254" t="s">
        <v>13496</v>
      </c>
      <c r="G177" s="60" t="s">
        <v>13497</v>
      </c>
      <c r="H177" s="254" t="s">
        <v>13498</v>
      </c>
      <c r="I177" s="254" t="s">
        <v>13499</v>
      </c>
      <c r="J177" s="28" t="s">
        <v>13500</v>
      </c>
      <c r="K177" s="254" t="s">
        <v>5615</v>
      </c>
      <c r="L177" s="254" t="s">
        <v>13502</v>
      </c>
      <c r="M177" s="308" t="s">
        <v>2660</v>
      </c>
      <c r="N177" s="254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  <c r="AA177" s="101"/>
      <c r="AB177" s="101"/>
      <c r="AC177" s="101"/>
      <c r="AD177" s="101"/>
      <c r="AE177" s="101"/>
    </row>
    <row r="178" spans="1:31" ht="14.4">
      <c r="A178" s="28" t="s">
        <v>45</v>
      </c>
      <c r="B178" s="254" t="s">
        <v>11892</v>
      </c>
      <c r="C178" s="254" t="s">
        <v>20</v>
      </c>
      <c r="D178" s="254" t="s">
        <v>1305</v>
      </c>
      <c r="E178" s="254"/>
      <c r="F178" s="254" t="s">
        <v>13505</v>
      </c>
      <c r="G178" s="60" t="s">
        <v>13506</v>
      </c>
      <c r="H178" s="254" t="s">
        <v>13507</v>
      </c>
      <c r="I178" s="254" t="s">
        <v>933</v>
      </c>
      <c r="J178" s="28" t="s">
        <v>12078</v>
      </c>
      <c r="K178" s="254" t="s">
        <v>13507</v>
      </c>
      <c r="L178" s="254" t="s">
        <v>11899</v>
      </c>
      <c r="M178" s="308" t="s">
        <v>41</v>
      </c>
      <c r="N178" s="254" t="s">
        <v>13480</v>
      </c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  <c r="AA178" s="101"/>
      <c r="AB178" s="101"/>
      <c r="AC178" s="101"/>
      <c r="AD178" s="101"/>
      <c r="AE178" s="101"/>
    </row>
    <row r="179" spans="1:31" ht="14.4">
      <c r="A179" s="28" t="s">
        <v>45</v>
      </c>
      <c r="B179" s="28" t="s">
        <v>49</v>
      </c>
      <c r="C179" s="28" t="s">
        <v>260</v>
      </c>
      <c r="D179" s="28" t="s">
        <v>1337</v>
      </c>
      <c r="E179" s="28"/>
      <c r="F179" s="28" t="s">
        <v>13512</v>
      </c>
      <c r="G179" s="28" t="s">
        <v>13513</v>
      </c>
      <c r="H179" s="28" t="s">
        <v>13514</v>
      </c>
      <c r="I179" s="28" t="s">
        <v>898</v>
      </c>
      <c r="J179" s="28" t="s">
        <v>3071</v>
      </c>
      <c r="K179" s="28" t="s">
        <v>13515</v>
      </c>
      <c r="L179" s="28" t="s">
        <v>13517</v>
      </c>
      <c r="M179" s="308" t="s">
        <v>2660</v>
      </c>
      <c r="N179" s="28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  <c r="AA179" s="101"/>
      <c r="AB179" s="101"/>
      <c r="AC179" s="101"/>
      <c r="AD179" s="101"/>
      <c r="AE179" s="101"/>
    </row>
    <row r="180" spans="1:31" ht="14.4">
      <c r="A180" s="28" t="s">
        <v>45</v>
      </c>
      <c r="B180" s="28" t="s">
        <v>49</v>
      </c>
      <c r="C180" s="28" t="s">
        <v>260</v>
      </c>
      <c r="D180" s="107" t="s">
        <v>1337</v>
      </c>
      <c r="E180" s="107"/>
      <c r="F180" s="28" t="s">
        <v>13520</v>
      </c>
      <c r="G180" s="28" t="s">
        <v>13521</v>
      </c>
      <c r="H180" s="28" t="s">
        <v>11928</v>
      </c>
      <c r="I180" s="28" t="s">
        <v>11929</v>
      </c>
      <c r="J180" s="28" t="s">
        <v>13525</v>
      </c>
      <c r="K180" s="28" t="s">
        <v>11931</v>
      </c>
      <c r="L180" s="28" t="s">
        <v>11933</v>
      </c>
      <c r="M180" s="308" t="s">
        <v>2660</v>
      </c>
      <c r="N180" s="28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  <c r="AA180" s="101"/>
      <c r="AB180" s="101"/>
      <c r="AC180" s="101"/>
      <c r="AD180" s="101"/>
      <c r="AE180" s="101"/>
    </row>
    <row r="181" spans="1:31" ht="14.4">
      <c r="A181" s="28" t="s">
        <v>45</v>
      </c>
      <c r="B181" s="28" t="s">
        <v>49</v>
      </c>
      <c r="C181" s="28" t="s">
        <v>260</v>
      </c>
      <c r="D181" s="28" t="s">
        <v>1337</v>
      </c>
      <c r="E181" s="28"/>
      <c r="F181" s="28" t="s">
        <v>13529</v>
      </c>
      <c r="G181" s="28" t="s">
        <v>13530</v>
      </c>
      <c r="H181" s="28" t="s">
        <v>13531</v>
      </c>
      <c r="I181" s="28" t="s">
        <v>898</v>
      </c>
      <c r="J181" s="28" t="s">
        <v>13532</v>
      </c>
      <c r="K181" s="28" t="s">
        <v>13531</v>
      </c>
      <c r="L181" s="28" t="s">
        <v>12242</v>
      </c>
      <c r="M181" s="308" t="s">
        <v>2660</v>
      </c>
      <c r="N181" s="25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  <c r="AA181" s="101"/>
      <c r="AB181" s="101"/>
      <c r="AC181" s="101"/>
      <c r="AD181" s="101"/>
      <c r="AE181" s="101"/>
    </row>
    <row r="182" spans="1:31" ht="14.4">
      <c r="A182" s="28" t="s">
        <v>45</v>
      </c>
      <c r="B182" s="28" t="s">
        <v>11834</v>
      </c>
      <c r="C182" s="28" t="s">
        <v>260</v>
      </c>
      <c r="D182" s="107" t="s">
        <v>1337</v>
      </c>
      <c r="E182" s="107"/>
      <c r="F182" s="28" t="s">
        <v>13536</v>
      </c>
      <c r="G182" s="28" t="s">
        <v>13537</v>
      </c>
      <c r="H182" s="254" t="s">
        <v>13282</v>
      </c>
      <c r="I182" s="254" t="s">
        <v>521</v>
      </c>
      <c r="J182" s="28" t="s">
        <v>13283</v>
      </c>
      <c r="K182" s="28" t="s">
        <v>13282</v>
      </c>
      <c r="L182" s="28" t="s">
        <v>13538</v>
      </c>
      <c r="M182" s="308" t="s">
        <v>41</v>
      </c>
      <c r="N182" s="28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  <c r="AA182" s="101"/>
      <c r="AB182" s="101"/>
      <c r="AC182" s="101"/>
      <c r="AD182" s="101"/>
      <c r="AE182" s="101"/>
    </row>
    <row r="183" spans="1:31" ht="14.4">
      <c r="A183" s="28" t="s">
        <v>45</v>
      </c>
      <c r="B183" s="28" t="s">
        <v>11834</v>
      </c>
      <c r="C183" s="28" t="s">
        <v>260</v>
      </c>
      <c r="D183" s="107" t="s">
        <v>1337</v>
      </c>
      <c r="E183" s="107"/>
      <c r="F183" s="28" t="s">
        <v>13540</v>
      </c>
      <c r="G183" s="28" t="s">
        <v>13542</v>
      </c>
      <c r="H183" s="254" t="s">
        <v>13543</v>
      </c>
      <c r="I183" s="254" t="s">
        <v>887</v>
      </c>
      <c r="J183" s="28" t="s">
        <v>13545</v>
      </c>
      <c r="K183" s="28" t="s">
        <v>13543</v>
      </c>
      <c r="L183" s="28" t="s">
        <v>13538</v>
      </c>
      <c r="M183" s="308" t="s">
        <v>41</v>
      </c>
      <c r="N183" s="28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  <c r="AA183" s="101"/>
      <c r="AB183" s="101"/>
      <c r="AC183" s="101"/>
      <c r="AD183" s="101"/>
      <c r="AE183" s="101"/>
    </row>
    <row r="184" spans="1:31" ht="14.4">
      <c r="A184" s="28" t="s">
        <v>45</v>
      </c>
      <c r="B184" s="28" t="s">
        <v>11834</v>
      </c>
      <c r="C184" s="28" t="s">
        <v>260</v>
      </c>
      <c r="D184" s="107" t="s">
        <v>1337</v>
      </c>
      <c r="E184" s="107"/>
      <c r="F184" s="28" t="s">
        <v>13547</v>
      </c>
      <c r="G184" s="28" t="s">
        <v>13549</v>
      </c>
      <c r="H184" s="254" t="s">
        <v>12681</v>
      </c>
      <c r="I184" s="254" t="s">
        <v>6331</v>
      </c>
      <c r="J184" s="28" t="s">
        <v>12675</v>
      </c>
      <c r="K184" s="28" t="s">
        <v>12681</v>
      </c>
      <c r="L184" s="28" t="s">
        <v>13538</v>
      </c>
      <c r="M184" s="308" t="s">
        <v>41</v>
      </c>
      <c r="N184" s="28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  <c r="AA184" s="101"/>
      <c r="AB184" s="101"/>
      <c r="AC184" s="101"/>
      <c r="AD184" s="101"/>
      <c r="AE184" s="101"/>
    </row>
    <row r="185" spans="1:31" ht="14.4">
      <c r="A185" s="28" t="s">
        <v>45</v>
      </c>
      <c r="B185" s="28" t="s">
        <v>11849</v>
      </c>
      <c r="C185" s="28" t="s">
        <v>260</v>
      </c>
      <c r="D185" s="107" t="s">
        <v>1337</v>
      </c>
      <c r="E185" s="107"/>
      <c r="F185" s="28" t="s">
        <v>13551</v>
      </c>
      <c r="G185" s="28" t="s">
        <v>13552</v>
      </c>
      <c r="H185" s="28" t="s">
        <v>11855</v>
      </c>
      <c r="I185" s="28" t="s">
        <v>13553</v>
      </c>
      <c r="J185" s="28" t="s">
        <v>13554</v>
      </c>
      <c r="K185" s="28" t="s">
        <v>13555</v>
      </c>
      <c r="L185" s="28" t="s">
        <v>12863</v>
      </c>
      <c r="M185" s="308" t="s">
        <v>2660</v>
      </c>
      <c r="N185" s="28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  <c r="AA185" s="101"/>
      <c r="AB185" s="101"/>
      <c r="AC185" s="101"/>
      <c r="AD185" s="101"/>
      <c r="AE185" s="101"/>
    </row>
    <row r="186" spans="1:31" ht="14.4">
      <c r="A186" s="28" t="s">
        <v>45</v>
      </c>
      <c r="B186" s="28" t="s">
        <v>11849</v>
      </c>
      <c r="C186" s="28" t="s">
        <v>260</v>
      </c>
      <c r="D186" s="107" t="s">
        <v>1337</v>
      </c>
      <c r="E186" s="107"/>
      <c r="F186" s="28" t="s">
        <v>13558</v>
      </c>
      <c r="G186" s="28" t="s">
        <v>13560</v>
      </c>
      <c r="H186" s="28" t="s">
        <v>11855</v>
      </c>
      <c r="I186" s="28" t="s">
        <v>13553</v>
      </c>
      <c r="J186" s="28" t="s">
        <v>13554</v>
      </c>
      <c r="K186" s="28" t="s">
        <v>13561</v>
      </c>
      <c r="L186" s="28" t="s">
        <v>11859</v>
      </c>
      <c r="M186" s="308" t="s">
        <v>2660</v>
      </c>
      <c r="N186" s="28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  <c r="AA186" s="101"/>
      <c r="AB186" s="101"/>
      <c r="AC186" s="101"/>
      <c r="AD186" s="101"/>
      <c r="AE186" s="101"/>
    </row>
    <row r="187" spans="1:31" ht="14.4">
      <c r="A187" s="28" t="s">
        <v>45</v>
      </c>
      <c r="B187" s="28" t="s">
        <v>11849</v>
      </c>
      <c r="C187" s="28" t="s">
        <v>260</v>
      </c>
      <c r="D187" s="107" t="s">
        <v>1337</v>
      </c>
      <c r="E187" s="107"/>
      <c r="F187" s="28" t="s">
        <v>13562</v>
      </c>
      <c r="G187" s="28" t="s">
        <v>13563</v>
      </c>
      <c r="H187" s="28" t="s">
        <v>13564</v>
      </c>
      <c r="I187" s="28" t="s">
        <v>2714</v>
      </c>
      <c r="J187" s="28" t="s">
        <v>13565</v>
      </c>
      <c r="K187" s="28" t="s">
        <v>13564</v>
      </c>
      <c r="L187" s="28" t="s">
        <v>13566</v>
      </c>
      <c r="M187" s="308" t="s">
        <v>2660</v>
      </c>
      <c r="N187" s="28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</row>
    <row r="188" spans="1:31" ht="14.4">
      <c r="A188" s="28" t="s">
        <v>45</v>
      </c>
      <c r="B188" s="28" t="s">
        <v>11849</v>
      </c>
      <c r="C188" s="28" t="s">
        <v>260</v>
      </c>
      <c r="D188" s="107" t="s">
        <v>1337</v>
      </c>
      <c r="E188" s="107"/>
      <c r="F188" s="28" t="s">
        <v>13568</v>
      </c>
      <c r="G188" s="28" t="s">
        <v>13569</v>
      </c>
      <c r="H188" s="28" t="s">
        <v>11855</v>
      </c>
      <c r="I188" s="28" t="s">
        <v>13553</v>
      </c>
      <c r="J188" s="28" t="s">
        <v>13554</v>
      </c>
      <c r="K188" s="28" t="s">
        <v>13571</v>
      </c>
      <c r="L188" s="28" t="s">
        <v>12764</v>
      </c>
      <c r="M188" s="308" t="s">
        <v>2660</v>
      </c>
      <c r="N188" s="28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</row>
    <row r="189" spans="1:31" ht="14.4">
      <c r="A189" s="28" t="s">
        <v>45</v>
      </c>
      <c r="B189" s="28" t="s">
        <v>11849</v>
      </c>
      <c r="C189" s="28" t="s">
        <v>260</v>
      </c>
      <c r="D189" s="107" t="s">
        <v>1337</v>
      </c>
      <c r="E189" s="107"/>
      <c r="F189" s="28" t="s">
        <v>13573</v>
      </c>
      <c r="G189" s="28" t="s">
        <v>13574</v>
      </c>
      <c r="H189" s="28" t="s">
        <v>13290</v>
      </c>
      <c r="I189" s="28" t="s">
        <v>11998</v>
      </c>
      <c r="J189" s="28" t="s">
        <v>13554</v>
      </c>
      <c r="K189" s="28" t="s">
        <v>13290</v>
      </c>
      <c r="L189" s="28" t="s">
        <v>13575</v>
      </c>
      <c r="M189" s="308" t="s">
        <v>2660</v>
      </c>
      <c r="N189" s="28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  <c r="AA189" s="101"/>
      <c r="AB189" s="101"/>
      <c r="AC189" s="101"/>
      <c r="AD189" s="101"/>
      <c r="AE189" s="101"/>
    </row>
    <row r="190" spans="1:31" ht="14.4">
      <c r="A190" s="28" t="s">
        <v>45</v>
      </c>
      <c r="B190" s="28" t="s">
        <v>11849</v>
      </c>
      <c r="C190" s="28" t="s">
        <v>260</v>
      </c>
      <c r="D190" s="107" t="s">
        <v>1337</v>
      </c>
      <c r="E190" s="107"/>
      <c r="F190" s="28" t="s">
        <v>13578</v>
      </c>
      <c r="G190" s="28" t="s">
        <v>13579</v>
      </c>
      <c r="H190" s="28" t="s">
        <v>11855</v>
      </c>
      <c r="I190" s="28" t="s">
        <v>13553</v>
      </c>
      <c r="J190" s="28" t="s">
        <v>13554</v>
      </c>
      <c r="K190" s="28" t="s">
        <v>13581</v>
      </c>
      <c r="L190" s="28" t="s">
        <v>11859</v>
      </c>
      <c r="M190" s="308" t="s">
        <v>2660</v>
      </c>
      <c r="N190" s="28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  <c r="AA190" s="101"/>
      <c r="AB190" s="101"/>
      <c r="AC190" s="101"/>
      <c r="AD190" s="101"/>
      <c r="AE190" s="101"/>
    </row>
    <row r="191" spans="1:31" ht="14.4">
      <c r="A191" s="28" t="s">
        <v>45</v>
      </c>
      <c r="B191" s="28" t="s">
        <v>11849</v>
      </c>
      <c r="C191" s="28" t="s">
        <v>260</v>
      </c>
      <c r="D191" s="107" t="s">
        <v>1337</v>
      </c>
      <c r="E191" s="107"/>
      <c r="F191" s="28" t="s">
        <v>13582</v>
      </c>
      <c r="G191" s="28" t="s">
        <v>13583</v>
      </c>
      <c r="H191" s="28" t="s">
        <v>11855</v>
      </c>
      <c r="I191" s="28" t="s">
        <v>13553</v>
      </c>
      <c r="J191" s="28" t="s">
        <v>13554</v>
      </c>
      <c r="K191" s="28" t="s">
        <v>13584</v>
      </c>
      <c r="L191" s="28" t="s">
        <v>11859</v>
      </c>
      <c r="M191" s="308" t="s">
        <v>2660</v>
      </c>
      <c r="N191" s="28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  <c r="AA191" s="101"/>
      <c r="AB191" s="101"/>
      <c r="AC191" s="101"/>
      <c r="AD191" s="101"/>
      <c r="AE191" s="101"/>
    </row>
    <row r="192" spans="1:31" ht="14.4">
      <c r="A192" s="28" t="s">
        <v>45</v>
      </c>
      <c r="B192" s="28" t="s">
        <v>11849</v>
      </c>
      <c r="C192" s="28" t="s">
        <v>260</v>
      </c>
      <c r="D192" s="107" t="s">
        <v>1337</v>
      </c>
      <c r="E192" s="107"/>
      <c r="F192" s="28" t="s">
        <v>13587</v>
      </c>
      <c r="G192" s="28" t="s">
        <v>13589</v>
      </c>
      <c r="H192" s="28" t="s">
        <v>13590</v>
      </c>
      <c r="I192" s="28" t="s">
        <v>2714</v>
      </c>
      <c r="J192" s="28" t="s">
        <v>13554</v>
      </c>
      <c r="K192" s="28" t="s">
        <v>13590</v>
      </c>
      <c r="L192" s="28" t="s">
        <v>11859</v>
      </c>
      <c r="M192" s="308" t="s">
        <v>2660</v>
      </c>
      <c r="N192" s="28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  <c r="AA192" s="101"/>
      <c r="AB192" s="101"/>
      <c r="AC192" s="101"/>
      <c r="AD192" s="101"/>
      <c r="AE192" s="101"/>
    </row>
    <row r="193" spans="1:31" ht="14.4">
      <c r="A193" s="28" t="s">
        <v>45</v>
      </c>
      <c r="B193" s="28" t="s">
        <v>11849</v>
      </c>
      <c r="C193" s="28" t="s">
        <v>260</v>
      </c>
      <c r="D193" s="107" t="s">
        <v>1337</v>
      </c>
      <c r="E193" s="107"/>
      <c r="F193" s="28" t="s">
        <v>13591</v>
      </c>
      <c r="G193" s="28" t="s">
        <v>13592</v>
      </c>
      <c r="H193" s="28" t="s">
        <v>11855</v>
      </c>
      <c r="I193" s="28" t="s">
        <v>13553</v>
      </c>
      <c r="J193" s="28" t="s">
        <v>13554</v>
      </c>
      <c r="K193" s="28" t="s">
        <v>13593</v>
      </c>
      <c r="L193" s="28" t="s">
        <v>11859</v>
      </c>
      <c r="M193" s="308" t="s">
        <v>2660</v>
      </c>
      <c r="N193" s="28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</row>
    <row r="194" spans="1:31" ht="14.4">
      <c r="A194" s="28" t="s">
        <v>45</v>
      </c>
      <c r="B194" s="28" t="s">
        <v>11849</v>
      </c>
      <c r="C194" s="28" t="s">
        <v>260</v>
      </c>
      <c r="D194" s="107" t="s">
        <v>1337</v>
      </c>
      <c r="E194" s="107"/>
      <c r="F194" s="28" t="s">
        <v>13597</v>
      </c>
      <c r="G194" s="28" t="s">
        <v>13598</v>
      </c>
      <c r="H194" s="28" t="s">
        <v>11855</v>
      </c>
      <c r="I194" s="28" t="s">
        <v>13553</v>
      </c>
      <c r="J194" s="28" t="s">
        <v>13554</v>
      </c>
      <c r="K194" s="28" t="s">
        <v>11855</v>
      </c>
      <c r="L194" s="28" t="s">
        <v>13599</v>
      </c>
      <c r="M194" s="308" t="s">
        <v>2660</v>
      </c>
      <c r="N194" s="28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  <c r="AA194" s="101"/>
      <c r="AB194" s="101"/>
      <c r="AC194" s="101"/>
      <c r="AD194" s="101"/>
      <c r="AE194" s="101"/>
    </row>
    <row r="195" spans="1:31" ht="14.4">
      <c r="A195" s="28" t="s">
        <v>45</v>
      </c>
      <c r="B195" s="28" t="s">
        <v>11849</v>
      </c>
      <c r="C195" s="28" t="s">
        <v>260</v>
      </c>
      <c r="D195" s="107" t="s">
        <v>1337</v>
      </c>
      <c r="E195" s="107"/>
      <c r="F195" s="28" t="s">
        <v>13600</v>
      </c>
      <c r="G195" s="28" t="s">
        <v>13602</v>
      </c>
      <c r="H195" s="28" t="s">
        <v>11855</v>
      </c>
      <c r="I195" s="28" t="s">
        <v>13553</v>
      </c>
      <c r="J195" s="28" t="s">
        <v>13554</v>
      </c>
      <c r="K195" s="28" t="s">
        <v>13604</v>
      </c>
      <c r="L195" s="28" t="s">
        <v>11859</v>
      </c>
      <c r="M195" s="308" t="s">
        <v>2660</v>
      </c>
      <c r="N195" s="28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  <c r="AA195" s="101"/>
      <c r="AB195" s="101"/>
      <c r="AC195" s="101"/>
      <c r="AD195" s="101"/>
      <c r="AE195" s="101"/>
    </row>
    <row r="196" spans="1:31" ht="14.4">
      <c r="A196" s="28" t="s">
        <v>45</v>
      </c>
      <c r="B196" s="28" t="s">
        <v>11849</v>
      </c>
      <c r="C196" s="28" t="s">
        <v>260</v>
      </c>
      <c r="D196" s="107" t="s">
        <v>1337</v>
      </c>
      <c r="E196" s="107"/>
      <c r="F196" s="28" t="s">
        <v>13606</v>
      </c>
      <c r="G196" s="28" t="s">
        <v>13607</v>
      </c>
      <c r="H196" s="28" t="s">
        <v>13608</v>
      </c>
      <c r="I196" s="28" t="s">
        <v>6116</v>
      </c>
      <c r="J196" s="28" t="s">
        <v>13554</v>
      </c>
      <c r="K196" s="28" t="s">
        <v>13608</v>
      </c>
      <c r="L196" s="28" t="s">
        <v>13609</v>
      </c>
      <c r="M196" s="308" t="s">
        <v>2660</v>
      </c>
      <c r="N196" s="28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  <c r="AA196" s="101"/>
      <c r="AB196" s="101"/>
      <c r="AC196" s="101"/>
      <c r="AD196" s="101"/>
      <c r="AE196" s="101"/>
    </row>
    <row r="197" spans="1:31" ht="14.4">
      <c r="A197" s="28" t="s">
        <v>45</v>
      </c>
      <c r="B197" s="28" t="s">
        <v>11849</v>
      </c>
      <c r="C197" s="28" t="s">
        <v>260</v>
      </c>
      <c r="D197" s="107" t="s">
        <v>1337</v>
      </c>
      <c r="E197" s="107"/>
      <c r="F197" s="28" t="s">
        <v>13610</v>
      </c>
      <c r="G197" s="28" t="s">
        <v>13611</v>
      </c>
      <c r="H197" s="28" t="s">
        <v>11855</v>
      </c>
      <c r="I197" s="28" t="s">
        <v>13553</v>
      </c>
      <c r="J197" s="28" t="s">
        <v>13554</v>
      </c>
      <c r="K197" s="28" t="s">
        <v>11855</v>
      </c>
      <c r="L197" s="28" t="s">
        <v>11859</v>
      </c>
      <c r="M197" s="308" t="s">
        <v>2660</v>
      </c>
      <c r="N197" s="28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  <c r="AA197" s="101"/>
      <c r="AB197" s="101"/>
      <c r="AC197" s="101"/>
      <c r="AD197" s="101"/>
      <c r="AE197" s="101"/>
    </row>
    <row r="198" spans="1:31" ht="14.4">
      <c r="A198" s="28" t="s">
        <v>45</v>
      </c>
      <c r="B198" s="28" t="s">
        <v>11849</v>
      </c>
      <c r="C198" s="28" t="s">
        <v>260</v>
      </c>
      <c r="D198" s="107" t="s">
        <v>1337</v>
      </c>
      <c r="E198" s="107"/>
      <c r="F198" s="28" t="s">
        <v>13615</v>
      </c>
      <c r="G198" s="28" t="s">
        <v>13616</v>
      </c>
      <c r="H198" s="28" t="s">
        <v>13617</v>
      </c>
      <c r="I198" s="28" t="s">
        <v>887</v>
      </c>
      <c r="J198" s="28" t="s">
        <v>13554</v>
      </c>
      <c r="K198" s="28" t="s">
        <v>13617</v>
      </c>
      <c r="L198" s="28" t="s">
        <v>12884</v>
      </c>
      <c r="M198" s="308" t="s">
        <v>2660</v>
      </c>
      <c r="N198" s="28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  <c r="AA198" s="101"/>
      <c r="AB198" s="101"/>
      <c r="AC198" s="101"/>
      <c r="AD198" s="101"/>
      <c r="AE198" s="101"/>
    </row>
    <row r="199" spans="1:31" ht="14.4">
      <c r="A199" s="28" t="s">
        <v>45</v>
      </c>
      <c r="B199" s="28" t="s">
        <v>11849</v>
      </c>
      <c r="C199" s="28" t="s">
        <v>260</v>
      </c>
      <c r="D199" s="107" t="s">
        <v>1337</v>
      </c>
      <c r="E199" s="107"/>
      <c r="F199" s="28" t="s">
        <v>13618</v>
      </c>
      <c r="G199" s="28" t="s">
        <v>13620</v>
      </c>
      <c r="H199" s="28" t="s">
        <v>13621</v>
      </c>
      <c r="I199" s="28" t="s">
        <v>2714</v>
      </c>
      <c r="J199" s="28" t="s">
        <v>13554</v>
      </c>
      <c r="K199" s="28" t="s">
        <v>13621</v>
      </c>
      <c r="L199" s="28" t="s">
        <v>12922</v>
      </c>
      <c r="M199" s="308" t="s">
        <v>2660</v>
      </c>
      <c r="N199" s="28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  <c r="AA199" s="101"/>
      <c r="AB199" s="101"/>
      <c r="AC199" s="101"/>
      <c r="AD199" s="101"/>
      <c r="AE199" s="101"/>
    </row>
    <row r="200" spans="1:31" ht="14.4">
      <c r="A200" s="28" t="s">
        <v>45</v>
      </c>
      <c r="B200" s="28" t="s">
        <v>11849</v>
      </c>
      <c r="C200" s="28" t="s">
        <v>260</v>
      </c>
      <c r="D200" s="107" t="s">
        <v>1337</v>
      </c>
      <c r="E200" s="107"/>
      <c r="F200" s="28" t="s">
        <v>13624</v>
      </c>
      <c r="G200" s="28" t="s">
        <v>13625</v>
      </c>
      <c r="H200" s="28" t="s">
        <v>13626</v>
      </c>
      <c r="I200" s="28" t="s">
        <v>2714</v>
      </c>
      <c r="J200" s="28" t="s">
        <v>13554</v>
      </c>
      <c r="K200" s="28" t="s">
        <v>13626</v>
      </c>
      <c r="L200" s="28" t="s">
        <v>12904</v>
      </c>
      <c r="M200" s="308" t="s">
        <v>2660</v>
      </c>
      <c r="N200" s="28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  <c r="AA200" s="101"/>
      <c r="AB200" s="101"/>
      <c r="AC200" s="101"/>
      <c r="AD200" s="101"/>
      <c r="AE200" s="101"/>
    </row>
    <row r="201" spans="1:31" ht="14.4">
      <c r="A201" s="28" t="s">
        <v>45</v>
      </c>
      <c r="B201" s="28" t="s">
        <v>11849</v>
      </c>
      <c r="C201" s="28" t="s">
        <v>260</v>
      </c>
      <c r="D201" s="107" t="s">
        <v>1337</v>
      </c>
      <c r="E201" s="107"/>
      <c r="F201" s="28" t="s">
        <v>13630</v>
      </c>
      <c r="G201" s="28" t="s">
        <v>13631</v>
      </c>
      <c r="H201" s="28" t="s">
        <v>11855</v>
      </c>
      <c r="I201" s="28" t="s">
        <v>13553</v>
      </c>
      <c r="J201" s="28" t="s">
        <v>13554</v>
      </c>
      <c r="K201" s="28" t="s">
        <v>11855</v>
      </c>
      <c r="L201" s="28" t="s">
        <v>11859</v>
      </c>
      <c r="M201" s="308" t="s">
        <v>2660</v>
      </c>
      <c r="N201" s="28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  <c r="AA201" s="101"/>
      <c r="AB201" s="101"/>
      <c r="AC201" s="101"/>
      <c r="AD201" s="101"/>
      <c r="AE201" s="101"/>
    </row>
    <row r="202" spans="1:31" ht="14.4">
      <c r="A202" s="28" t="s">
        <v>45</v>
      </c>
      <c r="B202" s="28" t="s">
        <v>11849</v>
      </c>
      <c r="C202" s="28" t="s">
        <v>260</v>
      </c>
      <c r="D202" s="107" t="s">
        <v>1337</v>
      </c>
      <c r="E202" s="107"/>
      <c r="F202" s="28" t="s">
        <v>13635</v>
      </c>
      <c r="G202" s="28" t="s">
        <v>13636</v>
      </c>
      <c r="H202" s="28" t="s">
        <v>11855</v>
      </c>
      <c r="I202" s="28" t="s">
        <v>13553</v>
      </c>
      <c r="J202" s="28" t="s">
        <v>13554</v>
      </c>
      <c r="K202" s="28" t="s">
        <v>13637</v>
      </c>
      <c r="L202" s="28" t="s">
        <v>12764</v>
      </c>
      <c r="M202" s="308" t="s">
        <v>2660</v>
      </c>
      <c r="N202" s="28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  <c r="AA202" s="101"/>
      <c r="AB202" s="101"/>
      <c r="AC202" s="101"/>
      <c r="AD202" s="101"/>
      <c r="AE202" s="101"/>
    </row>
    <row r="203" spans="1:31" ht="14.4">
      <c r="A203" s="28" t="s">
        <v>45</v>
      </c>
      <c r="B203" s="28" t="s">
        <v>11849</v>
      </c>
      <c r="C203" s="28" t="s">
        <v>260</v>
      </c>
      <c r="D203" s="107" t="s">
        <v>1337</v>
      </c>
      <c r="E203" s="107"/>
      <c r="F203" s="28" t="s">
        <v>13639</v>
      </c>
      <c r="G203" s="28" t="s">
        <v>13641</v>
      </c>
      <c r="H203" s="28" t="s">
        <v>13642</v>
      </c>
      <c r="I203" s="28" t="s">
        <v>887</v>
      </c>
      <c r="J203" s="28" t="s">
        <v>13554</v>
      </c>
      <c r="K203" s="28" t="s">
        <v>13642</v>
      </c>
      <c r="L203" s="28" t="s">
        <v>13644</v>
      </c>
      <c r="M203" s="308" t="s">
        <v>2660</v>
      </c>
      <c r="N203" s="28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  <c r="AA203" s="101"/>
      <c r="AB203" s="101"/>
      <c r="AC203" s="101"/>
      <c r="AD203" s="101"/>
      <c r="AE203" s="101"/>
    </row>
    <row r="204" spans="1:31" ht="14.4">
      <c r="A204" s="28" t="s">
        <v>45</v>
      </c>
      <c r="B204" s="28" t="s">
        <v>11849</v>
      </c>
      <c r="C204" s="28" t="s">
        <v>260</v>
      </c>
      <c r="D204" s="107" t="s">
        <v>1337</v>
      </c>
      <c r="E204" s="107"/>
      <c r="F204" s="28" t="s">
        <v>13645</v>
      </c>
      <c r="G204" s="28" t="s">
        <v>13646</v>
      </c>
      <c r="H204" s="28" t="s">
        <v>11855</v>
      </c>
      <c r="I204" s="28" t="s">
        <v>13553</v>
      </c>
      <c r="J204" s="28" t="s">
        <v>13554</v>
      </c>
      <c r="K204" s="28" t="s">
        <v>13647</v>
      </c>
      <c r="L204" s="28" t="s">
        <v>12764</v>
      </c>
      <c r="M204" s="308" t="s">
        <v>2660</v>
      </c>
      <c r="N204" s="28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  <c r="AA204" s="101"/>
      <c r="AB204" s="101"/>
      <c r="AC204" s="101"/>
      <c r="AD204" s="101"/>
      <c r="AE204" s="101"/>
    </row>
    <row r="205" spans="1:31" ht="14.4">
      <c r="A205" s="28" t="s">
        <v>45</v>
      </c>
      <c r="B205" s="28" t="s">
        <v>11849</v>
      </c>
      <c r="C205" s="28" t="s">
        <v>260</v>
      </c>
      <c r="D205" s="107" t="s">
        <v>1337</v>
      </c>
      <c r="E205" s="107"/>
      <c r="F205" s="28" t="s">
        <v>13651</v>
      </c>
      <c r="G205" s="28" t="s">
        <v>13652</v>
      </c>
      <c r="H205" s="28" t="s">
        <v>13653</v>
      </c>
      <c r="I205" s="28" t="s">
        <v>2714</v>
      </c>
      <c r="J205" s="28" t="s">
        <v>13554</v>
      </c>
      <c r="K205" s="28" t="s">
        <v>13653</v>
      </c>
      <c r="L205" s="28" t="s">
        <v>12893</v>
      </c>
      <c r="M205" s="308" t="s">
        <v>2660</v>
      </c>
      <c r="N205" s="28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  <c r="AA205" s="101"/>
      <c r="AB205" s="101"/>
      <c r="AC205" s="101"/>
      <c r="AD205" s="101"/>
      <c r="AE205" s="101"/>
    </row>
    <row r="206" spans="1:31" ht="14.4">
      <c r="A206" s="28" t="s">
        <v>45</v>
      </c>
      <c r="B206" s="28" t="s">
        <v>11849</v>
      </c>
      <c r="C206" s="28" t="s">
        <v>260</v>
      </c>
      <c r="D206" s="107" t="s">
        <v>1337</v>
      </c>
      <c r="E206" s="107"/>
      <c r="F206" s="28" t="s">
        <v>13659</v>
      </c>
      <c r="G206" s="28" t="s">
        <v>13660</v>
      </c>
      <c r="H206" s="28" t="s">
        <v>13661</v>
      </c>
      <c r="I206" s="28" t="s">
        <v>10488</v>
      </c>
      <c r="J206" s="28" t="s">
        <v>13554</v>
      </c>
      <c r="K206" s="28" t="s">
        <v>13661</v>
      </c>
      <c r="L206" s="28" t="s">
        <v>13293</v>
      </c>
      <c r="M206" s="308" t="s">
        <v>2660</v>
      </c>
      <c r="N206" s="28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  <c r="AA206" s="101"/>
      <c r="AB206" s="101"/>
      <c r="AC206" s="101"/>
      <c r="AD206" s="101"/>
      <c r="AE206" s="101"/>
    </row>
    <row r="207" spans="1:31" ht="14.4">
      <c r="A207" s="28" t="s">
        <v>45</v>
      </c>
      <c r="B207" s="28" t="s">
        <v>11849</v>
      </c>
      <c r="C207" s="28" t="s">
        <v>260</v>
      </c>
      <c r="D207" s="107" t="s">
        <v>1337</v>
      </c>
      <c r="E207" s="107"/>
      <c r="F207" s="28" t="s">
        <v>13665</v>
      </c>
      <c r="G207" s="28" t="s">
        <v>13666</v>
      </c>
      <c r="H207" s="28" t="s">
        <v>11855</v>
      </c>
      <c r="I207" s="28" t="s">
        <v>13553</v>
      </c>
      <c r="J207" s="28" t="s">
        <v>13554</v>
      </c>
      <c r="K207" s="28" t="s">
        <v>13667</v>
      </c>
      <c r="L207" s="28" t="s">
        <v>11859</v>
      </c>
      <c r="M207" s="308" t="s">
        <v>2660</v>
      </c>
      <c r="N207" s="28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  <c r="AA207" s="101"/>
      <c r="AB207" s="101"/>
      <c r="AC207" s="101"/>
      <c r="AD207" s="101"/>
      <c r="AE207" s="101"/>
    </row>
    <row r="208" spans="1:31" ht="14.4">
      <c r="A208" s="28" t="s">
        <v>45</v>
      </c>
      <c r="B208" s="28" t="s">
        <v>11849</v>
      </c>
      <c r="C208" s="28" t="s">
        <v>260</v>
      </c>
      <c r="D208" s="107" t="s">
        <v>1337</v>
      </c>
      <c r="E208" s="107"/>
      <c r="F208" s="28" t="s">
        <v>13672</v>
      </c>
      <c r="G208" s="28" t="s">
        <v>13673</v>
      </c>
      <c r="H208" s="28" t="s">
        <v>13674</v>
      </c>
      <c r="I208" s="28" t="s">
        <v>2714</v>
      </c>
      <c r="J208" s="28" t="s">
        <v>13554</v>
      </c>
      <c r="K208" s="28" t="s">
        <v>13674</v>
      </c>
      <c r="L208" s="28" t="s">
        <v>11859</v>
      </c>
      <c r="M208" s="308" t="s">
        <v>2660</v>
      </c>
      <c r="N208" s="28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  <c r="AD208" s="101"/>
      <c r="AE208" s="101"/>
    </row>
    <row r="209" spans="1:31" ht="14.4">
      <c r="A209" s="28" t="s">
        <v>45</v>
      </c>
      <c r="B209" s="28" t="s">
        <v>11849</v>
      </c>
      <c r="C209" s="28" t="s">
        <v>260</v>
      </c>
      <c r="D209" s="107" t="s">
        <v>1337</v>
      </c>
      <c r="E209" s="107"/>
      <c r="F209" s="28" t="s">
        <v>13677</v>
      </c>
      <c r="G209" s="28" t="s">
        <v>13678</v>
      </c>
      <c r="H209" s="28" t="s">
        <v>13679</v>
      </c>
      <c r="I209" s="28" t="s">
        <v>2714</v>
      </c>
      <c r="J209" s="28" t="s">
        <v>13554</v>
      </c>
      <c r="K209" s="28" t="s">
        <v>13679</v>
      </c>
      <c r="L209" s="28" t="s">
        <v>13681</v>
      </c>
      <c r="M209" s="308" t="s">
        <v>2660</v>
      </c>
      <c r="N209" s="28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  <c r="AA209" s="101"/>
      <c r="AB209" s="101"/>
      <c r="AC209" s="101"/>
      <c r="AD209" s="101"/>
      <c r="AE209" s="101"/>
    </row>
    <row r="210" spans="1:31" ht="14.4">
      <c r="A210" s="28" t="s">
        <v>45</v>
      </c>
      <c r="B210" s="28" t="s">
        <v>11849</v>
      </c>
      <c r="C210" s="28" t="s">
        <v>260</v>
      </c>
      <c r="D210" s="107" t="s">
        <v>1337</v>
      </c>
      <c r="E210" s="107"/>
      <c r="F210" s="28" t="s">
        <v>13682</v>
      </c>
      <c r="G210" s="28" t="s">
        <v>13683</v>
      </c>
      <c r="H210" s="28" t="s">
        <v>11855</v>
      </c>
      <c r="I210" s="28" t="s">
        <v>13553</v>
      </c>
      <c r="J210" s="28" t="s">
        <v>13554</v>
      </c>
      <c r="K210" s="28" t="s">
        <v>13686</v>
      </c>
      <c r="L210" s="28" t="s">
        <v>11859</v>
      </c>
      <c r="M210" s="308" t="s">
        <v>2660</v>
      </c>
      <c r="N210" s="28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</row>
    <row r="211" spans="1:31" ht="14.4">
      <c r="A211" s="28" t="s">
        <v>45</v>
      </c>
      <c r="B211" s="28" t="s">
        <v>11849</v>
      </c>
      <c r="C211" s="28" t="s">
        <v>260</v>
      </c>
      <c r="D211" s="107" t="s">
        <v>1337</v>
      </c>
      <c r="E211" s="107"/>
      <c r="F211" s="28" t="s">
        <v>13687</v>
      </c>
      <c r="G211" s="28" t="s">
        <v>13689</v>
      </c>
      <c r="H211" s="28" t="s">
        <v>13691</v>
      </c>
      <c r="I211" s="28" t="s">
        <v>521</v>
      </c>
      <c r="J211" s="28" t="s">
        <v>13693</v>
      </c>
      <c r="K211" s="28" t="s">
        <v>13694</v>
      </c>
      <c r="L211" s="28" t="s">
        <v>12777</v>
      </c>
      <c r="M211" s="308" t="s">
        <v>2660</v>
      </c>
      <c r="N211" s="28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</row>
    <row r="212" spans="1:31" ht="14.4">
      <c r="A212" s="28" t="s">
        <v>45</v>
      </c>
      <c r="B212" s="28" t="s">
        <v>11849</v>
      </c>
      <c r="C212" s="28" t="s">
        <v>260</v>
      </c>
      <c r="D212" s="107" t="s">
        <v>1337</v>
      </c>
      <c r="E212" s="107"/>
      <c r="F212" s="28" t="s">
        <v>13696</v>
      </c>
      <c r="G212" s="28" t="s">
        <v>13697</v>
      </c>
      <c r="H212" s="28" t="s">
        <v>11855</v>
      </c>
      <c r="I212" s="28" t="s">
        <v>13553</v>
      </c>
      <c r="J212" s="28" t="s">
        <v>13554</v>
      </c>
      <c r="K212" s="28" t="s">
        <v>13698</v>
      </c>
      <c r="L212" s="28" t="s">
        <v>11859</v>
      </c>
      <c r="M212" s="308" t="s">
        <v>2660</v>
      </c>
      <c r="N212" s="28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  <c r="AA212" s="101"/>
      <c r="AB212" s="101"/>
      <c r="AC212" s="101"/>
      <c r="AD212" s="101"/>
      <c r="AE212" s="101"/>
    </row>
    <row r="213" spans="1:31" ht="14.4">
      <c r="A213" s="28" t="s">
        <v>45</v>
      </c>
      <c r="B213" s="28" t="s">
        <v>11864</v>
      </c>
      <c r="C213" s="28" t="s">
        <v>260</v>
      </c>
      <c r="D213" s="107" t="s">
        <v>1337</v>
      </c>
      <c r="E213" s="107"/>
      <c r="F213" s="28" t="s">
        <v>13700</v>
      </c>
      <c r="G213" s="279" t="s">
        <v>13702</v>
      </c>
      <c r="H213" s="334" t="s">
        <v>11882</v>
      </c>
      <c r="I213" s="334" t="s">
        <v>11883</v>
      </c>
      <c r="J213" s="28" t="s">
        <v>13704</v>
      </c>
      <c r="K213" s="254" t="s">
        <v>13480</v>
      </c>
      <c r="L213" s="28" t="s">
        <v>13705</v>
      </c>
      <c r="M213" s="308" t="s">
        <v>2660</v>
      </c>
      <c r="N213" s="28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  <c r="AA213" s="101"/>
      <c r="AB213" s="101"/>
      <c r="AC213" s="101"/>
      <c r="AD213" s="101"/>
      <c r="AE213" s="101"/>
    </row>
    <row r="214" spans="1:31" ht="14.4">
      <c r="A214" s="28" t="s">
        <v>45</v>
      </c>
      <c r="B214" s="28" t="s">
        <v>11864</v>
      </c>
      <c r="C214" s="28" t="s">
        <v>260</v>
      </c>
      <c r="D214" s="107" t="s">
        <v>1337</v>
      </c>
      <c r="E214" s="107"/>
      <c r="F214" s="28" t="s">
        <v>13706</v>
      </c>
      <c r="G214" s="279" t="s">
        <v>13707</v>
      </c>
      <c r="H214" s="334" t="s">
        <v>11882</v>
      </c>
      <c r="I214" s="334" t="s">
        <v>11883</v>
      </c>
      <c r="J214" s="28" t="s">
        <v>13708</v>
      </c>
      <c r="K214" s="254" t="s">
        <v>13480</v>
      </c>
      <c r="L214" s="28" t="s">
        <v>13705</v>
      </c>
      <c r="M214" s="308" t="s">
        <v>2660</v>
      </c>
      <c r="N214" s="28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  <c r="AD214" s="101"/>
      <c r="AE214" s="101"/>
    </row>
    <row r="215" spans="1:31" ht="14.4">
      <c r="A215" s="28" t="s">
        <v>45</v>
      </c>
      <c r="B215" s="28" t="s">
        <v>11864</v>
      </c>
      <c r="C215" s="28" t="s">
        <v>260</v>
      </c>
      <c r="D215" s="107" t="s">
        <v>1337</v>
      </c>
      <c r="E215" s="107"/>
      <c r="F215" s="28" t="s">
        <v>13709</v>
      </c>
      <c r="G215" s="279" t="s">
        <v>13710</v>
      </c>
      <c r="H215" s="334" t="s">
        <v>11882</v>
      </c>
      <c r="I215" s="334" t="s">
        <v>11883</v>
      </c>
      <c r="J215" s="28" t="s">
        <v>13711</v>
      </c>
      <c r="K215" s="254" t="s">
        <v>13480</v>
      </c>
      <c r="L215" s="28" t="s">
        <v>13705</v>
      </c>
      <c r="M215" s="308" t="s">
        <v>2660</v>
      </c>
      <c r="N215" s="28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  <c r="AA215" s="101"/>
      <c r="AB215" s="101"/>
      <c r="AC215" s="101"/>
      <c r="AD215" s="101"/>
      <c r="AE215" s="101"/>
    </row>
    <row r="216" spans="1:31" ht="14.4">
      <c r="A216" s="28" t="s">
        <v>45</v>
      </c>
      <c r="B216" s="28" t="s">
        <v>11864</v>
      </c>
      <c r="C216" s="28" t="s">
        <v>260</v>
      </c>
      <c r="D216" s="107" t="s">
        <v>1337</v>
      </c>
      <c r="E216" s="107"/>
      <c r="F216" s="28" t="s">
        <v>13712</v>
      </c>
      <c r="G216" s="279" t="s">
        <v>13713</v>
      </c>
      <c r="H216" s="334" t="s">
        <v>11882</v>
      </c>
      <c r="I216" s="334" t="s">
        <v>11883</v>
      </c>
      <c r="J216" s="28" t="s">
        <v>13714</v>
      </c>
      <c r="K216" s="254" t="s">
        <v>13480</v>
      </c>
      <c r="L216" s="28" t="s">
        <v>13705</v>
      </c>
      <c r="M216" s="308" t="s">
        <v>2660</v>
      </c>
      <c r="N216" s="28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  <c r="AA216" s="101"/>
      <c r="AB216" s="101"/>
      <c r="AC216" s="101"/>
      <c r="AD216" s="101"/>
      <c r="AE216" s="101"/>
    </row>
    <row r="217" spans="1:31" ht="14.4">
      <c r="A217" s="28" t="s">
        <v>45</v>
      </c>
      <c r="B217" s="28" t="s">
        <v>11864</v>
      </c>
      <c r="C217" s="28" t="s">
        <v>260</v>
      </c>
      <c r="D217" s="107" t="s">
        <v>1337</v>
      </c>
      <c r="E217" s="107"/>
      <c r="F217" s="28" t="s">
        <v>13715</v>
      </c>
      <c r="G217" s="279" t="s">
        <v>13716</v>
      </c>
      <c r="H217" s="334" t="s">
        <v>13717</v>
      </c>
      <c r="I217" s="288" t="s">
        <v>13718</v>
      </c>
      <c r="J217" s="28" t="s">
        <v>13719</v>
      </c>
      <c r="K217" s="337" t="s">
        <v>13720</v>
      </c>
      <c r="L217" s="28" t="s">
        <v>13003</v>
      </c>
      <c r="M217" s="308" t="s">
        <v>2660</v>
      </c>
      <c r="N217" s="28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  <c r="AA217" s="101"/>
      <c r="AB217" s="101"/>
      <c r="AC217" s="101"/>
      <c r="AD217" s="101"/>
      <c r="AE217" s="101"/>
    </row>
    <row r="218" spans="1:31" ht="14.4">
      <c r="A218" s="28" t="s">
        <v>45</v>
      </c>
      <c r="B218" s="28" t="s">
        <v>11864</v>
      </c>
      <c r="C218" s="28" t="s">
        <v>260</v>
      </c>
      <c r="D218" s="107" t="s">
        <v>1337</v>
      </c>
      <c r="E218" s="107"/>
      <c r="F218" s="28" t="s">
        <v>13721</v>
      </c>
      <c r="G218" s="28" t="s">
        <v>13722</v>
      </c>
      <c r="H218" s="28" t="s">
        <v>13723</v>
      </c>
      <c r="I218" s="279" t="s">
        <v>13499</v>
      </c>
      <c r="J218" s="28" t="s">
        <v>13724</v>
      </c>
      <c r="K218" s="28" t="s">
        <v>13480</v>
      </c>
      <c r="L218" s="28" t="s">
        <v>13003</v>
      </c>
      <c r="M218" s="308" t="s">
        <v>2660</v>
      </c>
      <c r="N218" s="28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  <c r="AA218" s="101"/>
      <c r="AB218" s="101"/>
      <c r="AC218" s="101"/>
      <c r="AD218" s="101"/>
      <c r="AE218" s="101"/>
    </row>
    <row r="219" spans="1:31" ht="14.4">
      <c r="A219" s="28" t="s">
        <v>45</v>
      </c>
      <c r="B219" s="28" t="s">
        <v>11864</v>
      </c>
      <c r="C219" s="28" t="s">
        <v>260</v>
      </c>
      <c r="D219" s="107" t="s">
        <v>1337</v>
      </c>
      <c r="E219" s="107"/>
      <c r="F219" s="28" t="s">
        <v>13725</v>
      </c>
      <c r="G219" s="279" t="s">
        <v>13726</v>
      </c>
      <c r="H219" s="334" t="s">
        <v>13727</v>
      </c>
      <c r="I219" s="288" t="s">
        <v>521</v>
      </c>
      <c r="J219" s="28" t="s">
        <v>13728</v>
      </c>
      <c r="K219" s="337" t="s">
        <v>13727</v>
      </c>
      <c r="L219" s="28" t="s">
        <v>13729</v>
      </c>
      <c r="M219" s="308" t="s">
        <v>2660</v>
      </c>
      <c r="N219" s="28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  <c r="AA219" s="101"/>
      <c r="AB219" s="101"/>
      <c r="AC219" s="101"/>
      <c r="AD219" s="101"/>
      <c r="AE219" s="101"/>
    </row>
    <row r="220" spans="1:31" ht="14.4">
      <c r="A220" s="28" t="s">
        <v>45</v>
      </c>
      <c r="B220" s="28" t="s">
        <v>11864</v>
      </c>
      <c r="C220" s="28" t="s">
        <v>260</v>
      </c>
      <c r="D220" s="107" t="s">
        <v>1337</v>
      </c>
      <c r="E220" s="107"/>
      <c r="F220" s="28" t="s">
        <v>13730</v>
      </c>
      <c r="G220" s="28" t="s">
        <v>13731</v>
      </c>
      <c r="H220" s="28" t="s">
        <v>13723</v>
      </c>
      <c r="I220" s="279" t="s">
        <v>13499</v>
      </c>
      <c r="J220" s="28" t="s">
        <v>13732</v>
      </c>
      <c r="K220" s="28" t="s">
        <v>13480</v>
      </c>
      <c r="L220" s="28" t="s">
        <v>13003</v>
      </c>
      <c r="M220" s="308" t="s">
        <v>2660</v>
      </c>
      <c r="N220" s="28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  <c r="AA220" s="101"/>
      <c r="AB220" s="101"/>
      <c r="AC220" s="101"/>
      <c r="AD220" s="101"/>
      <c r="AE220" s="101"/>
    </row>
    <row r="221" spans="1:31" ht="14.4">
      <c r="A221" s="28" t="s">
        <v>45</v>
      </c>
      <c r="B221" s="28" t="s">
        <v>11864</v>
      </c>
      <c r="C221" s="28" t="s">
        <v>260</v>
      </c>
      <c r="D221" s="107" t="s">
        <v>1337</v>
      </c>
      <c r="E221" s="107"/>
      <c r="F221" s="28" t="s">
        <v>13733</v>
      </c>
      <c r="G221" s="28" t="s">
        <v>13734</v>
      </c>
      <c r="H221" s="28" t="s">
        <v>13723</v>
      </c>
      <c r="I221" s="279" t="s">
        <v>13499</v>
      </c>
      <c r="J221" s="28" t="s">
        <v>13735</v>
      </c>
      <c r="K221" s="28" t="s">
        <v>13480</v>
      </c>
      <c r="L221" s="28" t="s">
        <v>13003</v>
      </c>
      <c r="M221" s="308" t="s">
        <v>2660</v>
      </c>
      <c r="N221" s="28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  <c r="AA221" s="101"/>
      <c r="AB221" s="101"/>
      <c r="AC221" s="101"/>
      <c r="AD221" s="101"/>
      <c r="AE221" s="101"/>
    </row>
    <row r="222" spans="1:31" ht="14.4">
      <c r="A222" s="28" t="s">
        <v>45</v>
      </c>
      <c r="B222" s="28" t="s">
        <v>11864</v>
      </c>
      <c r="C222" s="28" t="s">
        <v>260</v>
      </c>
      <c r="D222" s="107" t="s">
        <v>1337</v>
      </c>
      <c r="E222" s="107"/>
      <c r="F222" s="28" t="s">
        <v>13736</v>
      </c>
      <c r="G222" s="28" t="s">
        <v>13737</v>
      </c>
      <c r="H222" s="28" t="s">
        <v>11882</v>
      </c>
      <c r="I222" s="279" t="s">
        <v>11883</v>
      </c>
      <c r="J222" s="288" t="s">
        <v>13738</v>
      </c>
      <c r="K222" s="28" t="s">
        <v>13480</v>
      </c>
      <c r="L222" s="28" t="s">
        <v>13003</v>
      </c>
      <c r="M222" s="308" t="s">
        <v>2660</v>
      </c>
      <c r="N222" s="28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1"/>
      <c r="AE222" s="101"/>
    </row>
    <row r="223" spans="1:31" ht="14.4">
      <c r="A223" s="28" t="s">
        <v>45</v>
      </c>
      <c r="B223" s="28" t="s">
        <v>11892</v>
      </c>
      <c r="C223" s="28" t="s">
        <v>260</v>
      </c>
      <c r="D223" s="107" t="s">
        <v>1337</v>
      </c>
      <c r="E223" s="107"/>
      <c r="F223" s="28" t="s">
        <v>13739</v>
      </c>
      <c r="G223" s="60" t="s">
        <v>1342</v>
      </c>
      <c r="H223" s="28" t="s">
        <v>13740</v>
      </c>
      <c r="I223" s="28" t="s">
        <v>887</v>
      </c>
      <c r="J223" s="28" t="s">
        <v>13741</v>
      </c>
      <c r="K223" s="28" t="s">
        <v>13742</v>
      </c>
      <c r="L223" s="28" t="s">
        <v>13743</v>
      </c>
      <c r="M223" s="308" t="s">
        <v>41</v>
      </c>
      <c r="N223" s="28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  <c r="AD223" s="101"/>
      <c r="AE223" s="101"/>
    </row>
    <row r="224" spans="1:31" ht="14.4">
      <c r="A224" s="28" t="s">
        <v>45</v>
      </c>
      <c r="B224" s="28" t="s">
        <v>11892</v>
      </c>
      <c r="C224" s="28" t="s">
        <v>260</v>
      </c>
      <c r="D224" s="107" t="s">
        <v>1337</v>
      </c>
      <c r="E224" s="107"/>
      <c r="F224" s="28" t="s">
        <v>13744</v>
      </c>
      <c r="G224" s="60" t="s">
        <v>1342</v>
      </c>
      <c r="H224" s="28" t="s">
        <v>13745</v>
      </c>
      <c r="I224" s="28" t="s">
        <v>887</v>
      </c>
      <c r="J224" s="28" t="s">
        <v>13746</v>
      </c>
      <c r="K224" s="28" t="s">
        <v>13747</v>
      </c>
      <c r="L224" s="28" t="s">
        <v>13748</v>
      </c>
      <c r="M224" s="308" t="s">
        <v>41</v>
      </c>
      <c r="N224" s="28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  <c r="AD224" s="101"/>
      <c r="AE224" s="101"/>
    </row>
    <row r="225" spans="1:31" ht="14.4">
      <c r="A225" s="28" t="s">
        <v>45</v>
      </c>
      <c r="B225" s="28" t="s">
        <v>11892</v>
      </c>
      <c r="C225" s="28" t="s">
        <v>260</v>
      </c>
      <c r="D225" s="107" t="s">
        <v>1337</v>
      </c>
      <c r="E225" s="107"/>
      <c r="F225" s="28" t="s">
        <v>13749</v>
      </c>
      <c r="G225" s="60" t="s">
        <v>1342</v>
      </c>
      <c r="H225" s="28" t="s">
        <v>13150</v>
      </c>
      <c r="I225" s="28" t="s">
        <v>887</v>
      </c>
      <c r="J225" s="28" t="s">
        <v>13750</v>
      </c>
      <c r="K225" s="28" t="s">
        <v>13751</v>
      </c>
      <c r="L225" s="28" t="s">
        <v>13752</v>
      </c>
      <c r="M225" s="308" t="s">
        <v>41</v>
      </c>
      <c r="N225" s="28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  <c r="AD225" s="101"/>
      <c r="AE225" s="101"/>
    </row>
    <row r="226" spans="1:31" ht="14.4">
      <c r="A226" s="28" t="s">
        <v>45</v>
      </c>
      <c r="B226" s="28" t="s">
        <v>11892</v>
      </c>
      <c r="C226" s="28" t="s">
        <v>260</v>
      </c>
      <c r="D226" s="107" t="s">
        <v>1337</v>
      </c>
      <c r="E226" s="107"/>
      <c r="F226" s="28" t="s">
        <v>13753</v>
      </c>
      <c r="G226" s="60" t="s">
        <v>1342</v>
      </c>
      <c r="H226" s="28" t="s">
        <v>13754</v>
      </c>
      <c r="I226" s="28" t="s">
        <v>887</v>
      </c>
      <c r="J226" s="28" t="s">
        <v>13755</v>
      </c>
      <c r="K226" s="28" t="s">
        <v>13756</v>
      </c>
      <c r="L226" s="28" t="s">
        <v>13757</v>
      </c>
      <c r="M226" s="308" t="s">
        <v>41</v>
      </c>
      <c r="N226" s="28" t="s">
        <v>11888</v>
      </c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  <c r="AA226" s="101"/>
      <c r="AB226" s="101"/>
      <c r="AC226" s="101"/>
      <c r="AD226" s="101"/>
      <c r="AE226" s="101"/>
    </row>
    <row r="227" spans="1:31" ht="14.4">
      <c r="A227" s="28" t="s">
        <v>45</v>
      </c>
      <c r="B227" s="28" t="s">
        <v>11892</v>
      </c>
      <c r="C227" s="28" t="s">
        <v>260</v>
      </c>
      <c r="D227" s="107" t="s">
        <v>1337</v>
      </c>
      <c r="E227" s="107"/>
      <c r="F227" s="28" t="s">
        <v>13758</v>
      </c>
      <c r="G227" s="60" t="s">
        <v>1342</v>
      </c>
      <c r="H227" s="28" t="s">
        <v>13759</v>
      </c>
      <c r="I227" s="28" t="s">
        <v>13760</v>
      </c>
      <c r="J227" s="28" t="s">
        <v>13761</v>
      </c>
      <c r="K227" s="28" t="s">
        <v>13762</v>
      </c>
      <c r="L227" s="28" t="s">
        <v>13763</v>
      </c>
      <c r="M227" s="308" t="s">
        <v>41</v>
      </c>
      <c r="N227" s="28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  <c r="AA227" s="101"/>
      <c r="AB227" s="101"/>
      <c r="AC227" s="101"/>
      <c r="AD227" s="101"/>
      <c r="AE227" s="101"/>
    </row>
    <row r="228" spans="1:31" ht="14.4">
      <c r="A228" s="28" t="s">
        <v>45</v>
      </c>
      <c r="B228" s="28" t="s">
        <v>11892</v>
      </c>
      <c r="C228" s="28" t="s">
        <v>260</v>
      </c>
      <c r="D228" s="107" t="s">
        <v>1337</v>
      </c>
      <c r="E228" s="107"/>
      <c r="F228" s="28" t="s">
        <v>13764</v>
      </c>
      <c r="G228" s="60" t="s">
        <v>1342</v>
      </c>
      <c r="H228" s="28" t="s">
        <v>13765</v>
      </c>
      <c r="I228" s="28" t="s">
        <v>887</v>
      </c>
      <c r="J228" s="28" t="s">
        <v>13766</v>
      </c>
      <c r="K228" s="28" t="s">
        <v>13767</v>
      </c>
      <c r="L228" s="28" t="s">
        <v>13768</v>
      </c>
      <c r="M228" s="308" t="s">
        <v>41</v>
      </c>
      <c r="N228" s="28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  <c r="AA228" s="101"/>
      <c r="AB228" s="101"/>
      <c r="AC228" s="101"/>
      <c r="AD228" s="101"/>
      <c r="AE228" s="101"/>
    </row>
    <row r="229" spans="1:31" ht="14.4">
      <c r="A229" s="28" t="s">
        <v>45</v>
      </c>
      <c r="B229" s="28" t="s">
        <v>11892</v>
      </c>
      <c r="C229" s="28" t="s">
        <v>260</v>
      </c>
      <c r="D229" s="107" t="s">
        <v>1337</v>
      </c>
      <c r="E229" s="107"/>
      <c r="F229" s="28" t="s">
        <v>13769</v>
      </c>
      <c r="G229" s="60" t="s">
        <v>1342</v>
      </c>
      <c r="H229" s="28" t="s">
        <v>13770</v>
      </c>
      <c r="I229" s="28" t="s">
        <v>2714</v>
      </c>
      <c r="J229" s="28" t="s">
        <v>13771</v>
      </c>
      <c r="K229" s="28" t="s">
        <v>13772</v>
      </c>
      <c r="L229" s="28" t="s">
        <v>7120</v>
      </c>
      <c r="M229" s="308" t="s">
        <v>41</v>
      </c>
      <c r="N229" s="28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  <c r="AA229" s="101"/>
      <c r="AB229" s="101"/>
      <c r="AC229" s="101"/>
      <c r="AD229" s="101"/>
      <c r="AE229" s="101"/>
    </row>
    <row r="230" spans="1:31" ht="14.4">
      <c r="A230" s="28" t="s">
        <v>45</v>
      </c>
      <c r="B230" s="28" t="s">
        <v>11892</v>
      </c>
      <c r="C230" s="28" t="s">
        <v>260</v>
      </c>
      <c r="D230" s="107" t="s">
        <v>1337</v>
      </c>
      <c r="E230" s="107"/>
      <c r="F230" s="28" t="s">
        <v>13773</v>
      </c>
      <c r="G230" s="60" t="s">
        <v>1342</v>
      </c>
      <c r="H230" s="28" t="s">
        <v>13774</v>
      </c>
      <c r="I230" s="28" t="s">
        <v>13775</v>
      </c>
      <c r="J230" s="28" t="s">
        <v>13776</v>
      </c>
      <c r="K230" s="28" t="s">
        <v>13777</v>
      </c>
      <c r="L230" s="28" t="s">
        <v>13778</v>
      </c>
      <c r="M230" s="308" t="s">
        <v>41</v>
      </c>
      <c r="N230" s="28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  <c r="AA230" s="101"/>
      <c r="AB230" s="101"/>
      <c r="AC230" s="101"/>
      <c r="AD230" s="101"/>
      <c r="AE230" s="101"/>
    </row>
    <row r="231" spans="1:31" ht="14.4">
      <c r="A231" s="28" t="s">
        <v>45</v>
      </c>
      <c r="B231" s="28" t="s">
        <v>11892</v>
      </c>
      <c r="C231" s="28" t="s">
        <v>260</v>
      </c>
      <c r="D231" s="107" t="s">
        <v>1337</v>
      </c>
      <c r="E231" s="107"/>
      <c r="F231" s="28" t="s">
        <v>13779</v>
      </c>
      <c r="G231" s="60" t="s">
        <v>1342</v>
      </c>
      <c r="H231" s="28" t="s">
        <v>12121</v>
      </c>
      <c r="I231" s="28" t="s">
        <v>521</v>
      </c>
      <c r="J231" s="28" t="s">
        <v>13780</v>
      </c>
      <c r="K231" s="28" t="s">
        <v>13781</v>
      </c>
      <c r="L231" s="28" t="s">
        <v>7120</v>
      </c>
      <c r="M231" s="308" t="s">
        <v>41</v>
      </c>
      <c r="N231" s="28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  <c r="AA231" s="101"/>
      <c r="AB231" s="101"/>
      <c r="AC231" s="101"/>
      <c r="AD231" s="101"/>
      <c r="AE231" s="101"/>
    </row>
    <row r="232" spans="1:31" ht="14.4">
      <c r="A232" s="28" t="s">
        <v>45</v>
      </c>
      <c r="B232" s="28" t="s">
        <v>11892</v>
      </c>
      <c r="C232" s="28" t="s">
        <v>260</v>
      </c>
      <c r="D232" s="107" t="s">
        <v>1337</v>
      </c>
      <c r="E232" s="107"/>
      <c r="F232" s="28" t="s">
        <v>13782</v>
      </c>
      <c r="G232" s="60" t="s">
        <v>1342</v>
      </c>
      <c r="H232" s="28" t="s">
        <v>13783</v>
      </c>
      <c r="I232" s="28" t="s">
        <v>2714</v>
      </c>
      <c r="J232" s="28" t="s">
        <v>13784</v>
      </c>
      <c r="K232" s="28" t="s">
        <v>13785</v>
      </c>
      <c r="L232" s="28" t="s">
        <v>13786</v>
      </c>
      <c r="M232" s="308" t="s">
        <v>41</v>
      </c>
      <c r="N232" s="28" t="s">
        <v>13787</v>
      </c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  <c r="Z232" s="101"/>
      <c r="AA232" s="101"/>
      <c r="AB232" s="101"/>
      <c r="AC232" s="101"/>
      <c r="AD232" s="101"/>
      <c r="AE232" s="101"/>
    </row>
    <row r="233" spans="1:31" ht="14.4">
      <c r="A233" s="28" t="s">
        <v>45</v>
      </c>
      <c r="B233" s="28" t="s">
        <v>11892</v>
      </c>
      <c r="C233" s="28" t="s">
        <v>260</v>
      </c>
      <c r="D233" s="107" t="s">
        <v>1337</v>
      </c>
      <c r="E233" s="107"/>
      <c r="F233" s="28" t="s">
        <v>13788</v>
      </c>
      <c r="G233" s="60" t="s">
        <v>1342</v>
      </c>
      <c r="H233" s="28" t="s">
        <v>13789</v>
      </c>
      <c r="I233" s="28" t="s">
        <v>887</v>
      </c>
      <c r="J233" s="28" t="s">
        <v>13790</v>
      </c>
      <c r="K233" s="28" t="s">
        <v>13791</v>
      </c>
      <c r="L233" s="28" t="s">
        <v>13792</v>
      </c>
      <c r="M233" s="308" t="s">
        <v>41</v>
      </c>
      <c r="N233" s="28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</row>
    <row r="234" spans="1:31" ht="14.4">
      <c r="A234" s="28" t="s">
        <v>45</v>
      </c>
      <c r="B234" s="28" t="s">
        <v>11892</v>
      </c>
      <c r="C234" s="28" t="s">
        <v>260</v>
      </c>
      <c r="D234" s="107" t="s">
        <v>1337</v>
      </c>
      <c r="E234" s="107"/>
      <c r="F234" s="28" t="s">
        <v>13793</v>
      </c>
      <c r="G234" s="60" t="s">
        <v>1342</v>
      </c>
      <c r="H234" s="28" t="s">
        <v>13794</v>
      </c>
      <c r="I234" s="28" t="s">
        <v>1595</v>
      </c>
      <c r="J234" s="28" t="s">
        <v>13795</v>
      </c>
      <c r="K234" s="28" t="s">
        <v>13796</v>
      </c>
      <c r="L234" s="28" t="s">
        <v>13797</v>
      </c>
      <c r="M234" s="308" t="s">
        <v>41</v>
      </c>
      <c r="N234" s="28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</row>
    <row r="235" spans="1:31" ht="14.4">
      <c r="A235" s="28" t="s">
        <v>45</v>
      </c>
      <c r="B235" s="28" t="s">
        <v>11892</v>
      </c>
      <c r="C235" s="28" t="s">
        <v>260</v>
      </c>
      <c r="D235" s="107" t="s">
        <v>1337</v>
      </c>
      <c r="E235" s="107"/>
      <c r="F235" s="28" t="s">
        <v>13798</v>
      </c>
      <c r="G235" s="60" t="s">
        <v>1342</v>
      </c>
      <c r="H235" s="28" t="s">
        <v>13770</v>
      </c>
      <c r="I235" s="28" t="s">
        <v>2714</v>
      </c>
      <c r="J235" s="28" t="s">
        <v>13799</v>
      </c>
      <c r="K235" s="28" t="s">
        <v>13800</v>
      </c>
      <c r="L235" s="28" t="s">
        <v>7120</v>
      </c>
      <c r="M235" s="308" t="s">
        <v>41</v>
      </c>
      <c r="N235" s="28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  <c r="AA235" s="101"/>
      <c r="AB235" s="101"/>
      <c r="AC235" s="101"/>
      <c r="AD235" s="101"/>
      <c r="AE235" s="101"/>
    </row>
    <row r="236" spans="1:31" ht="14.4">
      <c r="A236" s="28" t="s">
        <v>45</v>
      </c>
      <c r="B236" s="28" t="s">
        <v>11892</v>
      </c>
      <c r="C236" s="28" t="s">
        <v>260</v>
      </c>
      <c r="D236" s="107" t="s">
        <v>1337</v>
      </c>
      <c r="E236" s="107"/>
      <c r="F236" s="28" t="s">
        <v>13801</v>
      </c>
      <c r="G236" s="60" t="s">
        <v>1342</v>
      </c>
      <c r="H236" s="28" t="s">
        <v>13167</v>
      </c>
      <c r="I236" s="28" t="s">
        <v>521</v>
      </c>
      <c r="J236" s="28" t="s">
        <v>13802</v>
      </c>
      <c r="K236" s="28" t="s">
        <v>13803</v>
      </c>
      <c r="L236" s="28" t="s">
        <v>13804</v>
      </c>
      <c r="M236" s="308" t="s">
        <v>41</v>
      </c>
      <c r="N236" s="28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  <c r="AA236" s="101"/>
      <c r="AB236" s="101"/>
      <c r="AC236" s="101"/>
      <c r="AD236" s="101"/>
      <c r="AE236" s="101"/>
    </row>
    <row r="237" spans="1:31" ht="14.4">
      <c r="A237" s="133" t="s">
        <v>45</v>
      </c>
      <c r="B237" s="98" t="s">
        <v>11892</v>
      </c>
      <c r="C237" s="98" t="s">
        <v>260</v>
      </c>
      <c r="D237" s="107" t="s">
        <v>1337</v>
      </c>
      <c r="E237" s="184"/>
      <c r="F237" s="98" t="s">
        <v>13805</v>
      </c>
      <c r="G237" s="60" t="s">
        <v>1342</v>
      </c>
      <c r="H237" s="98" t="s">
        <v>13806</v>
      </c>
      <c r="I237" s="98" t="s">
        <v>887</v>
      </c>
      <c r="J237" s="98" t="s">
        <v>13807</v>
      </c>
      <c r="K237" s="98" t="s">
        <v>13305</v>
      </c>
      <c r="L237" s="98" t="s">
        <v>13808</v>
      </c>
      <c r="M237" s="338" t="s">
        <v>41</v>
      </c>
      <c r="N237" s="98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  <c r="AA237" s="101"/>
      <c r="AB237" s="101"/>
      <c r="AC237" s="101"/>
      <c r="AD237" s="101"/>
      <c r="AE237" s="101"/>
    </row>
    <row r="238" spans="1:31" ht="14.4">
      <c r="A238" s="271" t="s">
        <v>45</v>
      </c>
      <c r="B238" s="339" t="s">
        <v>11892</v>
      </c>
      <c r="C238" s="339" t="s">
        <v>260</v>
      </c>
      <c r="D238" s="340" t="s">
        <v>1337</v>
      </c>
      <c r="E238" s="341"/>
      <c r="F238" s="339" t="s">
        <v>13809</v>
      </c>
      <c r="G238" s="338" t="s">
        <v>1342</v>
      </c>
      <c r="H238" s="339" t="s">
        <v>13810</v>
      </c>
      <c r="I238" s="339" t="s">
        <v>521</v>
      </c>
      <c r="J238" s="339" t="s">
        <v>13811</v>
      </c>
      <c r="K238" s="339" t="s">
        <v>13810</v>
      </c>
      <c r="L238" s="266" t="s">
        <v>7361</v>
      </c>
      <c r="M238" s="271" t="s">
        <v>41</v>
      </c>
      <c r="N238" s="339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  <c r="AA238" s="101"/>
      <c r="AB238" s="101"/>
      <c r="AC238" s="101"/>
      <c r="AD238" s="101"/>
      <c r="AE238" s="101"/>
    </row>
    <row r="239" spans="1:31" ht="14.4">
      <c r="A239" s="254" t="s">
        <v>45</v>
      </c>
      <c r="B239" s="254" t="s">
        <v>11892</v>
      </c>
      <c r="C239" s="254" t="s">
        <v>260</v>
      </c>
      <c r="D239" s="306" t="s">
        <v>1337</v>
      </c>
      <c r="E239" s="306"/>
      <c r="F239" s="254" t="s">
        <v>13812</v>
      </c>
      <c r="G239" s="254" t="s">
        <v>1342</v>
      </c>
      <c r="H239" s="254" t="s">
        <v>13813</v>
      </c>
      <c r="I239" s="254" t="s">
        <v>521</v>
      </c>
      <c r="J239" s="254"/>
      <c r="K239" s="254" t="s">
        <v>13742</v>
      </c>
      <c r="L239" s="254" t="s">
        <v>7120</v>
      </c>
      <c r="M239" s="254" t="s">
        <v>41</v>
      </c>
      <c r="N239" s="342" t="s">
        <v>13814</v>
      </c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  <c r="Z239" s="101"/>
      <c r="AA239" s="101"/>
      <c r="AB239" s="101"/>
      <c r="AC239" s="101"/>
      <c r="AD239" s="101"/>
      <c r="AE239" s="101"/>
    </row>
    <row r="240" spans="1:31" ht="14.4">
      <c r="A240" s="275" t="s">
        <v>45</v>
      </c>
      <c r="B240" s="254" t="s">
        <v>11892</v>
      </c>
      <c r="C240" s="254" t="s">
        <v>260</v>
      </c>
      <c r="D240" s="306" t="s">
        <v>1337</v>
      </c>
      <c r="E240" s="306"/>
      <c r="F240" s="254" t="s">
        <v>13815</v>
      </c>
      <c r="G240" s="254" t="s">
        <v>1342</v>
      </c>
      <c r="H240" s="254" t="s">
        <v>13816</v>
      </c>
      <c r="I240" s="254" t="s">
        <v>898</v>
      </c>
      <c r="J240" s="254"/>
      <c r="K240" s="254" t="s">
        <v>13817</v>
      </c>
      <c r="L240" s="254" t="s">
        <v>2230</v>
      </c>
      <c r="M240" s="254" t="s">
        <v>41</v>
      </c>
      <c r="N240" s="308" t="s">
        <v>13814</v>
      </c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  <c r="AA240" s="101"/>
      <c r="AB240" s="101"/>
      <c r="AC240" s="101"/>
      <c r="AD240" s="101"/>
      <c r="AE240" s="101"/>
    </row>
    <row r="241" spans="1:31" ht="43.2">
      <c r="A241" s="28" t="s">
        <v>45</v>
      </c>
      <c r="B241" s="254"/>
      <c r="C241" s="254" t="s">
        <v>20</v>
      </c>
      <c r="D241" s="254" t="s">
        <v>1305</v>
      </c>
      <c r="E241" s="254"/>
      <c r="F241" s="254" t="s">
        <v>13818</v>
      </c>
      <c r="G241" s="208" t="s">
        <v>13819</v>
      </c>
      <c r="H241" s="254"/>
      <c r="I241" s="254" t="s">
        <v>13820</v>
      </c>
      <c r="J241" s="254" t="s">
        <v>13821</v>
      </c>
      <c r="K241" s="194"/>
      <c r="L241" s="254"/>
      <c r="M241" s="275" t="s">
        <v>41</v>
      </c>
      <c r="N241" s="254" t="s">
        <v>13822</v>
      </c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 spans="1:31" ht="13.8">
      <c r="A242" s="101"/>
      <c r="B242" s="101"/>
      <c r="C242" s="101"/>
      <c r="D242" s="101"/>
      <c r="E242" s="101"/>
      <c r="F242" s="101"/>
      <c r="G242" s="101"/>
      <c r="H242" s="101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  <c r="AA242" s="101"/>
      <c r="AB242" s="101"/>
      <c r="AC242" s="101"/>
      <c r="AD242" s="101"/>
      <c r="AE242" s="101"/>
    </row>
    <row r="243" spans="1:31" ht="13.8">
      <c r="A243" s="101"/>
      <c r="B243" s="101"/>
      <c r="C243" s="101"/>
      <c r="D243" s="101"/>
      <c r="E243" s="101"/>
      <c r="F243" s="101"/>
      <c r="G243" s="101"/>
      <c r="H243" s="101"/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  <c r="AA243" s="101"/>
      <c r="AB243" s="101"/>
      <c r="AC243" s="101"/>
      <c r="AD243" s="101"/>
      <c r="AE243" s="101"/>
    </row>
    <row r="244" spans="1:31" ht="13.8">
      <c r="A244" s="101"/>
      <c r="B244" s="101"/>
      <c r="C244" s="101"/>
      <c r="D244" s="101"/>
      <c r="E244" s="101"/>
      <c r="F244" s="101"/>
      <c r="G244" s="101"/>
      <c r="H244" s="101"/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  <c r="AA244" s="101"/>
      <c r="AB244" s="101"/>
      <c r="AC244" s="101"/>
      <c r="AD244" s="101"/>
      <c r="AE244" s="101"/>
    </row>
    <row r="245" spans="1:31" ht="13.8">
      <c r="A245" s="101"/>
      <c r="B245" s="101"/>
      <c r="C245" s="101"/>
      <c r="D245" s="101"/>
      <c r="E245" s="101"/>
      <c r="F245" s="101"/>
      <c r="G245" s="101"/>
      <c r="H245" s="101"/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  <c r="AA245" s="101"/>
      <c r="AB245" s="101"/>
      <c r="AC245" s="101"/>
      <c r="AD245" s="101"/>
      <c r="AE245" s="101"/>
    </row>
    <row r="246" spans="1:31" ht="13.8">
      <c r="A246" s="101"/>
      <c r="B246" s="101"/>
      <c r="C246" s="101"/>
      <c r="D246" s="101"/>
      <c r="E246" s="101"/>
      <c r="F246" s="101"/>
      <c r="G246" s="101"/>
      <c r="H246" s="101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  <c r="AA246" s="101"/>
      <c r="AB246" s="101"/>
      <c r="AC246" s="101"/>
      <c r="AD246" s="101"/>
      <c r="AE246" s="101"/>
    </row>
    <row r="247" spans="1:31" ht="13.8">
      <c r="A247" s="101"/>
      <c r="B247" s="101"/>
      <c r="C247" s="101"/>
      <c r="D247" s="101"/>
      <c r="E247" s="101"/>
      <c r="F247" s="101"/>
      <c r="G247" s="101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  <c r="AA247" s="101"/>
      <c r="AB247" s="101"/>
      <c r="AC247" s="101"/>
      <c r="AD247" s="101"/>
      <c r="AE247" s="101"/>
    </row>
    <row r="248" spans="1:31" ht="13.8">
      <c r="A248" s="101"/>
      <c r="B248" s="101"/>
      <c r="C248" s="101"/>
      <c r="D248" s="101"/>
      <c r="E248" s="101"/>
      <c r="F248" s="101"/>
      <c r="G248" s="101"/>
      <c r="H248" s="101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  <c r="AA248" s="101"/>
      <c r="AB248" s="101"/>
      <c r="AC248" s="101"/>
      <c r="AD248" s="101"/>
      <c r="AE248" s="101"/>
    </row>
    <row r="249" spans="1:31" ht="13.8">
      <c r="A249" s="101"/>
      <c r="B249" s="101"/>
      <c r="C249" s="101"/>
      <c r="D249" s="101"/>
      <c r="E249" s="101"/>
      <c r="F249" s="101"/>
      <c r="G249" s="101"/>
      <c r="H249" s="101"/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  <c r="AA249" s="101"/>
      <c r="AB249" s="101"/>
      <c r="AC249" s="101"/>
      <c r="AD249" s="101"/>
      <c r="AE249" s="101"/>
    </row>
    <row r="250" spans="1:31" ht="13.8">
      <c r="A250" s="101"/>
      <c r="B250" s="101"/>
      <c r="C250" s="101"/>
      <c r="D250" s="101"/>
      <c r="E250" s="101"/>
      <c r="F250" s="101"/>
      <c r="G250" s="101"/>
      <c r="H250" s="101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  <c r="AA250" s="101"/>
      <c r="AB250" s="101"/>
      <c r="AC250" s="101"/>
      <c r="AD250" s="101"/>
      <c r="AE250" s="101"/>
    </row>
    <row r="251" spans="1:31" ht="13.8">
      <c r="A251" s="101"/>
      <c r="B251" s="101"/>
      <c r="C251" s="101"/>
      <c r="D251" s="101"/>
      <c r="E251" s="101"/>
      <c r="F251" s="101"/>
      <c r="G251" s="101"/>
      <c r="H251" s="101"/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  <c r="AA251" s="101"/>
      <c r="AB251" s="101"/>
      <c r="AC251" s="101"/>
      <c r="AD251" s="101"/>
      <c r="AE251" s="101"/>
    </row>
    <row r="252" spans="1:31" ht="13.8">
      <c r="A252" s="101"/>
      <c r="B252" s="101"/>
      <c r="C252" s="101"/>
      <c r="D252" s="101"/>
      <c r="E252" s="101"/>
      <c r="F252" s="101"/>
      <c r="G252" s="101"/>
      <c r="H252" s="101"/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  <c r="AA252" s="101"/>
      <c r="AB252" s="101"/>
      <c r="AC252" s="101"/>
      <c r="AD252" s="101"/>
      <c r="AE252" s="101"/>
    </row>
    <row r="253" spans="1:31" ht="13.8">
      <c r="A253" s="101"/>
      <c r="B253" s="101"/>
      <c r="C253" s="101"/>
      <c r="D253" s="101"/>
      <c r="E253" s="101"/>
      <c r="F253" s="101"/>
      <c r="G253" s="101"/>
      <c r="H253" s="101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  <c r="AA253" s="101"/>
      <c r="AB253" s="101"/>
      <c r="AC253" s="101"/>
      <c r="AD253" s="101"/>
      <c r="AE253" s="101"/>
    </row>
    <row r="254" spans="1:31" ht="13.8">
      <c r="A254" s="101"/>
      <c r="B254" s="101"/>
      <c r="C254" s="101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  <c r="AA254" s="101"/>
      <c r="AB254" s="101"/>
      <c r="AC254" s="101"/>
      <c r="AD254" s="101"/>
      <c r="AE254" s="101"/>
    </row>
    <row r="255" spans="1:31" ht="13.8">
      <c r="A255" s="101"/>
      <c r="B255" s="101"/>
      <c r="C255" s="101"/>
      <c r="D255" s="101"/>
      <c r="E255" s="101"/>
      <c r="F255" s="101"/>
      <c r="G255" s="101"/>
      <c r="H255" s="101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  <c r="AA255" s="101"/>
      <c r="AB255" s="101"/>
      <c r="AC255" s="101"/>
      <c r="AD255" s="101"/>
      <c r="AE255" s="101"/>
    </row>
    <row r="256" spans="1:31" ht="13.8">
      <c r="A256" s="101"/>
      <c r="B256" s="101"/>
      <c r="C256" s="101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</row>
    <row r="257" spans="1:31" ht="13.8">
      <c r="A257" s="101"/>
      <c r="B257" s="101"/>
      <c r="C257" s="101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</row>
    <row r="258" spans="1:31" ht="13.8">
      <c r="A258" s="101"/>
      <c r="B258" s="101"/>
      <c r="C258" s="101"/>
      <c r="D258" s="101"/>
      <c r="E258" s="101"/>
      <c r="F258" s="101"/>
      <c r="G258" s="101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  <c r="AA258" s="101"/>
      <c r="AB258" s="101"/>
      <c r="AC258" s="101"/>
      <c r="AD258" s="101"/>
      <c r="AE258" s="101"/>
    </row>
    <row r="259" spans="1:31" ht="13.8">
      <c r="A259" s="101"/>
      <c r="B259" s="101"/>
      <c r="C259" s="101"/>
      <c r="D259" s="101"/>
      <c r="E259" s="101"/>
      <c r="F259" s="101"/>
      <c r="G259" s="101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  <c r="AA259" s="101"/>
      <c r="AB259" s="101"/>
      <c r="AC259" s="101"/>
      <c r="AD259" s="101"/>
      <c r="AE259" s="101"/>
    </row>
    <row r="260" spans="1:31" ht="13.8">
      <c r="A260" s="101"/>
      <c r="B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  <c r="AD260" s="101"/>
      <c r="AE260" s="101"/>
    </row>
    <row r="261" spans="1:31" ht="13.8">
      <c r="A261" s="101"/>
      <c r="B261" s="101"/>
      <c r="C261" s="101"/>
      <c r="D261" s="101"/>
      <c r="E261" s="101"/>
      <c r="F261" s="101"/>
      <c r="G261" s="101"/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  <c r="AA261" s="101"/>
      <c r="AB261" s="101"/>
      <c r="AC261" s="101"/>
      <c r="AD261" s="101"/>
      <c r="AE261" s="101"/>
    </row>
    <row r="262" spans="1:31" ht="13.8">
      <c r="A262" s="101"/>
      <c r="B262" s="101"/>
      <c r="C262" s="101"/>
      <c r="D262" s="101"/>
      <c r="E262" s="101"/>
      <c r="F262" s="101"/>
      <c r="G262" s="101"/>
      <c r="H262" s="101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  <c r="AA262" s="101"/>
      <c r="AB262" s="101"/>
      <c r="AC262" s="101"/>
      <c r="AD262" s="101"/>
      <c r="AE262" s="101"/>
    </row>
    <row r="263" spans="1:31" ht="13.8">
      <c r="A263" s="101"/>
      <c r="B263" s="101"/>
      <c r="C263" s="101"/>
      <c r="D263" s="101"/>
      <c r="E263" s="101"/>
      <c r="F263" s="101"/>
      <c r="G263" s="101"/>
      <c r="H263" s="101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  <c r="AA263" s="101"/>
      <c r="AB263" s="101"/>
      <c r="AC263" s="101"/>
      <c r="AD263" s="101"/>
      <c r="AE263" s="101"/>
    </row>
    <row r="264" spans="1:31" ht="13.8">
      <c r="A264" s="101"/>
      <c r="B264" s="101"/>
      <c r="C264" s="101"/>
      <c r="D264" s="101"/>
      <c r="E264" s="101"/>
      <c r="F264" s="101"/>
      <c r="G264" s="101"/>
      <c r="H264" s="101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  <c r="AA264" s="101"/>
      <c r="AB264" s="101"/>
      <c r="AC264" s="101"/>
      <c r="AD264" s="101"/>
      <c r="AE264" s="101"/>
    </row>
    <row r="265" spans="1:31" ht="13.8">
      <c r="A265" s="101"/>
      <c r="B265" s="101"/>
      <c r="C265" s="101"/>
      <c r="D265" s="101"/>
      <c r="E265" s="101"/>
      <c r="F265" s="101"/>
      <c r="G265" s="101"/>
      <c r="H265" s="101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  <c r="Z265" s="101"/>
      <c r="AA265" s="101"/>
      <c r="AB265" s="101"/>
      <c r="AC265" s="101"/>
      <c r="AD265" s="101"/>
      <c r="AE265" s="101"/>
    </row>
    <row r="266" spans="1:31" ht="13.8">
      <c r="A266" s="101"/>
      <c r="B266" s="101"/>
      <c r="C266" s="101"/>
      <c r="D266" s="101"/>
      <c r="E266" s="101"/>
      <c r="F266" s="101"/>
      <c r="G266" s="101"/>
      <c r="H266" s="101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  <c r="AA266" s="101"/>
      <c r="AB266" s="101"/>
      <c r="AC266" s="101"/>
      <c r="AD266" s="101"/>
      <c r="AE266" s="101"/>
    </row>
    <row r="267" spans="1:31" ht="13.8">
      <c r="A267" s="101"/>
      <c r="B267" s="101"/>
      <c r="C267" s="101"/>
      <c r="D267" s="101"/>
      <c r="E267" s="101"/>
      <c r="F267" s="101"/>
      <c r="G267" s="101"/>
      <c r="H267" s="101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  <c r="Z267" s="101"/>
      <c r="AA267" s="101"/>
      <c r="AB267" s="101"/>
      <c r="AC267" s="101"/>
      <c r="AD267" s="101"/>
      <c r="AE267" s="101"/>
    </row>
    <row r="268" spans="1:31" ht="13.8">
      <c r="A268" s="101"/>
      <c r="B268" s="101"/>
      <c r="C268" s="101"/>
      <c r="D268" s="101"/>
      <c r="E268" s="101"/>
      <c r="F268" s="101"/>
      <c r="G268" s="101"/>
      <c r="H268" s="101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  <c r="Z268" s="101"/>
      <c r="AA268" s="101"/>
      <c r="AB268" s="101"/>
      <c r="AC268" s="101"/>
      <c r="AD268" s="101"/>
      <c r="AE268" s="101"/>
    </row>
    <row r="269" spans="1:31" ht="13.8">
      <c r="A269" s="101"/>
      <c r="B269" s="101"/>
      <c r="C269" s="101"/>
      <c r="D269" s="101"/>
      <c r="E269" s="101"/>
      <c r="F269" s="101"/>
      <c r="G269" s="101"/>
      <c r="H269" s="101"/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  <c r="Z269" s="101"/>
      <c r="AA269" s="101"/>
      <c r="AB269" s="101"/>
      <c r="AC269" s="101"/>
      <c r="AD269" s="101"/>
      <c r="AE269" s="101"/>
    </row>
    <row r="270" spans="1:31" ht="13.8">
      <c r="A270" s="101"/>
      <c r="B270" s="101"/>
      <c r="C270" s="101"/>
      <c r="D270" s="101"/>
      <c r="E270" s="101"/>
      <c r="F270" s="101"/>
      <c r="G270" s="101"/>
      <c r="H270" s="101"/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  <c r="AA270" s="101"/>
      <c r="AB270" s="101"/>
      <c r="AC270" s="101"/>
      <c r="AD270" s="101"/>
      <c r="AE270" s="101"/>
    </row>
    <row r="271" spans="1:31" ht="13.8">
      <c r="A271" s="101"/>
      <c r="B271" s="101"/>
      <c r="C271" s="101"/>
      <c r="D271" s="101"/>
      <c r="E271" s="101"/>
      <c r="F271" s="101"/>
      <c r="G271" s="101"/>
      <c r="H271" s="101"/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  <c r="AA271" s="101"/>
      <c r="AB271" s="101"/>
      <c r="AC271" s="101"/>
      <c r="AD271" s="101"/>
      <c r="AE271" s="101"/>
    </row>
    <row r="272" spans="1:31" ht="13.8">
      <c r="A272" s="101"/>
      <c r="B272" s="101"/>
      <c r="C272" s="101"/>
      <c r="D272" s="101"/>
      <c r="E272" s="101"/>
      <c r="F272" s="101"/>
      <c r="G272" s="101"/>
      <c r="H272" s="101"/>
      <c r="I272" s="101"/>
      <c r="J272" s="101"/>
      <c r="K272" s="101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  <c r="Z272" s="101"/>
      <c r="AA272" s="101"/>
      <c r="AB272" s="101"/>
      <c r="AC272" s="101"/>
      <c r="AD272" s="101"/>
      <c r="AE272" s="101"/>
    </row>
    <row r="273" spans="1:31" ht="13.8">
      <c r="A273" s="101"/>
      <c r="B273" s="101"/>
      <c r="C273" s="101"/>
      <c r="D273" s="101"/>
      <c r="E273" s="101"/>
      <c r="F273" s="101"/>
      <c r="G273" s="101"/>
      <c r="H273" s="101"/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  <c r="AA273" s="101"/>
      <c r="AB273" s="101"/>
      <c r="AC273" s="101"/>
      <c r="AD273" s="101"/>
      <c r="AE273" s="101"/>
    </row>
    <row r="274" spans="1:31" ht="13.8">
      <c r="A274" s="101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  <c r="AD274" s="101"/>
      <c r="AE274" s="101"/>
    </row>
    <row r="275" spans="1:31" ht="13.8">
      <c r="A275" s="101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  <c r="AD275" s="101"/>
      <c r="AE275" s="101"/>
    </row>
    <row r="276" spans="1:31" ht="13.8">
      <c r="A276" s="101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  <c r="AD276" s="101"/>
      <c r="AE276" s="101"/>
    </row>
    <row r="277" spans="1:31" ht="13.8">
      <c r="A277" s="101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  <c r="AD277" s="101"/>
      <c r="AE277" s="101"/>
    </row>
    <row r="278" spans="1:31" ht="13.8">
      <c r="A278" s="101"/>
      <c r="B278" s="101"/>
      <c r="C278" s="101"/>
      <c r="D278" s="101"/>
      <c r="E278" s="101"/>
      <c r="F278" s="101"/>
      <c r="G278" s="101"/>
      <c r="H278" s="101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  <c r="AA278" s="101"/>
      <c r="AB278" s="101"/>
      <c r="AC278" s="101"/>
      <c r="AD278" s="101"/>
      <c r="AE278" s="101"/>
    </row>
    <row r="279" spans="1:31" ht="13.8">
      <c r="A279" s="101"/>
      <c r="B279" s="101"/>
      <c r="C279" s="101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</row>
    <row r="280" spans="1:31" ht="13.8">
      <c r="A280" s="101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</row>
    <row r="281" spans="1:31" ht="13.8">
      <c r="A281" s="101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  <c r="AA281" s="101"/>
      <c r="AB281" s="101"/>
      <c r="AC281" s="101"/>
      <c r="AD281" s="101"/>
      <c r="AE281" s="101"/>
    </row>
    <row r="282" spans="1:31" ht="13.8">
      <c r="A282" s="101"/>
      <c r="B282" s="101"/>
      <c r="C282" s="101"/>
      <c r="D282" s="101"/>
      <c r="E282" s="101"/>
      <c r="F282" s="101"/>
      <c r="G282" s="101"/>
      <c r="H282" s="101"/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  <c r="Z282" s="101"/>
      <c r="AA282" s="101"/>
      <c r="AB282" s="101"/>
      <c r="AC282" s="101"/>
      <c r="AD282" s="101"/>
      <c r="AE282" s="101"/>
    </row>
    <row r="283" spans="1:31" ht="13.8">
      <c r="A283" s="101"/>
      <c r="B283" s="101"/>
      <c r="C283" s="101"/>
      <c r="D283" s="101"/>
      <c r="E283" s="101"/>
      <c r="F283" s="101"/>
      <c r="G283" s="101"/>
      <c r="H283" s="101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  <c r="AA283" s="101"/>
      <c r="AB283" s="101"/>
      <c r="AC283" s="101"/>
      <c r="AD283" s="101"/>
      <c r="AE283" s="101"/>
    </row>
    <row r="284" spans="1:31" ht="13.8">
      <c r="A284" s="101"/>
      <c r="B284" s="101"/>
      <c r="C284" s="101"/>
      <c r="D284" s="101"/>
      <c r="E284" s="101"/>
      <c r="F284" s="101"/>
      <c r="G284" s="101"/>
      <c r="H284" s="101"/>
      <c r="I284" s="101"/>
      <c r="J284" s="101"/>
      <c r="K284" s="101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  <c r="Z284" s="101"/>
      <c r="AA284" s="101"/>
      <c r="AB284" s="101"/>
      <c r="AC284" s="101"/>
      <c r="AD284" s="101"/>
      <c r="AE284" s="101"/>
    </row>
    <row r="285" spans="1:31" ht="13.8">
      <c r="A285" s="101"/>
      <c r="B285" s="101"/>
      <c r="C285" s="101"/>
      <c r="D285" s="101"/>
      <c r="E285" s="101"/>
      <c r="F285" s="101"/>
      <c r="G285" s="101"/>
      <c r="H285" s="101"/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  <c r="AA285" s="101"/>
      <c r="AB285" s="101"/>
      <c r="AC285" s="101"/>
      <c r="AD285" s="101"/>
      <c r="AE285" s="101"/>
    </row>
    <row r="286" spans="1:31" ht="13.8">
      <c r="A286" s="101"/>
      <c r="B286" s="101"/>
      <c r="C286" s="101"/>
      <c r="D286" s="101"/>
      <c r="E286" s="101"/>
      <c r="F286" s="101"/>
      <c r="G286" s="101"/>
      <c r="H286" s="101"/>
      <c r="I286" s="101"/>
      <c r="J286" s="101"/>
      <c r="K286" s="101"/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  <c r="Z286" s="101"/>
      <c r="AA286" s="101"/>
      <c r="AB286" s="101"/>
      <c r="AC286" s="101"/>
      <c r="AD286" s="101"/>
      <c r="AE286" s="101"/>
    </row>
    <row r="287" spans="1:31" ht="13.8">
      <c r="A287" s="101"/>
      <c r="B287" s="101"/>
      <c r="C287" s="101"/>
      <c r="D287" s="101"/>
      <c r="E287" s="101"/>
      <c r="F287" s="101"/>
      <c r="G287" s="101"/>
      <c r="H287" s="101"/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  <c r="AA287" s="101"/>
      <c r="AB287" s="101"/>
      <c r="AC287" s="101"/>
      <c r="AD287" s="101"/>
      <c r="AE287" s="101"/>
    </row>
    <row r="288" spans="1:31" ht="13.8">
      <c r="A288" s="101"/>
      <c r="B288" s="101"/>
      <c r="C288" s="101"/>
      <c r="D288" s="101"/>
      <c r="E288" s="101"/>
      <c r="F288" s="101"/>
      <c r="G288" s="101"/>
      <c r="H288" s="101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  <c r="AA288" s="101"/>
      <c r="AB288" s="101"/>
      <c r="AC288" s="101"/>
      <c r="AD288" s="101"/>
      <c r="AE288" s="101"/>
    </row>
    <row r="289" spans="1:31" ht="13.8">
      <c r="A289" s="101"/>
      <c r="B289" s="101"/>
      <c r="C289" s="101"/>
      <c r="D289" s="101"/>
      <c r="E289" s="101"/>
      <c r="F289" s="101"/>
      <c r="G289" s="101"/>
      <c r="H289" s="101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  <c r="AA289" s="101"/>
      <c r="AB289" s="101"/>
      <c r="AC289" s="101"/>
      <c r="AD289" s="101"/>
      <c r="AE289" s="101"/>
    </row>
    <row r="290" spans="1:31" ht="13.8">
      <c r="A290" s="101"/>
      <c r="B290" s="101"/>
      <c r="C290" s="101"/>
      <c r="D290" s="101"/>
      <c r="E290" s="101"/>
      <c r="F290" s="101"/>
      <c r="G290" s="101"/>
      <c r="H290" s="101"/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  <c r="Z290" s="101"/>
      <c r="AA290" s="101"/>
      <c r="AB290" s="101"/>
      <c r="AC290" s="101"/>
      <c r="AD290" s="101"/>
      <c r="AE290" s="101"/>
    </row>
    <row r="291" spans="1:31" ht="13.8">
      <c r="A291" s="101"/>
      <c r="B291" s="101"/>
      <c r="C291" s="101"/>
      <c r="D291" s="101"/>
      <c r="E291" s="101"/>
      <c r="F291" s="101"/>
      <c r="G291" s="101"/>
      <c r="H291" s="101"/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  <c r="AA291" s="101"/>
      <c r="AB291" s="101"/>
      <c r="AC291" s="101"/>
      <c r="AD291" s="101"/>
      <c r="AE291" s="101"/>
    </row>
    <row r="292" spans="1:31" ht="13.8">
      <c r="A292" s="101"/>
      <c r="B292" s="101"/>
      <c r="C292" s="101"/>
      <c r="D292" s="101"/>
      <c r="E292" s="101"/>
      <c r="F292" s="101"/>
      <c r="G292" s="101"/>
      <c r="H292" s="101"/>
      <c r="I292" s="101"/>
      <c r="J292" s="101"/>
      <c r="K292" s="101"/>
      <c r="L292" s="101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  <c r="Z292" s="101"/>
      <c r="AA292" s="101"/>
      <c r="AB292" s="101"/>
      <c r="AC292" s="101"/>
      <c r="AD292" s="101"/>
      <c r="AE292" s="101"/>
    </row>
    <row r="293" spans="1:31" ht="13.8">
      <c r="A293" s="101"/>
      <c r="B293" s="101"/>
      <c r="C293" s="101"/>
      <c r="D293" s="101"/>
      <c r="E293" s="101"/>
      <c r="F293" s="101"/>
      <c r="G293" s="101"/>
      <c r="H293" s="101"/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  <c r="Z293" s="101"/>
      <c r="AA293" s="101"/>
      <c r="AB293" s="101"/>
      <c r="AC293" s="101"/>
      <c r="AD293" s="101"/>
      <c r="AE293" s="101"/>
    </row>
    <row r="294" spans="1:31" ht="13.8">
      <c r="A294" s="101"/>
      <c r="B294" s="101"/>
      <c r="C294" s="101"/>
      <c r="D294" s="101"/>
      <c r="E294" s="101"/>
      <c r="F294" s="101"/>
      <c r="G294" s="101"/>
      <c r="H294" s="101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  <c r="Z294" s="101"/>
      <c r="AA294" s="101"/>
      <c r="AB294" s="101"/>
      <c r="AC294" s="101"/>
      <c r="AD294" s="101"/>
      <c r="AE294" s="101"/>
    </row>
    <row r="295" spans="1:31" ht="13.8">
      <c r="A295" s="101"/>
      <c r="B295" s="101"/>
      <c r="C295" s="101"/>
      <c r="D295" s="101"/>
      <c r="E295" s="101"/>
      <c r="F295" s="101"/>
      <c r="G295" s="101"/>
      <c r="H295" s="101"/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  <c r="AA295" s="101"/>
      <c r="AB295" s="101"/>
      <c r="AC295" s="101"/>
      <c r="AD295" s="101"/>
      <c r="AE295" s="101"/>
    </row>
    <row r="296" spans="1:31" ht="13.8">
      <c r="A296" s="101"/>
      <c r="B296" s="101"/>
      <c r="C296" s="101"/>
      <c r="D296" s="101"/>
      <c r="E296" s="101"/>
      <c r="F296" s="101"/>
      <c r="G296" s="101"/>
      <c r="H296" s="101"/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  <c r="AA296" s="101"/>
      <c r="AB296" s="101"/>
      <c r="AC296" s="101"/>
      <c r="AD296" s="101"/>
      <c r="AE296" s="101"/>
    </row>
    <row r="297" spans="1:31" ht="13.8">
      <c r="A297" s="101"/>
      <c r="B297" s="101"/>
      <c r="C297" s="101"/>
      <c r="D297" s="101"/>
      <c r="E297" s="101"/>
      <c r="F297" s="101"/>
      <c r="G297" s="101"/>
      <c r="H297" s="101"/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  <c r="Z297" s="101"/>
      <c r="AA297" s="101"/>
      <c r="AB297" s="101"/>
      <c r="AC297" s="101"/>
      <c r="AD297" s="101"/>
      <c r="AE297" s="101"/>
    </row>
    <row r="298" spans="1:31" ht="13.8">
      <c r="A298" s="101"/>
      <c r="B298" s="101"/>
      <c r="C298" s="101"/>
      <c r="D298" s="101"/>
      <c r="E298" s="101"/>
      <c r="F298" s="101"/>
      <c r="G298" s="101"/>
      <c r="H298" s="101"/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  <c r="AA298" s="101"/>
      <c r="AB298" s="101"/>
      <c r="AC298" s="101"/>
      <c r="AD298" s="101"/>
      <c r="AE298" s="101"/>
    </row>
    <row r="299" spans="1:31" ht="13.8">
      <c r="A299" s="101"/>
      <c r="B299" s="101"/>
      <c r="C299" s="101"/>
      <c r="D299" s="101"/>
      <c r="E299" s="101"/>
      <c r="F299" s="101"/>
      <c r="G299" s="101"/>
      <c r="H299" s="101"/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  <c r="AA299" s="101"/>
      <c r="AB299" s="101"/>
      <c r="AC299" s="101"/>
      <c r="AD299" s="101"/>
      <c r="AE299" s="101"/>
    </row>
    <row r="300" spans="1:31" ht="13.8">
      <c r="A300" s="101"/>
      <c r="B300" s="101"/>
      <c r="C300" s="101"/>
      <c r="D300" s="101"/>
      <c r="E300" s="101"/>
      <c r="F300" s="101"/>
      <c r="G300" s="101"/>
      <c r="H300" s="101"/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  <c r="Z300" s="101"/>
      <c r="AA300" s="101"/>
      <c r="AB300" s="101"/>
      <c r="AC300" s="101"/>
      <c r="AD300" s="101"/>
      <c r="AE300" s="101"/>
    </row>
    <row r="301" spans="1:31" ht="13.8">
      <c r="A301" s="101"/>
      <c r="B301" s="101"/>
      <c r="C301" s="101"/>
      <c r="D301" s="101"/>
      <c r="E301" s="101"/>
      <c r="F301" s="101"/>
      <c r="G301" s="101"/>
      <c r="H301" s="101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  <c r="AA301" s="101"/>
      <c r="AB301" s="101"/>
      <c r="AC301" s="101"/>
      <c r="AD301" s="101"/>
      <c r="AE301" s="101"/>
    </row>
    <row r="302" spans="1:31" ht="13.8">
      <c r="A302" s="101"/>
      <c r="B302" s="101"/>
      <c r="C302" s="101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</row>
    <row r="303" spans="1:31" ht="13.8">
      <c r="A303" s="101"/>
      <c r="B303" s="101"/>
      <c r="C303" s="101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</row>
    <row r="304" spans="1:31" ht="13.8">
      <c r="A304" s="101"/>
      <c r="B304" s="101"/>
      <c r="C304" s="101"/>
      <c r="D304" s="101"/>
      <c r="E304" s="101"/>
      <c r="F304" s="101"/>
      <c r="G304" s="101"/>
      <c r="H304" s="101"/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  <c r="Z304" s="101"/>
      <c r="AA304" s="101"/>
      <c r="AB304" s="101"/>
      <c r="AC304" s="101"/>
      <c r="AD304" s="101"/>
      <c r="AE304" s="101"/>
    </row>
    <row r="305" spans="1:31" ht="13.8">
      <c r="A305" s="101"/>
      <c r="B305" s="101"/>
      <c r="C305" s="101"/>
      <c r="D305" s="101"/>
      <c r="E305" s="101"/>
      <c r="F305" s="101"/>
      <c r="G305" s="101"/>
      <c r="H305" s="101"/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  <c r="AA305" s="101"/>
      <c r="AB305" s="101"/>
      <c r="AC305" s="101"/>
      <c r="AD305" s="101"/>
      <c r="AE305" s="101"/>
    </row>
    <row r="306" spans="1:31" ht="13.8">
      <c r="A306" s="101"/>
      <c r="B306" s="101"/>
      <c r="C306" s="101"/>
      <c r="D306" s="101"/>
      <c r="E306" s="101"/>
      <c r="F306" s="101"/>
      <c r="G306" s="101"/>
      <c r="H306" s="101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  <c r="AA306" s="101"/>
      <c r="AB306" s="101"/>
      <c r="AC306" s="101"/>
      <c r="AD306" s="101"/>
      <c r="AE306" s="101"/>
    </row>
    <row r="307" spans="1:31" ht="13.8">
      <c r="A307" s="101"/>
      <c r="B307" s="101"/>
      <c r="C307" s="101"/>
      <c r="D307" s="101"/>
      <c r="E307" s="101"/>
      <c r="F307" s="101"/>
      <c r="G307" s="101"/>
      <c r="H307" s="101"/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  <c r="AA307" s="101"/>
      <c r="AB307" s="101"/>
      <c r="AC307" s="101"/>
      <c r="AD307" s="101"/>
      <c r="AE307" s="101"/>
    </row>
    <row r="308" spans="1:31" ht="13.8">
      <c r="A308" s="101"/>
      <c r="B308" s="101"/>
      <c r="C308" s="101"/>
      <c r="D308" s="101"/>
      <c r="E308" s="101"/>
      <c r="F308" s="101"/>
      <c r="G308" s="101"/>
      <c r="H308" s="101"/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  <c r="AA308" s="101"/>
      <c r="AB308" s="101"/>
      <c r="AC308" s="101"/>
      <c r="AD308" s="101"/>
      <c r="AE308" s="101"/>
    </row>
    <row r="309" spans="1:31" ht="13.8">
      <c r="A309" s="101"/>
      <c r="B309" s="101"/>
      <c r="C309" s="101"/>
      <c r="D309" s="101"/>
      <c r="E309" s="101"/>
      <c r="F309" s="101"/>
      <c r="G309" s="101"/>
      <c r="H309" s="101"/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  <c r="Z309" s="101"/>
      <c r="AA309" s="101"/>
      <c r="AB309" s="101"/>
      <c r="AC309" s="101"/>
      <c r="AD309" s="101"/>
      <c r="AE309" s="101"/>
    </row>
    <row r="310" spans="1:31" ht="13.8">
      <c r="A310" s="101"/>
      <c r="B310" s="101"/>
      <c r="C310" s="101"/>
      <c r="D310" s="101"/>
      <c r="E310" s="101"/>
      <c r="F310" s="101"/>
      <c r="G310" s="101"/>
      <c r="H310" s="101"/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  <c r="AA310" s="101"/>
      <c r="AB310" s="101"/>
      <c r="AC310" s="101"/>
      <c r="AD310" s="101"/>
      <c r="AE310" s="101"/>
    </row>
    <row r="311" spans="1:31" ht="13.8">
      <c r="A311" s="101"/>
      <c r="B311" s="101"/>
      <c r="C311" s="101"/>
      <c r="D311" s="101"/>
      <c r="E311" s="101"/>
      <c r="F311" s="101"/>
      <c r="G311" s="101"/>
      <c r="H311" s="101"/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  <c r="AA311" s="101"/>
      <c r="AB311" s="101"/>
      <c r="AC311" s="101"/>
      <c r="AD311" s="101"/>
      <c r="AE311" s="101"/>
    </row>
    <row r="312" spans="1:31" ht="13.8">
      <c r="A312" s="101"/>
      <c r="B312" s="101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  <c r="AA312" s="101"/>
      <c r="AB312" s="101"/>
      <c r="AC312" s="101"/>
      <c r="AD312" s="101"/>
      <c r="AE312" s="101"/>
    </row>
    <row r="313" spans="1:31" ht="13.8">
      <c r="A313" s="101"/>
      <c r="B313" s="101"/>
      <c r="C313" s="101"/>
      <c r="D313" s="101"/>
      <c r="E313" s="101"/>
      <c r="F313" s="101"/>
      <c r="G313" s="101"/>
      <c r="H313" s="101"/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  <c r="Z313" s="101"/>
      <c r="AA313" s="101"/>
      <c r="AB313" s="101"/>
      <c r="AC313" s="101"/>
      <c r="AD313" s="101"/>
      <c r="AE313" s="101"/>
    </row>
    <row r="314" spans="1:31" ht="13.8">
      <c r="A314" s="101"/>
      <c r="B314" s="101"/>
      <c r="C314" s="101"/>
      <c r="D314" s="101"/>
      <c r="E314" s="101"/>
      <c r="F314" s="101"/>
      <c r="G314" s="101"/>
      <c r="H314" s="101"/>
      <c r="I314" s="101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  <c r="AA314" s="101"/>
      <c r="AB314" s="101"/>
      <c r="AC314" s="101"/>
      <c r="AD314" s="101"/>
      <c r="AE314" s="101"/>
    </row>
    <row r="315" spans="1:31" ht="13.8">
      <c r="A315" s="101"/>
      <c r="B315" s="101"/>
      <c r="C315" s="101"/>
      <c r="D315" s="101"/>
      <c r="E315" s="101"/>
      <c r="F315" s="101"/>
      <c r="G315" s="101"/>
      <c r="H315" s="101"/>
      <c r="I315" s="101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  <c r="Z315" s="101"/>
      <c r="AA315" s="101"/>
      <c r="AB315" s="101"/>
      <c r="AC315" s="101"/>
      <c r="AD315" s="101"/>
      <c r="AE315" s="101"/>
    </row>
    <row r="316" spans="1:31" ht="13.8">
      <c r="A316" s="101"/>
      <c r="B316" s="101"/>
      <c r="C316" s="101"/>
      <c r="D316" s="101"/>
      <c r="E316" s="101"/>
      <c r="F316" s="101"/>
      <c r="G316" s="101"/>
      <c r="H316" s="101"/>
      <c r="I316" s="101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  <c r="Z316" s="101"/>
      <c r="AA316" s="101"/>
      <c r="AB316" s="101"/>
      <c r="AC316" s="101"/>
      <c r="AD316" s="101"/>
      <c r="AE316" s="101"/>
    </row>
    <row r="317" spans="1:31" ht="13.8">
      <c r="A317" s="101"/>
      <c r="B317" s="101"/>
      <c r="C317" s="101"/>
      <c r="D317" s="101"/>
      <c r="E317" s="101"/>
      <c r="F317" s="101"/>
      <c r="G317" s="101"/>
      <c r="H317" s="101"/>
      <c r="I317" s="101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  <c r="Z317" s="101"/>
      <c r="AA317" s="101"/>
      <c r="AB317" s="101"/>
      <c r="AC317" s="101"/>
      <c r="AD317" s="101"/>
      <c r="AE317" s="101"/>
    </row>
    <row r="318" spans="1:31" ht="13.8">
      <c r="A318" s="101"/>
      <c r="B318" s="101"/>
      <c r="C318" s="101"/>
      <c r="D318" s="101"/>
      <c r="E318" s="101"/>
      <c r="F318" s="101"/>
      <c r="G318" s="101"/>
      <c r="H318" s="101"/>
      <c r="I318" s="101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  <c r="AA318" s="101"/>
      <c r="AB318" s="101"/>
      <c r="AC318" s="101"/>
      <c r="AD318" s="101"/>
      <c r="AE318" s="101"/>
    </row>
    <row r="319" spans="1:31" ht="13.8">
      <c r="A319" s="101"/>
      <c r="B319" s="101"/>
      <c r="C319" s="101"/>
      <c r="D319" s="101"/>
      <c r="E319" s="101"/>
      <c r="F319" s="101"/>
      <c r="G319" s="101"/>
      <c r="H319" s="101"/>
      <c r="I319" s="101"/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  <c r="AA319" s="101"/>
      <c r="AB319" s="101"/>
      <c r="AC319" s="101"/>
      <c r="AD319" s="101"/>
      <c r="AE319" s="101"/>
    </row>
    <row r="320" spans="1:31" ht="13.8">
      <c r="A320" s="101"/>
      <c r="B320" s="101"/>
      <c r="C320" s="101"/>
      <c r="D320" s="101"/>
      <c r="E320" s="101"/>
      <c r="F320" s="101"/>
      <c r="G320" s="101"/>
      <c r="H320" s="101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  <c r="AA320" s="101"/>
      <c r="AB320" s="101"/>
      <c r="AC320" s="101"/>
      <c r="AD320" s="101"/>
      <c r="AE320" s="101"/>
    </row>
    <row r="321" spans="1:31" ht="13.8">
      <c r="A321" s="101"/>
      <c r="B321" s="101"/>
      <c r="C321" s="101"/>
      <c r="D321" s="101"/>
      <c r="E321" s="101"/>
      <c r="F321" s="101"/>
      <c r="G321" s="101"/>
      <c r="H321" s="101"/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  <c r="AA321" s="101"/>
      <c r="AB321" s="101"/>
      <c r="AC321" s="101"/>
      <c r="AD321" s="101"/>
      <c r="AE321" s="101"/>
    </row>
    <row r="322" spans="1:31" ht="13.8">
      <c r="A322" s="101"/>
      <c r="B322" s="101"/>
      <c r="C322" s="101"/>
      <c r="D322" s="101"/>
      <c r="E322" s="101"/>
      <c r="F322" s="101"/>
      <c r="G322" s="101"/>
      <c r="H322" s="101"/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  <c r="Z322" s="101"/>
      <c r="AA322" s="101"/>
      <c r="AB322" s="101"/>
      <c r="AC322" s="101"/>
      <c r="AD322" s="101"/>
      <c r="AE322" s="101"/>
    </row>
    <row r="323" spans="1:31" ht="13.8">
      <c r="A323" s="101"/>
      <c r="B323" s="101"/>
      <c r="C323" s="101"/>
      <c r="D323" s="101"/>
      <c r="E323" s="101"/>
      <c r="F323" s="101"/>
      <c r="G323" s="101"/>
      <c r="H323" s="101"/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  <c r="AA323" s="101"/>
      <c r="AB323" s="101"/>
      <c r="AC323" s="101"/>
      <c r="AD323" s="101"/>
      <c r="AE323" s="101"/>
    </row>
    <row r="324" spans="1:31" ht="13.8">
      <c r="A324" s="101"/>
      <c r="B324" s="101"/>
      <c r="C324" s="101"/>
      <c r="D324" s="101"/>
      <c r="E324" s="101"/>
      <c r="F324" s="101"/>
      <c r="G324" s="101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  <c r="Z324" s="101"/>
      <c r="AA324" s="101"/>
      <c r="AB324" s="101"/>
      <c r="AC324" s="101"/>
      <c r="AD324" s="101"/>
      <c r="AE324" s="101"/>
    </row>
    <row r="325" spans="1:31" ht="13.8">
      <c r="A325" s="101"/>
      <c r="B325" s="101"/>
      <c r="C325" s="101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</row>
    <row r="326" spans="1:31" ht="13.8">
      <c r="A326" s="101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</row>
    <row r="327" spans="1:31" ht="13.8">
      <c r="A327" s="101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  <c r="AD327" s="101"/>
      <c r="AE327" s="101"/>
    </row>
    <row r="328" spans="1:31" ht="13.8">
      <c r="A328" s="101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  <c r="AD328" s="101"/>
      <c r="AE328" s="101"/>
    </row>
    <row r="329" spans="1:31" ht="13.8">
      <c r="A329" s="101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  <c r="AD329" s="101"/>
      <c r="AE329" s="101"/>
    </row>
    <row r="330" spans="1:31" ht="13.8">
      <c r="A330" s="101"/>
      <c r="B330" s="101"/>
      <c r="C330" s="101"/>
      <c r="D330" s="101"/>
      <c r="E330" s="101"/>
      <c r="F330" s="101"/>
      <c r="G330" s="101"/>
      <c r="H330" s="101"/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  <c r="Z330" s="101"/>
      <c r="AA330" s="101"/>
      <c r="AB330" s="101"/>
      <c r="AC330" s="101"/>
      <c r="AD330" s="101"/>
      <c r="AE330" s="101"/>
    </row>
    <row r="331" spans="1:31" ht="13.8">
      <c r="A331" s="101"/>
      <c r="B331" s="101"/>
      <c r="C331" s="101"/>
      <c r="D331" s="101"/>
      <c r="E331" s="101"/>
      <c r="F331" s="101"/>
      <c r="G331" s="101"/>
      <c r="H331" s="101"/>
      <c r="I331" s="101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  <c r="Z331" s="101"/>
      <c r="AA331" s="101"/>
      <c r="AB331" s="101"/>
      <c r="AC331" s="101"/>
      <c r="AD331" s="101"/>
      <c r="AE331" s="101"/>
    </row>
    <row r="332" spans="1:31" ht="13.8">
      <c r="A332" s="101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  <c r="Z332" s="101"/>
      <c r="AA332" s="101"/>
      <c r="AB332" s="101"/>
      <c r="AC332" s="101"/>
      <c r="AD332" s="101"/>
      <c r="AE332" s="101"/>
    </row>
    <row r="333" spans="1:31" ht="13.8">
      <c r="A333" s="101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  <c r="AA333" s="101"/>
      <c r="AB333" s="101"/>
      <c r="AC333" s="101"/>
      <c r="AD333" s="101"/>
      <c r="AE333" s="101"/>
    </row>
    <row r="334" spans="1:31" ht="13.8">
      <c r="A334" s="101"/>
      <c r="B334" s="101"/>
      <c r="C334" s="101"/>
      <c r="D334" s="101"/>
      <c r="E334" s="101"/>
      <c r="F334" s="101"/>
      <c r="G334" s="101"/>
      <c r="H334" s="101"/>
      <c r="I334" s="101"/>
      <c r="J334" s="101"/>
      <c r="K334" s="101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  <c r="AA334" s="101"/>
      <c r="AB334" s="101"/>
      <c r="AC334" s="101"/>
      <c r="AD334" s="101"/>
      <c r="AE334" s="101"/>
    </row>
    <row r="335" spans="1:31" ht="13.8">
      <c r="A335" s="101"/>
      <c r="B335" s="101"/>
      <c r="C335" s="101"/>
      <c r="D335" s="101"/>
      <c r="E335" s="101"/>
      <c r="F335" s="101"/>
      <c r="G335" s="101"/>
      <c r="H335" s="101"/>
      <c r="I335" s="101"/>
      <c r="J335" s="101"/>
      <c r="K335" s="101"/>
      <c r="L335" s="101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  <c r="Z335" s="101"/>
      <c r="AA335" s="101"/>
      <c r="AB335" s="101"/>
      <c r="AC335" s="101"/>
      <c r="AD335" s="101"/>
      <c r="AE335" s="101"/>
    </row>
    <row r="336" spans="1:31" ht="13.8">
      <c r="A336" s="101"/>
      <c r="B336" s="101"/>
      <c r="C336" s="101"/>
      <c r="D336" s="101"/>
      <c r="E336" s="101"/>
      <c r="F336" s="101"/>
      <c r="G336" s="101"/>
      <c r="H336" s="101"/>
      <c r="I336" s="101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  <c r="AA336" s="101"/>
      <c r="AB336" s="101"/>
      <c r="AC336" s="101"/>
      <c r="AD336" s="101"/>
      <c r="AE336" s="101"/>
    </row>
    <row r="337" spans="1:31" ht="13.8">
      <c r="A337" s="101"/>
      <c r="B337" s="101"/>
      <c r="C337" s="101"/>
      <c r="D337" s="101"/>
      <c r="E337" s="101"/>
      <c r="F337" s="101"/>
      <c r="G337" s="101"/>
      <c r="H337" s="101"/>
      <c r="I337" s="101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  <c r="AA337" s="101"/>
      <c r="AB337" s="101"/>
      <c r="AC337" s="101"/>
      <c r="AD337" s="101"/>
      <c r="AE337" s="101"/>
    </row>
    <row r="338" spans="1:31" ht="13.8">
      <c r="A338" s="101"/>
      <c r="B338" s="101"/>
      <c r="C338" s="101"/>
      <c r="D338" s="101"/>
      <c r="E338" s="101"/>
      <c r="F338" s="101"/>
      <c r="G338" s="101"/>
      <c r="H338" s="101"/>
      <c r="I338" s="101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  <c r="Z338" s="101"/>
      <c r="AA338" s="101"/>
      <c r="AB338" s="101"/>
      <c r="AC338" s="101"/>
      <c r="AD338" s="101"/>
      <c r="AE338" s="101"/>
    </row>
    <row r="339" spans="1:31" ht="13.8">
      <c r="A339" s="101"/>
      <c r="B339" s="101"/>
      <c r="C339" s="101"/>
      <c r="D339" s="101"/>
      <c r="E339" s="101"/>
      <c r="F339" s="101"/>
      <c r="G339" s="101"/>
      <c r="H339" s="101"/>
      <c r="I339" s="101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  <c r="AA339" s="101"/>
      <c r="AB339" s="101"/>
      <c r="AC339" s="101"/>
      <c r="AD339" s="101"/>
      <c r="AE339" s="101"/>
    </row>
    <row r="340" spans="1:31" ht="13.8">
      <c r="A340" s="101"/>
      <c r="B340" s="101"/>
      <c r="C340" s="101"/>
      <c r="D340" s="101"/>
      <c r="E340" s="101"/>
      <c r="F340" s="101"/>
      <c r="G340" s="101"/>
      <c r="H340" s="101"/>
      <c r="I340" s="101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  <c r="AA340" s="101"/>
      <c r="AB340" s="101"/>
      <c r="AC340" s="101"/>
      <c r="AD340" s="101"/>
      <c r="AE340" s="101"/>
    </row>
    <row r="341" spans="1:31" ht="13.8">
      <c r="A341" s="101"/>
      <c r="B341" s="101"/>
      <c r="C341" s="101"/>
      <c r="D341" s="101"/>
      <c r="E341" s="101"/>
      <c r="F341" s="101"/>
      <c r="G341" s="101"/>
      <c r="H341" s="101"/>
      <c r="I341" s="101"/>
      <c r="J341" s="101"/>
      <c r="K341" s="101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  <c r="AA341" s="101"/>
      <c r="AB341" s="101"/>
      <c r="AC341" s="101"/>
      <c r="AD341" s="101"/>
      <c r="AE341" s="101"/>
    </row>
    <row r="342" spans="1:31" ht="13.8">
      <c r="A342" s="101"/>
      <c r="B342" s="101"/>
      <c r="C342" s="101"/>
      <c r="D342" s="101"/>
      <c r="E342" s="101"/>
      <c r="F342" s="101"/>
      <c r="G342" s="101"/>
      <c r="H342" s="101"/>
      <c r="I342" s="101"/>
      <c r="J342" s="101"/>
      <c r="K342" s="101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  <c r="AA342" s="101"/>
      <c r="AB342" s="101"/>
      <c r="AC342" s="101"/>
      <c r="AD342" s="101"/>
      <c r="AE342" s="101"/>
    </row>
    <row r="343" spans="1:31" ht="13.8">
      <c r="A343" s="101"/>
      <c r="B343" s="101"/>
      <c r="C343" s="101"/>
      <c r="D343" s="101"/>
      <c r="E343" s="101"/>
      <c r="F343" s="101"/>
      <c r="G343" s="101"/>
      <c r="H343" s="101"/>
      <c r="I343" s="101"/>
      <c r="J343" s="101"/>
      <c r="K343" s="101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  <c r="AA343" s="101"/>
      <c r="AB343" s="101"/>
      <c r="AC343" s="101"/>
      <c r="AD343" s="101"/>
      <c r="AE343" s="101"/>
    </row>
    <row r="344" spans="1:31" ht="13.8">
      <c r="A344" s="101"/>
      <c r="B344" s="101"/>
      <c r="C344" s="101"/>
      <c r="D344" s="101"/>
      <c r="E344" s="101"/>
      <c r="F344" s="101"/>
      <c r="G344" s="101"/>
      <c r="H344" s="101"/>
      <c r="I344" s="101"/>
      <c r="J344" s="101"/>
      <c r="K344" s="101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  <c r="AA344" s="101"/>
      <c r="AB344" s="101"/>
      <c r="AC344" s="101"/>
      <c r="AD344" s="101"/>
      <c r="AE344" s="101"/>
    </row>
    <row r="345" spans="1:31" ht="13.8">
      <c r="A345" s="101"/>
      <c r="B345" s="101"/>
      <c r="C345" s="101"/>
      <c r="D345" s="101"/>
      <c r="E345" s="101"/>
      <c r="F345" s="101"/>
      <c r="G345" s="101"/>
      <c r="H345" s="101"/>
      <c r="I345" s="101"/>
      <c r="J345" s="101"/>
      <c r="K345" s="101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  <c r="AA345" s="101"/>
      <c r="AB345" s="101"/>
      <c r="AC345" s="101"/>
      <c r="AD345" s="101"/>
      <c r="AE345" s="101"/>
    </row>
    <row r="346" spans="1:31" ht="13.8">
      <c r="A346" s="101"/>
      <c r="B346" s="101"/>
      <c r="C346" s="101"/>
      <c r="D346" s="101"/>
      <c r="E346" s="101"/>
      <c r="F346" s="101"/>
      <c r="G346" s="101"/>
      <c r="H346" s="101"/>
      <c r="I346" s="101"/>
      <c r="J346" s="101"/>
      <c r="K346" s="101"/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  <c r="Z346" s="101"/>
      <c r="AA346" s="101"/>
      <c r="AB346" s="101"/>
      <c r="AC346" s="101"/>
      <c r="AD346" s="101"/>
      <c r="AE346" s="101"/>
    </row>
    <row r="347" spans="1:31" ht="13.8">
      <c r="A347" s="101"/>
      <c r="B347" s="101"/>
      <c r="C347" s="101"/>
      <c r="D347" s="101"/>
      <c r="E347" s="101"/>
      <c r="F347" s="101"/>
      <c r="G347" s="101"/>
      <c r="H347" s="101"/>
      <c r="I347" s="101"/>
      <c r="J347" s="101"/>
      <c r="K347" s="101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  <c r="AA347" s="101"/>
      <c r="AB347" s="101"/>
      <c r="AC347" s="101"/>
      <c r="AD347" s="101"/>
      <c r="AE347" s="101"/>
    </row>
    <row r="348" spans="1:31" ht="13.8">
      <c r="A348" s="101"/>
      <c r="B348" s="101"/>
      <c r="C348" s="101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</row>
    <row r="349" spans="1:31" ht="13.8">
      <c r="A349" s="101"/>
      <c r="B349" s="101"/>
      <c r="C349" s="101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</row>
    <row r="350" spans="1:31" ht="13.8">
      <c r="A350" s="101"/>
      <c r="B350" s="101"/>
      <c r="C350" s="101"/>
      <c r="D350" s="101"/>
      <c r="E350" s="101"/>
      <c r="F350" s="101"/>
      <c r="G350" s="101"/>
      <c r="H350" s="101"/>
      <c r="I350" s="101"/>
      <c r="J350" s="101"/>
      <c r="K350" s="101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  <c r="AA350" s="101"/>
      <c r="AB350" s="101"/>
      <c r="AC350" s="101"/>
      <c r="AD350" s="101"/>
      <c r="AE350" s="101"/>
    </row>
    <row r="351" spans="1:31" ht="13.8">
      <c r="A351" s="101"/>
      <c r="B351" s="101"/>
      <c r="C351" s="101"/>
      <c r="D351" s="101"/>
      <c r="E351" s="101"/>
      <c r="F351" s="101"/>
      <c r="G351" s="101"/>
      <c r="H351" s="101"/>
      <c r="I351" s="101"/>
      <c r="J351" s="101"/>
      <c r="K351" s="101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  <c r="Z351" s="101"/>
      <c r="AA351" s="101"/>
      <c r="AB351" s="101"/>
      <c r="AC351" s="101"/>
      <c r="AD351" s="101"/>
      <c r="AE351" s="101"/>
    </row>
    <row r="352" spans="1:31" ht="13.8">
      <c r="A352" s="101"/>
      <c r="B352" s="101"/>
      <c r="C352" s="101"/>
      <c r="D352" s="101"/>
      <c r="E352" s="101"/>
      <c r="F352" s="101"/>
      <c r="G352" s="101"/>
      <c r="H352" s="101"/>
      <c r="I352" s="101"/>
      <c r="J352" s="101"/>
      <c r="K352" s="101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  <c r="AA352" s="101"/>
      <c r="AB352" s="101"/>
      <c r="AC352" s="101"/>
      <c r="AD352" s="101"/>
      <c r="AE352" s="101"/>
    </row>
    <row r="353" spans="1:31" ht="13.8">
      <c r="A353" s="101"/>
      <c r="B353" s="101"/>
      <c r="C353" s="101"/>
      <c r="D353" s="101"/>
      <c r="E353" s="101"/>
      <c r="F353" s="101"/>
      <c r="G353" s="101"/>
      <c r="H353" s="101"/>
      <c r="I353" s="101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  <c r="AA353" s="101"/>
      <c r="AB353" s="101"/>
      <c r="AC353" s="101"/>
      <c r="AD353" s="101"/>
      <c r="AE353" s="101"/>
    </row>
    <row r="354" spans="1:31" ht="13.8">
      <c r="A354" s="101"/>
      <c r="B354" s="101"/>
      <c r="C354" s="101"/>
      <c r="D354" s="101"/>
      <c r="E354" s="101"/>
      <c r="F354" s="101"/>
      <c r="G354" s="101"/>
      <c r="H354" s="101"/>
      <c r="I354" s="101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  <c r="AA354" s="101"/>
      <c r="AB354" s="101"/>
      <c r="AC354" s="101"/>
      <c r="AD354" s="101"/>
      <c r="AE354" s="101"/>
    </row>
    <row r="355" spans="1:31" ht="13.8">
      <c r="A355" s="101"/>
      <c r="B355" s="101"/>
      <c r="C355" s="101"/>
      <c r="D355" s="101"/>
      <c r="E355" s="101"/>
      <c r="F355" s="101"/>
      <c r="G355" s="101"/>
      <c r="H355" s="101"/>
      <c r="I355" s="101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  <c r="AA355" s="101"/>
      <c r="AB355" s="101"/>
      <c r="AC355" s="101"/>
      <c r="AD355" s="101"/>
      <c r="AE355" s="101"/>
    </row>
    <row r="356" spans="1:31" ht="13.8">
      <c r="A356" s="101"/>
      <c r="B356" s="101"/>
      <c r="C356" s="101"/>
      <c r="D356" s="101"/>
      <c r="E356" s="101"/>
      <c r="F356" s="101"/>
      <c r="G356" s="101"/>
      <c r="H356" s="101"/>
      <c r="I356" s="101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  <c r="AA356" s="101"/>
      <c r="AB356" s="101"/>
      <c r="AC356" s="101"/>
      <c r="AD356" s="101"/>
      <c r="AE356" s="101"/>
    </row>
    <row r="357" spans="1:31" ht="13.8">
      <c r="A357" s="101"/>
      <c r="B357" s="101"/>
      <c r="C357" s="101"/>
      <c r="D357" s="101"/>
      <c r="E357" s="101"/>
      <c r="F357" s="101"/>
      <c r="G357" s="101"/>
      <c r="H357" s="101"/>
      <c r="I357" s="101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  <c r="AA357" s="101"/>
      <c r="AB357" s="101"/>
      <c r="AC357" s="101"/>
      <c r="AD357" s="101"/>
      <c r="AE357" s="101"/>
    </row>
    <row r="358" spans="1:31" ht="13.8">
      <c r="A358" s="101"/>
      <c r="B358" s="101"/>
      <c r="C358" s="101"/>
      <c r="D358" s="101"/>
      <c r="E358" s="101"/>
      <c r="F358" s="101"/>
      <c r="G358" s="101"/>
      <c r="H358" s="101"/>
      <c r="I358" s="101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  <c r="AA358" s="101"/>
      <c r="AB358" s="101"/>
      <c r="AC358" s="101"/>
      <c r="AD358" s="101"/>
      <c r="AE358" s="101"/>
    </row>
    <row r="359" spans="1:31" ht="13.8">
      <c r="A359" s="101"/>
      <c r="B359" s="101"/>
      <c r="C359" s="101"/>
      <c r="D359" s="101"/>
      <c r="E359" s="101"/>
      <c r="F359" s="101"/>
      <c r="G359" s="101"/>
      <c r="H359" s="101"/>
      <c r="I359" s="101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  <c r="AA359" s="101"/>
      <c r="AB359" s="101"/>
      <c r="AC359" s="101"/>
      <c r="AD359" s="101"/>
      <c r="AE359" s="101"/>
    </row>
    <row r="360" spans="1:31" ht="13.8">
      <c r="A360" s="101"/>
      <c r="B360" s="101"/>
      <c r="C360" s="101"/>
      <c r="D360" s="101"/>
      <c r="E360" s="101"/>
      <c r="F360" s="101"/>
      <c r="G360" s="101"/>
      <c r="H360" s="101"/>
      <c r="I360" s="101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  <c r="AA360" s="101"/>
      <c r="AB360" s="101"/>
      <c r="AC360" s="101"/>
      <c r="AD360" s="101"/>
      <c r="AE360" s="101"/>
    </row>
    <row r="361" spans="1:31" ht="13.8">
      <c r="A361" s="101"/>
      <c r="B361" s="101"/>
      <c r="C361" s="101"/>
      <c r="D361" s="101"/>
      <c r="E361" s="101"/>
      <c r="F361" s="101"/>
      <c r="G361" s="101"/>
      <c r="H361" s="101"/>
      <c r="I361" s="101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  <c r="AA361" s="101"/>
      <c r="AB361" s="101"/>
      <c r="AC361" s="101"/>
      <c r="AD361" s="101"/>
      <c r="AE361" s="101"/>
    </row>
    <row r="362" spans="1:31" ht="13.8">
      <c r="A362" s="101"/>
      <c r="B362" s="101"/>
      <c r="C362" s="101"/>
      <c r="D362" s="101"/>
      <c r="E362" s="101"/>
      <c r="F362" s="101"/>
      <c r="G362" s="101"/>
      <c r="H362" s="101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  <c r="AA362" s="101"/>
      <c r="AB362" s="101"/>
      <c r="AC362" s="101"/>
      <c r="AD362" s="101"/>
      <c r="AE362" s="101"/>
    </row>
    <row r="363" spans="1:31" ht="13.8">
      <c r="A363" s="101"/>
      <c r="B363" s="101"/>
      <c r="C363" s="101"/>
      <c r="D363" s="101"/>
      <c r="E363" s="101"/>
      <c r="F363" s="101"/>
      <c r="G363" s="101"/>
      <c r="H363" s="101"/>
      <c r="I363" s="101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  <c r="AA363" s="101"/>
      <c r="AB363" s="101"/>
      <c r="AC363" s="101"/>
      <c r="AD363" s="101"/>
      <c r="AE363" s="101"/>
    </row>
    <row r="364" spans="1:31" ht="13.8">
      <c r="A364" s="101"/>
      <c r="B364" s="101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  <c r="AC364" s="101"/>
      <c r="AD364" s="101"/>
      <c r="AE364" s="101"/>
    </row>
    <row r="365" spans="1:31" ht="13.8">
      <c r="A365" s="101"/>
      <c r="B365" s="101"/>
      <c r="C365" s="101"/>
      <c r="D365" s="101"/>
      <c r="E365" s="101"/>
      <c r="F365" s="101"/>
      <c r="G365" s="101"/>
      <c r="H365" s="101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  <c r="AA365" s="101"/>
      <c r="AB365" s="101"/>
      <c r="AC365" s="101"/>
      <c r="AD365" s="101"/>
      <c r="AE365" s="101"/>
    </row>
    <row r="366" spans="1:31" ht="13.8">
      <c r="A366" s="101"/>
      <c r="B366" s="101"/>
      <c r="C366" s="101"/>
      <c r="D366" s="101"/>
      <c r="E366" s="101"/>
      <c r="F366" s="101"/>
      <c r="G366" s="101"/>
      <c r="H366" s="101"/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  <c r="AA366" s="101"/>
      <c r="AB366" s="101"/>
      <c r="AC366" s="101"/>
      <c r="AD366" s="101"/>
      <c r="AE366" s="101"/>
    </row>
    <row r="367" spans="1:31" ht="13.8">
      <c r="A367" s="101"/>
      <c r="B367" s="101"/>
      <c r="C367" s="101"/>
      <c r="D367" s="101"/>
      <c r="E367" s="101"/>
      <c r="F367" s="101"/>
      <c r="G367" s="101"/>
      <c r="H367" s="101"/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  <c r="AA367" s="101"/>
      <c r="AB367" s="101"/>
      <c r="AC367" s="101"/>
      <c r="AD367" s="101"/>
      <c r="AE367" s="101"/>
    </row>
    <row r="368" spans="1:31" ht="13.8">
      <c r="A368" s="101"/>
      <c r="B368" s="101"/>
      <c r="C368" s="101"/>
      <c r="D368" s="101"/>
      <c r="E368" s="101"/>
      <c r="F368" s="101"/>
      <c r="G368" s="101"/>
      <c r="H368" s="101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  <c r="AA368" s="101"/>
      <c r="AB368" s="101"/>
      <c r="AC368" s="101"/>
      <c r="AD368" s="101"/>
      <c r="AE368" s="101"/>
    </row>
    <row r="369" spans="1:31" ht="13.8">
      <c r="A369" s="101"/>
      <c r="B369" s="101"/>
      <c r="C369" s="101"/>
      <c r="D369" s="101"/>
      <c r="E369" s="101"/>
      <c r="F369" s="101"/>
      <c r="G369" s="101"/>
      <c r="H369" s="101"/>
      <c r="I369" s="101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  <c r="AA369" s="101"/>
      <c r="AB369" s="101"/>
      <c r="AC369" s="101"/>
      <c r="AD369" s="101"/>
      <c r="AE369" s="101"/>
    </row>
    <row r="370" spans="1:31" ht="13.8">
      <c r="A370" s="101"/>
      <c r="B370" s="101"/>
      <c r="C370" s="101"/>
      <c r="D370" s="101"/>
      <c r="E370" s="101"/>
      <c r="F370" s="101"/>
      <c r="G370" s="101"/>
      <c r="H370" s="101"/>
      <c r="I370" s="101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  <c r="Z370" s="101"/>
      <c r="AA370" s="101"/>
      <c r="AB370" s="101"/>
      <c r="AC370" s="101"/>
      <c r="AD370" s="101"/>
      <c r="AE370" s="101"/>
    </row>
    <row r="371" spans="1:31" ht="13.8">
      <c r="A371" s="101"/>
      <c r="B371" s="101"/>
      <c r="C371" s="101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</row>
    <row r="372" spans="1:31" ht="13.8">
      <c r="A372" s="101"/>
      <c r="B372" s="101"/>
      <c r="C372" s="101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</row>
    <row r="373" spans="1:31" ht="13.8">
      <c r="A373" s="101"/>
      <c r="B373" s="101"/>
      <c r="C373" s="101"/>
      <c r="D373" s="101"/>
      <c r="E373" s="101"/>
      <c r="F373" s="101"/>
      <c r="G373" s="101"/>
      <c r="H373" s="101"/>
      <c r="I373" s="101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  <c r="Z373" s="101"/>
      <c r="AA373" s="101"/>
      <c r="AB373" s="101"/>
      <c r="AC373" s="101"/>
      <c r="AD373" s="101"/>
      <c r="AE373" s="101"/>
    </row>
    <row r="374" spans="1:31" ht="13.8">
      <c r="A374" s="101"/>
      <c r="B374" s="101"/>
      <c r="C374" s="101"/>
      <c r="D374" s="101"/>
      <c r="E374" s="101"/>
      <c r="F374" s="101"/>
      <c r="G374" s="101"/>
      <c r="H374" s="101"/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  <c r="AA374" s="101"/>
      <c r="AB374" s="101"/>
      <c r="AC374" s="101"/>
      <c r="AD374" s="101"/>
      <c r="AE374" s="101"/>
    </row>
    <row r="375" spans="1:31" ht="13.8">
      <c r="A375" s="101"/>
      <c r="B375" s="101"/>
      <c r="C375" s="101"/>
      <c r="D375" s="101"/>
      <c r="E375" s="101"/>
      <c r="F375" s="101"/>
      <c r="G375" s="101"/>
      <c r="H375" s="101"/>
      <c r="I375" s="101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  <c r="Z375" s="101"/>
      <c r="AA375" s="101"/>
      <c r="AB375" s="101"/>
      <c r="AC375" s="101"/>
      <c r="AD375" s="101"/>
      <c r="AE375" s="101"/>
    </row>
    <row r="376" spans="1:31" ht="13.8">
      <c r="A376" s="101"/>
      <c r="B376" s="101"/>
      <c r="C376" s="101"/>
      <c r="D376" s="101"/>
      <c r="E376" s="101"/>
      <c r="F376" s="101"/>
      <c r="G376" s="101"/>
      <c r="H376" s="101"/>
      <c r="I376" s="101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  <c r="AA376" s="101"/>
      <c r="AB376" s="101"/>
      <c r="AC376" s="101"/>
      <c r="AD376" s="101"/>
      <c r="AE376" s="101"/>
    </row>
    <row r="377" spans="1:31" ht="13.8">
      <c r="A377" s="101"/>
      <c r="B377" s="101"/>
      <c r="C377" s="101"/>
      <c r="D377" s="101"/>
      <c r="E377" s="101"/>
      <c r="F377" s="101"/>
      <c r="G377" s="101"/>
      <c r="H377" s="101"/>
      <c r="I377" s="101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  <c r="AA377" s="101"/>
      <c r="AB377" s="101"/>
      <c r="AC377" s="101"/>
      <c r="AD377" s="101"/>
      <c r="AE377" s="101"/>
    </row>
    <row r="378" spans="1:31" ht="13.8">
      <c r="A378" s="101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  <c r="AB378" s="101"/>
      <c r="AC378" s="101"/>
      <c r="AD378" s="101"/>
      <c r="AE378" s="101"/>
    </row>
    <row r="379" spans="1:31" ht="13.8">
      <c r="A379" s="101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  <c r="AD379" s="101"/>
      <c r="AE379" s="101"/>
    </row>
    <row r="380" spans="1:31" ht="13.8">
      <c r="A380" s="101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  <c r="AD380" s="101"/>
      <c r="AE380" s="101"/>
    </row>
    <row r="381" spans="1:31" ht="13.8">
      <c r="A381" s="101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  <c r="AD381" s="101"/>
      <c r="AE381" s="101"/>
    </row>
    <row r="382" spans="1:31" ht="13.8">
      <c r="A382" s="101"/>
      <c r="B382" s="101"/>
      <c r="C382" s="101"/>
      <c r="D382" s="101"/>
      <c r="E382" s="101"/>
      <c r="F382" s="101"/>
      <c r="G382" s="101"/>
      <c r="H382" s="101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  <c r="AA382" s="101"/>
      <c r="AB382" s="101"/>
      <c r="AC382" s="101"/>
      <c r="AD382" s="101"/>
      <c r="AE382" s="101"/>
    </row>
    <row r="383" spans="1:31" ht="13.8">
      <c r="A383" s="101"/>
      <c r="B383" s="101"/>
      <c r="C383" s="101"/>
      <c r="D383" s="101"/>
      <c r="E383" s="101"/>
      <c r="F383" s="101"/>
      <c r="G383" s="101"/>
      <c r="H383" s="101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  <c r="AA383" s="101"/>
      <c r="AB383" s="101"/>
      <c r="AC383" s="101"/>
      <c r="AD383" s="101"/>
      <c r="AE383" s="101"/>
    </row>
    <row r="384" spans="1:31" ht="13.8">
      <c r="A384" s="101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  <c r="AA384" s="101"/>
      <c r="AB384" s="101"/>
      <c r="AC384" s="101"/>
      <c r="AD384" s="101"/>
      <c r="AE384" s="101"/>
    </row>
    <row r="385" spans="1:31" ht="13.8">
      <c r="A385" s="101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  <c r="AA385" s="101"/>
      <c r="AB385" s="101"/>
      <c r="AC385" s="101"/>
      <c r="AD385" s="101"/>
      <c r="AE385" s="101"/>
    </row>
    <row r="386" spans="1:31" ht="13.8">
      <c r="A386" s="101"/>
      <c r="B386" s="101"/>
      <c r="C386" s="101"/>
      <c r="D386" s="101"/>
      <c r="E386" s="101"/>
      <c r="F386" s="101"/>
      <c r="G386" s="101"/>
      <c r="H386" s="101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  <c r="AA386" s="101"/>
      <c r="AB386" s="101"/>
      <c r="AC386" s="101"/>
      <c r="AD386" s="101"/>
      <c r="AE386" s="101"/>
    </row>
    <row r="387" spans="1:31" ht="13.8">
      <c r="A387" s="101"/>
      <c r="B387" s="101"/>
      <c r="C387" s="101"/>
      <c r="D387" s="101"/>
      <c r="E387" s="101"/>
      <c r="F387" s="101"/>
      <c r="G387" s="101"/>
      <c r="H387" s="101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  <c r="AA387" s="101"/>
      <c r="AB387" s="101"/>
      <c r="AC387" s="101"/>
      <c r="AD387" s="101"/>
      <c r="AE387" s="101"/>
    </row>
    <row r="388" spans="1:31" ht="13.8">
      <c r="A388" s="101"/>
      <c r="B388" s="101"/>
      <c r="C388" s="101"/>
      <c r="D388" s="101"/>
      <c r="E388" s="101"/>
      <c r="F388" s="101"/>
      <c r="G388" s="101"/>
      <c r="H388" s="101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  <c r="AA388" s="101"/>
      <c r="AB388" s="101"/>
      <c r="AC388" s="101"/>
      <c r="AD388" s="101"/>
      <c r="AE388" s="101"/>
    </row>
    <row r="389" spans="1:31" ht="13.8">
      <c r="A389" s="101"/>
      <c r="B389" s="101"/>
      <c r="C389" s="101"/>
      <c r="D389" s="101"/>
      <c r="E389" s="101"/>
      <c r="F389" s="101"/>
      <c r="G389" s="101"/>
      <c r="H389" s="101"/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  <c r="AA389" s="101"/>
      <c r="AB389" s="101"/>
      <c r="AC389" s="101"/>
      <c r="AD389" s="101"/>
      <c r="AE389" s="101"/>
    </row>
    <row r="390" spans="1:31" ht="13.8">
      <c r="A390" s="101"/>
      <c r="B390" s="101"/>
      <c r="C390" s="101"/>
      <c r="D390" s="101"/>
      <c r="E390" s="101"/>
      <c r="F390" s="101"/>
      <c r="G390" s="101"/>
      <c r="H390" s="101"/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  <c r="AA390" s="101"/>
      <c r="AB390" s="101"/>
      <c r="AC390" s="101"/>
      <c r="AD390" s="101"/>
      <c r="AE390" s="101"/>
    </row>
    <row r="391" spans="1:31" ht="13.8">
      <c r="A391" s="101"/>
      <c r="B391" s="101"/>
      <c r="C391" s="101"/>
      <c r="D391" s="101"/>
      <c r="E391" s="101"/>
      <c r="F391" s="101"/>
      <c r="G391" s="101"/>
      <c r="H391" s="101"/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  <c r="AA391" s="101"/>
      <c r="AB391" s="101"/>
      <c r="AC391" s="101"/>
      <c r="AD391" s="101"/>
      <c r="AE391" s="101"/>
    </row>
    <row r="392" spans="1:31" ht="13.8">
      <c r="A392" s="101"/>
      <c r="B392" s="101"/>
      <c r="C392" s="101"/>
      <c r="D392" s="101"/>
      <c r="E392" s="101"/>
      <c r="F392" s="101"/>
      <c r="G392" s="101"/>
      <c r="H392" s="101"/>
      <c r="I392" s="101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  <c r="AA392" s="101"/>
      <c r="AB392" s="101"/>
      <c r="AC392" s="101"/>
      <c r="AD392" s="101"/>
      <c r="AE392" s="101"/>
    </row>
    <row r="393" spans="1:31" ht="13.8">
      <c r="A393" s="101"/>
      <c r="B393" s="101"/>
      <c r="C393" s="101"/>
      <c r="D393" s="101"/>
      <c r="E393" s="101"/>
      <c r="F393" s="101"/>
      <c r="G393" s="101"/>
      <c r="H393" s="101"/>
      <c r="I393" s="101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  <c r="AA393" s="101"/>
      <c r="AB393" s="101"/>
      <c r="AC393" s="101"/>
      <c r="AD393" s="101"/>
      <c r="AE393" s="101"/>
    </row>
    <row r="394" spans="1:31" ht="13.8">
      <c r="A394" s="101"/>
      <c r="B394" s="101"/>
      <c r="C394" s="101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</row>
    <row r="395" spans="1:31" ht="13.8">
      <c r="A395" s="101"/>
      <c r="B395" s="101"/>
      <c r="C395" s="101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</row>
    <row r="396" spans="1:31" ht="13.8">
      <c r="A396" s="101"/>
      <c r="B396" s="101"/>
      <c r="C396" s="101"/>
      <c r="D396" s="101"/>
      <c r="E396" s="101"/>
      <c r="F396" s="101"/>
      <c r="G396" s="101"/>
      <c r="H396" s="101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  <c r="AA396" s="101"/>
      <c r="AB396" s="101"/>
      <c r="AC396" s="101"/>
      <c r="AD396" s="101"/>
      <c r="AE396" s="101"/>
    </row>
    <row r="397" spans="1:31" ht="13.8">
      <c r="A397" s="101"/>
      <c r="B397" s="101"/>
      <c r="C397" s="101"/>
      <c r="D397" s="101"/>
      <c r="E397" s="101"/>
      <c r="F397" s="101"/>
      <c r="G397" s="101"/>
      <c r="H397" s="101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  <c r="AA397" s="101"/>
      <c r="AB397" s="101"/>
      <c r="AC397" s="101"/>
      <c r="AD397" s="101"/>
      <c r="AE397" s="101"/>
    </row>
    <row r="398" spans="1:31" ht="13.8">
      <c r="A398" s="101"/>
      <c r="B398" s="101"/>
      <c r="C398" s="101"/>
      <c r="D398" s="101"/>
      <c r="E398" s="101"/>
      <c r="F398" s="101"/>
      <c r="G398" s="101"/>
      <c r="H398" s="101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  <c r="AA398" s="101"/>
      <c r="AB398" s="101"/>
      <c r="AC398" s="101"/>
      <c r="AD398" s="101"/>
      <c r="AE398" s="101"/>
    </row>
    <row r="399" spans="1:31" ht="13.8">
      <c r="A399" s="101"/>
      <c r="B399" s="101"/>
      <c r="C399" s="101"/>
      <c r="D399" s="101"/>
      <c r="E399" s="101"/>
      <c r="F399" s="101"/>
      <c r="G399" s="101"/>
      <c r="H399" s="101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  <c r="AA399" s="101"/>
      <c r="AB399" s="101"/>
      <c r="AC399" s="101"/>
      <c r="AD399" s="101"/>
      <c r="AE399" s="101"/>
    </row>
    <row r="400" spans="1:31" ht="13.8">
      <c r="A400" s="101"/>
      <c r="B400" s="101"/>
      <c r="C400" s="101"/>
      <c r="D400" s="101"/>
      <c r="E400" s="101"/>
      <c r="F400" s="101"/>
      <c r="G400" s="101"/>
      <c r="H400" s="101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  <c r="AA400" s="101"/>
      <c r="AB400" s="101"/>
      <c r="AC400" s="101"/>
      <c r="AD400" s="101"/>
      <c r="AE400" s="101"/>
    </row>
    <row r="401" spans="1:31" ht="13.8">
      <c r="A401" s="101"/>
      <c r="B401" s="101"/>
      <c r="C401" s="101"/>
      <c r="D401" s="101"/>
      <c r="E401" s="101"/>
      <c r="F401" s="101"/>
      <c r="G401" s="101"/>
      <c r="H401" s="101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  <c r="AA401" s="101"/>
      <c r="AB401" s="101"/>
      <c r="AC401" s="101"/>
      <c r="AD401" s="101"/>
      <c r="AE401" s="101"/>
    </row>
    <row r="402" spans="1:31" ht="13.8">
      <c r="A402" s="101"/>
      <c r="B402" s="101"/>
      <c r="C402" s="101"/>
      <c r="D402" s="101"/>
      <c r="E402" s="101"/>
      <c r="F402" s="101"/>
      <c r="G402" s="101"/>
      <c r="H402" s="101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  <c r="AA402" s="101"/>
      <c r="AB402" s="101"/>
      <c r="AC402" s="101"/>
      <c r="AD402" s="101"/>
      <c r="AE402" s="101"/>
    </row>
    <row r="403" spans="1:31" ht="13.8">
      <c r="A403" s="101"/>
      <c r="B403" s="101"/>
      <c r="C403" s="101"/>
      <c r="D403" s="101"/>
      <c r="E403" s="101"/>
      <c r="F403" s="101"/>
      <c r="G403" s="101"/>
      <c r="H403" s="101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  <c r="AA403" s="101"/>
      <c r="AB403" s="101"/>
      <c r="AC403" s="101"/>
      <c r="AD403" s="101"/>
      <c r="AE403" s="101"/>
    </row>
    <row r="404" spans="1:31" ht="13.8">
      <c r="A404" s="101"/>
      <c r="B404" s="101"/>
      <c r="C404" s="101"/>
      <c r="D404" s="101"/>
      <c r="E404" s="101"/>
      <c r="F404" s="101"/>
      <c r="G404" s="101"/>
      <c r="H404" s="101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  <c r="AA404" s="101"/>
      <c r="AB404" s="101"/>
      <c r="AC404" s="101"/>
      <c r="AD404" s="101"/>
      <c r="AE404" s="101"/>
    </row>
    <row r="405" spans="1:31" ht="13.8">
      <c r="A405" s="101"/>
      <c r="B405" s="101"/>
      <c r="C405" s="101"/>
      <c r="D405" s="101"/>
      <c r="E405" s="101"/>
      <c r="F405" s="101"/>
      <c r="G405" s="101"/>
      <c r="H405" s="101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  <c r="AA405" s="101"/>
      <c r="AB405" s="101"/>
      <c r="AC405" s="101"/>
      <c r="AD405" s="101"/>
      <c r="AE405" s="101"/>
    </row>
    <row r="406" spans="1:31" ht="13.8">
      <c r="A406" s="101"/>
      <c r="B406" s="101"/>
      <c r="C406" s="101"/>
      <c r="D406" s="101"/>
      <c r="E406" s="101"/>
      <c r="F406" s="101"/>
      <c r="G406" s="101"/>
      <c r="H406" s="101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  <c r="AA406" s="101"/>
      <c r="AB406" s="101"/>
      <c r="AC406" s="101"/>
      <c r="AD406" s="101"/>
      <c r="AE406" s="101"/>
    </row>
    <row r="407" spans="1:31" ht="13.8">
      <c r="A407" s="101"/>
      <c r="B407" s="101"/>
      <c r="C407" s="101"/>
      <c r="D407" s="101"/>
      <c r="E407" s="101"/>
      <c r="F407" s="101"/>
      <c r="G407" s="101"/>
      <c r="H407" s="101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  <c r="Z407" s="101"/>
      <c r="AA407" s="101"/>
      <c r="AB407" s="101"/>
      <c r="AC407" s="101"/>
      <c r="AD407" s="101"/>
      <c r="AE407" s="101"/>
    </row>
    <row r="408" spans="1:31" ht="13.8">
      <c r="A408" s="101"/>
      <c r="B408" s="101"/>
      <c r="C408" s="101"/>
      <c r="D408" s="101"/>
      <c r="E408" s="101"/>
      <c r="F408" s="101"/>
      <c r="G408" s="101"/>
      <c r="H408" s="101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  <c r="AA408" s="101"/>
      <c r="AB408" s="101"/>
      <c r="AC408" s="101"/>
      <c r="AD408" s="101"/>
      <c r="AE408" s="101"/>
    </row>
    <row r="409" spans="1:31" ht="13.8">
      <c r="A409" s="101"/>
      <c r="B409" s="101"/>
      <c r="C409" s="101"/>
      <c r="D409" s="101"/>
      <c r="E409" s="101"/>
      <c r="F409" s="101"/>
      <c r="G409" s="101"/>
      <c r="H409" s="101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  <c r="AA409" s="101"/>
      <c r="AB409" s="101"/>
      <c r="AC409" s="101"/>
      <c r="AD409" s="101"/>
      <c r="AE409" s="101"/>
    </row>
    <row r="410" spans="1:31" ht="13.8">
      <c r="A410" s="101"/>
      <c r="B410" s="101"/>
      <c r="C410" s="101"/>
      <c r="D410" s="101"/>
      <c r="E410" s="101"/>
      <c r="F410" s="101"/>
      <c r="G410" s="101"/>
      <c r="H410" s="101"/>
      <c r="I410" s="101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  <c r="Z410" s="101"/>
      <c r="AA410" s="101"/>
      <c r="AB410" s="101"/>
      <c r="AC410" s="101"/>
      <c r="AD410" s="101"/>
      <c r="AE410" s="101"/>
    </row>
    <row r="411" spans="1:31" ht="13.8">
      <c r="A411" s="101"/>
      <c r="B411" s="101"/>
      <c r="C411" s="101"/>
      <c r="D411" s="101"/>
      <c r="E411" s="101"/>
      <c r="F411" s="101"/>
      <c r="G411" s="101"/>
      <c r="H411" s="101"/>
      <c r="I411" s="101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  <c r="AA411" s="101"/>
      <c r="AB411" s="101"/>
      <c r="AC411" s="101"/>
      <c r="AD411" s="101"/>
      <c r="AE411" s="101"/>
    </row>
    <row r="412" spans="1:31" ht="13.8">
      <c r="A412" s="101"/>
      <c r="B412" s="101"/>
      <c r="C412" s="101"/>
      <c r="D412" s="101"/>
      <c r="E412" s="101"/>
      <c r="F412" s="101"/>
      <c r="G412" s="101"/>
      <c r="H412" s="101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  <c r="Z412" s="101"/>
      <c r="AA412" s="101"/>
      <c r="AB412" s="101"/>
      <c r="AC412" s="101"/>
      <c r="AD412" s="101"/>
      <c r="AE412" s="101"/>
    </row>
    <row r="413" spans="1:31" ht="13.8">
      <c r="A413" s="101"/>
      <c r="B413" s="101"/>
      <c r="C413" s="101"/>
      <c r="D413" s="101"/>
      <c r="E413" s="101"/>
      <c r="F413" s="101"/>
      <c r="G413" s="101"/>
      <c r="H413" s="101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  <c r="AA413" s="101"/>
      <c r="AB413" s="101"/>
      <c r="AC413" s="101"/>
      <c r="AD413" s="101"/>
      <c r="AE413" s="101"/>
    </row>
    <row r="414" spans="1:31" ht="13.8">
      <c r="A414" s="101"/>
      <c r="B414" s="101"/>
      <c r="C414" s="101"/>
      <c r="D414" s="101"/>
      <c r="E414" s="101"/>
      <c r="F414" s="101"/>
      <c r="G414" s="101"/>
      <c r="H414" s="101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  <c r="AA414" s="101"/>
      <c r="AB414" s="101"/>
      <c r="AC414" s="101"/>
      <c r="AD414" s="101"/>
      <c r="AE414" s="101"/>
    </row>
    <row r="415" spans="1:31" ht="13.8">
      <c r="A415" s="101"/>
      <c r="B415" s="101"/>
      <c r="C415" s="101"/>
      <c r="D415" s="101"/>
      <c r="E415" s="101"/>
      <c r="F415" s="101"/>
      <c r="G415" s="101"/>
      <c r="H415" s="101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  <c r="Z415" s="101"/>
      <c r="AA415" s="101"/>
      <c r="AB415" s="101"/>
      <c r="AC415" s="101"/>
      <c r="AD415" s="101"/>
      <c r="AE415" s="101"/>
    </row>
    <row r="416" spans="1:31" ht="13.8">
      <c r="A416" s="101"/>
      <c r="B416" s="101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  <c r="AA416" s="101"/>
      <c r="AB416" s="101"/>
      <c r="AC416" s="101"/>
      <c r="AD416" s="101"/>
      <c r="AE416" s="101"/>
    </row>
    <row r="417" spans="1:31" ht="13.8">
      <c r="A417" s="101"/>
      <c r="B417" s="101"/>
      <c r="C417" s="101"/>
      <c r="D417" s="101"/>
      <c r="E417" s="101"/>
      <c r="F417" s="101"/>
      <c r="G417" s="10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</row>
    <row r="418" spans="1:31" ht="13.8">
      <c r="A418" s="101"/>
      <c r="B418" s="101"/>
      <c r="C418" s="101"/>
      <c r="D418" s="101"/>
      <c r="E418" s="101"/>
      <c r="F418" s="101"/>
      <c r="G418" s="101"/>
      <c r="H418" s="101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</row>
    <row r="419" spans="1:31" ht="13.8">
      <c r="A419" s="101"/>
      <c r="B419" s="101"/>
      <c r="C419" s="101"/>
      <c r="D419" s="101"/>
      <c r="E419" s="101"/>
      <c r="F419" s="101"/>
      <c r="G419" s="101"/>
      <c r="H419" s="101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  <c r="Z419" s="101"/>
      <c r="AA419" s="101"/>
      <c r="AB419" s="101"/>
      <c r="AC419" s="101"/>
      <c r="AD419" s="101"/>
      <c r="AE419" s="101"/>
    </row>
    <row r="420" spans="1:31" ht="13.8">
      <c r="A420" s="101"/>
      <c r="B420" s="101"/>
      <c r="C420" s="101"/>
      <c r="D420" s="101"/>
      <c r="E420" s="101"/>
      <c r="F420" s="101"/>
      <c r="G420" s="10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  <c r="AA420" s="101"/>
      <c r="AB420" s="101"/>
      <c r="AC420" s="101"/>
      <c r="AD420" s="101"/>
      <c r="AE420" s="101"/>
    </row>
    <row r="421" spans="1:31" ht="13.8">
      <c r="A421" s="101"/>
      <c r="B421" s="101"/>
      <c r="C421" s="101"/>
      <c r="D421" s="101"/>
      <c r="E421" s="101"/>
      <c r="F421" s="101"/>
      <c r="G421" s="10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  <c r="AA421" s="101"/>
      <c r="AB421" s="101"/>
      <c r="AC421" s="101"/>
      <c r="AD421" s="101"/>
      <c r="AE421" s="101"/>
    </row>
    <row r="422" spans="1:31" ht="13.8">
      <c r="A422" s="101"/>
      <c r="B422" s="101"/>
      <c r="C422" s="101"/>
      <c r="D422" s="101"/>
      <c r="E422" s="101"/>
      <c r="F422" s="101"/>
      <c r="G422" s="101"/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  <c r="AA422" s="101"/>
      <c r="AB422" s="101"/>
      <c r="AC422" s="101"/>
      <c r="AD422" s="101"/>
      <c r="AE422" s="101"/>
    </row>
    <row r="423" spans="1:31" ht="13.8">
      <c r="A423" s="101"/>
      <c r="B423" s="101"/>
      <c r="C423" s="101"/>
      <c r="D423" s="101"/>
      <c r="E423" s="101"/>
      <c r="F423" s="101"/>
      <c r="G423" s="10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  <c r="AA423" s="101"/>
      <c r="AB423" s="101"/>
      <c r="AC423" s="101"/>
      <c r="AD423" s="101"/>
      <c r="AE423" s="101"/>
    </row>
    <row r="424" spans="1:31" ht="13.8">
      <c r="A424" s="101"/>
      <c r="B424" s="101"/>
      <c r="C424" s="101"/>
      <c r="D424" s="101"/>
      <c r="E424" s="101"/>
      <c r="F424" s="101"/>
      <c r="G424" s="10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  <c r="AA424" s="101"/>
      <c r="AB424" s="101"/>
      <c r="AC424" s="101"/>
      <c r="AD424" s="101"/>
      <c r="AE424" s="101"/>
    </row>
    <row r="425" spans="1:31" ht="13.8">
      <c r="A425" s="101"/>
      <c r="B425" s="101"/>
      <c r="C425" s="101"/>
      <c r="D425" s="101"/>
      <c r="E425" s="101"/>
      <c r="F425" s="101"/>
      <c r="G425" s="101"/>
      <c r="H425" s="101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  <c r="AA425" s="101"/>
      <c r="AB425" s="101"/>
      <c r="AC425" s="101"/>
      <c r="AD425" s="101"/>
      <c r="AE425" s="101"/>
    </row>
    <row r="426" spans="1:31" ht="13.8">
      <c r="A426" s="101"/>
      <c r="B426" s="101"/>
      <c r="C426" s="101"/>
      <c r="D426" s="101"/>
      <c r="E426" s="101"/>
      <c r="F426" s="101"/>
      <c r="G426" s="101"/>
      <c r="H426" s="101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  <c r="AA426" s="101"/>
      <c r="AB426" s="101"/>
      <c r="AC426" s="101"/>
      <c r="AD426" s="101"/>
      <c r="AE426" s="101"/>
    </row>
    <row r="427" spans="1:31" ht="13.8">
      <c r="A427" s="101"/>
      <c r="B427" s="101"/>
      <c r="C427" s="101"/>
      <c r="D427" s="101"/>
      <c r="E427" s="101"/>
      <c r="F427" s="101"/>
      <c r="G427" s="101"/>
      <c r="H427" s="101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  <c r="AA427" s="101"/>
      <c r="AB427" s="101"/>
      <c r="AC427" s="101"/>
      <c r="AD427" s="101"/>
      <c r="AE427" s="101"/>
    </row>
    <row r="428" spans="1:31" ht="13.8">
      <c r="A428" s="101"/>
      <c r="B428" s="101"/>
      <c r="C428" s="101"/>
      <c r="D428" s="101"/>
      <c r="E428" s="101"/>
      <c r="F428" s="101"/>
      <c r="G428" s="101"/>
      <c r="H428" s="101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  <c r="AA428" s="101"/>
      <c r="AB428" s="101"/>
      <c r="AC428" s="101"/>
      <c r="AD428" s="101"/>
      <c r="AE428" s="101"/>
    </row>
    <row r="429" spans="1:31" ht="13.8">
      <c r="A429" s="101"/>
      <c r="B429" s="101"/>
      <c r="C429" s="101"/>
      <c r="D429" s="101"/>
      <c r="E429" s="101"/>
      <c r="F429" s="101"/>
      <c r="G429" s="101"/>
      <c r="H429" s="101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  <c r="AA429" s="101"/>
      <c r="AB429" s="101"/>
      <c r="AC429" s="101"/>
      <c r="AD429" s="101"/>
      <c r="AE429" s="101"/>
    </row>
    <row r="430" spans="1:31" ht="13.8">
      <c r="A430" s="101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  <c r="AC430" s="101"/>
      <c r="AD430" s="101"/>
      <c r="AE430" s="101"/>
    </row>
    <row r="431" spans="1:31" ht="13.8">
      <c r="A431" s="101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  <c r="AD431" s="101"/>
      <c r="AE431" s="101"/>
    </row>
    <row r="432" spans="1:31" ht="13.8">
      <c r="A432" s="101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  <c r="AD432" s="101"/>
      <c r="AE432" s="101"/>
    </row>
    <row r="433" spans="1:31" ht="13.8">
      <c r="A433" s="101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  <c r="AB433" s="101"/>
      <c r="AC433" s="101"/>
      <c r="AD433" s="101"/>
      <c r="AE433" s="101"/>
    </row>
    <row r="434" spans="1:31" ht="13.8">
      <c r="A434" s="101"/>
      <c r="B434" s="101"/>
      <c r="C434" s="101"/>
      <c r="D434" s="101"/>
      <c r="E434" s="101"/>
      <c r="F434" s="101"/>
      <c r="G434" s="101"/>
      <c r="H434" s="101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  <c r="AA434" s="101"/>
      <c r="AB434" s="101"/>
      <c r="AC434" s="101"/>
      <c r="AD434" s="101"/>
      <c r="AE434" s="101"/>
    </row>
    <row r="435" spans="1:31" ht="13.8">
      <c r="A435" s="101"/>
      <c r="B435" s="101"/>
      <c r="C435" s="101"/>
      <c r="D435" s="101"/>
      <c r="E435" s="101"/>
      <c r="F435" s="101"/>
      <c r="G435" s="101"/>
      <c r="H435" s="101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  <c r="AA435" s="101"/>
      <c r="AB435" s="101"/>
      <c r="AC435" s="101"/>
      <c r="AD435" s="101"/>
      <c r="AE435" s="101"/>
    </row>
    <row r="436" spans="1:31" ht="13.8">
      <c r="A436" s="101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  <c r="AA436" s="101"/>
      <c r="AB436" s="101"/>
      <c r="AC436" s="101"/>
      <c r="AD436" s="101"/>
      <c r="AE436" s="101"/>
    </row>
    <row r="437" spans="1:31" ht="13.8">
      <c r="A437" s="101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  <c r="AA437" s="101"/>
      <c r="AB437" s="101"/>
      <c r="AC437" s="101"/>
      <c r="AD437" s="101"/>
      <c r="AE437" s="101"/>
    </row>
    <row r="438" spans="1:31" ht="13.8">
      <c r="A438" s="101"/>
      <c r="B438" s="101"/>
      <c r="C438" s="101"/>
      <c r="D438" s="101"/>
      <c r="E438" s="101"/>
      <c r="F438" s="101"/>
      <c r="G438" s="101"/>
      <c r="H438" s="101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  <c r="AA438" s="101"/>
      <c r="AB438" s="101"/>
      <c r="AC438" s="101"/>
      <c r="AD438" s="101"/>
      <c r="AE438" s="101"/>
    </row>
    <row r="439" spans="1:31" ht="13.8">
      <c r="A439" s="101"/>
      <c r="B439" s="101"/>
      <c r="C439" s="101"/>
      <c r="D439" s="101"/>
      <c r="E439" s="101"/>
      <c r="F439" s="101"/>
      <c r="G439" s="101"/>
      <c r="H439" s="101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  <c r="AA439" s="101"/>
      <c r="AB439" s="101"/>
      <c r="AC439" s="101"/>
      <c r="AD439" s="101"/>
      <c r="AE439" s="101"/>
    </row>
    <row r="440" spans="1:31" ht="13.8">
      <c r="A440" s="101"/>
      <c r="B440" s="101"/>
      <c r="C440" s="101"/>
      <c r="D440" s="101"/>
      <c r="E440" s="101"/>
      <c r="F440" s="101"/>
      <c r="G440" s="101"/>
      <c r="H440" s="101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  <c r="AA440" s="101"/>
      <c r="AB440" s="101"/>
      <c r="AC440" s="101"/>
      <c r="AD440" s="101"/>
      <c r="AE440" s="101"/>
    </row>
    <row r="441" spans="1:31" ht="13.8">
      <c r="A441" s="101"/>
      <c r="B441" s="101"/>
      <c r="C441" s="101"/>
      <c r="D441" s="101"/>
      <c r="E441" s="101"/>
      <c r="F441" s="101"/>
      <c r="G441" s="101"/>
      <c r="H441" s="101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  <c r="AA441" s="101"/>
      <c r="AB441" s="101"/>
      <c r="AC441" s="101"/>
      <c r="AD441" s="101"/>
      <c r="AE441" s="101"/>
    </row>
    <row r="442" spans="1:31" ht="13.8">
      <c r="A442" s="101"/>
      <c r="B442" s="101"/>
      <c r="C442" s="101"/>
      <c r="D442" s="101"/>
      <c r="E442" s="101"/>
      <c r="F442" s="101"/>
      <c r="G442" s="101"/>
      <c r="H442" s="101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  <c r="AA442" s="101"/>
      <c r="AB442" s="101"/>
      <c r="AC442" s="101"/>
      <c r="AD442" s="101"/>
      <c r="AE442" s="101"/>
    </row>
    <row r="443" spans="1:31" ht="13.8">
      <c r="A443" s="101"/>
      <c r="B443" s="101"/>
      <c r="C443" s="101"/>
      <c r="D443" s="101"/>
      <c r="E443" s="101"/>
      <c r="F443" s="101"/>
      <c r="G443" s="101"/>
      <c r="H443" s="101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  <c r="AA443" s="101"/>
      <c r="AB443" s="101"/>
      <c r="AC443" s="101"/>
      <c r="AD443" s="101"/>
      <c r="AE443" s="101"/>
    </row>
    <row r="444" spans="1:31" ht="13.8">
      <c r="A444" s="101"/>
      <c r="B444" s="101"/>
      <c r="C444" s="101"/>
      <c r="D444" s="101"/>
      <c r="E444" s="101"/>
      <c r="F444" s="101"/>
      <c r="G444" s="101"/>
      <c r="H444" s="101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  <c r="AA444" s="101"/>
      <c r="AB444" s="101"/>
      <c r="AC444" s="101"/>
      <c r="AD444" s="101"/>
      <c r="AE444" s="101"/>
    </row>
    <row r="445" spans="1:31" ht="13.8">
      <c r="A445" s="101"/>
      <c r="B445" s="101"/>
      <c r="C445" s="101"/>
      <c r="D445" s="101"/>
      <c r="E445" s="101"/>
      <c r="F445" s="101"/>
      <c r="G445" s="101"/>
      <c r="H445" s="101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  <c r="AA445" s="101"/>
      <c r="AB445" s="101"/>
      <c r="AC445" s="101"/>
      <c r="AD445" s="101"/>
      <c r="AE445" s="101"/>
    </row>
    <row r="446" spans="1:31" ht="13.8">
      <c r="A446" s="101"/>
      <c r="B446" s="101"/>
      <c r="C446" s="101"/>
      <c r="D446" s="101"/>
      <c r="E446" s="101"/>
      <c r="F446" s="101"/>
      <c r="G446" s="101"/>
      <c r="H446" s="101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  <c r="AA446" s="101"/>
      <c r="AB446" s="101"/>
      <c r="AC446" s="101"/>
      <c r="AD446" s="101"/>
      <c r="AE446" s="101"/>
    </row>
    <row r="447" spans="1:31" ht="13.8">
      <c r="A447" s="101"/>
      <c r="B447" s="101"/>
      <c r="C447" s="101"/>
      <c r="D447" s="101"/>
      <c r="E447" s="101"/>
      <c r="F447" s="101"/>
      <c r="G447" s="10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  <c r="AA447" s="101"/>
      <c r="AB447" s="101"/>
      <c r="AC447" s="101"/>
      <c r="AD447" s="101"/>
      <c r="AE447" s="101"/>
    </row>
    <row r="448" spans="1:31" ht="13.8">
      <c r="A448" s="101"/>
      <c r="B448" s="101"/>
      <c r="C448" s="101"/>
      <c r="D448" s="101"/>
      <c r="E448" s="101"/>
      <c r="F448" s="101"/>
      <c r="G448" s="10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  <c r="AA448" s="101"/>
      <c r="AB448" s="101"/>
      <c r="AC448" s="101"/>
      <c r="AD448" s="101"/>
      <c r="AE448" s="101"/>
    </row>
    <row r="449" spans="1:31" ht="13.8">
      <c r="A449" s="101"/>
      <c r="B449" s="101"/>
      <c r="C449" s="101"/>
      <c r="D449" s="101"/>
      <c r="E449" s="101"/>
      <c r="F449" s="101"/>
      <c r="G449" s="10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  <c r="AA449" s="101"/>
      <c r="AB449" s="101"/>
      <c r="AC449" s="101"/>
      <c r="AD449" s="101"/>
      <c r="AE449" s="101"/>
    </row>
    <row r="450" spans="1:31" ht="13.8">
      <c r="A450" s="101"/>
      <c r="B450" s="101"/>
      <c r="C450" s="101"/>
      <c r="D450" s="101"/>
      <c r="E450" s="101"/>
      <c r="F450" s="101"/>
      <c r="G450" s="10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  <c r="AA450" s="101"/>
      <c r="AB450" s="101"/>
      <c r="AC450" s="101"/>
      <c r="AD450" s="101"/>
      <c r="AE450" s="101"/>
    </row>
    <row r="451" spans="1:31" ht="13.8">
      <c r="A451" s="101"/>
      <c r="B451" s="101"/>
      <c r="C451" s="101"/>
      <c r="D451" s="101"/>
      <c r="E451" s="101"/>
      <c r="F451" s="101"/>
      <c r="G451" s="10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  <c r="AA451" s="101"/>
      <c r="AB451" s="101"/>
      <c r="AC451" s="101"/>
      <c r="AD451" s="101"/>
      <c r="AE451" s="101"/>
    </row>
    <row r="452" spans="1:31" ht="13.8">
      <c r="A452" s="101"/>
      <c r="B452" s="101"/>
      <c r="C452" s="101"/>
      <c r="D452" s="101"/>
      <c r="E452" s="101"/>
      <c r="F452" s="101"/>
      <c r="G452" s="101"/>
      <c r="H452" s="101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  <c r="AA452" s="101"/>
      <c r="AB452" s="101"/>
      <c r="AC452" s="101"/>
      <c r="AD452" s="101"/>
      <c r="AE452" s="101"/>
    </row>
    <row r="453" spans="1:31" ht="13.8">
      <c r="A453" s="101"/>
      <c r="B453" s="101"/>
      <c r="C453" s="101"/>
      <c r="D453" s="101"/>
      <c r="E453" s="101"/>
      <c r="F453" s="101"/>
      <c r="G453" s="101"/>
      <c r="H453" s="101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  <c r="AA453" s="101"/>
      <c r="AB453" s="101"/>
      <c r="AC453" s="101"/>
      <c r="AD453" s="101"/>
      <c r="AE453" s="101"/>
    </row>
    <row r="454" spans="1:31" ht="13.8">
      <c r="A454" s="101"/>
      <c r="B454" s="101"/>
      <c r="C454" s="101"/>
      <c r="D454" s="101"/>
      <c r="E454" s="101"/>
      <c r="F454" s="101"/>
      <c r="G454" s="101"/>
      <c r="H454" s="101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  <c r="AA454" s="101"/>
      <c r="AB454" s="101"/>
      <c r="AC454" s="101"/>
      <c r="AD454" s="101"/>
      <c r="AE454" s="101"/>
    </row>
    <row r="455" spans="1:31" ht="13.8">
      <c r="A455" s="101"/>
      <c r="B455" s="101"/>
      <c r="C455" s="101"/>
      <c r="D455" s="101"/>
      <c r="E455" s="101"/>
      <c r="F455" s="101"/>
      <c r="G455" s="10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  <c r="AA455" s="101"/>
      <c r="AB455" s="101"/>
      <c r="AC455" s="101"/>
      <c r="AD455" s="101"/>
      <c r="AE455" s="101"/>
    </row>
    <row r="456" spans="1:31" ht="13.8">
      <c r="A456" s="101"/>
      <c r="B456" s="101"/>
      <c r="C456" s="101"/>
      <c r="D456" s="101"/>
      <c r="E456" s="101"/>
      <c r="F456" s="101"/>
      <c r="G456" s="101"/>
      <c r="H456" s="101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  <c r="AA456" s="101"/>
      <c r="AB456" s="101"/>
      <c r="AC456" s="101"/>
      <c r="AD456" s="101"/>
      <c r="AE456" s="101"/>
    </row>
    <row r="457" spans="1:31" ht="13.8">
      <c r="A457" s="101"/>
      <c r="B457" s="101"/>
      <c r="C457" s="101"/>
      <c r="D457" s="101"/>
      <c r="E457" s="101"/>
      <c r="F457" s="101"/>
      <c r="G457" s="101"/>
      <c r="H457" s="101"/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  <c r="AA457" s="101"/>
      <c r="AB457" s="101"/>
      <c r="AC457" s="101"/>
      <c r="AD457" s="101"/>
      <c r="AE457" s="101"/>
    </row>
    <row r="458" spans="1:31" ht="13.8">
      <c r="A458" s="101"/>
      <c r="B458" s="101"/>
      <c r="C458" s="101"/>
      <c r="D458" s="101"/>
      <c r="E458" s="101"/>
      <c r="F458" s="101"/>
      <c r="G458" s="101"/>
      <c r="H458" s="101"/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  <c r="AA458" s="101"/>
      <c r="AB458" s="101"/>
      <c r="AC458" s="101"/>
      <c r="AD458" s="101"/>
      <c r="AE458" s="101"/>
    </row>
    <row r="459" spans="1:31" ht="13.8">
      <c r="A459" s="101"/>
      <c r="B459" s="101"/>
      <c r="C459" s="101"/>
      <c r="D459" s="101"/>
      <c r="E459" s="101"/>
      <c r="F459" s="101"/>
      <c r="G459" s="101"/>
      <c r="H459" s="101"/>
      <c r="I459" s="101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  <c r="AA459" s="101"/>
      <c r="AB459" s="101"/>
      <c r="AC459" s="101"/>
      <c r="AD459" s="101"/>
      <c r="AE459" s="101"/>
    </row>
    <row r="460" spans="1:31" ht="13.8">
      <c r="A460" s="101"/>
      <c r="B460" s="101"/>
      <c r="C460" s="101"/>
      <c r="D460" s="101"/>
      <c r="E460" s="101"/>
      <c r="F460" s="101"/>
      <c r="G460" s="101"/>
      <c r="H460" s="101"/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  <c r="AA460" s="101"/>
      <c r="AB460" s="101"/>
      <c r="AC460" s="101"/>
      <c r="AD460" s="101"/>
      <c r="AE460" s="101"/>
    </row>
    <row r="461" spans="1:31" ht="13.8">
      <c r="A461" s="101"/>
      <c r="B461" s="101"/>
      <c r="C461" s="101"/>
      <c r="D461" s="101"/>
      <c r="E461" s="101"/>
      <c r="F461" s="101"/>
      <c r="G461" s="101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  <c r="AA461" s="101"/>
      <c r="AB461" s="101"/>
      <c r="AC461" s="101"/>
      <c r="AD461" s="101"/>
      <c r="AE461" s="101"/>
    </row>
    <row r="462" spans="1:31" ht="13.8">
      <c r="A462" s="101"/>
      <c r="B462" s="101"/>
      <c r="C462" s="101"/>
      <c r="D462" s="101"/>
      <c r="E462" s="101"/>
      <c r="F462" s="101"/>
      <c r="G462" s="101"/>
      <c r="H462" s="101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  <c r="AA462" s="101"/>
      <c r="AB462" s="101"/>
      <c r="AC462" s="101"/>
      <c r="AD462" s="101"/>
      <c r="AE462" s="101"/>
    </row>
    <row r="463" spans="1:31" ht="13.8">
      <c r="A463" s="101"/>
      <c r="B463" s="101"/>
      <c r="C463" s="101"/>
      <c r="D463" s="101"/>
      <c r="E463" s="101"/>
      <c r="F463" s="101"/>
      <c r="G463" s="101"/>
      <c r="H463" s="101"/>
      <c r="I463" s="101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  <c r="AA463" s="101"/>
      <c r="AB463" s="101"/>
      <c r="AC463" s="101"/>
      <c r="AD463" s="101"/>
      <c r="AE463" s="101"/>
    </row>
    <row r="464" spans="1:31" ht="13.8">
      <c r="A464" s="101"/>
      <c r="B464" s="101"/>
      <c r="C464" s="101"/>
      <c r="D464" s="101"/>
      <c r="E464" s="101"/>
      <c r="F464" s="101"/>
      <c r="G464" s="101"/>
      <c r="H464" s="101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  <c r="AA464" s="101"/>
      <c r="AB464" s="101"/>
      <c r="AC464" s="101"/>
      <c r="AD464" s="101"/>
      <c r="AE464" s="101"/>
    </row>
    <row r="465" spans="1:31" ht="13.8">
      <c r="A465" s="101"/>
      <c r="B465" s="101"/>
      <c r="C465" s="101"/>
      <c r="D465" s="101"/>
      <c r="E465" s="101"/>
      <c r="F465" s="101"/>
      <c r="G465" s="101"/>
      <c r="H465" s="101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  <c r="AA465" s="101"/>
      <c r="AB465" s="101"/>
      <c r="AC465" s="101"/>
      <c r="AD465" s="101"/>
      <c r="AE465" s="101"/>
    </row>
    <row r="466" spans="1:31" ht="13.8">
      <c r="A466" s="101"/>
      <c r="B466" s="101"/>
      <c r="C466" s="101"/>
      <c r="D466" s="101"/>
      <c r="E466" s="101"/>
      <c r="F466" s="101"/>
      <c r="G466" s="101"/>
      <c r="H466" s="101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  <c r="AA466" s="101"/>
      <c r="AB466" s="101"/>
      <c r="AC466" s="101"/>
      <c r="AD466" s="101"/>
      <c r="AE466" s="101"/>
    </row>
    <row r="467" spans="1:31" ht="13.8">
      <c r="A467" s="101"/>
      <c r="B467" s="101"/>
      <c r="C467" s="101"/>
      <c r="D467" s="101"/>
      <c r="E467" s="101"/>
      <c r="F467" s="101"/>
      <c r="G467" s="101"/>
      <c r="H467" s="101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  <c r="AA467" s="101"/>
      <c r="AB467" s="101"/>
      <c r="AC467" s="101"/>
      <c r="AD467" s="101"/>
      <c r="AE467" s="101"/>
    </row>
    <row r="468" spans="1:31" ht="13.8">
      <c r="A468" s="101"/>
      <c r="B468" s="101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  <c r="AA468" s="101"/>
      <c r="AB468" s="101"/>
      <c r="AC468" s="101"/>
      <c r="AD468" s="101"/>
      <c r="AE468" s="101"/>
    </row>
    <row r="469" spans="1:31" ht="13.8">
      <c r="A469" s="101"/>
      <c r="B469" s="101"/>
      <c r="C469" s="101"/>
      <c r="D469" s="101"/>
      <c r="E469" s="101"/>
      <c r="F469" s="101"/>
      <c r="G469" s="101"/>
      <c r="H469" s="101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  <c r="AA469" s="101"/>
      <c r="AB469" s="101"/>
      <c r="AC469" s="101"/>
      <c r="AD469" s="101"/>
      <c r="AE469" s="101"/>
    </row>
    <row r="470" spans="1:31" ht="13.8">
      <c r="A470" s="101"/>
      <c r="B470" s="101"/>
      <c r="C470" s="101"/>
      <c r="D470" s="101"/>
      <c r="E470" s="101"/>
      <c r="F470" s="101"/>
      <c r="G470" s="101"/>
      <c r="H470" s="101"/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  <c r="AA470" s="101"/>
      <c r="AB470" s="101"/>
      <c r="AC470" s="101"/>
      <c r="AD470" s="101"/>
      <c r="AE470" s="101"/>
    </row>
    <row r="471" spans="1:31" ht="13.8">
      <c r="A471" s="101"/>
      <c r="B471" s="101"/>
      <c r="C471" s="101"/>
      <c r="D471" s="101"/>
      <c r="E471" s="101"/>
      <c r="F471" s="101"/>
      <c r="G471" s="101"/>
      <c r="H471" s="101"/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  <c r="AA471" s="101"/>
      <c r="AB471" s="101"/>
      <c r="AC471" s="101"/>
      <c r="AD471" s="101"/>
      <c r="AE471" s="101"/>
    </row>
    <row r="472" spans="1:31" ht="13.8">
      <c r="A472" s="101"/>
      <c r="B472" s="101"/>
      <c r="C472" s="101"/>
      <c r="D472" s="101"/>
      <c r="E472" s="101"/>
      <c r="F472" s="101"/>
      <c r="G472" s="101"/>
      <c r="H472" s="101"/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  <c r="AA472" s="101"/>
      <c r="AB472" s="101"/>
      <c r="AC472" s="101"/>
      <c r="AD472" s="101"/>
      <c r="AE472" s="101"/>
    </row>
    <row r="473" spans="1:31" ht="13.8">
      <c r="A473" s="101"/>
      <c r="B473" s="101"/>
      <c r="C473" s="101"/>
      <c r="D473" s="101"/>
      <c r="E473" s="101"/>
      <c r="F473" s="101"/>
      <c r="G473" s="10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  <c r="AA473" s="101"/>
      <c r="AB473" s="101"/>
      <c r="AC473" s="101"/>
      <c r="AD473" s="101"/>
      <c r="AE473" s="101"/>
    </row>
    <row r="474" spans="1:31" ht="13.8">
      <c r="A474" s="101"/>
      <c r="B474" s="101"/>
      <c r="C474" s="101"/>
      <c r="D474" s="101"/>
      <c r="E474" s="101"/>
      <c r="F474" s="101"/>
      <c r="G474" s="101"/>
      <c r="H474" s="101"/>
      <c r="I474" s="101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  <c r="AA474" s="101"/>
      <c r="AB474" s="101"/>
      <c r="AC474" s="101"/>
      <c r="AD474" s="101"/>
      <c r="AE474" s="101"/>
    </row>
    <row r="475" spans="1:31" ht="13.8">
      <c r="A475" s="101"/>
      <c r="B475" s="101"/>
      <c r="C475" s="101"/>
      <c r="D475" s="101"/>
      <c r="E475" s="101"/>
      <c r="F475" s="101"/>
      <c r="G475" s="101"/>
      <c r="H475" s="101"/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  <c r="AA475" s="101"/>
      <c r="AB475" s="101"/>
      <c r="AC475" s="101"/>
      <c r="AD475" s="101"/>
      <c r="AE475" s="101"/>
    </row>
    <row r="476" spans="1:31" ht="13.8">
      <c r="A476" s="101"/>
      <c r="B476" s="101"/>
      <c r="C476" s="101"/>
      <c r="D476" s="101"/>
      <c r="E476" s="101"/>
      <c r="F476" s="101"/>
      <c r="G476" s="101"/>
      <c r="H476" s="101"/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  <c r="AA476" s="101"/>
      <c r="AB476" s="101"/>
      <c r="AC476" s="101"/>
      <c r="AD476" s="101"/>
      <c r="AE476" s="101"/>
    </row>
    <row r="477" spans="1:31" ht="13.8">
      <c r="A477" s="101"/>
      <c r="B477" s="101"/>
      <c r="C477" s="101"/>
      <c r="D477" s="101"/>
      <c r="E477" s="101"/>
      <c r="F477" s="101"/>
      <c r="G477" s="101"/>
      <c r="H477" s="101"/>
      <c r="I477" s="101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  <c r="AA477" s="101"/>
      <c r="AB477" s="101"/>
      <c r="AC477" s="101"/>
      <c r="AD477" s="101"/>
      <c r="AE477" s="101"/>
    </row>
    <row r="478" spans="1:31" ht="13.8">
      <c r="A478" s="101"/>
      <c r="B478" s="101"/>
      <c r="C478" s="101"/>
      <c r="D478" s="101"/>
      <c r="E478" s="101"/>
      <c r="F478" s="101"/>
      <c r="G478" s="101"/>
      <c r="H478" s="101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  <c r="AA478" s="101"/>
      <c r="AB478" s="101"/>
      <c r="AC478" s="101"/>
      <c r="AD478" s="101"/>
      <c r="AE478" s="101"/>
    </row>
    <row r="479" spans="1:31" ht="13.8">
      <c r="A479" s="101"/>
      <c r="B479" s="101"/>
      <c r="C479" s="101"/>
      <c r="D479" s="101"/>
      <c r="E479" s="101"/>
      <c r="F479" s="101"/>
      <c r="G479" s="101"/>
      <c r="H479" s="101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  <c r="AA479" s="101"/>
      <c r="AB479" s="101"/>
      <c r="AC479" s="101"/>
      <c r="AD479" s="101"/>
      <c r="AE479" s="101"/>
    </row>
    <row r="480" spans="1:31" ht="13.8">
      <c r="A480" s="101"/>
      <c r="B480" s="101"/>
      <c r="C480" s="101"/>
      <c r="D480" s="101"/>
      <c r="E480" s="101"/>
      <c r="F480" s="101"/>
      <c r="G480" s="101"/>
      <c r="H480" s="101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  <c r="AA480" s="101"/>
      <c r="AB480" s="101"/>
      <c r="AC480" s="101"/>
      <c r="AD480" s="101"/>
      <c r="AE480" s="101"/>
    </row>
    <row r="481" spans="1:31" ht="13.8">
      <c r="A481" s="101"/>
      <c r="B481" s="101"/>
      <c r="C481" s="101"/>
      <c r="D481" s="101"/>
      <c r="E481" s="101"/>
      <c r="F481" s="101"/>
      <c r="G481" s="101"/>
      <c r="H481" s="101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  <c r="AA481" s="101"/>
      <c r="AB481" s="101"/>
      <c r="AC481" s="101"/>
      <c r="AD481" s="101"/>
      <c r="AE481" s="101"/>
    </row>
    <row r="482" spans="1:31" ht="13.8">
      <c r="A482" s="101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  <c r="AB482" s="101"/>
      <c r="AC482" s="101"/>
      <c r="AD482" s="101"/>
      <c r="AE482" s="101"/>
    </row>
    <row r="483" spans="1:31" ht="13.8">
      <c r="A483" s="101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  <c r="AC483" s="101"/>
      <c r="AD483" s="101"/>
      <c r="AE483" s="101"/>
    </row>
    <row r="484" spans="1:31" ht="13.8">
      <c r="A484" s="101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  <c r="AB484" s="101"/>
      <c r="AC484" s="101"/>
      <c r="AD484" s="101"/>
      <c r="AE484" s="101"/>
    </row>
    <row r="485" spans="1:31" ht="13.8">
      <c r="A485" s="101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  <c r="AB485" s="101"/>
      <c r="AC485" s="101"/>
      <c r="AD485" s="101"/>
      <c r="AE485" s="101"/>
    </row>
    <row r="486" spans="1:31" ht="13.8">
      <c r="A486" s="101"/>
      <c r="B486" s="101"/>
      <c r="C486" s="101"/>
      <c r="D486" s="101"/>
      <c r="E486" s="101"/>
      <c r="F486" s="101"/>
      <c r="G486" s="101"/>
      <c r="H486" s="101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  <c r="AA486" s="101"/>
      <c r="AB486" s="101"/>
      <c r="AC486" s="101"/>
      <c r="AD486" s="101"/>
      <c r="AE486" s="101"/>
    </row>
    <row r="487" spans="1:31" ht="13.8">
      <c r="A487" s="101"/>
      <c r="B487" s="101"/>
      <c r="C487" s="101"/>
      <c r="D487" s="101"/>
      <c r="E487" s="101"/>
      <c r="F487" s="101"/>
      <c r="G487" s="101"/>
      <c r="H487" s="101"/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  <c r="AA487" s="101"/>
      <c r="AB487" s="101"/>
      <c r="AC487" s="101"/>
      <c r="AD487" s="101"/>
      <c r="AE487" s="101"/>
    </row>
    <row r="488" spans="1:31" ht="13.8">
      <c r="A488" s="101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  <c r="AA488" s="101"/>
      <c r="AB488" s="101"/>
      <c r="AC488" s="101"/>
      <c r="AD488" s="101"/>
      <c r="AE488" s="101"/>
    </row>
    <row r="489" spans="1:31" ht="13.8">
      <c r="A489" s="101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  <c r="AA489" s="101"/>
      <c r="AB489" s="101"/>
      <c r="AC489" s="101"/>
      <c r="AD489" s="101"/>
      <c r="AE489" s="101"/>
    </row>
    <row r="490" spans="1:31" ht="13.8">
      <c r="A490" s="101"/>
      <c r="B490" s="101"/>
      <c r="C490" s="101"/>
      <c r="D490" s="101"/>
      <c r="E490" s="101"/>
      <c r="F490" s="101"/>
      <c r="G490" s="101"/>
      <c r="H490" s="101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  <c r="AA490" s="101"/>
      <c r="AB490" s="101"/>
      <c r="AC490" s="101"/>
      <c r="AD490" s="101"/>
      <c r="AE490" s="101"/>
    </row>
    <row r="491" spans="1:31" ht="13.8">
      <c r="A491" s="101"/>
      <c r="B491" s="101"/>
      <c r="C491" s="101"/>
      <c r="D491" s="101"/>
      <c r="E491" s="101"/>
      <c r="F491" s="101"/>
      <c r="G491" s="101"/>
      <c r="H491" s="101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  <c r="AA491" s="101"/>
      <c r="AB491" s="101"/>
      <c r="AC491" s="101"/>
      <c r="AD491" s="101"/>
      <c r="AE491" s="101"/>
    </row>
    <row r="492" spans="1:31" ht="13.8">
      <c r="A492" s="101"/>
      <c r="B492" s="101"/>
      <c r="C492" s="101"/>
      <c r="D492" s="101"/>
      <c r="E492" s="101"/>
      <c r="F492" s="101"/>
      <c r="G492" s="101"/>
      <c r="H492" s="101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  <c r="AA492" s="101"/>
      <c r="AB492" s="101"/>
      <c r="AC492" s="101"/>
      <c r="AD492" s="101"/>
      <c r="AE492" s="101"/>
    </row>
    <row r="493" spans="1:31" ht="13.8">
      <c r="A493" s="101"/>
      <c r="B493" s="101"/>
      <c r="C493" s="101"/>
      <c r="D493" s="101"/>
      <c r="E493" s="101"/>
      <c r="F493" s="101"/>
      <c r="G493" s="101"/>
      <c r="H493" s="101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  <c r="AA493" s="101"/>
      <c r="AB493" s="101"/>
      <c r="AC493" s="101"/>
      <c r="AD493" s="101"/>
      <c r="AE493" s="101"/>
    </row>
    <row r="494" spans="1:31" ht="13.8">
      <c r="A494" s="101"/>
      <c r="B494" s="101"/>
      <c r="C494" s="101"/>
      <c r="D494" s="101"/>
      <c r="E494" s="101"/>
      <c r="F494" s="101"/>
      <c r="G494" s="101"/>
      <c r="H494" s="101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  <c r="AA494" s="101"/>
      <c r="AB494" s="101"/>
      <c r="AC494" s="101"/>
      <c r="AD494" s="101"/>
      <c r="AE494" s="101"/>
    </row>
    <row r="495" spans="1:31" ht="13.8">
      <c r="A495" s="101"/>
      <c r="B495" s="101"/>
      <c r="C495" s="101"/>
      <c r="D495" s="101"/>
      <c r="E495" s="101"/>
      <c r="F495" s="101"/>
      <c r="G495" s="101"/>
      <c r="H495" s="101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  <c r="AA495" s="101"/>
      <c r="AB495" s="101"/>
      <c r="AC495" s="101"/>
      <c r="AD495" s="101"/>
      <c r="AE495" s="101"/>
    </row>
    <row r="496" spans="1:31" ht="13.8">
      <c r="A496" s="101"/>
      <c r="B496" s="101"/>
      <c r="C496" s="101"/>
      <c r="D496" s="101"/>
      <c r="E496" s="101"/>
      <c r="F496" s="101"/>
      <c r="G496" s="101"/>
      <c r="H496" s="101"/>
      <c r="I496" s="101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  <c r="AA496" s="101"/>
      <c r="AB496" s="101"/>
      <c r="AC496" s="101"/>
      <c r="AD496" s="101"/>
      <c r="AE496" s="101"/>
    </row>
    <row r="497" spans="1:31" ht="13.8">
      <c r="A497" s="101"/>
      <c r="B497" s="101"/>
      <c r="C497" s="101"/>
      <c r="D497" s="101"/>
      <c r="E497" s="101"/>
      <c r="F497" s="101"/>
      <c r="G497" s="101"/>
      <c r="H497" s="101"/>
      <c r="I497" s="101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  <c r="AA497" s="101"/>
      <c r="AB497" s="101"/>
      <c r="AC497" s="101"/>
      <c r="AD497" s="101"/>
      <c r="AE497" s="101"/>
    </row>
    <row r="498" spans="1:31" ht="13.8">
      <c r="A498" s="101"/>
      <c r="B498" s="101"/>
      <c r="C498" s="101"/>
      <c r="D498" s="101"/>
      <c r="E498" s="101"/>
      <c r="F498" s="101"/>
      <c r="G498" s="101"/>
      <c r="H498" s="101"/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  <c r="AA498" s="101"/>
      <c r="AB498" s="101"/>
      <c r="AC498" s="101"/>
      <c r="AD498" s="101"/>
      <c r="AE498" s="101"/>
    </row>
    <row r="499" spans="1:31" ht="13.8">
      <c r="A499" s="101"/>
      <c r="B499" s="101"/>
      <c r="C499" s="101"/>
      <c r="D499" s="101"/>
      <c r="E499" s="101"/>
      <c r="F499" s="101"/>
      <c r="G499" s="101"/>
      <c r="H499" s="101"/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  <c r="AA499" s="101"/>
      <c r="AB499" s="101"/>
      <c r="AC499" s="101"/>
      <c r="AD499" s="101"/>
      <c r="AE499" s="101"/>
    </row>
    <row r="500" spans="1:31" ht="13.8">
      <c r="A500" s="101"/>
      <c r="B500" s="101"/>
      <c r="C500" s="101"/>
      <c r="D500" s="101"/>
      <c r="E500" s="101"/>
      <c r="F500" s="101"/>
      <c r="G500" s="101"/>
      <c r="H500" s="101"/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  <c r="AA500" s="101"/>
      <c r="AB500" s="101"/>
      <c r="AC500" s="101"/>
      <c r="AD500" s="101"/>
      <c r="AE500" s="101"/>
    </row>
    <row r="501" spans="1:31" ht="13.8">
      <c r="A501" s="101"/>
      <c r="B501" s="101"/>
      <c r="C501" s="101"/>
      <c r="D501" s="101"/>
      <c r="E501" s="101"/>
      <c r="F501" s="101"/>
      <c r="G501" s="101"/>
      <c r="H501" s="101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  <c r="AA501" s="101"/>
      <c r="AB501" s="101"/>
      <c r="AC501" s="101"/>
      <c r="AD501" s="101"/>
      <c r="AE501" s="101"/>
    </row>
    <row r="502" spans="1:31" ht="13.8">
      <c r="A502" s="101"/>
      <c r="B502" s="101"/>
      <c r="C502" s="101"/>
      <c r="D502" s="101"/>
      <c r="E502" s="101"/>
      <c r="F502" s="101"/>
      <c r="G502" s="101"/>
      <c r="H502" s="101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  <c r="AA502" s="101"/>
      <c r="AB502" s="101"/>
      <c r="AC502" s="101"/>
      <c r="AD502" s="101"/>
      <c r="AE502" s="101"/>
    </row>
    <row r="503" spans="1:31" ht="13.8">
      <c r="A503" s="101"/>
      <c r="B503" s="101"/>
      <c r="C503" s="101"/>
      <c r="D503" s="101"/>
      <c r="E503" s="101"/>
      <c r="F503" s="101"/>
      <c r="G503" s="101"/>
      <c r="H503" s="101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  <c r="AA503" s="101"/>
      <c r="AB503" s="101"/>
      <c r="AC503" s="101"/>
      <c r="AD503" s="101"/>
      <c r="AE503" s="101"/>
    </row>
    <row r="504" spans="1:31" ht="13.8">
      <c r="A504" s="101"/>
      <c r="B504" s="101"/>
      <c r="C504" s="101"/>
      <c r="D504" s="101"/>
      <c r="E504" s="101"/>
      <c r="F504" s="101"/>
      <c r="G504" s="101"/>
      <c r="H504" s="101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  <c r="AA504" s="101"/>
      <c r="AB504" s="101"/>
      <c r="AC504" s="101"/>
      <c r="AD504" s="101"/>
      <c r="AE504" s="101"/>
    </row>
    <row r="505" spans="1:31" ht="13.8">
      <c r="A505" s="101"/>
      <c r="B505" s="101"/>
      <c r="C505" s="101"/>
      <c r="D505" s="101"/>
      <c r="E505" s="101"/>
      <c r="F505" s="101"/>
      <c r="G505" s="101"/>
      <c r="H505" s="101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  <c r="AA505" s="101"/>
      <c r="AB505" s="101"/>
      <c r="AC505" s="101"/>
      <c r="AD505" s="101"/>
      <c r="AE505" s="101"/>
    </row>
    <row r="506" spans="1:31" ht="13.8">
      <c r="A506" s="101"/>
      <c r="B506" s="101"/>
      <c r="C506" s="101"/>
      <c r="D506" s="101"/>
      <c r="E506" s="101"/>
      <c r="F506" s="101"/>
      <c r="G506" s="101"/>
      <c r="H506" s="101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  <c r="AA506" s="101"/>
      <c r="AB506" s="101"/>
      <c r="AC506" s="101"/>
      <c r="AD506" s="101"/>
      <c r="AE506" s="101"/>
    </row>
    <row r="507" spans="1:31" ht="13.8">
      <c r="A507" s="101"/>
      <c r="B507" s="101"/>
      <c r="C507" s="101"/>
      <c r="D507" s="101"/>
      <c r="E507" s="101"/>
      <c r="F507" s="101"/>
      <c r="G507" s="101"/>
      <c r="H507" s="101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  <c r="AA507" s="101"/>
      <c r="AB507" s="101"/>
      <c r="AC507" s="101"/>
      <c r="AD507" s="101"/>
      <c r="AE507" s="101"/>
    </row>
    <row r="508" spans="1:31" ht="13.8">
      <c r="A508" s="101"/>
      <c r="B508" s="101"/>
      <c r="C508" s="101"/>
      <c r="D508" s="101"/>
      <c r="E508" s="101"/>
      <c r="F508" s="101"/>
      <c r="G508" s="101"/>
      <c r="H508" s="101"/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  <c r="AA508" s="101"/>
      <c r="AB508" s="101"/>
      <c r="AC508" s="101"/>
      <c r="AD508" s="101"/>
      <c r="AE508" s="101"/>
    </row>
    <row r="509" spans="1:31" ht="13.8">
      <c r="A509" s="101"/>
      <c r="B509" s="101"/>
      <c r="C509" s="101"/>
      <c r="D509" s="101"/>
      <c r="E509" s="101"/>
      <c r="F509" s="101"/>
      <c r="G509" s="101"/>
      <c r="H509" s="101"/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  <c r="AA509" s="101"/>
      <c r="AB509" s="101"/>
      <c r="AC509" s="101"/>
      <c r="AD509" s="101"/>
      <c r="AE509" s="101"/>
    </row>
    <row r="510" spans="1:31" ht="13.8">
      <c r="A510" s="101"/>
      <c r="B510" s="101"/>
      <c r="C510" s="101"/>
      <c r="D510" s="101"/>
      <c r="E510" s="101"/>
      <c r="F510" s="101"/>
      <c r="G510" s="101"/>
      <c r="H510" s="101"/>
      <c r="I510" s="101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  <c r="AA510" s="101"/>
      <c r="AB510" s="101"/>
      <c r="AC510" s="101"/>
      <c r="AD510" s="101"/>
      <c r="AE510" s="101"/>
    </row>
    <row r="511" spans="1:31" ht="13.8">
      <c r="A511" s="101"/>
      <c r="B511" s="101"/>
      <c r="C511" s="101"/>
      <c r="D511" s="101"/>
      <c r="E511" s="101"/>
      <c r="F511" s="101"/>
      <c r="G511" s="101"/>
      <c r="H511" s="101"/>
      <c r="I511" s="101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  <c r="AA511" s="101"/>
      <c r="AB511" s="101"/>
      <c r="AC511" s="101"/>
      <c r="AD511" s="101"/>
      <c r="AE511" s="101"/>
    </row>
    <row r="512" spans="1:31" ht="13.8">
      <c r="A512" s="101"/>
      <c r="B512" s="101"/>
      <c r="C512" s="101"/>
      <c r="D512" s="101"/>
      <c r="E512" s="101"/>
      <c r="F512" s="101"/>
      <c r="G512" s="101"/>
      <c r="H512" s="101"/>
      <c r="I512" s="101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  <c r="AA512" s="101"/>
      <c r="AB512" s="101"/>
      <c r="AC512" s="101"/>
      <c r="AD512" s="101"/>
      <c r="AE512" s="101"/>
    </row>
    <row r="513" spans="1:31" ht="13.8">
      <c r="A513" s="101"/>
      <c r="B513" s="101"/>
      <c r="C513" s="101"/>
      <c r="D513" s="101"/>
      <c r="E513" s="101"/>
      <c r="F513" s="101"/>
      <c r="G513" s="101"/>
      <c r="H513" s="101"/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  <c r="AA513" s="101"/>
      <c r="AB513" s="101"/>
      <c r="AC513" s="101"/>
      <c r="AD513" s="101"/>
      <c r="AE513" s="101"/>
    </row>
    <row r="514" spans="1:31" ht="13.8">
      <c r="A514" s="101"/>
      <c r="B514" s="101"/>
      <c r="C514" s="101"/>
      <c r="D514" s="101"/>
      <c r="E514" s="101"/>
      <c r="F514" s="101"/>
      <c r="G514" s="101"/>
      <c r="H514" s="101"/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  <c r="AA514" s="101"/>
      <c r="AB514" s="101"/>
      <c r="AC514" s="101"/>
      <c r="AD514" s="101"/>
      <c r="AE514" s="101"/>
    </row>
    <row r="515" spans="1:31" ht="13.8">
      <c r="A515" s="101"/>
      <c r="B515" s="101"/>
      <c r="C515" s="101"/>
      <c r="D515" s="101"/>
      <c r="E515" s="101"/>
      <c r="F515" s="101"/>
      <c r="G515" s="101"/>
      <c r="H515" s="101"/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  <c r="AA515" s="101"/>
      <c r="AB515" s="101"/>
      <c r="AC515" s="101"/>
      <c r="AD515" s="101"/>
      <c r="AE515" s="101"/>
    </row>
    <row r="516" spans="1:31" ht="13.8">
      <c r="A516" s="101"/>
      <c r="B516" s="101"/>
      <c r="C516" s="101"/>
      <c r="D516" s="101"/>
      <c r="E516" s="101"/>
      <c r="F516" s="101"/>
      <c r="G516" s="101"/>
      <c r="H516" s="101"/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  <c r="AA516" s="101"/>
      <c r="AB516" s="101"/>
      <c r="AC516" s="101"/>
      <c r="AD516" s="101"/>
      <c r="AE516" s="101"/>
    </row>
    <row r="517" spans="1:31" ht="13.8">
      <c r="A517" s="101"/>
      <c r="B517" s="101"/>
      <c r="C517" s="101"/>
      <c r="D517" s="101"/>
      <c r="E517" s="101"/>
      <c r="F517" s="101"/>
      <c r="G517" s="101"/>
      <c r="H517" s="101"/>
      <c r="I517" s="101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  <c r="AA517" s="101"/>
      <c r="AB517" s="101"/>
      <c r="AC517" s="101"/>
      <c r="AD517" s="101"/>
      <c r="AE517" s="101"/>
    </row>
    <row r="518" spans="1:31" ht="13.8">
      <c r="A518" s="101"/>
      <c r="B518" s="101"/>
      <c r="C518" s="101"/>
      <c r="D518" s="101"/>
      <c r="E518" s="101"/>
      <c r="F518" s="101"/>
      <c r="G518" s="101"/>
      <c r="H518" s="101"/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  <c r="AA518" s="101"/>
      <c r="AB518" s="101"/>
      <c r="AC518" s="101"/>
      <c r="AD518" s="101"/>
      <c r="AE518" s="101"/>
    </row>
    <row r="519" spans="1:31" ht="13.8">
      <c r="A519" s="101"/>
      <c r="B519" s="101"/>
      <c r="C519" s="101"/>
      <c r="D519" s="101"/>
      <c r="E519" s="101"/>
      <c r="F519" s="101"/>
      <c r="G519" s="101"/>
      <c r="H519" s="101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  <c r="AA519" s="101"/>
      <c r="AB519" s="101"/>
      <c r="AC519" s="101"/>
      <c r="AD519" s="101"/>
      <c r="AE519" s="101"/>
    </row>
    <row r="520" spans="1:31" ht="13.8">
      <c r="A520" s="101"/>
      <c r="B520" s="101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  <c r="AA520" s="101"/>
      <c r="AB520" s="101"/>
      <c r="AC520" s="101"/>
      <c r="AD520" s="101"/>
      <c r="AE520" s="101"/>
    </row>
    <row r="521" spans="1:31" ht="13.8">
      <c r="A521" s="101"/>
      <c r="B521" s="101"/>
      <c r="C521" s="101"/>
      <c r="D521" s="101"/>
      <c r="E521" s="101"/>
      <c r="F521" s="101"/>
      <c r="G521" s="101"/>
      <c r="H521" s="101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  <c r="AA521" s="101"/>
      <c r="AB521" s="101"/>
      <c r="AC521" s="101"/>
      <c r="AD521" s="101"/>
      <c r="AE521" s="101"/>
    </row>
    <row r="522" spans="1:31" ht="13.8">
      <c r="A522" s="101"/>
      <c r="B522" s="101"/>
      <c r="C522" s="101"/>
      <c r="D522" s="101"/>
      <c r="E522" s="101"/>
      <c r="F522" s="101"/>
      <c r="G522" s="101"/>
      <c r="H522" s="101"/>
      <c r="I522" s="101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  <c r="AA522" s="101"/>
      <c r="AB522" s="101"/>
      <c r="AC522" s="101"/>
      <c r="AD522" s="101"/>
      <c r="AE522" s="101"/>
    </row>
    <row r="523" spans="1:31" ht="13.8">
      <c r="A523" s="101"/>
      <c r="B523" s="101"/>
      <c r="C523" s="101"/>
      <c r="D523" s="101"/>
      <c r="E523" s="101"/>
      <c r="F523" s="101"/>
      <c r="G523" s="101"/>
      <c r="H523" s="101"/>
      <c r="I523" s="101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  <c r="AA523" s="101"/>
      <c r="AB523" s="101"/>
      <c r="AC523" s="101"/>
      <c r="AD523" s="101"/>
      <c r="AE523" s="101"/>
    </row>
    <row r="524" spans="1:31" ht="13.8">
      <c r="A524" s="101"/>
      <c r="B524" s="101"/>
      <c r="C524" s="101"/>
      <c r="D524" s="101"/>
      <c r="E524" s="101"/>
      <c r="F524" s="101"/>
      <c r="G524" s="101"/>
      <c r="H524" s="101"/>
      <c r="I524" s="101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  <c r="AA524" s="101"/>
      <c r="AB524" s="101"/>
      <c r="AC524" s="101"/>
      <c r="AD524" s="101"/>
      <c r="AE524" s="101"/>
    </row>
    <row r="525" spans="1:31" ht="13.8">
      <c r="A525" s="101"/>
      <c r="B525" s="101"/>
      <c r="C525" s="101"/>
      <c r="D525" s="101"/>
      <c r="E525" s="101"/>
      <c r="F525" s="101"/>
      <c r="G525" s="101"/>
      <c r="H525" s="101"/>
      <c r="I525" s="101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  <c r="AA525" s="101"/>
      <c r="AB525" s="101"/>
      <c r="AC525" s="101"/>
      <c r="AD525" s="101"/>
      <c r="AE525" s="101"/>
    </row>
    <row r="526" spans="1:31" ht="13.8">
      <c r="A526" s="101"/>
      <c r="B526" s="101"/>
      <c r="C526" s="101"/>
      <c r="D526" s="101"/>
      <c r="E526" s="101"/>
      <c r="F526" s="101"/>
      <c r="G526" s="101"/>
      <c r="H526" s="101"/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  <c r="AA526" s="101"/>
      <c r="AB526" s="101"/>
      <c r="AC526" s="101"/>
      <c r="AD526" s="101"/>
      <c r="AE526" s="101"/>
    </row>
    <row r="527" spans="1:31" ht="13.8">
      <c r="A527" s="101"/>
      <c r="B527" s="101"/>
      <c r="C527" s="101"/>
      <c r="D527" s="101"/>
      <c r="E527" s="101"/>
      <c r="F527" s="101"/>
      <c r="G527" s="101"/>
      <c r="H527" s="101"/>
      <c r="I527" s="101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  <c r="AA527" s="101"/>
      <c r="AB527" s="101"/>
      <c r="AC527" s="101"/>
      <c r="AD527" s="101"/>
      <c r="AE527" s="101"/>
    </row>
    <row r="528" spans="1:31" ht="13.8">
      <c r="A528" s="101"/>
      <c r="B528" s="101"/>
      <c r="C528" s="101"/>
      <c r="D528" s="101"/>
      <c r="E528" s="101"/>
      <c r="F528" s="101"/>
      <c r="G528" s="101"/>
      <c r="H528" s="101"/>
      <c r="I528" s="101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  <c r="AA528" s="101"/>
      <c r="AB528" s="101"/>
      <c r="AC528" s="101"/>
      <c r="AD528" s="101"/>
      <c r="AE528" s="101"/>
    </row>
    <row r="529" spans="1:31" ht="13.8">
      <c r="A529" s="101"/>
      <c r="B529" s="101"/>
      <c r="C529" s="101"/>
      <c r="D529" s="101"/>
      <c r="E529" s="101"/>
      <c r="F529" s="101"/>
      <c r="G529" s="101"/>
      <c r="H529" s="101"/>
      <c r="I529" s="101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  <c r="AA529" s="101"/>
      <c r="AB529" s="101"/>
      <c r="AC529" s="101"/>
      <c r="AD529" s="101"/>
      <c r="AE529" s="101"/>
    </row>
    <row r="530" spans="1:31" ht="13.8">
      <c r="A530" s="101"/>
      <c r="B530" s="101"/>
      <c r="C530" s="101"/>
      <c r="D530" s="101"/>
      <c r="E530" s="101"/>
      <c r="F530" s="101"/>
      <c r="G530" s="101"/>
      <c r="H530" s="101"/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  <c r="AA530" s="101"/>
      <c r="AB530" s="101"/>
      <c r="AC530" s="101"/>
      <c r="AD530" s="101"/>
      <c r="AE530" s="101"/>
    </row>
    <row r="531" spans="1:31" ht="13.8">
      <c r="A531" s="101"/>
      <c r="B531" s="101"/>
      <c r="C531" s="101"/>
      <c r="D531" s="101"/>
      <c r="E531" s="101"/>
      <c r="F531" s="101"/>
      <c r="G531" s="101"/>
      <c r="H531" s="101"/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  <c r="AA531" s="101"/>
      <c r="AB531" s="101"/>
      <c r="AC531" s="101"/>
      <c r="AD531" s="101"/>
      <c r="AE531" s="101"/>
    </row>
    <row r="532" spans="1:31" ht="13.8">
      <c r="A532" s="101"/>
      <c r="B532" s="101"/>
      <c r="C532" s="101"/>
      <c r="D532" s="101"/>
      <c r="E532" s="101"/>
      <c r="F532" s="101"/>
      <c r="G532" s="101"/>
      <c r="H532" s="101"/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  <c r="AA532" s="101"/>
      <c r="AB532" s="101"/>
      <c r="AC532" s="101"/>
      <c r="AD532" s="101"/>
      <c r="AE532" s="101"/>
    </row>
    <row r="533" spans="1:31" ht="13.8">
      <c r="A533" s="101"/>
      <c r="B533" s="101"/>
      <c r="C533" s="101"/>
      <c r="D533" s="101"/>
      <c r="E533" s="101"/>
      <c r="F533" s="101"/>
      <c r="G533" s="101"/>
      <c r="H533" s="101"/>
      <c r="I533" s="101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  <c r="AA533" s="101"/>
      <c r="AB533" s="101"/>
      <c r="AC533" s="101"/>
      <c r="AD533" s="101"/>
      <c r="AE533" s="101"/>
    </row>
    <row r="534" spans="1:31" ht="13.8">
      <c r="A534" s="101"/>
      <c r="B534" s="101"/>
      <c r="C534" s="101"/>
      <c r="D534" s="101"/>
      <c r="E534" s="101"/>
      <c r="F534" s="101"/>
      <c r="G534" s="101"/>
      <c r="H534" s="101"/>
      <c r="I534" s="101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  <c r="AA534" s="101"/>
      <c r="AB534" s="101"/>
      <c r="AC534" s="101"/>
      <c r="AD534" s="101"/>
      <c r="AE534" s="101"/>
    </row>
    <row r="535" spans="1:31" ht="13.8">
      <c r="A535" s="101"/>
      <c r="B535" s="101"/>
      <c r="C535" s="101"/>
      <c r="D535" s="101"/>
      <c r="E535" s="101"/>
      <c r="F535" s="101"/>
      <c r="G535" s="101"/>
      <c r="H535" s="101"/>
      <c r="I535" s="101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  <c r="AA535" s="101"/>
      <c r="AB535" s="101"/>
      <c r="AC535" s="101"/>
      <c r="AD535" s="101"/>
      <c r="AE535" s="101"/>
    </row>
    <row r="536" spans="1:31" ht="13.8">
      <c r="A536" s="101"/>
      <c r="B536" s="101"/>
      <c r="C536" s="101"/>
      <c r="D536" s="101"/>
      <c r="E536" s="101"/>
      <c r="F536" s="101"/>
      <c r="G536" s="101"/>
      <c r="H536" s="101"/>
      <c r="I536" s="101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  <c r="AA536" s="101"/>
      <c r="AB536" s="101"/>
      <c r="AC536" s="101"/>
      <c r="AD536" s="101"/>
      <c r="AE536" s="101"/>
    </row>
    <row r="537" spans="1:31" ht="13.8">
      <c r="A537" s="101"/>
      <c r="B537" s="101"/>
      <c r="C537" s="101"/>
      <c r="D537" s="101"/>
      <c r="E537" s="101"/>
      <c r="F537" s="101"/>
      <c r="G537" s="101"/>
      <c r="H537" s="101"/>
      <c r="I537" s="101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  <c r="AA537" s="101"/>
      <c r="AB537" s="101"/>
      <c r="AC537" s="101"/>
      <c r="AD537" s="101"/>
      <c r="AE537" s="101"/>
    </row>
    <row r="538" spans="1:31" ht="13.8">
      <c r="A538" s="101"/>
      <c r="B538" s="101"/>
      <c r="C538" s="101"/>
      <c r="D538" s="101"/>
      <c r="E538" s="101"/>
      <c r="F538" s="101"/>
      <c r="G538" s="101"/>
      <c r="H538" s="101"/>
      <c r="I538" s="101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  <c r="AA538" s="101"/>
      <c r="AB538" s="101"/>
      <c r="AC538" s="101"/>
      <c r="AD538" s="101"/>
      <c r="AE538" s="101"/>
    </row>
    <row r="539" spans="1:31" ht="13.8">
      <c r="A539" s="101"/>
      <c r="B539" s="101"/>
      <c r="C539" s="101"/>
      <c r="D539" s="101"/>
      <c r="E539" s="101"/>
      <c r="F539" s="101"/>
      <c r="G539" s="101"/>
      <c r="H539" s="101"/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  <c r="AA539" s="101"/>
      <c r="AB539" s="101"/>
      <c r="AC539" s="101"/>
      <c r="AD539" s="101"/>
      <c r="AE539" s="101"/>
    </row>
    <row r="540" spans="1:31" ht="13.8">
      <c r="A540" s="101"/>
      <c r="B540" s="101"/>
      <c r="C540" s="101"/>
      <c r="D540" s="101"/>
      <c r="E540" s="101"/>
      <c r="F540" s="101"/>
      <c r="G540" s="101"/>
      <c r="H540" s="101"/>
      <c r="I540" s="101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  <c r="AA540" s="101"/>
      <c r="AB540" s="101"/>
      <c r="AC540" s="101"/>
      <c r="AD540" s="101"/>
      <c r="AE540" s="101"/>
    </row>
    <row r="541" spans="1:31" ht="13.8">
      <c r="A541" s="101"/>
      <c r="B541" s="101"/>
      <c r="C541" s="101"/>
      <c r="D541" s="101"/>
      <c r="E541" s="101"/>
      <c r="F541" s="101"/>
      <c r="G541" s="101"/>
      <c r="H541" s="101"/>
      <c r="I541" s="101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  <c r="AA541" s="101"/>
      <c r="AB541" s="101"/>
      <c r="AC541" s="101"/>
      <c r="AD541" s="101"/>
      <c r="AE541" s="101"/>
    </row>
    <row r="542" spans="1:31" ht="13.8">
      <c r="A542" s="101"/>
      <c r="B542" s="101"/>
      <c r="C542" s="101"/>
      <c r="D542" s="101"/>
      <c r="E542" s="101"/>
      <c r="F542" s="101"/>
      <c r="G542" s="101"/>
      <c r="H542" s="101"/>
      <c r="I542" s="101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  <c r="AA542" s="101"/>
      <c r="AB542" s="101"/>
      <c r="AC542" s="101"/>
      <c r="AD542" s="101"/>
      <c r="AE542" s="101"/>
    </row>
    <row r="543" spans="1:31" ht="13.8">
      <c r="A543" s="101"/>
      <c r="B543" s="101"/>
      <c r="C543" s="101"/>
      <c r="D543" s="101"/>
      <c r="E543" s="101"/>
      <c r="F543" s="101"/>
      <c r="G543" s="101"/>
      <c r="H543" s="101"/>
      <c r="I543" s="101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  <c r="AA543" s="101"/>
      <c r="AB543" s="101"/>
      <c r="AC543" s="101"/>
      <c r="AD543" s="101"/>
      <c r="AE543" s="101"/>
    </row>
    <row r="544" spans="1:31" ht="13.8">
      <c r="A544" s="101"/>
      <c r="B544" s="101"/>
      <c r="C544" s="101"/>
      <c r="D544" s="101"/>
      <c r="E544" s="101"/>
      <c r="F544" s="101"/>
      <c r="G544" s="101"/>
      <c r="H544" s="101"/>
      <c r="I544" s="101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  <c r="AA544" s="101"/>
      <c r="AB544" s="101"/>
      <c r="AC544" s="101"/>
      <c r="AD544" s="101"/>
      <c r="AE544" s="101"/>
    </row>
    <row r="545" spans="1:31" ht="13.8">
      <c r="A545" s="101"/>
      <c r="B545" s="101"/>
      <c r="C545" s="101"/>
      <c r="D545" s="101"/>
      <c r="E545" s="101"/>
      <c r="F545" s="101"/>
      <c r="G545" s="101"/>
      <c r="H545" s="101"/>
      <c r="I545" s="101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  <c r="AA545" s="101"/>
      <c r="AB545" s="101"/>
      <c r="AC545" s="101"/>
      <c r="AD545" s="101"/>
      <c r="AE545" s="101"/>
    </row>
    <row r="546" spans="1:31" ht="13.8">
      <c r="A546" s="101"/>
      <c r="B546" s="101"/>
      <c r="C546" s="101"/>
      <c r="D546" s="101"/>
      <c r="E546" s="101"/>
      <c r="F546" s="101"/>
      <c r="G546" s="101"/>
      <c r="H546" s="101"/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  <c r="AA546" s="101"/>
      <c r="AB546" s="101"/>
      <c r="AC546" s="101"/>
      <c r="AD546" s="101"/>
      <c r="AE546" s="101"/>
    </row>
    <row r="547" spans="1:31" ht="13.8">
      <c r="A547" s="101"/>
      <c r="B547" s="101"/>
      <c r="C547" s="101"/>
      <c r="D547" s="101"/>
      <c r="E547" s="101"/>
      <c r="F547" s="101"/>
      <c r="G547" s="101"/>
      <c r="H547" s="101"/>
      <c r="I547" s="101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  <c r="AA547" s="101"/>
      <c r="AB547" s="101"/>
      <c r="AC547" s="101"/>
      <c r="AD547" s="101"/>
      <c r="AE547" s="101"/>
    </row>
    <row r="548" spans="1:31" ht="13.8">
      <c r="A548" s="101"/>
      <c r="B548" s="101"/>
      <c r="C548" s="101"/>
      <c r="D548" s="101"/>
      <c r="E548" s="101"/>
      <c r="F548" s="101"/>
      <c r="G548" s="101"/>
      <c r="H548" s="101"/>
      <c r="I548" s="101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  <c r="AA548" s="101"/>
      <c r="AB548" s="101"/>
      <c r="AC548" s="101"/>
      <c r="AD548" s="101"/>
      <c r="AE548" s="101"/>
    </row>
    <row r="549" spans="1:31" ht="13.8">
      <c r="A549" s="101"/>
      <c r="B549" s="101"/>
      <c r="C549" s="101"/>
      <c r="D549" s="101"/>
      <c r="E549" s="101"/>
      <c r="F549" s="101"/>
      <c r="G549" s="101"/>
      <c r="H549" s="101"/>
      <c r="I549" s="101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  <c r="AA549" s="101"/>
      <c r="AB549" s="101"/>
      <c r="AC549" s="101"/>
      <c r="AD549" s="101"/>
      <c r="AE549" s="101"/>
    </row>
    <row r="550" spans="1:31" ht="13.8">
      <c r="A550" s="101"/>
      <c r="B550" s="101"/>
      <c r="C550" s="101"/>
      <c r="D550" s="101"/>
      <c r="E550" s="101"/>
      <c r="F550" s="101"/>
      <c r="G550" s="101"/>
      <c r="H550" s="101"/>
      <c r="I550" s="101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  <c r="AA550" s="101"/>
      <c r="AB550" s="101"/>
      <c r="AC550" s="101"/>
      <c r="AD550" s="101"/>
      <c r="AE550" s="101"/>
    </row>
    <row r="551" spans="1:31" ht="13.8">
      <c r="A551" s="101"/>
      <c r="B551" s="101"/>
      <c r="C551" s="101"/>
      <c r="D551" s="101"/>
      <c r="E551" s="101"/>
      <c r="F551" s="101"/>
      <c r="G551" s="101"/>
      <c r="H551" s="101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  <c r="AA551" s="101"/>
      <c r="AB551" s="101"/>
      <c r="AC551" s="101"/>
      <c r="AD551" s="101"/>
      <c r="AE551" s="101"/>
    </row>
    <row r="552" spans="1:31" ht="13.8">
      <c r="A552" s="101"/>
      <c r="B552" s="101"/>
      <c r="C552" s="101"/>
      <c r="D552" s="101"/>
      <c r="E552" s="101"/>
      <c r="F552" s="101"/>
      <c r="G552" s="101"/>
      <c r="H552" s="101"/>
      <c r="I552" s="101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  <c r="Z552" s="101"/>
      <c r="AA552" s="101"/>
      <c r="AB552" s="101"/>
      <c r="AC552" s="101"/>
      <c r="AD552" s="101"/>
      <c r="AE552" s="101"/>
    </row>
    <row r="553" spans="1:31" ht="13.8">
      <c r="A553" s="101"/>
      <c r="B553" s="101"/>
      <c r="C553" s="101"/>
      <c r="D553" s="101"/>
      <c r="E553" s="101"/>
      <c r="F553" s="101"/>
      <c r="G553" s="101"/>
      <c r="H553" s="101"/>
      <c r="I553" s="101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  <c r="Z553" s="101"/>
      <c r="AA553" s="101"/>
      <c r="AB553" s="101"/>
      <c r="AC553" s="101"/>
      <c r="AD553" s="101"/>
      <c r="AE553" s="101"/>
    </row>
    <row r="554" spans="1:31" ht="13.8">
      <c r="A554" s="101"/>
      <c r="B554" s="101"/>
      <c r="C554" s="101"/>
      <c r="D554" s="101"/>
      <c r="E554" s="101"/>
      <c r="F554" s="101"/>
      <c r="G554" s="101"/>
      <c r="H554" s="101"/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  <c r="Z554" s="101"/>
      <c r="AA554" s="101"/>
      <c r="AB554" s="101"/>
      <c r="AC554" s="101"/>
      <c r="AD554" s="101"/>
      <c r="AE554" s="101"/>
    </row>
    <row r="555" spans="1:31" ht="13.8">
      <c r="A555" s="101"/>
      <c r="B555" s="101"/>
      <c r="C555" s="101"/>
      <c r="D555" s="101"/>
      <c r="E555" s="101"/>
      <c r="F555" s="101"/>
      <c r="G555" s="101"/>
      <c r="H555" s="101"/>
      <c r="I555" s="101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  <c r="Z555" s="101"/>
      <c r="AA555" s="101"/>
      <c r="AB555" s="101"/>
      <c r="AC555" s="101"/>
      <c r="AD555" s="101"/>
      <c r="AE555" s="101"/>
    </row>
    <row r="556" spans="1:31" ht="13.8">
      <c r="A556" s="101"/>
      <c r="B556" s="101"/>
      <c r="C556" s="101"/>
      <c r="D556" s="101"/>
      <c r="E556" s="101"/>
      <c r="F556" s="101"/>
      <c r="G556" s="101"/>
      <c r="H556" s="101"/>
      <c r="I556" s="101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  <c r="Z556" s="101"/>
      <c r="AA556" s="101"/>
      <c r="AB556" s="101"/>
      <c r="AC556" s="101"/>
      <c r="AD556" s="101"/>
      <c r="AE556" s="101"/>
    </row>
    <row r="557" spans="1:31" ht="13.8">
      <c r="A557" s="101"/>
      <c r="B557" s="101"/>
      <c r="C557" s="101"/>
      <c r="D557" s="101"/>
      <c r="E557" s="101"/>
      <c r="F557" s="101"/>
      <c r="G557" s="101"/>
      <c r="H557" s="101"/>
      <c r="I557" s="101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  <c r="Z557" s="101"/>
      <c r="AA557" s="101"/>
      <c r="AB557" s="101"/>
      <c r="AC557" s="101"/>
      <c r="AD557" s="101"/>
      <c r="AE557" s="101"/>
    </row>
    <row r="558" spans="1:31" ht="13.8">
      <c r="A558" s="101"/>
      <c r="B558" s="101"/>
      <c r="C558" s="101"/>
      <c r="D558" s="101"/>
      <c r="E558" s="101"/>
      <c r="F558" s="101"/>
      <c r="G558" s="101"/>
      <c r="H558" s="101"/>
      <c r="I558" s="101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  <c r="Z558" s="101"/>
      <c r="AA558" s="101"/>
      <c r="AB558" s="101"/>
      <c r="AC558" s="101"/>
      <c r="AD558" s="101"/>
      <c r="AE558" s="101"/>
    </row>
    <row r="559" spans="1:31" ht="13.8">
      <c r="A559" s="101"/>
      <c r="B559" s="101"/>
      <c r="C559" s="101"/>
      <c r="D559" s="101"/>
      <c r="E559" s="101"/>
      <c r="F559" s="101"/>
      <c r="G559" s="101"/>
      <c r="H559" s="101"/>
      <c r="I559" s="101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  <c r="Z559" s="101"/>
      <c r="AA559" s="101"/>
      <c r="AB559" s="101"/>
      <c r="AC559" s="101"/>
      <c r="AD559" s="101"/>
      <c r="AE559" s="101"/>
    </row>
    <row r="560" spans="1:31" ht="13.8">
      <c r="A560" s="101"/>
      <c r="B560" s="101"/>
      <c r="C560" s="101"/>
      <c r="D560" s="101"/>
      <c r="E560" s="101"/>
      <c r="F560" s="101"/>
      <c r="G560" s="101"/>
      <c r="H560" s="101"/>
      <c r="I560" s="101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  <c r="Z560" s="101"/>
      <c r="AA560" s="101"/>
      <c r="AB560" s="101"/>
      <c r="AC560" s="101"/>
      <c r="AD560" s="101"/>
      <c r="AE560" s="101"/>
    </row>
    <row r="561" spans="1:31" ht="13.8">
      <c r="A561" s="101"/>
      <c r="B561" s="101"/>
      <c r="C561" s="101"/>
      <c r="D561" s="101"/>
      <c r="E561" s="101"/>
      <c r="F561" s="101"/>
      <c r="G561" s="101"/>
      <c r="H561" s="101"/>
      <c r="I561" s="101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  <c r="Z561" s="101"/>
      <c r="AA561" s="101"/>
      <c r="AB561" s="101"/>
      <c r="AC561" s="101"/>
      <c r="AD561" s="101"/>
      <c r="AE561" s="101"/>
    </row>
    <row r="562" spans="1:31" ht="13.8">
      <c r="A562" s="101"/>
      <c r="B562" s="101"/>
      <c r="C562" s="101"/>
      <c r="D562" s="101"/>
      <c r="E562" s="101"/>
      <c r="F562" s="101"/>
      <c r="G562" s="101"/>
      <c r="H562" s="101"/>
      <c r="I562" s="101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  <c r="Z562" s="101"/>
      <c r="AA562" s="101"/>
      <c r="AB562" s="101"/>
      <c r="AC562" s="101"/>
      <c r="AD562" s="101"/>
      <c r="AE562" s="101"/>
    </row>
    <row r="563" spans="1:31" ht="13.8">
      <c r="A563" s="101"/>
      <c r="B563" s="101"/>
      <c r="C563" s="101"/>
      <c r="D563" s="101"/>
      <c r="E563" s="101"/>
      <c r="F563" s="101"/>
      <c r="G563" s="101"/>
      <c r="H563" s="101"/>
      <c r="I563" s="101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  <c r="Z563" s="101"/>
      <c r="AA563" s="101"/>
      <c r="AB563" s="101"/>
      <c r="AC563" s="101"/>
      <c r="AD563" s="101"/>
      <c r="AE563" s="101"/>
    </row>
    <row r="564" spans="1:31" ht="13.8">
      <c r="A564" s="101"/>
      <c r="B564" s="101"/>
      <c r="C564" s="101"/>
      <c r="D564" s="101"/>
      <c r="E564" s="101"/>
      <c r="F564" s="101"/>
      <c r="G564" s="101"/>
      <c r="H564" s="101"/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  <c r="Z564" s="101"/>
      <c r="AA564" s="101"/>
      <c r="AB564" s="101"/>
      <c r="AC564" s="101"/>
      <c r="AD564" s="101"/>
      <c r="AE564" s="101"/>
    </row>
    <row r="565" spans="1:31" ht="13.8">
      <c r="A565" s="101"/>
      <c r="B565" s="101"/>
      <c r="C565" s="101"/>
      <c r="D565" s="101"/>
      <c r="E565" s="101"/>
      <c r="F565" s="101"/>
      <c r="G565" s="101"/>
      <c r="H565" s="101"/>
      <c r="I565" s="101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  <c r="Z565" s="101"/>
      <c r="AA565" s="101"/>
      <c r="AB565" s="101"/>
      <c r="AC565" s="101"/>
      <c r="AD565" s="101"/>
      <c r="AE565" s="101"/>
    </row>
    <row r="566" spans="1:31" ht="13.8">
      <c r="A566" s="101"/>
      <c r="B566" s="101"/>
      <c r="C566" s="101"/>
      <c r="D566" s="101"/>
      <c r="E566" s="101"/>
      <c r="F566" s="101"/>
      <c r="G566" s="101"/>
      <c r="H566" s="101"/>
      <c r="I566" s="101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  <c r="Z566" s="101"/>
      <c r="AA566" s="101"/>
      <c r="AB566" s="101"/>
      <c r="AC566" s="101"/>
      <c r="AD566" s="101"/>
      <c r="AE566" s="101"/>
    </row>
    <row r="567" spans="1:31" ht="13.8">
      <c r="A567" s="101"/>
      <c r="B567" s="101"/>
      <c r="C567" s="101"/>
      <c r="D567" s="101"/>
      <c r="E567" s="101"/>
      <c r="F567" s="101"/>
      <c r="G567" s="101"/>
      <c r="H567" s="101"/>
      <c r="I567" s="101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  <c r="Z567" s="101"/>
      <c r="AA567" s="101"/>
      <c r="AB567" s="101"/>
      <c r="AC567" s="101"/>
      <c r="AD567" s="101"/>
      <c r="AE567" s="101"/>
    </row>
    <row r="568" spans="1:31" ht="13.8">
      <c r="A568" s="101"/>
      <c r="B568" s="101"/>
      <c r="C568" s="101"/>
      <c r="D568" s="101"/>
      <c r="E568" s="101"/>
      <c r="F568" s="101"/>
      <c r="G568" s="101"/>
      <c r="H568" s="101"/>
      <c r="I568" s="101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  <c r="Z568" s="101"/>
      <c r="AA568" s="101"/>
      <c r="AB568" s="101"/>
      <c r="AC568" s="101"/>
      <c r="AD568" s="101"/>
      <c r="AE568" s="101"/>
    </row>
    <row r="569" spans="1:31" ht="13.8">
      <c r="A569" s="101"/>
      <c r="B569" s="101"/>
      <c r="C569" s="101"/>
      <c r="D569" s="101"/>
      <c r="E569" s="101"/>
      <c r="F569" s="101"/>
      <c r="G569" s="101"/>
      <c r="H569" s="101"/>
      <c r="I569" s="101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  <c r="Z569" s="101"/>
      <c r="AA569" s="101"/>
      <c r="AB569" s="101"/>
      <c r="AC569" s="101"/>
      <c r="AD569" s="101"/>
      <c r="AE569" s="101"/>
    </row>
    <row r="570" spans="1:31" ht="13.8">
      <c r="A570" s="101"/>
      <c r="B570" s="101"/>
      <c r="C570" s="101"/>
      <c r="D570" s="101"/>
      <c r="E570" s="101"/>
      <c r="F570" s="101"/>
      <c r="G570" s="101"/>
      <c r="H570" s="101"/>
      <c r="I570" s="101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  <c r="Z570" s="101"/>
      <c r="AA570" s="101"/>
      <c r="AB570" s="101"/>
      <c r="AC570" s="101"/>
      <c r="AD570" s="101"/>
      <c r="AE570" s="101"/>
    </row>
    <row r="571" spans="1:31" ht="13.8">
      <c r="A571" s="101"/>
      <c r="B571" s="101"/>
      <c r="C571" s="101"/>
      <c r="D571" s="101"/>
      <c r="E571" s="101"/>
      <c r="F571" s="101"/>
      <c r="G571" s="101"/>
      <c r="H571" s="101"/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  <c r="Z571" s="101"/>
      <c r="AA571" s="101"/>
      <c r="AB571" s="101"/>
      <c r="AC571" s="101"/>
      <c r="AD571" s="101"/>
      <c r="AE571" s="101"/>
    </row>
    <row r="572" spans="1:31" ht="13.8">
      <c r="A572" s="101"/>
      <c r="B572" s="101"/>
      <c r="C572" s="101"/>
      <c r="D572" s="101"/>
      <c r="E572" s="101"/>
      <c r="F572" s="101"/>
      <c r="G572" s="101"/>
      <c r="H572" s="101"/>
      <c r="I572" s="101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  <c r="Z572" s="101"/>
      <c r="AA572" s="101"/>
      <c r="AB572" s="101"/>
      <c r="AC572" s="101"/>
      <c r="AD572" s="101"/>
      <c r="AE572" s="101"/>
    </row>
    <row r="573" spans="1:31" ht="13.8">
      <c r="A573" s="101"/>
      <c r="B573" s="101"/>
      <c r="C573" s="101"/>
      <c r="D573" s="101"/>
      <c r="E573" s="101"/>
      <c r="F573" s="101"/>
      <c r="G573" s="101"/>
      <c r="H573" s="101"/>
      <c r="I573" s="101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  <c r="Z573" s="101"/>
      <c r="AA573" s="101"/>
      <c r="AB573" s="101"/>
      <c r="AC573" s="101"/>
      <c r="AD573" s="101"/>
      <c r="AE573" s="101"/>
    </row>
    <row r="574" spans="1:31" ht="13.8">
      <c r="A574" s="101"/>
      <c r="B574" s="101"/>
      <c r="C574" s="101"/>
      <c r="D574" s="101"/>
      <c r="E574" s="101"/>
      <c r="F574" s="101"/>
      <c r="G574" s="101"/>
      <c r="H574" s="101"/>
      <c r="I574" s="101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  <c r="Z574" s="101"/>
      <c r="AA574" s="101"/>
      <c r="AB574" s="101"/>
      <c r="AC574" s="101"/>
      <c r="AD574" s="101"/>
      <c r="AE574" s="101"/>
    </row>
    <row r="575" spans="1:31" ht="13.8">
      <c r="A575" s="101"/>
      <c r="B575" s="101"/>
      <c r="C575" s="101"/>
      <c r="D575" s="101"/>
      <c r="E575" s="101"/>
      <c r="F575" s="101"/>
      <c r="G575" s="101"/>
      <c r="H575" s="101"/>
      <c r="I575" s="101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  <c r="Z575" s="101"/>
      <c r="AA575" s="101"/>
      <c r="AB575" s="101"/>
      <c r="AC575" s="101"/>
      <c r="AD575" s="101"/>
      <c r="AE575" s="101"/>
    </row>
    <row r="576" spans="1:31" ht="13.8">
      <c r="A576" s="101"/>
      <c r="B576" s="101"/>
      <c r="C576" s="101"/>
      <c r="D576" s="101"/>
      <c r="E576" s="101"/>
      <c r="F576" s="101"/>
      <c r="G576" s="101"/>
      <c r="H576" s="101"/>
      <c r="I576" s="101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  <c r="Z576" s="101"/>
      <c r="AA576" s="101"/>
      <c r="AB576" s="101"/>
      <c r="AC576" s="101"/>
      <c r="AD576" s="101"/>
      <c r="AE576" s="101"/>
    </row>
    <row r="577" spans="1:31" ht="13.8">
      <c r="A577" s="101"/>
      <c r="B577" s="101"/>
      <c r="C577" s="101"/>
      <c r="D577" s="101"/>
      <c r="E577" s="101"/>
      <c r="F577" s="101"/>
      <c r="G577" s="101"/>
      <c r="H577" s="101"/>
      <c r="I577" s="101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  <c r="Z577" s="101"/>
      <c r="AA577" s="101"/>
      <c r="AB577" s="101"/>
      <c r="AC577" s="101"/>
      <c r="AD577" s="101"/>
      <c r="AE577" s="101"/>
    </row>
    <row r="578" spans="1:31" ht="13.8">
      <c r="A578" s="101"/>
      <c r="B578" s="101"/>
      <c r="C578" s="101"/>
      <c r="D578" s="101"/>
      <c r="E578" s="101"/>
      <c r="F578" s="101"/>
      <c r="G578" s="101"/>
      <c r="H578" s="101"/>
      <c r="I578" s="101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  <c r="Z578" s="101"/>
      <c r="AA578" s="101"/>
      <c r="AB578" s="101"/>
      <c r="AC578" s="101"/>
      <c r="AD578" s="101"/>
      <c r="AE578" s="101"/>
    </row>
    <row r="579" spans="1:31" ht="13.8">
      <c r="A579" s="101"/>
      <c r="B579" s="101"/>
      <c r="C579" s="101"/>
      <c r="D579" s="101"/>
      <c r="E579" s="101"/>
      <c r="F579" s="101"/>
      <c r="G579" s="101"/>
      <c r="H579" s="101"/>
      <c r="I579" s="101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  <c r="Z579" s="101"/>
      <c r="AA579" s="101"/>
      <c r="AB579" s="101"/>
      <c r="AC579" s="101"/>
      <c r="AD579" s="101"/>
      <c r="AE579" s="101"/>
    </row>
    <row r="580" spans="1:31" ht="13.8">
      <c r="A580" s="101"/>
      <c r="B580" s="101"/>
      <c r="C580" s="101"/>
      <c r="D580" s="101"/>
      <c r="E580" s="101"/>
      <c r="F580" s="101"/>
      <c r="G580" s="101"/>
      <c r="H580" s="101"/>
      <c r="I580" s="101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  <c r="Z580" s="101"/>
      <c r="AA580" s="101"/>
      <c r="AB580" s="101"/>
      <c r="AC580" s="101"/>
      <c r="AD580" s="101"/>
      <c r="AE580" s="101"/>
    </row>
    <row r="581" spans="1:31" ht="13.8">
      <c r="A581" s="101"/>
      <c r="B581" s="101"/>
      <c r="C581" s="101"/>
      <c r="D581" s="101"/>
      <c r="E581" s="101"/>
      <c r="F581" s="101"/>
      <c r="G581" s="101"/>
      <c r="H581" s="101"/>
      <c r="I581" s="101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  <c r="Z581" s="101"/>
      <c r="AA581" s="101"/>
      <c r="AB581" s="101"/>
      <c r="AC581" s="101"/>
      <c r="AD581" s="101"/>
      <c r="AE581" s="101"/>
    </row>
    <row r="582" spans="1:31" ht="13.8">
      <c r="A582" s="101"/>
      <c r="B582" s="101"/>
      <c r="C582" s="101"/>
      <c r="D582" s="101"/>
      <c r="E582" s="101"/>
      <c r="F582" s="101"/>
      <c r="G582" s="101"/>
      <c r="H582" s="101"/>
      <c r="I582" s="101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  <c r="Z582" s="101"/>
      <c r="AA582" s="101"/>
      <c r="AB582" s="101"/>
      <c r="AC582" s="101"/>
      <c r="AD582" s="101"/>
      <c r="AE582" s="101"/>
    </row>
    <row r="583" spans="1:31" ht="13.8">
      <c r="A583" s="101"/>
      <c r="B583" s="101"/>
      <c r="C583" s="101"/>
      <c r="D583" s="101"/>
      <c r="E583" s="101"/>
      <c r="F583" s="101"/>
      <c r="G583" s="101"/>
      <c r="H583" s="101"/>
      <c r="I583" s="101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  <c r="Z583" s="101"/>
      <c r="AA583" s="101"/>
      <c r="AB583" s="101"/>
      <c r="AC583" s="101"/>
      <c r="AD583" s="101"/>
      <c r="AE583" s="101"/>
    </row>
    <row r="584" spans="1:31" ht="13.8">
      <c r="A584" s="101"/>
      <c r="B584" s="101"/>
      <c r="C584" s="101"/>
      <c r="D584" s="101"/>
      <c r="E584" s="101"/>
      <c r="F584" s="101"/>
      <c r="G584" s="101"/>
      <c r="H584" s="101"/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  <c r="Z584" s="101"/>
      <c r="AA584" s="101"/>
      <c r="AB584" s="101"/>
      <c r="AC584" s="101"/>
      <c r="AD584" s="101"/>
      <c r="AE584" s="101"/>
    </row>
    <row r="585" spans="1:31" ht="13.8">
      <c r="A585" s="101"/>
      <c r="B585" s="101"/>
      <c r="C585" s="101"/>
      <c r="D585" s="101"/>
      <c r="E585" s="101"/>
      <c r="F585" s="101"/>
      <c r="G585" s="101"/>
      <c r="H585" s="101"/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  <c r="Z585" s="101"/>
      <c r="AA585" s="101"/>
      <c r="AB585" s="101"/>
      <c r="AC585" s="101"/>
      <c r="AD585" s="101"/>
      <c r="AE585" s="101"/>
    </row>
    <row r="586" spans="1:31" ht="13.8">
      <c r="A586" s="101"/>
      <c r="B586" s="101"/>
      <c r="C586" s="101"/>
      <c r="D586" s="101"/>
      <c r="E586" s="101"/>
      <c r="F586" s="101"/>
      <c r="G586" s="101"/>
      <c r="H586" s="101"/>
      <c r="I586" s="101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  <c r="Z586" s="101"/>
      <c r="AA586" s="101"/>
      <c r="AB586" s="101"/>
      <c r="AC586" s="101"/>
      <c r="AD586" s="101"/>
      <c r="AE586" s="101"/>
    </row>
    <row r="587" spans="1:31" ht="13.8">
      <c r="A587" s="101"/>
      <c r="B587" s="101"/>
      <c r="C587" s="101"/>
      <c r="D587" s="101"/>
      <c r="E587" s="101"/>
      <c r="F587" s="101"/>
      <c r="G587" s="101"/>
      <c r="H587" s="101"/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  <c r="Z587" s="101"/>
      <c r="AA587" s="101"/>
      <c r="AB587" s="101"/>
      <c r="AC587" s="101"/>
      <c r="AD587" s="101"/>
      <c r="AE587" s="101"/>
    </row>
    <row r="588" spans="1:31" ht="13.8">
      <c r="A588" s="101"/>
      <c r="B588" s="101"/>
      <c r="C588" s="101"/>
      <c r="D588" s="101"/>
      <c r="E588" s="101"/>
      <c r="F588" s="101"/>
      <c r="G588" s="101"/>
      <c r="H588" s="101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  <c r="Z588" s="101"/>
      <c r="AA588" s="101"/>
      <c r="AB588" s="101"/>
      <c r="AC588" s="101"/>
      <c r="AD588" s="101"/>
      <c r="AE588" s="101"/>
    </row>
    <row r="589" spans="1:31" ht="13.8">
      <c r="A589" s="101"/>
      <c r="B589" s="101"/>
      <c r="C589" s="101"/>
      <c r="D589" s="101"/>
      <c r="E589" s="101"/>
      <c r="F589" s="101"/>
      <c r="G589" s="101"/>
      <c r="H589" s="101"/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  <c r="Z589" s="101"/>
      <c r="AA589" s="101"/>
      <c r="AB589" s="101"/>
      <c r="AC589" s="101"/>
      <c r="AD589" s="101"/>
      <c r="AE589" s="101"/>
    </row>
    <row r="590" spans="1:31" ht="13.8">
      <c r="A590" s="101"/>
      <c r="B590" s="101"/>
      <c r="C590" s="101"/>
      <c r="D590" s="101"/>
      <c r="E590" s="101"/>
      <c r="F590" s="101"/>
      <c r="G590" s="101"/>
      <c r="H590" s="101"/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  <c r="Z590" s="101"/>
      <c r="AA590" s="101"/>
      <c r="AB590" s="101"/>
      <c r="AC590" s="101"/>
      <c r="AD590" s="101"/>
      <c r="AE590" s="101"/>
    </row>
    <row r="591" spans="1:31" ht="13.8">
      <c r="A591" s="101"/>
      <c r="B591" s="101"/>
      <c r="C591" s="101"/>
      <c r="D591" s="101"/>
      <c r="E591" s="101"/>
      <c r="F591" s="101"/>
      <c r="G591" s="101"/>
      <c r="H591" s="101"/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  <c r="Z591" s="101"/>
      <c r="AA591" s="101"/>
      <c r="AB591" s="101"/>
      <c r="AC591" s="101"/>
      <c r="AD591" s="101"/>
      <c r="AE591" s="101"/>
    </row>
    <row r="592" spans="1:31" ht="13.8">
      <c r="A592" s="101"/>
      <c r="B592" s="101"/>
      <c r="C592" s="101"/>
      <c r="D592" s="101"/>
      <c r="E592" s="101"/>
      <c r="F592" s="101"/>
      <c r="G592" s="101"/>
      <c r="H592" s="101"/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  <c r="AA592" s="101"/>
      <c r="AB592" s="101"/>
      <c r="AC592" s="101"/>
      <c r="AD592" s="101"/>
      <c r="AE592" s="101"/>
    </row>
    <row r="593" spans="1:31" ht="13.8">
      <c r="A593" s="101"/>
      <c r="B593" s="101"/>
      <c r="C593" s="101"/>
      <c r="D593" s="101"/>
      <c r="E593" s="101"/>
      <c r="F593" s="101"/>
      <c r="G593" s="101"/>
      <c r="H593" s="101"/>
      <c r="I593" s="101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  <c r="Z593" s="101"/>
      <c r="AA593" s="101"/>
      <c r="AB593" s="101"/>
      <c r="AC593" s="101"/>
      <c r="AD593" s="101"/>
      <c r="AE593" s="101"/>
    </row>
    <row r="594" spans="1:31" ht="13.8">
      <c r="A594" s="101"/>
      <c r="B594" s="101"/>
      <c r="C594" s="101"/>
      <c r="D594" s="101"/>
      <c r="E594" s="101"/>
      <c r="F594" s="101"/>
      <c r="G594" s="101"/>
      <c r="H594" s="101"/>
      <c r="I594" s="101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  <c r="Z594" s="101"/>
      <c r="AA594" s="101"/>
      <c r="AB594" s="101"/>
      <c r="AC594" s="101"/>
      <c r="AD594" s="101"/>
      <c r="AE594" s="101"/>
    </row>
    <row r="595" spans="1:31" ht="13.8">
      <c r="A595" s="101"/>
      <c r="B595" s="101"/>
      <c r="C595" s="101"/>
      <c r="D595" s="101"/>
      <c r="E595" s="101"/>
      <c r="F595" s="101"/>
      <c r="G595" s="101"/>
      <c r="H595" s="101"/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  <c r="Z595" s="101"/>
      <c r="AA595" s="101"/>
      <c r="AB595" s="101"/>
      <c r="AC595" s="101"/>
      <c r="AD595" s="101"/>
      <c r="AE595" s="101"/>
    </row>
    <row r="596" spans="1:31" ht="13.8">
      <c r="A596" s="101"/>
      <c r="B596" s="101"/>
      <c r="C596" s="101"/>
      <c r="D596" s="101"/>
      <c r="E596" s="101"/>
      <c r="F596" s="101"/>
      <c r="G596" s="101"/>
      <c r="H596" s="101"/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  <c r="Z596" s="101"/>
      <c r="AA596" s="101"/>
      <c r="AB596" s="101"/>
      <c r="AC596" s="101"/>
      <c r="AD596" s="101"/>
      <c r="AE596" s="101"/>
    </row>
    <row r="597" spans="1:31" ht="13.8">
      <c r="A597" s="101"/>
      <c r="B597" s="101"/>
      <c r="C597" s="101"/>
      <c r="D597" s="101"/>
      <c r="E597" s="101"/>
      <c r="F597" s="101"/>
      <c r="G597" s="101"/>
      <c r="H597" s="101"/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  <c r="Z597" s="101"/>
      <c r="AA597" s="101"/>
      <c r="AB597" s="101"/>
      <c r="AC597" s="101"/>
      <c r="AD597" s="101"/>
      <c r="AE597" s="101"/>
    </row>
    <row r="598" spans="1:31" ht="13.8">
      <c r="A598" s="101"/>
      <c r="B598" s="101"/>
      <c r="C598" s="101"/>
      <c r="D598" s="101"/>
      <c r="E598" s="101"/>
      <c r="F598" s="101"/>
      <c r="G598" s="101"/>
      <c r="H598" s="101"/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  <c r="Z598" s="101"/>
      <c r="AA598" s="101"/>
      <c r="AB598" s="101"/>
      <c r="AC598" s="101"/>
      <c r="AD598" s="101"/>
      <c r="AE598" s="101"/>
    </row>
    <row r="599" spans="1:31" ht="13.8">
      <c r="A599" s="101"/>
      <c r="B599" s="101"/>
      <c r="C599" s="101"/>
      <c r="D599" s="101"/>
      <c r="E599" s="101"/>
      <c r="F599" s="101"/>
      <c r="G599" s="101"/>
      <c r="H599" s="101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  <c r="Z599" s="101"/>
      <c r="AA599" s="101"/>
      <c r="AB599" s="101"/>
      <c r="AC599" s="101"/>
      <c r="AD599" s="101"/>
      <c r="AE599" s="101"/>
    </row>
    <row r="600" spans="1:31" ht="13.8">
      <c r="A600" s="101"/>
      <c r="B600" s="101"/>
      <c r="C600" s="101"/>
      <c r="D600" s="101"/>
      <c r="E600" s="101"/>
      <c r="F600" s="101"/>
      <c r="G600" s="101"/>
      <c r="H600" s="101"/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  <c r="Z600" s="101"/>
      <c r="AA600" s="101"/>
      <c r="AB600" s="101"/>
      <c r="AC600" s="101"/>
      <c r="AD600" s="101"/>
      <c r="AE600" s="101"/>
    </row>
    <row r="601" spans="1:31" ht="13.8">
      <c r="A601" s="101"/>
      <c r="B601" s="101"/>
      <c r="C601" s="101"/>
      <c r="D601" s="101"/>
      <c r="E601" s="101"/>
      <c r="F601" s="101"/>
      <c r="G601" s="101"/>
      <c r="H601" s="101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  <c r="Z601" s="101"/>
      <c r="AA601" s="101"/>
      <c r="AB601" s="101"/>
      <c r="AC601" s="101"/>
      <c r="AD601" s="101"/>
      <c r="AE601" s="101"/>
    </row>
    <row r="602" spans="1:31" ht="13.8">
      <c r="A602" s="101"/>
      <c r="B602" s="101"/>
      <c r="C602" s="101"/>
      <c r="D602" s="101"/>
      <c r="E602" s="101"/>
      <c r="F602" s="101"/>
      <c r="G602" s="101"/>
      <c r="H602" s="101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  <c r="Z602" s="101"/>
      <c r="AA602" s="101"/>
      <c r="AB602" s="101"/>
      <c r="AC602" s="101"/>
      <c r="AD602" s="101"/>
      <c r="AE602" s="101"/>
    </row>
    <row r="603" spans="1:31" ht="13.8">
      <c r="A603" s="101"/>
      <c r="B603" s="101"/>
      <c r="C603" s="101"/>
      <c r="D603" s="101"/>
      <c r="E603" s="101"/>
      <c r="F603" s="101"/>
      <c r="G603" s="101"/>
      <c r="H603" s="101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  <c r="Z603" s="101"/>
      <c r="AA603" s="101"/>
      <c r="AB603" s="101"/>
      <c r="AC603" s="101"/>
      <c r="AD603" s="101"/>
      <c r="AE603" s="101"/>
    </row>
    <row r="604" spans="1:31" ht="13.8">
      <c r="A604" s="101"/>
      <c r="B604" s="101"/>
      <c r="C604" s="101"/>
      <c r="D604" s="101"/>
      <c r="E604" s="101"/>
      <c r="F604" s="101"/>
      <c r="G604" s="101"/>
      <c r="H604" s="101"/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  <c r="Z604" s="101"/>
      <c r="AA604" s="101"/>
      <c r="AB604" s="101"/>
      <c r="AC604" s="101"/>
      <c r="AD604" s="101"/>
      <c r="AE604" s="101"/>
    </row>
    <row r="605" spans="1:31" ht="13.8">
      <c r="A605" s="101"/>
      <c r="B605" s="101"/>
      <c r="C605" s="101"/>
      <c r="D605" s="101"/>
      <c r="E605" s="101"/>
      <c r="F605" s="101"/>
      <c r="G605" s="101"/>
      <c r="H605" s="101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  <c r="Z605" s="101"/>
      <c r="AA605" s="101"/>
      <c r="AB605" s="101"/>
      <c r="AC605" s="101"/>
      <c r="AD605" s="101"/>
      <c r="AE605" s="101"/>
    </row>
    <row r="606" spans="1:31" ht="13.8">
      <c r="A606" s="101"/>
      <c r="B606" s="101"/>
      <c r="C606" s="101"/>
      <c r="D606" s="101"/>
      <c r="E606" s="101"/>
      <c r="F606" s="101"/>
      <c r="G606" s="101"/>
      <c r="H606" s="101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  <c r="Z606" s="101"/>
      <c r="AA606" s="101"/>
      <c r="AB606" s="101"/>
      <c r="AC606" s="101"/>
      <c r="AD606" s="101"/>
      <c r="AE606" s="101"/>
    </row>
    <row r="607" spans="1:31" ht="13.8">
      <c r="A607" s="101"/>
      <c r="B607" s="101"/>
      <c r="C607" s="101"/>
      <c r="D607" s="101"/>
      <c r="E607" s="101"/>
      <c r="F607" s="101"/>
      <c r="G607" s="101"/>
      <c r="H607" s="101"/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  <c r="Z607" s="101"/>
      <c r="AA607" s="101"/>
      <c r="AB607" s="101"/>
      <c r="AC607" s="101"/>
      <c r="AD607" s="101"/>
      <c r="AE607" s="101"/>
    </row>
    <row r="608" spans="1:31" ht="13.8">
      <c r="A608" s="101"/>
      <c r="B608" s="101"/>
      <c r="C608" s="101"/>
      <c r="D608" s="101"/>
      <c r="E608" s="101"/>
      <c r="F608" s="101"/>
      <c r="G608" s="101"/>
      <c r="H608" s="101"/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  <c r="Z608" s="101"/>
      <c r="AA608" s="101"/>
      <c r="AB608" s="101"/>
      <c r="AC608" s="101"/>
      <c r="AD608" s="101"/>
      <c r="AE608" s="101"/>
    </row>
    <row r="609" spans="1:31" ht="13.8">
      <c r="A609" s="101"/>
      <c r="B609" s="101"/>
      <c r="C609" s="101"/>
      <c r="D609" s="101"/>
      <c r="E609" s="101"/>
      <c r="F609" s="101"/>
      <c r="G609" s="101"/>
      <c r="H609" s="101"/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  <c r="Z609" s="101"/>
      <c r="AA609" s="101"/>
      <c r="AB609" s="101"/>
      <c r="AC609" s="101"/>
      <c r="AD609" s="101"/>
      <c r="AE609" s="101"/>
    </row>
    <row r="610" spans="1:31" ht="13.8">
      <c r="A610" s="101"/>
      <c r="B610" s="101"/>
      <c r="C610" s="101"/>
      <c r="D610" s="101"/>
      <c r="E610" s="101"/>
      <c r="F610" s="101"/>
      <c r="G610" s="101"/>
      <c r="H610" s="101"/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  <c r="Z610" s="101"/>
      <c r="AA610" s="101"/>
      <c r="AB610" s="101"/>
      <c r="AC610" s="101"/>
      <c r="AD610" s="101"/>
      <c r="AE610" s="101"/>
    </row>
    <row r="611" spans="1:31" ht="13.8">
      <c r="A611" s="101"/>
      <c r="B611" s="101"/>
      <c r="C611" s="101"/>
      <c r="D611" s="101"/>
      <c r="E611" s="101"/>
      <c r="F611" s="101"/>
      <c r="G611" s="101"/>
      <c r="H611" s="101"/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  <c r="Z611" s="101"/>
      <c r="AA611" s="101"/>
      <c r="AB611" s="101"/>
      <c r="AC611" s="101"/>
      <c r="AD611" s="101"/>
      <c r="AE611" s="101"/>
    </row>
    <row r="612" spans="1:31" ht="13.8">
      <c r="A612" s="101"/>
      <c r="B612" s="101"/>
      <c r="C612" s="101"/>
      <c r="D612" s="101"/>
      <c r="E612" s="101"/>
      <c r="F612" s="101"/>
      <c r="G612" s="101"/>
      <c r="H612" s="101"/>
      <c r="I612" s="101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  <c r="Z612" s="101"/>
      <c r="AA612" s="101"/>
      <c r="AB612" s="101"/>
      <c r="AC612" s="101"/>
      <c r="AD612" s="101"/>
      <c r="AE612" s="101"/>
    </row>
    <row r="613" spans="1:31" ht="13.8">
      <c r="A613" s="101"/>
      <c r="B613" s="101"/>
      <c r="C613" s="101"/>
      <c r="D613" s="101"/>
      <c r="E613" s="101"/>
      <c r="F613" s="101"/>
      <c r="G613" s="101"/>
      <c r="H613" s="101"/>
      <c r="I613" s="101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  <c r="Z613" s="101"/>
      <c r="AA613" s="101"/>
      <c r="AB613" s="101"/>
      <c r="AC613" s="101"/>
      <c r="AD613" s="101"/>
      <c r="AE613" s="101"/>
    </row>
    <row r="614" spans="1:31" ht="13.8">
      <c r="A614" s="101"/>
      <c r="B614" s="101"/>
      <c r="C614" s="101"/>
      <c r="D614" s="101"/>
      <c r="E614" s="101"/>
      <c r="F614" s="101"/>
      <c r="G614" s="101"/>
      <c r="H614" s="101"/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  <c r="Z614" s="101"/>
      <c r="AA614" s="101"/>
      <c r="AB614" s="101"/>
      <c r="AC614" s="101"/>
      <c r="AD614" s="101"/>
      <c r="AE614" s="101"/>
    </row>
    <row r="615" spans="1:31" ht="13.8">
      <c r="A615" s="101"/>
      <c r="B615" s="101"/>
      <c r="C615" s="101"/>
      <c r="D615" s="101"/>
      <c r="E615" s="101"/>
      <c r="F615" s="101"/>
      <c r="G615" s="101"/>
      <c r="H615" s="101"/>
      <c r="I615" s="101"/>
      <c r="J615" s="101"/>
      <c r="K615" s="101"/>
      <c r="L615" s="101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  <c r="Z615" s="101"/>
      <c r="AA615" s="101"/>
      <c r="AB615" s="101"/>
      <c r="AC615" s="101"/>
      <c r="AD615" s="101"/>
      <c r="AE615" s="101"/>
    </row>
    <row r="616" spans="1:31" ht="13.8">
      <c r="A616" s="101"/>
      <c r="B616" s="101"/>
      <c r="C616" s="101"/>
      <c r="D616" s="101"/>
      <c r="E616" s="101"/>
      <c r="F616" s="101"/>
      <c r="G616" s="101"/>
      <c r="H616" s="101"/>
      <c r="I616" s="101"/>
      <c r="J616" s="101"/>
      <c r="K616" s="101"/>
      <c r="L616" s="101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  <c r="Z616" s="101"/>
      <c r="AA616" s="101"/>
      <c r="AB616" s="101"/>
      <c r="AC616" s="101"/>
      <c r="AD616" s="101"/>
      <c r="AE616" s="101"/>
    </row>
    <row r="617" spans="1:31" ht="13.8">
      <c r="A617" s="101"/>
      <c r="B617" s="101"/>
      <c r="C617" s="101"/>
      <c r="D617" s="101"/>
      <c r="E617" s="101"/>
      <c r="F617" s="101"/>
      <c r="G617" s="101"/>
      <c r="H617" s="101"/>
      <c r="I617" s="101"/>
      <c r="J617" s="101"/>
      <c r="K617" s="101"/>
      <c r="L617" s="101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  <c r="Z617" s="101"/>
      <c r="AA617" s="101"/>
      <c r="AB617" s="101"/>
      <c r="AC617" s="101"/>
      <c r="AD617" s="101"/>
      <c r="AE617" s="101"/>
    </row>
    <row r="618" spans="1:31" ht="13.8">
      <c r="A618" s="101"/>
      <c r="B618" s="101"/>
      <c r="C618" s="101"/>
      <c r="D618" s="101"/>
      <c r="E618" s="101"/>
      <c r="F618" s="101"/>
      <c r="G618" s="101"/>
      <c r="H618" s="101"/>
      <c r="I618" s="101"/>
      <c r="J618" s="101"/>
      <c r="K618" s="101"/>
      <c r="L618" s="101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01"/>
      <c r="Z618" s="101"/>
      <c r="AA618" s="101"/>
      <c r="AB618" s="101"/>
      <c r="AC618" s="101"/>
      <c r="AD618" s="101"/>
      <c r="AE618" s="101"/>
    </row>
    <row r="619" spans="1:31" ht="13.8">
      <c r="A619" s="101"/>
      <c r="B619" s="101"/>
      <c r="C619" s="101"/>
      <c r="D619" s="101"/>
      <c r="E619" s="101"/>
      <c r="F619" s="101"/>
      <c r="G619" s="101"/>
      <c r="H619" s="101"/>
      <c r="I619" s="101"/>
      <c r="J619" s="101"/>
      <c r="K619" s="101"/>
      <c r="L619" s="101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01"/>
      <c r="Z619" s="101"/>
      <c r="AA619" s="101"/>
      <c r="AB619" s="101"/>
      <c r="AC619" s="101"/>
      <c r="AD619" s="101"/>
      <c r="AE619" s="101"/>
    </row>
    <row r="620" spans="1:31" ht="13.8">
      <c r="A620" s="101"/>
      <c r="B620" s="101"/>
      <c r="C620" s="101"/>
      <c r="D620" s="101"/>
      <c r="E620" s="101"/>
      <c r="F620" s="101"/>
      <c r="G620" s="101"/>
      <c r="H620" s="101"/>
      <c r="I620" s="101"/>
      <c r="J620" s="101"/>
      <c r="K620" s="101"/>
      <c r="L620" s="101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01"/>
      <c r="Z620" s="101"/>
      <c r="AA620" s="101"/>
      <c r="AB620" s="101"/>
      <c r="AC620" s="101"/>
      <c r="AD620" s="101"/>
      <c r="AE620" s="101"/>
    </row>
    <row r="621" spans="1:31" ht="13.8">
      <c r="A621" s="101"/>
      <c r="B621" s="101"/>
      <c r="C621" s="101"/>
      <c r="D621" s="101"/>
      <c r="E621" s="101"/>
      <c r="F621" s="101"/>
      <c r="G621" s="101"/>
      <c r="H621" s="101"/>
      <c r="I621" s="101"/>
      <c r="J621" s="101"/>
      <c r="K621" s="101"/>
      <c r="L621" s="101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01"/>
      <c r="Z621" s="101"/>
      <c r="AA621" s="101"/>
      <c r="AB621" s="101"/>
      <c r="AC621" s="101"/>
      <c r="AD621" s="101"/>
      <c r="AE621" s="101"/>
    </row>
    <row r="622" spans="1:31" ht="13.8">
      <c r="A622" s="101"/>
      <c r="B622" s="101"/>
      <c r="C622" s="101"/>
      <c r="D622" s="101"/>
      <c r="E622" s="101"/>
      <c r="F622" s="101"/>
      <c r="G622" s="101"/>
      <c r="H622" s="101"/>
      <c r="I622" s="101"/>
      <c r="J622" s="101"/>
      <c r="K622" s="101"/>
      <c r="L622" s="101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01"/>
      <c r="Z622" s="101"/>
      <c r="AA622" s="101"/>
      <c r="AB622" s="101"/>
      <c r="AC622" s="101"/>
      <c r="AD622" s="101"/>
      <c r="AE622" s="101"/>
    </row>
    <row r="623" spans="1:31" ht="13.8">
      <c r="A623" s="101"/>
      <c r="B623" s="101"/>
      <c r="C623" s="101"/>
      <c r="D623" s="101"/>
      <c r="E623" s="101"/>
      <c r="F623" s="101"/>
      <c r="G623" s="101"/>
      <c r="H623" s="101"/>
      <c r="I623" s="101"/>
      <c r="J623" s="101"/>
      <c r="K623" s="101"/>
      <c r="L623" s="101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01"/>
      <c r="Z623" s="101"/>
      <c r="AA623" s="101"/>
      <c r="AB623" s="101"/>
      <c r="AC623" s="101"/>
      <c r="AD623" s="101"/>
      <c r="AE623" s="101"/>
    </row>
    <row r="624" spans="1:31" ht="13.8">
      <c r="A624" s="101"/>
      <c r="B624" s="101"/>
      <c r="C624" s="101"/>
      <c r="D624" s="101"/>
      <c r="E624" s="101"/>
      <c r="F624" s="101"/>
      <c r="G624" s="101"/>
      <c r="H624" s="101"/>
      <c r="I624" s="101"/>
      <c r="J624" s="101"/>
      <c r="K624" s="101"/>
      <c r="L624" s="101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01"/>
      <c r="Z624" s="101"/>
      <c r="AA624" s="101"/>
      <c r="AB624" s="101"/>
      <c r="AC624" s="101"/>
      <c r="AD624" s="101"/>
      <c r="AE624" s="101"/>
    </row>
    <row r="625" spans="1:31" ht="13.8">
      <c r="A625" s="101"/>
      <c r="B625" s="101"/>
      <c r="C625" s="101"/>
      <c r="D625" s="101"/>
      <c r="E625" s="101"/>
      <c r="F625" s="101"/>
      <c r="G625" s="101"/>
      <c r="H625" s="101"/>
      <c r="I625" s="101"/>
      <c r="J625" s="101"/>
      <c r="K625" s="101"/>
      <c r="L625" s="101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01"/>
      <c r="Z625" s="101"/>
      <c r="AA625" s="101"/>
      <c r="AB625" s="101"/>
      <c r="AC625" s="101"/>
      <c r="AD625" s="101"/>
      <c r="AE625" s="101"/>
    </row>
    <row r="626" spans="1:31" ht="13.8">
      <c r="A626" s="101"/>
      <c r="B626" s="101"/>
      <c r="C626" s="101"/>
      <c r="D626" s="101"/>
      <c r="E626" s="101"/>
      <c r="F626" s="101"/>
      <c r="G626" s="101"/>
      <c r="H626" s="101"/>
      <c r="I626" s="101"/>
      <c r="J626" s="101"/>
      <c r="K626" s="101"/>
      <c r="L626" s="101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01"/>
      <c r="Z626" s="101"/>
      <c r="AA626" s="101"/>
      <c r="AB626" s="101"/>
      <c r="AC626" s="101"/>
      <c r="AD626" s="101"/>
      <c r="AE626" s="101"/>
    </row>
    <row r="627" spans="1:31" ht="13.8">
      <c r="A627" s="101"/>
      <c r="B627" s="101"/>
      <c r="C627" s="101"/>
      <c r="D627" s="101"/>
      <c r="E627" s="101"/>
      <c r="F627" s="101"/>
      <c r="G627" s="101"/>
      <c r="H627" s="101"/>
      <c r="I627" s="101"/>
      <c r="J627" s="101"/>
      <c r="K627" s="101"/>
      <c r="L627" s="101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01"/>
      <c r="Z627" s="101"/>
      <c r="AA627" s="101"/>
      <c r="AB627" s="101"/>
      <c r="AC627" s="101"/>
      <c r="AD627" s="101"/>
      <c r="AE627" s="101"/>
    </row>
    <row r="628" spans="1:31" ht="13.8">
      <c r="A628" s="101"/>
      <c r="B628" s="101"/>
      <c r="C628" s="101"/>
      <c r="D628" s="101"/>
      <c r="E628" s="101"/>
      <c r="F628" s="101"/>
      <c r="G628" s="101"/>
      <c r="H628" s="101"/>
      <c r="I628" s="101"/>
      <c r="J628" s="101"/>
      <c r="K628" s="101"/>
      <c r="L628" s="101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01"/>
      <c r="Z628" s="101"/>
      <c r="AA628" s="101"/>
      <c r="AB628" s="101"/>
      <c r="AC628" s="101"/>
      <c r="AD628" s="101"/>
      <c r="AE628" s="101"/>
    </row>
    <row r="629" spans="1:31" ht="13.8">
      <c r="A629" s="101"/>
      <c r="B629" s="101"/>
      <c r="C629" s="101"/>
      <c r="D629" s="101"/>
      <c r="E629" s="101"/>
      <c r="F629" s="101"/>
      <c r="G629" s="101"/>
      <c r="H629" s="101"/>
      <c r="I629" s="101"/>
      <c r="J629" s="101"/>
      <c r="K629" s="101"/>
      <c r="L629" s="101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01"/>
      <c r="Z629" s="101"/>
      <c r="AA629" s="101"/>
      <c r="AB629" s="101"/>
      <c r="AC629" s="101"/>
      <c r="AD629" s="101"/>
      <c r="AE629" s="101"/>
    </row>
    <row r="630" spans="1:31" ht="13.8">
      <c r="A630" s="101"/>
      <c r="B630" s="101"/>
      <c r="C630" s="101"/>
      <c r="D630" s="101"/>
      <c r="E630" s="101"/>
      <c r="F630" s="101"/>
      <c r="G630" s="101"/>
      <c r="H630" s="101"/>
      <c r="I630" s="101"/>
      <c r="J630" s="101"/>
      <c r="K630" s="101"/>
      <c r="L630" s="101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  <c r="Z630" s="101"/>
      <c r="AA630" s="101"/>
      <c r="AB630" s="101"/>
      <c r="AC630" s="101"/>
      <c r="AD630" s="101"/>
      <c r="AE630" s="101"/>
    </row>
    <row r="631" spans="1:31" ht="13.8">
      <c r="A631" s="101"/>
      <c r="B631" s="101"/>
      <c r="C631" s="101"/>
      <c r="D631" s="101"/>
      <c r="E631" s="101"/>
      <c r="F631" s="101"/>
      <c r="G631" s="101"/>
      <c r="H631" s="101"/>
      <c r="I631" s="101"/>
      <c r="J631" s="101"/>
      <c r="K631" s="101"/>
      <c r="L631" s="101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  <c r="Z631" s="101"/>
      <c r="AA631" s="101"/>
      <c r="AB631" s="101"/>
      <c r="AC631" s="101"/>
      <c r="AD631" s="101"/>
      <c r="AE631" s="101"/>
    </row>
    <row r="632" spans="1:31" ht="13.8">
      <c r="A632" s="101"/>
      <c r="B632" s="101"/>
      <c r="C632" s="101"/>
      <c r="D632" s="101"/>
      <c r="E632" s="101"/>
      <c r="F632" s="101"/>
      <c r="G632" s="101"/>
      <c r="H632" s="101"/>
      <c r="I632" s="101"/>
      <c r="J632" s="101"/>
      <c r="K632" s="101"/>
      <c r="L632" s="101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  <c r="Z632" s="101"/>
      <c r="AA632" s="101"/>
      <c r="AB632" s="101"/>
      <c r="AC632" s="101"/>
      <c r="AD632" s="101"/>
      <c r="AE632" s="101"/>
    </row>
    <row r="633" spans="1:31" ht="13.8">
      <c r="A633" s="101"/>
      <c r="B633" s="101"/>
      <c r="C633" s="101"/>
      <c r="D633" s="101"/>
      <c r="E633" s="101"/>
      <c r="F633" s="101"/>
      <c r="G633" s="101"/>
      <c r="H633" s="101"/>
      <c r="I633" s="101"/>
      <c r="J633" s="101"/>
      <c r="K633" s="101"/>
      <c r="L633" s="101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  <c r="Z633" s="101"/>
      <c r="AA633" s="101"/>
      <c r="AB633" s="101"/>
      <c r="AC633" s="101"/>
      <c r="AD633" s="101"/>
      <c r="AE633" s="101"/>
    </row>
    <row r="634" spans="1:31" ht="13.8">
      <c r="A634" s="101"/>
      <c r="B634" s="101"/>
      <c r="C634" s="101"/>
      <c r="D634" s="101"/>
      <c r="E634" s="101"/>
      <c r="F634" s="101"/>
      <c r="G634" s="101"/>
      <c r="H634" s="101"/>
      <c r="I634" s="101"/>
      <c r="J634" s="101"/>
      <c r="K634" s="101"/>
      <c r="L634" s="101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  <c r="Z634" s="101"/>
      <c r="AA634" s="101"/>
      <c r="AB634" s="101"/>
      <c r="AC634" s="101"/>
      <c r="AD634" s="101"/>
      <c r="AE634" s="101"/>
    </row>
    <row r="635" spans="1:31" ht="13.8">
      <c r="A635" s="101"/>
      <c r="B635" s="101"/>
      <c r="C635" s="101"/>
      <c r="D635" s="101"/>
      <c r="E635" s="101"/>
      <c r="F635" s="101"/>
      <c r="G635" s="101"/>
      <c r="H635" s="101"/>
      <c r="I635" s="101"/>
      <c r="J635" s="101"/>
      <c r="K635" s="101"/>
      <c r="L635" s="101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  <c r="Z635" s="101"/>
      <c r="AA635" s="101"/>
      <c r="AB635" s="101"/>
      <c r="AC635" s="101"/>
      <c r="AD635" s="101"/>
      <c r="AE635" s="101"/>
    </row>
    <row r="636" spans="1:31" ht="13.8">
      <c r="A636" s="101"/>
      <c r="B636" s="101"/>
      <c r="C636" s="101"/>
      <c r="D636" s="101"/>
      <c r="E636" s="101"/>
      <c r="F636" s="101"/>
      <c r="G636" s="101"/>
      <c r="H636" s="101"/>
      <c r="I636" s="101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  <c r="Z636" s="101"/>
      <c r="AA636" s="101"/>
      <c r="AB636" s="101"/>
      <c r="AC636" s="101"/>
      <c r="AD636" s="101"/>
      <c r="AE636" s="101"/>
    </row>
    <row r="637" spans="1:31" ht="13.8">
      <c r="A637" s="101"/>
      <c r="B637" s="101"/>
      <c r="C637" s="101"/>
      <c r="D637" s="101"/>
      <c r="E637" s="101"/>
      <c r="F637" s="101"/>
      <c r="G637" s="101"/>
      <c r="H637" s="101"/>
      <c r="I637" s="101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  <c r="Z637" s="101"/>
      <c r="AA637" s="101"/>
      <c r="AB637" s="101"/>
      <c r="AC637" s="101"/>
      <c r="AD637" s="101"/>
      <c r="AE637" s="101"/>
    </row>
    <row r="638" spans="1:31" ht="13.8">
      <c r="A638" s="101"/>
      <c r="B638" s="101"/>
      <c r="C638" s="101"/>
      <c r="D638" s="101"/>
      <c r="E638" s="101"/>
      <c r="F638" s="101"/>
      <c r="G638" s="101"/>
      <c r="H638" s="101"/>
      <c r="I638" s="101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  <c r="Z638" s="101"/>
      <c r="AA638" s="101"/>
      <c r="AB638" s="101"/>
      <c r="AC638" s="101"/>
      <c r="AD638" s="101"/>
      <c r="AE638" s="101"/>
    </row>
    <row r="639" spans="1:31" ht="13.8">
      <c r="A639" s="101"/>
      <c r="B639" s="101"/>
      <c r="C639" s="101"/>
      <c r="D639" s="101"/>
      <c r="E639" s="101"/>
      <c r="F639" s="101"/>
      <c r="G639" s="101"/>
      <c r="H639" s="101"/>
      <c r="I639" s="101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  <c r="Z639" s="101"/>
      <c r="AA639" s="101"/>
      <c r="AB639" s="101"/>
      <c r="AC639" s="101"/>
      <c r="AD639" s="101"/>
      <c r="AE639" s="101"/>
    </row>
    <row r="640" spans="1:31" ht="13.8">
      <c r="A640" s="101"/>
      <c r="B640" s="101"/>
      <c r="C640" s="101"/>
      <c r="D640" s="101"/>
      <c r="E640" s="101"/>
      <c r="F640" s="101"/>
      <c r="G640" s="101"/>
      <c r="H640" s="101"/>
      <c r="I640" s="101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  <c r="Z640" s="101"/>
      <c r="AA640" s="101"/>
      <c r="AB640" s="101"/>
      <c r="AC640" s="101"/>
      <c r="AD640" s="101"/>
      <c r="AE640" s="101"/>
    </row>
    <row r="641" spans="1:31" ht="13.8">
      <c r="A641" s="101"/>
      <c r="B641" s="101"/>
      <c r="C641" s="101"/>
      <c r="D641" s="101"/>
      <c r="E641" s="101"/>
      <c r="F641" s="101"/>
      <c r="G641" s="101"/>
      <c r="H641" s="101"/>
      <c r="I641" s="101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  <c r="Z641" s="101"/>
      <c r="AA641" s="101"/>
      <c r="AB641" s="101"/>
      <c r="AC641" s="101"/>
      <c r="AD641" s="101"/>
      <c r="AE641" s="101"/>
    </row>
    <row r="642" spans="1:31" ht="13.8">
      <c r="A642" s="101"/>
      <c r="B642" s="101"/>
      <c r="C642" s="101"/>
      <c r="D642" s="101"/>
      <c r="E642" s="101"/>
      <c r="F642" s="101"/>
      <c r="G642" s="101"/>
      <c r="H642" s="101"/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  <c r="Z642" s="101"/>
      <c r="AA642" s="101"/>
      <c r="AB642" s="101"/>
      <c r="AC642" s="101"/>
      <c r="AD642" s="101"/>
      <c r="AE642" s="101"/>
    </row>
    <row r="643" spans="1:31" ht="13.8">
      <c r="A643" s="101"/>
      <c r="B643" s="101"/>
      <c r="C643" s="101"/>
      <c r="D643" s="101"/>
      <c r="E643" s="101"/>
      <c r="F643" s="101"/>
      <c r="G643" s="101"/>
      <c r="H643" s="101"/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  <c r="Z643" s="101"/>
      <c r="AA643" s="101"/>
      <c r="AB643" s="101"/>
      <c r="AC643" s="101"/>
      <c r="AD643" s="101"/>
      <c r="AE643" s="101"/>
    </row>
    <row r="644" spans="1:31" ht="13.8">
      <c r="A644" s="101"/>
      <c r="B644" s="101"/>
      <c r="C644" s="101"/>
      <c r="D644" s="101"/>
      <c r="E644" s="101"/>
      <c r="F644" s="101"/>
      <c r="G644" s="101"/>
      <c r="H644" s="101"/>
      <c r="I644" s="101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  <c r="Z644" s="101"/>
      <c r="AA644" s="101"/>
      <c r="AB644" s="101"/>
      <c r="AC644" s="101"/>
      <c r="AD644" s="101"/>
      <c r="AE644" s="101"/>
    </row>
    <row r="645" spans="1:31" ht="13.8">
      <c r="A645" s="101"/>
      <c r="B645" s="101"/>
      <c r="C645" s="101"/>
      <c r="D645" s="101"/>
      <c r="E645" s="101"/>
      <c r="F645" s="101"/>
      <c r="G645" s="101"/>
      <c r="H645" s="101"/>
      <c r="I645" s="101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  <c r="Z645" s="101"/>
      <c r="AA645" s="101"/>
      <c r="AB645" s="101"/>
      <c r="AC645" s="101"/>
      <c r="AD645" s="101"/>
      <c r="AE645" s="101"/>
    </row>
    <row r="646" spans="1:31" ht="13.8">
      <c r="A646" s="101"/>
      <c r="B646" s="101"/>
      <c r="C646" s="101"/>
      <c r="D646" s="101"/>
      <c r="E646" s="101"/>
      <c r="F646" s="101"/>
      <c r="G646" s="101"/>
      <c r="H646" s="101"/>
      <c r="I646" s="101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  <c r="Z646" s="101"/>
      <c r="AA646" s="101"/>
      <c r="AB646" s="101"/>
      <c r="AC646" s="101"/>
      <c r="AD646" s="101"/>
      <c r="AE646" s="101"/>
    </row>
    <row r="647" spans="1:31" ht="13.8">
      <c r="A647" s="101"/>
      <c r="B647" s="101"/>
      <c r="C647" s="101"/>
      <c r="D647" s="101"/>
      <c r="E647" s="101"/>
      <c r="F647" s="101"/>
      <c r="G647" s="101"/>
      <c r="H647" s="101"/>
      <c r="I647" s="101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  <c r="Z647" s="101"/>
      <c r="AA647" s="101"/>
      <c r="AB647" s="101"/>
      <c r="AC647" s="101"/>
      <c r="AD647" s="101"/>
      <c r="AE647" s="101"/>
    </row>
    <row r="648" spans="1:31" ht="13.8">
      <c r="A648" s="101"/>
      <c r="B648" s="101"/>
      <c r="C648" s="101"/>
      <c r="D648" s="101"/>
      <c r="E648" s="101"/>
      <c r="F648" s="101"/>
      <c r="G648" s="101"/>
      <c r="H648" s="101"/>
      <c r="I648" s="101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  <c r="Z648" s="101"/>
      <c r="AA648" s="101"/>
      <c r="AB648" s="101"/>
      <c r="AC648" s="101"/>
      <c r="AD648" s="101"/>
      <c r="AE648" s="101"/>
    </row>
    <row r="649" spans="1:31" ht="13.8">
      <c r="A649" s="101"/>
      <c r="B649" s="101"/>
      <c r="C649" s="101"/>
      <c r="D649" s="101"/>
      <c r="E649" s="101"/>
      <c r="F649" s="101"/>
      <c r="G649" s="101"/>
      <c r="H649" s="101"/>
      <c r="I649" s="101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  <c r="Z649" s="101"/>
      <c r="AA649" s="101"/>
      <c r="AB649" s="101"/>
      <c r="AC649" s="101"/>
      <c r="AD649" s="101"/>
      <c r="AE649" s="101"/>
    </row>
    <row r="650" spans="1:31" ht="13.8">
      <c r="A650" s="101"/>
      <c r="B650" s="101"/>
      <c r="C650" s="101"/>
      <c r="D650" s="101"/>
      <c r="E650" s="101"/>
      <c r="F650" s="101"/>
      <c r="G650" s="101"/>
      <c r="H650" s="101"/>
      <c r="I650" s="101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  <c r="Z650" s="101"/>
      <c r="AA650" s="101"/>
      <c r="AB650" s="101"/>
      <c r="AC650" s="101"/>
      <c r="AD650" s="101"/>
      <c r="AE650" s="101"/>
    </row>
    <row r="651" spans="1:31" ht="13.8">
      <c r="A651" s="101"/>
      <c r="B651" s="101"/>
      <c r="C651" s="101"/>
      <c r="D651" s="101"/>
      <c r="E651" s="101"/>
      <c r="F651" s="101"/>
      <c r="G651" s="101"/>
      <c r="H651" s="101"/>
      <c r="I651" s="101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  <c r="Z651" s="101"/>
      <c r="AA651" s="101"/>
      <c r="AB651" s="101"/>
      <c r="AC651" s="101"/>
      <c r="AD651" s="101"/>
      <c r="AE651" s="101"/>
    </row>
    <row r="652" spans="1:31" ht="13.8">
      <c r="A652" s="101"/>
      <c r="B652" s="101"/>
      <c r="C652" s="101"/>
      <c r="D652" s="101"/>
      <c r="E652" s="101"/>
      <c r="F652" s="101"/>
      <c r="G652" s="101"/>
      <c r="H652" s="101"/>
      <c r="I652" s="101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  <c r="Z652" s="101"/>
      <c r="AA652" s="101"/>
      <c r="AB652" s="101"/>
      <c r="AC652" s="101"/>
      <c r="AD652" s="101"/>
      <c r="AE652" s="101"/>
    </row>
    <row r="653" spans="1:31" ht="13.8">
      <c r="A653" s="101"/>
      <c r="B653" s="101"/>
      <c r="C653" s="101"/>
      <c r="D653" s="101"/>
      <c r="E653" s="101"/>
      <c r="F653" s="101"/>
      <c r="G653" s="101"/>
      <c r="H653" s="101"/>
      <c r="I653" s="101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  <c r="Z653" s="101"/>
      <c r="AA653" s="101"/>
      <c r="AB653" s="101"/>
      <c r="AC653" s="101"/>
      <c r="AD653" s="101"/>
      <c r="AE653" s="101"/>
    </row>
    <row r="654" spans="1:31" ht="13.8">
      <c r="A654" s="101"/>
      <c r="B654" s="101"/>
      <c r="C654" s="101"/>
      <c r="D654" s="101"/>
      <c r="E654" s="101"/>
      <c r="F654" s="101"/>
      <c r="G654" s="101"/>
      <c r="H654" s="101"/>
      <c r="I654" s="101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  <c r="Z654" s="101"/>
      <c r="AA654" s="101"/>
      <c r="AB654" s="101"/>
      <c r="AC654" s="101"/>
      <c r="AD654" s="101"/>
      <c r="AE654" s="101"/>
    </row>
    <row r="655" spans="1:31" ht="13.8">
      <c r="A655" s="101"/>
      <c r="B655" s="101"/>
      <c r="C655" s="101"/>
      <c r="D655" s="101"/>
      <c r="E655" s="101"/>
      <c r="F655" s="101"/>
      <c r="G655" s="101"/>
      <c r="H655" s="101"/>
      <c r="I655" s="101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  <c r="Z655" s="101"/>
      <c r="AA655" s="101"/>
      <c r="AB655" s="101"/>
      <c r="AC655" s="101"/>
      <c r="AD655" s="101"/>
      <c r="AE655" s="101"/>
    </row>
    <row r="656" spans="1:31" ht="13.8">
      <c r="A656" s="101"/>
      <c r="B656" s="101"/>
      <c r="C656" s="101"/>
      <c r="D656" s="101"/>
      <c r="E656" s="101"/>
      <c r="F656" s="101"/>
      <c r="G656" s="101"/>
      <c r="H656" s="101"/>
      <c r="I656" s="101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  <c r="Z656" s="101"/>
      <c r="AA656" s="101"/>
      <c r="AB656" s="101"/>
      <c r="AC656" s="101"/>
      <c r="AD656" s="101"/>
      <c r="AE656" s="101"/>
    </row>
    <row r="657" spans="1:31" ht="13.8">
      <c r="A657" s="101"/>
      <c r="B657" s="101"/>
      <c r="C657" s="101"/>
      <c r="D657" s="101"/>
      <c r="E657" s="101"/>
      <c r="F657" s="101"/>
      <c r="G657" s="101"/>
      <c r="H657" s="101"/>
      <c r="I657" s="101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  <c r="Z657" s="101"/>
      <c r="AA657" s="101"/>
      <c r="AB657" s="101"/>
      <c r="AC657" s="101"/>
      <c r="AD657" s="101"/>
      <c r="AE657" s="101"/>
    </row>
    <row r="658" spans="1:31" ht="13.8">
      <c r="A658" s="101"/>
      <c r="B658" s="101"/>
      <c r="C658" s="101"/>
      <c r="D658" s="101"/>
      <c r="E658" s="101"/>
      <c r="F658" s="101"/>
      <c r="G658" s="101"/>
      <c r="H658" s="101"/>
      <c r="I658" s="101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  <c r="Z658" s="101"/>
      <c r="AA658" s="101"/>
      <c r="AB658" s="101"/>
      <c r="AC658" s="101"/>
      <c r="AD658" s="101"/>
      <c r="AE658" s="101"/>
    </row>
    <row r="659" spans="1:31" ht="13.8">
      <c r="A659" s="101"/>
      <c r="B659" s="101"/>
      <c r="C659" s="101"/>
      <c r="D659" s="101"/>
      <c r="E659" s="101"/>
      <c r="F659" s="101"/>
      <c r="G659" s="101"/>
      <c r="H659" s="101"/>
      <c r="I659" s="101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  <c r="Z659" s="101"/>
      <c r="AA659" s="101"/>
      <c r="AB659" s="101"/>
      <c r="AC659" s="101"/>
      <c r="AD659" s="101"/>
      <c r="AE659" s="101"/>
    </row>
    <row r="660" spans="1:31" ht="13.8">
      <c r="A660" s="101"/>
      <c r="B660" s="101"/>
      <c r="C660" s="101"/>
      <c r="D660" s="101"/>
      <c r="E660" s="101"/>
      <c r="F660" s="101"/>
      <c r="G660" s="101"/>
      <c r="H660" s="101"/>
      <c r="I660" s="101"/>
      <c r="J660" s="101"/>
      <c r="K660" s="101"/>
      <c r="L660" s="101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01"/>
      <c r="Z660" s="101"/>
      <c r="AA660" s="101"/>
      <c r="AB660" s="101"/>
      <c r="AC660" s="101"/>
      <c r="AD660" s="101"/>
      <c r="AE660" s="101"/>
    </row>
    <row r="661" spans="1:31" ht="13.8">
      <c r="A661" s="101"/>
      <c r="B661" s="101"/>
      <c r="C661" s="101"/>
      <c r="D661" s="101"/>
      <c r="E661" s="101"/>
      <c r="F661" s="101"/>
      <c r="G661" s="101"/>
      <c r="H661" s="101"/>
      <c r="I661" s="101"/>
      <c r="J661" s="101"/>
      <c r="K661" s="101"/>
      <c r="L661" s="101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01"/>
      <c r="Z661" s="101"/>
      <c r="AA661" s="101"/>
      <c r="AB661" s="101"/>
      <c r="AC661" s="101"/>
      <c r="AD661" s="101"/>
      <c r="AE661" s="101"/>
    </row>
    <row r="662" spans="1:31" ht="13.8">
      <c r="A662" s="101"/>
      <c r="B662" s="101"/>
      <c r="C662" s="101"/>
      <c r="D662" s="101"/>
      <c r="E662" s="101"/>
      <c r="F662" s="101"/>
      <c r="G662" s="101"/>
      <c r="H662" s="101"/>
      <c r="I662" s="101"/>
      <c r="J662" s="101"/>
      <c r="K662" s="101"/>
      <c r="L662" s="101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01"/>
      <c r="Z662" s="101"/>
      <c r="AA662" s="101"/>
      <c r="AB662" s="101"/>
      <c r="AC662" s="101"/>
      <c r="AD662" s="101"/>
      <c r="AE662" s="101"/>
    </row>
    <row r="663" spans="1:31" ht="13.8">
      <c r="A663" s="101"/>
      <c r="B663" s="101"/>
      <c r="C663" s="101"/>
      <c r="D663" s="101"/>
      <c r="E663" s="101"/>
      <c r="F663" s="101"/>
      <c r="G663" s="101"/>
      <c r="H663" s="101"/>
      <c r="I663" s="101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  <c r="Z663" s="101"/>
      <c r="AA663" s="101"/>
      <c r="AB663" s="101"/>
      <c r="AC663" s="101"/>
      <c r="AD663" s="101"/>
      <c r="AE663" s="101"/>
    </row>
    <row r="664" spans="1:31" ht="13.8">
      <c r="A664" s="101"/>
      <c r="B664" s="101"/>
      <c r="C664" s="101"/>
      <c r="D664" s="101"/>
      <c r="E664" s="101"/>
      <c r="F664" s="101"/>
      <c r="G664" s="101"/>
      <c r="H664" s="101"/>
      <c r="I664" s="101"/>
      <c r="J664" s="101"/>
      <c r="K664" s="101"/>
      <c r="L664" s="101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01"/>
      <c r="Z664" s="101"/>
      <c r="AA664" s="101"/>
      <c r="AB664" s="101"/>
      <c r="AC664" s="101"/>
      <c r="AD664" s="101"/>
      <c r="AE664" s="101"/>
    </row>
    <row r="665" spans="1:31" ht="13.8">
      <c r="A665" s="101"/>
      <c r="B665" s="101"/>
      <c r="C665" s="101"/>
      <c r="D665" s="101"/>
      <c r="E665" s="101"/>
      <c r="F665" s="101"/>
      <c r="G665" s="101"/>
      <c r="H665" s="101"/>
      <c r="I665" s="101"/>
      <c r="J665" s="101"/>
      <c r="K665" s="101"/>
      <c r="L665" s="101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01"/>
      <c r="Z665" s="101"/>
      <c r="AA665" s="101"/>
      <c r="AB665" s="101"/>
      <c r="AC665" s="101"/>
      <c r="AD665" s="101"/>
      <c r="AE665" s="101"/>
    </row>
    <row r="666" spans="1:31" ht="13.8">
      <c r="A666" s="101"/>
      <c r="B666" s="101"/>
      <c r="C666" s="101"/>
      <c r="D666" s="101"/>
      <c r="E666" s="101"/>
      <c r="F666" s="101"/>
      <c r="G666" s="101"/>
      <c r="H666" s="101"/>
      <c r="I666" s="101"/>
      <c r="J666" s="101"/>
      <c r="K666" s="101"/>
      <c r="L666" s="101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01"/>
      <c r="Z666" s="101"/>
      <c r="AA666" s="101"/>
      <c r="AB666" s="101"/>
      <c r="AC666" s="101"/>
      <c r="AD666" s="101"/>
      <c r="AE666" s="101"/>
    </row>
    <row r="667" spans="1:31" ht="13.8">
      <c r="A667" s="101"/>
      <c r="B667" s="101"/>
      <c r="C667" s="101"/>
      <c r="D667" s="101"/>
      <c r="E667" s="101"/>
      <c r="F667" s="101"/>
      <c r="G667" s="101"/>
      <c r="H667" s="101"/>
      <c r="I667" s="101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  <c r="Z667" s="101"/>
      <c r="AA667" s="101"/>
      <c r="AB667" s="101"/>
      <c r="AC667" s="101"/>
      <c r="AD667" s="101"/>
      <c r="AE667" s="101"/>
    </row>
    <row r="668" spans="1:31" ht="13.8">
      <c r="A668" s="101"/>
      <c r="B668" s="101"/>
      <c r="C668" s="101"/>
      <c r="D668" s="101"/>
      <c r="E668" s="101"/>
      <c r="F668" s="101"/>
      <c r="G668" s="101"/>
      <c r="H668" s="101"/>
      <c r="I668" s="101"/>
      <c r="J668" s="101"/>
      <c r="K668" s="101"/>
      <c r="L668" s="101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01"/>
      <c r="Z668" s="101"/>
      <c r="AA668" s="101"/>
      <c r="AB668" s="101"/>
      <c r="AC668" s="101"/>
      <c r="AD668" s="101"/>
      <c r="AE668" s="101"/>
    </row>
    <row r="669" spans="1:31" ht="13.8">
      <c r="A669" s="101"/>
      <c r="B669" s="101"/>
      <c r="C669" s="101"/>
      <c r="D669" s="101"/>
      <c r="E669" s="101"/>
      <c r="F669" s="101"/>
      <c r="G669" s="101"/>
      <c r="H669" s="101"/>
      <c r="I669" s="101"/>
      <c r="J669" s="101"/>
      <c r="K669" s="101"/>
      <c r="L669" s="101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01"/>
      <c r="Z669" s="101"/>
      <c r="AA669" s="101"/>
      <c r="AB669" s="101"/>
      <c r="AC669" s="101"/>
      <c r="AD669" s="101"/>
      <c r="AE669" s="101"/>
    </row>
    <row r="670" spans="1:31" ht="13.8">
      <c r="A670" s="101"/>
      <c r="B670" s="101"/>
      <c r="C670" s="101"/>
      <c r="D670" s="101"/>
      <c r="E670" s="101"/>
      <c r="F670" s="101"/>
      <c r="G670" s="101"/>
      <c r="H670" s="101"/>
      <c r="I670" s="101"/>
      <c r="J670" s="101"/>
      <c r="K670" s="101"/>
      <c r="L670" s="101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  <c r="Y670" s="101"/>
      <c r="Z670" s="101"/>
      <c r="AA670" s="101"/>
      <c r="AB670" s="101"/>
      <c r="AC670" s="101"/>
      <c r="AD670" s="101"/>
      <c r="AE670" s="101"/>
    </row>
    <row r="671" spans="1:31" ht="13.8">
      <c r="A671" s="101"/>
      <c r="B671" s="101"/>
      <c r="C671" s="101"/>
      <c r="D671" s="101"/>
      <c r="E671" s="101"/>
      <c r="F671" s="101"/>
      <c r="G671" s="101"/>
      <c r="H671" s="101"/>
      <c r="I671" s="101"/>
      <c r="J671" s="101"/>
      <c r="K671" s="101"/>
      <c r="L671" s="101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  <c r="Y671" s="101"/>
      <c r="Z671" s="101"/>
      <c r="AA671" s="101"/>
      <c r="AB671" s="101"/>
      <c r="AC671" s="101"/>
      <c r="AD671" s="101"/>
      <c r="AE671" s="101"/>
    </row>
    <row r="672" spans="1:31" ht="13.8">
      <c r="A672" s="101"/>
      <c r="B672" s="101"/>
      <c r="C672" s="101"/>
      <c r="D672" s="101"/>
      <c r="E672" s="101"/>
      <c r="F672" s="101"/>
      <c r="G672" s="101"/>
      <c r="H672" s="101"/>
      <c r="I672" s="101"/>
      <c r="J672" s="101"/>
      <c r="K672" s="101"/>
      <c r="L672" s="101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  <c r="Y672" s="101"/>
      <c r="Z672" s="101"/>
      <c r="AA672" s="101"/>
      <c r="AB672" s="101"/>
      <c r="AC672" s="101"/>
      <c r="AD672" s="101"/>
      <c r="AE672" s="101"/>
    </row>
    <row r="673" spans="1:31" ht="13.8">
      <c r="A673" s="101"/>
      <c r="B673" s="101"/>
      <c r="C673" s="101"/>
      <c r="D673" s="101"/>
      <c r="E673" s="101"/>
      <c r="F673" s="101"/>
      <c r="G673" s="101"/>
      <c r="H673" s="101"/>
      <c r="I673" s="101"/>
      <c r="J673" s="101"/>
      <c r="K673" s="101"/>
      <c r="L673" s="101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  <c r="Y673" s="101"/>
      <c r="Z673" s="101"/>
      <c r="AA673" s="101"/>
      <c r="AB673" s="101"/>
      <c r="AC673" s="101"/>
      <c r="AD673" s="101"/>
      <c r="AE673" s="101"/>
    </row>
    <row r="674" spans="1:31" ht="13.8">
      <c r="A674" s="101"/>
      <c r="B674" s="101"/>
      <c r="C674" s="101"/>
      <c r="D674" s="101"/>
      <c r="E674" s="101"/>
      <c r="F674" s="101"/>
      <c r="G674" s="101"/>
      <c r="H674" s="101"/>
      <c r="I674" s="101"/>
      <c r="J674" s="101"/>
      <c r="K674" s="101"/>
      <c r="L674" s="101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  <c r="Y674" s="101"/>
      <c r="Z674" s="101"/>
      <c r="AA674" s="101"/>
      <c r="AB674" s="101"/>
      <c r="AC674" s="101"/>
      <c r="AD674" s="101"/>
      <c r="AE674" s="101"/>
    </row>
    <row r="675" spans="1:31" ht="13.8">
      <c r="A675" s="101"/>
      <c r="B675" s="101"/>
      <c r="C675" s="101"/>
      <c r="D675" s="101"/>
      <c r="E675" s="101"/>
      <c r="F675" s="101"/>
      <c r="G675" s="101"/>
      <c r="H675" s="101"/>
      <c r="I675" s="101"/>
      <c r="J675" s="101"/>
      <c r="K675" s="101"/>
      <c r="L675" s="101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  <c r="Y675" s="101"/>
      <c r="Z675" s="101"/>
      <c r="AA675" s="101"/>
      <c r="AB675" s="101"/>
      <c r="AC675" s="101"/>
      <c r="AD675" s="101"/>
      <c r="AE675" s="101"/>
    </row>
    <row r="676" spans="1:31" ht="13.8">
      <c r="A676" s="101"/>
      <c r="B676" s="101"/>
      <c r="C676" s="101"/>
      <c r="D676" s="101"/>
      <c r="E676" s="101"/>
      <c r="F676" s="101"/>
      <c r="G676" s="101"/>
      <c r="H676" s="101"/>
      <c r="I676" s="101"/>
      <c r="J676" s="101"/>
      <c r="K676" s="101"/>
      <c r="L676" s="101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  <c r="Y676" s="101"/>
      <c r="Z676" s="101"/>
      <c r="AA676" s="101"/>
      <c r="AB676" s="101"/>
      <c r="AC676" s="101"/>
      <c r="AD676" s="101"/>
      <c r="AE676" s="101"/>
    </row>
    <row r="677" spans="1:31" ht="13.8">
      <c r="A677" s="101"/>
      <c r="B677" s="101"/>
      <c r="C677" s="101"/>
      <c r="D677" s="101"/>
      <c r="E677" s="101"/>
      <c r="F677" s="101"/>
      <c r="G677" s="101"/>
      <c r="H677" s="101"/>
      <c r="I677" s="101"/>
      <c r="J677" s="101"/>
      <c r="K677" s="101"/>
      <c r="L677" s="101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  <c r="Y677" s="101"/>
      <c r="Z677" s="101"/>
      <c r="AA677" s="101"/>
      <c r="AB677" s="101"/>
      <c r="AC677" s="101"/>
      <c r="AD677" s="101"/>
      <c r="AE677" s="101"/>
    </row>
    <row r="678" spans="1:31" ht="13.8">
      <c r="A678" s="101"/>
      <c r="B678" s="101"/>
      <c r="C678" s="101"/>
      <c r="D678" s="101"/>
      <c r="E678" s="101"/>
      <c r="F678" s="101"/>
      <c r="G678" s="101"/>
      <c r="H678" s="101"/>
      <c r="I678" s="101"/>
      <c r="J678" s="101"/>
      <c r="K678" s="101"/>
      <c r="L678" s="101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  <c r="Y678" s="101"/>
      <c r="Z678" s="101"/>
      <c r="AA678" s="101"/>
      <c r="AB678" s="101"/>
      <c r="AC678" s="101"/>
      <c r="AD678" s="101"/>
      <c r="AE678" s="101"/>
    </row>
    <row r="679" spans="1:31" ht="13.8">
      <c r="A679" s="101"/>
      <c r="B679" s="101"/>
      <c r="C679" s="101"/>
      <c r="D679" s="101"/>
      <c r="E679" s="101"/>
      <c r="F679" s="101"/>
      <c r="G679" s="101"/>
      <c r="H679" s="101"/>
      <c r="I679" s="101"/>
      <c r="J679" s="101"/>
      <c r="K679" s="101"/>
      <c r="L679" s="101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  <c r="Y679" s="101"/>
      <c r="Z679" s="101"/>
      <c r="AA679" s="101"/>
      <c r="AB679" s="101"/>
      <c r="AC679" s="101"/>
      <c r="AD679" s="101"/>
      <c r="AE679" s="101"/>
    </row>
    <row r="680" spans="1:31" ht="13.8">
      <c r="A680" s="101"/>
      <c r="B680" s="101"/>
      <c r="C680" s="101"/>
      <c r="D680" s="101"/>
      <c r="E680" s="101"/>
      <c r="F680" s="101"/>
      <c r="G680" s="101"/>
      <c r="H680" s="101"/>
      <c r="I680" s="101"/>
      <c r="J680" s="101"/>
      <c r="K680" s="101"/>
      <c r="L680" s="101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  <c r="Y680" s="101"/>
      <c r="Z680" s="101"/>
      <c r="AA680" s="101"/>
      <c r="AB680" s="101"/>
      <c r="AC680" s="101"/>
      <c r="AD680" s="101"/>
      <c r="AE680" s="101"/>
    </row>
    <row r="681" spans="1:31" ht="13.8">
      <c r="A681" s="101"/>
      <c r="B681" s="101"/>
      <c r="C681" s="101"/>
      <c r="D681" s="101"/>
      <c r="E681" s="101"/>
      <c r="F681" s="101"/>
      <c r="G681" s="101"/>
      <c r="H681" s="101"/>
      <c r="I681" s="101"/>
      <c r="J681" s="101"/>
      <c r="K681" s="101"/>
      <c r="L681" s="101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  <c r="Y681" s="101"/>
      <c r="Z681" s="101"/>
      <c r="AA681" s="101"/>
      <c r="AB681" s="101"/>
      <c r="AC681" s="101"/>
      <c r="AD681" s="101"/>
      <c r="AE681" s="101"/>
    </row>
    <row r="682" spans="1:31" ht="13.8">
      <c r="A682" s="101"/>
      <c r="B682" s="101"/>
      <c r="C682" s="101"/>
      <c r="D682" s="101"/>
      <c r="E682" s="101"/>
      <c r="F682" s="101"/>
      <c r="G682" s="101"/>
      <c r="H682" s="101"/>
      <c r="I682" s="101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01"/>
      <c r="Z682" s="101"/>
      <c r="AA682" s="101"/>
      <c r="AB682" s="101"/>
      <c r="AC682" s="101"/>
      <c r="AD682" s="101"/>
      <c r="AE682" s="101"/>
    </row>
    <row r="683" spans="1:31" ht="13.8">
      <c r="A683" s="101"/>
      <c r="B683" s="101"/>
      <c r="C683" s="101"/>
      <c r="D683" s="101"/>
      <c r="E683" s="101"/>
      <c r="F683" s="101"/>
      <c r="G683" s="101"/>
      <c r="H683" s="101"/>
      <c r="I683" s="101"/>
      <c r="J683" s="101"/>
      <c r="K683" s="101"/>
      <c r="L683" s="101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  <c r="Y683" s="101"/>
      <c r="Z683" s="101"/>
      <c r="AA683" s="101"/>
      <c r="AB683" s="101"/>
      <c r="AC683" s="101"/>
      <c r="AD683" s="101"/>
      <c r="AE683" s="101"/>
    </row>
    <row r="684" spans="1:31" ht="13.8">
      <c r="A684" s="101"/>
      <c r="B684" s="101"/>
      <c r="C684" s="101"/>
      <c r="D684" s="101"/>
      <c r="E684" s="101"/>
      <c r="F684" s="101"/>
      <c r="G684" s="101"/>
      <c r="H684" s="101"/>
      <c r="I684" s="101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01"/>
      <c r="Z684" s="101"/>
      <c r="AA684" s="101"/>
      <c r="AB684" s="101"/>
      <c r="AC684" s="101"/>
      <c r="AD684" s="101"/>
      <c r="AE684" s="101"/>
    </row>
    <row r="685" spans="1:31" ht="13.8">
      <c r="A685" s="101"/>
      <c r="B685" s="101"/>
      <c r="C685" s="101"/>
      <c r="D685" s="101"/>
      <c r="E685" s="101"/>
      <c r="F685" s="101"/>
      <c r="G685" s="101"/>
      <c r="H685" s="101"/>
      <c r="I685" s="101"/>
      <c r="J685" s="101"/>
      <c r="K685" s="101"/>
      <c r="L685" s="101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01"/>
      <c r="Z685" s="101"/>
      <c r="AA685" s="101"/>
      <c r="AB685" s="101"/>
      <c r="AC685" s="101"/>
      <c r="AD685" s="101"/>
      <c r="AE685" s="101"/>
    </row>
    <row r="686" spans="1:31" ht="13.8">
      <c r="A686" s="101"/>
      <c r="B686" s="101"/>
      <c r="C686" s="101"/>
      <c r="D686" s="101"/>
      <c r="E686" s="101"/>
      <c r="F686" s="101"/>
      <c r="G686" s="101"/>
      <c r="H686" s="101"/>
      <c r="I686" s="101"/>
      <c r="J686" s="101"/>
      <c r="K686" s="101"/>
      <c r="L686" s="101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  <c r="Y686" s="101"/>
      <c r="Z686" s="101"/>
      <c r="AA686" s="101"/>
      <c r="AB686" s="101"/>
      <c r="AC686" s="101"/>
      <c r="AD686" s="101"/>
      <c r="AE686" s="101"/>
    </row>
    <row r="687" spans="1:31" ht="13.8">
      <c r="A687" s="101"/>
      <c r="B687" s="101"/>
      <c r="C687" s="101"/>
      <c r="D687" s="101"/>
      <c r="E687" s="101"/>
      <c r="F687" s="101"/>
      <c r="G687" s="101"/>
      <c r="H687" s="101"/>
      <c r="I687" s="101"/>
      <c r="J687" s="101"/>
      <c r="K687" s="101"/>
      <c r="L687" s="101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01"/>
      <c r="Z687" s="101"/>
      <c r="AA687" s="101"/>
      <c r="AB687" s="101"/>
      <c r="AC687" s="101"/>
      <c r="AD687" s="101"/>
      <c r="AE687" s="101"/>
    </row>
    <row r="688" spans="1:31" ht="13.8">
      <c r="A688" s="101"/>
      <c r="B688" s="101"/>
      <c r="C688" s="101"/>
      <c r="D688" s="101"/>
      <c r="E688" s="101"/>
      <c r="F688" s="101"/>
      <c r="G688" s="101"/>
      <c r="H688" s="101"/>
      <c r="I688" s="101"/>
      <c r="J688" s="101"/>
      <c r="K688" s="101"/>
      <c r="L688" s="101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  <c r="Y688" s="101"/>
      <c r="Z688" s="101"/>
      <c r="AA688" s="101"/>
      <c r="AB688" s="101"/>
      <c r="AC688" s="101"/>
      <c r="AD688" s="101"/>
      <c r="AE688" s="101"/>
    </row>
    <row r="689" spans="1:31" ht="13.8">
      <c r="A689" s="101"/>
      <c r="B689" s="101"/>
      <c r="C689" s="101"/>
      <c r="D689" s="101"/>
      <c r="E689" s="101"/>
      <c r="F689" s="101"/>
      <c r="G689" s="101"/>
      <c r="H689" s="101"/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01"/>
      <c r="Z689" s="101"/>
      <c r="AA689" s="101"/>
      <c r="AB689" s="101"/>
      <c r="AC689" s="101"/>
      <c r="AD689" s="101"/>
      <c r="AE689" s="101"/>
    </row>
    <row r="690" spans="1:31" ht="13.8">
      <c r="A690" s="101"/>
      <c r="B690" s="101"/>
      <c r="C690" s="101"/>
      <c r="D690" s="101"/>
      <c r="E690" s="101"/>
      <c r="F690" s="101"/>
      <c r="G690" s="101"/>
      <c r="H690" s="101"/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01"/>
      <c r="Z690" s="101"/>
      <c r="AA690" s="101"/>
      <c r="AB690" s="101"/>
      <c r="AC690" s="101"/>
      <c r="AD690" s="101"/>
      <c r="AE690" s="101"/>
    </row>
    <row r="691" spans="1:31" ht="13.8">
      <c r="A691" s="101"/>
      <c r="B691" s="101"/>
      <c r="C691" s="101"/>
      <c r="D691" s="101"/>
      <c r="E691" s="101"/>
      <c r="F691" s="101"/>
      <c r="G691" s="101"/>
      <c r="H691" s="101"/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01"/>
      <c r="Z691" s="101"/>
      <c r="AA691" s="101"/>
      <c r="AB691" s="101"/>
      <c r="AC691" s="101"/>
      <c r="AD691" s="101"/>
      <c r="AE691" s="101"/>
    </row>
    <row r="692" spans="1:31" ht="13.8">
      <c r="A692" s="101"/>
      <c r="B692" s="101"/>
      <c r="C692" s="101"/>
      <c r="D692" s="101"/>
      <c r="E692" s="101"/>
      <c r="F692" s="101"/>
      <c r="G692" s="101"/>
      <c r="H692" s="101"/>
      <c r="I692" s="101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01"/>
      <c r="Z692" s="101"/>
      <c r="AA692" s="101"/>
      <c r="AB692" s="101"/>
      <c r="AC692" s="101"/>
      <c r="AD692" s="101"/>
      <c r="AE692" s="101"/>
    </row>
    <row r="693" spans="1:31" ht="13.8">
      <c r="A693" s="101"/>
      <c r="B693" s="101"/>
      <c r="C693" s="101"/>
      <c r="D693" s="101"/>
      <c r="E693" s="101"/>
      <c r="F693" s="101"/>
      <c r="G693" s="101"/>
      <c r="H693" s="101"/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01"/>
      <c r="Z693" s="101"/>
      <c r="AA693" s="101"/>
      <c r="AB693" s="101"/>
      <c r="AC693" s="101"/>
      <c r="AD693" s="101"/>
      <c r="AE693" s="101"/>
    </row>
    <row r="694" spans="1:31" ht="13.8">
      <c r="A694" s="101"/>
      <c r="B694" s="101"/>
      <c r="C694" s="101"/>
      <c r="D694" s="101"/>
      <c r="E694" s="101"/>
      <c r="F694" s="101"/>
      <c r="G694" s="101"/>
      <c r="H694" s="101"/>
      <c r="I694" s="101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01"/>
      <c r="Z694" s="101"/>
      <c r="AA694" s="101"/>
      <c r="AB694" s="101"/>
      <c r="AC694" s="101"/>
      <c r="AD694" s="101"/>
      <c r="AE694" s="101"/>
    </row>
    <row r="695" spans="1:31" ht="13.8">
      <c r="A695" s="101"/>
      <c r="B695" s="101"/>
      <c r="C695" s="101"/>
      <c r="D695" s="101"/>
      <c r="E695" s="101"/>
      <c r="F695" s="101"/>
      <c r="G695" s="101"/>
      <c r="H695" s="101"/>
      <c r="I695" s="101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01"/>
      <c r="Z695" s="101"/>
      <c r="AA695" s="101"/>
      <c r="AB695" s="101"/>
      <c r="AC695" s="101"/>
      <c r="AD695" s="101"/>
      <c r="AE695" s="101"/>
    </row>
    <row r="696" spans="1:31" ht="13.8">
      <c r="A696" s="101"/>
      <c r="B696" s="101"/>
      <c r="C696" s="101"/>
      <c r="D696" s="101"/>
      <c r="E696" s="101"/>
      <c r="F696" s="101"/>
      <c r="G696" s="101"/>
      <c r="H696" s="101"/>
      <c r="I696" s="101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01"/>
      <c r="Z696" s="101"/>
      <c r="AA696" s="101"/>
      <c r="AB696" s="101"/>
      <c r="AC696" s="101"/>
      <c r="AD696" s="101"/>
      <c r="AE696" s="101"/>
    </row>
    <row r="697" spans="1:31" ht="13.8">
      <c r="A697" s="101"/>
      <c r="B697" s="101"/>
      <c r="C697" s="101"/>
      <c r="D697" s="101"/>
      <c r="E697" s="101"/>
      <c r="F697" s="101"/>
      <c r="G697" s="101"/>
      <c r="H697" s="101"/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01"/>
      <c r="Z697" s="101"/>
      <c r="AA697" s="101"/>
      <c r="AB697" s="101"/>
      <c r="AC697" s="101"/>
      <c r="AD697" s="101"/>
      <c r="AE697" s="101"/>
    </row>
    <row r="698" spans="1:31" ht="13.8">
      <c r="A698" s="101"/>
      <c r="B698" s="101"/>
      <c r="C698" s="101"/>
      <c r="D698" s="101"/>
      <c r="E698" s="101"/>
      <c r="F698" s="101"/>
      <c r="G698" s="101"/>
      <c r="H698" s="101"/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01"/>
      <c r="Z698" s="101"/>
      <c r="AA698" s="101"/>
      <c r="AB698" s="101"/>
      <c r="AC698" s="101"/>
      <c r="AD698" s="101"/>
      <c r="AE698" s="101"/>
    </row>
    <row r="699" spans="1:31" ht="13.8">
      <c r="A699" s="101"/>
      <c r="B699" s="101"/>
      <c r="C699" s="101"/>
      <c r="D699" s="101"/>
      <c r="E699" s="101"/>
      <c r="F699" s="101"/>
      <c r="G699" s="101"/>
      <c r="H699" s="101"/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01"/>
      <c r="Z699" s="101"/>
      <c r="AA699" s="101"/>
      <c r="AB699" s="101"/>
      <c r="AC699" s="101"/>
      <c r="AD699" s="101"/>
      <c r="AE699" s="101"/>
    </row>
    <row r="700" spans="1:31" ht="13.8">
      <c r="A700" s="101"/>
      <c r="B700" s="101"/>
      <c r="C700" s="101"/>
      <c r="D700" s="101"/>
      <c r="E700" s="101"/>
      <c r="F700" s="101"/>
      <c r="G700" s="101"/>
      <c r="H700" s="101"/>
      <c r="I700" s="101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01"/>
      <c r="Z700" s="101"/>
      <c r="AA700" s="101"/>
      <c r="AB700" s="101"/>
      <c r="AC700" s="101"/>
      <c r="AD700" s="101"/>
      <c r="AE700" s="101"/>
    </row>
    <row r="701" spans="1:31" ht="13.8">
      <c r="A701" s="101"/>
      <c r="B701" s="101"/>
      <c r="C701" s="101"/>
      <c r="D701" s="101"/>
      <c r="E701" s="101"/>
      <c r="F701" s="101"/>
      <c r="G701" s="101"/>
      <c r="H701" s="101"/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01"/>
      <c r="Z701" s="101"/>
      <c r="AA701" s="101"/>
      <c r="AB701" s="101"/>
      <c r="AC701" s="101"/>
      <c r="AD701" s="101"/>
      <c r="AE701" s="101"/>
    </row>
    <row r="702" spans="1:31" ht="13.8">
      <c r="A702" s="101"/>
      <c r="B702" s="101"/>
      <c r="C702" s="101"/>
      <c r="D702" s="101"/>
      <c r="E702" s="101"/>
      <c r="F702" s="101"/>
      <c r="G702" s="101"/>
      <c r="H702" s="101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  <c r="Z702" s="101"/>
      <c r="AA702" s="101"/>
      <c r="AB702" s="101"/>
      <c r="AC702" s="101"/>
      <c r="AD702" s="101"/>
      <c r="AE702" s="101"/>
    </row>
    <row r="703" spans="1:31" ht="13.8">
      <c r="A703" s="101"/>
      <c r="B703" s="101"/>
      <c r="C703" s="101"/>
      <c r="D703" s="101"/>
      <c r="E703" s="101"/>
      <c r="F703" s="101"/>
      <c r="G703" s="101"/>
      <c r="H703" s="101"/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  <c r="Z703" s="101"/>
      <c r="AA703" s="101"/>
      <c r="AB703" s="101"/>
      <c r="AC703" s="101"/>
      <c r="AD703" s="101"/>
      <c r="AE703" s="101"/>
    </row>
    <row r="704" spans="1:31" ht="13.8">
      <c r="A704" s="101"/>
      <c r="B704" s="101"/>
      <c r="C704" s="101"/>
      <c r="D704" s="101"/>
      <c r="E704" s="101"/>
      <c r="F704" s="101"/>
      <c r="G704" s="101"/>
      <c r="H704" s="101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  <c r="Z704" s="101"/>
      <c r="AA704" s="101"/>
      <c r="AB704" s="101"/>
      <c r="AC704" s="101"/>
      <c r="AD704" s="101"/>
      <c r="AE704" s="101"/>
    </row>
    <row r="705" spans="1:31" ht="13.8">
      <c r="A705" s="101"/>
      <c r="B705" s="101"/>
      <c r="C705" s="101"/>
      <c r="D705" s="101"/>
      <c r="E705" s="101"/>
      <c r="F705" s="101"/>
      <c r="G705" s="101"/>
      <c r="H705" s="101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  <c r="Z705" s="101"/>
      <c r="AA705" s="101"/>
      <c r="AB705" s="101"/>
      <c r="AC705" s="101"/>
      <c r="AD705" s="101"/>
      <c r="AE705" s="101"/>
    </row>
    <row r="706" spans="1:31" ht="13.8">
      <c r="A706" s="101"/>
      <c r="B706" s="101"/>
      <c r="C706" s="101"/>
      <c r="D706" s="101"/>
      <c r="E706" s="101"/>
      <c r="F706" s="101"/>
      <c r="G706" s="101"/>
      <c r="H706" s="101"/>
      <c r="I706" s="101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  <c r="Z706" s="101"/>
      <c r="AA706" s="101"/>
      <c r="AB706" s="101"/>
      <c r="AC706" s="101"/>
      <c r="AD706" s="101"/>
      <c r="AE706" s="101"/>
    </row>
    <row r="707" spans="1:31" ht="13.8">
      <c r="A707" s="101"/>
      <c r="B707" s="101"/>
      <c r="C707" s="101"/>
      <c r="D707" s="101"/>
      <c r="E707" s="101"/>
      <c r="F707" s="101"/>
      <c r="G707" s="101"/>
      <c r="H707" s="101"/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  <c r="Z707" s="101"/>
      <c r="AA707" s="101"/>
      <c r="AB707" s="101"/>
      <c r="AC707" s="101"/>
      <c r="AD707" s="101"/>
      <c r="AE707" s="101"/>
    </row>
    <row r="708" spans="1:31" ht="13.8">
      <c r="A708" s="101"/>
      <c r="B708" s="101"/>
      <c r="C708" s="101"/>
      <c r="D708" s="101"/>
      <c r="E708" s="101"/>
      <c r="F708" s="101"/>
      <c r="G708" s="101"/>
      <c r="H708" s="101"/>
      <c r="I708" s="101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  <c r="Z708" s="101"/>
      <c r="AA708" s="101"/>
      <c r="AB708" s="101"/>
      <c r="AC708" s="101"/>
      <c r="AD708" s="101"/>
      <c r="AE708" s="101"/>
    </row>
    <row r="709" spans="1:31" ht="13.8">
      <c r="A709" s="101"/>
      <c r="B709" s="101"/>
      <c r="C709" s="101"/>
      <c r="D709" s="101"/>
      <c r="E709" s="101"/>
      <c r="F709" s="101"/>
      <c r="G709" s="101"/>
      <c r="H709" s="101"/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  <c r="Z709" s="101"/>
      <c r="AA709" s="101"/>
      <c r="AB709" s="101"/>
      <c r="AC709" s="101"/>
      <c r="AD709" s="101"/>
      <c r="AE709" s="101"/>
    </row>
    <row r="710" spans="1:31" ht="13.8">
      <c r="A710" s="101"/>
      <c r="B710" s="101"/>
      <c r="C710" s="101"/>
      <c r="D710" s="101"/>
      <c r="E710" s="101"/>
      <c r="F710" s="101"/>
      <c r="G710" s="101"/>
      <c r="H710" s="101"/>
      <c r="I710" s="101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  <c r="Z710" s="101"/>
      <c r="AA710" s="101"/>
      <c r="AB710" s="101"/>
      <c r="AC710" s="101"/>
      <c r="AD710" s="101"/>
      <c r="AE710" s="101"/>
    </row>
    <row r="711" spans="1:31" ht="13.8">
      <c r="A711" s="101"/>
      <c r="B711" s="101"/>
      <c r="C711" s="101"/>
      <c r="D711" s="101"/>
      <c r="E711" s="101"/>
      <c r="F711" s="101"/>
      <c r="G711" s="101"/>
      <c r="H711" s="101"/>
      <c r="I711" s="101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  <c r="Z711" s="101"/>
      <c r="AA711" s="101"/>
      <c r="AB711" s="101"/>
      <c r="AC711" s="101"/>
      <c r="AD711" s="101"/>
      <c r="AE711" s="101"/>
    </row>
    <row r="712" spans="1:31" ht="13.8">
      <c r="A712" s="101"/>
      <c r="B712" s="101"/>
      <c r="C712" s="101"/>
      <c r="D712" s="101"/>
      <c r="E712" s="101"/>
      <c r="F712" s="101"/>
      <c r="G712" s="101"/>
      <c r="H712" s="101"/>
      <c r="I712" s="101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  <c r="Z712" s="101"/>
      <c r="AA712" s="101"/>
      <c r="AB712" s="101"/>
      <c r="AC712" s="101"/>
      <c r="AD712" s="101"/>
      <c r="AE712" s="101"/>
    </row>
    <row r="713" spans="1:31" ht="13.8">
      <c r="A713" s="101"/>
      <c r="B713" s="101"/>
      <c r="C713" s="101"/>
      <c r="D713" s="101"/>
      <c r="E713" s="101"/>
      <c r="F713" s="101"/>
      <c r="G713" s="101"/>
      <c r="H713" s="101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  <c r="Z713" s="101"/>
      <c r="AA713" s="101"/>
      <c r="AB713" s="101"/>
      <c r="AC713" s="101"/>
      <c r="AD713" s="101"/>
      <c r="AE713" s="101"/>
    </row>
    <row r="714" spans="1:31" ht="13.8">
      <c r="A714" s="101"/>
      <c r="B714" s="101"/>
      <c r="C714" s="101"/>
      <c r="D714" s="101"/>
      <c r="E714" s="101"/>
      <c r="F714" s="101"/>
      <c r="G714" s="101"/>
      <c r="H714" s="101"/>
      <c r="I714" s="101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  <c r="Y714" s="101"/>
      <c r="Z714" s="101"/>
      <c r="AA714" s="101"/>
      <c r="AB714" s="101"/>
      <c r="AC714" s="101"/>
      <c r="AD714" s="101"/>
      <c r="AE714" s="101"/>
    </row>
    <row r="715" spans="1:31" ht="13.8">
      <c r="A715" s="101"/>
      <c r="B715" s="101"/>
      <c r="C715" s="101"/>
      <c r="D715" s="101"/>
      <c r="E715" s="101"/>
      <c r="F715" s="101"/>
      <c r="G715" s="101"/>
      <c r="H715" s="101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  <c r="Y715" s="101"/>
      <c r="Z715" s="101"/>
      <c r="AA715" s="101"/>
      <c r="AB715" s="101"/>
      <c r="AC715" s="101"/>
      <c r="AD715" s="101"/>
      <c r="AE715" s="101"/>
    </row>
    <row r="716" spans="1:31" ht="13.8">
      <c r="A716" s="101"/>
      <c r="B716" s="101"/>
      <c r="C716" s="101"/>
      <c r="D716" s="101"/>
      <c r="E716" s="101"/>
      <c r="F716" s="101"/>
      <c r="G716" s="101"/>
      <c r="H716" s="101"/>
      <c r="I716" s="101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  <c r="Y716" s="101"/>
      <c r="Z716" s="101"/>
      <c r="AA716" s="101"/>
      <c r="AB716" s="101"/>
      <c r="AC716" s="101"/>
      <c r="AD716" s="101"/>
      <c r="AE716" s="101"/>
    </row>
    <row r="717" spans="1:31" ht="13.8">
      <c r="A717" s="101"/>
      <c r="B717" s="101"/>
      <c r="C717" s="101"/>
      <c r="D717" s="101"/>
      <c r="E717" s="101"/>
      <c r="F717" s="101"/>
      <c r="G717" s="101"/>
      <c r="H717" s="101"/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  <c r="Y717" s="101"/>
      <c r="Z717" s="101"/>
      <c r="AA717" s="101"/>
      <c r="AB717" s="101"/>
      <c r="AC717" s="101"/>
      <c r="AD717" s="101"/>
      <c r="AE717" s="101"/>
    </row>
    <row r="718" spans="1:31" ht="13.8">
      <c r="A718" s="101"/>
      <c r="B718" s="101"/>
      <c r="C718" s="101"/>
      <c r="D718" s="101"/>
      <c r="E718" s="101"/>
      <c r="F718" s="101"/>
      <c r="G718" s="101"/>
      <c r="H718" s="101"/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  <c r="Y718" s="101"/>
      <c r="Z718" s="101"/>
      <c r="AA718" s="101"/>
      <c r="AB718" s="101"/>
      <c r="AC718" s="101"/>
      <c r="AD718" s="101"/>
      <c r="AE718" s="101"/>
    </row>
    <row r="719" spans="1:31" ht="13.8">
      <c r="A719" s="101"/>
      <c r="B719" s="101"/>
      <c r="C719" s="101"/>
      <c r="D719" s="101"/>
      <c r="E719" s="101"/>
      <c r="F719" s="101"/>
      <c r="G719" s="101"/>
      <c r="H719" s="101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  <c r="Z719" s="101"/>
      <c r="AA719" s="101"/>
      <c r="AB719" s="101"/>
      <c r="AC719" s="101"/>
      <c r="AD719" s="101"/>
      <c r="AE719" s="101"/>
    </row>
    <row r="720" spans="1:31" ht="13.8">
      <c r="A720" s="101"/>
      <c r="B720" s="101"/>
      <c r="C720" s="101"/>
      <c r="D720" s="101"/>
      <c r="E720" s="101"/>
      <c r="F720" s="101"/>
      <c r="G720" s="101"/>
      <c r="H720" s="101"/>
      <c r="I720" s="101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  <c r="Y720" s="101"/>
      <c r="Z720" s="101"/>
      <c r="AA720" s="101"/>
      <c r="AB720" s="101"/>
      <c r="AC720" s="101"/>
      <c r="AD720" s="101"/>
      <c r="AE720" s="101"/>
    </row>
    <row r="721" spans="1:31" ht="13.8">
      <c r="A721" s="101"/>
      <c r="B721" s="101"/>
      <c r="C721" s="101"/>
      <c r="D721" s="101"/>
      <c r="E721" s="101"/>
      <c r="F721" s="101"/>
      <c r="G721" s="101"/>
      <c r="H721" s="101"/>
      <c r="I721" s="101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  <c r="Y721" s="101"/>
      <c r="Z721" s="101"/>
      <c r="AA721" s="101"/>
      <c r="AB721" s="101"/>
      <c r="AC721" s="101"/>
      <c r="AD721" s="101"/>
      <c r="AE721" s="101"/>
    </row>
    <row r="722" spans="1:31" ht="13.8">
      <c r="A722" s="101"/>
      <c r="B722" s="101"/>
      <c r="C722" s="101"/>
      <c r="D722" s="101"/>
      <c r="E722" s="101"/>
      <c r="F722" s="101"/>
      <c r="G722" s="101"/>
      <c r="H722" s="101"/>
      <c r="I722" s="101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  <c r="Y722" s="101"/>
      <c r="Z722" s="101"/>
      <c r="AA722" s="101"/>
      <c r="AB722" s="101"/>
      <c r="AC722" s="101"/>
      <c r="AD722" s="101"/>
      <c r="AE722" s="101"/>
    </row>
    <row r="723" spans="1:31" ht="13.8">
      <c r="A723" s="101"/>
      <c r="B723" s="101"/>
      <c r="C723" s="101"/>
      <c r="D723" s="101"/>
      <c r="E723" s="101"/>
      <c r="F723" s="101"/>
      <c r="G723" s="101"/>
      <c r="H723" s="101"/>
      <c r="I723" s="101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  <c r="Y723" s="101"/>
      <c r="Z723" s="101"/>
      <c r="AA723" s="101"/>
      <c r="AB723" s="101"/>
      <c r="AC723" s="101"/>
      <c r="AD723" s="101"/>
      <c r="AE723" s="101"/>
    </row>
    <row r="724" spans="1:31" ht="13.8">
      <c r="A724" s="101"/>
      <c r="B724" s="101"/>
      <c r="C724" s="101"/>
      <c r="D724" s="101"/>
      <c r="E724" s="101"/>
      <c r="F724" s="101"/>
      <c r="G724" s="101"/>
      <c r="H724" s="101"/>
      <c r="I724" s="101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  <c r="Y724" s="101"/>
      <c r="Z724" s="101"/>
      <c r="AA724" s="101"/>
      <c r="AB724" s="101"/>
      <c r="AC724" s="101"/>
      <c r="AD724" s="101"/>
      <c r="AE724" s="101"/>
    </row>
    <row r="725" spans="1:31" ht="13.8">
      <c r="A725" s="101"/>
      <c r="B725" s="101"/>
      <c r="C725" s="101"/>
      <c r="D725" s="101"/>
      <c r="E725" s="101"/>
      <c r="F725" s="101"/>
      <c r="G725" s="101"/>
      <c r="H725" s="101"/>
      <c r="I725" s="101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  <c r="Y725" s="101"/>
      <c r="Z725" s="101"/>
      <c r="AA725" s="101"/>
      <c r="AB725" s="101"/>
      <c r="AC725" s="101"/>
      <c r="AD725" s="101"/>
      <c r="AE725" s="101"/>
    </row>
    <row r="726" spans="1:31" ht="13.8">
      <c r="A726" s="101"/>
      <c r="B726" s="101"/>
      <c r="C726" s="101"/>
      <c r="D726" s="101"/>
      <c r="E726" s="101"/>
      <c r="F726" s="101"/>
      <c r="G726" s="101"/>
      <c r="H726" s="101"/>
      <c r="I726" s="101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  <c r="Y726" s="101"/>
      <c r="Z726" s="101"/>
      <c r="AA726" s="101"/>
      <c r="AB726" s="101"/>
      <c r="AC726" s="101"/>
      <c r="AD726" s="101"/>
      <c r="AE726" s="101"/>
    </row>
    <row r="727" spans="1:31" ht="13.8">
      <c r="A727" s="101"/>
      <c r="B727" s="101"/>
      <c r="C727" s="101"/>
      <c r="D727" s="101"/>
      <c r="E727" s="101"/>
      <c r="F727" s="101"/>
      <c r="G727" s="101"/>
      <c r="H727" s="101"/>
      <c r="I727" s="101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  <c r="Y727" s="101"/>
      <c r="Z727" s="101"/>
      <c r="AA727" s="101"/>
      <c r="AB727" s="101"/>
      <c r="AC727" s="101"/>
      <c r="AD727" s="101"/>
      <c r="AE727" s="101"/>
    </row>
    <row r="728" spans="1:31" ht="13.8">
      <c r="A728" s="101"/>
      <c r="B728" s="101"/>
      <c r="C728" s="101"/>
      <c r="D728" s="101"/>
      <c r="E728" s="101"/>
      <c r="F728" s="101"/>
      <c r="G728" s="101"/>
      <c r="H728" s="101"/>
      <c r="I728" s="101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  <c r="Y728" s="101"/>
      <c r="Z728" s="101"/>
      <c r="AA728" s="101"/>
      <c r="AB728" s="101"/>
      <c r="AC728" s="101"/>
      <c r="AD728" s="101"/>
      <c r="AE728" s="101"/>
    </row>
    <row r="729" spans="1:31" ht="13.8">
      <c r="A729" s="101"/>
      <c r="B729" s="101"/>
      <c r="C729" s="101"/>
      <c r="D729" s="101"/>
      <c r="E729" s="101"/>
      <c r="F729" s="101"/>
      <c r="G729" s="101"/>
      <c r="H729" s="101"/>
      <c r="I729" s="101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  <c r="Y729" s="101"/>
      <c r="Z729" s="101"/>
      <c r="AA729" s="101"/>
      <c r="AB729" s="101"/>
      <c r="AC729" s="101"/>
      <c r="AD729" s="101"/>
      <c r="AE729" s="101"/>
    </row>
    <row r="730" spans="1:31" ht="13.8">
      <c r="A730" s="101"/>
      <c r="B730" s="101"/>
      <c r="C730" s="101"/>
      <c r="D730" s="101"/>
      <c r="E730" s="101"/>
      <c r="F730" s="101"/>
      <c r="G730" s="101"/>
      <c r="H730" s="101"/>
      <c r="I730" s="101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  <c r="Y730" s="101"/>
      <c r="Z730" s="101"/>
      <c r="AA730" s="101"/>
      <c r="AB730" s="101"/>
      <c r="AC730" s="101"/>
      <c r="AD730" s="101"/>
      <c r="AE730" s="101"/>
    </row>
    <row r="731" spans="1:31" ht="13.8">
      <c r="A731" s="101"/>
      <c r="B731" s="101"/>
      <c r="C731" s="101"/>
      <c r="D731" s="101"/>
      <c r="E731" s="101"/>
      <c r="F731" s="101"/>
      <c r="G731" s="101"/>
      <c r="H731" s="101"/>
      <c r="I731" s="101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  <c r="Y731" s="101"/>
      <c r="Z731" s="101"/>
      <c r="AA731" s="101"/>
      <c r="AB731" s="101"/>
      <c r="AC731" s="101"/>
      <c r="AD731" s="101"/>
      <c r="AE731" s="101"/>
    </row>
    <row r="732" spans="1:31" ht="13.8">
      <c r="A732" s="101"/>
      <c r="B732" s="101"/>
      <c r="C732" s="101"/>
      <c r="D732" s="101"/>
      <c r="E732" s="101"/>
      <c r="F732" s="101"/>
      <c r="G732" s="101"/>
      <c r="H732" s="101"/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  <c r="Y732" s="101"/>
      <c r="Z732" s="101"/>
      <c r="AA732" s="101"/>
      <c r="AB732" s="101"/>
      <c r="AC732" s="101"/>
      <c r="AD732" s="101"/>
      <c r="AE732" s="101"/>
    </row>
    <row r="733" spans="1:31" ht="13.8">
      <c r="A733" s="101"/>
      <c r="B733" s="101"/>
      <c r="C733" s="101"/>
      <c r="D733" s="101"/>
      <c r="E733" s="101"/>
      <c r="F733" s="101"/>
      <c r="G733" s="101"/>
      <c r="H733" s="101"/>
      <c r="I733" s="101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  <c r="Y733" s="101"/>
      <c r="Z733" s="101"/>
      <c r="AA733" s="101"/>
      <c r="AB733" s="101"/>
      <c r="AC733" s="101"/>
      <c r="AD733" s="101"/>
      <c r="AE733" s="101"/>
    </row>
    <row r="734" spans="1:31" ht="13.8">
      <c r="A734" s="101"/>
      <c r="B734" s="101"/>
      <c r="C734" s="101"/>
      <c r="D734" s="101"/>
      <c r="E734" s="101"/>
      <c r="F734" s="101"/>
      <c r="G734" s="101"/>
      <c r="H734" s="101"/>
      <c r="I734" s="101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  <c r="Y734" s="101"/>
      <c r="Z734" s="101"/>
      <c r="AA734" s="101"/>
      <c r="AB734" s="101"/>
      <c r="AC734" s="101"/>
      <c r="AD734" s="101"/>
      <c r="AE734" s="101"/>
    </row>
    <row r="735" spans="1:31" ht="13.8">
      <c r="A735" s="101"/>
      <c r="B735" s="101"/>
      <c r="C735" s="101"/>
      <c r="D735" s="101"/>
      <c r="E735" s="101"/>
      <c r="F735" s="101"/>
      <c r="G735" s="101"/>
      <c r="H735" s="101"/>
      <c r="I735" s="101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  <c r="Y735" s="101"/>
      <c r="Z735" s="101"/>
      <c r="AA735" s="101"/>
      <c r="AB735" s="101"/>
      <c r="AC735" s="101"/>
      <c r="AD735" s="101"/>
      <c r="AE735" s="101"/>
    </row>
    <row r="736" spans="1:31" ht="13.8">
      <c r="A736" s="101"/>
      <c r="B736" s="101"/>
      <c r="C736" s="101"/>
      <c r="D736" s="101"/>
      <c r="E736" s="101"/>
      <c r="F736" s="101"/>
      <c r="G736" s="101"/>
      <c r="H736" s="101"/>
      <c r="I736" s="101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  <c r="Y736" s="101"/>
      <c r="Z736" s="101"/>
      <c r="AA736" s="101"/>
      <c r="AB736" s="101"/>
      <c r="AC736" s="101"/>
      <c r="AD736" s="101"/>
      <c r="AE736" s="101"/>
    </row>
    <row r="737" spans="1:31" ht="13.8">
      <c r="A737" s="101"/>
      <c r="B737" s="101"/>
      <c r="C737" s="101"/>
      <c r="D737" s="101"/>
      <c r="E737" s="101"/>
      <c r="F737" s="101"/>
      <c r="G737" s="101"/>
      <c r="H737" s="101"/>
      <c r="I737" s="101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  <c r="Y737" s="101"/>
      <c r="Z737" s="101"/>
      <c r="AA737" s="101"/>
      <c r="AB737" s="101"/>
      <c r="AC737" s="101"/>
      <c r="AD737" s="101"/>
      <c r="AE737" s="101"/>
    </row>
    <row r="738" spans="1:31" ht="13.8">
      <c r="A738" s="101"/>
      <c r="B738" s="101"/>
      <c r="C738" s="101"/>
      <c r="D738" s="101"/>
      <c r="E738" s="101"/>
      <c r="F738" s="101"/>
      <c r="G738" s="101"/>
      <c r="H738" s="101"/>
      <c r="I738" s="101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  <c r="Y738" s="101"/>
      <c r="Z738" s="101"/>
      <c r="AA738" s="101"/>
      <c r="AB738" s="101"/>
      <c r="AC738" s="101"/>
      <c r="AD738" s="101"/>
      <c r="AE738" s="101"/>
    </row>
    <row r="739" spans="1:31" ht="13.8">
      <c r="A739" s="101"/>
      <c r="B739" s="101"/>
      <c r="C739" s="101"/>
      <c r="D739" s="101"/>
      <c r="E739" s="101"/>
      <c r="F739" s="101"/>
      <c r="G739" s="101"/>
      <c r="H739" s="101"/>
      <c r="I739" s="101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  <c r="Y739" s="101"/>
      <c r="Z739" s="101"/>
      <c r="AA739" s="101"/>
      <c r="AB739" s="101"/>
      <c r="AC739" s="101"/>
      <c r="AD739" s="101"/>
      <c r="AE739" s="101"/>
    </row>
    <row r="740" spans="1:31" ht="13.8">
      <c r="A740" s="101"/>
      <c r="B740" s="101"/>
      <c r="C740" s="101"/>
      <c r="D740" s="101"/>
      <c r="E740" s="101"/>
      <c r="F740" s="101"/>
      <c r="G740" s="101"/>
      <c r="H740" s="101"/>
      <c r="I740" s="101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  <c r="Y740" s="101"/>
      <c r="Z740" s="101"/>
      <c r="AA740" s="101"/>
      <c r="AB740" s="101"/>
      <c r="AC740" s="101"/>
      <c r="AD740" s="101"/>
      <c r="AE740" s="101"/>
    </row>
    <row r="741" spans="1:31" ht="13.8">
      <c r="A741" s="101"/>
      <c r="B741" s="101"/>
      <c r="C741" s="101"/>
      <c r="D741" s="101"/>
      <c r="E741" s="101"/>
      <c r="F741" s="101"/>
      <c r="G741" s="101"/>
      <c r="H741" s="101"/>
      <c r="I741" s="101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  <c r="Y741" s="101"/>
      <c r="Z741" s="101"/>
      <c r="AA741" s="101"/>
      <c r="AB741" s="101"/>
      <c r="AC741" s="101"/>
      <c r="AD741" s="101"/>
      <c r="AE741" s="101"/>
    </row>
    <row r="742" spans="1:31" ht="13.8">
      <c r="A742" s="101"/>
      <c r="B742" s="101"/>
      <c r="C742" s="101"/>
      <c r="D742" s="101"/>
      <c r="E742" s="101"/>
      <c r="F742" s="101"/>
      <c r="G742" s="101"/>
      <c r="H742" s="101"/>
      <c r="I742" s="101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  <c r="Y742" s="101"/>
      <c r="Z742" s="101"/>
      <c r="AA742" s="101"/>
      <c r="AB742" s="101"/>
      <c r="AC742" s="101"/>
      <c r="AD742" s="101"/>
      <c r="AE742" s="101"/>
    </row>
    <row r="743" spans="1:31" ht="13.8">
      <c r="A743" s="101"/>
      <c r="B743" s="101"/>
      <c r="C743" s="101"/>
      <c r="D743" s="101"/>
      <c r="E743" s="101"/>
      <c r="F743" s="101"/>
      <c r="G743" s="101"/>
      <c r="H743" s="101"/>
      <c r="I743" s="101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  <c r="Y743" s="101"/>
      <c r="Z743" s="101"/>
      <c r="AA743" s="101"/>
      <c r="AB743" s="101"/>
      <c r="AC743" s="101"/>
      <c r="AD743" s="101"/>
      <c r="AE743" s="101"/>
    </row>
    <row r="744" spans="1:31" ht="13.8">
      <c r="A744" s="101"/>
      <c r="B744" s="101"/>
      <c r="C744" s="101"/>
      <c r="D744" s="101"/>
      <c r="E744" s="101"/>
      <c r="F744" s="101"/>
      <c r="G744" s="101"/>
      <c r="H744" s="101"/>
      <c r="I744" s="101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  <c r="Y744" s="101"/>
      <c r="Z744" s="101"/>
      <c r="AA744" s="101"/>
      <c r="AB744" s="101"/>
      <c r="AC744" s="101"/>
      <c r="AD744" s="101"/>
      <c r="AE744" s="101"/>
    </row>
    <row r="745" spans="1:31" ht="13.8">
      <c r="A745" s="101"/>
      <c r="B745" s="101"/>
      <c r="C745" s="101"/>
      <c r="D745" s="101"/>
      <c r="E745" s="101"/>
      <c r="F745" s="101"/>
      <c r="G745" s="101"/>
      <c r="H745" s="101"/>
      <c r="I745" s="101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  <c r="Y745" s="101"/>
      <c r="Z745" s="101"/>
      <c r="AA745" s="101"/>
      <c r="AB745" s="101"/>
      <c r="AC745" s="101"/>
      <c r="AD745" s="101"/>
      <c r="AE745" s="101"/>
    </row>
    <row r="746" spans="1:31" ht="13.8">
      <c r="A746" s="101"/>
      <c r="B746" s="101"/>
      <c r="C746" s="101"/>
      <c r="D746" s="101"/>
      <c r="E746" s="101"/>
      <c r="F746" s="101"/>
      <c r="G746" s="101"/>
      <c r="H746" s="101"/>
      <c r="I746" s="101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  <c r="Y746" s="101"/>
      <c r="Z746" s="101"/>
      <c r="AA746" s="101"/>
      <c r="AB746" s="101"/>
      <c r="AC746" s="101"/>
      <c r="AD746" s="101"/>
      <c r="AE746" s="101"/>
    </row>
    <row r="747" spans="1:31" ht="13.8">
      <c r="A747" s="101"/>
      <c r="B747" s="101"/>
      <c r="C747" s="101"/>
      <c r="D747" s="101"/>
      <c r="E747" s="101"/>
      <c r="F747" s="101"/>
      <c r="G747" s="101"/>
      <c r="H747" s="101"/>
      <c r="I747" s="101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  <c r="Y747" s="101"/>
      <c r="Z747" s="101"/>
      <c r="AA747" s="101"/>
      <c r="AB747" s="101"/>
      <c r="AC747" s="101"/>
      <c r="AD747" s="101"/>
      <c r="AE747" s="101"/>
    </row>
    <row r="748" spans="1:31" ht="13.8">
      <c r="A748" s="101"/>
      <c r="B748" s="101"/>
      <c r="C748" s="101"/>
      <c r="D748" s="101"/>
      <c r="E748" s="101"/>
      <c r="F748" s="101"/>
      <c r="G748" s="101"/>
      <c r="H748" s="101"/>
      <c r="I748" s="101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  <c r="Y748" s="101"/>
      <c r="Z748" s="101"/>
      <c r="AA748" s="101"/>
      <c r="AB748" s="101"/>
      <c r="AC748" s="101"/>
      <c r="AD748" s="101"/>
      <c r="AE748" s="101"/>
    </row>
    <row r="749" spans="1:31" ht="13.8">
      <c r="A749" s="101"/>
      <c r="B749" s="101"/>
      <c r="C749" s="101"/>
      <c r="D749" s="101"/>
      <c r="E749" s="101"/>
      <c r="F749" s="101"/>
      <c r="G749" s="101"/>
      <c r="H749" s="101"/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  <c r="Y749" s="101"/>
      <c r="Z749" s="101"/>
      <c r="AA749" s="101"/>
      <c r="AB749" s="101"/>
      <c r="AC749" s="101"/>
      <c r="AD749" s="101"/>
      <c r="AE749" s="101"/>
    </row>
    <row r="750" spans="1:31" ht="13.8">
      <c r="A750" s="101"/>
      <c r="B750" s="101"/>
      <c r="C750" s="101"/>
      <c r="D750" s="101"/>
      <c r="E750" s="101"/>
      <c r="F750" s="101"/>
      <c r="G750" s="101"/>
      <c r="H750" s="101"/>
      <c r="I750" s="101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  <c r="Y750" s="101"/>
      <c r="Z750" s="101"/>
      <c r="AA750" s="101"/>
      <c r="AB750" s="101"/>
      <c r="AC750" s="101"/>
      <c r="AD750" s="101"/>
      <c r="AE750" s="101"/>
    </row>
    <row r="751" spans="1:31" ht="13.8">
      <c r="A751" s="101"/>
      <c r="B751" s="101"/>
      <c r="C751" s="101"/>
      <c r="D751" s="101"/>
      <c r="E751" s="101"/>
      <c r="F751" s="101"/>
      <c r="G751" s="101"/>
      <c r="H751" s="101"/>
      <c r="I751" s="101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  <c r="Y751" s="101"/>
      <c r="Z751" s="101"/>
      <c r="AA751" s="101"/>
      <c r="AB751" s="101"/>
      <c r="AC751" s="101"/>
      <c r="AD751" s="101"/>
      <c r="AE751" s="101"/>
    </row>
    <row r="752" spans="1:31" ht="13.8">
      <c r="A752" s="101"/>
      <c r="B752" s="101"/>
      <c r="C752" s="101"/>
      <c r="D752" s="101"/>
      <c r="E752" s="101"/>
      <c r="F752" s="101"/>
      <c r="G752" s="101"/>
      <c r="H752" s="101"/>
      <c r="I752" s="101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  <c r="Y752" s="101"/>
      <c r="Z752" s="101"/>
      <c r="AA752" s="101"/>
      <c r="AB752" s="101"/>
      <c r="AC752" s="101"/>
      <c r="AD752" s="101"/>
      <c r="AE752" s="101"/>
    </row>
    <row r="753" spans="1:31" ht="13.8">
      <c r="A753" s="101"/>
      <c r="B753" s="101"/>
      <c r="C753" s="101"/>
      <c r="D753" s="101"/>
      <c r="E753" s="101"/>
      <c r="F753" s="101"/>
      <c r="G753" s="101"/>
      <c r="H753" s="101"/>
      <c r="I753" s="101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  <c r="Y753" s="101"/>
      <c r="Z753" s="101"/>
      <c r="AA753" s="101"/>
      <c r="AB753" s="101"/>
      <c r="AC753" s="101"/>
      <c r="AD753" s="101"/>
      <c r="AE753" s="101"/>
    </row>
    <row r="754" spans="1:31" ht="13.8">
      <c r="A754" s="101"/>
      <c r="B754" s="101"/>
      <c r="C754" s="101"/>
      <c r="D754" s="101"/>
      <c r="E754" s="101"/>
      <c r="F754" s="101"/>
      <c r="G754" s="101"/>
      <c r="H754" s="101"/>
      <c r="I754" s="101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  <c r="Y754" s="101"/>
      <c r="Z754" s="101"/>
      <c r="AA754" s="101"/>
      <c r="AB754" s="101"/>
      <c r="AC754" s="101"/>
      <c r="AD754" s="101"/>
      <c r="AE754" s="101"/>
    </row>
    <row r="755" spans="1:31" ht="13.8">
      <c r="A755" s="101"/>
      <c r="B755" s="101"/>
      <c r="C755" s="101"/>
      <c r="D755" s="101"/>
      <c r="E755" s="101"/>
      <c r="F755" s="101"/>
      <c r="G755" s="101"/>
      <c r="H755" s="101"/>
      <c r="I755" s="101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  <c r="Y755" s="101"/>
      <c r="Z755" s="101"/>
      <c r="AA755" s="101"/>
      <c r="AB755" s="101"/>
      <c r="AC755" s="101"/>
      <c r="AD755" s="101"/>
      <c r="AE755" s="101"/>
    </row>
    <row r="756" spans="1:31" ht="13.8">
      <c r="A756" s="101"/>
      <c r="B756" s="101"/>
      <c r="C756" s="101"/>
      <c r="D756" s="101"/>
      <c r="E756" s="101"/>
      <c r="F756" s="101"/>
      <c r="G756" s="101"/>
      <c r="H756" s="101"/>
      <c r="I756" s="101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  <c r="Y756" s="101"/>
      <c r="Z756" s="101"/>
      <c r="AA756" s="101"/>
      <c r="AB756" s="101"/>
      <c r="AC756" s="101"/>
      <c r="AD756" s="101"/>
      <c r="AE756" s="101"/>
    </row>
    <row r="757" spans="1:31" ht="13.8">
      <c r="A757" s="101"/>
      <c r="B757" s="101"/>
      <c r="C757" s="101"/>
      <c r="D757" s="101"/>
      <c r="E757" s="101"/>
      <c r="F757" s="101"/>
      <c r="G757" s="101"/>
      <c r="H757" s="101"/>
      <c r="I757" s="101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  <c r="Y757" s="101"/>
      <c r="Z757" s="101"/>
      <c r="AA757" s="101"/>
      <c r="AB757" s="101"/>
      <c r="AC757" s="101"/>
      <c r="AD757" s="101"/>
      <c r="AE757" s="101"/>
    </row>
    <row r="758" spans="1:31" ht="13.8">
      <c r="A758" s="101"/>
      <c r="B758" s="101"/>
      <c r="C758" s="101"/>
      <c r="D758" s="101"/>
      <c r="E758" s="101"/>
      <c r="F758" s="101"/>
      <c r="G758" s="101"/>
      <c r="H758" s="101"/>
      <c r="I758" s="101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  <c r="Y758" s="101"/>
      <c r="Z758" s="101"/>
      <c r="AA758" s="101"/>
      <c r="AB758" s="101"/>
      <c r="AC758" s="101"/>
      <c r="AD758" s="101"/>
      <c r="AE758" s="101"/>
    </row>
    <row r="759" spans="1:31" ht="13.8">
      <c r="A759" s="101"/>
      <c r="B759" s="101"/>
      <c r="C759" s="101"/>
      <c r="D759" s="101"/>
      <c r="E759" s="101"/>
      <c r="F759" s="101"/>
      <c r="G759" s="101"/>
      <c r="H759" s="101"/>
      <c r="I759" s="101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  <c r="Y759" s="101"/>
      <c r="Z759" s="101"/>
      <c r="AA759" s="101"/>
      <c r="AB759" s="101"/>
      <c r="AC759" s="101"/>
      <c r="AD759" s="101"/>
      <c r="AE759" s="101"/>
    </row>
    <row r="760" spans="1:31" ht="13.8">
      <c r="A760" s="101"/>
      <c r="B760" s="101"/>
      <c r="C760" s="101"/>
      <c r="D760" s="101"/>
      <c r="E760" s="101"/>
      <c r="F760" s="101"/>
      <c r="G760" s="101"/>
      <c r="H760" s="101"/>
      <c r="I760" s="101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  <c r="Y760" s="101"/>
      <c r="Z760" s="101"/>
      <c r="AA760" s="101"/>
      <c r="AB760" s="101"/>
      <c r="AC760" s="101"/>
      <c r="AD760" s="101"/>
      <c r="AE760" s="101"/>
    </row>
    <row r="761" spans="1:31" ht="13.8">
      <c r="A761" s="101"/>
      <c r="B761" s="101"/>
      <c r="C761" s="101"/>
      <c r="D761" s="101"/>
      <c r="E761" s="101"/>
      <c r="F761" s="101"/>
      <c r="G761" s="101"/>
      <c r="H761" s="101"/>
      <c r="I761" s="101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  <c r="Y761" s="101"/>
      <c r="Z761" s="101"/>
      <c r="AA761" s="101"/>
      <c r="AB761" s="101"/>
      <c r="AC761" s="101"/>
      <c r="AD761" s="101"/>
      <c r="AE761" s="101"/>
    </row>
    <row r="762" spans="1:31" ht="13.8">
      <c r="A762" s="101"/>
      <c r="B762" s="101"/>
      <c r="C762" s="101"/>
      <c r="D762" s="101"/>
      <c r="E762" s="101"/>
      <c r="F762" s="101"/>
      <c r="G762" s="101"/>
      <c r="H762" s="101"/>
      <c r="I762" s="101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  <c r="Y762" s="101"/>
      <c r="Z762" s="101"/>
      <c r="AA762" s="101"/>
      <c r="AB762" s="101"/>
      <c r="AC762" s="101"/>
      <c r="AD762" s="101"/>
      <c r="AE762" s="101"/>
    </row>
    <row r="763" spans="1:31" ht="13.8">
      <c r="A763" s="101"/>
      <c r="B763" s="101"/>
      <c r="C763" s="101"/>
      <c r="D763" s="101"/>
      <c r="E763" s="101"/>
      <c r="F763" s="101"/>
      <c r="G763" s="101"/>
      <c r="H763" s="101"/>
      <c r="I763" s="101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  <c r="Y763" s="101"/>
      <c r="Z763" s="101"/>
      <c r="AA763" s="101"/>
      <c r="AB763" s="101"/>
      <c r="AC763" s="101"/>
      <c r="AD763" s="101"/>
      <c r="AE763" s="101"/>
    </row>
    <row r="764" spans="1:31" ht="13.8">
      <c r="A764" s="101"/>
      <c r="B764" s="101"/>
      <c r="C764" s="101"/>
      <c r="D764" s="101"/>
      <c r="E764" s="101"/>
      <c r="F764" s="101"/>
      <c r="G764" s="101"/>
      <c r="H764" s="101"/>
      <c r="I764" s="101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  <c r="Y764" s="101"/>
      <c r="Z764" s="101"/>
      <c r="AA764" s="101"/>
      <c r="AB764" s="101"/>
      <c r="AC764" s="101"/>
      <c r="AD764" s="101"/>
      <c r="AE764" s="101"/>
    </row>
    <row r="765" spans="1:31" ht="13.8">
      <c r="A765" s="101"/>
      <c r="B765" s="101"/>
      <c r="C765" s="101"/>
      <c r="D765" s="101"/>
      <c r="E765" s="101"/>
      <c r="F765" s="101"/>
      <c r="G765" s="101"/>
      <c r="H765" s="101"/>
      <c r="I765" s="101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  <c r="Y765" s="101"/>
      <c r="Z765" s="101"/>
      <c r="AA765" s="101"/>
      <c r="AB765" s="101"/>
      <c r="AC765" s="101"/>
      <c r="AD765" s="101"/>
      <c r="AE765" s="101"/>
    </row>
    <row r="766" spans="1:31" ht="13.8">
      <c r="A766" s="101"/>
      <c r="B766" s="101"/>
      <c r="C766" s="101"/>
      <c r="D766" s="101"/>
      <c r="E766" s="101"/>
      <c r="F766" s="101"/>
      <c r="G766" s="101"/>
      <c r="H766" s="101"/>
      <c r="I766" s="101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  <c r="Y766" s="101"/>
      <c r="Z766" s="101"/>
      <c r="AA766" s="101"/>
      <c r="AB766" s="101"/>
      <c r="AC766" s="101"/>
      <c r="AD766" s="101"/>
      <c r="AE766" s="101"/>
    </row>
    <row r="767" spans="1:31" ht="13.8">
      <c r="A767" s="101"/>
      <c r="B767" s="101"/>
      <c r="C767" s="101"/>
      <c r="D767" s="101"/>
      <c r="E767" s="101"/>
      <c r="F767" s="101"/>
      <c r="G767" s="101"/>
      <c r="H767" s="101"/>
      <c r="I767" s="101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  <c r="Y767" s="101"/>
      <c r="Z767" s="101"/>
      <c r="AA767" s="101"/>
      <c r="AB767" s="101"/>
      <c r="AC767" s="101"/>
      <c r="AD767" s="101"/>
      <c r="AE767" s="101"/>
    </row>
    <row r="768" spans="1:31" ht="13.8">
      <c r="A768" s="101"/>
      <c r="B768" s="101"/>
      <c r="C768" s="101"/>
      <c r="D768" s="101"/>
      <c r="E768" s="101"/>
      <c r="F768" s="101"/>
      <c r="G768" s="101"/>
      <c r="H768" s="101"/>
      <c r="I768" s="101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  <c r="Y768" s="101"/>
      <c r="Z768" s="101"/>
      <c r="AA768" s="101"/>
      <c r="AB768" s="101"/>
      <c r="AC768" s="101"/>
      <c r="AD768" s="101"/>
      <c r="AE768" s="101"/>
    </row>
    <row r="769" spans="1:31" ht="13.8">
      <c r="A769" s="101"/>
      <c r="B769" s="101"/>
      <c r="C769" s="101"/>
      <c r="D769" s="101"/>
      <c r="E769" s="101"/>
      <c r="F769" s="101"/>
      <c r="G769" s="101"/>
      <c r="H769" s="101"/>
      <c r="I769" s="101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  <c r="Y769" s="101"/>
      <c r="Z769" s="101"/>
      <c r="AA769" s="101"/>
      <c r="AB769" s="101"/>
      <c r="AC769" s="101"/>
      <c r="AD769" s="101"/>
      <c r="AE769" s="101"/>
    </row>
    <row r="770" spans="1:31" ht="13.8">
      <c r="A770" s="101"/>
      <c r="B770" s="101"/>
      <c r="C770" s="101"/>
      <c r="D770" s="101"/>
      <c r="E770" s="101"/>
      <c r="F770" s="101"/>
      <c r="G770" s="101"/>
      <c r="H770" s="101"/>
      <c r="I770" s="101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  <c r="Y770" s="101"/>
      <c r="Z770" s="101"/>
      <c r="AA770" s="101"/>
      <c r="AB770" s="101"/>
      <c r="AC770" s="101"/>
      <c r="AD770" s="101"/>
      <c r="AE770" s="101"/>
    </row>
    <row r="771" spans="1:31" ht="13.8">
      <c r="A771" s="101"/>
      <c r="B771" s="101"/>
      <c r="C771" s="101"/>
      <c r="D771" s="101"/>
      <c r="E771" s="101"/>
      <c r="F771" s="101"/>
      <c r="G771" s="101"/>
      <c r="H771" s="101"/>
      <c r="I771" s="101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  <c r="Y771" s="101"/>
      <c r="Z771" s="101"/>
      <c r="AA771" s="101"/>
      <c r="AB771" s="101"/>
      <c r="AC771" s="101"/>
      <c r="AD771" s="101"/>
      <c r="AE771" s="101"/>
    </row>
    <row r="772" spans="1:31" ht="13.8">
      <c r="A772" s="101"/>
      <c r="B772" s="101"/>
      <c r="C772" s="101"/>
      <c r="D772" s="101"/>
      <c r="E772" s="101"/>
      <c r="F772" s="101"/>
      <c r="G772" s="101"/>
      <c r="H772" s="101"/>
      <c r="I772" s="101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  <c r="Y772" s="101"/>
      <c r="Z772" s="101"/>
      <c r="AA772" s="101"/>
      <c r="AB772" s="101"/>
      <c r="AC772" s="101"/>
      <c r="AD772" s="101"/>
      <c r="AE772" s="101"/>
    </row>
    <row r="773" spans="1:31" ht="13.8">
      <c r="A773" s="101"/>
      <c r="B773" s="101"/>
      <c r="C773" s="101"/>
      <c r="D773" s="101"/>
      <c r="E773" s="101"/>
      <c r="F773" s="101"/>
      <c r="G773" s="101"/>
      <c r="H773" s="101"/>
      <c r="I773" s="101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  <c r="Y773" s="101"/>
      <c r="Z773" s="101"/>
      <c r="AA773" s="101"/>
      <c r="AB773" s="101"/>
      <c r="AC773" s="101"/>
      <c r="AD773" s="101"/>
      <c r="AE773" s="101"/>
    </row>
    <row r="774" spans="1:31" ht="13.8">
      <c r="A774" s="101"/>
      <c r="B774" s="101"/>
      <c r="C774" s="101"/>
      <c r="D774" s="101"/>
      <c r="E774" s="101"/>
      <c r="F774" s="101"/>
      <c r="G774" s="101"/>
      <c r="H774" s="101"/>
      <c r="I774" s="101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  <c r="Y774" s="101"/>
      <c r="Z774" s="101"/>
      <c r="AA774" s="101"/>
      <c r="AB774" s="101"/>
      <c r="AC774" s="101"/>
      <c r="AD774" s="101"/>
      <c r="AE774" s="101"/>
    </row>
    <row r="775" spans="1:31" ht="13.8">
      <c r="A775" s="101"/>
      <c r="B775" s="101"/>
      <c r="C775" s="101"/>
      <c r="D775" s="101"/>
      <c r="E775" s="101"/>
      <c r="F775" s="101"/>
      <c r="G775" s="101"/>
      <c r="H775" s="101"/>
      <c r="I775" s="101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  <c r="Y775" s="101"/>
      <c r="Z775" s="101"/>
      <c r="AA775" s="101"/>
      <c r="AB775" s="101"/>
      <c r="AC775" s="101"/>
      <c r="AD775" s="101"/>
      <c r="AE775" s="101"/>
    </row>
    <row r="776" spans="1:31" ht="13.8">
      <c r="A776" s="101"/>
      <c r="B776" s="101"/>
      <c r="C776" s="101"/>
      <c r="D776" s="101"/>
      <c r="E776" s="101"/>
      <c r="F776" s="101"/>
      <c r="G776" s="101"/>
      <c r="H776" s="101"/>
      <c r="I776" s="101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  <c r="Y776" s="101"/>
      <c r="Z776" s="101"/>
      <c r="AA776" s="101"/>
      <c r="AB776" s="101"/>
      <c r="AC776" s="101"/>
      <c r="AD776" s="101"/>
      <c r="AE776" s="101"/>
    </row>
    <row r="777" spans="1:31" ht="13.8">
      <c r="A777" s="101"/>
      <c r="B777" s="101"/>
      <c r="C777" s="101"/>
      <c r="D777" s="101"/>
      <c r="E777" s="101"/>
      <c r="F777" s="101"/>
      <c r="G777" s="101"/>
      <c r="H777" s="101"/>
      <c r="I777" s="101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  <c r="Y777" s="101"/>
      <c r="Z777" s="101"/>
      <c r="AA777" s="101"/>
      <c r="AB777" s="101"/>
      <c r="AC777" s="101"/>
      <c r="AD777" s="101"/>
      <c r="AE777" s="101"/>
    </row>
    <row r="778" spans="1:31" ht="13.8">
      <c r="A778" s="101"/>
      <c r="B778" s="101"/>
      <c r="C778" s="101"/>
      <c r="D778" s="101"/>
      <c r="E778" s="101"/>
      <c r="F778" s="101"/>
      <c r="G778" s="101"/>
      <c r="H778" s="101"/>
      <c r="I778" s="101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  <c r="Y778" s="101"/>
      <c r="Z778" s="101"/>
      <c r="AA778" s="101"/>
      <c r="AB778" s="101"/>
      <c r="AC778" s="101"/>
      <c r="AD778" s="101"/>
      <c r="AE778" s="101"/>
    </row>
    <row r="779" spans="1:31" ht="13.8">
      <c r="A779" s="101"/>
      <c r="B779" s="101"/>
      <c r="C779" s="101"/>
      <c r="D779" s="101"/>
      <c r="E779" s="101"/>
      <c r="F779" s="101"/>
      <c r="G779" s="101"/>
      <c r="H779" s="101"/>
      <c r="I779" s="101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  <c r="Y779" s="101"/>
      <c r="Z779" s="101"/>
      <c r="AA779" s="101"/>
      <c r="AB779" s="101"/>
      <c r="AC779" s="101"/>
      <c r="AD779" s="101"/>
      <c r="AE779" s="101"/>
    </row>
    <row r="780" spans="1:31" ht="13.8">
      <c r="A780" s="101"/>
      <c r="B780" s="101"/>
      <c r="C780" s="101"/>
      <c r="D780" s="101"/>
      <c r="E780" s="101"/>
      <c r="F780" s="101"/>
      <c r="G780" s="101"/>
      <c r="H780" s="101"/>
      <c r="I780" s="101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  <c r="Y780" s="101"/>
      <c r="Z780" s="101"/>
      <c r="AA780" s="101"/>
      <c r="AB780" s="101"/>
      <c r="AC780" s="101"/>
      <c r="AD780" s="101"/>
      <c r="AE780" s="101"/>
    </row>
    <row r="781" spans="1:31" ht="13.8">
      <c r="A781" s="101"/>
      <c r="B781" s="101"/>
      <c r="C781" s="101"/>
      <c r="D781" s="101"/>
      <c r="E781" s="101"/>
      <c r="F781" s="101"/>
      <c r="G781" s="101"/>
      <c r="H781" s="101"/>
      <c r="I781" s="101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  <c r="Y781" s="101"/>
      <c r="Z781" s="101"/>
      <c r="AA781" s="101"/>
      <c r="AB781" s="101"/>
      <c r="AC781" s="101"/>
      <c r="AD781" s="101"/>
      <c r="AE781" s="101"/>
    </row>
    <row r="782" spans="1:31" ht="13.8">
      <c r="A782" s="101"/>
      <c r="B782" s="101"/>
      <c r="C782" s="101"/>
      <c r="D782" s="101"/>
      <c r="E782" s="101"/>
      <c r="F782" s="101"/>
      <c r="G782" s="101"/>
      <c r="H782" s="101"/>
      <c r="I782" s="101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  <c r="Y782" s="101"/>
      <c r="Z782" s="101"/>
      <c r="AA782" s="101"/>
      <c r="AB782" s="101"/>
      <c r="AC782" s="101"/>
      <c r="AD782" s="101"/>
      <c r="AE782" s="101"/>
    </row>
    <row r="783" spans="1:31" ht="13.8">
      <c r="A783" s="101"/>
      <c r="B783" s="101"/>
      <c r="C783" s="101"/>
      <c r="D783" s="101"/>
      <c r="E783" s="101"/>
      <c r="F783" s="101"/>
      <c r="G783" s="101"/>
      <c r="H783" s="101"/>
      <c r="I783" s="101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  <c r="Y783" s="101"/>
      <c r="Z783" s="101"/>
      <c r="AA783" s="101"/>
      <c r="AB783" s="101"/>
      <c r="AC783" s="101"/>
      <c r="AD783" s="101"/>
      <c r="AE783" s="101"/>
    </row>
    <row r="784" spans="1:31" ht="13.8">
      <c r="A784" s="101"/>
      <c r="B784" s="101"/>
      <c r="C784" s="101"/>
      <c r="D784" s="101"/>
      <c r="E784" s="101"/>
      <c r="F784" s="101"/>
      <c r="G784" s="101"/>
      <c r="H784" s="101"/>
      <c r="I784" s="101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  <c r="Y784" s="101"/>
      <c r="Z784" s="101"/>
      <c r="AA784" s="101"/>
      <c r="AB784" s="101"/>
      <c r="AC784" s="101"/>
      <c r="AD784" s="101"/>
      <c r="AE784" s="101"/>
    </row>
    <row r="785" spans="1:31" ht="13.8">
      <c r="A785" s="101"/>
      <c r="B785" s="101"/>
      <c r="C785" s="101"/>
      <c r="D785" s="101"/>
      <c r="E785" s="101"/>
      <c r="F785" s="101"/>
      <c r="G785" s="101"/>
      <c r="H785" s="101"/>
      <c r="I785" s="101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  <c r="Y785" s="101"/>
      <c r="Z785" s="101"/>
      <c r="AA785" s="101"/>
      <c r="AB785" s="101"/>
      <c r="AC785" s="101"/>
      <c r="AD785" s="101"/>
      <c r="AE785" s="101"/>
    </row>
    <row r="786" spans="1:31" ht="13.8">
      <c r="A786" s="101"/>
      <c r="B786" s="101"/>
      <c r="C786" s="101"/>
      <c r="D786" s="101"/>
      <c r="E786" s="101"/>
      <c r="F786" s="101"/>
      <c r="G786" s="101"/>
      <c r="H786" s="101"/>
      <c r="I786" s="101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  <c r="Y786" s="101"/>
      <c r="Z786" s="101"/>
      <c r="AA786" s="101"/>
      <c r="AB786" s="101"/>
      <c r="AC786" s="101"/>
      <c r="AD786" s="101"/>
      <c r="AE786" s="101"/>
    </row>
    <row r="787" spans="1:31" ht="13.8">
      <c r="A787" s="101"/>
      <c r="B787" s="101"/>
      <c r="C787" s="101"/>
      <c r="D787" s="101"/>
      <c r="E787" s="101"/>
      <c r="F787" s="101"/>
      <c r="G787" s="101"/>
      <c r="H787" s="101"/>
      <c r="I787" s="101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  <c r="Y787" s="101"/>
      <c r="Z787" s="101"/>
      <c r="AA787" s="101"/>
      <c r="AB787" s="101"/>
      <c r="AC787" s="101"/>
      <c r="AD787" s="101"/>
      <c r="AE787" s="101"/>
    </row>
    <row r="788" spans="1:31" ht="13.8">
      <c r="A788" s="101"/>
      <c r="B788" s="101"/>
      <c r="C788" s="101"/>
      <c r="D788" s="101"/>
      <c r="E788" s="101"/>
      <c r="F788" s="101"/>
      <c r="G788" s="101"/>
      <c r="H788" s="101"/>
      <c r="I788" s="101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  <c r="Y788" s="101"/>
      <c r="Z788" s="101"/>
      <c r="AA788" s="101"/>
      <c r="AB788" s="101"/>
      <c r="AC788" s="101"/>
      <c r="AD788" s="101"/>
      <c r="AE788" s="101"/>
    </row>
    <row r="789" spans="1:31" ht="13.8">
      <c r="A789" s="101"/>
      <c r="B789" s="101"/>
      <c r="C789" s="101"/>
      <c r="D789" s="101"/>
      <c r="E789" s="101"/>
      <c r="F789" s="101"/>
      <c r="G789" s="101"/>
      <c r="H789" s="101"/>
      <c r="I789" s="101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  <c r="Y789" s="101"/>
      <c r="Z789" s="101"/>
      <c r="AA789" s="101"/>
      <c r="AB789" s="101"/>
      <c r="AC789" s="101"/>
      <c r="AD789" s="101"/>
      <c r="AE789" s="101"/>
    </row>
    <row r="790" spans="1:31" ht="13.8">
      <c r="A790" s="101"/>
      <c r="B790" s="101"/>
      <c r="C790" s="101"/>
      <c r="D790" s="101"/>
      <c r="E790" s="101"/>
      <c r="F790" s="101"/>
      <c r="G790" s="101"/>
      <c r="H790" s="101"/>
      <c r="I790" s="101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  <c r="Y790" s="101"/>
      <c r="Z790" s="101"/>
      <c r="AA790" s="101"/>
      <c r="AB790" s="101"/>
      <c r="AC790" s="101"/>
      <c r="AD790" s="101"/>
      <c r="AE790" s="101"/>
    </row>
    <row r="791" spans="1:31" ht="13.8">
      <c r="A791" s="101"/>
      <c r="B791" s="101"/>
      <c r="C791" s="101"/>
      <c r="D791" s="101"/>
      <c r="E791" s="101"/>
      <c r="F791" s="101"/>
      <c r="G791" s="101"/>
      <c r="H791" s="101"/>
      <c r="I791" s="101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  <c r="Y791" s="101"/>
      <c r="Z791" s="101"/>
      <c r="AA791" s="101"/>
      <c r="AB791" s="101"/>
      <c r="AC791" s="101"/>
      <c r="AD791" s="101"/>
      <c r="AE791" s="101"/>
    </row>
    <row r="792" spans="1:31" ht="13.8">
      <c r="A792" s="101"/>
      <c r="B792" s="101"/>
      <c r="C792" s="101"/>
      <c r="D792" s="101"/>
      <c r="E792" s="101"/>
      <c r="F792" s="101"/>
      <c r="G792" s="101"/>
      <c r="H792" s="101"/>
      <c r="I792" s="101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  <c r="Y792" s="101"/>
      <c r="Z792" s="101"/>
      <c r="AA792" s="101"/>
      <c r="AB792" s="101"/>
      <c r="AC792" s="101"/>
      <c r="AD792" s="101"/>
      <c r="AE792" s="101"/>
    </row>
    <row r="793" spans="1:31" ht="13.8">
      <c r="A793" s="101"/>
      <c r="B793" s="101"/>
      <c r="C793" s="101"/>
      <c r="D793" s="101"/>
      <c r="E793" s="101"/>
      <c r="F793" s="101"/>
      <c r="G793" s="101"/>
      <c r="H793" s="101"/>
      <c r="I793" s="101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  <c r="Y793" s="101"/>
      <c r="Z793" s="101"/>
      <c r="AA793" s="101"/>
      <c r="AB793" s="101"/>
      <c r="AC793" s="101"/>
      <c r="AD793" s="101"/>
      <c r="AE793" s="101"/>
    </row>
    <row r="794" spans="1:31" ht="13.8">
      <c r="A794" s="101"/>
      <c r="B794" s="101"/>
      <c r="C794" s="101"/>
      <c r="D794" s="101"/>
      <c r="E794" s="101"/>
      <c r="F794" s="101"/>
      <c r="G794" s="101"/>
      <c r="H794" s="101"/>
      <c r="I794" s="101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  <c r="Y794" s="101"/>
      <c r="Z794" s="101"/>
      <c r="AA794" s="101"/>
      <c r="AB794" s="101"/>
      <c r="AC794" s="101"/>
      <c r="AD794" s="101"/>
      <c r="AE794" s="101"/>
    </row>
    <row r="795" spans="1:31" ht="13.8">
      <c r="A795" s="101"/>
      <c r="B795" s="101"/>
      <c r="C795" s="101"/>
      <c r="D795" s="101"/>
      <c r="E795" s="101"/>
      <c r="F795" s="101"/>
      <c r="G795" s="101"/>
      <c r="H795" s="101"/>
      <c r="I795" s="101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  <c r="Y795" s="101"/>
      <c r="Z795" s="101"/>
      <c r="AA795" s="101"/>
      <c r="AB795" s="101"/>
      <c r="AC795" s="101"/>
      <c r="AD795" s="101"/>
      <c r="AE795" s="101"/>
    </row>
    <row r="796" spans="1:31" ht="13.8">
      <c r="A796" s="101"/>
      <c r="B796" s="101"/>
      <c r="C796" s="101"/>
      <c r="D796" s="101"/>
      <c r="E796" s="101"/>
      <c r="F796" s="101"/>
      <c r="G796" s="101"/>
      <c r="H796" s="101"/>
      <c r="I796" s="101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  <c r="Y796" s="101"/>
      <c r="Z796" s="101"/>
      <c r="AA796" s="101"/>
      <c r="AB796" s="101"/>
      <c r="AC796" s="101"/>
      <c r="AD796" s="101"/>
      <c r="AE796" s="101"/>
    </row>
    <row r="797" spans="1:31" ht="13.8">
      <c r="A797" s="101"/>
      <c r="B797" s="101"/>
      <c r="C797" s="101"/>
      <c r="D797" s="101"/>
      <c r="E797" s="101"/>
      <c r="F797" s="101"/>
      <c r="G797" s="101"/>
      <c r="H797" s="101"/>
      <c r="I797" s="101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  <c r="Y797" s="101"/>
      <c r="Z797" s="101"/>
      <c r="AA797" s="101"/>
      <c r="AB797" s="101"/>
      <c r="AC797" s="101"/>
      <c r="AD797" s="101"/>
      <c r="AE797" s="101"/>
    </row>
    <row r="798" spans="1:31" ht="13.8">
      <c r="A798" s="101"/>
      <c r="B798" s="101"/>
      <c r="C798" s="101"/>
      <c r="D798" s="101"/>
      <c r="E798" s="101"/>
      <c r="F798" s="101"/>
      <c r="G798" s="101"/>
      <c r="H798" s="101"/>
      <c r="I798" s="101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  <c r="Y798" s="101"/>
      <c r="Z798" s="101"/>
      <c r="AA798" s="101"/>
      <c r="AB798" s="101"/>
      <c r="AC798" s="101"/>
      <c r="AD798" s="101"/>
      <c r="AE798" s="101"/>
    </row>
    <row r="799" spans="1:31" ht="13.8">
      <c r="A799" s="101"/>
      <c r="B799" s="101"/>
      <c r="C799" s="101"/>
      <c r="D799" s="101"/>
      <c r="E799" s="101"/>
      <c r="F799" s="101"/>
      <c r="G799" s="101"/>
      <c r="H799" s="101"/>
      <c r="I799" s="101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  <c r="Y799" s="101"/>
      <c r="Z799" s="101"/>
      <c r="AA799" s="101"/>
      <c r="AB799" s="101"/>
      <c r="AC799" s="101"/>
      <c r="AD799" s="101"/>
      <c r="AE799" s="101"/>
    </row>
    <row r="800" spans="1:31" ht="13.8">
      <c r="A800" s="101"/>
      <c r="B800" s="101"/>
      <c r="C800" s="101"/>
      <c r="D800" s="101"/>
      <c r="E800" s="101"/>
      <c r="F800" s="101"/>
      <c r="G800" s="101"/>
      <c r="H800" s="101"/>
      <c r="I800" s="101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  <c r="Y800" s="101"/>
      <c r="Z800" s="101"/>
      <c r="AA800" s="101"/>
      <c r="AB800" s="101"/>
      <c r="AC800" s="101"/>
      <c r="AD800" s="101"/>
      <c r="AE800" s="101"/>
    </row>
    <row r="801" spans="1:31" ht="13.8">
      <c r="A801" s="101"/>
      <c r="B801" s="101"/>
      <c r="C801" s="101"/>
      <c r="D801" s="101"/>
      <c r="E801" s="101"/>
      <c r="F801" s="101"/>
      <c r="G801" s="101"/>
      <c r="H801" s="101"/>
      <c r="I801" s="101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  <c r="Y801" s="101"/>
      <c r="Z801" s="101"/>
      <c r="AA801" s="101"/>
      <c r="AB801" s="101"/>
      <c r="AC801" s="101"/>
      <c r="AD801" s="101"/>
      <c r="AE801" s="101"/>
    </row>
    <row r="802" spans="1:31" ht="13.8">
      <c r="A802" s="101"/>
      <c r="B802" s="101"/>
      <c r="C802" s="101"/>
      <c r="D802" s="101"/>
      <c r="E802" s="101"/>
      <c r="F802" s="101"/>
      <c r="G802" s="101"/>
      <c r="H802" s="101"/>
      <c r="I802" s="101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  <c r="Y802" s="101"/>
      <c r="Z802" s="101"/>
      <c r="AA802" s="101"/>
      <c r="AB802" s="101"/>
      <c r="AC802" s="101"/>
      <c r="AD802" s="101"/>
      <c r="AE802" s="101"/>
    </row>
    <row r="803" spans="1:31" ht="13.8">
      <c r="A803" s="101"/>
      <c r="B803" s="101"/>
      <c r="C803" s="101"/>
      <c r="D803" s="101"/>
      <c r="E803" s="101"/>
      <c r="F803" s="101"/>
      <c r="G803" s="101"/>
      <c r="H803" s="101"/>
      <c r="I803" s="101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  <c r="Y803" s="101"/>
      <c r="Z803" s="101"/>
      <c r="AA803" s="101"/>
      <c r="AB803" s="101"/>
      <c r="AC803" s="101"/>
      <c r="AD803" s="101"/>
      <c r="AE803" s="101"/>
    </row>
    <row r="804" spans="1:31" ht="13.8">
      <c r="A804" s="101"/>
      <c r="B804" s="101"/>
      <c r="C804" s="101"/>
      <c r="D804" s="101"/>
      <c r="E804" s="101"/>
      <c r="F804" s="101"/>
      <c r="G804" s="101"/>
      <c r="H804" s="101"/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01"/>
      <c r="Z804" s="101"/>
      <c r="AA804" s="101"/>
      <c r="AB804" s="101"/>
      <c r="AC804" s="101"/>
      <c r="AD804" s="101"/>
      <c r="AE804" s="101"/>
    </row>
    <row r="805" spans="1:31" ht="13.8">
      <c r="A805" s="101"/>
      <c r="B805" s="101"/>
      <c r="C805" s="101"/>
      <c r="D805" s="101"/>
      <c r="E805" s="101"/>
      <c r="F805" s="101"/>
      <c r="G805" s="101"/>
      <c r="H805" s="101"/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01"/>
      <c r="Z805" s="101"/>
      <c r="AA805" s="101"/>
      <c r="AB805" s="101"/>
      <c r="AC805" s="101"/>
      <c r="AD805" s="101"/>
      <c r="AE805" s="101"/>
    </row>
    <row r="806" spans="1:31" ht="13.8">
      <c r="A806" s="101"/>
      <c r="B806" s="101"/>
      <c r="C806" s="101"/>
      <c r="D806" s="101"/>
      <c r="E806" s="101"/>
      <c r="F806" s="101"/>
      <c r="G806" s="101"/>
      <c r="H806" s="101"/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01"/>
      <c r="Z806" s="101"/>
      <c r="AA806" s="101"/>
      <c r="AB806" s="101"/>
      <c r="AC806" s="101"/>
      <c r="AD806" s="101"/>
      <c r="AE806" s="101"/>
    </row>
    <row r="807" spans="1:31" ht="13.8">
      <c r="A807" s="101"/>
      <c r="B807" s="101"/>
      <c r="C807" s="101"/>
      <c r="D807" s="101"/>
      <c r="E807" s="101"/>
      <c r="F807" s="101"/>
      <c r="G807" s="101"/>
      <c r="H807" s="101"/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01"/>
      <c r="Z807" s="101"/>
      <c r="AA807" s="101"/>
      <c r="AB807" s="101"/>
      <c r="AC807" s="101"/>
      <c r="AD807" s="101"/>
      <c r="AE807" s="101"/>
    </row>
    <row r="808" spans="1:31" ht="13.8">
      <c r="A808" s="101"/>
      <c r="B808" s="101"/>
      <c r="C808" s="101"/>
      <c r="D808" s="101"/>
      <c r="E808" s="101"/>
      <c r="F808" s="101"/>
      <c r="G808" s="101"/>
      <c r="H808" s="101"/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01"/>
      <c r="Z808" s="101"/>
      <c r="AA808" s="101"/>
      <c r="AB808" s="101"/>
      <c r="AC808" s="101"/>
      <c r="AD808" s="101"/>
      <c r="AE808" s="101"/>
    </row>
    <row r="809" spans="1:31" ht="13.8">
      <c r="A809" s="101"/>
      <c r="B809" s="101"/>
      <c r="C809" s="101"/>
      <c r="D809" s="101"/>
      <c r="E809" s="101"/>
      <c r="F809" s="101"/>
      <c r="G809" s="101"/>
      <c r="H809" s="101"/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01"/>
      <c r="Z809" s="101"/>
      <c r="AA809" s="101"/>
      <c r="AB809" s="101"/>
      <c r="AC809" s="101"/>
      <c r="AD809" s="101"/>
      <c r="AE809" s="101"/>
    </row>
    <row r="810" spans="1:31" ht="13.8">
      <c r="A810" s="101"/>
      <c r="B810" s="101"/>
      <c r="C810" s="101"/>
      <c r="D810" s="101"/>
      <c r="E810" s="101"/>
      <c r="F810" s="101"/>
      <c r="G810" s="10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  <c r="Z810" s="101"/>
      <c r="AA810" s="101"/>
      <c r="AB810" s="101"/>
      <c r="AC810" s="101"/>
      <c r="AD810" s="101"/>
      <c r="AE810" s="101"/>
    </row>
    <row r="811" spans="1:31" ht="13.8">
      <c r="A811" s="101"/>
      <c r="B811" s="101"/>
      <c r="C811" s="101"/>
      <c r="D811" s="101"/>
      <c r="E811" s="101"/>
      <c r="F811" s="101"/>
      <c r="G811" s="101"/>
      <c r="H811" s="101"/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01"/>
      <c r="Z811" s="101"/>
      <c r="AA811" s="101"/>
      <c r="AB811" s="101"/>
      <c r="AC811" s="101"/>
      <c r="AD811" s="101"/>
      <c r="AE811" s="101"/>
    </row>
    <row r="812" spans="1:31" ht="13.8">
      <c r="A812" s="101"/>
      <c r="B812" s="101"/>
      <c r="C812" s="101"/>
      <c r="D812" s="101"/>
      <c r="E812" s="101"/>
      <c r="F812" s="101"/>
      <c r="G812" s="101"/>
      <c r="H812" s="101"/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01"/>
      <c r="Z812" s="101"/>
      <c r="AA812" s="101"/>
      <c r="AB812" s="101"/>
      <c r="AC812" s="101"/>
      <c r="AD812" s="101"/>
      <c r="AE812" s="101"/>
    </row>
    <row r="813" spans="1:31" ht="13.8">
      <c r="A813" s="101"/>
      <c r="B813" s="101"/>
      <c r="C813" s="101"/>
      <c r="D813" s="101"/>
      <c r="E813" s="101"/>
      <c r="F813" s="101"/>
      <c r="G813" s="101"/>
      <c r="H813" s="101"/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01"/>
      <c r="Z813" s="101"/>
      <c r="AA813" s="101"/>
      <c r="AB813" s="101"/>
      <c r="AC813" s="101"/>
      <c r="AD813" s="101"/>
      <c r="AE813" s="101"/>
    </row>
    <row r="814" spans="1:31" ht="13.8">
      <c r="A814" s="101"/>
      <c r="B814" s="101"/>
      <c r="C814" s="101"/>
      <c r="D814" s="101"/>
      <c r="E814" s="101"/>
      <c r="F814" s="101"/>
      <c r="G814" s="101"/>
      <c r="H814" s="101"/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01"/>
      <c r="Z814" s="101"/>
      <c r="AA814" s="101"/>
      <c r="AB814" s="101"/>
      <c r="AC814" s="101"/>
      <c r="AD814" s="101"/>
      <c r="AE814" s="101"/>
    </row>
    <row r="815" spans="1:31" ht="13.8">
      <c r="A815" s="101"/>
      <c r="B815" s="101"/>
      <c r="C815" s="101"/>
      <c r="D815" s="101"/>
      <c r="E815" s="101"/>
      <c r="F815" s="101"/>
      <c r="G815" s="101"/>
      <c r="H815" s="101"/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01"/>
      <c r="Z815" s="101"/>
      <c r="AA815" s="101"/>
      <c r="AB815" s="101"/>
      <c r="AC815" s="101"/>
      <c r="AD815" s="101"/>
      <c r="AE815" s="101"/>
    </row>
    <row r="816" spans="1:31" ht="13.8">
      <c r="A816" s="101"/>
      <c r="B816" s="101"/>
      <c r="C816" s="101"/>
      <c r="D816" s="101"/>
      <c r="E816" s="101"/>
      <c r="F816" s="101"/>
      <c r="G816" s="101"/>
      <c r="H816" s="101"/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01"/>
      <c r="Z816" s="101"/>
      <c r="AA816" s="101"/>
      <c r="AB816" s="101"/>
      <c r="AC816" s="101"/>
      <c r="AD816" s="101"/>
      <c r="AE816" s="101"/>
    </row>
    <row r="817" spans="1:31" ht="13.8">
      <c r="A817" s="101"/>
      <c r="B817" s="101"/>
      <c r="C817" s="101"/>
      <c r="D817" s="101"/>
      <c r="E817" s="101"/>
      <c r="F817" s="101"/>
      <c r="G817" s="101"/>
      <c r="H817" s="101"/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01"/>
      <c r="Z817" s="101"/>
      <c r="AA817" s="101"/>
      <c r="AB817" s="101"/>
      <c r="AC817" s="101"/>
      <c r="AD817" s="101"/>
      <c r="AE817" s="101"/>
    </row>
    <row r="818" spans="1:31" ht="13.8">
      <c r="A818" s="101"/>
      <c r="B818" s="101"/>
      <c r="C818" s="101"/>
      <c r="D818" s="101"/>
      <c r="E818" s="101"/>
      <c r="F818" s="101"/>
      <c r="G818" s="101"/>
      <c r="H818" s="101"/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01"/>
      <c r="Z818" s="101"/>
      <c r="AA818" s="101"/>
      <c r="AB818" s="101"/>
      <c r="AC818" s="101"/>
      <c r="AD818" s="101"/>
      <c r="AE818" s="101"/>
    </row>
    <row r="819" spans="1:31" ht="13.8">
      <c r="A819" s="101"/>
      <c r="B819" s="101"/>
      <c r="C819" s="101"/>
      <c r="D819" s="101"/>
      <c r="E819" s="101"/>
      <c r="F819" s="101"/>
      <c r="G819" s="101"/>
      <c r="H819" s="101"/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01"/>
      <c r="Z819" s="101"/>
      <c r="AA819" s="101"/>
      <c r="AB819" s="101"/>
      <c r="AC819" s="101"/>
      <c r="AD819" s="101"/>
      <c r="AE819" s="101"/>
    </row>
    <row r="820" spans="1:31" ht="13.8">
      <c r="A820" s="101"/>
      <c r="B820" s="101"/>
      <c r="C820" s="101"/>
      <c r="D820" s="101"/>
      <c r="E820" s="101"/>
      <c r="F820" s="101"/>
      <c r="G820" s="101"/>
      <c r="H820" s="101"/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01"/>
      <c r="Z820" s="101"/>
      <c r="AA820" s="101"/>
      <c r="AB820" s="101"/>
      <c r="AC820" s="101"/>
      <c r="AD820" s="101"/>
      <c r="AE820" s="101"/>
    </row>
    <row r="821" spans="1:31" ht="13.8">
      <c r="A821" s="101"/>
      <c r="B821" s="101"/>
      <c r="C821" s="101"/>
      <c r="D821" s="101"/>
      <c r="E821" s="101"/>
      <c r="F821" s="101"/>
      <c r="G821" s="101"/>
      <c r="H821" s="101"/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01"/>
      <c r="Z821" s="101"/>
      <c r="AA821" s="101"/>
      <c r="AB821" s="101"/>
      <c r="AC821" s="101"/>
      <c r="AD821" s="101"/>
      <c r="AE821" s="101"/>
    </row>
    <row r="822" spans="1:31" ht="13.8">
      <c r="A822" s="101"/>
      <c r="B822" s="101"/>
      <c r="C822" s="101"/>
      <c r="D822" s="101"/>
      <c r="E822" s="101"/>
      <c r="F822" s="101"/>
      <c r="G822" s="101"/>
      <c r="H822" s="101"/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01"/>
      <c r="Z822" s="101"/>
      <c r="AA822" s="101"/>
      <c r="AB822" s="101"/>
      <c r="AC822" s="101"/>
      <c r="AD822" s="101"/>
      <c r="AE822" s="101"/>
    </row>
    <row r="823" spans="1:31" ht="13.8">
      <c r="A823" s="101"/>
      <c r="B823" s="101"/>
      <c r="C823" s="101"/>
      <c r="D823" s="101"/>
      <c r="E823" s="101"/>
      <c r="F823" s="101"/>
      <c r="G823" s="101"/>
      <c r="H823" s="101"/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01"/>
      <c r="Z823" s="101"/>
      <c r="AA823" s="101"/>
      <c r="AB823" s="101"/>
      <c r="AC823" s="101"/>
      <c r="AD823" s="101"/>
      <c r="AE823" s="101"/>
    </row>
    <row r="824" spans="1:31" ht="13.8">
      <c r="A824" s="101"/>
      <c r="B824" s="101"/>
      <c r="C824" s="101"/>
      <c r="D824" s="101"/>
      <c r="E824" s="101"/>
      <c r="F824" s="101"/>
      <c r="G824" s="101"/>
      <c r="H824" s="101"/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01"/>
      <c r="Z824" s="101"/>
      <c r="AA824" s="101"/>
      <c r="AB824" s="101"/>
      <c r="AC824" s="101"/>
      <c r="AD824" s="101"/>
      <c r="AE824" s="101"/>
    </row>
    <row r="825" spans="1:31" ht="13.8">
      <c r="A825" s="101"/>
      <c r="B825" s="101"/>
      <c r="C825" s="101"/>
      <c r="D825" s="101"/>
      <c r="E825" s="101"/>
      <c r="F825" s="101"/>
      <c r="G825" s="101"/>
      <c r="H825" s="101"/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01"/>
      <c r="Z825" s="101"/>
      <c r="AA825" s="101"/>
      <c r="AB825" s="101"/>
      <c r="AC825" s="101"/>
      <c r="AD825" s="101"/>
      <c r="AE825" s="101"/>
    </row>
    <row r="826" spans="1:31" ht="13.8">
      <c r="A826" s="101"/>
      <c r="B826" s="101"/>
      <c r="C826" s="101"/>
      <c r="D826" s="101"/>
      <c r="E826" s="101"/>
      <c r="F826" s="101"/>
      <c r="G826" s="101"/>
      <c r="H826" s="101"/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01"/>
      <c r="Z826" s="101"/>
      <c r="AA826" s="101"/>
      <c r="AB826" s="101"/>
      <c r="AC826" s="101"/>
      <c r="AD826" s="101"/>
      <c r="AE826" s="101"/>
    </row>
    <row r="827" spans="1:31" ht="13.8">
      <c r="A827" s="101"/>
      <c r="B827" s="101"/>
      <c r="C827" s="101"/>
      <c r="D827" s="101"/>
      <c r="E827" s="101"/>
      <c r="F827" s="101"/>
      <c r="G827" s="101"/>
      <c r="H827" s="101"/>
      <c r="I827" s="101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  <c r="Y827" s="101"/>
      <c r="Z827" s="101"/>
      <c r="AA827" s="101"/>
      <c r="AB827" s="101"/>
      <c r="AC827" s="101"/>
      <c r="AD827" s="101"/>
      <c r="AE827" s="101"/>
    </row>
    <row r="828" spans="1:31" ht="13.8">
      <c r="A828" s="101"/>
      <c r="B828" s="101"/>
      <c r="C828" s="101"/>
      <c r="D828" s="101"/>
      <c r="E828" s="101"/>
      <c r="F828" s="101"/>
      <c r="G828" s="101"/>
      <c r="H828" s="101"/>
      <c r="I828" s="101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  <c r="Y828" s="101"/>
      <c r="Z828" s="101"/>
      <c r="AA828" s="101"/>
      <c r="AB828" s="101"/>
      <c r="AC828" s="101"/>
      <c r="AD828" s="101"/>
      <c r="AE828" s="101"/>
    </row>
    <row r="829" spans="1:31" ht="13.8">
      <c r="A829" s="101"/>
      <c r="B829" s="101"/>
      <c r="C829" s="101"/>
      <c r="D829" s="101"/>
      <c r="E829" s="101"/>
      <c r="F829" s="101"/>
      <c r="G829" s="101"/>
      <c r="H829" s="101"/>
      <c r="I829" s="101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  <c r="Y829" s="101"/>
      <c r="Z829" s="101"/>
      <c r="AA829" s="101"/>
      <c r="AB829" s="101"/>
      <c r="AC829" s="101"/>
      <c r="AD829" s="101"/>
      <c r="AE829" s="101"/>
    </row>
    <row r="830" spans="1:31" ht="13.8">
      <c r="A830" s="101"/>
      <c r="B830" s="101"/>
      <c r="C830" s="101"/>
      <c r="D830" s="101"/>
      <c r="E830" s="101"/>
      <c r="F830" s="101"/>
      <c r="G830" s="101"/>
      <c r="H830" s="101"/>
      <c r="I830" s="101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  <c r="Y830" s="101"/>
      <c r="Z830" s="101"/>
      <c r="AA830" s="101"/>
      <c r="AB830" s="101"/>
      <c r="AC830" s="101"/>
      <c r="AD830" s="101"/>
      <c r="AE830" s="101"/>
    </row>
    <row r="831" spans="1:31" ht="13.8">
      <c r="A831" s="101"/>
      <c r="B831" s="101"/>
      <c r="C831" s="101"/>
      <c r="D831" s="101"/>
      <c r="E831" s="101"/>
      <c r="F831" s="101"/>
      <c r="G831" s="101"/>
      <c r="H831" s="101"/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01"/>
      <c r="Z831" s="101"/>
      <c r="AA831" s="101"/>
      <c r="AB831" s="101"/>
      <c r="AC831" s="101"/>
      <c r="AD831" s="101"/>
      <c r="AE831" s="101"/>
    </row>
    <row r="832" spans="1:31" ht="13.8">
      <c r="A832" s="101"/>
      <c r="B832" s="101"/>
      <c r="C832" s="101"/>
      <c r="D832" s="101"/>
      <c r="E832" s="101"/>
      <c r="F832" s="101"/>
      <c r="G832" s="101"/>
      <c r="H832" s="101"/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01"/>
      <c r="Z832" s="101"/>
      <c r="AA832" s="101"/>
      <c r="AB832" s="101"/>
      <c r="AC832" s="101"/>
      <c r="AD832" s="101"/>
      <c r="AE832" s="101"/>
    </row>
    <row r="833" spans="1:31" ht="13.8">
      <c r="A833" s="101"/>
      <c r="B833" s="101"/>
      <c r="C833" s="101"/>
      <c r="D833" s="101"/>
      <c r="E833" s="101"/>
      <c r="F833" s="101"/>
      <c r="G833" s="101"/>
      <c r="H833" s="101"/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01"/>
      <c r="Z833" s="101"/>
      <c r="AA833" s="101"/>
      <c r="AB833" s="101"/>
      <c r="AC833" s="101"/>
      <c r="AD833" s="101"/>
      <c r="AE833" s="101"/>
    </row>
    <row r="834" spans="1:31" ht="13.8">
      <c r="A834" s="101"/>
      <c r="B834" s="101"/>
      <c r="C834" s="101"/>
      <c r="D834" s="101"/>
      <c r="E834" s="101"/>
      <c r="F834" s="101"/>
      <c r="G834" s="101"/>
      <c r="H834" s="101"/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01"/>
      <c r="Z834" s="101"/>
      <c r="AA834" s="101"/>
      <c r="AB834" s="101"/>
      <c r="AC834" s="101"/>
      <c r="AD834" s="101"/>
      <c r="AE834" s="101"/>
    </row>
    <row r="835" spans="1:31" ht="13.8">
      <c r="A835" s="101"/>
      <c r="B835" s="101"/>
      <c r="C835" s="101"/>
      <c r="D835" s="101"/>
      <c r="E835" s="101"/>
      <c r="F835" s="101"/>
      <c r="G835" s="101"/>
      <c r="H835" s="101"/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01"/>
      <c r="Z835" s="101"/>
      <c r="AA835" s="101"/>
      <c r="AB835" s="101"/>
      <c r="AC835" s="101"/>
      <c r="AD835" s="101"/>
      <c r="AE835" s="101"/>
    </row>
    <row r="836" spans="1:31" ht="13.8">
      <c r="A836" s="101"/>
      <c r="B836" s="101"/>
      <c r="C836" s="101"/>
      <c r="D836" s="101"/>
      <c r="E836" s="101"/>
      <c r="F836" s="101"/>
      <c r="G836" s="101"/>
      <c r="H836" s="101"/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01"/>
      <c r="Z836" s="101"/>
      <c r="AA836" s="101"/>
      <c r="AB836" s="101"/>
      <c r="AC836" s="101"/>
      <c r="AD836" s="101"/>
      <c r="AE836" s="101"/>
    </row>
    <row r="837" spans="1:31" ht="13.8">
      <c r="A837" s="101"/>
      <c r="B837" s="101"/>
      <c r="C837" s="101"/>
      <c r="D837" s="101"/>
      <c r="E837" s="101"/>
      <c r="F837" s="101"/>
      <c r="G837" s="101"/>
      <c r="H837" s="101"/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01"/>
      <c r="Z837" s="101"/>
      <c r="AA837" s="101"/>
      <c r="AB837" s="101"/>
      <c r="AC837" s="101"/>
      <c r="AD837" s="101"/>
      <c r="AE837" s="101"/>
    </row>
    <row r="838" spans="1:31" ht="13.8">
      <c r="A838" s="101"/>
      <c r="B838" s="101"/>
      <c r="C838" s="101"/>
      <c r="D838" s="101"/>
      <c r="E838" s="101"/>
      <c r="F838" s="101"/>
      <c r="G838" s="101"/>
      <c r="H838" s="101"/>
      <c r="I838" s="101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  <c r="Y838" s="101"/>
      <c r="Z838" s="101"/>
      <c r="AA838" s="101"/>
      <c r="AB838" s="101"/>
      <c r="AC838" s="101"/>
      <c r="AD838" s="101"/>
      <c r="AE838" s="101"/>
    </row>
    <row r="839" spans="1:31" ht="13.8">
      <c r="A839" s="101"/>
      <c r="B839" s="101"/>
      <c r="C839" s="101"/>
      <c r="D839" s="101"/>
      <c r="E839" s="101"/>
      <c r="F839" s="101"/>
      <c r="G839" s="101"/>
      <c r="H839" s="101"/>
      <c r="I839" s="101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  <c r="Y839" s="101"/>
      <c r="Z839" s="101"/>
      <c r="AA839" s="101"/>
      <c r="AB839" s="101"/>
      <c r="AC839" s="101"/>
      <c r="AD839" s="101"/>
      <c r="AE839" s="101"/>
    </row>
    <row r="840" spans="1:31" ht="13.8">
      <c r="A840" s="101"/>
      <c r="B840" s="101"/>
      <c r="C840" s="101"/>
      <c r="D840" s="101"/>
      <c r="E840" s="101"/>
      <c r="F840" s="101"/>
      <c r="G840" s="101"/>
      <c r="H840" s="101"/>
      <c r="I840" s="101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  <c r="Y840" s="101"/>
      <c r="Z840" s="101"/>
      <c r="AA840" s="101"/>
      <c r="AB840" s="101"/>
      <c r="AC840" s="101"/>
      <c r="AD840" s="101"/>
      <c r="AE840" s="101"/>
    </row>
    <row r="841" spans="1:31" ht="13.8">
      <c r="A841" s="101"/>
      <c r="B841" s="101"/>
      <c r="C841" s="101"/>
      <c r="D841" s="101"/>
      <c r="E841" s="101"/>
      <c r="F841" s="101"/>
      <c r="G841" s="101"/>
      <c r="H841" s="101"/>
      <c r="I841" s="101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  <c r="Y841" s="101"/>
      <c r="Z841" s="101"/>
      <c r="AA841" s="101"/>
      <c r="AB841" s="101"/>
      <c r="AC841" s="101"/>
      <c r="AD841" s="101"/>
      <c r="AE841" s="101"/>
    </row>
    <row r="842" spans="1:31" ht="13.8">
      <c r="A842" s="101"/>
      <c r="B842" s="101"/>
      <c r="C842" s="101"/>
      <c r="D842" s="101"/>
      <c r="E842" s="101"/>
      <c r="F842" s="101"/>
      <c r="G842" s="101"/>
      <c r="H842" s="101"/>
      <c r="I842" s="101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  <c r="Y842" s="101"/>
      <c r="Z842" s="101"/>
      <c r="AA842" s="101"/>
      <c r="AB842" s="101"/>
      <c r="AC842" s="101"/>
      <c r="AD842" s="101"/>
      <c r="AE842" s="101"/>
    </row>
    <row r="843" spans="1:31" ht="13.8">
      <c r="A843" s="101"/>
      <c r="B843" s="101"/>
      <c r="C843" s="101"/>
      <c r="D843" s="101"/>
      <c r="E843" s="101"/>
      <c r="F843" s="101"/>
      <c r="G843" s="101"/>
      <c r="H843" s="101"/>
      <c r="I843" s="101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  <c r="Y843" s="101"/>
      <c r="Z843" s="101"/>
      <c r="AA843" s="101"/>
      <c r="AB843" s="101"/>
      <c r="AC843" s="101"/>
      <c r="AD843" s="101"/>
      <c r="AE843" s="101"/>
    </row>
    <row r="844" spans="1:31" ht="13.8">
      <c r="A844" s="101"/>
      <c r="B844" s="101"/>
      <c r="C844" s="101"/>
      <c r="D844" s="101"/>
      <c r="E844" s="101"/>
      <c r="F844" s="101"/>
      <c r="G844" s="101"/>
      <c r="H844" s="101"/>
      <c r="I844" s="101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  <c r="Y844" s="101"/>
      <c r="Z844" s="101"/>
      <c r="AA844" s="101"/>
      <c r="AB844" s="101"/>
      <c r="AC844" s="101"/>
      <c r="AD844" s="101"/>
      <c r="AE844" s="101"/>
    </row>
    <row r="845" spans="1:31" ht="13.8">
      <c r="A845" s="101"/>
      <c r="B845" s="101"/>
      <c r="C845" s="101"/>
      <c r="D845" s="101"/>
      <c r="E845" s="101"/>
      <c r="F845" s="101"/>
      <c r="G845" s="101"/>
      <c r="H845" s="101"/>
      <c r="I845" s="101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  <c r="Y845" s="101"/>
      <c r="Z845" s="101"/>
      <c r="AA845" s="101"/>
      <c r="AB845" s="101"/>
      <c r="AC845" s="101"/>
      <c r="AD845" s="101"/>
      <c r="AE845" s="101"/>
    </row>
    <row r="846" spans="1:31" ht="13.8">
      <c r="A846" s="101"/>
      <c r="B846" s="101"/>
      <c r="C846" s="101"/>
      <c r="D846" s="101"/>
      <c r="E846" s="101"/>
      <c r="F846" s="101"/>
      <c r="G846" s="101"/>
      <c r="H846" s="101"/>
      <c r="I846" s="101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  <c r="Y846" s="101"/>
      <c r="Z846" s="101"/>
      <c r="AA846" s="101"/>
      <c r="AB846" s="101"/>
      <c r="AC846" s="101"/>
      <c r="AD846" s="101"/>
      <c r="AE846" s="101"/>
    </row>
    <row r="847" spans="1:31" ht="13.8">
      <c r="A847" s="101"/>
      <c r="B847" s="101"/>
      <c r="C847" s="101"/>
      <c r="D847" s="101"/>
      <c r="E847" s="101"/>
      <c r="F847" s="101"/>
      <c r="G847" s="101"/>
      <c r="H847" s="101"/>
      <c r="I847" s="101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  <c r="Y847" s="101"/>
      <c r="Z847" s="101"/>
      <c r="AA847" s="101"/>
      <c r="AB847" s="101"/>
      <c r="AC847" s="101"/>
      <c r="AD847" s="101"/>
      <c r="AE847" s="101"/>
    </row>
    <row r="848" spans="1:31" ht="13.8">
      <c r="A848" s="101"/>
      <c r="B848" s="101"/>
      <c r="C848" s="101"/>
      <c r="D848" s="101"/>
      <c r="E848" s="101"/>
      <c r="F848" s="101"/>
      <c r="G848" s="101"/>
      <c r="H848" s="101"/>
      <c r="I848" s="101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  <c r="Y848" s="101"/>
      <c r="Z848" s="101"/>
      <c r="AA848" s="101"/>
      <c r="AB848" s="101"/>
      <c r="AC848" s="101"/>
      <c r="AD848" s="101"/>
      <c r="AE848" s="101"/>
    </row>
    <row r="849" spans="1:31" ht="13.8">
      <c r="A849" s="101"/>
      <c r="B849" s="101"/>
      <c r="C849" s="101"/>
      <c r="D849" s="101"/>
      <c r="E849" s="101"/>
      <c r="F849" s="101"/>
      <c r="G849" s="101"/>
      <c r="H849" s="101"/>
      <c r="I849" s="101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  <c r="Y849" s="101"/>
      <c r="Z849" s="101"/>
      <c r="AA849" s="101"/>
      <c r="AB849" s="101"/>
      <c r="AC849" s="101"/>
      <c r="AD849" s="101"/>
      <c r="AE849" s="101"/>
    </row>
    <row r="850" spans="1:31" ht="13.8">
      <c r="A850" s="101"/>
      <c r="B850" s="101"/>
      <c r="C850" s="101"/>
      <c r="D850" s="101"/>
      <c r="E850" s="101"/>
      <c r="F850" s="101"/>
      <c r="G850" s="101"/>
      <c r="H850" s="101"/>
      <c r="I850" s="101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  <c r="Y850" s="101"/>
      <c r="Z850" s="101"/>
      <c r="AA850" s="101"/>
      <c r="AB850" s="101"/>
      <c r="AC850" s="101"/>
      <c r="AD850" s="101"/>
      <c r="AE850" s="101"/>
    </row>
    <row r="851" spans="1:31" ht="13.8">
      <c r="A851" s="101"/>
      <c r="B851" s="101"/>
      <c r="C851" s="101"/>
      <c r="D851" s="101"/>
      <c r="E851" s="101"/>
      <c r="F851" s="101"/>
      <c r="G851" s="101"/>
      <c r="H851" s="101"/>
      <c r="I851" s="101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  <c r="Y851" s="101"/>
      <c r="Z851" s="101"/>
      <c r="AA851" s="101"/>
      <c r="AB851" s="101"/>
      <c r="AC851" s="101"/>
      <c r="AD851" s="101"/>
      <c r="AE851" s="101"/>
    </row>
    <row r="852" spans="1:31" ht="13.8">
      <c r="A852" s="101"/>
      <c r="B852" s="101"/>
      <c r="C852" s="101"/>
      <c r="D852" s="101"/>
      <c r="E852" s="101"/>
      <c r="F852" s="101"/>
      <c r="G852" s="101"/>
      <c r="H852" s="101"/>
      <c r="I852" s="101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  <c r="Y852" s="101"/>
      <c r="Z852" s="101"/>
      <c r="AA852" s="101"/>
      <c r="AB852" s="101"/>
      <c r="AC852" s="101"/>
      <c r="AD852" s="101"/>
      <c r="AE852" s="101"/>
    </row>
    <row r="853" spans="1:31" ht="13.8">
      <c r="A853" s="101"/>
      <c r="B853" s="101"/>
      <c r="C853" s="101"/>
      <c r="D853" s="101"/>
      <c r="E853" s="101"/>
      <c r="F853" s="101"/>
      <c r="G853" s="101"/>
      <c r="H853" s="101"/>
      <c r="I853" s="101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  <c r="Y853" s="101"/>
      <c r="Z853" s="101"/>
      <c r="AA853" s="101"/>
      <c r="AB853" s="101"/>
      <c r="AC853" s="101"/>
      <c r="AD853" s="101"/>
      <c r="AE853" s="101"/>
    </row>
    <row r="854" spans="1:31" ht="13.8">
      <c r="A854" s="101"/>
      <c r="B854" s="101"/>
      <c r="C854" s="101"/>
      <c r="D854" s="101"/>
      <c r="E854" s="101"/>
      <c r="F854" s="101"/>
      <c r="G854" s="101"/>
      <c r="H854" s="101"/>
      <c r="I854" s="101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  <c r="Y854" s="101"/>
      <c r="Z854" s="101"/>
      <c r="AA854" s="101"/>
      <c r="AB854" s="101"/>
      <c r="AC854" s="101"/>
      <c r="AD854" s="101"/>
      <c r="AE854" s="101"/>
    </row>
    <row r="855" spans="1:31" ht="13.8">
      <c r="A855" s="101"/>
      <c r="B855" s="101"/>
      <c r="C855" s="101"/>
      <c r="D855" s="101"/>
      <c r="E855" s="101"/>
      <c r="F855" s="101"/>
      <c r="G855" s="101"/>
      <c r="H855" s="101"/>
      <c r="I855" s="101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  <c r="Y855" s="101"/>
      <c r="Z855" s="101"/>
      <c r="AA855" s="101"/>
      <c r="AB855" s="101"/>
      <c r="AC855" s="101"/>
      <c r="AD855" s="101"/>
      <c r="AE855" s="101"/>
    </row>
    <row r="856" spans="1:31" ht="13.8">
      <c r="A856" s="101"/>
      <c r="B856" s="101"/>
      <c r="C856" s="101"/>
      <c r="D856" s="101"/>
      <c r="E856" s="101"/>
      <c r="F856" s="101"/>
      <c r="G856" s="101"/>
      <c r="H856" s="101"/>
      <c r="I856" s="101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  <c r="Y856" s="101"/>
      <c r="Z856" s="101"/>
      <c r="AA856" s="101"/>
      <c r="AB856" s="101"/>
      <c r="AC856" s="101"/>
      <c r="AD856" s="101"/>
      <c r="AE856" s="101"/>
    </row>
    <row r="857" spans="1:31" ht="13.8">
      <c r="A857" s="101"/>
      <c r="B857" s="101"/>
      <c r="C857" s="101"/>
      <c r="D857" s="101"/>
      <c r="E857" s="101"/>
      <c r="F857" s="101"/>
      <c r="G857" s="101"/>
      <c r="H857" s="101"/>
      <c r="I857" s="101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  <c r="Y857" s="101"/>
      <c r="Z857" s="101"/>
      <c r="AA857" s="101"/>
      <c r="AB857" s="101"/>
      <c r="AC857" s="101"/>
      <c r="AD857" s="101"/>
      <c r="AE857" s="101"/>
    </row>
    <row r="858" spans="1:31" ht="13.8">
      <c r="A858" s="101"/>
      <c r="B858" s="101"/>
      <c r="C858" s="101"/>
      <c r="D858" s="101"/>
      <c r="E858" s="101"/>
      <c r="F858" s="101"/>
      <c r="G858" s="101"/>
      <c r="H858" s="101"/>
      <c r="I858" s="101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  <c r="Y858" s="101"/>
      <c r="Z858" s="101"/>
      <c r="AA858" s="101"/>
      <c r="AB858" s="101"/>
      <c r="AC858" s="101"/>
      <c r="AD858" s="101"/>
      <c r="AE858" s="101"/>
    </row>
    <row r="859" spans="1:31" ht="13.8">
      <c r="A859" s="101"/>
      <c r="B859" s="101"/>
      <c r="C859" s="101"/>
      <c r="D859" s="101"/>
      <c r="E859" s="101"/>
      <c r="F859" s="101"/>
      <c r="G859" s="101"/>
      <c r="H859" s="101"/>
      <c r="I859" s="101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  <c r="Y859" s="101"/>
      <c r="Z859" s="101"/>
      <c r="AA859" s="101"/>
      <c r="AB859" s="101"/>
      <c r="AC859" s="101"/>
      <c r="AD859" s="101"/>
      <c r="AE859" s="101"/>
    </row>
    <row r="860" spans="1:31" ht="13.8">
      <c r="A860" s="101"/>
      <c r="B860" s="101"/>
      <c r="C860" s="101"/>
      <c r="D860" s="101"/>
      <c r="E860" s="101"/>
      <c r="F860" s="101"/>
      <c r="G860" s="101"/>
      <c r="H860" s="101"/>
      <c r="I860" s="101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  <c r="Y860" s="101"/>
      <c r="Z860" s="101"/>
      <c r="AA860" s="101"/>
      <c r="AB860" s="101"/>
      <c r="AC860" s="101"/>
      <c r="AD860" s="101"/>
      <c r="AE860" s="101"/>
    </row>
    <row r="861" spans="1:31" ht="13.8">
      <c r="A861" s="101"/>
      <c r="B861" s="101"/>
      <c r="C861" s="101"/>
      <c r="D861" s="101"/>
      <c r="E861" s="101"/>
      <c r="F861" s="101"/>
      <c r="G861" s="101"/>
      <c r="H861" s="101"/>
      <c r="I861" s="101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  <c r="Y861" s="101"/>
      <c r="Z861" s="101"/>
      <c r="AA861" s="101"/>
      <c r="AB861" s="101"/>
      <c r="AC861" s="101"/>
      <c r="AD861" s="101"/>
      <c r="AE861" s="101"/>
    </row>
    <row r="862" spans="1:31" ht="13.8">
      <c r="A862" s="101"/>
      <c r="B862" s="101"/>
      <c r="C862" s="101"/>
      <c r="D862" s="101"/>
      <c r="E862" s="101"/>
      <c r="F862" s="101"/>
      <c r="G862" s="101"/>
      <c r="H862" s="101"/>
      <c r="I862" s="101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  <c r="Y862" s="101"/>
      <c r="Z862" s="101"/>
      <c r="AA862" s="101"/>
      <c r="AB862" s="101"/>
      <c r="AC862" s="101"/>
      <c r="AD862" s="101"/>
      <c r="AE862" s="101"/>
    </row>
    <row r="863" spans="1:31" ht="13.8">
      <c r="A863" s="101"/>
      <c r="B863" s="101"/>
      <c r="C863" s="101"/>
      <c r="D863" s="101"/>
      <c r="E863" s="101"/>
      <c r="F863" s="101"/>
      <c r="G863" s="101"/>
      <c r="H863" s="101"/>
      <c r="I863" s="101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  <c r="Y863" s="101"/>
      <c r="Z863" s="101"/>
      <c r="AA863" s="101"/>
      <c r="AB863" s="101"/>
      <c r="AC863" s="101"/>
      <c r="AD863" s="101"/>
      <c r="AE863" s="101"/>
    </row>
    <row r="864" spans="1:31" ht="13.8">
      <c r="A864" s="101"/>
      <c r="B864" s="101"/>
      <c r="C864" s="101"/>
      <c r="D864" s="101"/>
      <c r="E864" s="101"/>
      <c r="F864" s="101"/>
      <c r="G864" s="101"/>
      <c r="H864" s="101"/>
      <c r="I864" s="101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  <c r="Y864" s="101"/>
      <c r="Z864" s="101"/>
      <c r="AA864" s="101"/>
      <c r="AB864" s="101"/>
      <c r="AC864" s="101"/>
      <c r="AD864" s="101"/>
      <c r="AE864" s="101"/>
    </row>
    <row r="865" spans="1:31" ht="13.8">
      <c r="A865" s="101"/>
      <c r="B865" s="101"/>
      <c r="C865" s="101"/>
      <c r="D865" s="101"/>
      <c r="E865" s="101"/>
      <c r="F865" s="101"/>
      <c r="G865" s="101"/>
      <c r="H865" s="101"/>
      <c r="I865" s="101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  <c r="Y865" s="101"/>
      <c r="Z865" s="101"/>
      <c r="AA865" s="101"/>
      <c r="AB865" s="101"/>
      <c r="AC865" s="101"/>
      <c r="AD865" s="101"/>
      <c r="AE865" s="101"/>
    </row>
    <row r="866" spans="1:31" ht="13.8">
      <c r="A866" s="101"/>
      <c r="B866" s="101"/>
      <c r="C866" s="101"/>
      <c r="D866" s="101"/>
      <c r="E866" s="101"/>
      <c r="F866" s="101"/>
      <c r="G866" s="101"/>
      <c r="H866" s="101"/>
      <c r="I866" s="101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  <c r="Y866" s="101"/>
      <c r="Z866" s="101"/>
      <c r="AA866" s="101"/>
      <c r="AB866" s="101"/>
      <c r="AC866" s="101"/>
      <c r="AD866" s="101"/>
      <c r="AE866" s="101"/>
    </row>
    <row r="867" spans="1:31" ht="13.8">
      <c r="A867" s="101"/>
      <c r="B867" s="101"/>
      <c r="C867" s="101"/>
      <c r="D867" s="101"/>
      <c r="E867" s="101"/>
      <c r="F867" s="101"/>
      <c r="G867" s="101"/>
      <c r="H867" s="101"/>
      <c r="I867" s="101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  <c r="Y867" s="101"/>
      <c r="Z867" s="101"/>
      <c r="AA867" s="101"/>
      <c r="AB867" s="101"/>
      <c r="AC867" s="101"/>
      <c r="AD867" s="101"/>
      <c r="AE867" s="101"/>
    </row>
    <row r="868" spans="1:31" ht="13.8">
      <c r="A868" s="101"/>
      <c r="B868" s="101"/>
      <c r="C868" s="101"/>
      <c r="D868" s="101"/>
      <c r="E868" s="101"/>
      <c r="F868" s="101"/>
      <c r="G868" s="101"/>
      <c r="H868" s="101"/>
      <c r="I868" s="101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  <c r="Y868" s="101"/>
      <c r="Z868" s="101"/>
      <c r="AA868" s="101"/>
      <c r="AB868" s="101"/>
      <c r="AC868" s="101"/>
      <c r="AD868" s="101"/>
      <c r="AE868" s="101"/>
    </row>
    <row r="869" spans="1:31" ht="13.8">
      <c r="A869" s="101"/>
      <c r="B869" s="101"/>
      <c r="C869" s="101"/>
      <c r="D869" s="101"/>
      <c r="E869" s="101"/>
      <c r="F869" s="101"/>
      <c r="G869" s="101"/>
      <c r="H869" s="101"/>
      <c r="I869" s="101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  <c r="Y869" s="101"/>
      <c r="Z869" s="101"/>
      <c r="AA869" s="101"/>
      <c r="AB869" s="101"/>
      <c r="AC869" s="101"/>
      <c r="AD869" s="101"/>
      <c r="AE869" s="101"/>
    </row>
    <row r="870" spans="1:31" ht="13.8">
      <c r="A870" s="101"/>
      <c r="B870" s="101"/>
      <c r="C870" s="101"/>
      <c r="D870" s="101"/>
      <c r="E870" s="101"/>
      <c r="F870" s="101"/>
      <c r="G870" s="101"/>
      <c r="H870" s="101"/>
      <c r="I870" s="101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  <c r="Y870" s="101"/>
      <c r="Z870" s="101"/>
      <c r="AA870" s="101"/>
      <c r="AB870" s="101"/>
      <c r="AC870" s="101"/>
      <c r="AD870" s="101"/>
      <c r="AE870" s="101"/>
    </row>
    <row r="871" spans="1:31" ht="13.8">
      <c r="A871" s="101"/>
      <c r="B871" s="101"/>
      <c r="C871" s="101"/>
      <c r="D871" s="101"/>
      <c r="E871" s="101"/>
      <c r="F871" s="101"/>
      <c r="G871" s="101"/>
      <c r="H871" s="101"/>
      <c r="I871" s="101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  <c r="Y871" s="101"/>
      <c r="Z871" s="101"/>
      <c r="AA871" s="101"/>
      <c r="AB871" s="101"/>
      <c r="AC871" s="101"/>
      <c r="AD871" s="101"/>
      <c r="AE871" s="101"/>
    </row>
    <row r="872" spans="1:31" ht="13.8">
      <c r="A872" s="101"/>
      <c r="B872" s="101"/>
      <c r="C872" s="101"/>
      <c r="D872" s="101"/>
      <c r="E872" s="101"/>
      <c r="F872" s="101"/>
      <c r="G872" s="101"/>
      <c r="H872" s="101"/>
      <c r="I872" s="101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  <c r="Y872" s="101"/>
      <c r="Z872" s="101"/>
      <c r="AA872" s="101"/>
      <c r="AB872" s="101"/>
      <c r="AC872" s="101"/>
      <c r="AD872" s="101"/>
      <c r="AE872" s="101"/>
    </row>
    <row r="873" spans="1:31" ht="13.8">
      <c r="A873" s="101"/>
      <c r="B873" s="101"/>
      <c r="C873" s="101"/>
      <c r="D873" s="101"/>
      <c r="E873" s="101"/>
      <c r="F873" s="101"/>
      <c r="G873" s="101"/>
      <c r="H873" s="101"/>
      <c r="I873" s="101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  <c r="Y873" s="101"/>
      <c r="Z873" s="101"/>
      <c r="AA873" s="101"/>
      <c r="AB873" s="101"/>
      <c r="AC873" s="101"/>
      <c r="AD873" s="101"/>
      <c r="AE873" s="101"/>
    </row>
    <row r="874" spans="1:31" ht="13.8">
      <c r="A874" s="101"/>
      <c r="B874" s="101"/>
      <c r="C874" s="101"/>
      <c r="D874" s="101"/>
      <c r="E874" s="101"/>
      <c r="F874" s="101"/>
      <c r="G874" s="101"/>
      <c r="H874" s="101"/>
      <c r="I874" s="101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  <c r="Y874" s="101"/>
      <c r="Z874" s="101"/>
      <c r="AA874" s="101"/>
      <c r="AB874" s="101"/>
      <c r="AC874" s="101"/>
      <c r="AD874" s="101"/>
      <c r="AE874" s="101"/>
    </row>
    <row r="875" spans="1:31" ht="13.8">
      <c r="A875" s="101"/>
      <c r="B875" s="101"/>
      <c r="C875" s="101"/>
      <c r="D875" s="101"/>
      <c r="E875" s="101"/>
      <c r="F875" s="101"/>
      <c r="G875" s="101"/>
      <c r="H875" s="101"/>
      <c r="I875" s="101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  <c r="Y875" s="101"/>
      <c r="Z875" s="101"/>
      <c r="AA875" s="101"/>
      <c r="AB875" s="101"/>
      <c r="AC875" s="101"/>
      <c r="AD875" s="101"/>
      <c r="AE875" s="101"/>
    </row>
    <row r="876" spans="1:31" ht="13.8">
      <c r="A876" s="101"/>
      <c r="B876" s="101"/>
      <c r="C876" s="101"/>
      <c r="D876" s="101"/>
      <c r="E876" s="101"/>
      <c r="F876" s="101"/>
      <c r="G876" s="101"/>
      <c r="H876" s="101"/>
      <c r="I876" s="101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  <c r="Y876" s="101"/>
      <c r="Z876" s="101"/>
      <c r="AA876" s="101"/>
      <c r="AB876" s="101"/>
      <c r="AC876" s="101"/>
      <c r="AD876" s="101"/>
      <c r="AE876" s="101"/>
    </row>
    <row r="877" spans="1:31" ht="13.8">
      <c r="A877" s="101"/>
      <c r="B877" s="101"/>
      <c r="C877" s="101"/>
      <c r="D877" s="101"/>
      <c r="E877" s="101"/>
      <c r="F877" s="101"/>
      <c r="G877" s="101"/>
      <c r="H877" s="101"/>
      <c r="I877" s="101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  <c r="Y877" s="101"/>
      <c r="Z877" s="101"/>
      <c r="AA877" s="101"/>
      <c r="AB877" s="101"/>
      <c r="AC877" s="101"/>
      <c r="AD877" s="101"/>
      <c r="AE877" s="101"/>
    </row>
    <row r="878" spans="1:31" ht="13.8">
      <c r="A878" s="101"/>
      <c r="B878" s="101"/>
      <c r="C878" s="101"/>
      <c r="D878" s="101"/>
      <c r="E878" s="101"/>
      <c r="F878" s="101"/>
      <c r="G878" s="101"/>
      <c r="H878" s="101"/>
      <c r="I878" s="101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  <c r="Y878" s="101"/>
      <c r="Z878" s="101"/>
      <c r="AA878" s="101"/>
      <c r="AB878" s="101"/>
      <c r="AC878" s="101"/>
      <c r="AD878" s="101"/>
      <c r="AE878" s="101"/>
    </row>
    <row r="879" spans="1:31" ht="13.8">
      <c r="A879" s="101"/>
      <c r="B879" s="101"/>
      <c r="C879" s="101"/>
      <c r="D879" s="101"/>
      <c r="E879" s="101"/>
      <c r="F879" s="101"/>
      <c r="G879" s="101"/>
      <c r="H879" s="101"/>
      <c r="I879" s="101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  <c r="Y879" s="101"/>
      <c r="Z879" s="101"/>
      <c r="AA879" s="101"/>
      <c r="AB879" s="101"/>
      <c r="AC879" s="101"/>
      <c r="AD879" s="101"/>
      <c r="AE879" s="101"/>
    </row>
    <row r="880" spans="1:31" ht="13.8">
      <c r="A880" s="101"/>
      <c r="B880" s="101"/>
      <c r="C880" s="101"/>
      <c r="D880" s="101"/>
      <c r="E880" s="101"/>
      <c r="F880" s="101"/>
      <c r="G880" s="101"/>
      <c r="H880" s="101"/>
      <c r="I880" s="101"/>
      <c r="J880" s="101"/>
      <c r="K880" s="101"/>
      <c r="L880" s="101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  <c r="Y880" s="101"/>
      <c r="Z880" s="101"/>
      <c r="AA880" s="101"/>
      <c r="AB880" s="101"/>
      <c r="AC880" s="101"/>
      <c r="AD880" s="101"/>
      <c r="AE880" s="101"/>
    </row>
    <row r="881" spans="1:31" ht="13.8">
      <c r="A881" s="101"/>
      <c r="B881" s="101"/>
      <c r="C881" s="101"/>
      <c r="D881" s="101"/>
      <c r="E881" s="101"/>
      <c r="F881" s="101"/>
      <c r="G881" s="101"/>
      <c r="H881" s="101"/>
      <c r="I881" s="101"/>
      <c r="J881" s="101"/>
      <c r="K881" s="101"/>
      <c r="L881" s="101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  <c r="Y881" s="101"/>
      <c r="Z881" s="101"/>
      <c r="AA881" s="101"/>
      <c r="AB881" s="101"/>
      <c r="AC881" s="101"/>
      <c r="AD881" s="101"/>
      <c r="AE881" s="101"/>
    </row>
    <row r="882" spans="1:31" ht="13.8">
      <c r="A882" s="101"/>
      <c r="B882" s="101"/>
      <c r="C882" s="101"/>
      <c r="D882" s="101"/>
      <c r="E882" s="101"/>
      <c r="F882" s="101"/>
      <c r="G882" s="101"/>
      <c r="H882" s="101"/>
      <c r="I882" s="101"/>
      <c r="J882" s="101"/>
      <c r="K882" s="101"/>
      <c r="L882" s="101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  <c r="Y882" s="101"/>
      <c r="Z882" s="101"/>
      <c r="AA882" s="101"/>
      <c r="AB882" s="101"/>
      <c r="AC882" s="101"/>
      <c r="AD882" s="101"/>
      <c r="AE882" s="101"/>
    </row>
    <row r="883" spans="1:31" ht="13.8">
      <c r="A883" s="101"/>
      <c r="B883" s="101"/>
      <c r="C883" s="101"/>
      <c r="D883" s="101"/>
      <c r="E883" s="101"/>
      <c r="F883" s="101"/>
      <c r="G883" s="101"/>
      <c r="H883" s="101"/>
      <c r="I883" s="101"/>
      <c r="J883" s="101"/>
      <c r="K883" s="101"/>
      <c r="L883" s="101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  <c r="Y883" s="101"/>
      <c r="Z883" s="101"/>
      <c r="AA883" s="101"/>
      <c r="AB883" s="101"/>
      <c r="AC883" s="101"/>
      <c r="AD883" s="101"/>
      <c r="AE883" s="101"/>
    </row>
    <row r="884" spans="1:31" ht="13.8">
      <c r="A884" s="101"/>
      <c r="B884" s="101"/>
      <c r="C884" s="101"/>
      <c r="D884" s="101"/>
      <c r="E884" s="101"/>
      <c r="F884" s="101"/>
      <c r="G884" s="101"/>
      <c r="H884" s="101"/>
      <c r="I884" s="101"/>
      <c r="J884" s="101"/>
      <c r="K884" s="101"/>
      <c r="L884" s="101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  <c r="Y884" s="101"/>
      <c r="Z884" s="101"/>
      <c r="AA884" s="101"/>
      <c r="AB884" s="101"/>
      <c r="AC884" s="101"/>
      <c r="AD884" s="101"/>
      <c r="AE884" s="101"/>
    </row>
    <row r="885" spans="1:31" ht="13.8">
      <c r="A885" s="101"/>
      <c r="B885" s="101"/>
      <c r="C885" s="101"/>
      <c r="D885" s="101"/>
      <c r="E885" s="101"/>
      <c r="F885" s="101"/>
      <c r="G885" s="101"/>
      <c r="H885" s="101"/>
      <c r="I885" s="101"/>
      <c r="J885" s="101"/>
      <c r="K885" s="101"/>
      <c r="L885" s="101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  <c r="Y885" s="101"/>
      <c r="Z885" s="101"/>
      <c r="AA885" s="101"/>
      <c r="AB885" s="101"/>
      <c r="AC885" s="101"/>
      <c r="AD885" s="101"/>
      <c r="AE885" s="101"/>
    </row>
    <row r="886" spans="1:31" ht="13.8">
      <c r="A886" s="101"/>
      <c r="B886" s="101"/>
      <c r="C886" s="101"/>
      <c r="D886" s="101"/>
      <c r="E886" s="101"/>
      <c r="F886" s="101"/>
      <c r="G886" s="101"/>
      <c r="H886" s="101"/>
      <c r="I886" s="101"/>
      <c r="J886" s="101"/>
      <c r="K886" s="101"/>
      <c r="L886" s="101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  <c r="Y886" s="101"/>
      <c r="Z886" s="101"/>
      <c r="AA886" s="101"/>
      <c r="AB886" s="101"/>
      <c r="AC886" s="101"/>
      <c r="AD886" s="101"/>
      <c r="AE886" s="101"/>
    </row>
    <row r="887" spans="1:31" ht="13.8">
      <c r="A887" s="101"/>
      <c r="B887" s="101"/>
      <c r="C887" s="101"/>
      <c r="D887" s="101"/>
      <c r="E887" s="101"/>
      <c r="F887" s="101"/>
      <c r="G887" s="101"/>
      <c r="H887" s="101"/>
      <c r="I887" s="101"/>
      <c r="J887" s="101"/>
      <c r="K887" s="101"/>
      <c r="L887" s="101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  <c r="Y887" s="101"/>
      <c r="Z887" s="101"/>
      <c r="AA887" s="101"/>
      <c r="AB887" s="101"/>
      <c r="AC887" s="101"/>
      <c r="AD887" s="101"/>
      <c r="AE887" s="101"/>
    </row>
    <row r="888" spans="1:31" ht="13.8">
      <c r="A888" s="101"/>
      <c r="B888" s="101"/>
      <c r="C888" s="101"/>
      <c r="D888" s="101"/>
      <c r="E888" s="101"/>
      <c r="F888" s="101"/>
      <c r="G888" s="101"/>
      <c r="H888" s="101"/>
      <c r="I888" s="101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  <c r="Y888" s="101"/>
      <c r="Z888" s="101"/>
      <c r="AA888" s="101"/>
      <c r="AB888" s="101"/>
      <c r="AC888" s="101"/>
      <c r="AD888" s="101"/>
      <c r="AE888" s="101"/>
    </row>
    <row r="889" spans="1:31" ht="13.8">
      <c r="A889" s="101"/>
      <c r="B889" s="101"/>
      <c r="C889" s="101"/>
      <c r="D889" s="101"/>
      <c r="E889" s="101"/>
      <c r="F889" s="101"/>
      <c r="G889" s="101"/>
      <c r="H889" s="101"/>
      <c r="I889" s="101"/>
      <c r="J889" s="101"/>
      <c r="K889" s="101"/>
      <c r="L889" s="101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  <c r="Y889" s="101"/>
      <c r="Z889" s="101"/>
      <c r="AA889" s="101"/>
      <c r="AB889" s="101"/>
      <c r="AC889" s="101"/>
      <c r="AD889" s="101"/>
      <c r="AE889" s="101"/>
    </row>
    <row r="890" spans="1:31" ht="13.8">
      <c r="A890" s="101"/>
      <c r="B890" s="101"/>
      <c r="C890" s="101"/>
      <c r="D890" s="101"/>
      <c r="E890" s="101"/>
      <c r="F890" s="101"/>
      <c r="G890" s="101"/>
      <c r="H890" s="101"/>
      <c r="I890" s="101"/>
      <c r="J890" s="101"/>
      <c r="K890" s="101"/>
      <c r="L890" s="101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  <c r="Y890" s="101"/>
      <c r="Z890" s="101"/>
      <c r="AA890" s="101"/>
      <c r="AB890" s="101"/>
      <c r="AC890" s="101"/>
      <c r="AD890" s="101"/>
      <c r="AE890" s="101"/>
    </row>
    <row r="891" spans="1:31" ht="13.8">
      <c r="A891" s="101"/>
      <c r="B891" s="101"/>
      <c r="C891" s="101"/>
      <c r="D891" s="101"/>
      <c r="E891" s="101"/>
      <c r="F891" s="101"/>
      <c r="G891" s="101"/>
      <c r="H891" s="101"/>
      <c r="I891" s="101"/>
      <c r="J891" s="101"/>
      <c r="K891" s="101"/>
      <c r="L891" s="101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  <c r="Y891" s="101"/>
      <c r="Z891" s="101"/>
      <c r="AA891" s="101"/>
      <c r="AB891" s="101"/>
      <c r="AC891" s="101"/>
      <c r="AD891" s="101"/>
      <c r="AE891" s="101"/>
    </row>
    <row r="892" spans="1:31" ht="13.8">
      <c r="A892" s="101"/>
      <c r="B892" s="101"/>
      <c r="C892" s="101"/>
      <c r="D892" s="101"/>
      <c r="E892" s="101"/>
      <c r="F892" s="101"/>
      <c r="G892" s="101"/>
      <c r="H892" s="101"/>
      <c r="I892" s="101"/>
      <c r="J892" s="101"/>
      <c r="K892" s="101"/>
      <c r="L892" s="101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  <c r="Y892" s="101"/>
      <c r="Z892" s="101"/>
      <c r="AA892" s="101"/>
      <c r="AB892" s="101"/>
      <c r="AC892" s="101"/>
      <c r="AD892" s="101"/>
      <c r="AE892" s="101"/>
    </row>
    <row r="893" spans="1:31" ht="13.8">
      <c r="A893" s="101"/>
      <c r="B893" s="101"/>
      <c r="C893" s="101"/>
      <c r="D893" s="101"/>
      <c r="E893" s="101"/>
      <c r="F893" s="101"/>
      <c r="G893" s="101"/>
      <c r="H893" s="101"/>
      <c r="I893" s="101"/>
      <c r="J893" s="101"/>
      <c r="K893" s="101"/>
      <c r="L893" s="101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  <c r="Y893" s="101"/>
      <c r="Z893" s="101"/>
      <c r="AA893" s="101"/>
      <c r="AB893" s="101"/>
      <c r="AC893" s="101"/>
      <c r="AD893" s="101"/>
      <c r="AE893" s="101"/>
    </row>
    <row r="894" spans="1:31" ht="13.8">
      <c r="A894" s="101"/>
      <c r="B894" s="101"/>
      <c r="C894" s="101"/>
      <c r="D894" s="101"/>
      <c r="E894" s="101"/>
      <c r="F894" s="101"/>
      <c r="G894" s="101"/>
      <c r="H894" s="101"/>
      <c r="I894" s="101"/>
      <c r="J894" s="101"/>
      <c r="K894" s="101"/>
      <c r="L894" s="101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  <c r="Y894" s="101"/>
      <c r="Z894" s="101"/>
      <c r="AA894" s="101"/>
      <c r="AB894" s="101"/>
      <c r="AC894" s="101"/>
      <c r="AD894" s="101"/>
      <c r="AE894" s="101"/>
    </row>
    <row r="895" spans="1:31" ht="13.8">
      <c r="A895" s="101"/>
      <c r="B895" s="101"/>
      <c r="C895" s="101"/>
      <c r="D895" s="101"/>
      <c r="E895" s="101"/>
      <c r="F895" s="101"/>
      <c r="G895" s="101"/>
      <c r="H895" s="101"/>
      <c r="I895" s="101"/>
      <c r="J895" s="101"/>
      <c r="K895" s="101"/>
      <c r="L895" s="101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  <c r="Y895" s="101"/>
      <c r="Z895" s="101"/>
      <c r="AA895" s="101"/>
      <c r="AB895" s="101"/>
      <c r="AC895" s="101"/>
      <c r="AD895" s="101"/>
      <c r="AE895" s="101"/>
    </row>
    <row r="896" spans="1:31" ht="13.8">
      <c r="A896" s="101"/>
      <c r="B896" s="101"/>
      <c r="C896" s="101"/>
      <c r="D896" s="101"/>
      <c r="E896" s="101"/>
      <c r="F896" s="101"/>
      <c r="G896" s="101"/>
      <c r="H896" s="101"/>
      <c r="I896" s="101"/>
      <c r="J896" s="101"/>
      <c r="K896" s="101"/>
      <c r="L896" s="101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  <c r="Y896" s="101"/>
      <c r="Z896" s="101"/>
      <c r="AA896" s="101"/>
      <c r="AB896" s="101"/>
      <c r="AC896" s="101"/>
      <c r="AD896" s="101"/>
      <c r="AE896" s="101"/>
    </row>
    <row r="897" spans="1:31" ht="13.8">
      <c r="A897" s="101"/>
      <c r="B897" s="101"/>
      <c r="C897" s="101"/>
      <c r="D897" s="101"/>
      <c r="E897" s="101"/>
      <c r="F897" s="101"/>
      <c r="G897" s="101"/>
      <c r="H897" s="101"/>
      <c r="I897" s="101"/>
      <c r="J897" s="101"/>
      <c r="K897" s="101"/>
      <c r="L897" s="101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  <c r="Y897" s="101"/>
      <c r="Z897" s="101"/>
      <c r="AA897" s="101"/>
      <c r="AB897" s="101"/>
      <c r="AC897" s="101"/>
      <c r="AD897" s="101"/>
      <c r="AE897" s="101"/>
    </row>
    <row r="898" spans="1:31" ht="13.8">
      <c r="A898" s="101"/>
      <c r="B898" s="101"/>
      <c r="C898" s="101"/>
      <c r="D898" s="101"/>
      <c r="E898" s="101"/>
      <c r="F898" s="101"/>
      <c r="G898" s="101"/>
      <c r="H898" s="101"/>
      <c r="I898" s="101"/>
      <c r="J898" s="101"/>
      <c r="K898" s="101"/>
      <c r="L898" s="101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  <c r="Y898" s="101"/>
      <c r="Z898" s="101"/>
      <c r="AA898" s="101"/>
      <c r="AB898" s="101"/>
      <c r="AC898" s="101"/>
      <c r="AD898" s="101"/>
      <c r="AE898" s="101"/>
    </row>
    <row r="899" spans="1:31" ht="13.8">
      <c r="A899" s="101"/>
      <c r="B899" s="101"/>
      <c r="C899" s="101"/>
      <c r="D899" s="101"/>
      <c r="E899" s="101"/>
      <c r="F899" s="101"/>
      <c r="G899" s="101"/>
      <c r="H899" s="101"/>
      <c r="I899" s="101"/>
      <c r="J899" s="101"/>
      <c r="K899" s="101"/>
      <c r="L899" s="101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  <c r="Y899" s="101"/>
      <c r="Z899" s="101"/>
      <c r="AA899" s="101"/>
      <c r="AB899" s="101"/>
      <c r="AC899" s="101"/>
      <c r="AD899" s="101"/>
      <c r="AE899" s="101"/>
    </row>
    <row r="900" spans="1:31" ht="13.8">
      <c r="A900" s="101"/>
      <c r="B900" s="101"/>
      <c r="C900" s="101"/>
      <c r="D900" s="101"/>
      <c r="E900" s="101"/>
      <c r="F900" s="101"/>
      <c r="G900" s="101"/>
      <c r="H900" s="101"/>
      <c r="I900" s="101"/>
      <c r="J900" s="101"/>
      <c r="K900" s="101"/>
      <c r="L900" s="101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  <c r="Y900" s="101"/>
      <c r="Z900" s="101"/>
      <c r="AA900" s="101"/>
      <c r="AB900" s="101"/>
      <c r="AC900" s="101"/>
      <c r="AD900" s="101"/>
      <c r="AE900" s="101"/>
    </row>
    <row r="901" spans="1:31" ht="13.8">
      <c r="A901" s="101"/>
      <c r="B901" s="101"/>
      <c r="C901" s="101"/>
      <c r="D901" s="101"/>
      <c r="E901" s="101"/>
      <c r="F901" s="101"/>
      <c r="G901" s="101"/>
      <c r="H901" s="101"/>
      <c r="I901" s="101"/>
      <c r="J901" s="101"/>
      <c r="K901" s="101"/>
      <c r="L901" s="101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  <c r="Y901" s="101"/>
      <c r="Z901" s="101"/>
      <c r="AA901" s="101"/>
      <c r="AB901" s="101"/>
      <c r="AC901" s="101"/>
      <c r="AD901" s="101"/>
      <c r="AE901" s="101"/>
    </row>
    <row r="902" spans="1:31" ht="13.8">
      <c r="A902" s="101"/>
      <c r="B902" s="101"/>
      <c r="C902" s="101"/>
      <c r="D902" s="101"/>
      <c r="E902" s="101"/>
      <c r="F902" s="101"/>
      <c r="G902" s="101"/>
      <c r="H902" s="101"/>
      <c r="I902" s="101"/>
      <c r="J902" s="101"/>
      <c r="K902" s="101"/>
      <c r="L902" s="101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  <c r="Y902" s="101"/>
      <c r="Z902" s="101"/>
      <c r="AA902" s="101"/>
      <c r="AB902" s="101"/>
      <c r="AC902" s="101"/>
      <c r="AD902" s="101"/>
      <c r="AE902" s="101"/>
    </row>
    <row r="903" spans="1:31" ht="13.8">
      <c r="A903" s="101"/>
      <c r="B903" s="101"/>
      <c r="C903" s="101"/>
      <c r="D903" s="101"/>
      <c r="E903" s="101"/>
      <c r="F903" s="101"/>
      <c r="G903" s="101"/>
      <c r="H903" s="101"/>
      <c r="I903" s="101"/>
      <c r="J903" s="101"/>
      <c r="K903" s="101"/>
      <c r="L903" s="101"/>
      <c r="M903" s="101"/>
      <c r="N903" s="101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  <c r="Y903" s="101"/>
      <c r="Z903" s="101"/>
      <c r="AA903" s="101"/>
      <c r="AB903" s="101"/>
      <c r="AC903" s="101"/>
      <c r="AD903" s="101"/>
      <c r="AE903" s="101"/>
    </row>
    <row r="904" spans="1:31" ht="13.8">
      <c r="A904" s="101"/>
      <c r="B904" s="101"/>
      <c r="C904" s="101"/>
      <c r="D904" s="101"/>
      <c r="E904" s="101"/>
      <c r="F904" s="101"/>
      <c r="G904" s="101"/>
      <c r="H904" s="101"/>
      <c r="I904" s="101"/>
      <c r="J904" s="101"/>
      <c r="K904" s="101"/>
      <c r="L904" s="101"/>
      <c r="M904" s="101"/>
      <c r="N904" s="101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  <c r="Y904" s="101"/>
      <c r="Z904" s="101"/>
      <c r="AA904" s="101"/>
      <c r="AB904" s="101"/>
      <c r="AC904" s="101"/>
      <c r="AD904" s="101"/>
      <c r="AE904" s="101"/>
    </row>
    <row r="905" spans="1:31" ht="13.8">
      <c r="A905" s="101"/>
      <c r="B905" s="101"/>
      <c r="C905" s="101"/>
      <c r="D905" s="101"/>
      <c r="E905" s="101"/>
      <c r="F905" s="101"/>
      <c r="G905" s="101"/>
      <c r="H905" s="101"/>
      <c r="I905" s="101"/>
      <c r="J905" s="101"/>
      <c r="K905" s="101"/>
      <c r="L905" s="101"/>
      <c r="M905" s="101"/>
      <c r="N905" s="101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  <c r="Y905" s="101"/>
      <c r="Z905" s="101"/>
      <c r="AA905" s="101"/>
      <c r="AB905" s="101"/>
      <c r="AC905" s="101"/>
      <c r="AD905" s="101"/>
      <c r="AE905" s="101"/>
    </row>
    <row r="906" spans="1:31" ht="13.8">
      <c r="A906" s="101"/>
      <c r="B906" s="101"/>
      <c r="C906" s="101"/>
      <c r="D906" s="101"/>
      <c r="E906" s="101"/>
      <c r="F906" s="101"/>
      <c r="G906" s="101"/>
      <c r="H906" s="101"/>
      <c r="I906" s="101"/>
      <c r="J906" s="101"/>
      <c r="K906" s="101"/>
      <c r="L906" s="101"/>
      <c r="M906" s="101"/>
      <c r="N906" s="101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  <c r="Y906" s="101"/>
      <c r="Z906" s="101"/>
      <c r="AA906" s="101"/>
      <c r="AB906" s="101"/>
      <c r="AC906" s="101"/>
      <c r="AD906" s="101"/>
      <c r="AE906" s="101"/>
    </row>
    <row r="907" spans="1:31" ht="13.8">
      <c r="A907" s="101"/>
      <c r="B907" s="101"/>
      <c r="C907" s="101"/>
      <c r="D907" s="101"/>
      <c r="E907" s="101"/>
      <c r="F907" s="101"/>
      <c r="G907" s="101"/>
      <c r="H907" s="101"/>
      <c r="I907" s="101"/>
      <c r="J907" s="101"/>
      <c r="K907" s="101"/>
      <c r="L907" s="101"/>
      <c r="M907" s="101"/>
      <c r="N907" s="101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  <c r="Y907" s="101"/>
      <c r="Z907" s="101"/>
      <c r="AA907" s="101"/>
      <c r="AB907" s="101"/>
      <c r="AC907" s="101"/>
      <c r="AD907" s="101"/>
      <c r="AE907" s="101"/>
    </row>
    <row r="908" spans="1:31" ht="13.8">
      <c r="A908" s="101"/>
      <c r="B908" s="101"/>
      <c r="C908" s="101"/>
      <c r="D908" s="101"/>
      <c r="E908" s="101"/>
      <c r="F908" s="101"/>
      <c r="G908" s="101"/>
      <c r="H908" s="101"/>
      <c r="I908" s="101"/>
      <c r="J908" s="101"/>
      <c r="K908" s="101"/>
      <c r="L908" s="101"/>
      <c r="M908" s="101"/>
      <c r="N908" s="101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  <c r="Y908" s="101"/>
      <c r="Z908" s="101"/>
      <c r="AA908" s="101"/>
      <c r="AB908" s="101"/>
      <c r="AC908" s="101"/>
      <c r="AD908" s="101"/>
      <c r="AE908" s="101"/>
    </row>
    <row r="909" spans="1:31" ht="13.8">
      <c r="A909" s="101"/>
      <c r="B909" s="101"/>
      <c r="C909" s="101"/>
      <c r="D909" s="101"/>
      <c r="E909" s="101"/>
      <c r="F909" s="101"/>
      <c r="G909" s="101"/>
      <c r="H909" s="101"/>
      <c r="I909" s="101"/>
      <c r="J909" s="101"/>
      <c r="K909" s="101"/>
      <c r="L909" s="101"/>
      <c r="M909" s="101"/>
      <c r="N909" s="101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  <c r="Y909" s="101"/>
      <c r="Z909" s="101"/>
      <c r="AA909" s="101"/>
      <c r="AB909" s="101"/>
      <c r="AC909" s="101"/>
      <c r="AD909" s="101"/>
      <c r="AE909" s="101"/>
    </row>
    <row r="910" spans="1:31" ht="13.8">
      <c r="A910" s="101"/>
      <c r="B910" s="101"/>
      <c r="C910" s="101"/>
      <c r="D910" s="101"/>
      <c r="E910" s="101"/>
      <c r="F910" s="101"/>
      <c r="G910" s="101"/>
      <c r="H910" s="101"/>
      <c r="I910" s="101"/>
      <c r="J910" s="101"/>
      <c r="K910" s="101"/>
      <c r="L910" s="101"/>
      <c r="M910" s="101"/>
      <c r="N910" s="101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  <c r="Y910" s="101"/>
      <c r="Z910" s="101"/>
      <c r="AA910" s="101"/>
      <c r="AB910" s="101"/>
      <c r="AC910" s="101"/>
      <c r="AD910" s="101"/>
      <c r="AE910" s="101"/>
    </row>
    <row r="911" spans="1:31" ht="13.8">
      <c r="A911" s="101"/>
      <c r="B911" s="101"/>
      <c r="C911" s="101"/>
      <c r="D911" s="101"/>
      <c r="E911" s="101"/>
      <c r="F911" s="101"/>
      <c r="G911" s="101"/>
      <c r="H911" s="101"/>
      <c r="I911" s="101"/>
      <c r="J911" s="101"/>
      <c r="K911" s="101"/>
      <c r="L911" s="101"/>
      <c r="M911" s="101"/>
      <c r="N911" s="101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  <c r="Y911" s="101"/>
      <c r="Z911" s="101"/>
      <c r="AA911" s="101"/>
      <c r="AB911" s="101"/>
      <c r="AC911" s="101"/>
      <c r="AD911" s="101"/>
      <c r="AE911" s="101"/>
    </row>
    <row r="912" spans="1:31" ht="13.8">
      <c r="A912" s="101"/>
      <c r="B912" s="101"/>
      <c r="C912" s="101"/>
      <c r="D912" s="101"/>
      <c r="E912" s="101"/>
      <c r="F912" s="101"/>
      <c r="G912" s="101"/>
      <c r="H912" s="101"/>
      <c r="I912" s="101"/>
      <c r="J912" s="101"/>
      <c r="K912" s="101"/>
      <c r="L912" s="101"/>
      <c r="M912" s="101"/>
      <c r="N912" s="101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  <c r="Y912" s="101"/>
      <c r="Z912" s="101"/>
      <c r="AA912" s="101"/>
      <c r="AB912" s="101"/>
      <c r="AC912" s="101"/>
      <c r="AD912" s="101"/>
      <c r="AE912" s="101"/>
    </row>
    <row r="913" spans="1:31" ht="13.8">
      <c r="A913" s="101"/>
      <c r="B913" s="101"/>
      <c r="C913" s="101"/>
      <c r="D913" s="101"/>
      <c r="E913" s="101"/>
      <c r="F913" s="101"/>
      <c r="G913" s="101"/>
      <c r="H913" s="101"/>
      <c r="I913" s="101"/>
      <c r="J913" s="101"/>
      <c r="K913" s="101"/>
      <c r="L913" s="101"/>
      <c r="M913" s="101"/>
      <c r="N913" s="101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  <c r="Y913" s="101"/>
      <c r="Z913" s="101"/>
      <c r="AA913" s="101"/>
      <c r="AB913" s="101"/>
      <c r="AC913" s="101"/>
      <c r="AD913" s="101"/>
      <c r="AE913" s="101"/>
    </row>
    <row r="914" spans="1:31" ht="13.8">
      <c r="A914" s="101"/>
      <c r="B914" s="101"/>
      <c r="C914" s="101"/>
      <c r="D914" s="101"/>
      <c r="E914" s="101"/>
      <c r="F914" s="101"/>
      <c r="G914" s="101"/>
      <c r="H914" s="101"/>
      <c r="I914" s="101"/>
      <c r="J914" s="101"/>
      <c r="K914" s="101"/>
      <c r="L914" s="101"/>
      <c r="M914" s="101"/>
      <c r="N914" s="101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  <c r="Y914" s="101"/>
      <c r="Z914" s="101"/>
      <c r="AA914" s="101"/>
      <c r="AB914" s="101"/>
      <c r="AC914" s="101"/>
      <c r="AD914" s="101"/>
      <c r="AE914" s="101"/>
    </row>
    <row r="915" spans="1:31" ht="13.8">
      <c r="A915" s="101"/>
      <c r="B915" s="101"/>
      <c r="C915" s="101"/>
      <c r="D915" s="101"/>
      <c r="E915" s="101"/>
      <c r="F915" s="101"/>
      <c r="G915" s="101"/>
      <c r="H915" s="101"/>
      <c r="I915" s="101"/>
      <c r="J915" s="101"/>
      <c r="K915" s="101"/>
      <c r="L915" s="101"/>
      <c r="M915" s="101"/>
      <c r="N915" s="101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  <c r="Y915" s="101"/>
      <c r="Z915" s="101"/>
      <c r="AA915" s="101"/>
      <c r="AB915" s="101"/>
      <c r="AC915" s="101"/>
      <c r="AD915" s="101"/>
      <c r="AE915" s="101"/>
    </row>
    <row r="916" spans="1:31" ht="13.8">
      <c r="A916" s="101"/>
      <c r="B916" s="101"/>
      <c r="C916" s="101"/>
      <c r="D916" s="101"/>
      <c r="E916" s="101"/>
      <c r="F916" s="101"/>
      <c r="G916" s="101"/>
      <c r="H916" s="101"/>
      <c r="I916" s="101"/>
      <c r="J916" s="101"/>
      <c r="K916" s="101"/>
      <c r="L916" s="101"/>
      <c r="M916" s="101"/>
      <c r="N916" s="101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  <c r="Y916" s="101"/>
      <c r="Z916" s="101"/>
      <c r="AA916" s="101"/>
      <c r="AB916" s="101"/>
      <c r="AC916" s="101"/>
      <c r="AD916" s="101"/>
      <c r="AE916" s="101"/>
    </row>
    <row r="917" spans="1:31" ht="13.8">
      <c r="A917" s="101"/>
      <c r="B917" s="101"/>
      <c r="C917" s="101"/>
      <c r="D917" s="101"/>
      <c r="E917" s="101"/>
      <c r="F917" s="101"/>
      <c r="G917" s="101"/>
      <c r="H917" s="101"/>
      <c r="I917" s="101"/>
      <c r="J917" s="101"/>
      <c r="K917" s="101"/>
      <c r="L917" s="101"/>
      <c r="M917" s="101"/>
      <c r="N917" s="101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  <c r="Y917" s="101"/>
      <c r="Z917" s="101"/>
      <c r="AA917" s="101"/>
      <c r="AB917" s="101"/>
      <c r="AC917" s="101"/>
      <c r="AD917" s="101"/>
      <c r="AE917" s="101"/>
    </row>
    <row r="918" spans="1:31" ht="13.8">
      <c r="A918" s="101"/>
      <c r="B918" s="101"/>
      <c r="C918" s="101"/>
      <c r="D918" s="101"/>
      <c r="E918" s="101"/>
      <c r="F918" s="101"/>
      <c r="G918" s="101"/>
      <c r="H918" s="101"/>
      <c r="I918" s="101"/>
      <c r="J918" s="101"/>
      <c r="K918" s="101"/>
      <c r="L918" s="101"/>
      <c r="M918" s="101"/>
      <c r="N918" s="101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  <c r="Y918" s="101"/>
      <c r="Z918" s="101"/>
      <c r="AA918" s="101"/>
      <c r="AB918" s="101"/>
      <c r="AC918" s="101"/>
      <c r="AD918" s="101"/>
      <c r="AE918" s="101"/>
    </row>
    <row r="919" spans="1:31" ht="13.8">
      <c r="A919" s="101"/>
      <c r="B919" s="101"/>
      <c r="C919" s="101"/>
      <c r="D919" s="101"/>
      <c r="E919" s="101"/>
      <c r="F919" s="101"/>
      <c r="G919" s="101"/>
      <c r="H919" s="101"/>
      <c r="I919" s="101"/>
      <c r="J919" s="101"/>
      <c r="K919" s="101"/>
      <c r="L919" s="101"/>
      <c r="M919" s="101"/>
      <c r="N919" s="101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  <c r="Y919" s="101"/>
      <c r="Z919" s="101"/>
      <c r="AA919" s="101"/>
      <c r="AB919" s="101"/>
      <c r="AC919" s="101"/>
      <c r="AD919" s="101"/>
      <c r="AE919" s="101"/>
    </row>
    <row r="920" spans="1:31" ht="13.8">
      <c r="A920" s="101"/>
      <c r="B920" s="101"/>
      <c r="C920" s="101"/>
      <c r="D920" s="101"/>
      <c r="E920" s="101"/>
      <c r="F920" s="101"/>
      <c r="G920" s="101"/>
      <c r="H920" s="101"/>
      <c r="I920" s="101"/>
      <c r="J920" s="101"/>
      <c r="K920" s="101"/>
      <c r="L920" s="101"/>
      <c r="M920" s="101"/>
      <c r="N920" s="101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  <c r="Y920" s="101"/>
      <c r="Z920" s="101"/>
      <c r="AA920" s="101"/>
      <c r="AB920" s="101"/>
      <c r="AC920" s="101"/>
      <c r="AD920" s="101"/>
      <c r="AE920" s="101"/>
    </row>
    <row r="921" spans="1:31" ht="13.8">
      <c r="A921" s="101"/>
      <c r="B921" s="101"/>
      <c r="C921" s="101"/>
      <c r="D921" s="101"/>
      <c r="E921" s="101"/>
      <c r="F921" s="101"/>
      <c r="G921" s="101"/>
      <c r="H921" s="101"/>
      <c r="I921" s="101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  <c r="Y921" s="101"/>
      <c r="Z921" s="101"/>
      <c r="AA921" s="101"/>
      <c r="AB921" s="101"/>
      <c r="AC921" s="101"/>
      <c r="AD921" s="101"/>
      <c r="AE921" s="101"/>
    </row>
    <row r="922" spans="1:31" ht="13.8">
      <c r="A922" s="101"/>
      <c r="B922" s="101"/>
      <c r="C922" s="101"/>
      <c r="D922" s="101"/>
      <c r="E922" s="101"/>
      <c r="F922" s="101"/>
      <c r="G922" s="101"/>
      <c r="H922" s="101"/>
      <c r="I922" s="101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  <c r="Y922" s="101"/>
      <c r="Z922" s="101"/>
      <c r="AA922" s="101"/>
      <c r="AB922" s="101"/>
      <c r="AC922" s="101"/>
      <c r="AD922" s="101"/>
      <c r="AE922" s="101"/>
    </row>
    <row r="923" spans="1:31" ht="13.8">
      <c r="A923" s="101"/>
      <c r="B923" s="101"/>
      <c r="C923" s="101"/>
      <c r="D923" s="101"/>
      <c r="E923" s="101"/>
      <c r="F923" s="101"/>
      <c r="G923" s="101"/>
      <c r="H923" s="101"/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01"/>
      <c r="Z923" s="101"/>
      <c r="AA923" s="101"/>
      <c r="AB923" s="101"/>
      <c r="AC923" s="101"/>
      <c r="AD923" s="101"/>
      <c r="AE923" s="101"/>
    </row>
    <row r="924" spans="1:31" ht="13.8">
      <c r="A924" s="101"/>
      <c r="B924" s="101"/>
      <c r="C924" s="101"/>
      <c r="D924" s="101"/>
      <c r="E924" s="101"/>
      <c r="F924" s="101"/>
      <c r="G924" s="101"/>
      <c r="H924" s="101"/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01"/>
      <c r="Z924" s="101"/>
      <c r="AA924" s="101"/>
      <c r="AB924" s="101"/>
      <c r="AC924" s="101"/>
      <c r="AD924" s="101"/>
      <c r="AE924" s="101"/>
    </row>
    <row r="925" spans="1:31" ht="13.8">
      <c r="A925" s="101"/>
      <c r="B925" s="101"/>
      <c r="C925" s="101"/>
      <c r="D925" s="101"/>
      <c r="E925" s="101"/>
      <c r="F925" s="101"/>
      <c r="G925" s="101"/>
      <c r="H925" s="101"/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01"/>
      <c r="Z925" s="101"/>
      <c r="AA925" s="101"/>
      <c r="AB925" s="101"/>
      <c r="AC925" s="101"/>
      <c r="AD925" s="101"/>
      <c r="AE925" s="101"/>
    </row>
    <row r="926" spans="1:31" ht="13.8">
      <c r="A926" s="101"/>
      <c r="B926" s="101"/>
      <c r="C926" s="101"/>
      <c r="D926" s="101"/>
      <c r="E926" s="101"/>
      <c r="F926" s="101"/>
      <c r="G926" s="101"/>
      <c r="H926" s="101"/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01"/>
      <c r="Z926" s="101"/>
      <c r="AA926" s="101"/>
      <c r="AB926" s="101"/>
      <c r="AC926" s="101"/>
      <c r="AD926" s="101"/>
      <c r="AE926" s="101"/>
    </row>
    <row r="927" spans="1:31" ht="13.8">
      <c r="A927" s="101"/>
      <c r="B927" s="101"/>
      <c r="C927" s="101"/>
      <c r="D927" s="101"/>
      <c r="E927" s="101"/>
      <c r="F927" s="101"/>
      <c r="G927" s="101"/>
      <c r="H927" s="101"/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01"/>
      <c r="Z927" s="101"/>
      <c r="AA927" s="101"/>
      <c r="AB927" s="101"/>
      <c r="AC927" s="101"/>
      <c r="AD927" s="101"/>
      <c r="AE927" s="101"/>
    </row>
    <row r="928" spans="1:31" ht="13.8">
      <c r="A928" s="101"/>
      <c r="B928" s="101"/>
      <c r="C928" s="101"/>
      <c r="D928" s="101"/>
      <c r="E928" s="101"/>
      <c r="F928" s="101"/>
      <c r="G928" s="101"/>
      <c r="H928" s="101"/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01"/>
      <c r="Z928" s="101"/>
      <c r="AA928" s="101"/>
      <c r="AB928" s="101"/>
      <c r="AC928" s="101"/>
      <c r="AD928" s="101"/>
      <c r="AE928" s="101"/>
    </row>
    <row r="929" spans="1:31" ht="13.8">
      <c r="A929" s="101"/>
      <c r="B929" s="101"/>
      <c r="C929" s="101"/>
      <c r="D929" s="101"/>
      <c r="E929" s="101"/>
      <c r="F929" s="101"/>
      <c r="G929" s="101"/>
      <c r="H929" s="101"/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01"/>
      <c r="Z929" s="101"/>
      <c r="AA929" s="101"/>
      <c r="AB929" s="101"/>
      <c r="AC929" s="101"/>
      <c r="AD929" s="101"/>
      <c r="AE929" s="101"/>
    </row>
    <row r="930" spans="1:31" ht="13.8">
      <c r="A930" s="101"/>
      <c r="B930" s="101"/>
      <c r="C930" s="101"/>
      <c r="D930" s="101"/>
      <c r="E930" s="101"/>
      <c r="F930" s="101"/>
      <c r="G930" s="101"/>
      <c r="H930" s="101"/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01"/>
      <c r="Z930" s="101"/>
      <c r="AA930" s="101"/>
      <c r="AB930" s="101"/>
      <c r="AC930" s="101"/>
      <c r="AD930" s="101"/>
      <c r="AE930" s="101"/>
    </row>
    <row r="931" spans="1:31" ht="13.8">
      <c r="A931" s="101"/>
      <c r="B931" s="101"/>
      <c r="C931" s="101"/>
      <c r="D931" s="101"/>
      <c r="E931" s="101"/>
      <c r="F931" s="101"/>
      <c r="G931" s="101"/>
      <c r="H931" s="101"/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01"/>
      <c r="Z931" s="101"/>
      <c r="AA931" s="101"/>
      <c r="AB931" s="101"/>
      <c r="AC931" s="101"/>
      <c r="AD931" s="101"/>
      <c r="AE931" s="101"/>
    </row>
    <row r="932" spans="1:31" ht="13.8">
      <c r="A932" s="101"/>
      <c r="B932" s="101"/>
      <c r="C932" s="101"/>
      <c r="D932" s="101"/>
      <c r="E932" s="101"/>
      <c r="F932" s="101"/>
      <c r="G932" s="101"/>
      <c r="H932" s="101"/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01"/>
      <c r="Z932" s="101"/>
      <c r="AA932" s="101"/>
      <c r="AB932" s="101"/>
      <c r="AC932" s="101"/>
      <c r="AD932" s="101"/>
      <c r="AE932" s="101"/>
    </row>
    <row r="933" spans="1:31" ht="13.8">
      <c r="A933" s="101"/>
      <c r="B933" s="101"/>
      <c r="C933" s="101"/>
      <c r="D933" s="101"/>
      <c r="E933" s="101"/>
      <c r="F933" s="101"/>
      <c r="G933" s="101"/>
      <c r="H933" s="101"/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01"/>
      <c r="Z933" s="101"/>
      <c r="AA933" s="101"/>
      <c r="AB933" s="101"/>
      <c r="AC933" s="101"/>
      <c r="AD933" s="101"/>
      <c r="AE933" s="101"/>
    </row>
    <row r="934" spans="1:31" ht="13.8">
      <c r="A934" s="101"/>
      <c r="B934" s="101"/>
      <c r="C934" s="101"/>
      <c r="D934" s="101"/>
      <c r="E934" s="101"/>
      <c r="F934" s="101"/>
      <c r="G934" s="101"/>
      <c r="H934" s="101"/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01"/>
      <c r="Z934" s="101"/>
      <c r="AA934" s="101"/>
      <c r="AB934" s="101"/>
      <c r="AC934" s="101"/>
      <c r="AD934" s="101"/>
      <c r="AE934" s="101"/>
    </row>
    <row r="935" spans="1:31" ht="13.8">
      <c r="A935" s="101"/>
      <c r="B935" s="101"/>
      <c r="C935" s="101"/>
      <c r="D935" s="101"/>
      <c r="E935" s="101"/>
      <c r="F935" s="101"/>
      <c r="G935" s="101"/>
      <c r="H935" s="101"/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01"/>
      <c r="Z935" s="101"/>
      <c r="AA935" s="101"/>
      <c r="AB935" s="101"/>
      <c r="AC935" s="101"/>
      <c r="AD935" s="101"/>
      <c r="AE935" s="101"/>
    </row>
    <row r="936" spans="1:31" ht="13.8">
      <c r="A936" s="101"/>
      <c r="B936" s="101"/>
      <c r="C936" s="101"/>
      <c r="D936" s="101"/>
      <c r="E936" s="101"/>
      <c r="F936" s="101"/>
      <c r="G936" s="101"/>
      <c r="H936" s="101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01"/>
      <c r="Z936" s="101"/>
      <c r="AA936" s="101"/>
      <c r="AB936" s="101"/>
      <c r="AC936" s="101"/>
      <c r="AD936" s="101"/>
      <c r="AE936" s="101"/>
    </row>
    <row r="937" spans="1:31" ht="13.8">
      <c r="A937" s="101"/>
      <c r="B937" s="101"/>
      <c r="C937" s="101"/>
      <c r="D937" s="101"/>
      <c r="E937" s="101"/>
      <c r="F937" s="101"/>
      <c r="G937" s="101"/>
      <c r="H937" s="101"/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  <c r="Y937" s="101"/>
      <c r="Z937" s="101"/>
      <c r="AA937" s="101"/>
      <c r="AB937" s="101"/>
      <c r="AC937" s="101"/>
      <c r="AD937" s="101"/>
      <c r="AE937" s="101"/>
    </row>
    <row r="938" spans="1:31" ht="13.8">
      <c r="A938" s="101"/>
      <c r="B938" s="101"/>
      <c r="C938" s="101"/>
      <c r="D938" s="101"/>
      <c r="E938" s="101"/>
      <c r="F938" s="101"/>
      <c r="G938" s="101"/>
      <c r="H938" s="101"/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  <c r="Y938" s="101"/>
      <c r="Z938" s="101"/>
      <c r="AA938" s="101"/>
      <c r="AB938" s="101"/>
      <c r="AC938" s="101"/>
      <c r="AD938" s="101"/>
      <c r="AE938" s="101"/>
    </row>
    <row r="939" spans="1:31" ht="13.8">
      <c r="A939" s="101"/>
      <c r="B939" s="101"/>
      <c r="C939" s="101"/>
      <c r="D939" s="101"/>
      <c r="E939" s="101"/>
      <c r="F939" s="101"/>
      <c r="G939" s="101"/>
      <c r="H939" s="101"/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  <c r="Y939" s="101"/>
      <c r="Z939" s="101"/>
      <c r="AA939" s="101"/>
      <c r="AB939" s="101"/>
      <c r="AC939" s="101"/>
      <c r="AD939" s="101"/>
      <c r="AE939" s="101"/>
    </row>
    <row r="940" spans="1:31" ht="13.8">
      <c r="A940" s="101"/>
      <c r="B940" s="101"/>
      <c r="C940" s="101"/>
      <c r="D940" s="101"/>
      <c r="E940" s="101"/>
      <c r="F940" s="101"/>
      <c r="G940" s="101"/>
      <c r="H940" s="101"/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  <c r="Y940" s="101"/>
      <c r="Z940" s="101"/>
      <c r="AA940" s="101"/>
      <c r="AB940" s="101"/>
      <c r="AC940" s="101"/>
      <c r="AD940" s="101"/>
      <c r="AE940" s="101"/>
    </row>
    <row r="941" spans="1:31" ht="13.8">
      <c r="A941" s="101"/>
      <c r="B941" s="101"/>
      <c r="C941" s="101"/>
      <c r="D941" s="101"/>
      <c r="E941" s="101"/>
      <c r="F941" s="101"/>
      <c r="G941" s="101"/>
      <c r="H941" s="101"/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  <c r="Y941" s="101"/>
      <c r="Z941" s="101"/>
      <c r="AA941" s="101"/>
      <c r="AB941" s="101"/>
      <c r="AC941" s="101"/>
      <c r="AD941" s="101"/>
      <c r="AE941" s="101"/>
    </row>
    <row r="942" spans="1:31" ht="13.8">
      <c r="A942" s="101"/>
      <c r="B942" s="101"/>
      <c r="C942" s="101"/>
      <c r="D942" s="101"/>
      <c r="E942" s="101"/>
      <c r="F942" s="101"/>
      <c r="G942" s="101"/>
      <c r="H942" s="101"/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  <c r="Y942" s="101"/>
      <c r="Z942" s="101"/>
      <c r="AA942" s="101"/>
      <c r="AB942" s="101"/>
      <c r="AC942" s="101"/>
      <c r="AD942" s="101"/>
      <c r="AE942" s="101"/>
    </row>
    <row r="943" spans="1:31" ht="13.8">
      <c r="A943" s="101"/>
      <c r="B943" s="101"/>
      <c r="C943" s="101"/>
      <c r="D943" s="101"/>
      <c r="E943" s="101"/>
      <c r="F943" s="101"/>
      <c r="G943" s="101"/>
      <c r="H943" s="101"/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  <c r="Y943" s="101"/>
      <c r="Z943" s="101"/>
      <c r="AA943" s="101"/>
      <c r="AB943" s="101"/>
      <c r="AC943" s="101"/>
      <c r="AD943" s="101"/>
      <c r="AE943" s="101"/>
    </row>
    <row r="944" spans="1:31" ht="13.8">
      <c r="A944" s="101"/>
      <c r="B944" s="101"/>
      <c r="C944" s="101"/>
      <c r="D944" s="101"/>
      <c r="E944" s="101"/>
      <c r="F944" s="101"/>
      <c r="G944" s="101"/>
      <c r="H944" s="101"/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  <c r="Y944" s="101"/>
      <c r="Z944" s="101"/>
      <c r="AA944" s="101"/>
      <c r="AB944" s="101"/>
      <c r="AC944" s="101"/>
      <c r="AD944" s="101"/>
      <c r="AE944" s="101"/>
    </row>
    <row r="945" spans="1:31" ht="13.8">
      <c r="A945" s="101"/>
      <c r="B945" s="101"/>
      <c r="C945" s="101"/>
      <c r="D945" s="101"/>
      <c r="E945" s="101"/>
      <c r="F945" s="101"/>
      <c r="G945" s="101"/>
      <c r="H945" s="101"/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  <c r="Y945" s="101"/>
      <c r="Z945" s="101"/>
      <c r="AA945" s="101"/>
      <c r="AB945" s="101"/>
      <c r="AC945" s="101"/>
      <c r="AD945" s="101"/>
      <c r="AE945" s="101"/>
    </row>
    <row r="946" spans="1:31" ht="13.8">
      <c r="A946" s="101"/>
      <c r="B946" s="101"/>
      <c r="C946" s="101"/>
      <c r="D946" s="101"/>
      <c r="E946" s="101"/>
      <c r="F946" s="101"/>
      <c r="G946" s="101"/>
      <c r="H946" s="101"/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  <c r="Y946" s="101"/>
      <c r="Z946" s="101"/>
      <c r="AA946" s="101"/>
      <c r="AB946" s="101"/>
      <c r="AC946" s="101"/>
      <c r="AD946" s="101"/>
      <c r="AE946" s="101"/>
    </row>
    <row r="947" spans="1:31" ht="13.8">
      <c r="A947" s="101"/>
      <c r="B947" s="101"/>
      <c r="C947" s="101"/>
      <c r="D947" s="101"/>
      <c r="E947" s="101"/>
      <c r="F947" s="101"/>
      <c r="G947" s="101"/>
      <c r="H947" s="101"/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  <c r="Y947" s="101"/>
      <c r="Z947" s="101"/>
      <c r="AA947" s="101"/>
      <c r="AB947" s="101"/>
      <c r="AC947" s="101"/>
      <c r="AD947" s="101"/>
      <c r="AE947" s="101"/>
    </row>
    <row r="948" spans="1:31" ht="13.8">
      <c r="A948" s="101"/>
      <c r="B948" s="101"/>
      <c r="C948" s="101"/>
      <c r="D948" s="101"/>
      <c r="E948" s="101"/>
      <c r="F948" s="101"/>
      <c r="G948" s="101"/>
      <c r="H948" s="101"/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  <c r="Y948" s="101"/>
      <c r="Z948" s="101"/>
      <c r="AA948" s="101"/>
      <c r="AB948" s="101"/>
      <c r="AC948" s="101"/>
      <c r="AD948" s="101"/>
      <c r="AE948" s="101"/>
    </row>
    <row r="949" spans="1:31" ht="13.8">
      <c r="A949" s="101"/>
      <c r="B949" s="101"/>
      <c r="C949" s="101"/>
      <c r="D949" s="101"/>
      <c r="E949" s="101"/>
      <c r="F949" s="101"/>
      <c r="G949" s="101"/>
      <c r="H949" s="101"/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  <c r="Y949" s="101"/>
      <c r="Z949" s="101"/>
      <c r="AA949" s="101"/>
      <c r="AB949" s="101"/>
      <c r="AC949" s="101"/>
      <c r="AD949" s="101"/>
      <c r="AE949" s="101"/>
    </row>
    <row r="950" spans="1:31" ht="13.8">
      <c r="A950" s="101"/>
      <c r="B950" s="101"/>
      <c r="C950" s="101"/>
      <c r="D950" s="101"/>
      <c r="E950" s="101"/>
      <c r="F950" s="101"/>
      <c r="G950" s="101"/>
      <c r="H950" s="101"/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  <c r="Y950" s="101"/>
      <c r="Z950" s="101"/>
      <c r="AA950" s="101"/>
      <c r="AB950" s="101"/>
      <c r="AC950" s="101"/>
      <c r="AD950" s="101"/>
      <c r="AE950" s="101"/>
    </row>
    <row r="951" spans="1:31" ht="13.8">
      <c r="A951" s="101"/>
      <c r="B951" s="101"/>
      <c r="C951" s="101"/>
      <c r="D951" s="101"/>
      <c r="E951" s="101"/>
      <c r="F951" s="101"/>
      <c r="G951" s="101"/>
      <c r="H951" s="101"/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  <c r="Y951" s="101"/>
      <c r="Z951" s="101"/>
      <c r="AA951" s="101"/>
      <c r="AB951" s="101"/>
      <c r="AC951" s="101"/>
      <c r="AD951" s="101"/>
      <c r="AE951" s="101"/>
    </row>
    <row r="952" spans="1:31" ht="13.8">
      <c r="A952" s="101"/>
      <c r="B952" s="101"/>
      <c r="C952" s="101"/>
      <c r="D952" s="101"/>
      <c r="E952" s="101"/>
      <c r="F952" s="101"/>
      <c r="G952" s="101"/>
      <c r="H952" s="101"/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  <c r="Y952" s="101"/>
      <c r="Z952" s="101"/>
      <c r="AA952" s="101"/>
      <c r="AB952" s="101"/>
      <c r="AC952" s="101"/>
      <c r="AD952" s="101"/>
      <c r="AE952" s="101"/>
    </row>
    <row r="953" spans="1:31" ht="13.8">
      <c r="A953" s="101"/>
      <c r="B953" s="101"/>
      <c r="C953" s="101"/>
      <c r="D953" s="101"/>
      <c r="E953" s="101"/>
      <c r="F953" s="101"/>
      <c r="G953" s="101"/>
      <c r="H953" s="101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  <c r="Y953" s="101"/>
      <c r="Z953" s="101"/>
      <c r="AA953" s="101"/>
      <c r="AB953" s="101"/>
      <c r="AC953" s="101"/>
      <c r="AD953" s="101"/>
      <c r="AE953" s="101"/>
    </row>
    <row r="954" spans="1:31" ht="13.8">
      <c r="A954" s="101"/>
      <c r="B954" s="101"/>
      <c r="C954" s="101"/>
      <c r="D954" s="101"/>
      <c r="E954" s="101"/>
      <c r="F954" s="101"/>
      <c r="G954" s="101"/>
      <c r="H954" s="101"/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  <c r="Y954" s="101"/>
      <c r="Z954" s="101"/>
      <c r="AA954" s="101"/>
      <c r="AB954" s="101"/>
      <c r="AC954" s="101"/>
      <c r="AD954" s="101"/>
      <c r="AE954" s="101"/>
    </row>
    <row r="955" spans="1:31" ht="13.8">
      <c r="A955" s="101"/>
      <c r="B955" s="101"/>
      <c r="C955" s="101"/>
      <c r="D955" s="101"/>
      <c r="E955" s="101"/>
      <c r="F955" s="101"/>
      <c r="G955" s="101"/>
      <c r="H955" s="101"/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  <c r="Y955" s="101"/>
      <c r="Z955" s="101"/>
      <c r="AA955" s="101"/>
      <c r="AB955" s="101"/>
      <c r="AC955" s="101"/>
      <c r="AD955" s="101"/>
      <c r="AE955" s="101"/>
    </row>
    <row r="956" spans="1:31" ht="13.8">
      <c r="A956" s="101"/>
      <c r="B956" s="101"/>
      <c r="C956" s="101"/>
      <c r="D956" s="101"/>
      <c r="E956" s="101"/>
      <c r="F956" s="101"/>
      <c r="G956" s="101"/>
      <c r="H956" s="101"/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  <c r="Y956" s="101"/>
      <c r="Z956" s="101"/>
      <c r="AA956" s="101"/>
      <c r="AB956" s="101"/>
      <c r="AC956" s="101"/>
      <c r="AD956" s="101"/>
      <c r="AE956" s="101"/>
    </row>
    <row r="957" spans="1:31" ht="13.8">
      <c r="A957" s="101"/>
      <c r="B957" s="101"/>
      <c r="C957" s="101"/>
      <c r="D957" s="101"/>
      <c r="E957" s="101"/>
      <c r="F957" s="101"/>
      <c r="G957" s="101"/>
      <c r="H957" s="101"/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  <c r="Y957" s="101"/>
      <c r="Z957" s="101"/>
      <c r="AA957" s="101"/>
      <c r="AB957" s="101"/>
      <c r="AC957" s="101"/>
      <c r="AD957" s="101"/>
      <c r="AE957" s="101"/>
    </row>
    <row r="958" spans="1:31" ht="13.8">
      <c r="A958" s="101"/>
      <c r="B958" s="101"/>
      <c r="C958" s="101"/>
      <c r="D958" s="101"/>
      <c r="E958" s="101"/>
      <c r="F958" s="101"/>
      <c r="G958" s="101"/>
      <c r="H958" s="101"/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  <c r="Y958" s="101"/>
      <c r="Z958" s="101"/>
      <c r="AA958" s="101"/>
      <c r="AB958" s="101"/>
      <c r="AC958" s="101"/>
      <c r="AD958" s="101"/>
      <c r="AE958" s="101"/>
    </row>
    <row r="959" spans="1:31" ht="13.8">
      <c r="A959" s="101"/>
      <c r="B959" s="101"/>
      <c r="C959" s="101"/>
      <c r="D959" s="101"/>
      <c r="E959" s="101"/>
      <c r="F959" s="101"/>
      <c r="G959" s="101"/>
      <c r="H959" s="101"/>
      <c r="I959" s="101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  <c r="Y959" s="101"/>
      <c r="Z959" s="101"/>
      <c r="AA959" s="101"/>
      <c r="AB959" s="101"/>
      <c r="AC959" s="101"/>
      <c r="AD959" s="101"/>
      <c r="AE959" s="101"/>
    </row>
    <row r="960" spans="1:31" ht="13.8">
      <c r="A960" s="101"/>
      <c r="B960" s="101"/>
      <c r="C960" s="101"/>
      <c r="D960" s="101"/>
      <c r="E960" s="101"/>
      <c r="F960" s="101"/>
      <c r="G960" s="101"/>
      <c r="H960" s="101"/>
      <c r="I960" s="101"/>
      <c r="J960" s="101"/>
      <c r="K960" s="101"/>
      <c r="L960" s="101"/>
      <c r="M960" s="101"/>
      <c r="N960" s="101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  <c r="Y960" s="101"/>
      <c r="Z960" s="101"/>
      <c r="AA960" s="101"/>
      <c r="AB960" s="101"/>
      <c r="AC960" s="101"/>
      <c r="AD960" s="101"/>
      <c r="AE960" s="101"/>
    </row>
    <row r="961" spans="1:31" ht="13.8">
      <c r="A961" s="101"/>
      <c r="B961" s="101"/>
      <c r="C961" s="101"/>
      <c r="D961" s="101"/>
      <c r="E961" s="101"/>
      <c r="F961" s="101"/>
      <c r="G961" s="101"/>
      <c r="H961" s="101"/>
      <c r="I961" s="101"/>
      <c r="J961" s="101"/>
      <c r="K961" s="101"/>
      <c r="L961" s="101"/>
      <c r="M961" s="101"/>
      <c r="N961" s="101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  <c r="Y961" s="101"/>
      <c r="Z961" s="101"/>
      <c r="AA961" s="101"/>
      <c r="AB961" s="101"/>
      <c r="AC961" s="101"/>
      <c r="AD961" s="101"/>
      <c r="AE961" s="101"/>
    </row>
    <row r="962" spans="1:31" ht="13.8">
      <c r="A962" s="101"/>
      <c r="B962" s="101"/>
      <c r="C962" s="101"/>
      <c r="D962" s="101"/>
      <c r="E962" s="101"/>
      <c r="F962" s="101"/>
      <c r="G962" s="101"/>
      <c r="H962" s="101"/>
      <c r="I962" s="101"/>
      <c r="J962" s="101"/>
      <c r="K962" s="101"/>
      <c r="L962" s="101"/>
      <c r="M962" s="101"/>
      <c r="N962" s="101"/>
      <c r="O962" s="101"/>
      <c r="P962" s="101"/>
      <c r="Q962" s="101"/>
      <c r="R962" s="101"/>
      <c r="S962" s="101"/>
      <c r="T962" s="101"/>
      <c r="U962" s="101"/>
      <c r="V962" s="101"/>
      <c r="W962" s="101"/>
      <c r="X962" s="101"/>
      <c r="Y962" s="101"/>
      <c r="Z962" s="101"/>
      <c r="AA962" s="101"/>
      <c r="AB962" s="101"/>
      <c r="AC962" s="101"/>
      <c r="AD962" s="101"/>
      <c r="AE962" s="101"/>
    </row>
    <row r="963" spans="1:31" ht="13.8">
      <c r="A963" s="101"/>
      <c r="B963" s="101"/>
      <c r="C963" s="101"/>
      <c r="D963" s="101"/>
      <c r="E963" s="101"/>
      <c r="F963" s="101"/>
      <c r="G963" s="101"/>
      <c r="H963" s="101"/>
      <c r="I963" s="101"/>
      <c r="J963" s="101"/>
      <c r="K963" s="101"/>
      <c r="L963" s="101"/>
      <c r="M963" s="101"/>
      <c r="N963" s="101"/>
      <c r="O963" s="101"/>
      <c r="P963" s="101"/>
      <c r="Q963" s="101"/>
      <c r="R963" s="101"/>
      <c r="S963" s="101"/>
      <c r="T963" s="101"/>
      <c r="U963" s="101"/>
      <c r="V963" s="101"/>
      <c r="W963" s="101"/>
      <c r="X963" s="101"/>
      <c r="Y963" s="101"/>
      <c r="Z963" s="101"/>
      <c r="AA963" s="101"/>
      <c r="AB963" s="101"/>
      <c r="AC963" s="101"/>
      <c r="AD963" s="101"/>
      <c r="AE963" s="101"/>
    </row>
    <row r="964" spans="1:31" ht="13.8">
      <c r="A964" s="101"/>
      <c r="B964" s="101"/>
      <c r="C964" s="101"/>
      <c r="D964" s="101"/>
      <c r="E964" s="101"/>
      <c r="F964" s="101"/>
      <c r="G964" s="101"/>
      <c r="H964" s="101"/>
      <c r="I964" s="101"/>
      <c r="J964" s="101"/>
      <c r="K964" s="101"/>
      <c r="L964" s="101"/>
      <c r="M964" s="101"/>
      <c r="N964" s="101"/>
      <c r="O964" s="101"/>
      <c r="P964" s="101"/>
      <c r="Q964" s="101"/>
      <c r="R964" s="101"/>
      <c r="S964" s="101"/>
      <c r="T964" s="101"/>
      <c r="U964" s="101"/>
      <c r="V964" s="101"/>
      <c r="W964" s="101"/>
      <c r="X964" s="101"/>
      <c r="Y964" s="101"/>
      <c r="Z964" s="101"/>
      <c r="AA964" s="101"/>
      <c r="AB964" s="101"/>
      <c r="AC964" s="101"/>
      <c r="AD964" s="101"/>
      <c r="AE964" s="101"/>
    </row>
    <row r="965" spans="1:31" ht="13.8">
      <c r="A965" s="101"/>
      <c r="B965" s="101"/>
      <c r="C965" s="101"/>
      <c r="D965" s="101"/>
      <c r="E965" s="101"/>
      <c r="F965" s="101"/>
      <c r="G965" s="101"/>
      <c r="H965" s="101"/>
      <c r="I965" s="101"/>
      <c r="J965" s="101"/>
      <c r="K965" s="101"/>
      <c r="L965" s="101"/>
      <c r="M965" s="101"/>
      <c r="N965" s="101"/>
      <c r="O965" s="101"/>
      <c r="P965" s="101"/>
      <c r="Q965" s="101"/>
      <c r="R965" s="101"/>
      <c r="S965" s="101"/>
      <c r="T965" s="101"/>
      <c r="U965" s="101"/>
      <c r="V965" s="101"/>
      <c r="W965" s="101"/>
      <c r="X965" s="101"/>
      <c r="Y965" s="101"/>
      <c r="Z965" s="101"/>
      <c r="AA965" s="101"/>
      <c r="AB965" s="101"/>
      <c r="AC965" s="101"/>
      <c r="AD965" s="101"/>
      <c r="AE965" s="101"/>
    </row>
    <row r="966" spans="1:31" ht="13.8">
      <c r="A966" s="101"/>
      <c r="B966" s="101"/>
      <c r="C966" s="101"/>
      <c r="D966" s="101"/>
      <c r="E966" s="101"/>
      <c r="F966" s="101"/>
      <c r="G966" s="101"/>
      <c r="H966" s="101"/>
      <c r="I966" s="101"/>
      <c r="J966" s="101"/>
      <c r="K966" s="101"/>
      <c r="L966" s="101"/>
      <c r="M966" s="101"/>
      <c r="N966" s="101"/>
      <c r="O966" s="101"/>
      <c r="P966" s="101"/>
      <c r="Q966" s="101"/>
      <c r="R966" s="101"/>
      <c r="S966" s="101"/>
      <c r="T966" s="101"/>
      <c r="U966" s="101"/>
      <c r="V966" s="101"/>
      <c r="W966" s="101"/>
      <c r="X966" s="101"/>
      <c r="Y966" s="101"/>
      <c r="Z966" s="101"/>
      <c r="AA966" s="101"/>
      <c r="AB966" s="101"/>
      <c r="AC966" s="101"/>
      <c r="AD966" s="101"/>
      <c r="AE966" s="101"/>
    </row>
    <row r="967" spans="1:31" ht="13.8">
      <c r="A967" s="101"/>
      <c r="B967" s="101"/>
      <c r="C967" s="101"/>
      <c r="D967" s="101"/>
      <c r="E967" s="101"/>
      <c r="F967" s="101"/>
      <c r="G967" s="101"/>
      <c r="H967" s="101"/>
      <c r="I967" s="101"/>
      <c r="J967" s="101"/>
      <c r="K967" s="101"/>
      <c r="L967" s="101"/>
      <c r="M967" s="101"/>
      <c r="N967" s="101"/>
      <c r="O967" s="101"/>
      <c r="P967" s="101"/>
      <c r="Q967" s="101"/>
      <c r="R967" s="101"/>
      <c r="S967" s="101"/>
      <c r="T967" s="101"/>
      <c r="U967" s="101"/>
      <c r="V967" s="101"/>
      <c r="W967" s="101"/>
      <c r="X967" s="101"/>
      <c r="Y967" s="101"/>
      <c r="Z967" s="101"/>
      <c r="AA967" s="101"/>
      <c r="AB967" s="101"/>
      <c r="AC967" s="101"/>
      <c r="AD967" s="101"/>
      <c r="AE967" s="101"/>
    </row>
    <row r="968" spans="1:31" ht="13.8">
      <c r="A968" s="101"/>
      <c r="B968" s="101"/>
      <c r="C968" s="101"/>
      <c r="D968" s="101"/>
      <c r="E968" s="101"/>
      <c r="F968" s="101"/>
      <c r="G968" s="101"/>
      <c r="H968" s="101"/>
      <c r="I968" s="101"/>
      <c r="J968" s="101"/>
      <c r="K968" s="101"/>
      <c r="L968" s="101"/>
      <c r="M968" s="101"/>
      <c r="N968" s="101"/>
      <c r="O968" s="101"/>
      <c r="P968" s="101"/>
      <c r="Q968" s="101"/>
      <c r="R968" s="101"/>
      <c r="S968" s="101"/>
      <c r="T968" s="101"/>
      <c r="U968" s="101"/>
      <c r="V968" s="101"/>
      <c r="W968" s="101"/>
      <c r="X968" s="101"/>
      <c r="Y968" s="101"/>
      <c r="Z968" s="101"/>
      <c r="AA968" s="101"/>
      <c r="AB968" s="101"/>
      <c r="AC968" s="101"/>
      <c r="AD968" s="101"/>
      <c r="AE968" s="101"/>
    </row>
    <row r="969" spans="1:31" ht="13.8">
      <c r="A969" s="101"/>
      <c r="B969" s="101"/>
      <c r="C969" s="101"/>
      <c r="D969" s="101"/>
      <c r="E969" s="101"/>
      <c r="F969" s="101"/>
      <c r="G969" s="101"/>
      <c r="H969" s="101"/>
      <c r="I969" s="101"/>
      <c r="J969" s="101"/>
      <c r="K969" s="101"/>
      <c r="L969" s="101"/>
      <c r="M969" s="101"/>
      <c r="N969" s="101"/>
      <c r="O969" s="101"/>
      <c r="P969" s="101"/>
      <c r="Q969" s="101"/>
      <c r="R969" s="101"/>
      <c r="S969" s="101"/>
      <c r="T969" s="101"/>
      <c r="U969" s="101"/>
      <c r="V969" s="101"/>
      <c r="W969" s="101"/>
      <c r="X969" s="101"/>
      <c r="Y969" s="101"/>
      <c r="Z969" s="101"/>
      <c r="AA969" s="101"/>
      <c r="AB969" s="101"/>
      <c r="AC969" s="101"/>
      <c r="AD969" s="101"/>
      <c r="AE969" s="101"/>
    </row>
    <row r="970" spans="1:31" ht="13.8">
      <c r="A970" s="101"/>
      <c r="B970" s="101"/>
      <c r="C970" s="101"/>
      <c r="D970" s="101"/>
      <c r="E970" s="101"/>
      <c r="F970" s="101"/>
      <c r="G970" s="101"/>
      <c r="H970" s="101"/>
      <c r="I970" s="101"/>
      <c r="J970" s="101"/>
      <c r="K970" s="101"/>
      <c r="L970" s="101"/>
      <c r="M970" s="101"/>
      <c r="N970" s="101"/>
      <c r="O970" s="101"/>
      <c r="P970" s="101"/>
      <c r="Q970" s="101"/>
      <c r="R970" s="101"/>
      <c r="S970" s="101"/>
      <c r="T970" s="101"/>
      <c r="U970" s="101"/>
      <c r="V970" s="101"/>
      <c r="W970" s="101"/>
      <c r="X970" s="101"/>
      <c r="Y970" s="101"/>
      <c r="Z970" s="101"/>
      <c r="AA970" s="101"/>
      <c r="AB970" s="101"/>
      <c r="AC970" s="101"/>
      <c r="AD970" s="101"/>
      <c r="AE970" s="101"/>
    </row>
    <row r="971" spans="1:31" ht="13.8">
      <c r="A971" s="101"/>
      <c r="B971" s="101"/>
      <c r="C971" s="101"/>
      <c r="D971" s="101"/>
      <c r="E971" s="101"/>
      <c r="F971" s="101"/>
      <c r="G971" s="101"/>
      <c r="H971" s="101"/>
      <c r="I971" s="101"/>
      <c r="J971" s="101"/>
      <c r="K971" s="101"/>
      <c r="L971" s="101"/>
      <c r="M971" s="101"/>
      <c r="N971" s="101"/>
      <c r="O971" s="101"/>
      <c r="P971" s="101"/>
      <c r="Q971" s="101"/>
      <c r="R971" s="101"/>
      <c r="S971" s="101"/>
      <c r="T971" s="101"/>
      <c r="U971" s="101"/>
      <c r="V971" s="101"/>
      <c r="W971" s="101"/>
      <c r="X971" s="101"/>
      <c r="Y971" s="101"/>
      <c r="Z971" s="101"/>
      <c r="AA971" s="101"/>
      <c r="AB971" s="101"/>
      <c r="AC971" s="101"/>
      <c r="AD971" s="101"/>
      <c r="AE971" s="101"/>
    </row>
    <row r="972" spans="1:31" ht="13.8">
      <c r="A972" s="101"/>
      <c r="B972" s="101"/>
      <c r="C972" s="101"/>
      <c r="D972" s="101"/>
      <c r="E972" s="101"/>
      <c r="F972" s="101"/>
      <c r="G972" s="101"/>
      <c r="H972" s="101"/>
      <c r="I972" s="101"/>
      <c r="J972" s="101"/>
      <c r="K972" s="101"/>
      <c r="L972" s="101"/>
      <c r="M972" s="101"/>
      <c r="N972" s="101"/>
      <c r="O972" s="101"/>
      <c r="P972" s="101"/>
      <c r="Q972" s="101"/>
      <c r="R972" s="101"/>
      <c r="S972" s="101"/>
      <c r="T972" s="101"/>
      <c r="U972" s="101"/>
      <c r="V972" s="101"/>
      <c r="W972" s="101"/>
      <c r="X972" s="101"/>
      <c r="Y972" s="101"/>
      <c r="Z972" s="101"/>
      <c r="AA972" s="101"/>
      <c r="AB972" s="101"/>
      <c r="AC972" s="101"/>
      <c r="AD972" s="101"/>
      <c r="AE972" s="101"/>
    </row>
    <row r="973" spans="1:31" ht="13.8">
      <c r="A973" s="101"/>
      <c r="B973" s="101"/>
      <c r="C973" s="101"/>
      <c r="D973" s="101"/>
      <c r="E973" s="101"/>
      <c r="F973" s="101"/>
      <c r="G973" s="101"/>
      <c r="H973" s="101"/>
      <c r="I973" s="101"/>
      <c r="J973" s="101"/>
      <c r="K973" s="101"/>
      <c r="L973" s="101"/>
      <c r="M973" s="101"/>
      <c r="N973" s="101"/>
      <c r="O973" s="101"/>
      <c r="P973" s="101"/>
      <c r="Q973" s="101"/>
      <c r="R973" s="101"/>
      <c r="S973" s="101"/>
      <c r="T973" s="101"/>
      <c r="U973" s="101"/>
      <c r="V973" s="101"/>
      <c r="W973" s="101"/>
      <c r="X973" s="101"/>
      <c r="Y973" s="101"/>
      <c r="Z973" s="101"/>
      <c r="AA973" s="101"/>
      <c r="AB973" s="101"/>
      <c r="AC973" s="101"/>
      <c r="AD973" s="101"/>
      <c r="AE973" s="101"/>
    </row>
    <row r="974" spans="1:31" ht="13.8">
      <c r="A974" s="101"/>
      <c r="B974" s="101"/>
      <c r="C974" s="101"/>
      <c r="D974" s="101"/>
      <c r="E974" s="101"/>
      <c r="F974" s="101"/>
      <c r="G974" s="101"/>
      <c r="H974" s="101"/>
      <c r="I974" s="101"/>
      <c r="J974" s="101"/>
      <c r="K974" s="101"/>
      <c r="L974" s="101"/>
      <c r="M974" s="101"/>
      <c r="N974" s="101"/>
      <c r="O974" s="101"/>
      <c r="P974" s="101"/>
      <c r="Q974" s="101"/>
      <c r="R974" s="101"/>
      <c r="S974" s="101"/>
      <c r="T974" s="101"/>
      <c r="U974" s="101"/>
      <c r="V974" s="101"/>
      <c r="W974" s="101"/>
      <c r="X974" s="101"/>
      <c r="Y974" s="101"/>
      <c r="Z974" s="101"/>
      <c r="AA974" s="101"/>
      <c r="AB974" s="101"/>
      <c r="AC974" s="101"/>
      <c r="AD974" s="101"/>
      <c r="AE974" s="101"/>
    </row>
    <row r="975" spans="1:31" ht="13.8">
      <c r="A975" s="101"/>
      <c r="B975" s="101"/>
      <c r="C975" s="101"/>
      <c r="D975" s="101"/>
      <c r="E975" s="101"/>
      <c r="F975" s="101"/>
      <c r="G975" s="101"/>
      <c r="H975" s="101"/>
      <c r="I975" s="101"/>
      <c r="J975" s="101"/>
      <c r="K975" s="101"/>
      <c r="L975" s="101"/>
      <c r="M975" s="101"/>
      <c r="N975" s="101"/>
      <c r="O975" s="101"/>
      <c r="P975" s="101"/>
      <c r="Q975" s="101"/>
      <c r="R975" s="101"/>
      <c r="S975" s="101"/>
      <c r="T975" s="101"/>
      <c r="U975" s="101"/>
      <c r="V975" s="101"/>
      <c r="W975" s="101"/>
      <c r="X975" s="101"/>
      <c r="Y975" s="101"/>
      <c r="Z975" s="101"/>
      <c r="AA975" s="101"/>
      <c r="AB975" s="101"/>
      <c r="AC975" s="101"/>
      <c r="AD975" s="101"/>
      <c r="AE975" s="101"/>
    </row>
    <row r="976" spans="1:31" ht="13.8">
      <c r="A976" s="101"/>
      <c r="B976" s="101"/>
      <c r="C976" s="101"/>
      <c r="D976" s="101"/>
      <c r="E976" s="101"/>
      <c r="F976" s="101"/>
      <c r="G976" s="101"/>
      <c r="H976" s="101"/>
      <c r="I976" s="101"/>
      <c r="J976" s="101"/>
      <c r="K976" s="101"/>
      <c r="L976" s="101"/>
      <c r="M976" s="101"/>
      <c r="N976" s="101"/>
      <c r="O976" s="101"/>
      <c r="P976" s="101"/>
      <c r="Q976" s="101"/>
      <c r="R976" s="101"/>
      <c r="S976" s="101"/>
      <c r="T976" s="101"/>
      <c r="U976" s="101"/>
      <c r="V976" s="101"/>
      <c r="W976" s="101"/>
      <c r="X976" s="101"/>
      <c r="Y976" s="101"/>
      <c r="Z976" s="101"/>
      <c r="AA976" s="101"/>
      <c r="AB976" s="101"/>
      <c r="AC976" s="101"/>
      <c r="AD976" s="101"/>
      <c r="AE976" s="101"/>
    </row>
    <row r="977" spans="1:31" ht="13.8">
      <c r="A977" s="101"/>
      <c r="B977" s="101"/>
      <c r="C977" s="101"/>
      <c r="D977" s="101"/>
      <c r="E977" s="101"/>
      <c r="F977" s="101"/>
      <c r="G977" s="101"/>
      <c r="H977" s="101"/>
      <c r="I977" s="101"/>
      <c r="J977" s="101"/>
      <c r="K977" s="101"/>
      <c r="L977" s="101"/>
      <c r="M977" s="101"/>
      <c r="N977" s="101"/>
      <c r="O977" s="101"/>
      <c r="P977" s="101"/>
      <c r="Q977" s="101"/>
      <c r="R977" s="101"/>
      <c r="S977" s="101"/>
      <c r="T977" s="101"/>
      <c r="U977" s="101"/>
      <c r="V977" s="101"/>
      <c r="W977" s="101"/>
      <c r="X977" s="101"/>
      <c r="Y977" s="101"/>
      <c r="Z977" s="101"/>
      <c r="AA977" s="101"/>
      <c r="AB977" s="101"/>
      <c r="AC977" s="101"/>
      <c r="AD977" s="101"/>
      <c r="AE977" s="101"/>
    </row>
    <row r="978" spans="1:31" ht="13.8">
      <c r="A978" s="101"/>
      <c r="B978" s="101"/>
      <c r="C978" s="101"/>
      <c r="D978" s="101"/>
      <c r="E978" s="101"/>
      <c r="F978" s="101"/>
      <c r="G978" s="101"/>
      <c r="H978" s="101"/>
      <c r="I978" s="101"/>
      <c r="J978" s="101"/>
      <c r="K978" s="101"/>
      <c r="L978" s="101"/>
      <c r="M978" s="101"/>
      <c r="N978" s="101"/>
      <c r="O978" s="101"/>
      <c r="P978" s="101"/>
      <c r="Q978" s="101"/>
      <c r="R978" s="101"/>
      <c r="S978" s="101"/>
      <c r="T978" s="101"/>
      <c r="U978" s="101"/>
      <c r="V978" s="101"/>
      <c r="W978" s="101"/>
      <c r="X978" s="101"/>
      <c r="Y978" s="101"/>
      <c r="Z978" s="101"/>
      <c r="AA978" s="101"/>
      <c r="AB978" s="101"/>
      <c r="AC978" s="101"/>
      <c r="AD978" s="101"/>
      <c r="AE978" s="101"/>
    </row>
    <row r="979" spans="1:31" ht="13.8">
      <c r="A979" s="101"/>
      <c r="B979" s="101"/>
      <c r="C979" s="101"/>
      <c r="D979" s="101"/>
      <c r="E979" s="101"/>
      <c r="F979" s="101"/>
      <c r="G979" s="101"/>
      <c r="H979" s="101"/>
      <c r="I979" s="101"/>
      <c r="J979" s="101"/>
      <c r="K979" s="101"/>
      <c r="L979" s="101"/>
      <c r="M979" s="101"/>
      <c r="N979" s="101"/>
      <c r="O979" s="101"/>
      <c r="P979" s="101"/>
      <c r="Q979" s="101"/>
      <c r="R979" s="101"/>
      <c r="S979" s="101"/>
      <c r="T979" s="101"/>
      <c r="U979" s="101"/>
      <c r="V979" s="101"/>
      <c r="W979" s="101"/>
      <c r="X979" s="101"/>
      <c r="Y979" s="101"/>
      <c r="Z979" s="101"/>
      <c r="AA979" s="101"/>
      <c r="AB979" s="101"/>
      <c r="AC979" s="101"/>
      <c r="AD979" s="101"/>
      <c r="AE979" s="101"/>
    </row>
    <row r="980" spans="1:31" ht="13.8">
      <c r="A980" s="101"/>
      <c r="B980" s="101"/>
      <c r="C980" s="101"/>
      <c r="D980" s="101"/>
      <c r="E980" s="101"/>
      <c r="F980" s="101"/>
      <c r="G980" s="101"/>
      <c r="H980" s="101"/>
      <c r="I980" s="101"/>
      <c r="J980" s="101"/>
      <c r="K980" s="101"/>
      <c r="L980" s="101"/>
      <c r="M980" s="101"/>
      <c r="N980" s="101"/>
      <c r="O980" s="101"/>
      <c r="P980" s="101"/>
      <c r="Q980" s="101"/>
      <c r="R980" s="101"/>
      <c r="S980" s="101"/>
      <c r="T980" s="101"/>
      <c r="U980" s="101"/>
      <c r="V980" s="101"/>
      <c r="W980" s="101"/>
      <c r="X980" s="101"/>
      <c r="Y980" s="101"/>
      <c r="Z980" s="101"/>
      <c r="AA980" s="101"/>
      <c r="AB980" s="101"/>
      <c r="AC980" s="101"/>
      <c r="AD980" s="101"/>
      <c r="AE980" s="101"/>
    </row>
    <row r="981" spans="1:31" ht="13.8">
      <c r="A981" s="101"/>
      <c r="B981" s="101"/>
      <c r="C981" s="101"/>
      <c r="D981" s="101"/>
      <c r="E981" s="101"/>
      <c r="F981" s="101"/>
      <c r="G981" s="101"/>
      <c r="H981" s="101"/>
      <c r="I981" s="101"/>
      <c r="J981" s="101"/>
      <c r="K981" s="101"/>
      <c r="L981" s="101"/>
      <c r="M981" s="101"/>
      <c r="N981" s="101"/>
      <c r="O981" s="101"/>
      <c r="P981" s="101"/>
      <c r="Q981" s="101"/>
      <c r="R981" s="101"/>
      <c r="S981" s="101"/>
      <c r="T981" s="101"/>
      <c r="U981" s="101"/>
      <c r="V981" s="101"/>
      <c r="W981" s="101"/>
      <c r="X981" s="101"/>
      <c r="Y981" s="101"/>
      <c r="Z981" s="101"/>
      <c r="AA981" s="101"/>
      <c r="AB981" s="101"/>
      <c r="AC981" s="101"/>
      <c r="AD981" s="101"/>
      <c r="AE981" s="101"/>
    </row>
    <row r="982" spans="1:31" ht="13.8">
      <c r="A982" s="101"/>
      <c r="B982" s="101"/>
      <c r="C982" s="101"/>
      <c r="D982" s="101"/>
      <c r="E982" s="101"/>
      <c r="F982" s="101"/>
      <c r="G982" s="101"/>
      <c r="H982" s="101"/>
      <c r="I982" s="101"/>
      <c r="J982" s="101"/>
      <c r="K982" s="101"/>
      <c r="L982" s="101"/>
      <c r="M982" s="101"/>
      <c r="N982" s="101"/>
      <c r="O982" s="101"/>
      <c r="P982" s="101"/>
      <c r="Q982" s="101"/>
      <c r="R982" s="101"/>
      <c r="S982" s="101"/>
      <c r="T982" s="101"/>
      <c r="U982" s="101"/>
      <c r="V982" s="101"/>
      <c r="W982" s="101"/>
      <c r="X982" s="101"/>
      <c r="Y982" s="101"/>
      <c r="Z982" s="101"/>
      <c r="AA982" s="101"/>
      <c r="AB982" s="101"/>
      <c r="AC982" s="101"/>
      <c r="AD982" s="101"/>
      <c r="AE982" s="101"/>
    </row>
    <row r="983" spans="1:31" ht="13.8">
      <c r="A983" s="101"/>
      <c r="B983" s="101"/>
      <c r="C983" s="101"/>
      <c r="D983" s="101"/>
      <c r="E983" s="101"/>
      <c r="F983" s="101"/>
      <c r="G983" s="101"/>
      <c r="H983" s="101"/>
      <c r="I983" s="101"/>
      <c r="J983" s="101"/>
      <c r="K983" s="101"/>
      <c r="L983" s="101"/>
      <c r="M983" s="101"/>
      <c r="N983" s="101"/>
      <c r="O983" s="101"/>
      <c r="P983" s="101"/>
      <c r="Q983" s="101"/>
      <c r="R983" s="101"/>
      <c r="S983" s="101"/>
      <c r="T983" s="101"/>
      <c r="U983" s="101"/>
      <c r="V983" s="101"/>
      <c r="W983" s="101"/>
      <c r="X983" s="101"/>
      <c r="Y983" s="101"/>
      <c r="Z983" s="101"/>
      <c r="AA983" s="101"/>
      <c r="AB983" s="101"/>
      <c r="AC983" s="101"/>
      <c r="AD983" s="101"/>
      <c r="AE983" s="101"/>
    </row>
    <row r="984" spans="1:31" ht="13.8">
      <c r="A984" s="101"/>
      <c r="B984" s="101"/>
      <c r="C984" s="101"/>
      <c r="D984" s="101"/>
      <c r="E984" s="101"/>
      <c r="F984" s="101"/>
      <c r="G984" s="101"/>
      <c r="H984" s="101"/>
      <c r="I984" s="101"/>
      <c r="J984" s="101"/>
      <c r="K984" s="101"/>
      <c r="L984" s="101"/>
      <c r="M984" s="101"/>
      <c r="N984" s="101"/>
      <c r="O984" s="101"/>
      <c r="P984" s="101"/>
      <c r="Q984" s="101"/>
      <c r="R984" s="101"/>
      <c r="S984" s="101"/>
      <c r="T984" s="101"/>
      <c r="U984" s="101"/>
      <c r="V984" s="101"/>
      <c r="W984" s="101"/>
      <c r="X984" s="101"/>
      <c r="Y984" s="101"/>
      <c r="Z984" s="101"/>
      <c r="AA984" s="101"/>
      <c r="AB984" s="101"/>
      <c r="AC984" s="101"/>
      <c r="AD984" s="101"/>
      <c r="AE984" s="101"/>
    </row>
    <row r="985" spans="1:31" ht="13.8">
      <c r="A985" s="101"/>
      <c r="B985" s="101"/>
      <c r="C985" s="101"/>
      <c r="D985" s="101"/>
      <c r="E985" s="101"/>
      <c r="F985" s="101"/>
      <c r="G985" s="101"/>
      <c r="H985" s="101"/>
      <c r="I985" s="101"/>
      <c r="J985" s="101"/>
      <c r="K985" s="101"/>
      <c r="L985" s="101"/>
      <c r="M985" s="101"/>
      <c r="N985" s="101"/>
      <c r="O985" s="101"/>
      <c r="P985" s="101"/>
      <c r="Q985" s="101"/>
      <c r="R985" s="101"/>
      <c r="S985" s="101"/>
      <c r="T985" s="101"/>
      <c r="U985" s="101"/>
      <c r="V985" s="101"/>
      <c r="W985" s="101"/>
      <c r="X985" s="101"/>
      <c r="Y985" s="101"/>
      <c r="Z985" s="101"/>
      <c r="AA985" s="101"/>
      <c r="AB985" s="101"/>
      <c r="AC985" s="101"/>
      <c r="AD985" s="101"/>
      <c r="AE985" s="101"/>
    </row>
    <row r="986" spans="1:31" ht="13.8">
      <c r="A986" s="101"/>
      <c r="B986" s="101"/>
      <c r="C986" s="101"/>
      <c r="D986" s="101"/>
      <c r="E986" s="101"/>
      <c r="F986" s="101"/>
      <c r="G986" s="101"/>
      <c r="H986" s="101"/>
      <c r="I986" s="101"/>
      <c r="J986" s="101"/>
      <c r="K986" s="101"/>
      <c r="L986" s="101"/>
      <c r="M986" s="101"/>
      <c r="N986" s="101"/>
      <c r="O986" s="101"/>
      <c r="P986" s="101"/>
      <c r="Q986" s="101"/>
      <c r="R986" s="101"/>
      <c r="S986" s="101"/>
      <c r="T986" s="101"/>
      <c r="U986" s="101"/>
      <c r="V986" s="101"/>
      <c r="W986" s="101"/>
      <c r="X986" s="101"/>
      <c r="Y986" s="101"/>
      <c r="Z986" s="101"/>
      <c r="AA986" s="101"/>
      <c r="AB986" s="101"/>
      <c r="AC986" s="101"/>
      <c r="AD986" s="101"/>
      <c r="AE986" s="101"/>
    </row>
    <row r="987" spans="1:31" ht="13.8">
      <c r="A987" s="101"/>
      <c r="B987" s="101"/>
      <c r="C987" s="101"/>
      <c r="D987" s="101"/>
      <c r="E987" s="101"/>
      <c r="F987" s="101"/>
      <c r="G987" s="101"/>
      <c r="H987" s="101"/>
      <c r="I987" s="101"/>
      <c r="J987" s="101"/>
      <c r="K987" s="101"/>
      <c r="L987" s="101"/>
      <c r="M987" s="101"/>
      <c r="N987" s="101"/>
      <c r="O987" s="101"/>
      <c r="P987" s="101"/>
      <c r="Q987" s="101"/>
      <c r="R987" s="101"/>
      <c r="S987" s="101"/>
      <c r="T987" s="101"/>
      <c r="U987" s="101"/>
      <c r="V987" s="101"/>
      <c r="W987" s="101"/>
      <c r="X987" s="101"/>
      <c r="Y987" s="101"/>
      <c r="Z987" s="101"/>
      <c r="AA987" s="101"/>
      <c r="AB987" s="101"/>
      <c r="AC987" s="101"/>
      <c r="AD987" s="101"/>
      <c r="AE987" s="101"/>
    </row>
    <row r="988" spans="1:31" ht="13.8">
      <c r="A988" s="101"/>
      <c r="B988" s="101"/>
      <c r="C988" s="101"/>
      <c r="D988" s="101"/>
      <c r="E988" s="101"/>
      <c r="F988" s="101"/>
      <c r="G988" s="101"/>
      <c r="H988" s="101"/>
      <c r="I988" s="101"/>
      <c r="J988" s="101"/>
      <c r="K988" s="101"/>
      <c r="L988" s="101"/>
      <c r="M988" s="101"/>
      <c r="N988" s="101"/>
      <c r="O988" s="101"/>
      <c r="P988" s="101"/>
      <c r="Q988" s="101"/>
      <c r="R988" s="101"/>
      <c r="S988" s="101"/>
      <c r="T988" s="101"/>
      <c r="U988" s="101"/>
      <c r="V988" s="101"/>
      <c r="W988" s="101"/>
      <c r="X988" s="101"/>
      <c r="Y988" s="101"/>
      <c r="Z988" s="101"/>
      <c r="AA988" s="101"/>
      <c r="AB988" s="101"/>
      <c r="AC988" s="101"/>
      <c r="AD988" s="101"/>
      <c r="AE988" s="101"/>
    </row>
    <row r="989" spans="1:31" ht="13.8">
      <c r="A989" s="101"/>
      <c r="B989" s="101"/>
      <c r="C989" s="101"/>
      <c r="D989" s="101"/>
      <c r="E989" s="101"/>
      <c r="F989" s="101"/>
      <c r="G989" s="101"/>
      <c r="H989" s="101"/>
      <c r="I989" s="101"/>
      <c r="J989" s="101"/>
      <c r="K989" s="101"/>
      <c r="L989" s="101"/>
      <c r="M989" s="101"/>
      <c r="N989" s="101"/>
      <c r="O989" s="101"/>
      <c r="P989" s="101"/>
      <c r="Q989" s="101"/>
      <c r="R989" s="101"/>
      <c r="S989" s="101"/>
      <c r="T989" s="101"/>
      <c r="U989" s="101"/>
      <c r="V989" s="101"/>
      <c r="W989" s="101"/>
      <c r="X989" s="101"/>
      <c r="Y989" s="101"/>
      <c r="Z989" s="101"/>
      <c r="AA989" s="101"/>
      <c r="AB989" s="101"/>
      <c r="AC989" s="101"/>
      <c r="AD989" s="101"/>
      <c r="AE989" s="101"/>
    </row>
    <row r="990" spans="1:31" ht="13.8">
      <c r="A990" s="101"/>
      <c r="B990" s="101"/>
      <c r="C990" s="101"/>
      <c r="D990" s="101"/>
      <c r="E990" s="101"/>
      <c r="F990" s="101"/>
      <c r="G990" s="101"/>
      <c r="H990" s="101"/>
      <c r="I990" s="101"/>
      <c r="J990" s="101"/>
      <c r="K990" s="101"/>
      <c r="L990" s="101"/>
      <c r="M990" s="101"/>
      <c r="N990" s="101"/>
      <c r="O990" s="101"/>
      <c r="P990" s="101"/>
      <c r="Q990" s="101"/>
      <c r="R990" s="101"/>
      <c r="S990" s="101"/>
      <c r="T990" s="101"/>
      <c r="U990" s="101"/>
      <c r="V990" s="101"/>
      <c r="W990" s="101"/>
      <c r="X990" s="101"/>
      <c r="Y990" s="101"/>
      <c r="Z990" s="101"/>
      <c r="AA990" s="101"/>
      <c r="AB990" s="101"/>
      <c r="AC990" s="101"/>
      <c r="AD990" s="101"/>
      <c r="AE990" s="101"/>
    </row>
    <row r="991" spans="1:31" ht="13.8">
      <c r="A991" s="101"/>
      <c r="B991" s="101"/>
      <c r="C991" s="101"/>
      <c r="D991" s="101"/>
      <c r="E991" s="101"/>
      <c r="F991" s="101"/>
      <c r="G991" s="101"/>
      <c r="H991" s="101"/>
      <c r="I991" s="101"/>
      <c r="J991" s="101"/>
      <c r="K991" s="101"/>
      <c r="L991" s="101"/>
      <c r="M991" s="101"/>
      <c r="N991" s="101"/>
      <c r="O991" s="101"/>
      <c r="P991" s="101"/>
      <c r="Q991" s="101"/>
      <c r="R991" s="101"/>
      <c r="S991" s="101"/>
      <c r="T991" s="101"/>
      <c r="U991" s="101"/>
      <c r="V991" s="101"/>
      <c r="W991" s="101"/>
      <c r="X991" s="101"/>
      <c r="Y991" s="101"/>
      <c r="Z991" s="101"/>
      <c r="AA991" s="101"/>
      <c r="AB991" s="101"/>
      <c r="AC991" s="101"/>
      <c r="AD991" s="101"/>
      <c r="AE991" s="101"/>
    </row>
    <row r="992" spans="1:31" ht="13.8">
      <c r="A992" s="101"/>
      <c r="B992" s="101"/>
      <c r="C992" s="101"/>
      <c r="D992" s="101"/>
      <c r="E992" s="101"/>
      <c r="F992" s="101"/>
      <c r="G992" s="101"/>
      <c r="H992" s="101"/>
      <c r="I992" s="101"/>
      <c r="J992" s="101"/>
      <c r="K992" s="101"/>
      <c r="L992" s="101"/>
      <c r="M992" s="101"/>
      <c r="N992" s="101"/>
      <c r="O992" s="101"/>
      <c r="P992" s="101"/>
      <c r="Q992" s="101"/>
      <c r="R992" s="101"/>
      <c r="S992" s="101"/>
      <c r="T992" s="101"/>
      <c r="U992" s="101"/>
      <c r="V992" s="101"/>
      <c r="W992" s="101"/>
      <c r="X992" s="101"/>
      <c r="Y992" s="101"/>
      <c r="Z992" s="101"/>
      <c r="AA992" s="101"/>
      <c r="AB992" s="101"/>
      <c r="AC992" s="101"/>
      <c r="AD992" s="101"/>
      <c r="AE992" s="101"/>
    </row>
    <row r="993" spans="1:31" ht="13.8">
      <c r="A993" s="101"/>
      <c r="B993" s="101"/>
      <c r="C993" s="101"/>
      <c r="D993" s="101"/>
      <c r="E993" s="101"/>
      <c r="F993" s="101"/>
      <c r="G993" s="101"/>
      <c r="H993" s="101"/>
      <c r="I993" s="101"/>
      <c r="J993" s="101"/>
      <c r="K993" s="101"/>
      <c r="L993" s="101"/>
      <c r="M993" s="101"/>
      <c r="N993" s="101"/>
      <c r="O993" s="101"/>
      <c r="P993" s="101"/>
      <c r="Q993" s="101"/>
      <c r="R993" s="101"/>
      <c r="S993" s="101"/>
      <c r="T993" s="101"/>
      <c r="U993" s="101"/>
      <c r="V993" s="101"/>
      <c r="W993" s="101"/>
      <c r="X993" s="101"/>
      <c r="Y993" s="101"/>
      <c r="Z993" s="101"/>
      <c r="AA993" s="101"/>
      <c r="AB993" s="101"/>
      <c r="AC993" s="101"/>
      <c r="AD993" s="101"/>
      <c r="AE993" s="101"/>
    </row>
    <row r="994" spans="1:31" ht="13.8">
      <c r="A994" s="101"/>
      <c r="B994" s="101"/>
      <c r="C994" s="101"/>
      <c r="D994" s="101"/>
      <c r="E994" s="101"/>
      <c r="F994" s="101"/>
      <c r="G994" s="101"/>
      <c r="H994" s="101"/>
      <c r="I994" s="101"/>
      <c r="J994" s="101"/>
      <c r="K994" s="101"/>
      <c r="L994" s="101"/>
      <c r="M994" s="101"/>
      <c r="N994" s="101"/>
      <c r="O994" s="101"/>
      <c r="P994" s="101"/>
      <c r="Q994" s="101"/>
      <c r="R994" s="101"/>
      <c r="S994" s="101"/>
      <c r="T994" s="101"/>
      <c r="U994" s="101"/>
      <c r="V994" s="101"/>
      <c r="W994" s="101"/>
      <c r="X994" s="101"/>
      <c r="Y994" s="101"/>
      <c r="Z994" s="101"/>
      <c r="AA994" s="101"/>
      <c r="AB994" s="101"/>
      <c r="AC994" s="101"/>
      <c r="AD994" s="101"/>
      <c r="AE994" s="101"/>
    </row>
    <row r="995" spans="1:31" ht="13.8">
      <c r="A995" s="101"/>
      <c r="B995" s="101"/>
      <c r="C995" s="101"/>
      <c r="D995" s="101"/>
      <c r="E995" s="101"/>
      <c r="F995" s="101"/>
      <c r="G995" s="101"/>
      <c r="H995" s="101"/>
      <c r="I995" s="101"/>
      <c r="J995" s="101"/>
      <c r="K995" s="101"/>
      <c r="L995" s="101"/>
      <c r="M995" s="101"/>
      <c r="N995" s="101"/>
      <c r="O995" s="101"/>
      <c r="P995" s="101"/>
      <c r="Q995" s="101"/>
      <c r="R995" s="101"/>
      <c r="S995" s="101"/>
      <c r="T995" s="101"/>
      <c r="U995" s="101"/>
      <c r="V995" s="101"/>
      <c r="W995" s="101"/>
      <c r="X995" s="101"/>
      <c r="Y995" s="101"/>
      <c r="Z995" s="101"/>
      <c r="AA995" s="101"/>
      <c r="AB995" s="101"/>
      <c r="AC995" s="101"/>
      <c r="AD995" s="101"/>
      <c r="AE995" s="101"/>
    </row>
    <row r="996" spans="1:31" ht="13.8">
      <c r="A996" s="101"/>
      <c r="B996" s="101"/>
      <c r="C996" s="101"/>
      <c r="D996" s="101"/>
      <c r="E996" s="101"/>
      <c r="F996" s="101"/>
      <c r="G996" s="101"/>
      <c r="H996" s="101"/>
      <c r="I996" s="101"/>
      <c r="J996" s="101"/>
      <c r="K996" s="101"/>
      <c r="L996" s="101"/>
      <c r="M996" s="101"/>
      <c r="N996" s="101"/>
      <c r="O996" s="101"/>
      <c r="P996" s="101"/>
      <c r="Q996" s="101"/>
      <c r="R996" s="101"/>
      <c r="S996" s="101"/>
      <c r="T996" s="101"/>
      <c r="U996" s="101"/>
      <c r="V996" s="101"/>
      <c r="W996" s="101"/>
      <c r="X996" s="101"/>
      <c r="Y996" s="101"/>
      <c r="Z996" s="101"/>
      <c r="AA996" s="101"/>
      <c r="AB996" s="101"/>
      <c r="AC996" s="101"/>
      <c r="AD996" s="101"/>
      <c r="AE996" s="101"/>
    </row>
    <row r="997" spans="1:31" ht="13.8">
      <c r="A997" s="101"/>
      <c r="B997" s="101"/>
      <c r="C997" s="101"/>
      <c r="D997" s="101"/>
      <c r="E997" s="101"/>
      <c r="F997" s="101"/>
      <c r="G997" s="101"/>
      <c r="H997" s="101"/>
      <c r="I997" s="101"/>
      <c r="J997" s="101"/>
      <c r="K997" s="101"/>
      <c r="L997" s="101"/>
      <c r="M997" s="101"/>
      <c r="N997" s="101"/>
      <c r="O997" s="101"/>
      <c r="P997" s="101"/>
      <c r="Q997" s="101"/>
      <c r="R997" s="101"/>
      <c r="S997" s="101"/>
      <c r="T997" s="101"/>
      <c r="U997" s="101"/>
      <c r="V997" s="101"/>
      <c r="W997" s="101"/>
      <c r="X997" s="101"/>
      <c r="Y997" s="101"/>
      <c r="Z997" s="101"/>
      <c r="AA997" s="101"/>
      <c r="AB997" s="101"/>
      <c r="AC997" s="101"/>
      <c r="AD997" s="101"/>
      <c r="AE997" s="101"/>
    </row>
    <row r="998" spans="1:31" ht="13.8">
      <c r="A998" s="101"/>
      <c r="B998" s="101"/>
      <c r="C998" s="101"/>
      <c r="D998" s="101"/>
      <c r="E998" s="101"/>
      <c r="F998" s="101"/>
      <c r="G998" s="101"/>
      <c r="H998" s="101"/>
      <c r="I998" s="101"/>
      <c r="J998" s="101"/>
      <c r="K998" s="101"/>
      <c r="L998" s="101"/>
      <c r="M998" s="101"/>
      <c r="N998" s="101"/>
      <c r="O998" s="101"/>
      <c r="P998" s="101"/>
      <c r="Q998" s="101"/>
      <c r="R998" s="101"/>
      <c r="S998" s="101"/>
      <c r="T998" s="101"/>
      <c r="U998" s="101"/>
      <c r="V998" s="101"/>
      <c r="W998" s="101"/>
      <c r="X998" s="101"/>
      <c r="Y998" s="101"/>
      <c r="Z998" s="101"/>
      <c r="AA998" s="101"/>
      <c r="AB998" s="101"/>
      <c r="AC998" s="101"/>
      <c r="AD998" s="101"/>
      <c r="AE998" s="101"/>
    </row>
    <row r="999" spans="1:31" ht="13.8">
      <c r="A999" s="101"/>
      <c r="B999" s="101"/>
      <c r="C999" s="101"/>
      <c r="D999" s="101"/>
      <c r="E999" s="101"/>
      <c r="F999" s="101"/>
      <c r="G999" s="101"/>
      <c r="H999" s="101"/>
      <c r="I999" s="101"/>
      <c r="J999" s="101"/>
      <c r="K999" s="101"/>
      <c r="L999" s="101"/>
      <c r="M999" s="101"/>
      <c r="N999" s="101"/>
      <c r="O999" s="101"/>
      <c r="P999" s="101"/>
      <c r="Q999" s="101"/>
      <c r="R999" s="101"/>
      <c r="S999" s="101"/>
      <c r="T999" s="101"/>
      <c r="U999" s="101"/>
      <c r="V999" s="101"/>
      <c r="W999" s="101"/>
      <c r="X999" s="101"/>
      <c r="Y999" s="101"/>
      <c r="Z999" s="101"/>
      <c r="AA999" s="101"/>
      <c r="AB999" s="101"/>
      <c r="AC999" s="101"/>
      <c r="AD999" s="101"/>
      <c r="AE999" s="101"/>
    </row>
    <row r="1000" spans="1:31" ht="13.8">
      <c r="A1000" s="101"/>
      <c r="B1000" s="101"/>
      <c r="C1000" s="101"/>
      <c r="D1000" s="101"/>
      <c r="E1000" s="101"/>
      <c r="F1000" s="101"/>
      <c r="G1000" s="101"/>
      <c r="H1000" s="101"/>
      <c r="I1000" s="101"/>
      <c r="J1000" s="101"/>
      <c r="K1000" s="101"/>
      <c r="L1000" s="101"/>
      <c r="M1000" s="101"/>
      <c r="N1000" s="101"/>
      <c r="O1000" s="101"/>
      <c r="P1000" s="101"/>
      <c r="Q1000" s="101"/>
      <c r="R1000" s="101"/>
      <c r="S1000" s="101"/>
      <c r="T1000" s="101"/>
      <c r="U1000" s="101"/>
      <c r="V1000" s="101"/>
      <c r="W1000" s="101"/>
      <c r="X1000" s="101"/>
      <c r="Y1000" s="101"/>
      <c r="Z1000" s="101"/>
      <c r="AA1000" s="101"/>
      <c r="AB1000" s="101"/>
      <c r="AC1000" s="101"/>
      <c r="AD1000" s="101"/>
      <c r="AE1000" s="101"/>
    </row>
  </sheetData>
  <autoFilter ref="A2:AE241" xr:uid="{00000000-0009-0000-0000-000012000000}"/>
  <mergeCells count="1">
    <mergeCell ref="A1:D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  <pageSetUpPr fitToPage="1"/>
  </sheetPr>
  <dimension ref="A1:AB45"/>
  <sheetViews>
    <sheetView workbookViewId="0"/>
  </sheetViews>
  <sheetFormatPr defaultColWidth="12.6640625" defaultRowHeight="15.75" customHeight="1"/>
  <cols>
    <col min="1" max="1" width="7.33203125" customWidth="1"/>
    <col min="3" max="3" width="28.33203125" customWidth="1"/>
    <col min="4" max="4" width="13.44140625" customWidth="1"/>
    <col min="5" max="5" width="16.77734375" customWidth="1"/>
    <col min="6" max="6" width="19.88671875" customWidth="1"/>
  </cols>
  <sheetData>
    <row r="1" spans="1:28" ht="15.75" customHeight="1">
      <c r="A1" s="360" t="s">
        <v>0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</row>
    <row r="2" spans="1:28" ht="15.75" customHeight="1">
      <c r="A2" s="8" t="s">
        <v>2</v>
      </c>
      <c r="B2" s="8" t="s">
        <v>3</v>
      </c>
      <c r="C2" s="8" t="s">
        <v>4</v>
      </c>
      <c r="D2" s="8" t="s">
        <v>5</v>
      </c>
      <c r="E2" s="8" t="s">
        <v>12779</v>
      </c>
      <c r="F2" s="8" t="s">
        <v>8</v>
      </c>
      <c r="G2" s="8" t="s">
        <v>24</v>
      </c>
      <c r="H2" s="8" t="s">
        <v>10</v>
      </c>
      <c r="I2" s="8" t="s">
        <v>11</v>
      </c>
      <c r="J2" s="8" t="s">
        <v>12</v>
      </c>
      <c r="K2" s="8" t="s">
        <v>14</v>
      </c>
      <c r="L2" s="8" t="s">
        <v>15</v>
      </c>
      <c r="M2" s="8" t="s">
        <v>16</v>
      </c>
      <c r="N2" s="8" t="s">
        <v>17</v>
      </c>
    </row>
    <row r="3" spans="1:28" ht="15.75" customHeight="1">
      <c r="A3" s="178" t="s">
        <v>47</v>
      </c>
      <c r="B3" s="178" t="s">
        <v>12785</v>
      </c>
      <c r="C3" s="178" t="s">
        <v>220</v>
      </c>
      <c r="D3" s="178"/>
      <c r="E3" s="178"/>
      <c r="F3" s="178" t="s">
        <v>12786</v>
      </c>
      <c r="G3" s="178"/>
      <c r="H3" s="178" t="s">
        <v>12792</v>
      </c>
      <c r="I3" s="178" t="s">
        <v>12793</v>
      </c>
      <c r="J3" s="178" t="s">
        <v>12795</v>
      </c>
      <c r="K3" s="188"/>
      <c r="L3" s="178" t="s">
        <v>12797</v>
      </c>
      <c r="M3" s="179" t="s">
        <v>41</v>
      </c>
      <c r="N3" s="178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</row>
    <row r="4" spans="1:28" ht="15.75" customHeight="1">
      <c r="A4" s="178" t="s">
        <v>47</v>
      </c>
      <c r="B4" s="178" t="s">
        <v>12785</v>
      </c>
      <c r="C4" s="178" t="s">
        <v>220</v>
      </c>
      <c r="D4" s="178"/>
      <c r="E4" s="178"/>
      <c r="F4" s="178" t="s">
        <v>12806</v>
      </c>
      <c r="G4" s="178"/>
      <c r="H4" s="178" t="s">
        <v>12792</v>
      </c>
      <c r="I4" s="178" t="s">
        <v>12793</v>
      </c>
      <c r="J4" s="178" t="s">
        <v>12795</v>
      </c>
      <c r="K4" s="188"/>
      <c r="L4" s="178" t="s">
        <v>12797</v>
      </c>
      <c r="M4" s="179" t="s">
        <v>41</v>
      </c>
      <c r="N4" s="178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</row>
    <row r="5" spans="1:28" ht="15.75" customHeight="1">
      <c r="A5" s="178" t="s">
        <v>47</v>
      </c>
      <c r="B5" s="178" t="s">
        <v>12785</v>
      </c>
      <c r="C5" s="178" t="s">
        <v>220</v>
      </c>
      <c r="D5" s="178"/>
      <c r="E5" s="178"/>
      <c r="F5" s="178" t="s">
        <v>12816</v>
      </c>
      <c r="G5" s="178"/>
      <c r="H5" s="178" t="s">
        <v>12792</v>
      </c>
      <c r="I5" s="178" t="s">
        <v>12793</v>
      </c>
      <c r="J5" s="178" t="s">
        <v>12795</v>
      </c>
      <c r="K5" s="188"/>
      <c r="L5" s="178" t="s">
        <v>12797</v>
      </c>
      <c r="M5" s="179" t="s">
        <v>41</v>
      </c>
      <c r="N5" s="178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</row>
    <row r="6" spans="1:28" ht="15.75" customHeight="1">
      <c r="A6" s="178" t="s">
        <v>47</v>
      </c>
      <c r="B6" s="178" t="s">
        <v>12785</v>
      </c>
      <c r="C6" s="178" t="s">
        <v>220</v>
      </c>
      <c r="D6" s="178"/>
      <c r="E6" s="178"/>
      <c r="F6" s="178" t="s">
        <v>12823</v>
      </c>
      <c r="G6" s="178"/>
      <c r="H6" s="178" t="s">
        <v>12792</v>
      </c>
      <c r="I6" s="178" t="s">
        <v>12793</v>
      </c>
      <c r="J6" s="178" t="s">
        <v>12826</v>
      </c>
      <c r="K6" s="188"/>
      <c r="L6" s="178" t="s">
        <v>12797</v>
      </c>
      <c r="M6" s="179" t="s">
        <v>41</v>
      </c>
      <c r="N6" s="178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</row>
    <row r="7" spans="1:28" ht="15.75" customHeight="1">
      <c r="A7" s="178" t="s">
        <v>47</v>
      </c>
      <c r="B7" s="178" t="s">
        <v>12785</v>
      </c>
      <c r="C7" s="178" t="s">
        <v>220</v>
      </c>
      <c r="D7" s="178"/>
      <c r="E7" s="178"/>
      <c r="F7" s="178" t="s">
        <v>12835</v>
      </c>
      <c r="G7" s="178"/>
      <c r="H7" s="178" t="s">
        <v>12792</v>
      </c>
      <c r="I7" s="178" t="s">
        <v>12793</v>
      </c>
      <c r="J7" s="178" t="s">
        <v>12826</v>
      </c>
      <c r="K7" s="188"/>
      <c r="L7" s="178" t="s">
        <v>12797</v>
      </c>
      <c r="M7" s="179" t="s">
        <v>41</v>
      </c>
      <c r="N7" s="178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</row>
    <row r="8" spans="1:28" ht="15.75" customHeight="1">
      <c r="A8" s="178" t="s">
        <v>47</v>
      </c>
      <c r="B8" s="178" t="s">
        <v>12785</v>
      </c>
      <c r="C8" s="178" t="s">
        <v>220</v>
      </c>
      <c r="D8" s="178"/>
      <c r="E8" s="178"/>
      <c r="F8" s="178" t="s">
        <v>12843</v>
      </c>
      <c r="G8" s="178"/>
      <c r="H8" s="178" t="s">
        <v>12792</v>
      </c>
      <c r="I8" s="178" t="s">
        <v>12793</v>
      </c>
      <c r="J8" s="178" t="s">
        <v>12826</v>
      </c>
      <c r="K8" s="188"/>
      <c r="L8" s="178" t="s">
        <v>12797</v>
      </c>
      <c r="M8" s="179" t="s">
        <v>41</v>
      </c>
      <c r="N8" s="178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</row>
    <row r="9" spans="1:28" ht="15.75" customHeight="1">
      <c r="A9" s="178" t="s">
        <v>47</v>
      </c>
      <c r="B9" s="178" t="s">
        <v>12785</v>
      </c>
      <c r="C9" s="178" t="s">
        <v>220</v>
      </c>
      <c r="D9" s="178"/>
      <c r="E9" s="178"/>
      <c r="F9" s="178" t="s">
        <v>12845</v>
      </c>
      <c r="G9" s="178"/>
      <c r="H9" s="178" t="s">
        <v>12792</v>
      </c>
      <c r="I9" s="178" t="s">
        <v>12793</v>
      </c>
      <c r="J9" s="178" t="s">
        <v>12826</v>
      </c>
      <c r="K9" s="188"/>
      <c r="L9" s="178" t="s">
        <v>12797</v>
      </c>
      <c r="M9" s="179" t="s">
        <v>41</v>
      </c>
      <c r="N9" s="178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</row>
    <row r="10" spans="1:28" ht="15.75" customHeight="1">
      <c r="A10" s="178" t="s">
        <v>47</v>
      </c>
      <c r="B10" s="178" t="s">
        <v>12785</v>
      </c>
      <c r="C10" s="178" t="s">
        <v>220</v>
      </c>
      <c r="D10" s="178"/>
      <c r="E10" s="178"/>
      <c r="F10" s="178" t="s">
        <v>12854</v>
      </c>
      <c r="G10" s="178"/>
      <c r="H10" s="178" t="s">
        <v>12792</v>
      </c>
      <c r="I10" s="178" t="s">
        <v>12793</v>
      </c>
      <c r="J10" s="178" t="s">
        <v>12826</v>
      </c>
      <c r="K10" s="188"/>
      <c r="L10" s="178" t="s">
        <v>12797</v>
      </c>
      <c r="M10" s="179" t="s">
        <v>41</v>
      </c>
      <c r="N10" s="178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</row>
    <row r="11" spans="1:28" ht="15.75" customHeight="1">
      <c r="A11" s="178" t="s">
        <v>47</v>
      </c>
      <c r="B11" s="178" t="s">
        <v>12785</v>
      </c>
      <c r="C11" s="178" t="s">
        <v>220</v>
      </c>
      <c r="D11" s="178"/>
      <c r="E11" s="178"/>
      <c r="F11" s="178" t="s">
        <v>12864</v>
      </c>
      <c r="G11" s="178"/>
      <c r="H11" s="178" t="s">
        <v>12792</v>
      </c>
      <c r="I11" s="178" t="s">
        <v>12793</v>
      </c>
      <c r="J11" s="178" t="s">
        <v>12826</v>
      </c>
      <c r="K11" s="188"/>
      <c r="L11" s="178" t="s">
        <v>12797</v>
      </c>
      <c r="M11" s="179" t="s">
        <v>41</v>
      </c>
      <c r="N11" s="178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</row>
    <row r="12" spans="1:28" ht="15.75" customHeight="1">
      <c r="A12" s="178" t="s">
        <v>47</v>
      </c>
      <c r="B12" s="178" t="s">
        <v>12785</v>
      </c>
      <c r="C12" s="178" t="s">
        <v>220</v>
      </c>
      <c r="D12" s="178"/>
      <c r="E12" s="178"/>
      <c r="F12" s="178" t="s">
        <v>12870</v>
      </c>
      <c r="G12" s="178"/>
      <c r="H12" s="178" t="s">
        <v>12792</v>
      </c>
      <c r="I12" s="178" t="s">
        <v>12793</v>
      </c>
      <c r="J12" s="178" t="s">
        <v>12795</v>
      </c>
      <c r="K12" s="188"/>
      <c r="L12" s="178" t="s">
        <v>12797</v>
      </c>
      <c r="M12" s="179" t="s">
        <v>41</v>
      </c>
      <c r="N12" s="178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</row>
    <row r="13" spans="1:28" ht="15.75" customHeight="1">
      <c r="A13" s="178" t="s">
        <v>47</v>
      </c>
      <c r="B13" s="178" t="s">
        <v>12785</v>
      </c>
      <c r="C13" s="178" t="s">
        <v>220</v>
      </c>
      <c r="D13" s="178"/>
      <c r="E13" s="178"/>
      <c r="F13" s="178" t="s">
        <v>12876</v>
      </c>
      <c r="G13" s="178"/>
      <c r="H13" s="178" t="s">
        <v>12792</v>
      </c>
      <c r="I13" s="178" t="s">
        <v>12793</v>
      </c>
      <c r="J13" s="178" t="s">
        <v>12878</v>
      </c>
      <c r="K13" s="188"/>
      <c r="L13" s="178" t="s">
        <v>12797</v>
      </c>
      <c r="M13" s="179" t="s">
        <v>41</v>
      </c>
      <c r="N13" s="178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</row>
    <row r="14" spans="1:28" ht="15.75" customHeight="1">
      <c r="A14" s="178" t="s">
        <v>47</v>
      </c>
      <c r="B14" s="178" t="s">
        <v>12785</v>
      </c>
      <c r="C14" s="178" t="s">
        <v>220</v>
      </c>
      <c r="D14" s="178"/>
      <c r="E14" s="178"/>
      <c r="F14" s="178" t="s">
        <v>12885</v>
      </c>
      <c r="G14" s="178"/>
      <c r="H14" s="178" t="s">
        <v>12792</v>
      </c>
      <c r="I14" s="178" t="s">
        <v>12793</v>
      </c>
      <c r="J14" s="178" t="s">
        <v>12878</v>
      </c>
      <c r="K14" s="188"/>
      <c r="L14" s="178" t="s">
        <v>12797</v>
      </c>
      <c r="M14" s="179" t="s">
        <v>41</v>
      </c>
      <c r="N14" s="178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</row>
    <row r="15" spans="1:28" ht="13.8">
      <c r="A15" s="178" t="s">
        <v>47</v>
      </c>
      <c r="B15" s="178" t="s">
        <v>12785</v>
      </c>
      <c r="C15" s="178" t="s">
        <v>220</v>
      </c>
      <c r="D15" s="178"/>
      <c r="E15" s="178"/>
      <c r="F15" s="178" t="s">
        <v>12889</v>
      </c>
      <c r="G15" s="178"/>
      <c r="H15" s="178" t="s">
        <v>12792</v>
      </c>
      <c r="I15" s="178" t="s">
        <v>12793</v>
      </c>
      <c r="J15" s="178" t="s">
        <v>12878</v>
      </c>
      <c r="K15" s="188"/>
      <c r="L15" s="178" t="s">
        <v>12797</v>
      </c>
      <c r="M15" s="179" t="s">
        <v>41</v>
      </c>
      <c r="N15" s="178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</row>
    <row r="16" spans="1:28" ht="13.8">
      <c r="A16" s="178" t="s">
        <v>47</v>
      </c>
      <c r="B16" s="178" t="s">
        <v>12785</v>
      </c>
      <c r="C16" s="178" t="s">
        <v>220</v>
      </c>
      <c r="D16" s="178"/>
      <c r="E16" s="178"/>
      <c r="F16" s="178" t="s">
        <v>12895</v>
      </c>
      <c r="G16" s="178"/>
      <c r="H16" s="178" t="s">
        <v>12792</v>
      </c>
      <c r="I16" s="178" t="s">
        <v>12793</v>
      </c>
      <c r="J16" s="178" t="s">
        <v>12878</v>
      </c>
      <c r="K16" s="188"/>
      <c r="L16" s="178" t="s">
        <v>12797</v>
      </c>
      <c r="M16" s="179" t="s">
        <v>41</v>
      </c>
      <c r="N16" s="178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</row>
    <row r="17" spans="1:28" ht="13.8">
      <c r="A17" s="178" t="s">
        <v>47</v>
      </c>
      <c r="B17" s="178" t="s">
        <v>12785</v>
      </c>
      <c r="C17" s="178" t="s">
        <v>220</v>
      </c>
      <c r="D17" s="178"/>
      <c r="E17" s="178"/>
      <c r="F17" s="178" t="s">
        <v>12897</v>
      </c>
      <c r="G17" s="178"/>
      <c r="H17" s="178" t="s">
        <v>12792</v>
      </c>
      <c r="I17" s="178" t="s">
        <v>12793</v>
      </c>
      <c r="J17" s="178" t="s">
        <v>12878</v>
      </c>
      <c r="K17" s="188"/>
      <c r="L17" s="178" t="s">
        <v>12797</v>
      </c>
      <c r="M17" s="179" t="s">
        <v>41</v>
      </c>
      <c r="N17" s="178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</row>
    <row r="18" spans="1:28" ht="13.8">
      <c r="A18" s="178" t="s">
        <v>47</v>
      </c>
      <c r="B18" s="178" t="s">
        <v>12785</v>
      </c>
      <c r="C18" s="178" t="s">
        <v>220</v>
      </c>
      <c r="D18" s="178"/>
      <c r="E18" s="178"/>
      <c r="F18" s="178" t="s">
        <v>12906</v>
      </c>
      <c r="G18" s="178"/>
      <c r="H18" s="178" t="s">
        <v>12792</v>
      </c>
      <c r="I18" s="178" t="s">
        <v>12793</v>
      </c>
      <c r="J18" s="178" t="s">
        <v>12878</v>
      </c>
      <c r="K18" s="188"/>
      <c r="L18" s="178" t="s">
        <v>12797</v>
      </c>
      <c r="M18" s="179" t="s">
        <v>41</v>
      </c>
      <c r="N18" s="178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</row>
    <row r="19" spans="1:28" ht="13.8">
      <c r="A19" s="178" t="s">
        <v>47</v>
      </c>
      <c r="B19" s="178" t="s">
        <v>12907</v>
      </c>
      <c r="C19" s="178" t="s">
        <v>220</v>
      </c>
      <c r="D19" s="178"/>
      <c r="E19" s="178"/>
      <c r="F19" s="178" t="s">
        <v>12908</v>
      </c>
      <c r="G19" s="178"/>
      <c r="H19" s="178" t="s">
        <v>12909</v>
      </c>
      <c r="I19" s="178" t="s">
        <v>12910</v>
      </c>
      <c r="J19" s="178" t="s">
        <v>12911</v>
      </c>
      <c r="K19" s="188"/>
      <c r="L19" s="178" t="s">
        <v>12913</v>
      </c>
      <c r="M19" s="179" t="s">
        <v>41</v>
      </c>
      <c r="N19" s="178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</row>
    <row r="20" spans="1:28" ht="13.8">
      <c r="A20" s="315" t="s">
        <v>47</v>
      </c>
      <c r="B20" s="178" t="s">
        <v>12921</v>
      </c>
      <c r="C20" s="178" t="s">
        <v>337</v>
      </c>
      <c r="D20" s="178"/>
      <c r="E20" s="178"/>
      <c r="F20" s="178" t="s">
        <v>12924</v>
      </c>
      <c r="G20" s="178" t="s">
        <v>3640</v>
      </c>
      <c r="H20" s="178" t="s">
        <v>12925</v>
      </c>
      <c r="I20" s="178" t="s">
        <v>227</v>
      </c>
      <c r="J20" s="178" t="s">
        <v>12927</v>
      </c>
      <c r="K20" s="188"/>
      <c r="L20" s="178" t="s">
        <v>12929</v>
      </c>
      <c r="M20" s="179" t="s">
        <v>41</v>
      </c>
      <c r="N20" s="316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</row>
    <row r="21" spans="1:28" ht="13.8">
      <c r="A21" s="178" t="s">
        <v>47</v>
      </c>
      <c r="B21" s="178" t="s">
        <v>12921</v>
      </c>
      <c r="C21" s="178" t="s">
        <v>337</v>
      </c>
      <c r="D21" s="178"/>
      <c r="E21" s="178"/>
      <c r="F21" s="178" t="s">
        <v>12932</v>
      </c>
      <c r="G21" s="178" t="s">
        <v>3640</v>
      </c>
      <c r="H21" s="178" t="s">
        <v>12925</v>
      </c>
      <c r="I21" s="178" t="s">
        <v>227</v>
      </c>
      <c r="J21" s="178" t="s">
        <v>12927</v>
      </c>
      <c r="K21" s="188"/>
      <c r="L21" s="178" t="s">
        <v>12929</v>
      </c>
      <c r="M21" s="179" t="s">
        <v>41</v>
      </c>
      <c r="N21" s="178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</row>
    <row r="22" spans="1:28" ht="13.8">
      <c r="A22" s="178" t="s">
        <v>47</v>
      </c>
      <c r="B22" s="178" t="s">
        <v>12907</v>
      </c>
      <c r="C22" s="178" t="s">
        <v>337</v>
      </c>
      <c r="D22" s="178"/>
      <c r="E22" s="178"/>
      <c r="F22" s="178" t="s">
        <v>12938</v>
      </c>
      <c r="G22" s="178" t="s">
        <v>3640</v>
      </c>
      <c r="H22" s="178"/>
      <c r="I22" s="178"/>
      <c r="J22" s="178"/>
      <c r="K22" s="188"/>
      <c r="L22" s="178"/>
      <c r="M22" s="179" t="s">
        <v>41</v>
      </c>
      <c r="N22" s="178"/>
    </row>
    <row r="23" spans="1:28" ht="13.8">
      <c r="A23" s="178" t="s">
        <v>47</v>
      </c>
      <c r="B23" s="178" t="s">
        <v>12907</v>
      </c>
      <c r="C23" s="178" t="s">
        <v>337</v>
      </c>
      <c r="D23" s="178"/>
      <c r="E23" s="178"/>
      <c r="F23" s="178" t="s">
        <v>12945</v>
      </c>
      <c r="G23" s="178" t="s">
        <v>3640</v>
      </c>
      <c r="H23" s="178"/>
      <c r="I23" s="178"/>
      <c r="J23" s="178"/>
      <c r="K23" s="188"/>
      <c r="L23" s="178"/>
      <c r="M23" s="179" t="s">
        <v>41</v>
      </c>
      <c r="N23" s="178"/>
    </row>
    <row r="24" spans="1:28" ht="13.8">
      <c r="A24" s="178" t="s">
        <v>47</v>
      </c>
      <c r="B24" s="178" t="s">
        <v>12907</v>
      </c>
      <c r="C24" s="178" t="s">
        <v>337</v>
      </c>
      <c r="D24" s="178"/>
      <c r="E24" s="178"/>
      <c r="F24" s="178" t="s">
        <v>12947</v>
      </c>
      <c r="G24" s="178" t="s">
        <v>3640</v>
      </c>
      <c r="H24" s="178"/>
      <c r="I24" s="178"/>
      <c r="J24" s="178"/>
      <c r="K24" s="188"/>
      <c r="L24" s="178"/>
      <c r="M24" s="179" t="s">
        <v>41</v>
      </c>
      <c r="N24" s="178"/>
    </row>
    <row r="25" spans="1:28" ht="13.8">
      <c r="A25" s="178" t="s">
        <v>47</v>
      </c>
      <c r="B25" s="178" t="s">
        <v>12907</v>
      </c>
      <c r="C25" s="178" t="s">
        <v>337</v>
      </c>
      <c r="D25" s="178"/>
      <c r="E25" s="178"/>
      <c r="F25" s="178" t="s">
        <v>12953</v>
      </c>
      <c r="G25" s="178" t="s">
        <v>3640</v>
      </c>
      <c r="H25" s="178"/>
      <c r="I25" s="178"/>
      <c r="J25" s="178"/>
      <c r="K25" s="188"/>
      <c r="L25" s="178"/>
      <c r="M25" s="179" t="s">
        <v>41</v>
      </c>
      <c r="N25" s="178"/>
    </row>
    <row r="26" spans="1:28" ht="13.8">
      <c r="A26" s="178" t="s">
        <v>47</v>
      </c>
      <c r="B26" s="178" t="s">
        <v>12907</v>
      </c>
      <c r="C26" s="178" t="s">
        <v>337</v>
      </c>
      <c r="D26" s="178"/>
      <c r="E26" s="178"/>
      <c r="F26" s="178" t="s">
        <v>12958</v>
      </c>
      <c r="G26" s="178" t="s">
        <v>3640</v>
      </c>
      <c r="H26" s="178"/>
      <c r="I26" s="178"/>
      <c r="J26" s="178"/>
      <c r="K26" s="188"/>
      <c r="L26" s="178"/>
      <c r="M26" s="179" t="s">
        <v>41</v>
      </c>
      <c r="N26" s="178"/>
    </row>
    <row r="27" spans="1:28" ht="13.8">
      <c r="A27" s="178" t="s">
        <v>47</v>
      </c>
      <c r="B27" s="178" t="s">
        <v>12907</v>
      </c>
      <c r="C27" s="178" t="s">
        <v>337</v>
      </c>
      <c r="D27" s="178"/>
      <c r="E27" s="178"/>
      <c r="F27" s="178" t="s">
        <v>12966</v>
      </c>
      <c r="G27" s="178" t="s">
        <v>3640</v>
      </c>
      <c r="H27" s="178"/>
      <c r="I27" s="178"/>
      <c r="J27" s="178"/>
      <c r="K27" s="188"/>
      <c r="L27" s="178"/>
      <c r="M27" s="179" t="s">
        <v>41</v>
      </c>
      <c r="N27" s="178"/>
    </row>
    <row r="28" spans="1:28" ht="13.8">
      <c r="A28" s="178" t="s">
        <v>47</v>
      </c>
      <c r="B28" s="178" t="s">
        <v>12907</v>
      </c>
      <c r="C28" s="178" t="s">
        <v>337</v>
      </c>
      <c r="D28" s="178"/>
      <c r="E28" s="178"/>
      <c r="F28" s="178" t="s">
        <v>12972</v>
      </c>
      <c r="G28" s="178" t="s">
        <v>3640</v>
      </c>
      <c r="H28" s="178"/>
      <c r="I28" s="178"/>
      <c r="J28" s="178"/>
      <c r="K28" s="188"/>
      <c r="L28" s="178"/>
      <c r="M28" s="179" t="s">
        <v>41</v>
      </c>
      <c r="N28" s="178"/>
    </row>
    <row r="29" spans="1:28" ht="13.8">
      <c r="A29" s="178" t="s">
        <v>47</v>
      </c>
      <c r="B29" s="178" t="s">
        <v>12907</v>
      </c>
      <c r="C29" s="178" t="s">
        <v>337</v>
      </c>
      <c r="D29" s="178"/>
      <c r="E29" s="178"/>
      <c r="F29" s="178" t="s">
        <v>12980</v>
      </c>
      <c r="G29" s="178" t="s">
        <v>3640</v>
      </c>
      <c r="H29" s="178"/>
      <c r="I29" s="178"/>
      <c r="J29" s="178"/>
      <c r="K29" s="188"/>
      <c r="L29" s="178"/>
      <c r="M29" s="179" t="s">
        <v>41</v>
      </c>
      <c r="N29" s="178"/>
    </row>
    <row r="30" spans="1:28" ht="13.8">
      <c r="A30" s="178" t="s">
        <v>47</v>
      </c>
      <c r="B30" s="178" t="s">
        <v>12907</v>
      </c>
      <c r="C30" s="178" t="s">
        <v>337</v>
      </c>
      <c r="D30" s="178"/>
      <c r="E30" s="178"/>
      <c r="F30" s="178" t="s">
        <v>12983</v>
      </c>
      <c r="G30" s="178" t="s">
        <v>3640</v>
      </c>
      <c r="H30" s="178"/>
      <c r="I30" s="178"/>
      <c r="J30" s="178"/>
      <c r="K30" s="188"/>
      <c r="L30" s="178"/>
      <c r="M30" s="179" t="s">
        <v>41</v>
      </c>
      <c r="N30" s="178"/>
    </row>
    <row r="31" spans="1:28" ht="13.8">
      <c r="A31" s="178" t="s">
        <v>47</v>
      </c>
      <c r="B31" s="178" t="s">
        <v>12907</v>
      </c>
      <c r="C31" s="178" t="s">
        <v>337</v>
      </c>
      <c r="D31" s="178"/>
      <c r="E31" s="178"/>
      <c r="F31" s="178" t="s">
        <v>12990</v>
      </c>
      <c r="G31" s="178" t="s">
        <v>3640</v>
      </c>
      <c r="H31" s="178"/>
      <c r="I31" s="178"/>
      <c r="J31" s="178"/>
      <c r="K31" s="188"/>
      <c r="L31" s="178"/>
      <c r="M31" s="179" t="s">
        <v>41</v>
      </c>
      <c r="N31" s="178"/>
    </row>
    <row r="32" spans="1:28" ht="13.8">
      <c r="A32" s="178" t="s">
        <v>47</v>
      </c>
      <c r="B32" s="178" t="s">
        <v>12785</v>
      </c>
      <c r="C32" s="178" t="s">
        <v>337</v>
      </c>
      <c r="D32" s="178"/>
      <c r="E32" s="178"/>
      <c r="F32" s="178" t="s">
        <v>12994</v>
      </c>
      <c r="G32" s="178" t="s">
        <v>3640</v>
      </c>
      <c r="H32" s="178" t="s">
        <v>12792</v>
      </c>
      <c r="I32" s="178" t="s">
        <v>12793</v>
      </c>
      <c r="J32" s="178" t="s">
        <v>12878</v>
      </c>
      <c r="K32" s="188"/>
      <c r="L32" s="178" t="s">
        <v>12797</v>
      </c>
      <c r="M32" s="179" t="s">
        <v>41</v>
      </c>
      <c r="N32" s="178"/>
    </row>
    <row r="33" spans="1:14" ht="13.8">
      <c r="A33" s="178" t="s">
        <v>47</v>
      </c>
      <c r="B33" s="178" t="s">
        <v>12785</v>
      </c>
      <c r="C33" s="178" t="s">
        <v>337</v>
      </c>
      <c r="D33" s="178"/>
      <c r="E33" s="178"/>
      <c r="F33" s="178" t="s">
        <v>12998</v>
      </c>
      <c r="G33" s="178" t="s">
        <v>3640</v>
      </c>
      <c r="H33" s="178" t="s">
        <v>12792</v>
      </c>
      <c r="I33" s="178" t="s">
        <v>12793</v>
      </c>
      <c r="J33" s="178" t="s">
        <v>12878</v>
      </c>
      <c r="K33" s="188"/>
      <c r="L33" s="178" t="s">
        <v>12797</v>
      </c>
      <c r="M33" s="179" t="s">
        <v>41</v>
      </c>
      <c r="N33" s="178"/>
    </row>
    <row r="34" spans="1:14" ht="13.8">
      <c r="A34" s="178" t="s">
        <v>47</v>
      </c>
      <c r="B34" s="178" t="s">
        <v>12785</v>
      </c>
      <c r="C34" s="178" t="s">
        <v>337</v>
      </c>
      <c r="D34" s="178"/>
      <c r="E34" s="178"/>
      <c r="F34" s="178" t="s">
        <v>13004</v>
      </c>
      <c r="G34" s="178" t="s">
        <v>3640</v>
      </c>
      <c r="H34" s="178" t="s">
        <v>12792</v>
      </c>
      <c r="I34" s="178" t="s">
        <v>12793</v>
      </c>
      <c r="J34" s="178" t="s">
        <v>12878</v>
      </c>
      <c r="K34" s="188"/>
      <c r="L34" s="178" t="s">
        <v>12797</v>
      </c>
      <c r="M34" s="179" t="s">
        <v>41</v>
      </c>
      <c r="N34" s="178"/>
    </row>
    <row r="35" spans="1:14" ht="13.8">
      <c r="A35" s="178" t="s">
        <v>47</v>
      </c>
      <c r="B35" s="178" t="s">
        <v>12785</v>
      </c>
      <c r="C35" s="178" t="s">
        <v>337</v>
      </c>
      <c r="D35" s="178"/>
      <c r="E35" s="178"/>
      <c r="F35" s="178" t="s">
        <v>13008</v>
      </c>
      <c r="G35" s="178" t="s">
        <v>3640</v>
      </c>
      <c r="H35" s="178" t="s">
        <v>12792</v>
      </c>
      <c r="I35" s="178" t="s">
        <v>12793</v>
      </c>
      <c r="J35" s="178" t="s">
        <v>12878</v>
      </c>
      <c r="K35" s="188"/>
      <c r="L35" s="178" t="s">
        <v>12797</v>
      </c>
      <c r="M35" s="179" t="s">
        <v>41</v>
      </c>
      <c r="N35" s="178"/>
    </row>
    <row r="36" spans="1:14" ht="13.8">
      <c r="A36" s="178" t="s">
        <v>47</v>
      </c>
      <c r="B36" s="178" t="s">
        <v>12785</v>
      </c>
      <c r="C36" s="178" t="s">
        <v>337</v>
      </c>
      <c r="D36" s="178"/>
      <c r="E36" s="178"/>
      <c r="F36" s="178" t="s">
        <v>13013</v>
      </c>
      <c r="G36" s="178" t="s">
        <v>3640</v>
      </c>
      <c r="H36" s="178" t="s">
        <v>12792</v>
      </c>
      <c r="I36" s="178" t="s">
        <v>12793</v>
      </c>
      <c r="J36" s="178" t="s">
        <v>12878</v>
      </c>
      <c r="K36" s="188"/>
      <c r="L36" s="178" t="s">
        <v>12797</v>
      </c>
      <c r="M36" s="179" t="s">
        <v>41</v>
      </c>
      <c r="N36" s="178"/>
    </row>
    <row r="37" spans="1:14" ht="13.8">
      <c r="A37" s="178" t="s">
        <v>47</v>
      </c>
      <c r="B37" s="178" t="s">
        <v>12785</v>
      </c>
      <c r="C37" s="178" t="s">
        <v>337</v>
      </c>
      <c r="D37" s="178"/>
      <c r="E37" s="178"/>
      <c r="F37" s="178" t="s">
        <v>13017</v>
      </c>
      <c r="G37" s="178" t="s">
        <v>3640</v>
      </c>
      <c r="H37" s="178" t="s">
        <v>12792</v>
      </c>
      <c r="I37" s="178" t="s">
        <v>12793</v>
      </c>
      <c r="J37" s="178" t="s">
        <v>12878</v>
      </c>
      <c r="K37" s="188"/>
      <c r="L37" s="178" t="s">
        <v>12797</v>
      </c>
      <c r="M37" s="179" t="s">
        <v>41</v>
      </c>
      <c r="N37" s="178"/>
    </row>
    <row r="38" spans="1:14" ht="13.8">
      <c r="A38" s="178" t="s">
        <v>47</v>
      </c>
      <c r="B38" s="178" t="s">
        <v>12785</v>
      </c>
      <c r="C38" s="178" t="s">
        <v>337</v>
      </c>
      <c r="D38" s="178"/>
      <c r="E38" s="178"/>
      <c r="F38" s="178" t="s">
        <v>13024</v>
      </c>
      <c r="G38" s="178" t="s">
        <v>3640</v>
      </c>
      <c r="H38" s="178" t="s">
        <v>12792</v>
      </c>
      <c r="I38" s="178" t="s">
        <v>12793</v>
      </c>
      <c r="J38" s="178" t="s">
        <v>12878</v>
      </c>
      <c r="K38" s="188"/>
      <c r="L38" s="178" t="s">
        <v>12797</v>
      </c>
      <c r="M38" s="179" t="s">
        <v>41</v>
      </c>
      <c r="N38" s="178"/>
    </row>
    <row r="39" spans="1:14" ht="13.8">
      <c r="A39" s="178" t="s">
        <v>47</v>
      </c>
      <c r="B39" s="178" t="s">
        <v>12785</v>
      </c>
      <c r="C39" s="178" t="s">
        <v>337</v>
      </c>
      <c r="D39" s="178"/>
      <c r="E39" s="178"/>
      <c r="F39" s="178" t="s">
        <v>13025</v>
      </c>
      <c r="G39" s="178" t="s">
        <v>3640</v>
      </c>
      <c r="H39" s="178" t="s">
        <v>12792</v>
      </c>
      <c r="I39" s="178" t="s">
        <v>12793</v>
      </c>
      <c r="J39" s="178" t="s">
        <v>12878</v>
      </c>
      <c r="K39" s="188"/>
      <c r="L39" s="178" t="s">
        <v>12797</v>
      </c>
      <c r="M39" s="179" t="s">
        <v>41</v>
      </c>
      <c r="N39" s="178"/>
    </row>
    <row r="40" spans="1:14" ht="13.8">
      <c r="A40" s="178" t="s">
        <v>47</v>
      </c>
      <c r="B40" s="178" t="s">
        <v>12785</v>
      </c>
      <c r="C40" s="178" t="s">
        <v>337</v>
      </c>
      <c r="D40" s="178"/>
      <c r="E40" s="178"/>
      <c r="F40" s="178" t="s">
        <v>13032</v>
      </c>
      <c r="G40" s="178" t="s">
        <v>3640</v>
      </c>
      <c r="H40" s="178" t="s">
        <v>12792</v>
      </c>
      <c r="I40" s="178" t="s">
        <v>12793</v>
      </c>
      <c r="J40" s="178" t="s">
        <v>12878</v>
      </c>
      <c r="K40" s="188"/>
      <c r="L40" s="178" t="s">
        <v>12797</v>
      </c>
      <c r="M40" s="179" t="s">
        <v>41</v>
      </c>
      <c r="N40" s="178"/>
    </row>
    <row r="41" spans="1:14" ht="13.8">
      <c r="A41" s="178" t="s">
        <v>47</v>
      </c>
      <c r="B41" s="178" t="s">
        <v>12785</v>
      </c>
      <c r="C41" s="178" t="s">
        <v>337</v>
      </c>
      <c r="D41" s="178"/>
      <c r="E41" s="178"/>
      <c r="F41" s="178" t="s">
        <v>13035</v>
      </c>
      <c r="G41" s="178" t="s">
        <v>3640</v>
      </c>
      <c r="H41" s="178" t="s">
        <v>12792</v>
      </c>
      <c r="I41" s="178" t="s">
        <v>12793</v>
      </c>
      <c r="J41" s="178" t="s">
        <v>12878</v>
      </c>
      <c r="K41" s="188"/>
      <c r="L41" s="178" t="s">
        <v>12797</v>
      </c>
      <c r="M41" s="179" t="s">
        <v>41</v>
      </c>
      <c r="N41" s="178"/>
    </row>
    <row r="42" spans="1:14" ht="13.8">
      <c r="A42" s="178" t="s">
        <v>47</v>
      </c>
      <c r="B42" s="178" t="s">
        <v>12785</v>
      </c>
      <c r="C42" s="178" t="s">
        <v>337</v>
      </c>
      <c r="D42" s="178"/>
      <c r="E42" s="178"/>
      <c r="F42" s="178" t="s">
        <v>13039</v>
      </c>
      <c r="G42" s="178" t="s">
        <v>3640</v>
      </c>
      <c r="H42" s="178" t="s">
        <v>12792</v>
      </c>
      <c r="I42" s="178" t="s">
        <v>12793</v>
      </c>
      <c r="J42" s="178" t="s">
        <v>12878</v>
      </c>
      <c r="K42" s="188"/>
      <c r="L42" s="178" t="s">
        <v>12797</v>
      </c>
      <c r="M42" s="179" t="s">
        <v>41</v>
      </c>
      <c r="N42" s="178"/>
    </row>
    <row r="43" spans="1:14" ht="13.8">
      <c r="A43" s="178" t="s">
        <v>47</v>
      </c>
      <c r="B43" s="178" t="s">
        <v>12785</v>
      </c>
      <c r="C43" s="178" t="s">
        <v>337</v>
      </c>
      <c r="D43" s="178"/>
      <c r="E43" s="178"/>
      <c r="F43" s="178" t="s">
        <v>13044</v>
      </c>
      <c r="G43" s="178" t="s">
        <v>3640</v>
      </c>
      <c r="H43" s="178" t="s">
        <v>12792</v>
      </c>
      <c r="I43" s="178" t="s">
        <v>12793</v>
      </c>
      <c r="J43" s="178" t="s">
        <v>12878</v>
      </c>
      <c r="K43" s="188"/>
      <c r="L43" s="178" t="s">
        <v>12797</v>
      </c>
      <c r="M43" s="179" t="s">
        <v>41</v>
      </c>
      <c r="N43" s="178"/>
    </row>
    <row r="44" spans="1:14" ht="13.8">
      <c r="A44" s="178" t="s">
        <v>47</v>
      </c>
      <c r="B44" s="178" t="s">
        <v>12785</v>
      </c>
      <c r="C44" s="178" t="s">
        <v>337</v>
      </c>
      <c r="D44" s="178"/>
      <c r="E44" s="178"/>
      <c r="F44" s="178" t="s">
        <v>13046</v>
      </c>
      <c r="G44" s="178" t="s">
        <v>3640</v>
      </c>
      <c r="H44" s="178" t="s">
        <v>12792</v>
      </c>
      <c r="I44" s="178" t="s">
        <v>12793</v>
      </c>
      <c r="J44" s="178" t="s">
        <v>12878</v>
      </c>
      <c r="K44" s="188"/>
      <c r="L44" s="178" t="s">
        <v>12797</v>
      </c>
      <c r="M44" s="179" t="s">
        <v>41</v>
      </c>
      <c r="N44" s="178"/>
    </row>
    <row r="45" spans="1:14" ht="13.8">
      <c r="A45" s="178" t="s">
        <v>47</v>
      </c>
      <c r="B45" s="178" t="s">
        <v>12921</v>
      </c>
      <c r="C45" s="307" t="s">
        <v>346</v>
      </c>
      <c r="D45" s="317">
        <v>1272556.51</v>
      </c>
      <c r="E45" s="178"/>
      <c r="F45" s="178" t="s">
        <v>13053</v>
      </c>
      <c r="G45" s="178"/>
      <c r="H45" s="178" t="s">
        <v>12925</v>
      </c>
      <c r="I45" s="178" t="s">
        <v>227</v>
      </c>
      <c r="J45" s="178" t="s">
        <v>12927</v>
      </c>
      <c r="K45" s="188"/>
      <c r="L45" s="178" t="s">
        <v>12929</v>
      </c>
      <c r="M45" s="318" t="s">
        <v>41</v>
      </c>
      <c r="N45" s="307"/>
    </row>
  </sheetData>
  <autoFilter ref="A2:N45" xr:uid="{00000000-0009-0000-0000-000013000000}"/>
  <mergeCells count="1">
    <mergeCell ref="A1:N1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  <pageSetUpPr fitToPage="1"/>
  </sheetPr>
  <dimension ref="A1:AB1000"/>
  <sheetViews>
    <sheetView workbookViewId="0"/>
  </sheetViews>
  <sheetFormatPr defaultColWidth="12.6640625" defaultRowHeight="15.75" customHeight="1"/>
  <cols>
    <col min="1" max="1" width="7.77734375" customWidth="1"/>
    <col min="3" max="3" width="31.109375" customWidth="1"/>
    <col min="4" max="6" width="21.77734375" customWidth="1"/>
  </cols>
  <sheetData>
    <row r="1" spans="1:28" ht="15.75" customHeight="1">
      <c r="A1" s="312" t="s">
        <v>0</v>
      </c>
      <c r="B1" s="2"/>
      <c r="C1" s="327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8"/>
      <c r="AA1" s="248"/>
      <c r="AB1" s="248"/>
    </row>
    <row r="2" spans="1:28" ht="15.75" customHeight="1">
      <c r="A2" s="8" t="s">
        <v>2</v>
      </c>
      <c r="B2" s="8" t="s">
        <v>3</v>
      </c>
      <c r="C2" s="8" t="s">
        <v>4</v>
      </c>
      <c r="D2" s="8" t="s">
        <v>5</v>
      </c>
      <c r="E2" s="8" t="s">
        <v>12779</v>
      </c>
      <c r="F2" s="8" t="s">
        <v>8</v>
      </c>
      <c r="G2" s="8" t="s">
        <v>24</v>
      </c>
      <c r="H2" s="8" t="s">
        <v>10</v>
      </c>
      <c r="I2" s="8" t="s">
        <v>11</v>
      </c>
      <c r="J2" s="8" t="s">
        <v>12</v>
      </c>
      <c r="K2" s="8" t="s">
        <v>14</v>
      </c>
      <c r="L2" s="8" t="s">
        <v>15</v>
      </c>
      <c r="M2" s="8" t="s">
        <v>16</v>
      </c>
      <c r="N2" s="8" t="s">
        <v>17</v>
      </c>
      <c r="O2" s="248"/>
      <c r="P2" s="248"/>
      <c r="Q2" s="248"/>
      <c r="R2" s="248"/>
      <c r="S2" s="248"/>
      <c r="T2" s="248"/>
      <c r="U2" s="248"/>
      <c r="V2" s="248"/>
      <c r="W2" s="248"/>
      <c r="X2" s="248"/>
      <c r="Y2" s="248"/>
      <c r="Z2" s="248"/>
      <c r="AA2" s="248"/>
      <c r="AB2" s="248"/>
    </row>
    <row r="3" spans="1:28" ht="15.75" customHeight="1">
      <c r="A3" s="28" t="s">
        <v>48</v>
      </c>
      <c r="B3" s="28" t="s">
        <v>3140</v>
      </c>
      <c r="C3" s="254" t="s">
        <v>220</v>
      </c>
      <c r="D3" s="28"/>
      <c r="E3" s="28"/>
      <c r="F3" s="28" t="s">
        <v>13400</v>
      </c>
      <c r="G3" s="28"/>
      <c r="H3" s="29"/>
      <c r="I3" s="29"/>
      <c r="J3" s="28"/>
      <c r="K3" s="29"/>
      <c r="L3" s="28" t="s">
        <v>13405</v>
      </c>
      <c r="M3" s="308"/>
      <c r="N3" s="254"/>
      <c r="O3" s="248"/>
      <c r="P3" s="248"/>
      <c r="Q3" s="248"/>
      <c r="R3" s="248"/>
      <c r="S3" s="248"/>
      <c r="T3" s="248"/>
      <c r="U3" s="248"/>
      <c r="V3" s="248"/>
      <c r="W3" s="248"/>
      <c r="X3" s="248"/>
      <c r="Y3" s="248"/>
      <c r="Z3" s="248"/>
      <c r="AA3" s="248"/>
      <c r="AB3" s="248"/>
    </row>
    <row r="4" spans="1:28" ht="15.75" customHeight="1">
      <c r="A4" s="28" t="s">
        <v>48</v>
      </c>
      <c r="B4" s="28" t="s">
        <v>3140</v>
      </c>
      <c r="C4" s="254" t="s">
        <v>220</v>
      </c>
      <c r="D4" s="28"/>
      <c r="E4" s="28"/>
      <c r="F4" s="28" t="s">
        <v>13413</v>
      </c>
      <c r="G4" s="28"/>
      <c r="H4" s="29"/>
      <c r="I4" s="29"/>
      <c r="J4" s="28"/>
      <c r="K4" s="29"/>
      <c r="L4" s="28" t="s">
        <v>13405</v>
      </c>
      <c r="M4" s="308"/>
      <c r="N4" s="254"/>
      <c r="O4" s="248"/>
      <c r="P4" s="248"/>
      <c r="Q4" s="248"/>
      <c r="R4" s="248"/>
      <c r="S4" s="248"/>
      <c r="T4" s="248"/>
      <c r="U4" s="248"/>
      <c r="V4" s="248"/>
      <c r="W4" s="248"/>
      <c r="X4" s="248"/>
      <c r="Y4" s="248"/>
      <c r="Z4" s="248"/>
      <c r="AA4" s="248"/>
      <c r="AB4" s="248"/>
    </row>
    <row r="5" spans="1:28" ht="15.75" customHeight="1">
      <c r="A5" s="28" t="s">
        <v>48</v>
      </c>
      <c r="B5" s="28" t="s">
        <v>3140</v>
      </c>
      <c r="C5" s="254" t="s">
        <v>220</v>
      </c>
      <c r="D5" s="254"/>
      <c r="E5" s="254"/>
      <c r="F5" s="254" t="s">
        <v>13418</v>
      </c>
      <c r="G5" s="254"/>
      <c r="H5" s="267"/>
      <c r="I5" s="267"/>
      <c r="J5" s="28"/>
      <c r="K5" s="267"/>
      <c r="L5" s="28" t="s">
        <v>13405</v>
      </c>
      <c r="M5" s="308"/>
      <c r="N5" s="254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48"/>
      <c r="Z5" s="248"/>
      <c r="AA5" s="248"/>
      <c r="AB5" s="248"/>
    </row>
    <row r="6" spans="1:28" ht="15.75" customHeight="1">
      <c r="A6" s="28" t="s">
        <v>48</v>
      </c>
      <c r="B6" s="28" t="s">
        <v>3140</v>
      </c>
      <c r="C6" s="254" t="s">
        <v>220</v>
      </c>
      <c r="D6" s="254"/>
      <c r="E6" s="254"/>
      <c r="F6" s="254" t="s">
        <v>13425</v>
      </c>
      <c r="G6" s="254"/>
      <c r="H6" s="267"/>
      <c r="I6" s="267"/>
      <c r="J6" s="28"/>
      <c r="K6" s="267"/>
      <c r="L6" s="28" t="s">
        <v>13405</v>
      </c>
      <c r="M6" s="308"/>
      <c r="N6" s="254"/>
      <c r="O6" s="248"/>
      <c r="P6" s="248"/>
      <c r="Q6" s="248"/>
      <c r="R6" s="248"/>
      <c r="S6" s="248"/>
      <c r="T6" s="248"/>
      <c r="U6" s="248"/>
      <c r="V6" s="248"/>
      <c r="W6" s="248"/>
      <c r="X6" s="248"/>
      <c r="Y6" s="248"/>
      <c r="Z6" s="248"/>
      <c r="AA6" s="248"/>
      <c r="AB6" s="248"/>
    </row>
    <row r="7" spans="1:28" ht="15.75" customHeight="1">
      <c r="A7" s="28" t="s">
        <v>48</v>
      </c>
      <c r="B7" s="28" t="s">
        <v>3140</v>
      </c>
      <c r="C7" s="254" t="s">
        <v>220</v>
      </c>
      <c r="D7" s="254"/>
      <c r="E7" s="254"/>
      <c r="F7" s="254" t="s">
        <v>13429</v>
      </c>
      <c r="G7" s="254"/>
      <c r="H7" s="267"/>
      <c r="I7" s="267"/>
      <c r="J7" s="28"/>
      <c r="K7" s="267"/>
      <c r="L7" s="28" t="s">
        <v>13405</v>
      </c>
      <c r="M7" s="308"/>
      <c r="N7" s="254"/>
      <c r="O7" s="248"/>
      <c r="P7" s="248"/>
      <c r="Q7" s="248"/>
      <c r="R7" s="248"/>
      <c r="S7" s="248"/>
      <c r="T7" s="248"/>
      <c r="U7" s="248"/>
      <c r="V7" s="248"/>
      <c r="W7" s="248"/>
      <c r="X7" s="248"/>
      <c r="Y7" s="248"/>
      <c r="Z7" s="248"/>
      <c r="AA7" s="248"/>
      <c r="AB7" s="248"/>
    </row>
    <row r="8" spans="1:28" ht="15.75" customHeight="1">
      <c r="A8" s="28" t="s">
        <v>48</v>
      </c>
      <c r="B8" s="28" t="s">
        <v>3140</v>
      </c>
      <c r="C8" s="254" t="s">
        <v>220</v>
      </c>
      <c r="D8" s="254"/>
      <c r="E8" s="254"/>
      <c r="F8" s="254" t="s">
        <v>13433</v>
      </c>
      <c r="G8" s="254"/>
      <c r="H8" s="267"/>
      <c r="I8" s="267"/>
      <c r="J8" s="254"/>
      <c r="K8" s="267"/>
      <c r="L8" s="28" t="s">
        <v>13405</v>
      </c>
      <c r="M8" s="308"/>
      <c r="N8" s="254"/>
      <c r="O8" s="248"/>
      <c r="P8" s="248"/>
      <c r="Q8" s="248"/>
      <c r="R8" s="248"/>
      <c r="S8" s="248"/>
      <c r="T8" s="248"/>
      <c r="U8" s="248"/>
      <c r="V8" s="248"/>
      <c r="W8" s="248"/>
      <c r="X8" s="248"/>
      <c r="Y8" s="248"/>
      <c r="Z8" s="248"/>
      <c r="AA8" s="248"/>
      <c r="AB8" s="248"/>
    </row>
    <row r="9" spans="1:28" ht="15.75" customHeight="1">
      <c r="A9" s="28" t="s">
        <v>48</v>
      </c>
      <c r="B9" s="28" t="s">
        <v>3140</v>
      </c>
      <c r="C9" s="254" t="s">
        <v>220</v>
      </c>
      <c r="D9" s="254"/>
      <c r="E9" s="254"/>
      <c r="F9" s="254" t="s">
        <v>13440</v>
      </c>
      <c r="G9" s="254"/>
      <c r="H9" s="267"/>
      <c r="I9" s="267"/>
      <c r="J9" s="254"/>
      <c r="K9" s="267"/>
      <c r="L9" s="28" t="s">
        <v>13405</v>
      </c>
      <c r="M9" s="308"/>
      <c r="N9" s="254"/>
      <c r="O9" s="248"/>
      <c r="P9" s="248"/>
      <c r="Q9" s="248"/>
      <c r="R9" s="248"/>
      <c r="S9" s="248"/>
      <c r="T9" s="248"/>
      <c r="U9" s="248"/>
      <c r="V9" s="248"/>
      <c r="W9" s="248"/>
      <c r="X9" s="248"/>
      <c r="Y9" s="248"/>
      <c r="Z9" s="248"/>
      <c r="AA9" s="248"/>
      <c r="AB9" s="248"/>
    </row>
    <row r="10" spans="1:28" ht="15.75" customHeight="1">
      <c r="A10" s="28" t="s">
        <v>48</v>
      </c>
      <c r="B10" s="28" t="s">
        <v>3140</v>
      </c>
      <c r="C10" s="254" t="s">
        <v>220</v>
      </c>
      <c r="D10" s="254"/>
      <c r="E10" s="254"/>
      <c r="F10" s="254" t="s">
        <v>13441</v>
      </c>
      <c r="G10" s="254"/>
      <c r="H10" s="328"/>
      <c r="I10" s="267"/>
      <c r="J10" s="254"/>
      <c r="K10" s="328"/>
      <c r="L10" s="28" t="s">
        <v>13405</v>
      </c>
      <c r="M10" s="308"/>
      <c r="N10" s="254"/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  <c r="AA10" s="248"/>
      <c r="AB10" s="248"/>
    </row>
    <row r="11" spans="1:28" ht="15.75" customHeight="1">
      <c r="A11" s="28" t="s">
        <v>48</v>
      </c>
      <c r="B11" s="28" t="s">
        <v>3140</v>
      </c>
      <c r="C11" s="329" t="s">
        <v>337</v>
      </c>
      <c r="D11" s="330"/>
      <c r="E11" s="330"/>
      <c r="F11" s="330" t="s">
        <v>13449</v>
      </c>
      <c r="G11" s="330"/>
      <c r="H11" s="330"/>
      <c r="I11" s="330"/>
      <c r="J11" s="330"/>
      <c r="K11" s="330"/>
      <c r="L11" s="330"/>
      <c r="M11" s="330"/>
      <c r="N11" s="330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  <c r="AA11" s="248"/>
      <c r="AB11" s="248"/>
    </row>
    <row r="12" spans="1:28" ht="15.75" customHeight="1">
      <c r="A12" s="28" t="s">
        <v>48</v>
      </c>
      <c r="B12" s="28" t="s">
        <v>3140</v>
      </c>
      <c r="C12" s="329" t="s">
        <v>337</v>
      </c>
      <c r="D12" s="330"/>
      <c r="E12" s="330"/>
      <c r="F12" s="330" t="s">
        <v>13453</v>
      </c>
      <c r="G12" s="330"/>
      <c r="H12" s="330"/>
      <c r="I12" s="330"/>
      <c r="J12" s="330"/>
      <c r="K12" s="330"/>
      <c r="L12" s="330"/>
      <c r="M12" s="330"/>
      <c r="N12" s="330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  <c r="AA12" s="248"/>
      <c r="AB12" s="248"/>
    </row>
    <row r="13" spans="1:28" ht="15.75" customHeight="1">
      <c r="A13" s="28" t="s">
        <v>48</v>
      </c>
      <c r="B13" s="28" t="s">
        <v>3140</v>
      </c>
      <c r="C13" s="329" t="s">
        <v>337</v>
      </c>
      <c r="D13" s="330"/>
      <c r="E13" s="330"/>
      <c r="F13" s="330" t="s">
        <v>13456</v>
      </c>
      <c r="G13" s="330"/>
      <c r="H13" s="330"/>
      <c r="I13" s="330"/>
      <c r="J13" s="330"/>
      <c r="K13" s="330"/>
      <c r="L13" s="330"/>
      <c r="M13" s="330"/>
      <c r="N13" s="330"/>
      <c r="O13" s="248"/>
      <c r="P13" s="248"/>
      <c r="Q13" s="248"/>
      <c r="R13" s="248"/>
      <c r="S13" s="248"/>
      <c r="T13" s="248"/>
      <c r="U13" s="248"/>
      <c r="V13" s="248"/>
      <c r="W13" s="248"/>
      <c r="X13" s="248"/>
      <c r="Y13" s="248"/>
      <c r="Z13" s="248"/>
      <c r="AA13" s="248"/>
      <c r="AB13" s="248"/>
    </row>
    <row r="14" spans="1:28" ht="15.75" customHeight="1">
      <c r="A14" s="28" t="s">
        <v>48</v>
      </c>
      <c r="B14" s="28" t="s">
        <v>3140</v>
      </c>
      <c r="C14" s="329" t="s">
        <v>337</v>
      </c>
      <c r="D14" s="330"/>
      <c r="E14" s="330"/>
      <c r="F14" s="330" t="s">
        <v>13458</v>
      </c>
      <c r="G14" s="330"/>
      <c r="H14" s="330"/>
      <c r="I14" s="330"/>
      <c r="J14" s="330"/>
      <c r="K14" s="330"/>
      <c r="L14" s="330"/>
      <c r="M14" s="330"/>
      <c r="N14" s="330"/>
      <c r="O14" s="248"/>
      <c r="P14" s="248"/>
      <c r="Q14" s="248"/>
      <c r="R14" s="248"/>
      <c r="S14" s="248"/>
      <c r="T14" s="248"/>
      <c r="U14" s="248"/>
      <c r="V14" s="248"/>
      <c r="W14" s="248"/>
      <c r="X14" s="248"/>
      <c r="Y14" s="248"/>
      <c r="Z14" s="248"/>
      <c r="AA14" s="248"/>
      <c r="AB14" s="248"/>
    </row>
    <row r="15" spans="1:28" ht="14.4">
      <c r="A15" s="28" t="s">
        <v>48</v>
      </c>
      <c r="B15" s="28" t="s">
        <v>3140</v>
      </c>
      <c r="C15" s="329" t="s">
        <v>337</v>
      </c>
      <c r="D15" s="330"/>
      <c r="E15" s="330"/>
      <c r="F15" s="330" t="s">
        <v>13462</v>
      </c>
      <c r="G15" s="330"/>
      <c r="H15" s="330"/>
      <c r="I15" s="330"/>
      <c r="J15" s="330"/>
      <c r="K15" s="330"/>
      <c r="L15" s="330"/>
      <c r="M15" s="330"/>
      <c r="N15" s="330"/>
      <c r="O15" s="248"/>
      <c r="P15" s="248"/>
      <c r="Q15" s="248"/>
      <c r="R15" s="248"/>
      <c r="S15" s="248"/>
      <c r="T15" s="248"/>
      <c r="U15" s="248"/>
      <c r="V15" s="248"/>
      <c r="W15" s="248"/>
      <c r="X15" s="248"/>
      <c r="Y15" s="248"/>
      <c r="Z15" s="248"/>
      <c r="AA15" s="248"/>
      <c r="AB15" s="248"/>
    </row>
    <row r="16" spans="1:28" ht="13.8">
      <c r="A16" s="248"/>
      <c r="B16" s="248"/>
      <c r="C16" s="331"/>
      <c r="D16" s="248"/>
      <c r="E16" s="248"/>
      <c r="F16" s="248"/>
      <c r="G16" s="248"/>
      <c r="H16" s="248"/>
      <c r="I16" s="248"/>
      <c r="J16" s="248"/>
      <c r="K16" s="248"/>
      <c r="L16" s="248"/>
      <c r="M16" s="248"/>
      <c r="N16" s="248"/>
      <c r="O16" s="248"/>
      <c r="P16" s="248"/>
      <c r="Q16" s="248"/>
      <c r="R16" s="248"/>
      <c r="S16" s="248"/>
      <c r="T16" s="248"/>
      <c r="U16" s="248"/>
      <c r="V16" s="248"/>
      <c r="W16" s="248"/>
      <c r="X16" s="248"/>
      <c r="Y16" s="248"/>
      <c r="Z16" s="248"/>
      <c r="AA16" s="248"/>
      <c r="AB16" s="248"/>
    </row>
    <row r="17" spans="1:28" ht="13.8">
      <c r="A17" s="248"/>
      <c r="B17" s="248"/>
      <c r="C17" s="331"/>
      <c r="D17" s="248"/>
      <c r="E17" s="248"/>
      <c r="F17" s="248"/>
      <c r="G17" s="248"/>
      <c r="H17" s="248"/>
      <c r="I17" s="248"/>
      <c r="J17" s="248"/>
      <c r="K17" s="248"/>
      <c r="L17" s="248"/>
      <c r="M17" s="248"/>
      <c r="N17" s="248"/>
      <c r="O17" s="248"/>
      <c r="P17" s="248"/>
      <c r="Q17" s="248"/>
      <c r="R17" s="248"/>
      <c r="S17" s="248"/>
      <c r="T17" s="248"/>
      <c r="U17" s="248"/>
      <c r="V17" s="248"/>
      <c r="W17" s="248"/>
      <c r="X17" s="248"/>
      <c r="Y17" s="248"/>
      <c r="Z17" s="248"/>
      <c r="AA17" s="248"/>
      <c r="AB17" s="248"/>
    </row>
    <row r="18" spans="1:28" ht="13.8">
      <c r="A18" s="248"/>
      <c r="B18" s="248"/>
      <c r="C18" s="331"/>
      <c r="D18" s="248"/>
      <c r="E18" s="248"/>
      <c r="F18" s="248"/>
      <c r="G18" s="248"/>
      <c r="H18" s="248"/>
      <c r="I18" s="248"/>
      <c r="J18" s="248"/>
      <c r="K18" s="248"/>
      <c r="L18" s="248"/>
      <c r="M18" s="248"/>
      <c r="N18" s="248"/>
      <c r="O18" s="248"/>
      <c r="P18" s="248"/>
      <c r="Q18" s="248"/>
      <c r="R18" s="248"/>
      <c r="S18" s="248"/>
      <c r="T18" s="248"/>
      <c r="U18" s="248"/>
      <c r="V18" s="248"/>
      <c r="W18" s="248"/>
      <c r="X18" s="248"/>
      <c r="Y18" s="248"/>
      <c r="Z18" s="248"/>
      <c r="AA18" s="248"/>
      <c r="AB18" s="248"/>
    </row>
    <row r="19" spans="1:28" ht="13.8">
      <c r="A19" s="248"/>
      <c r="B19" s="248"/>
      <c r="C19" s="331"/>
      <c r="D19" s="248"/>
      <c r="E19" s="248"/>
      <c r="F19" s="248"/>
      <c r="G19" s="248"/>
      <c r="H19" s="248"/>
      <c r="I19" s="248"/>
      <c r="J19" s="248"/>
      <c r="K19" s="248"/>
      <c r="L19" s="248"/>
      <c r="M19" s="248"/>
      <c r="N19" s="248"/>
      <c r="O19" s="248"/>
      <c r="P19" s="248"/>
      <c r="Q19" s="248"/>
      <c r="R19" s="248"/>
      <c r="S19" s="248"/>
      <c r="T19" s="248"/>
      <c r="U19" s="248"/>
      <c r="V19" s="248"/>
      <c r="W19" s="248"/>
      <c r="X19" s="248"/>
      <c r="Y19" s="248"/>
      <c r="Z19" s="248"/>
      <c r="AA19" s="248"/>
      <c r="AB19" s="248"/>
    </row>
    <row r="20" spans="1:28" ht="13.8">
      <c r="A20" s="248"/>
      <c r="B20" s="248"/>
      <c r="C20" s="331"/>
      <c r="D20" s="248"/>
      <c r="E20" s="248"/>
      <c r="F20" s="248"/>
      <c r="G20" s="248"/>
      <c r="H20" s="248"/>
      <c r="I20" s="248"/>
      <c r="J20" s="248"/>
      <c r="K20" s="248"/>
      <c r="L20" s="248"/>
      <c r="M20" s="248"/>
      <c r="N20" s="248"/>
      <c r="O20" s="248"/>
      <c r="P20" s="248"/>
      <c r="Q20" s="248"/>
      <c r="R20" s="248"/>
      <c r="S20" s="248"/>
      <c r="T20" s="248"/>
      <c r="U20" s="248"/>
      <c r="V20" s="248"/>
      <c r="W20" s="248"/>
      <c r="X20" s="248"/>
      <c r="Y20" s="248"/>
      <c r="Z20" s="248"/>
      <c r="AA20" s="248"/>
      <c r="AB20" s="248"/>
    </row>
    <row r="21" spans="1:28" ht="13.8">
      <c r="A21" s="248"/>
      <c r="B21" s="248"/>
      <c r="C21" s="331"/>
      <c r="D21" s="248"/>
      <c r="E21" s="248"/>
      <c r="F21" s="248"/>
      <c r="G21" s="248"/>
      <c r="H21" s="248"/>
      <c r="I21" s="248"/>
      <c r="J21" s="248"/>
      <c r="K21" s="248"/>
      <c r="L21" s="248"/>
      <c r="M21" s="248"/>
      <c r="N21" s="248"/>
      <c r="O21" s="248"/>
      <c r="P21" s="248"/>
      <c r="Q21" s="248"/>
      <c r="R21" s="248"/>
      <c r="S21" s="248"/>
      <c r="T21" s="248"/>
      <c r="U21" s="248"/>
      <c r="V21" s="248"/>
      <c r="W21" s="248"/>
      <c r="X21" s="248"/>
      <c r="Y21" s="248"/>
      <c r="Z21" s="248"/>
      <c r="AA21" s="248"/>
      <c r="AB21" s="248"/>
    </row>
    <row r="22" spans="1:28" ht="13.8">
      <c r="A22" s="248"/>
      <c r="B22" s="248"/>
      <c r="C22" s="331"/>
      <c r="D22" s="248"/>
      <c r="E22" s="248"/>
      <c r="F22" s="248"/>
      <c r="G22" s="248"/>
      <c r="H22" s="248"/>
      <c r="I22" s="248"/>
      <c r="J22" s="248"/>
      <c r="K22" s="248"/>
      <c r="L22" s="248"/>
      <c r="M22" s="248"/>
      <c r="N22" s="248"/>
      <c r="O22" s="248"/>
      <c r="P22" s="248"/>
      <c r="Q22" s="248"/>
      <c r="R22" s="248"/>
      <c r="S22" s="248"/>
      <c r="T22" s="248"/>
      <c r="U22" s="248"/>
      <c r="V22" s="248"/>
      <c r="W22" s="248"/>
      <c r="X22" s="248"/>
      <c r="Y22" s="248"/>
      <c r="Z22" s="248"/>
      <c r="AA22" s="248"/>
      <c r="AB22" s="248"/>
    </row>
    <row r="23" spans="1:28" ht="13.8">
      <c r="A23" s="248"/>
      <c r="B23" s="248"/>
      <c r="C23" s="331"/>
      <c r="D23" s="248"/>
      <c r="E23" s="248"/>
      <c r="F23" s="248"/>
      <c r="G23" s="248"/>
      <c r="H23" s="248"/>
      <c r="I23" s="248"/>
      <c r="J23" s="248"/>
      <c r="K23" s="248"/>
      <c r="L23" s="248"/>
      <c r="M23" s="248"/>
      <c r="N23" s="248"/>
      <c r="O23" s="248"/>
      <c r="P23" s="248"/>
      <c r="Q23" s="248"/>
      <c r="R23" s="248"/>
      <c r="S23" s="248"/>
      <c r="T23" s="248"/>
      <c r="U23" s="248"/>
      <c r="V23" s="248"/>
      <c r="W23" s="248"/>
      <c r="X23" s="248"/>
      <c r="Y23" s="248"/>
      <c r="Z23" s="248"/>
      <c r="AA23" s="248"/>
      <c r="AB23" s="248"/>
    </row>
    <row r="24" spans="1:28" ht="13.8">
      <c r="A24" s="248"/>
      <c r="B24" s="248"/>
      <c r="C24" s="331"/>
      <c r="D24" s="248"/>
      <c r="E24" s="248"/>
      <c r="F24" s="248"/>
      <c r="G24" s="248"/>
      <c r="H24" s="248"/>
      <c r="I24" s="248"/>
      <c r="J24" s="248"/>
      <c r="K24" s="248"/>
      <c r="L24" s="248"/>
      <c r="M24" s="248"/>
      <c r="N24" s="248"/>
      <c r="O24" s="248"/>
      <c r="P24" s="248"/>
      <c r="Q24" s="248"/>
      <c r="R24" s="248"/>
      <c r="S24" s="248"/>
      <c r="T24" s="248"/>
      <c r="U24" s="248"/>
      <c r="V24" s="248"/>
      <c r="W24" s="248"/>
      <c r="X24" s="248"/>
      <c r="Y24" s="248"/>
      <c r="Z24" s="248"/>
      <c r="AA24" s="248"/>
      <c r="AB24" s="248"/>
    </row>
    <row r="25" spans="1:28" ht="13.8">
      <c r="A25" s="248"/>
      <c r="B25" s="248"/>
      <c r="C25" s="331"/>
      <c r="D25" s="248"/>
      <c r="E25" s="248"/>
      <c r="F25" s="248"/>
      <c r="G25" s="248"/>
      <c r="H25" s="248"/>
      <c r="I25" s="248"/>
      <c r="J25" s="248"/>
      <c r="K25" s="248"/>
      <c r="L25" s="248"/>
      <c r="M25" s="248"/>
      <c r="N25" s="248"/>
      <c r="O25" s="248"/>
      <c r="P25" s="248"/>
      <c r="Q25" s="248"/>
      <c r="R25" s="248"/>
      <c r="S25" s="248"/>
      <c r="T25" s="248"/>
      <c r="U25" s="248"/>
      <c r="V25" s="248"/>
      <c r="W25" s="248"/>
      <c r="X25" s="248"/>
      <c r="Y25" s="248"/>
      <c r="Z25" s="248"/>
      <c r="AA25" s="248"/>
      <c r="AB25" s="248"/>
    </row>
    <row r="26" spans="1:28" ht="13.8">
      <c r="A26" s="248"/>
      <c r="B26" s="248"/>
      <c r="C26" s="331"/>
      <c r="D26" s="248"/>
      <c r="E26" s="248"/>
      <c r="F26" s="248"/>
      <c r="G26" s="248"/>
      <c r="H26" s="248"/>
      <c r="I26" s="248"/>
      <c r="J26" s="248"/>
      <c r="K26" s="248"/>
      <c r="L26" s="248"/>
      <c r="M26" s="248"/>
      <c r="N26" s="248"/>
      <c r="O26" s="248"/>
      <c r="P26" s="248"/>
      <c r="Q26" s="248"/>
      <c r="R26" s="248"/>
      <c r="S26" s="248"/>
      <c r="T26" s="248"/>
      <c r="U26" s="248"/>
      <c r="V26" s="248"/>
      <c r="W26" s="248"/>
      <c r="X26" s="248"/>
      <c r="Y26" s="248"/>
      <c r="Z26" s="248"/>
      <c r="AA26" s="248"/>
      <c r="AB26" s="248"/>
    </row>
    <row r="27" spans="1:28" ht="13.8">
      <c r="A27" s="248"/>
      <c r="B27" s="248"/>
      <c r="C27" s="331"/>
      <c r="D27" s="248"/>
      <c r="E27" s="248"/>
      <c r="F27" s="248"/>
      <c r="G27" s="248"/>
      <c r="H27" s="248"/>
      <c r="I27" s="248"/>
      <c r="J27" s="248"/>
      <c r="K27" s="248"/>
      <c r="L27" s="248"/>
      <c r="M27" s="248"/>
      <c r="N27" s="248"/>
      <c r="O27" s="248"/>
      <c r="P27" s="248"/>
      <c r="Q27" s="248"/>
      <c r="R27" s="248"/>
      <c r="S27" s="248"/>
      <c r="T27" s="248"/>
      <c r="U27" s="248"/>
      <c r="V27" s="248"/>
      <c r="W27" s="248"/>
      <c r="X27" s="248"/>
      <c r="Y27" s="248"/>
      <c r="Z27" s="248"/>
      <c r="AA27" s="248"/>
      <c r="AB27" s="248"/>
    </row>
    <row r="28" spans="1:28" ht="13.8">
      <c r="A28" s="248"/>
      <c r="B28" s="248"/>
      <c r="C28" s="331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</row>
    <row r="29" spans="1:28" ht="13.8">
      <c r="A29" s="248"/>
      <c r="B29" s="248"/>
      <c r="C29" s="331"/>
      <c r="D29" s="248"/>
      <c r="E29" s="248"/>
      <c r="F29" s="248"/>
      <c r="G29" s="248"/>
      <c r="H29" s="248"/>
      <c r="I29" s="248"/>
      <c r="J29" s="248"/>
      <c r="K29" s="248"/>
      <c r="L29" s="248"/>
      <c r="M29" s="248"/>
      <c r="N29" s="248"/>
      <c r="O29" s="248"/>
      <c r="P29" s="248"/>
      <c r="Q29" s="248"/>
      <c r="R29" s="248"/>
      <c r="S29" s="248"/>
      <c r="T29" s="248"/>
      <c r="U29" s="248"/>
      <c r="V29" s="248"/>
      <c r="W29" s="248"/>
      <c r="X29" s="248"/>
      <c r="Y29" s="248"/>
      <c r="Z29" s="248"/>
      <c r="AA29" s="248"/>
      <c r="AB29" s="248"/>
    </row>
    <row r="30" spans="1:28" ht="13.8">
      <c r="A30" s="248"/>
      <c r="B30" s="248"/>
      <c r="C30" s="331"/>
      <c r="D30" s="248"/>
      <c r="E30" s="248"/>
      <c r="F30" s="248"/>
      <c r="G30" s="248"/>
      <c r="H30" s="248"/>
      <c r="I30" s="248"/>
      <c r="J30" s="248"/>
      <c r="K30" s="248"/>
      <c r="L30" s="248"/>
      <c r="M30" s="248"/>
      <c r="N30" s="248"/>
      <c r="O30" s="248"/>
      <c r="P30" s="248"/>
      <c r="Q30" s="248"/>
      <c r="R30" s="248"/>
      <c r="S30" s="248"/>
      <c r="T30" s="248"/>
      <c r="U30" s="248"/>
      <c r="V30" s="248"/>
      <c r="W30" s="248"/>
      <c r="X30" s="248"/>
      <c r="Y30" s="248"/>
      <c r="Z30" s="248"/>
      <c r="AA30" s="248"/>
      <c r="AB30" s="248"/>
    </row>
    <row r="31" spans="1:28" ht="13.8">
      <c r="A31" s="248"/>
      <c r="B31" s="248"/>
      <c r="C31" s="331"/>
      <c r="D31" s="248"/>
      <c r="E31" s="248"/>
      <c r="F31" s="248"/>
      <c r="G31" s="248"/>
      <c r="H31" s="248"/>
      <c r="I31" s="248"/>
      <c r="J31" s="248"/>
      <c r="K31" s="248"/>
      <c r="L31" s="248"/>
      <c r="M31" s="248"/>
      <c r="N31" s="248"/>
      <c r="O31" s="248"/>
      <c r="P31" s="248"/>
      <c r="Q31" s="248"/>
      <c r="R31" s="248"/>
      <c r="S31" s="248"/>
      <c r="T31" s="248"/>
      <c r="U31" s="248"/>
      <c r="V31" s="248"/>
      <c r="W31" s="248"/>
      <c r="X31" s="248"/>
      <c r="Y31" s="248"/>
      <c r="Z31" s="248"/>
      <c r="AA31" s="248"/>
      <c r="AB31" s="248"/>
    </row>
    <row r="32" spans="1:28" ht="13.8">
      <c r="A32" s="248"/>
      <c r="B32" s="248"/>
      <c r="C32" s="331"/>
      <c r="D32" s="248"/>
      <c r="E32" s="248"/>
      <c r="F32" s="248"/>
      <c r="G32" s="248"/>
      <c r="H32" s="248"/>
      <c r="I32" s="248"/>
      <c r="J32" s="248"/>
      <c r="K32" s="248"/>
      <c r="L32" s="248"/>
      <c r="M32" s="248"/>
      <c r="N32" s="248"/>
      <c r="O32" s="248"/>
      <c r="P32" s="248"/>
      <c r="Q32" s="248"/>
      <c r="R32" s="248"/>
      <c r="S32" s="248"/>
      <c r="T32" s="248"/>
      <c r="U32" s="248"/>
      <c r="V32" s="248"/>
      <c r="W32" s="248"/>
      <c r="X32" s="248"/>
      <c r="Y32" s="248"/>
      <c r="Z32" s="248"/>
      <c r="AA32" s="248"/>
      <c r="AB32" s="248"/>
    </row>
    <row r="33" spans="1:28" ht="13.8">
      <c r="A33" s="248"/>
      <c r="B33" s="248"/>
      <c r="C33" s="331"/>
      <c r="D33" s="248"/>
      <c r="E33" s="248"/>
      <c r="F33" s="248"/>
      <c r="G33" s="248"/>
      <c r="H33" s="248"/>
      <c r="I33" s="248"/>
      <c r="J33" s="248"/>
      <c r="K33" s="248"/>
      <c r="L33" s="248"/>
      <c r="M33" s="248"/>
      <c r="N33" s="248"/>
      <c r="O33" s="248"/>
      <c r="P33" s="248"/>
      <c r="Q33" s="248"/>
      <c r="R33" s="248"/>
      <c r="S33" s="248"/>
      <c r="T33" s="248"/>
      <c r="U33" s="248"/>
      <c r="V33" s="248"/>
      <c r="W33" s="248"/>
      <c r="X33" s="248"/>
      <c r="Y33" s="248"/>
      <c r="Z33" s="248"/>
      <c r="AA33" s="248"/>
      <c r="AB33" s="248"/>
    </row>
    <row r="34" spans="1:28" ht="13.8">
      <c r="A34" s="248"/>
      <c r="B34" s="248"/>
      <c r="C34" s="331"/>
      <c r="D34" s="248"/>
      <c r="E34" s="248"/>
      <c r="F34" s="248"/>
      <c r="G34" s="248"/>
      <c r="H34" s="248"/>
      <c r="I34" s="248"/>
      <c r="J34" s="248"/>
      <c r="K34" s="248"/>
      <c r="L34" s="248"/>
      <c r="M34" s="248"/>
      <c r="N34" s="248"/>
      <c r="O34" s="248"/>
      <c r="P34" s="248"/>
      <c r="Q34" s="248"/>
      <c r="R34" s="248"/>
      <c r="S34" s="248"/>
      <c r="T34" s="248"/>
      <c r="U34" s="248"/>
      <c r="V34" s="248"/>
      <c r="W34" s="248"/>
      <c r="X34" s="248"/>
      <c r="Y34" s="248"/>
      <c r="Z34" s="248"/>
      <c r="AA34" s="248"/>
      <c r="AB34" s="248"/>
    </row>
    <row r="35" spans="1:28" ht="13.8">
      <c r="A35" s="248"/>
      <c r="B35" s="248"/>
      <c r="C35" s="331"/>
      <c r="D35" s="248"/>
      <c r="E35" s="248"/>
      <c r="F35" s="248"/>
      <c r="G35" s="248"/>
      <c r="H35" s="248"/>
      <c r="I35" s="248"/>
      <c r="J35" s="248"/>
      <c r="K35" s="248"/>
      <c r="L35" s="248"/>
      <c r="M35" s="248"/>
      <c r="N35" s="248"/>
      <c r="O35" s="248"/>
      <c r="P35" s="248"/>
      <c r="Q35" s="248"/>
      <c r="R35" s="248"/>
      <c r="S35" s="248"/>
      <c r="T35" s="248"/>
      <c r="U35" s="248"/>
      <c r="V35" s="248"/>
      <c r="W35" s="248"/>
      <c r="X35" s="248"/>
      <c r="Y35" s="248"/>
      <c r="Z35" s="248"/>
      <c r="AA35" s="248"/>
      <c r="AB35" s="248"/>
    </row>
    <row r="36" spans="1:28" ht="13.8">
      <c r="A36" s="248"/>
      <c r="B36" s="248"/>
      <c r="C36" s="331"/>
      <c r="D36" s="248"/>
      <c r="E36" s="248"/>
      <c r="F36" s="248"/>
      <c r="G36" s="248"/>
      <c r="H36" s="248"/>
      <c r="I36" s="248"/>
      <c r="J36" s="248"/>
      <c r="K36" s="248"/>
      <c r="L36" s="248"/>
      <c r="M36" s="248"/>
      <c r="N36" s="248"/>
      <c r="O36" s="248"/>
      <c r="P36" s="248"/>
      <c r="Q36" s="248"/>
      <c r="R36" s="248"/>
      <c r="S36" s="248"/>
      <c r="T36" s="248"/>
      <c r="U36" s="248"/>
      <c r="V36" s="248"/>
      <c r="W36" s="248"/>
      <c r="X36" s="248"/>
      <c r="Y36" s="248"/>
      <c r="Z36" s="248"/>
      <c r="AA36" s="248"/>
      <c r="AB36" s="248"/>
    </row>
    <row r="37" spans="1:28" ht="13.8">
      <c r="A37" s="248"/>
      <c r="B37" s="248"/>
      <c r="C37" s="331"/>
      <c r="D37" s="248"/>
      <c r="E37" s="248"/>
      <c r="F37" s="248"/>
      <c r="G37" s="248"/>
      <c r="H37" s="248"/>
      <c r="I37" s="248"/>
      <c r="J37" s="248"/>
      <c r="K37" s="248"/>
      <c r="L37" s="248"/>
      <c r="M37" s="248"/>
      <c r="N37" s="248"/>
      <c r="O37" s="248"/>
      <c r="P37" s="248"/>
      <c r="Q37" s="248"/>
      <c r="R37" s="248"/>
      <c r="S37" s="248"/>
      <c r="T37" s="248"/>
      <c r="U37" s="248"/>
      <c r="V37" s="248"/>
      <c r="W37" s="248"/>
      <c r="X37" s="248"/>
      <c r="Y37" s="248"/>
      <c r="Z37" s="248"/>
      <c r="AA37" s="248"/>
      <c r="AB37" s="248"/>
    </row>
    <row r="38" spans="1:28" ht="13.8">
      <c r="A38" s="248"/>
      <c r="B38" s="248"/>
      <c r="C38" s="331"/>
      <c r="D38" s="248"/>
      <c r="E38" s="248"/>
      <c r="F38" s="248"/>
      <c r="G38" s="248"/>
      <c r="H38" s="248"/>
      <c r="I38" s="248"/>
      <c r="J38" s="248"/>
      <c r="K38" s="248"/>
      <c r="L38" s="248"/>
      <c r="M38" s="248"/>
      <c r="N38" s="248"/>
      <c r="O38" s="248"/>
      <c r="P38" s="248"/>
      <c r="Q38" s="248"/>
      <c r="R38" s="248"/>
      <c r="S38" s="248"/>
      <c r="T38" s="248"/>
      <c r="U38" s="248"/>
      <c r="V38" s="248"/>
      <c r="W38" s="248"/>
      <c r="X38" s="248"/>
      <c r="Y38" s="248"/>
      <c r="Z38" s="248"/>
      <c r="AA38" s="248"/>
      <c r="AB38" s="248"/>
    </row>
    <row r="39" spans="1:28" ht="13.8">
      <c r="A39" s="248"/>
      <c r="B39" s="248"/>
      <c r="C39" s="331"/>
      <c r="D39" s="248"/>
      <c r="E39" s="248"/>
      <c r="F39" s="248"/>
      <c r="G39" s="248"/>
      <c r="H39" s="248"/>
      <c r="I39" s="248"/>
      <c r="J39" s="248"/>
      <c r="K39" s="248"/>
      <c r="L39" s="248"/>
      <c r="M39" s="248"/>
      <c r="N39" s="248"/>
      <c r="O39" s="248"/>
      <c r="P39" s="248"/>
      <c r="Q39" s="248"/>
      <c r="R39" s="248"/>
      <c r="S39" s="248"/>
      <c r="T39" s="248"/>
      <c r="U39" s="248"/>
      <c r="V39" s="248"/>
      <c r="W39" s="248"/>
      <c r="X39" s="248"/>
      <c r="Y39" s="248"/>
      <c r="Z39" s="248"/>
      <c r="AA39" s="248"/>
      <c r="AB39" s="248"/>
    </row>
    <row r="40" spans="1:28" ht="13.8">
      <c r="A40" s="248"/>
      <c r="B40" s="248"/>
      <c r="C40" s="331"/>
      <c r="D40" s="248"/>
      <c r="E40" s="248"/>
      <c r="F40" s="248"/>
      <c r="G40" s="248"/>
      <c r="H40" s="248"/>
      <c r="I40" s="248"/>
      <c r="J40" s="248"/>
      <c r="K40" s="248"/>
      <c r="L40" s="248"/>
      <c r="M40" s="248"/>
      <c r="N40" s="248"/>
      <c r="O40" s="248"/>
      <c r="P40" s="248"/>
      <c r="Q40" s="248"/>
      <c r="R40" s="248"/>
      <c r="S40" s="248"/>
      <c r="T40" s="248"/>
      <c r="U40" s="248"/>
      <c r="V40" s="248"/>
      <c r="W40" s="248"/>
      <c r="X40" s="248"/>
      <c r="Y40" s="248"/>
      <c r="Z40" s="248"/>
      <c r="AA40" s="248"/>
      <c r="AB40" s="248"/>
    </row>
    <row r="41" spans="1:28" ht="13.8">
      <c r="A41" s="248"/>
      <c r="B41" s="248"/>
      <c r="C41" s="331"/>
      <c r="D41" s="248"/>
      <c r="E41" s="248"/>
      <c r="F41" s="248"/>
      <c r="G41" s="248"/>
      <c r="H41" s="248"/>
      <c r="I41" s="248"/>
      <c r="J41" s="248"/>
      <c r="K41" s="248"/>
      <c r="L41" s="248"/>
      <c r="M41" s="248"/>
      <c r="N41" s="248"/>
      <c r="O41" s="248"/>
      <c r="P41" s="248"/>
      <c r="Q41" s="248"/>
      <c r="R41" s="248"/>
      <c r="S41" s="248"/>
      <c r="T41" s="248"/>
      <c r="U41" s="248"/>
      <c r="V41" s="248"/>
      <c r="W41" s="248"/>
      <c r="X41" s="248"/>
      <c r="Y41" s="248"/>
      <c r="Z41" s="248"/>
      <c r="AA41" s="248"/>
      <c r="AB41" s="248"/>
    </row>
    <row r="42" spans="1:28" ht="13.8">
      <c r="A42" s="248"/>
      <c r="B42" s="248"/>
      <c r="C42" s="331"/>
      <c r="D42" s="248"/>
      <c r="E42" s="248"/>
      <c r="F42" s="248"/>
      <c r="G42" s="248"/>
      <c r="H42" s="248"/>
      <c r="I42" s="248"/>
      <c r="J42" s="248"/>
      <c r="K42" s="248"/>
      <c r="L42" s="248"/>
      <c r="M42" s="248"/>
      <c r="N42" s="248"/>
      <c r="O42" s="248"/>
      <c r="P42" s="248"/>
      <c r="Q42" s="248"/>
      <c r="R42" s="248"/>
      <c r="S42" s="248"/>
      <c r="T42" s="248"/>
      <c r="U42" s="248"/>
      <c r="V42" s="248"/>
      <c r="W42" s="248"/>
      <c r="X42" s="248"/>
      <c r="Y42" s="248"/>
      <c r="Z42" s="248"/>
      <c r="AA42" s="248"/>
      <c r="AB42" s="248"/>
    </row>
    <row r="43" spans="1:28" ht="13.8">
      <c r="A43" s="248"/>
      <c r="B43" s="248"/>
      <c r="C43" s="331"/>
      <c r="D43" s="248"/>
      <c r="E43" s="248"/>
      <c r="F43" s="248"/>
      <c r="G43" s="248"/>
      <c r="H43" s="248"/>
      <c r="I43" s="248"/>
      <c r="J43" s="248"/>
      <c r="K43" s="248"/>
      <c r="L43" s="248"/>
      <c r="M43" s="248"/>
      <c r="N43" s="248"/>
      <c r="O43" s="248"/>
      <c r="P43" s="248"/>
      <c r="Q43" s="248"/>
      <c r="R43" s="248"/>
      <c r="S43" s="248"/>
      <c r="T43" s="248"/>
      <c r="U43" s="248"/>
      <c r="V43" s="248"/>
      <c r="W43" s="248"/>
      <c r="X43" s="248"/>
      <c r="Y43" s="248"/>
      <c r="Z43" s="248"/>
      <c r="AA43" s="248"/>
      <c r="AB43" s="248"/>
    </row>
    <row r="44" spans="1:28" ht="13.8">
      <c r="A44" s="248"/>
      <c r="B44" s="248"/>
      <c r="C44" s="331"/>
      <c r="D44" s="248"/>
      <c r="E44" s="248"/>
      <c r="F44" s="248"/>
      <c r="G44" s="248"/>
      <c r="H44" s="248"/>
      <c r="I44" s="248"/>
      <c r="J44" s="248"/>
      <c r="K44" s="248"/>
      <c r="L44" s="248"/>
      <c r="M44" s="248"/>
      <c r="N44" s="248"/>
      <c r="O44" s="248"/>
      <c r="P44" s="248"/>
      <c r="Q44" s="248"/>
      <c r="R44" s="248"/>
      <c r="S44" s="248"/>
      <c r="T44" s="248"/>
      <c r="U44" s="248"/>
      <c r="V44" s="248"/>
      <c r="W44" s="248"/>
      <c r="X44" s="248"/>
      <c r="Y44" s="248"/>
      <c r="Z44" s="248"/>
      <c r="AA44" s="248"/>
      <c r="AB44" s="248"/>
    </row>
    <row r="45" spans="1:28" ht="13.8">
      <c r="A45" s="248"/>
      <c r="B45" s="248"/>
      <c r="C45" s="331"/>
      <c r="D45" s="248"/>
      <c r="E45" s="248"/>
      <c r="F45" s="248"/>
      <c r="G45" s="248"/>
      <c r="H45" s="248"/>
      <c r="I45" s="248"/>
      <c r="J45" s="248"/>
      <c r="K45" s="248"/>
      <c r="L45" s="248"/>
      <c r="M45" s="248"/>
      <c r="N45" s="248"/>
      <c r="O45" s="248"/>
      <c r="P45" s="248"/>
      <c r="Q45" s="248"/>
      <c r="R45" s="248"/>
      <c r="S45" s="248"/>
      <c r="T45" s="248"/>
      <c r="U45" s="248"/>
      <c r="V45" s="248"/>
      <c r="W45" s="248"/>
      <c r="X45" s="248"/>
      <c r="Y45" s="248"/>
      <c r="Z45" s="248"/>
      <c r="AA45" s="248"/>
      <c r="AB45" s="248"/>
    </row>
    <row r="46" spans="1:28" ht="13.8">
      <c r="A46" s="248"/>
      <c r="B46" s="248"/>
      <c r="C46" s="331"/>
      <c r="D46" s="248"/>
      <c r="E46" s="248"/>
      <c r="F46" s="248"/>
      <c r="G46" s="248"/>
      <c r="H46" s="248"/>
      <c r="I46" s="248"/>
      <c r="J46" s="248"/>
      <c r="K46" s="248"/>
      <c r="L46" s="248"/>
      <c r="M46" s="248"/>
      <c r="N46" s="248"/>
      <c r="O46" s="248"/>
      <c r="P46" s="248"/>
      <c r="Q46" s="248"/>
      <c r="R46" s="248"/>
      <c r="S46" s="248"/>
      <c r="T46" s="248"/>
      <c r="U46" s="248"/>
      <c r="V46" s="248"/>
      <c r="W46" s="248"/>
      <c r="X46" s="248"/>
      <c r="Y46" s="248"/>
      <c r="Z46" s="248"/>
      <c r="AA46" s="248"/>
      <c r="AB46" s="248"/>
    </row>
    <row r="47" spans="1:28" ht="13.8">
      <c r="A47" s="248"/>
      <c r="B47" s="248"/>
      <c r="C47" s="331"/>
      <c r="D47" s="248"/>
      <c r="E47" s="248"/>
      <c r="F47" s="248"/>
      <c r="G47" s="248"/>
      <c r="H47" s="248"/>
      <c r="I47" s="248"/>
      <c r="J47" s="248"/>
      <c r="K47" s="248"/>
      <c r="L47" s="248"/>
      <c r="M47" s="248"/>
      <c r="N47" s="248"/>
      <c r="O47" s="248"/>
      <c r="P47" s="248"/>
      <c r="Q47" s="248"/>
      <c r="R47" s="248"/>
      <c r="S47" s="248"/>
      <c r="T47" s="248"/>
      <c r="U47" s="248"/>
      <c r="V47" s="248"/>
      <c r="W47" s="248"/>
      <c r="X47" s="248"/>
      <c r="Y47" s="248"/>
      <c r="Z47" s="248"/>
      <c r="AA47" s="248"/>
      <c r="AB47" s="248"/>
    </row>
    <row r="48" spans="1:28" ht="13.8">
      <c r="A48" s="248"/>
      <c r="B48" s="248"/>
      <c r="C48" s="331"/>
      <c r="D48" s="248"/>
      <c r="E48" s="248"/>
      <c r="F48" s="248"/>
      <c r="G48" s="248"/>
      <c r="H48" s="248"/>
      <c r="I48" s="248"/>
      <c r="J48" s="248"/>
      <c r="K48" s="248"/>
      <c r="L48" s="248"/>
      <c r="M48" s="248"/>
      <c r="N48" s="248"/>
      <c r="O48" s="248"/>
      <c r="P48" s="248"/>
      <c r="Q48" s="248"/>
      <c r="R48" s="248"/>
      <c r="S48" s="248"/>
      <c r="T48" s="248"/>
      <c r="U48" s="248"/>
      <c r="V48" s="248"/>
      <c r="W48" s="248"/>
      <c r="X48" s="248"/>
      <c r="Y48" s="248"/>
      <c r="Z48" s="248"/>
      <c r="AA48" s="248"/>
      <c r="AB48" s="248"/>
    </row>
    <row r="49" spans="1:28" ht="13.8">
      <c r="A49" s="248"/>
      <c r="B49" s="248"/>
      <c r="C49" s="331"/>
      <c r="D49" s="248"/>
      <c r="E49" s="248"/>
      <c r="F49" s="248"/>
      <c r="G49" s="248"/>
      <c r="H49" s="248"/>
      <c r="I49" s="248"/>
      <c r="J49" s="248"/>
      <c r="K49" s="248"/>
      <c r="L49" s="248"/>
      <c r="M49" s="248"/>
      <c r="N49" s="248"/>
      <c r="O49" s="248"/>
      <c r="P49" s="248"/>
      <c r="Q49" s="248"/>
      <c r="R49" s="248"/>
      <c r="S49" s="248"/>
      <c r="T49" s="248"/>
      <c r="U49" s="248"/>
      <c r="V49" s="248"/>
      <c r="W49" s="248"/>
      <c r="X49" s="248"/>
      <c r="Y49" s="248"/>
      <c r="Z49" s="248"/>
      <c r="AA49" s="248"/>
      <c r="AB49" s="248"/>
    </row>
    <row r="50" spans="1:28" ht="13.8">
      <c r="A50" s="248"/>
      <c r="B50" s="248"/>
      <c r="C50" s="331"/>
      <c r="D50" s="248"/>
      <c r="E50" s="248"/>
      <c r="F50" s="248"/>
      <c r="G50" s="248"/>
      <c r="H50" s="248"/>
      <c r="I50" s="248"/>
      <c r="J50" s="248"/>
      <c r="K50" s="248"/>
      <c r="L50" s="248"/>
      <c r="M50" s="248"/>
      <c r="N50" s="248"/>
      <c r="O50" s="248"/>
      <c r="P50" s="248"/>
      <c r="Q50" s="248"/>
      <c r="R50" s="248"/>
      <c r="S50" s="248"/>
      <c r="T50" s="248"/>
      <c r="U50" s="248"/>
      <c r="V50" s="248"/>
      <c r="W50" s="248"/>
      <c r="X50" s="248"/>
      <c r="Y50" s="248"/>
      <c r="Z50" s="248"/>
      <c r="AA50" s="248"/>
      <c r="AB50" s="248"/>
    </row>
    <row r="51" spans="1:28" ht="13.8">
      <c r="A51" s="248"/>
      <c r="B51" s="248"/>
      <c r="C51" s="331"/>
      <c r="D51" s="248"/>
      <c r="E51" s="248"/>
      <c r="F51" s="248"/>
      <c r="G51" s="248"/>
      <c r="H51" s="248"/>
      <c r="I51" s="248"/>
      <c r="J51" s="248"/>
      <c r="K51" s="248"/>
      <c r="L51" s="248"/>
      <c r="M51" s="248"/>
      <c r="N51" s="248"/>
      <c r="O51" s="248"/>
      <c r="P51" s="248"/>
      <c r="Q51" s="248"/>
      <c r="R51" s="248"/>
      <c r="S51" s="248"/>
      <c r="T51" s="248"/>
      <c r="U51" s="248"/>
      <c r="V51" s="248"/>
      <c r="W51" s="248"/>
      <c r="X51" s="248"/>
      <c r="Y51" s="248"/>
      <c r="Z51" s="248"/>
      <c r="AA51" s="248"/>
      <c r="AB51" s="248"/>
    </row>
    <row r="52" spans="1:28" ht="13.8">
      <c r="A52" s="248"/>
      <c r="B52" s="248"/>
      <c r="C52" s="331"/>
      <c r="D52" s="248"/>
      <c r="E52" s="248"/>
      <c r="F52" s="248"/>
      <c r="G52" s="248"/>
      <c r="H52" s="248"/>
      <c r="I52" s="248"/>
      <c r="J52" s="248"/>
      <c r="K52" s="248"/>
      <c r="L52" s="248"/>
      <c r="M52" s="248"/>
      <c r="N52" s="248"/>
      <c r="O52" s="248"/>
      <c r="P52" s="248"/>
      <c r="Q52" s="248"/>
      <c r="R52" s="248"/>
      <c r="S52" s="248"/>
      <c r="T52" s="248"/>
      <c r="U52" s="248"/>
      <c r="V52" s="248"/>
      <c r="W52" s="248"/>
      <c r="X52" s="248"/>
      <c r="Y52" s="248"/>
      <c r="Z52" s="248"/>
      <c r="AA52" s="248"/>
      <c r="AB52" s="248"/>
    </row>
    <row r="53" spans="1:28" ht="13.8">
      <c r="A53" s="248"/>
      <c r="B53" s="248"/>
      <c r="C53" s="331"/>
      <c r="D53" s="248"/>
      <c r="E53" s="248"/>
      <c r="F53" s="248"/>
      <c r="G53" s="248"/>
      <c r="H53" s="248"/>
      <c r="I53" s="248"/>
      <c r="J53" s="248"/>
      <c r="K53" s="248"/>
      <c r="L53" s="248"/>
      <c r="M53" s="248"/>
      <c r="N53" s="248"/>
      <c r="O53" s="248"/>
      <c r="P53" s="248"/>
      <c r="Q53" s="248"/>
      <c r="R53" s="248"/>
      <c r="S53" s="248"/>
      <c r="T53" s="248"/>
      <c r="U53" s="248"/>
      <c r="V53" s="248"/>
      <c r="W53" s="248"/>
      <c r="X53" s="248"/>
      <c r="Y53" s="248"/>
      <c r="Z53" s="248"/>
      <c r="AA53" s="248"/>
      <c r="AB53" s="248"/>
    </row>
    <row r="54" spans="1:28" ht="13.8">
      <c r="A54" s="248"/>
      <c r="B54" s="248"/>
      <c r="C54" s="331"/>
      <c r="D54" s="248"/>
      <c r="E54" s="248"/>
      <c r="F54" s="248"/>
      <c r="G54" s="248"/>
      <c r="H54" s="248"/>
      <c r="I54" s="248"/>
      <c r="J54" s="248"/>
      <c r="K54" s="248"/>
      <c r="L54" s="248"/>
      <c r="M54" s="248"/>
      <c r="N54" s="248"/>
      <c r="O54" s="248"/>
      <c r="P54" s="248"/>
      <c r="Q54" s="248"/>
      <c r="R54" s="248"/>
      <c r="S54" s="248"/>
      <c r="T54" s="248"/>
      <c r="U54" s="248"/>
      <c r="V54" s="248"/>
      <c r="W54" s="248"/>
      <c r="X54" s="248"/>
      <c r="Y54" s="248"/>
      <c r="Z54" s="248"/>
      <c r="AA54" s="248"/>
      <c r="AB54" s="248"/>
    </row>
    <row r="55" spans="1:28" ht="13.8">
      <c r="A55" s="248"/>
      <c r="B55" s="248"/>
      <c r="C55" s="331"/>
      <c r="D55" s="248"/>
      <c r="E55" s="248"/>
      <c r="F55" s="248"/>
      <c r="G55" s="248"/>
      <c r="H55" s="248"/>
      <c r="I55" s="248"/>
      <c r="J55" s="248"/>
      <c r="K55" s="248"/>
      <c r="L55" s="248"/>
      <c r="M55" s="248"/>
      <c r="N55" s="248"/>
      <c r="O55" s="248"/>
      <c r="P55" s="248"/>
      <c r="Q55" s="248"/>
      <c r="R55" s="248"/>
      <c r="S55" s="248"/>
      <c r="T55" s="248"/>
      <c r="U55" s="248"/>
      <c r="V55" s="248"/>
      <c r="W55" s="248"/>
      <c r="X55" s="248"/>
      <c r="Y55" s="248"/>
      <c r="Z55" s="248"/>
      <c r="AA55" s="248"/>
      <c r="AB55" s="248"/>
    </row>
    <row r="56" spans="1:28" ht="13.8">
      <c r="A56" s="248"/>
      <c r="B56" s="248"/>
      <c r="C56" s="331"/>
      <c r="D56" s="248"/>
      <c r="E56" s="248"/>
      <c r="F56" s="248"/>
      <c r="G56" s="248"/>
      <c r="H56" s="248"/>
      <c r="I56" s="248"/>
      <c r="J56" s="248"/>
      <c r="K56" s="248"/>
      <c r="L56" s="248"/>
      <c r="M56" s="248"/>
      <c r="N56" s="248"/>
      <c r="O56" s="248"/>
      <c r="P56" s="248"/>
      <c r="Q56" s="248"/>
      <c r="R56" s="248"/>
      <c r="S56" s="248"/>
      <c r="T56" s="248"/>
      <c r="U56" s="248"/>
      <c r="V56" s="248"/>
      <c r="W56" s="248"/>
      <c r="X56" s="248"/>
      <c r="Y56" s="248"/>
      <c r="Z56" s="248"/>
      <c r="AA56" s="248"/>
      <c r="AB56" s="248"/>
    </row>
    <row r="57" spans="1:28" ht="13.8">
      <c r="A57" s="248"/>
      <c r="B57" s="248"/>
      <c r="C57" s="331"/>
      <c r="D57" s="248"/>
      <c r="E57" s="248"/>
      <c r="F57" s="248"/>
      <c r="G57" s="248"/>
      <c r="H57" s="248"/>
      <c r="I57" s="248"/>
      <c r="J57" s="248"/>
      <c r="K57" s="248"/>
      <c r="L57" s="248"/>
      <c r="M57" s="248"/>
      <c r="N57" s="248"/>
      <c r="O57" s="248"/>
      <c r="P57" s="248"/>
      <c r="Q57" s="248"/>
      <c r="R57" s="248"/>
      <c r="S57" s="248"/>
      <c r="T57" s="248"/>
      <c r="U57" s="248"/>
      <c r="V57" s="248"/>
      <c r="W57" s="248"/>
      <c r="X57" s="248"/>
      <c r="Y57" s="248"/>
      <c r="Z57" s="248"/>
      <c r="AA57" s="248"/>
      <c r="AB57" s="248"/>
    </row>
    <row r="58" spans="1:28" ht="13.8">
      <c r="A58" s="248"/>
      <c r="B58" s="248"/>
      <c r="C58" s="331"/>
      <c r="D58" s="248"/>
      <c r="E58" s="248"/>
      <c r="F58" s="248"/>
      <c r="G58" s="248"/>
      <c r="H58" s="248"/>
      <c r="I58" s="248"/>
      <c r="J58" s="248"/>
      <c r="K58" s="248"/>
      <c r="L58" s="248"/>
      <c r="M58" s="248"/>
      <c r="N58" s="248"/>
      <c r="O58" s="248"/>
      <c r="P58" s="248"/>
      <c r="Q58" s="248"/>
      <c r="R58" s="248"/>
      <c r="S58" s="248"/>
      <c r="T58" s="248"/>
      <c r="U58" s="248"/>
      <c r="V58" s="248"/>
      <c r="W58" s="248"/>
      <c r="X58" s="248"/>
      <c r="Y58" s="248"/>
      <c r="Z58" s="248"/>
      <c r="AA58" s="248"/>
      <c r="AB58" s="248"/>
    </row>
    <row r="59" spans="1:28" ht="13.8">
      <c r="A59" s="248"/>
      <c r="B59" s="248"/>
      <c r="C59" s="331"/>
      <c r="D59" s="248"/>
      <c r="E59" s="248"/>
      <c r="F59" s="248"/>
      <c r="G59" s="248"/>
      <c r="H59" s="248"/>
      <c r="I59" s="248"/>
      <c r="J59" s="248"/>
      <c r="K59" s="248"/>
      <c r="L59" s="248"/>
      <c r="M59" s="248"/>
      <c r="N59" s="248"/>
      <c r="O59" s="248"/>
      <c r="P59" s="248"/>
      <c r="Q59" s="248"/>
      <c r="R59" s="248"/>
      <c r="S59" s="248"/>
      <c r="T59" s="248"/>
      <c r="U59" s="248"/>
      <c r="V59" s="248"/>
      <c r="W59" s="248"/>
      <c r="X59" s="248"/>
      <c r="Y59" s="248"/>
      <c r="Z59" s="248"/>
      <c r="AA59" s="248"/>
      <c r="AB59" s="248"/>
    </row>
    <row r="60" spans="1:28" ht="13.8">
      <c r="A60" s="248"/>
      <c r="B60" s="248"/>
      <c r="C60" s="331"/>
      <c r="D60" s="248"/>
      <c r="E60" s="248"/>
      <c r="F60" s="248"/>
      <c r="G60" s="248"/>
      <c r="H60" s="248"/>
      <c r="I60" s="248"/>
      <c r="J60" s="248"/>
      <c r="K60" s="248"/>
      <c r="L60" s="248"/>
      <c r="M60" s="248"/>
      <c r="N60" s="248"/>
      <c r="O60" s="248"/>
      <c r="P60" s="248"/>
      <c r="Q60" s="248"/>
      <c r="R60" s="248"/>
      <c r="S60" s="248"/>
      <c r="T60" s="248"/>
      <c r="U60" s="248"/>
      <c r="V60" s="248"/>
      <c r="W60" s="248"/>
      <c r="X60" s="248"/>
      <c r="Y60" s="248"/>
      <c r="Z60" s="248"/>
      <c r="AA60" s="248"/>
      <c r="AB60" s="248"/>
    </row>
    <row r="61" spans="1:28" ht="13.8">
      <c r="A61" s="248"/>
      <c r="B61" s="248"/>
      <c r="C61" s="331"/>
      <c r="D61" s="248"/>
      <c r="E61" s="248"/>
      <c r="F61" s="248"/>
      <c r="G61" s="248"/>
      <c r="H61" s="248"/>
      <c r="I61" s="248"/>
      <c r="J61" s="248"/>
      <c r="K61" s="248"/>
      <c r="L61" s="248"/>
      <c r="M61" s="248"/>
      <c r="N61" s="248"/>
      <c r="O61" s="248"/>
      <c r="P61" s="248"/>
      <c r="Q61" s="248"/>
      <c r="R61" s="248"/>
      <c r="S61" s="248"/>
      <c r="T61" s="248"/>
      <c r="U61" s="248"/>
      <c r="V61" s="248"/>
      <c r="W61" s="248"/>
      <c r="X61" s="248"/>
      <c r="Y61" s="248"/>
      <c r="Z61" s="248"/>
      <c r="AA61" s="248"/>
      <c r="AB61" s="248"/>
    </row>
    <row r="62" spans="1:28" ht="13.8">
      <c r="A62" s="248"/>
      <c r="B62" s="248"/>
      <c r="C62" s="331"/>
      <c r="D62" s="248"/>
      <c r="E62" s="248"/>
      <c r="F62" s="248"/>
      <c r="G62" s="248"/>
      <c r="H62" s="248"/>
      <c r="I62" s="248"/>
      <c r="J62" s="248"/>
      <c r="K62" s="248"/>
      <c r="L62" s="248"/>
      <c r="M62" s="248"/>
      <c r="N62" s="248"/>
      <c r="O62" s="248"/>
      <c r="P62" s="248"/>
      <c r="Q62" s="248"/>
      <c r="R62" s="248"/>
      <c r="S62" s="248"/>
      <c r="T62" s="248"/>
      <c r="U62" s="248"/>
      <c r="V62" s="248"/>
      <c r="W62" s="248"/>
      <c r="X62" s="248"/>
      <c r="Y62" s="248"/>
      <c r="Z62" s="248"/>
      <c r="AA62" s="248"/>
      <c r="AB62" s="248"/>
    </row>
    <row r="63" spans="1:28" ht="13.8">
      <c r="A63" s="248"/>
      <c r="B63" s="248"/>
      <c r="C63" s="331"/>
      <c r="D63" s="248"/>
      <c r="E63" s="248"/>
      <c r="F63" s="248"/>
      <c r="G63" s="248"/>
      <c r="H63" s="248"/>
      <c r="I63" s="248"/>
      <c r="J63" s="248"/>
      <c r="K63" s="248"/>
      <c r="L63" s="248"/>
      <c r="M63" s="248"/>
      <c r="N63" s="248"/>
      <c r="O63" s="248"/>
      <c r="P63" s="248"/>
      <c r="Q63" s="248"/>
      <c r="R63" s="248"/>
      <c r="S63" s="248"/>
      <c r="T63" s="248"/>
      <c r="U63" s="248"/>
      <c r="V63" s="248"/>
      <c r="W63" s="248"/>
      <c r="X63" s="248"/>
      <c r="Y63" s="248"/>
      <c r="Z63" s="248"/>
      <c r="AA63" s="248"/>
      <c r="AB63" s="248"/>
    </row>
    <row r="64" spans="1:28" ht="13.8">
      <c r="A64" s="248"/>
      <c r="B64" s="248"/>
      <c r="C64" s="331"/>
      <c r="D64" s="248"/>
      <c r="E64" s="248"/>
      <c r="F64" s="248"/>
      <c r="G64" s="248"/>
      <c r="H64" s="248"/>
      <c r="I64" s="248"/>
      <c r="J64" s="248"/>
      <c r="K64" s="248"/>
      <c r="L64" s="248"/>
      <c r="M64" s="248"/>
      <c r="N64" s="248"/>
      <c r="O64" s="248"/>
      <c r="P64" s="248"/>
      <c r="Q64" s="248"/>
      <c r="R64" s="248"/>
      <c r="S64" s="248"/>
      <c r="T64" s="248"/>
      <c r="U64" s="248"/>
      <c r="V64" s="248"/>
      <c r="W64" s="248"/>
      <c r="X64" s="248"/>
      <c r="Y64" s="248"/>
      <c r="Z64" s="248"/>
      <c r="AA64" s="248"/>
      <c r="AB64" s="248"/>
    </row>
    <row r="65" spans="1:28" ht="13.8">
      <c r="A65" s="248"/>
      <c r="B65" s="248"/>
      <c r="C65" s="331"/>
      <c r="D65" s="248"/>
      <c r="E65" s="248"/>
      <c r="F65" s="248"/>
      <c r="G65" s="248"/>
      <c r="H65" s="248"/>
      <c r="I65" s="248"/>
      <c r="J65" s="248"/>
      <c r="K65" s="248"/>
      <c r="L65" s="248"/>
      <c r="M65" s="248"/>
      <c r="N65" s="248"/>
      <c r="O65" s="248"/>
      <c r="P65" s="248"/>
      <c r="Q65" s="248"/>
      <c r="R65" s="248"/>
      <c r="S65" s="248"/>
      <c r="T65" s="248"/>
      <c r="U65" s="248"/>
      <c r="V65" s="248"/>
      <c r="W65" s="248"/>
      <c r="X65" s="248"/>
      <c r="Y65" s="248"/>
      <c r="Z65" s="248"/>
      <c r="AA65" s="248"/>
      <c r="AB65" s="248"/>
    </row>
    <row r="66" spans="1:28" ht="13.8">
      <c r="A66" s="248"/>
      <c r="B66" s="248"/>
      <c r="C66" s="331"/>
      <c r="D66" s="248"/>
      <c r="E66" s="248"/>
      <c r="F66" s="248"/>
      <c r="G66" s="248"/>
      <c r="H66" s="248"/>
      <c r="I66" s="248"/>
      <c r="J66" s="248"/>
      <c r="K66" s="248"/>
      <c r="L66" s="248"/>
      <c r="M66" s="248"/>
      <c r="N66" s="248"/>
      <c r="O66" s="248"/>
      <c r="P66" s="248"/>
      <c r="Q66" s="248"/>
      <c r="R66" s="248"/>
      <c r="S66" s="248"/>
      <c r="T66" s="248"/>
      <c r="U66" s="248"/>
      <c r="V66" s="248"/>
      <c r="W66" s="248"/>
      <c r="X66" s="248"/>
      <c r="Y66" s="248"/>
      <c r="Z66" s="248"/>
      <c r="AA66" s="248"/>
      <c r="AB66" s="248"/>
    </row>
    <row r="67" spans="1:28" ht="13.8">
      <c r="A67" s="248"/>
      <c r="B67" s="248"/>
      <c r="C67" s="331"/>
      <c r="D67" s="248"/>
      <c r="E67" s="248"/>
      <c r="F67" s="248"/>
      <c r="G67" s="248"/>
      <c r="H67" s="248"/>
      <c r="I67" s="248"/>
      <c r="J67" s="248"/>
      <c r="K67" s="248"/>
      <c r="L67" s="248"/>
      <c r="M67" s="248"/>
      <c r="N67" s="248"/>
      <c r="O67" s="248"/>
      <c r="P67" s="248"/>
      <c r="Q67" s="248"/>
      <c r="R67" s="248"/>
      <c r="S67" s="248"/>
      <c r="T67" s="248"/>
      <c r="U67" s="248"/>
      <c r="V67" s="248"/>
      <c r="W67" s="248"/>
      <c r="X67" s="248"/>
      <c r="Y67" s="248"/>
      <c r="Z67" s="248"/>
      <c r="AA67" s="248"/>
      <c r="AB67" s="248"/>
    </row>
    <row r="68" spans="1:28" ht="13.8">
      <c r="A68" s="248"/>
      <c r="B68" s="248"/>
      <c r="C68" s="331"/>
      <c r="D68" s="248"/>
      <c r="E68" s="248"/>
      <c r="F68" s="248"/>
      <c r="G68" s="248"/>
      <c r="H68" s="248"/>
      <c r="I68" s="248"/>
      <c r="J68" s="248"/>
      <c r="K68" s="248"/>
      <c r="L68" s="248"/>
      <c r="M68" s="248"/>
      <c r="N68" s="248"/>
      <c r="O68" s="248"/>
      <c r="P68" s="248"/>
      <c r="Q68" s="248"/>
      <c r="R68" s="248"/>
      <c r="S68" s="248"/>
      <c r="T68" s="248"/>
      <c r="U68" s="248"/>
      <c r="V68" s="248"/>
      <c r="W68" s="248"/>
      <c r="X68" s="248"/>
      <c r="Y68" s="248"/>
      <c r="Z68" s="248"/>
      <c r="AA68" s="248"/>
      <c r="AB68" s="248"/>
    </row>
    <row r="69" spans="1:28" ht="13.8">
      <c r="A69" s="248"/>
      <c r="B69" s="248"/>
      <c r="C69" s="331"/>
      <c r="D69" s="248"/>
      <c r="E69" s="248"/>
      <c r="F69" s="248"/>
      <c r="G69" s="248"/>
      <c r="H69" s="248"/>
      <c r="I69" s="248"/>
      <c r="J69" s="248"/>
      <c r="K69" s="248"/>
      <c r="L69" s="248"/>
      <c r="M69" s="248"/>
      <c r="N69" s="248"/>
      <c r="O69" s="248"/>
      <c r="P69" s="248"/>
      <c r="Q69" s="248"/>
      <c r="R69" s="248"/>
      <c r="S69" s="248"/>
      <c r="T69" s="248"/>
      <c r="U69" s="248"/>
      <c r="V69" s="248"/>
      <c r="W69" s="248"/>
      <c r="X69" s="248"/>
      <c r="Y69" s="248"/>
      <c r="Z69" s="248"/>
      <c r="AA69" s="248"/>
      <c r="AB69" s="248"/>
    </row>
    <row r="70" spans="1:28" ht="13.8">
      <c r="A70" s="248"/>
      <c r="B70" s="248"/>
      <c r="C70" s="331"/>
      <c r="D70" s="248"/>
      <c r="E70" s="248"/>
      <c r="F70" s="248"/>
      <c r="G70" s="248"/>
      <c r="H70" s="248"/>
      <c r="I70" s="248"/>
      <c r="J70" s="248"/>
      <c r="K70" s="248"/>
      <c r="L70" s="248"/>
      <c r="M70" s="248"/>
      <c r="N70" s="248"/>
      <c r="O70" s="248"/>
      <c r="P70" s="248"/>
      <c r="Q70" s="248"/>
      <c r="R70" s="248"/>
      <c r="S70" s="248"/>
      <c r="T70" s="248"/>
      <c r="U70" s="248"/>
      <c r="V70" s="248"/>
      <c r="W70" s="248"/>
      <c r="X70" s="248"/>
      <c r="Y70" s="248"/>
      <c r="Z70" s="248"/>
      <c r="AA70" s="248"/>
      <c r="AB70" s="248"/>
    </row>
    <row r="71" spans="1:28" ht="13.8">
      <c r="A71" s="248"/>
      <c r="B71" s="248"/>
      <c r="C71" s="331"/>
      <c r="D71" s="248"/>
      <c r="E71" s="248"/>
      <c r="F71" s="248"/>
      <c r="G71" s="248"/>
      <c r="H71" s="248"/>
      <c r="I71" s="248"/>
      <c r="J71" s="248"/>
      <c r="K71" s="248"/>
      <c r="L71" s="248"/>
      <c r="M71" s="248"/>
      <c r="N71" s="248"/>
      <c r="O71" s="248"/>
      <c r="P71" s="248"/>
      <c r="Q71" s="248"/>
      <c r="R71" s="248"/>
      <c r="S71" s="248"/>
      <c r="T71" s="248"/>
      <c r="U71" s="248"/>
      <c r="V71" s="248"/>
      <c r="W71" s="248"/>
      <c r="X71" s="248"/>
      <c r="Y71" s="248"/>
      <c r="Z71" s="248"/>
      <c r="AA71" s="248"/>
      <c r="AB71" s="248"/>
    </row>
    <row r="72" spans="1:28" ht="13.8">
      <c r="A72" s="248"/>
      <c r="B72" s="248"/>
      <c r="C72" s="331"/>
      <c r="D72" s="248"/>
      <c r="E72" s="248"/>
      <c r="F72" s="248"/>
      <c r="G72" s="248"/>
      <c r="H72" s="248"/>
      <c r="I72" s="248"/>
      <c r="J72" s="248"/>
      <c r="K72" s="248"/>
      <c r="L72" s="248"/>
      <c r="M72" s="248"/>
      <c r="N72" s="248"/>
      <c r="O72" s="248"/>
      <c r="P72" s="248"/>
      <c r="Q72" s="248"/>
      <c r="R72" s="248"/>
      <c r="S72" s="248"/>
      <c r="T72" s="248"/>
      <c r="U72" s="248"/>
      <c r="V72" s="248"/>
      <c r="W72" s="248"/>
      <c r="X72" s="248"/>
      <c r="Y72" s="248"/>
      <c r="Z72" s="248"/>
      <c r="AA72" s="248"/>
      <c r="AB72" s="248"/>
    </row>
    <row r="73" spans="1:28" ht="13.8">
      <c r="A73" s="248"/>
      <c r="B73" s="248"/>
      <c r="C73" s="331"/>
      <c r="D73" s="248"/>
      <c r="E73" s="248"/>
      <c r="F73" s="248"/>
      <c r="G73" s="248"/>
      <c r="H73" s="248"/>
      <c r="I73" s="248"/>
      <c r="J73" s="248"/>
      <c r="K73" s="248"/>
      <c r="L73" s="248"/>
      <c r="M73" s="248"/>
      <c r="N73" s="248"/>
      <c r="O73" s="248"/>
      <c r="P73" s="248"/>
      <c r="Q73" s="248"/>
      <c r="R73" s="248"/>
      <c r="S73" s="248"/>
      <c r="T73" s="248"/>
      <c r="U73" s="248"/>
      <c r="V73" s="248"/>
      <c r="W73" s="248"/>
      <c r="X73" s="248"/>
      <c r="Y73" s="248"/>
      <c r="Z73" s="248"/>
      <c r="AA73" s="248"/>
      <c r="AB73" s="248"/>
    </row>
    <row r="74" spans="1:28" ht="13.8">
      <c r="A74" s="248"/>
      <c r="B74" s="248"/>
      <c r="C74" s="331"/>
      <c r="D74" s="248"/>
      <c r="E74" s="248"/>
      <c r="F74" s="248"/>
      <c r="G74" s="248"/>
      <c r="H74" s="248"/>
      <c r="I74" s="248"/>
      <c r="J74" s="248"/>
      <c r="K74" s="248"/>
      <c r="L74" s="248"/>
      <c r="M74" s="248"/>
      <c r="N74" s="248"/>
      <c r="O74" s="248"/>
      <c r="P74" s="248"/>
      <c r="Q74" s="248"/>
      <c r="R74" s="248"/>
      <c r="S74" s="248"/>
      <c r="T74" s="248"/>
      <c r="U74" s="248"/>
      <c r="V74" s="248"/>
      <c r="W74" s="248"/>
      <c r="X74" s="248"/>
      <c r="Y74" s="248"/>
      <c r="Z74" s="248"/>
      <c r="AA74" s="248"/>
      <c r="AB74" s="248"/>
    </row>
    <row r="75" spans="1:28" ht="13.8">
      <c r="A75" s="248"/>
      <c r="B75" s="248"/>
      <c r="C75" s="331"/>
      <c r="D75" s="248"/>
      <c r="E75" s="248"/>
      <c r="F75" s="248"/>
      <c r="G75" s="248"/>
      <c r="H75" s="248"/>
      <c r="I75" s="248"/>
      <c r="J75" s="248"/>
      <c r="K75" s="248"/>
      <c r="L75" s="248"/>
      <c r="M75" s="248"/>
      <c r="N75" s="248"/>
      <c r="O75" s="248"/>
      <c r="P75" s="248"/>
      <c r="Q75" s="248"/>
      <c r="R75" s="248"/>
      <c r="S75" s="248"/>
      <c r="T75" s="248"/>
      <c r="U75" s="248"/>
      <c r="V75" s="248"/>
      <c r="W75" s="248"/>
      <c r="X75" s="248"/>
      <c r="Y75" s="248"/>
      <c r="Z75" s="248"/>
      <c r="AA75" s="248"/>
      <c r="AB75" s="248"/>
    </row>
    <row r="76" spans="1:28" ht="13.8">
      <c r="A76" s="248"/>
      <c r="B76" s="248"/>
      <c r="C76" s="331"/>
      <c r="D76" s="248"/>
      <c r="E76" s="248"/>
      <c r="F76" s="248"/>
      <c r="G76" s="248"/>
      <c r="H76" s="248"/>
      <c r="I76" s="248"/>
      <c r="J76" s="248"/>
      <c r="K76" s="248"/>
      <c r="L76" s="248"/>
      <c r="M76" s="248"/>
      <c r="N76" s="248"/>
      <c r="O76" s="248"/>
      <c r="P76" s="248"/>
      <c r="Q76" s="248"/>
      <c r="R76" s="248"/>
      <c r="S76" s="248"/>
      <c r="T76" s="248"/>
      <c r="U76" s="248"/>
      <c r="V76" s="248"/>
      <c r="W76" s="248"/>
      <c r="X76" s="248"/>
      <c r="Y76" s="248"/>
      <c r="Z76" s="248"/>
      <c r="AA76" s="248"/>
      <c r="AB76" s="248"/>
    </row>
    <row r="77" spans="1:28" ht="13.8">
      <c r="A77" s="248"/>
      <c r="B77" s="248"/>
      <c r="C77" s="331"/>
      <c r="D77" s="248"/>
      <c r="E77" s="248"/>
      <c r="F77" s="248"/>
      <c r="G77" s="248"/>
      <c r="H77" s="248"/>
      <c r="I77" s="248"/>
      <c r="J77" s="248"/>
      <c r="K77" s="248"/>
      <c r="L77" s="248"/>
      <c r="M77" s="248"/>
      <c r="N77" s="248"/>
      <c r="O77" s="248"/>
      <c r="P77" s="248"/>
      <c r="Q77" s="248"/>
      <c r="R77" s="248"/>
      <c r="S77" s="248"/>
      <c r="T77" s="248"/>
      <c r="U77" s="248"/>
      <c r="V77" s="248"/>
      <c r="W77" s="248"/>
      <c r="X77" s="248"/>
      <c r="Y77" s="248"/>
      <c r="Z77" s="248"/>
      <c r="AA77" s="248"/>
      <c r="AB77" s="248"/>
    </row>
    <row r="78" spans="1:28" ht="13.8">
      <c r="A78" s="248"/>
      <c r="B78" s="248"/>
      <c r="C78" s="331"/>
      <c r="D78" s="248"/>
      <c r="E78" s="248"/>
      <c r="F78" s="248"/>
      <c r="G78" s="248"/>
      <c r="H78" s="248"/>
      <c r="I78" s="248"/>
      <c r="J78" s="248"/>
      <c r="K78" s="248"/>
      <c r="L78" s="248"/>
      <c r="M78" s="248"/>
      <c r="N78" s="248"/>
      <c r="O78" s="248"/>
      <c r="P78" s="248"/>
      <c r="Q78" s="248"/>
      <c r="R78" s="248"/>
      <c r="S78" s="248"/>
      <c r="T78" s="248"/>
      <c r="U78" s="248"/>
      <c r="V78" s="248"/>
      <c r="W78" s="248"/>
      <c r="X78" s="248"/>
      <c r="Y78" s="248"/>
      <c r="Z78" s="248"/>
      <c r="AA78" s="248"/>
      <c r="AB78" s="248"/>
    </row>
    <row r="79" spans="1:28" ht="13.8">
      <c r="A79" s="248"/>
      <c r="B79" s="248"/>
      <c r="C79" s="331"/>
      <c r="D79" s="248"/>
      <c r="E79" s="248"/>
      <c r="F79" s="248"/>
      <c r="G79" s="248"/>
      <c r="H79" s="248"/>
      <c r="I79" s="248"/>
      <c r="J79" s="248"/>
      <c r="K79" s="248"/>
      <c r="L79" s="248"/>
      <c r="M79" s="248"/>
      <c r="N79" s="248"/>
      <c r="O79" s="248"/>
      <c r="P79" s="248"/>
      <c r="Q79" s="248"/>
      <c r="R79" s="248"/>
      <c r="S79" s="248"/>
      <c r="T79" s="248"/>
      <c r="U79" s="248"/>
      <c r="V79" s="248"/>
      <c r="W79" s="248"/>
      <c r="X79" s="248"/>
      <c r="Y79" s="248"/>
      <c r="Z79" s="248"/>
      <c r="AA79" s="248"/>
      <c r="AB79" s="248"/>
    </row>
    <row r="80" spans="1:28" ht="13.8">
      <c r="A80" s="248"/>
      <c r="B80" s="248"/>
      <c r="C80" s="331"/>
      <c r="D80" s="248"/>
      <c r="E80" s="248"/>
      <c r="F80" s="248"/>
      <c r="G80" s="248"/>
      <c r="H80" s="248"/>
      <c r="I80" s="248"/>
      <c r="J80" s="248"/>
      <c r="K80" s="248"/>
      <c r="L80" s="248"/>
      <c r="M80" s="248"/>
      <c r="N80" s="248"/>
      <c r="O80" s="248"/>
      <c r="P80" s="248"/>
      <c r="Q80" s="248"/>
      <c r="R80" s="248"/>
      <c r="S80" s="248"/>
      <c r="T80" s="248"/>
      <c r="U80" s="248"/>
      <c r="V80" s="248"/>
      <c r="W80" s="248"/>
      <c r="X80" s="248"/>
      <c r="Y80" s="248"/>
      <c r="Z80" s="248"/>
      <c r="AA80" s="248"/>
      <c r="AB80" s="248"/>
    </row>
    <row r="81" spans="1:28" ht="13.8">
      <c r="A81" s="248"/>
      <c r="B81" s="248"/>
      <c r="C81" s="331"/>
      <c r="D81" s="248"/>
      <c r="E81" s="248"/>
      <c r="F81" s="248"/>
      <c r="G81" s="248"/>
      <c r="H81" s="248"/>
      <c r="I81" s="248"/>
      <c r="J81" s="248"/>
      <c r="K81" s="248"/>
      <c r="L81" s="248"/>
      <c r="M81" s="248"/>
      <c r="N81" s="248"/>
      <c r="O81" s="248"/>
      <c r="P81" s="248"/>
      <c r="Q81" s="248"/>
      <c r="R81" s="248"/>
      <c r="S81" s="248"/>
      <c r="T81" s="248"/>
      <c r="U81" s="248"/>
      <c r="V81" s="248"/>
      <c r="W81" s="248"/>
      <c r="X81" s="248"/>
      <c r="Y81" s="248"/>
      <c r="Z81" s="248"/>
      <c r="AA81" s="248"/>
      <c r="AB81" s="248"/>
    </row>
    <row r="82" spans="1:28" ht="13.8">
      <c r="A82" s="248"/>
      <c r="B82" s="248"/>
      <c r="C82" s="331"/>
      <c r="D82" s="248"/>
      <c r="E82" s="248"/>
      <c r="F82" s="248"/>
      <c r="G82" s="248"/>
      <c r="H82" s="248"/>
      <c r="I82" s="248"/>
      <c r="J82" s="248"/>
      <c r="K82" s="248"/>
      <c r="L82" s="248"/>
      <c r="M82" s="248"/>
      <c r="N82" s="248"/>
      <c r="O82" s="248"/>
      <c r="P82" s="248"/>
      <c r="Q82" s="248"/>
      <c r="R82" s="248"/>
      <c r="S82" s="248"/>
      <c r="T82" s="248"/>
      <c r="U82" s="248"/>
      <c r="V82" s="248"/>
      <c r="W82" s="248"/>
      <c r="X82" s="248"/>
      <c r="Y82" s="248"/>
      <c r="Z82" s="248"/>
      <c r="AA82" s="248"/>
      <c r="AB82" s="248"/>
    </row>
    <row r="83" spans="1:28" ht="13.8">
      <c r="A83" s="248"/>
      <c r="B83" s="248"/>
      <c r="C83" s="331"/>
      <c r="D83" s="248"/>
      <c r="E83" s="248"/>
      <c r="F83" s="248"/>
      <c r="G83" s="248"/>
      <c r="H83" s="248"/>
      <c r="I83" s="248"/>
      <c r="J83" s="248"/>
      <c r="K83" s="248"/>
      <c r="L83" s="248"/>
      <c r="M83" s="248"/>
      <c r="N83" s="248"/>
      <c r="O83" s="248"/>
      <c r="P83" s="248"/>
      <c r="Q83" s="248"/>
      <c r="R83" s="248"/>
      <c r="S83" s="248"/>
      <c r="T83" s="248"/>
      <c r="U83" s="248"/>
      <c r="V83" s="248"/>
      <c r="W83" s="248"/>
      <c r="X83" s="248"/>
      <c r="Y83" s="248"/>
      <c r="Z83" s="248"/>
      <c r="AA83" s="248"/>
      <c r="AB83" s="248"/>
    </row>
    <row r="84" spans="1:28" ht="13.8">
      <c r="A84" s="248"/>
      <c r="B84" s="248"/>
      <c r="C84" s="331"/>
      <c r="D84" s="248"/>
      <c r="E84" s="248"/>
      <c r="F84" s="248"/>
      <c r="G84" s="248"/>
      <c r="H84" s="248"/>
      <c r="I84" s="248"/>
      <c r="J84" s="248"/>
      <c r="K84" s="248"/>
      <c r="L84" s="248"/>
      <c r="M84" s="248"/>
      <c r="N84" s="248"/>
      <c r="O84" s="248"/>
      <c r="P84" s="248"/>
      <c r="Q84" s="248"/>
      <c r="R84" s="248"/>
      <c r="S84" s="248"/>
      <c r="T84" s="248"/>
      <c r="U84" s="248"/>
      <c r="V84" s="248"/>
      <c r="W84" s="248"/>
      <c r="X84" s="248"/>
      <c r="Y84" s="248"/>
      <c r="Z84" s="248"/>
      <c r="AA84" s="248"/>
      <c r="AB84" s="248"/>
    </row>
    <row r="85" spans="1:28" ht="13.8">
      <c r="A85" s="248"/>
      <c r="B85" s="248"/>
      <c r="C85" s="331"/>
      <c r="D85" s="248"/>
      <c r="E85" s="248"/>
      <c r="F85" s="248"/>
      <c r="G85" s="248"/>
      <c r="H85" s="248"/>
      <c r="I85" s="248"/>
      <c r="J85" s="248"/>
      <c r="K85" s="248"/>
      <c r="L85" s="248"/>
      <c r="M85" s="248"/>
      <c r="N85" s="248"/>
      <c r="O85" s="248"/>
      <c r="P85" s="248"/>
      <c r="Q85" s="248"/>
      <c r="R85" s="248"/>
      <c r="S85" s="248"/>
      <c r="T85" s="248"/>
      <c r="U85" s="248"/>
      <c r="V85" s="248"/>
      <c r="W85" s="248"/>
      <c r="X85" s="248"/>
      <c r="Y85" s="248"/>
      <c r="Z85" s="248"/>
      <c r="AA85" s="248"/>
      <c r="AB85" s="248"/>
    </row>
    <row r="86" spans="1:28" ht="13.8">
      <c r="A86" s="248"/>
      <c r="B86" s="248"/>
      <c r="C86" s="331"/>
      <c r="D86" s="248"/>
      <c r="E86" s="248"/>
      <c r="F86" s="248"/>
      <c r="G86" s="248"/>
      <c r="H86" s="248"/>
      <c r="I86" s="248"/>
      <c r="J86" s="248"/>
      <c r="K86" s="248"/>
      <c r="L86" s="248"/>
      <c r="M86" s="248"/>
      <c r="N86" s="248"/>
      <c r="O86" s="248"/>
      <c r="P86" s="248"/>
      <c r="Q86" s="248"/>
      <c r="R86" s="248"/>
      <c r="S86" s="248"/>
      <c r="T86" s="248"/>
      <c r="U86" s="248"/>
      <c r="V86" s="248"/>
      <c r="W86" s="248"/>
      <c r="X86" s="248"/>
      <c r="Y86" s="248"/>
      <c r="Z86" s="248"/>
      <c r="AA86" s="248"/>
      <c r="AB86" s="248"/>
    </row>
    <row r="87" spans="1:28" ht="13.8">
      <c r="A87" s="248"/>
      <c r="B87" s="248"/>
      <c r="C87" s="331"/>
      <c r="D87" s="248"/>
      <c r="E87" s="248"/>
      <c r="F87" s="248"/>
      <c r="G87" s="248"/>
      <c r="H87" s="248"/>
      <c r="I87" s="248"/>
      <c r="J87" s="248"/>
      <c r="K87" s="248"/>
      <c r="L87" s="248"/>
      <c r="M87" s="248"/>
      <c r="N87" s="248"/>
      <c r="O87" s="248"/>
      <c r="P87" s="248"/>
      <c r="Q87" s="248"/>
      <c r="R87" s="248"/>
      <c r="S87" s="248"/>
      <c r="T87" s="248"/>
      <c r="U87" s="248"/>
      <c r="V87" s="248"/>
      <c r="W87" s="248"/>
      <c r="X87" s="248"/>
      <c r="Y87" s="248"/>
      <c r="Z87" s="248"/>
      <c r="AA87" s="248"/>
      <c r="AB87" s="248"/>
    </row>
    <row r="88" spans="1:28" ht="13.8">
      <c r="A88" s="248"/>
      <c r="B88" s="248"/>
      <c r="C88" s="331"/>
      <c r="D88" s="248"/>
      <c r="E88" s="248"/>
      <c r="F88" s="248"/>
      <c r="G88" s="248"/>
      <c r="H88" s="248"/>
      <c r="I88" s="248"/>
      <c r="J88" s="248"/>
      <c r="K88" s="248"/>
      <c r="L88" s="248"/>
      <c r="M88" s="248"/>
      <c r="N88" s="248"/>
      <c r="O88" s="248"/>
      <c r="P88" s="248"/>
      <c r="Q88" s="248"/>
      <c r="R88" s="248"/>
      <c r="S88" s="248"/>
      <c r="T88" s="248"/>
      <c r="U88" s="248"/>
      <c r="V88" s="248"/>
      <c r="W88" s="248"/>
      <c r="X88" s="248"/>
      <c r="Y88" s="248"/>
      <c r="Z88" s="248"/>
      <c r="AA88" s="248"/>
      <c r="AB88" s="248"/>
    </row>
    <row r="89" spans="1:28" ht="13.8">
      <c r="A89" s="248"/>
      <c r="B89" s="248"/>
      <c r="C89" s="331"/>
      <c r="D89" s="248"/>
      <c r="E89" s="248"/>
      <c r="F89" s="248"/>
      <c r="G89" s="248"/>
      <c r="H89" s="248"/>
      <c r="I89" s="248"/>
      <c r="J89" s="248"/>
      <c r="K89" s="248"/>
      <c r="L89" s="248"/>
      <c r="M89" s="248"/>
      <c r="N89" s="248"/>
      <c r="O89" s="248"/>
      <c r="P89" s="248"/>
      <c r="Q89" s="248"/>
      <c r="R89" s="248"/>
      <c r="S89" s="248"/>
      <c r="T89" s="248"/>
      <c r="U89" s="248"/>
      <c r="V89" s="248"/>
      <c r="W89" s="248"/>
      <c r="X89" s="248"/>
      <c r="Y89" s="248"/>
      <c r="Z89" s="248"/>
      <c r="AA89" s="248"/>
      <c r="AB89" s="248"/>
    </row>
    <row r="90" spans="1:28" ht="13.8">
      <c r="A90" s="248"/>
      <c r="B90" s="248"/>
      <c r="C90" s="331"/>
      <c r="D90" s="248"/>
      <c r="E90" s="248"/>
      <c r="F90" s="248"/>
      <c r="G90" s="248"/>
      <c r="H90" s="248"/>
      <c r="I90" s="248"/>
      <c r="J90" s="248"/>
      <c r="K90" s="248"/>
      <c r="L90" s="248"/>
      <c r="M90" s="248"/>
      <c r="N90" s="248"/>
      <c r="O90" s="248"/>
      <c r="P90" s="248"/>
      <c r="Q90" s="248"/>
      <c r="R90" s="248"/>
      <c r="S90" s="248"/>
      <c r="T90" s="248"/>
      <c r="U90" s="248"/>
      <c r="V90" s="248"/>
      <c r="W90" s="248"/>
      <c r="X90" s="248"/>
      <c r="Y90" s="248"/>
      <c r="Z90" s="248"/>
      <c r="AA90" s="248"/>
      <c r="AB90" s="248"/>
    </row>
    <row r="91" spans="1:28" ht="13.8">
      <c r="A91" s="248"/>
      <c r="B91" s="248"/>
      <c r="C91" s="331"/>
      <c r="D91" s="248"/>
      <c r="E91" s="248"/>
      <c r="F91" s="248"/>
      <c r="G91" s="248"/>
      <c r="H91" s="248"/>
      <c r="I91" s="248"/>
      <c r="J91" s="248"/>
      <c r="K91" s="248"/>
      <c r="L91" s="248"/>
      <c r="M91" s="248"/>
      <c r="N91" s="248"/>
      <c r="O91" s="248"/>
      <c r="P91" s="248"/>
      <c r="Q91" s="248"/>
      <c r="R91" s="248"/>
      <c r="S91" s="248"/>
      <c r="T91" s="248"/>
      <c r="U91" s="248"/>
      <c r="V91" s="248"/>
      <c r="W91" s="248"/>
      <c r="X91" s="248"/>
      <c r="Y91" s="248"/>
      <c r="Z91" s="248"/>
      <c r="AA91" s="248"/>
      <c r="AB91" s="248"/>
    </row>
    <row r="92" spans="1:28" ht="13.8">
      <c r="A92" s="248"/>
      <c r="B92" s="248"/>
      <c r="C92" s="331"/>
      <c r="D92" s="248"/>
      <c r="E92" s="248"/>
      <c r="F92" s="248"/>
      <c r="G92" s="248"/>
      <c r="H92" s="248"/>
      <c r="I92" s="248"/>
      <c r="J92" s="248"/>
      <c r="K92" s="248"/>
      <c r="L92" s="248"/>
      <c r="M92" s="248"/>
      <c r="N92" s="248"/>
      <c r="O92" s="248"/>
      <c r="P92" s="248"/>
      <c r="Q92" s="248"/>
      <c r="R92" s="248"/>
      <c r="S92" s="248"/>
      <c r="T92" s="248"/>
      <c r="U92" s="248"/>
      <c r="V92" s="248"/>
      <c r="W92" s="248"/>
      <c r="X92" s="248"/>
      <c r="Y92" s="248"/>
      <c r="Z92" s="248"/>
      <c r="AA92" s="248"/>
      <c r="AB92" s="248"/>
    </row>
    <row r="93" spans="1:28" ht="13.8">
      <c r="A93" s="248"/>
      <c r="B93" s="248"/>
      <c r="C93" s="331"/>
      <c r="D93" s="248"/>
      <c r="E93" s="248"/>
      <c r="F93" s="248"/>
      <c r="G93" s="248"/>
      <c r="H93" s="248"/>
      <c r="I93" s="248"/>
      <c r="J93" s="248"/>
      <c r="K93" s="248"/>
      <c r="L93" s="248"/>
      <c r="M93" s="248"/>
      <c r="N93" s="248"/>
      <c r="O93" s="248"/>
      <c r="P93" s="248"/>
      <c r="Q93" s="248"/>
      <c r="R93" s="248"/>
      <c r="S93" s="248"/>
      <c r="T93" s="248"/>
      <c r="U93" s="248"/>
      <c r="V93" s="248"/>
      <c r="W93" s="248"/>
      <c r="X93" s="248"/>
      <c r="Y93" s="248"/>
      <c r="Z93" s="248"/>
      <c r="AA93" s="248"/>
      <c r="AB93" s="248"/>
    </row>
    <row r="94" spans="1:28" ht="13.8">
      <c r="A94" s="248"/>
      <c r="B94" s="248"/>
      <c r="C94" s="331"/>
      <c r="D94" s="248"/>
      <c r="E94" s="248"/>
      <c r="F94" s="248"/>
      <c r="G94" s="248"/>
      <c r="H94" s="248"/>
      <c r="I94" s="248"/>
      <c r="J94" s="248"/>
      <c r="K94" s="248"/>
      <c r="L94" s="248"/>
      <c r="M94" s="248"/>
      <c r="N94" s="248"/>
      <c r="O94" s="248"/>
      <c r="P94" s="248"/>
      <c r="Q94" s="248"/>
      <c r="R94" s="248"/>
      <c r="S94" s="248"/>
      <c r="T94" s="248"/>
      <c r="U94" s="248"/>
      <c r="V94" s="248"/>
      <c r="W94" s="248"/>
      <c r="X94" s="248"/>
      <c r="Y94" s="248"/>
      <c r="Z94" s="248"/>
      <c r="AA94" s="248"/>
      <c r="AB94" s="248"/>
    </row>
    <row r="95" spans="1:28" ht="13.8">
      <c r="A95" s="248"/>
      <c r="B95" s="248"/>
      <c r="C95" s="331"/>
      <c r="D95" s="248"/>
      <c r="E95" s="248"/>
      <c r="F95" s="248"/>
      <c r="G95" s="248"/>
      <c r="H95" s="248"/>
      <c r="I95" s="248"/>
      <c r="J95" s="248"/>
      <c r="K95" s="248"/>
      <c r="L95" s="248"/>
      <c r="M95" s="248"/>
      <c r="N95" s="248"/>
      <c r="O95" s="248"/>
      <c r="P95" s="248"/>
      <c r="Q95" s="248"/>
      <c r="R95" s="248"/>
      <c r="S95" s="248"/>
      <c r="T95" s="248"/>
      <c r="U95" s="248"/>
      <c r="V95" s="248"/>
      <c r="W95" s="248"/>
      <c r="X95" s="248"/>
      <c r="Y95" s="248"/>
      <c r="Z95" s="248"/>
      <c r="AA95" s="248"/>
      <c r="AB95" s="248"/>
    </row>
    <row r="96" spans="1:28" ht="13.8">
      <c r="A96" s="248"/>
      <c r="B96" s="248"/>
      <c r="C96" s="331"/>
      <c r="D96" s="248"/>
      <c r="E96" s="248"/>
      <c r="F96" s="248"/>
      <c r="G96" s="248"/>
      <c r="H96" s="248"/>
      <c r="I96" s="248"/>
      <c r="J96" s="248"/>
      <c r="K96" s="248"/>
      <c r="L96" s="248"/>
      <c r="M96" s="248"/>
      <c r="N96" s="248"/>
      <c r="O96" s="248"/>
      <c r="P96" s="248"/>
      <c r="Q96" s="248"/>
      <c r="R96" s="248"/>
      <c r="S96" s="248"/>
      <c r="T96" s="248"/>
      <c r="U96" s="248"/>
      <c r="V96" s="248"/>
      <c r="W96" s="248"/>
      <c r="X96" s="248"/>
      <c r="Y96" s="248"/>
      <c r="Z96" s="248"/>
      <c r="AA96" s="248"/>
      <c r="AB96" s="248"/>
    </row>
    <row r="97" spans="1:28" ht="13.8">
      <c r="A97" s="248"/>
      <c r="B97" s="248"/>
      <c r="C97" s="331"/>
      <c r="D97" s="248"/>
      <c r="E97" s="248"/>
      <c r="F97" s="248"/>
      <c r="G97" s="248"/>
      <c r="H97" s="248"/>
      <c r="I97" s="248"/>
      <c r="J97" s="248"/>
      <c r="K97" s="248"/>
      <c r="L97" s="248"/>
      <c r="M97" s="248"/>
      <c r="N97" s="248"/>
      <c r="O97" s="248"/>
      <c r="P97" s="248"/>
      <c r="Q97" s="248"/>
      <c r="R97" s="248"/>
      <c r="S97" s="248"/>
      <c r="T97" s="248"/>
      <c r="U97" s="248"/>
      <c r="V97" s="248"/>
      <c r="W97" s="248"/>
      <c r="X97" s="248"/>
      <c r="Y97" s="248"/>
      <c r="Z97" s="248"/>
      <c r="AA97" s="248"/>
      <c r="AB97" s="248"/>
    </row>
    <row r="98" spans="1:28" ht="13.8">
      <c r="A98" s="248"/>
      <c r="B98" s="248"/>
      <c r="C98" s="331"/>
      <c r="D98" s="248"/>
      <c r="E98" s="248"/>
      <c r="F98" s="248"/>
      <c r="G98" s="248"/>
      <c r="H98" s="248"/>
      <c r="I98" s="248"/>
      <c r="J98" s="248"/>
      <c r="K98" s="248"/>
      <c r="L98" s="248"/>
      <c r="M98" s="248"/>
      <c r="N98" s="248"/>
      <c r="O98" s="248"/>
      <c r="P98" s="248"/>
      <c r="Q98" s="248"/>
      <c r="R98" s="248"/>
      <c r="S98" s="248"/>
      <c r="T98" s="248"/>
      <c r="U98" s="248"/>
      <c r="V98" s="248"/>
      <c r="W98" s="248"/>
      <c r="X98" s="248"/>
      <c r="Y98" s="248"/>
      <c r="Z98" s="248"/>
      <c r="AA98" s="248"/>
      <c r="AB98" s="248"/>
    </row>
    <row r="99" spans="1:28" ht="13.8">
      <c r="A99" s="248"/>
      <c r="B99" s="248"/>
      <c r="C99" s="331"/>
      <c r="D99" s="248"/>
      <c r="E99" s="248"/>
      <c r="F99" s="248"/>
      <c r="G99" s="248"/>
      <c r="H99" s="248"/>
      <c r="I99" s="248"/>
      <c r="J99" s="248"/>
      <c r="K99" s="248"/>
      <c r="L99" s="248"/>
      <c r="M99" s="248"/>
      <c r="N99" s="248"/>
      <c r="O99" s="248"/>
      <c r="P99" s="248"/>
      <c r="Q99" s="248"/>
      <c r="R99" s="248"/>
      <c r="S99" s="248"/>
      <c r="T99" s="248"/>
      <c r="U99" s="248"/>
      <c r="V99" s="248"/>
      <c r="W99" s="248"/>
      <c r="X99" s="248"/>
      <c r="Y99" s="248"/>
      <c r="Z99" s="248"/>
      <c r="AA99" s="248"/>
      <c r="AB99" s="248"/>
    </row>
    <row r="100" spans="1:28" ht="13.8">
      <c r="A100" s="248"/>
      <c r="B100" s="248"/>
      <c r="C100" s="331"/>
      <c r="D100" s="248"/>
      <c r="E100" s="248"/>
      <c r="F100" s="248"/>
      <c r="G100" s="248"/>
      <c r="H100" s="248"/>
      <c r="I100" s="248"/>
      <c r="J100" s="248"/>
      <c r="K100" s="248"/>
      <c r="L100" s="248"/>
      <c r="M100" s="248"/>
      <c r="N100" s="248"/>
      <c r="O100" s="248"/>
      <c r="P100" s="248"/>
      <c r="Q100" s="248"/>
      <c r="R100" s="248"/>
      <c r="S100" s="248"/>
      <c r="T100" s="248"/>
      <c r="U100" s="248"/>
      <c r="V100" s="248"/>
      <c r="W100" s="248"/>
      <c r="X100" s="248"/>
      <c r="Y100" s="248"/>
      <c r="Z100" s="248"/>
      <c r="AA100" s="248"/>
      <c r="AB100" s="248"/>
    </row>
    <row r="101" spans="1:28" ht="13.8">
      <c r="A101" s="248"/>
      <c r="B101" s="248"/>
      <c r="C101" s="331"/>
      <c r="D101" s="248"/>
      <c r="E101" s="248"/>
      <c r="F101" s="248"/>
      <c r="G101" s="248"/>
      <c r="H101" s="248"/>
      <c r="I101" s="248"/>
      <c r="J101" s="248"/>
      <c r="K101" s="248"/>
      <c r="L101" s="248"/>
      <c r="M101" s="248"/>
      <c r="N101" s="248"/>
      <c r="O101" s="248"/>
      <c r="P101" s="248"/>
      <c r="Q101" s="248"/>
      <c r="R101" s="248"/>
      <c r="S101" s="248"/>
      <c r="T101" s="248"/>
      <c r="U101" s="248"/>
      <c r="V101" s="248"/>
      <c r="W101" s="248"/>
      <c r="X101" s="248"/>
      <c r="Y101" s="248"/>
      <c r="Z101" s="248"/>
      <c r="AA101" s="248"/>
      <c r="AB101" s="248"/>
    </row>
    <row r="102" spans="1:28" ht="13.8">
      <c r="A102" s="248"/>
      <c r="B102" s="248"/>
      <c r="C102" s="331"/>
      <c r="D102" s="248"/>
      <c r="E102" s="248"/>
      <c r="F102" s="248"/>
      <c r="G102" s="248"/>
      <c r="H102" s="248"/>
      <c r="I102" s="248"/>
      <c r="J102" s="248"/>
      <c r="K102" s="248"/>
      <c r="L102" s="248"/>
      <c r="M102" s="248"/>
      <c r="N102" s="248"/>
      <c r="O102" s="248"/>
      <c r="P102" s="248"/>
      <c r="Q102" s="248"/>
      <c r="R102" s="248"/>
      <c r="S102" s="248"/>
      <c r="T102" s="248"/>
      <c r="U102" s="248"/>
      <c r="V102" s="248"/>
      <c r="W102" s="248"/>
      <c r="X102" s="248"/>
      <c r="Y102" s="248"/>
      <c r="Z102" s="248"/>
      <c r="AA102" s="248"/>
      <c r="AB102" s="248"/>
    </row>
    <row r="103" spans="1:28" ht="13.8">
      <c r="A103" s="248"/>
      <c r="B103" s="248"/>
      <c r="C103" s="331"/>
      <c r="D103" s="248"/>
      <c r="E103" s="248"/>
      <c r="F103" s="248"/>
      <c r="G103" s="248"/>
      <c r="H103" s="248"/>
      <c r="I103" s="248"/>
      <c r="J103" s="248"/>
      <c r="K103" s="248"/>
      <c r="L103" s="248"/>
      <c r="M103" s="248"/>
      <c r="N103" s="248"/>
      <c r="O103" s="248"/>
      <c r="P103" s="248"/>
      <c r="Q103" s="248"/>
      <c r="R103" s="248"/>
      <c r="S103" s="248"/>
      <c r="T103" s="248"/>
      <c r="U103" s="248"/>
      <c r="V103" s="248"/>
      <c r="W103" s="248"/>
      <c r="X103" s="248"/>
      <c r="Y103" s="248"/>
      <c r="Z103" s="248"/>
      <c r="AA103" s="248"/>
      <c r="AB103" s="248"/>
    </row>
    <row r="104" spans="1:28" ht="13.8">
      <c r="A104" s="248"/>
      <c r="B104" s="248"/>
      <c r="C104" s="331"/>
      <c r="D104" s="248"/>
      <c r="E104" s="248"/>
      <c r="F104" s="248"/>
      <c r="G104" s="248"/>
      <c r="H104" s="248"/>
      <c r="I104" s="248"/>
      <c r="J104" s="248"/>
      <c r="K104" s="248"/>
      <c r="L104" s="248"/>
      <c r="M104" s="248"/>
      <c r="N104" s="248"/>
      <c r="O104" s="248"/>
      <c r="P104" s="248"/>
      <c r="Q104" s="248"/>
      <c r="R104" s="248"/>
      <c r="S104" s="248"/>
      <c r="T104" s="248"/>
      <c r="U104" s="248"/>
      <c r="V104" s="248"/>
      <c r="W104" s="248"/>
      <c r="X104" s="248"/>
      <c r="Y104" s="248"/>
      <c r="Z104" s="248"/>
      <c r="AA104" s="248"/>
      <c r="AB104" s="248"/>
    </row>
    <row r="105" spans="1:28" ht="13.8">
      <c r="A105" s="248"/>
      <c r="B105" s="248"/>
      <c r="C105" s="331"/>
      <c r="D105" s="248"/>
      <c r="E105" s="248"/>
      <c r="F105" s="248"/>
      <c r="G105" s="248"/>
      <c r="H105" s="248"/>
      <c r="I105" s="248"/>
      <c r="J105" s="248"/>
      <c r="K105" s="248"/>
      <c r="L105" s="248"/>
      <c r="M105" s="248"/>
      <c r="N105" s="248"/>
      <c r="O105" s="248"/>
      <c r="P105" s="248"/>
      <c r="Q105" s="248"/>
      <c r="R105" s="248"/>
      <c r="S105" s="248"/>
      <c r="T105" s="248"/>
      <c r="U105" s="248"/>
      <c r="V105" s="248"/>
      <c r="W105" s="248"/>
      <c r="X105" s="248"/>
      <c r="Y105" s="248"/>
      <c r="Z105" s="248"/>
      <c r="AA105" s="248"/>
      <c r="AB105" s="248"/>
    </row>
    <row r="106" spans="1:28" ht="13.8">
      <c r="A106" s="248"/>
      <c r="B106" s="248"/>
      <c r="C106" s="331"/>
      <c r="D106" s="248"/>
      <c r="E106" s="248"/>
      <c r="F106" s="248"/>
      <c r="G106" s="248"/>
      <c r="H106" s="248"/>
      <c r="I106" s="248"/>
      <c r="J106" s="248"/>
      <c r="K106" s="248"/>
      <c r="L106" s="248"/>
      <c r="M106" s="248"/>
      <c r="N106" s="248"/>
      <c r="O106" s="248"/>
      <c r="P106" s="248"/>
      <c r="Q106" s="248"/>
      <c r="R106" s="248"/>
      <c r="S106" s="248"/>
      <c r="T106" s="248"/>
      <c r="U106" s="248"/>
      <c r="V106" s="248"/>
      <c r="W106" s="248"/>
      <c r="X106" s="248"/>
      <c r="Y106" s="248"/>
      <c r="Z106" s="248"/>
      <c r="AA106" s="248"/>
      <c r="AB106" s="248"/>
    </row>
    <row r="107" spans="1:28" ht="13.8">
      <c r="A107" s="248"/>
      <c r="B107" s="248"/>
      <c r="C107" s="331"/>
      <c r="D107" s="248"/>
      <c r="E107" s="248"/>
      <c r="F107" s="248"/>
      <c r="G107" s="248"/>
      <c r="H107" s="248"/>
      <c r="I107" s="248"/>
      <c r="J107" s="248"/>
      <c r="K107" s="248"/>
      <c r="L107" s="248"/>
      <c r="M107" s="248"/>
      <c r="N107" s="248"/>
      <c r="O107" s="248"/>
      <c r="P107" s="248"/>
      <c r="Q107" s="248"/>
      <c r="R107" s="248"/>
      <c r="S107" s="248"/>
      <c r="T107" s="248"/>
      <c r="U107" s="248"/>
      <c r="V107" s="248"/>
      <c r="W107" s="248"/>
      <c r="X107" s="248"/>
      <c r="Y107" s="248"/>
      <c r="Z107" s="248"/>
      <c r="AA107" s="248"/>
      <c r="AB107" s="248"/>
    </row>
    <row r="108" spans="1:28" ht="13.8">
      <c r="A108" s="248"/>
      <c r="B108" s="248"/>
      <c r="C108" s="331"/>
      <c r="D108" s="248"/>
      <c r="E108" s="248"/>
      <c r="F108" s="248"/>
      <c r="G108" s="248"/>
      <c r="H108" s="248"/>
      <c r="I108" s="248"/>
      <c r="J108" s="248"/>
      <c r="K108" s="248"/>
      <c r="L108" s="248"/>
      <c r="M108" s="248"/>
      <c r="N108" s="248"/>
      <c r="O108" s="248"/>
      <c r="P108" s="248"/>
      <c r="Q108" s="248"/>
      <c r="R108" s="248"/>
      <c r="S108" s="248"/>
      <c r="T108" s="248"/>
      <c r="U108" s="248"/>
      <c r="V108" s="248"/>
      <c r="W108" s="248"/>
      <c r="X108" s="248"/>
      <c r="Y108" s="248"/>
      <c r="Z108" s="248"/>
      <c r="AA108" s="248"/>
      <c r="AB108" s="248"/>
    </row>
    <row r="109" spans="1:28" ht="13.8">
      <c r="A109" s="248"/>
      <c r="B109" s="248"/>
      <c r="C109" s="331"/>
      <c r="D109" s="248"/>
      <c r="E109" s="248"/>
      <c r="F109" s="248"/>
      <c r="G109" s="248"/>
      <c r="H109" s="248"/>
      <c r="I109" s="248"/>
      <c r="J109" s="248"/>
      <c r="K109" s="248"/>
      <c r="L109" s="248"/>
      <c r="M109" s="248"/>
      <c r="N109" s="248"/>
      <c r="O109" s="248"/>
      <c r="P109" s="248"/>
      <c r="Q109" s="248"/>
      <c r="R109" s="248"/>
      <c r="S109" s="248"/>
      <c r="T109" s="248"/>
      <c r="U109" s="248"/>
      <c r="V109" s="248"/>
      <c r="W109" s="248"/>
      <c r="X109" s="248"/>
      <c r="Y109" s="248"/>
      <c r="Z109" s="248"/>
      <c r="AA109" s="248"/>
      <c r="AB109" s="248"/>
    </row>
    <row r="110" spans="1:28" ht="13.8">
      <c r="A110" s="248"/>
      <c r="B110" s="248"/>
      <c r="C110" s="331"/>
      <c r="D110" s="248"/>
      <c r="E110" s="248"/>
      <c r="F110" s="248"/>
      <c r="G110" s="248"/>
      <c r="H110" s="248"/>
      <c r="I110" s="248"/>
      <c r="J110" s="248"/>
      <c r="K110" s="248"/>
      <c r="L110" s="248"/>
      <c r="M110" s="248"/>
      <c r="N110" s="248"/>
      <c r="O110" s="248"/>
      <c r="P110" s="248"/>
      <c r="Q110" s="248"/>
      <c r="R110" s="248"/>
      <c r="S110" s="248"/>
      <c r="T110" s="248"/>
      <c r="U110" s="248"/>
      <c r="V110" s="248"/>
      <c r="W110" s="248"/>
      <c r="X110" s="248"/>
      <c r="Y110" s="248"/>
      <c r="Z110" s="248"/>
      <c r="AA110" s="248"/>
      <c r="AB110" s="248"/>
    </row>
    <row r="111" spans="1:28" ht="13.8">
      <c r="A111" s="248"/>
      <c r="B111" s="248"/>
      <c r="C111" s="331"/>
      <c r="D111" s="248"/>
      <c r="E111" s="248"/>
      <c r="F111" s="248"/>
      <c r="G111" s="248"/>
      <c r="H111" s="248"/>
      <c r="I111" s="248"/>
      <c r="J111" s="248"/>
      <c r="K111" s="248"/>
      <c r="L111" s="248"/>
      <c r="M111" s="248"/>
      <c r="N111" s="248"/>
      <c r="O111" s="248"/>
      <c r="P111" s="248"/>
      <c r="Q111" s="248"/>
      <c r="R111" s="248"/>
      <c r="S111" s="248"/>
      <c r="T111" s="248"/>
      <c r="U111" s="248"/>
      <c r="V111" s="248"/>
      <c r="W111" s="248"/>
      <c r="X111" s="248"/>
      <c r="Y111" s="248"/>
      <c r="Z111" s="248"/>
      <c r="AA111" s="248"/>
      <c r="AB111" s="248"/>
    </row>
    <row r="112" spans="1:28" ht="13.8">
      <c r="A112" s="248"/>
      <c r="B112" s="248"/>
      <c r="C112" s="331"/>
      <c r="D112" s="248"/>
      <c r="E112" s="248"/>
      <c r="F112" s="248"/>
      <c r="G112" s="248"/>
      <c r="H112" s="248"/>
      <c r="I112" s="248"/>
      <c r="J112" s="248"/>
      <c r="K112" s="248"/>
      <c r="L112" s="248"/>
      <c r="M112" s="248"/>
      <c r="N112" s="248"/>
      <c r="O112" s="248"/>
      <c r="P112" s="248"/>
      <c r="Q112" s="248"/>
      <c r="R112" s="248"/>
      <c r="S112" s="248"/>
      <c r="T112" s="248"/>
      <c r="U112" s="248"/>
      <c r="V112" s="248"/>
      <c r="W112" s="248"/>
      <c r="X112" s="248"/>
      <c r="Y112" s="248"/>
      <c r="Z112" s="248"/>
      <c r="AA112" s="248"/>
      <c r="AB112" s="248"/>
    </row>
    <row r="113" spans="1:28" ht="13.8">
      <c r="A113" s="248"/>
      <c r="B113" s="248"/>
      <c r="C113" s="331"/>
      <c r="D113" s="248"/>
      <c r="E113" s="248"/>
      <c r="F113" s="248"/>
      <c r="G113" s="248"/>
      <c r="H113" s="248"/>
      <c r="I113" s="248"/>
      <c r="J113" s="248"/>
      <c r="K113" s="248"/>
      <c r="L113" s="248"/>
      <c r="M113" s="248"/>
      <c r="N113" s="248"/>
      <c r="O113" s="248"/>
      <c r="P113" s="248"/>
      <c r="Q113" s="248"/>
      <c r="R113" s="248"/>
      <c r="S113" s="248"/>
      <c r="T113" s="248"/>
      <c r="U113" s="248"/>
      <c r="V113" s="248"/>
      <c r="W113" s="248"/>
      <c r="X113" s="248"/>
      <c r="Y113" s="248"/>
      <c r="Z113" s="248"/>
      <c r="AA113" s="248"/>
      <c r="AB113" s="248"/>
    </row>
    <row r="114" spans="1:28" ht="13.8">
      <c r="A114" s="248"/>
      <c r="B114" s="248"/>
      <c r="C114" s="331"/>
      <c r="D114" s="248"/>
      <c r="E114" s="248"/>
      <c r="F114" s="248"/>
      <c r="G114" s="248"/>
      <c r="H114" s="248"/>
      <c r="I114" s="248"/>
      <c r="J114" s="248"/>
      <c r="K114" s="248"/>
      <c r="L114" s="248"/>
      <c r="M114" s="248"/>
      <c r="N114" s="248"/>
      <c r="O114" s="248"/>
      <c r="P114" s="248"/>
      <c r="Q114" s="248"/>
      <c r="R114" s="248"/>
      <c r="S114" s="248"/>
      <c r="T114" s="248"/>
      <c r="U114" s="248"/>
      <c r="V114" s="248"/>
      <c r="W114" s="248"/>
      <c r="X114" s="248"/>
      <c r="Y114" s="248"/>
      <c r="Z114" s="248"/>
      <c r="AA114" s="248"/>
      <c r="AB114" s="248"/>
    </row>
    <row r="115" spans="1:28" ht="13.8">
      <c r="A115" s="248"/>
      <c r="B115" s="248"/>
      <c r="C115" s="331"/>
      <c r="D115" s="248"/>
      <c r="E115" s="248"/>
      <c r="F115" s="248"/>
      <c r="G115" s="248"/>
      <c r="H115" s="248"/>
      <c r="I115" s="248"/>
      <c r="J115" s="248"/>
      <c r="K115" s="248"/>
      <c r="L115" s="248"/>
      <c r="M115" s="248"/>
      <c r="N115" s="248"/>
      <c r="O115" s="248"/>
      <c r="P115" s="248"/>
      <c r="Q115" s="248"/>
      <c r="R115" s="248"/>
      <c r="S115" s="248"/>
      <c r="T115" s="248"/>
      <c r="U115" s="248"/>
      <c r="V115" s="248"/>
      <c r="W115" s="248"/>
      <c r="X115" s="248"/>
      <c r="Y115" s="248"/>
      <c r="Z115" s="248"/>
      <c r="AA115" s="248"/>
      <c r="AB115" s="248"/>
    </row>
    <row r="116" spans="1:28" ht="13.8">
      <c r="A116" s="248"/>
      <c r="B116" s="248"/>
      <c r="C116" s="331"/>
      <c r="D116" s="248"/>
      <c r="E116" s="248"/>
      <c r="F116" s="248"/>
      <c r="G116" s="248"/>
      <c r="H116" s="248"/>
      <c r="I116" s="248"/>
      <c r="J116" s="248"/>
      <c r="K116" s="248"/>
      <c r="L116" s="248"/>
      <c r="M116" s="248"/>
      <c r="N116" s="248"/>
      <c r="O116" s="248"/>
      <c r="P116" s="248"/>
      <c r="Q116" s="248"/>
      <c r="R116" s="248"/>
      <c r="S116" s="248"/>
      <c r="T116" s="248"/>
      <c r="U116" s="248"/>
      <c r="V116" s="248"/>
      <c r="W116" s="248"/>
      <c r="X116" s="248"/>
      <c r="Y116" s="248"/>
      <c r="Z116" s="248"/>
      <c r="AA116" s="248"/>
      <c r="AB116" s="248"/>
    </row>
    <row r="117" spans="1:28" ht="13.8">
      <c r="A117" s="248"/>
      <c r="B117" s="248"/>
      <c r="C117" s="331"/>
      <c r="D117" s="248"/>
      <c r="E117" s="248"/>
      <c r="F117" s="248"/>
      <c r="G117" s="248"/>
      <c r="H117" s="248"/>
      <c r="I117" s="248"/>
      <c r="J117" s="248"/>
      <c r="K117" s="248"/>
      <c r="L117" s="248"/>
      <c r="M117" s="248"/>
      <c r="N117" s="248"/>
      <c r="O117" s="248"/>
      <c r="P117" s="248"/>
      <c r="Q117" s="248"/>
      <c r="R117" s="248"/>
      <c r="S117" s="248"/>
      <c r="T117" s="248"/>
      <c r="U117" s="248"/>
      <c r="V117" s="248"/>
      <c r="W117" s="248"/>
      <c r="X117" s="248"/>
      <c r="Y117" s="248"/>
      <c r="Z117" s="248"/>
      <c r="AA117" s="248"/>
      <c r="AB117" s="248"/>
    </row>
    <row r="118" spans="1:28" ht="13.8">
      <c r="A118" s="248"/>
      <c r="B118" s="248"/>
      <c r="C118" s="331"/>
      <c r="D118" s="248"/>
      <c r="E118" s="248"/>
      <c r="F118" s="248"/>
      <c r="G118" s="248"/>
      <c r="H118" s="248"/>
      <c r="I118" s="248"/>
      <c r="J118" s="248"/>
      <c r="K118" s="248"/>
      <c r="L118" s="248"/>
      <c r="M118" s="248"/>
      <c r="N118" s="248"/>
      <c r="O118" s="248"/>
      <c r="P118" s="248"/>
      <c r="Q118" s="248"/>
      <c r="R118" s="248"/>
      <c r="S118" s="248"/>
      <c r="T118" s="248"/>
      <c r="U118" s="248"/>
      <c r="V118" s="248"/>
      <c r="W118" s="248"/>
      <c r="X118" s="248"/>
      <c r="Y118" s="248"/>
      <c r="Z118" s="248"/>
      <c r="AA118" s="248"/>
      <c r="AB118" s="248"/>
    </row>
    <row r="119" spans="1:28" ht="13.8">
      <c r="A119" s="248"/>
      <c r="B119" s="248"/>
      <c r="C119" s="331"/>
      <c r="D119" s="248"/>
      <c r="E119" s="248"/>
      <c r="F119" s="248"/>
      <c r="G119" s="248"/>
      <c r="H119" s="248"/>
      <c r="I119" s="248"/>
      <c r="J119" s="248"/>
      <c r="K119" s="248"/>
      <c r="L119" s="248"/>
      <c r="M119" s="248"/>
      <c r="N119" s="248"/>
      <c r="O119" s="248"/>
      <c r="P119" s="248"/>
      <c r="Q119" s="248"/>
      <c r="R119" s="248"/>
      <c r="S119" s="248"/>
      <c r="T119" s="248"/>
      <c r="U119" s="248"/>
      <c r="V119" s="248"/>
      <c r="W119" s="248"/>
      <c r="X119" s="248"/>
      <c r="Y119" s="248"/>
      <c r="Z119" s="248"/>
      <c r="AA119" s="248"/>
      <c r="AB119" s="248"/>
    </row>
    <row r="120" spans="1:28" ht="13.8">
      <c r="A120" s="248"/>
      <c r="B120" s="248"/>
      <c r="C120" s="331"/>
      <c r="D120" s="248"/>
      <c r="E120" s="248"/>
      <c r="F120" s="248"/>
      <c r="G120" s="248"/>
      <c r="H120" s="248"/>
      <c r="I120" s="248"/>
      <c r="J120" s="248"/>
      <c r="K120" s="248"/>
      <c r="L120" s="248"/>
      <c r="M120" s="248"/>
      <c r="N120" s="248"/>
      <c r="O120" s="248"/>
      <c r="P120" s="248"/>
      <c r="Q120" s="248"/>
      <c r="R120" s="248"/>
      <c r="S120" s="248"/>
      <c r="T120" s="248"/>
      <c r="U120" s="248"/>
      <c r="V120" s="248"/>
      <c r="W120" s="248"/>
      <c r="X120" s="248"/>
      <c r="Y120" s="248"/>
      <c r="Z120" s="248"/>
      <c r="AA120" s="248"/>
      <c r="AB120" s="248"/>
    </row>
    <row r="121" spans="1:28" ht="13.8">
      <c r="A121" s="248"/>
      <c r="B121" s="248"/>
      <c r="C121" s="331"/>
      <c r="D121" s="248"/>
      <c r="E121" s="248"/>
      <c r="F121" s="248"/>
      <c r="G121" s="248"/>
      <c r="H121" s="248"/>
      <c r="I121" s="248"/>
      <c r="J121" s="248"/>
      <c r="K121" s="248"/>
      <c r="L121" s="248"/>
      <c r="M121" s="248"/>
      <c r="N121" s="248"/>
      <c r="O121" s="248"/>
      <c r="P121" s="248"/>
      <c r="Q121" s="248"/>
      <c r="R121" s="248"/>
      <c r="S121" s="248"/>
      <c r="T121" s="248"/>
      <c r="U121" s="248"/>
      <c r="V121" s="248"/>
      <c r="W121" s="248"/>
      <c r="X121" s="248"/>
      <c r="Y121" s="248"/>
      <c r="Z121" s="248"/>
      <c r="AA121" s="248"/>
      <c r="AB121" s="248"/>
    </row>
    <row r="122" spans="1:28" ht="13.8">
      <c r="A122" s="248"/>
      <c r="B122" s="248"/>
      <c r="C122" s="331"/>
      <c r="D122" s="248"/>
      <c r="E122" s="248"/>
      <c r="F122" s="248"/>
      <c r="G122" s="248"/>
      <c r="H122" s="248"/>
      <c r="I122" s="248"/>
      <c r="J122" s="248"/>
      <c r="K122" s="248"/>
      <c r="L122" s="248"/>
      <c r="M122" s="248"/>
      <c r="N122" s="248"/>
      <c r="O122" s="248"/>
      <c r="P122" s="248"/>
      <c r="Q122" s="248"/>
      <c r="R122" s="248"/>
      <c r="S122" s="248"/>
      <c r="T122" s="248"/>
      <c r="U122" s="248"/>
      <c r="V122" s="248"/>
      <c r="W122" s="248"/>
      <c r="X122" s="248"/>
      <c r="Y122" s="248"/>
      <c r="Z122" s="248"/>
      <c r="AA122" s="248"/>
      <c r="AB122" s="248"/>
    </row>
    <row r="123" spans="1:28" ht="13.8">
      <c r="A123" s="248"/>
      <c r="B123" s="248"/>
      <c r="C123" s="331"/>
      <c r="D123" s="248"/>
      <c r="E123" s="248"/>
      <c r="F123" s="248"/>
      <c r="G123" s="248"/>
      <c r="H123" s="248"/>
      <c r="I123" s="248"/>
      <c r="J123" s="248"/>
      <c r="K123" s="248"/>
      <c r="L123" s="248"/>
      <c r="M123" s="248"/>
      <c r="N123" s="248"/>
      <c r="O123" s="248"/>
      <c r="P123" s="248"/>
      <c r="Q123" s="248"/>
      <c r="R123" s="248"/>
      <c r="S123" s="248"/>
      <c r="T123" s="248"/>
      <c r="U123" s="248"/>
      <c r="V123" s="248"/>
      <c r="W123" s="248"/>
      <c r="X123" s="248"/>
      <c r="Y123" s="248"/>
      <c r="Z123" s="248"/>
      <c r="AA123" s="248"/>
      <c r="AB123" s="248"/>
    </row>
    <row r="124" spans="1:28" ht="13.8">
      <c r="A124" s="248"/>
      <c r="B124" s="248"/>
      <c r="C124" s="331"/>
      <c r="D124" s="248"/>
      <c r="E124" s="248"/>
      <c r="F124" s="248"/>
      <c r="G124" s="248"/>
      <c r="H124" s="248"/>
      <c r="I124" s="248"/>
      <c r="J124" s="248"/>
      <c r="K124" s="248"/>
      <c r="L124" s="248"/>
      <c r="M124" s="248"/>
      <c r="N124" s="248"/>
      <c r="O124" s="248"/>
      <c r="P124" s="248"/>
      <c r="Q124" s="248"/>
      <c r="R124" s="248"/>
      <c r="S124" s="248"/>
      <c r="T124" s="248"/>
      <c r="U124" s="248"/>
      <c r="V124" s="248"/>
      <c r="W124" s="248"/>
      <c r="X124" s="248"/>
      <c r="Y124" s="248"/>
      <c r="Z124" s="248"/>
      <c r="AA124" s="248"/>
      <c r="AB124" s="248"/>
    </row>
    <row r="125" spans="1:28" ht="13.8">
      <c r="A125" s="248"/>
      <c r="B125" s="248"/>
      <c r="C125" s="331"/>
      <c r="D125" s="248"/>
      <c r="E125" s="248"/>
      <c r="F125" s="248"/>
      <c r="G125" s="248"/>
      <c r="H125" s="248"/>
      <c r="I125" s="248"/>
      <c r="J125" s="248"/>
      <c r="K125" s="248"/>
      <c r="L125" s="248"/>
      <c r="M125" s="248"/>
      <c r="N125" s="248"/>
      <c r="O125" s="248"/>
      <c r="P125" s="248"/>
      <c r="Q125" s="248"/>
      <c r="R125" s="248"/>
      <c r="S125" s="248"/>
      <c r="T125" s="248"/>
      <c r="U125" s="248"/>
      <c r="V125" s="248"/>
      <c r="W125" s="248"/>
      <c r="X125" s="248"/>
      <c r="Y125" s="248"/>
      <c r="Z125" s="248"/>
      <c r="AA125" s="248"/>
      <c r="AB125" s="248"/>
    </row>
    <row r="126" spans="1:28" ht="13.8">
      <c r="A126" s="248"/>
      <c r="B126" s="248"/>
      <c r="C126" s="331"/>
      <c r="D126" s="248"/>
      <c r="E126" s="248"/>
      <c r="F126" s="248"/>
      <c r="G126" s="248"/>
      <c r="H126" s="248"/>
      <c r="I126" s="248"/>
      <c r="J126" s="248"/>
      <c r="K126" s="248"/>
      <c r="L126" s="248"/>
      <c r="M126" s="248"/>
      <c r="N126" s="248"/>
      <c r="O126" s="248"/>
      <c r="P126" s="248"/>
      <c r="Q126" s="248"/>
      <c r="R126" s="248"/>
      <c r="S126" s="248"/>
      <c r="T126" s="248"/>
      <c r="U126" s="248"/>
      <c r="V126" s="248"/>
      <c r="W126" s="248"/>
      <c r="X126" s="248"/>
      <c r="Y126" s="248"/>
      <c r="Z126" s="248"/>
      <c r="AA126" s="248"/>
      <c r="AB126" s="248"/>
    </row>
    <row r="127" spans="1:28" ht="13.8">
      <c r="A127" s="248"/>
      <c r="B127" s="248"/>
      <c r="C127" s="331"/>
      <c r="D127" s="248"/>
      <c r="E127" s="248"/>
      <c r="F127" s="248"/>
      <c r="G127" s="248"/>
      <c r="H127" s="248"/>
      <c r="I127" s="248"/>
      <c r="J127" s="248"/>
      <c r="K127" s="248"/>
      <c r="L127" s="248"/>
      <c r="M127" s="248"/>
      <c r="N127" s="248"/>
      <c r="O127" s="248"/>
      <c r="P127" s="248"/>
      <c r="Q127" s="248"/>
      <c r="R127" s="248"/>
      <c r="S127" s="248"/>
      <c r="T127" s="248"/>
      <c r="U127" s="248"/>
      <c r="V127" s="248"/>
      <c r="W127" s="248"/>
      <c r="X127" s="248"/>
      <c r="Y127" s="248"/>
      <c r="Z127" s="248"/>
      <c r="AA127" s="248"/>
      <c r="AB127" s="248"/>
    </row>
    <row r="128" spans="1:28" ht="13.8">
      <c r="A128" s="248"/>
      <c r="B128" s="248"/>
      <c r="C128" s="331"/>
      <c r="D128" s="248"/>
      <c r="E128" s="248"/>
      <c r="F128" s="248"/>
      <c r="G128" s="248"/>
      <c r="H128" s="248"/>
      <c r="I128" s="248"/>
      <c r="J128" s="248"/>
      <c r="K128" s="248"/>
      <c r="L128" s="248"/>
      <c r="M128" s="248"/>
      <c r="N128" s="248"/>
      <c r="O128" s="248"/>
      <c r="P128" s="248"/>
      <c r="Q128" s="248"/>
      <c r="R128" s="248"/>
      <c r="S128" s="248"/>
      <c r="T128" s="248"/>
      <c r="U128" s="248"/>
      <c r="V128" s="248"/>
      <c r="W128" s="248"/>
      <c r="X128" s="248"/>
      <c r="Y128" s="248"/>
      <c r="Z128" s="248"/>
      <c r="AA128" s="248"/>
      <c r="AB128" s="248"/>
    </row>
    <row r="129" spans="1:28" ht="13.8">
      <c r="A129" s="248"/>
      <c r="B129" s="248"/>
      <c r="C129" s="331"/>
      <c r="D129" s="248"/>
      <c r="E129" s="248"/>
      <c r="F129" s="248"/>
      <c r="G129" s="248"/>
      <c r="H129" s="248"/>
      <c r="I129" s="248"/>
      <c r="J129" s="248"/>
      <c r="K129" s="248"/>
      <c r="L129" s="248"/>
      <c r="M129" s="248"/>
      <c r="N129" s="248"/>
      <c r="O129" s="248"/>
      <c r="P129" s="248"/>
      <c r="Q129" s="248"/>
      <c r="R129" s="248"/>
      <c r="S129" s="248"/>
      <c r="T129" s="248"/>
      <c r="U129" s="248"/>
      <c r="V129" s="248"/>
      <c r="W129" s="248"/>
      <c r="X129" s="248"/>
      <c r="Y129" s="248"/>
      <c r="Z129" s="248"/>
      <c r="AA129" s="248"/>
      <c r="AB129" s="248"/>
    </row>
    <row r="130" spans="1:28" ht="13.8">
      <c r="A130" s="248"/>
      <c r="B130" s="248"/>
      <c r="C130" s="331"/>
      <c r="D130" s="248"/>
      <c r="E130" s="248"/>
      <c r="F130" s="248"/>
      <c r="G130" s="248"/>
      <c r="H130" s="248"/>
      <c r="I130" s="248"/>
      <c r="J130" s="248"/>
      <c r="K130" s="248"/>
      <c r="L130" s="248"/>
      <c r="M130" s="248"/>
      <c r="N130" s="248"/>
      <c r="O130" s="248"/>
      <c r="P130" s="248"/>
      <c r="Q130" s="248"/>
      <c r="R130" s="248"/>
      <c r="S130" s="248"/>
      <c r="T130" s="248"/>
      <c r="U130" s="248"/>
      <c r="V130" s="248"/>
      <c r="W130" s="248"/>
      <c r="X130" s="248"/>
      <c r="Y130" s="248"/>
      <c r="Z130" s="248"/>
      <c r="AA130" s="248"/>
      <c r="AB130" s="248"/>
    </row>
    <row r="131" spans="1:28" ht="13.8">
      <c r="A131" s="248"/>
      <c r="B131" s="248"/>
      <c r="C131" s="331"/>
      <c r="D131" s="248"/>
      <c r="E131" s="248"/>
      <c r="F131" s="248"/>
      <c r="G131" s="248"/>
      <c r="H131" s="248"/>
      <c r="I131" s="248"/>
      <c r="J131" s="248"/>
      <c r="K131" s="248"/>
      <c r="L131" s="248"/>
      <c r="M131" s="248"/>
      <c r="N131" s="248"/>
      <c r="O131" s="248"/>
      <c r="P131" s="248"/>
      <c r="Q131" s="248"/>
      <c r="R131" s="248"/>
      <c r="S131" s="248"/>
      <c r="T131" s="248"/>
      <c r="U131" s="248"/>
      <c r="V131" s="248"/>
      <c r="W131" s="248"/>
      <c r="X131" s="248"/>
      <c r="Y131" s="248"/>
      <c r="Z131" s="248"/>
      <c r="AA131" s="248"/>
      <c r="AB131" s="248"/>
    </row>
    <row r="132" spans="1:28" ht="13.8">
      <c r="A132" s="248"/>
      <c r="B132" s="248"/>
      <c r="C132" s="331"/>
      <c r="D132" s="248"/>
      <c r="E132" s="248"/>
      <c r="F132" s="248"/>
      <c r="G132" s="248"/>
      <c r="H132" s="248"/>
      <c r="I132" s="248"/>
      <c r="J132" s="248"/>
      <c r="K132" s="248"/>
      <c r="L132" s="248"/>
      <c r="M132" s="248"/>
      <c r="N132" s="248"/>
      <c r="O132" s="248"/>
      <c r="P132" s="248"/>
      <c r="Q132" s="248"/>
      <c r="R132" s="248"/>
      <c r="S132" s="248"/>
      <c r="T132" s="248"/>
      <c r="U132" s="248"/>
      <c r="V132" s="248"/>
      <c r="W132" s="248"/>
      <c r="X132" s="248"/>
      <c r="Y132" s="248"/>
      <c r="Z132" s="248"/>
      <c r="AA132" s="248"/>
      <c r="AB132" s="248"/>
    </row>
    <row r="133" spans="1:28" ht="13.8">
      <c r="A133" s="248"/>
      <c r="B133" s="248"/>
      <c r="C133" s="331"/>
      <c r="D133" s="248"/>
      <c r="E133" s="248"/>
      <c r="F133" s="248"/>
      <c r="G133" s="248"/>
      <c r="H133" s="248"/>
      <c r="I133" s="248"/>
      <c r="J133" s="248"/>
      <c r="K133" s="248"/>
      <c r="L133" s="248"/>
      <c r="M133" s="248"/>
      <c r="N133" s="248"/>
      <c r="O133" s="248"/>
      <c r="P133" s="248"/>
      <c r="Q133" s="248"/>
      <c r="R133" s="248"/>
      <c r="S133" s="248"/>
      <c r="T133" s="248"/>
      <c r="U133" s="248"/>
      <c r="V133" s="248"/>
      <c r="W133" s="248"/>
      <c r="X133" s="248"/>
      <c r="Y133" s="248"/>
      <c r="Z133" s="248"/>
      <c r="AA133" s="248"/>
      <c r="AB133" s="248"/>
    </row>
    <row r="134" spans="1:28" ht="13.8">
      <c r="A134" s="248"/>
      <c r="B134" s="248"/>
      <c r="C134" s="331"/>
      <c r="D134" s="248"/>
      <c r="E134" s="248"/>
      <c r="F134" s="248"/>
      <c r="G134" s="248"/>
      <c r="H134" s="248"/>
      <c r="I134" s="248"/>
      <c r="J134" s="248"/>
      <c r="K134" s="248"/>
      <c r="L134" s="248"/>
      <c r="M134" s="248"/>
      <c r="N134" s="248"/>
      <c r="O134" s="248"/>
      <c r="P134" s="248"/>
      <c r="Q134" s="248"/>
      <c r="R134" s="248"/>
      <c r="S134" s="248"/>
      <c r="T134" s="248"/>
      <c r="U134" s="248"/>
      <c r="V134" s="248"/>
      <c r="W134" s="248"/>
      <c r="X134" s="248"/>
      <c r="Y134" s="248"/>
      <c r="Z134" s="248"/>
      <c r="AA134" s="248"/>
      <c r="AB134" s="248"/>
    </row>
    <row r="135" spans="1:28" ht="13.8">
      <c r="A135" s="248"/>
      <c r="B135" s="248"/>
      <c r="C135" s="331"/>
      <c r="D135" s="248"/>
      <c r="E135" s="248"/>
      <c r="F135" s="248"/>
      <c r="G135" s="248"/>
      <c r="H135" s="248"/>
      <c r="I135" s="248"/>
      <c r="J135" s="248"/>
      <c r="K135" s="248"/>
      <c r="L135" s="248"/>
      <c r="M135" s="248"/>
      <c r="N135" s="248"/>
      <c r="O135" s="248"/>
      <c r="P135" s="248"/>
      <c r="Q135" s="248"/>
      <c r="R135" s="248"/>
      <c r="S135" s="248"/>
      <c r="T135" s="248"/>
      <c r="U135" s="248"/>
      <c r="V135" s="248"/>
      <c r="W135" s="248"/>
      <c r="X135" s="248"/>
      <c r="Y135" s="248"/>
      <c r="Z135" s="248"/>
      <c r="AA135" s="248"/>
      <c r="AB135" s="248"/>
    </row>
    <row r="136" spans="1:28" ht="13.8">
      <c r="A136" s="248"/>
      <c r="B136" s="248"/>
      <c r="C136" s="331"/>
      <c r="D136" s="248"/>
      <c r="E136" s="248"/>
      <c r="F136" s="248"/>
      <c r="G136" s="248"/>
      <c r="H136" s="248"/>
      <c r="I136" s="248"/>
      <c r="J136" s="248"/>
      <c r="K136" s="248"/>
      <c r="L136" s="248"/>
      <c r="M136" s="248"/>
      <c r="N136" s="248"/>
      <c r="O136" s="248"/>
      <c r="P136" s="248"/>
      <c r="Q136" s="248"/>
      <c r="R136" s="248"/>
      <c r="S136" s="248"/>
      <c r="T136" s="248"/>
      <c r="U136" s="248"/>
      <c r="V136" s="248"/>
      <c r="W136" s="248"/>
      <c r="X136" s="248"/>
      <c r="Y136" s="248"/>
      <c r="Z136" s="248"/>
      <c r="AA136" s="248"/>
      <c r="AB136" s="248"/>
    </row>
    <row r="137" spans="1:28" ht="13.8">
      <c r="A137" s="248"/>
      <c r="B137" s="248"/>
      <c r="C137" s="331"/>
      <c r="D137" s="248"/>
      <c r="E137" s="248"/>
      <c r="F137" s="248"/>
      <c r="G137" s="248"/>
      <c r="H137" s="248"/>
      <c r="I137" s="248"/>
      <c r="J137" s="248"/>
      <c r="K137" s="248"/>
      <c r="L137" s="248"/>
      <c r="M137" s="248"/>
      <c r="N137" s="248"/>
      <c r="O137" s="248"/>
      <c r="P137" s="248"/>
      <c r="Q137" s="248"/>
      <c r="R137" s="248"/>
      <c r="S137" s="248"/>
      <c r="T137" s="248"/>
      <c r="U137" s="248"/>
      <c r="V137" s="248"/>
      <c r="W137" s="248"/>
      <c r="X137" s="248"/>
      <c r="Y137" s="248"/>
      <c r="Z137" s="248"/>
      <c r="AA137" s="248"/>
      <c r="AB137" s="248"/>
    </row>
    <row r="138" spans="1:28" ht="13.8">
      <c r="A138" s="248"/>
      <c r="B138" s="248"/>
      <c r="C138" s="331"/>
      <c r="D138" s="248"/>
      <c r="E138" s="248"/>
      <c r="F138" s="248"/>
      <c r="G138" s="248"/>
      <c r="H138" s="248"/>
      <c r="I138" s="248"/>
      <c r="J138" s="248"/>
      <c r="K138" s="248"/>
      <c r="L138" s="248"/>
      <c r="M138" s="248"/>
      <c r="N138" s="248"/>
      <c r="O138" s="248"/>
      <c r="P138" s="248"/>
      <c r="Q138" s="248"/>
      <c r="R138" s="248"/>
      <c r="S138" s="248"/>
      <c r="T138" s="248"/>
      <c r="U138" s="248"/>
      <c r="V138" s="248"/>
      <c r="W138" s="248"/>
      <c r="X138" s="248"/>
      <c r="Y138" s="248"/>
      <c r="Z138" s="248"/>
      <c r="AA138" s="248"/>
      <c r="AB138" s="248"/>
    </row>
    <row r="139" spans="1:28" ht="13.8">
      <c r="A139" s="248"/>
      <c r="B139" s="248"/>
      <c r="C139" s="331"/>
      <c r="D139" s="248"/>
      <c r="E139" s="248"/>
      <c r="F139" s="248"/>
      <c r="G139" s="248"/>
      <c r="H139" s="248"/>
      <c r="I139" s="248"/>
      <c r="J139" s="248"/>
      <c r="K139" s="248"/>
      <c r="L139" s="248"/>
      <c r="M139" s="248"/>
      <c r="N139" s="248"/>
      <c r="O139" s="248"/>
      <c r="P139" s="248"/>
      <c r="Q139" s="248"/>
      <c r="R139" s="248"/>
      <c r="S139" s="248"/>
      <c r="T139" s="248"/>
      <c r="U139" s="248"/>
      <c r="V139" s="248"/>
      <c r="W139" s="248"/>
      <c r="X139" s="248"/>
      <c r="Y139" s="248"/>
      <c r="Z139" s="248"/>
      <c r="AA139" s="248"/>
      <c r="AB139" s="248"/>
    </row>
    <row r="140" spans="1:28" ht="13.8">
      <c r="A140" s="248"/>
      <c r="B140" s="248"/>
      <c r="C140" s="331"/>
      <c r="D140" s="248"/>
      <c r="E140" s="248"/>
      <c r="F140" s="248"/>
      <c r="G140" s="248"/>
      <c r="H140" s="248"/>
      <c r="I140" s="248"/>
      <c r="J140" s="248"/>
      <c r="K140" s="248"/>
      <c r="L140" s="248"/>
      <c r="M140" s="248"/>
      <c r="N140" s="248"/>
      <c r="O140" s="248"/>
      <c r="P140" s="248"/>
      <c r="Q140" s="248"/>
      <c r="R140" s="248"/>
      <c r="S140" s="248"/>
      <c r="T140" s="248"/>
      <c r="U140" s="248"/>
      <c r="V140" s="248"/>
      <c r="W140" s="248"/>
      <c r="X140" s="248"/>
      <c r="Y140" s="248"/>
      <c r="Z140" s="248"/>
      <c r="AA140" s="248"/>
      <c r="AB140" s="248"/>
    </row>
    <row r="141" spans="1:28" ht="13.8">
      <c r="A141" s="248"/>
      <c r="B141" s="248"/>
      <c r="C141" s="331"/>
      <c r="D141" s="248"/>
      <c r="E141" s="248"/>
      <c r="F141" s="248"/>
      <c r="G141" s="248"/>
      <c r="H141" s="248"/>
      <c r="I141" s="248"/>
      <c r="J141" s="248"/>
      <c r="K141" s="248"/>
      <c r="L141" s="248"/>
      <c r="M141" s="248"/>
      <c r="N141" s="248"/>
      <c r="O141" s="248"/>
      <c r="P141" s="248"/>
      <c r="Q141" s="248"/>
      <c r="R141" s="248"/>
      <c r="S141" s="248"/>
      <c r="T141" s="248"/>
      <c r="U141" s="248"/>
      <c r="V141" s="248"/>
      <c r="W141" s="248"/>
      <c r="X141" s="248"/>
      <c r="Y141" s="248"/>
      <c r="Z141" s="248"/>
      <c r="AA141" s="248"/>
      <c r="AB141" s="248"/>
    </row>
    <row r="142" spans="1:28" ht="13.8">
      <c r="A142" s="248"/>
      <c r="B142" s="248"/>
      <c r="C142" s="331"/>
      <c r="D142" s="248"/>
      <c r="E142" s="248"/>
      <c r="F142" s="248"/>
      <c r="G142" s="248"/>
      <c r="H142" s="248"/>
      <c r="I142" s="248"/>
      <c r="J142" s="248"/>
      <c r="K142" s="248"/>
      <c r="L142" s="248"/>
      <c r="M142" s="248"/>
      <c r="N142" s="248"/>
      <c r="O142" s="248"/>
      <c r="P142" s="248"/>
      <c r="Q142" s="248"/>
      <c r="R142" s="248"/>
      <c r="S142" s="248"/>
      <c r="T142" s="248"/>
      <c r="U142" s="248"/>
      <c r="V142" s="248"/>
      <c r="W142" s="248"/>
      <c r="X142" s="248"/>
      <c r="Y142" s="248"/>
      <c r="Z142" s="248"/>
      <c r="AA142" s="248"/>
      <c r="AB142" s="248"/>
    </row>
    <row r="143" spans="1:28" ht="13.8">
      <c r="A143" s="248"/>
      <c r="B143" s="248"/>
      <c r="C143" s="331"/>
      <c r="D143" s="248"/>
      <c r="E143" s="248"/>
      <c r="F143" s="248"/>
      <c r="G143" s="248"/>
      <c r="H143" s="248"/>
      <c r="I143" s="248"/>
      <c r="J143" s="248"/>
      <c r="K143" s="248"/>
      <c r="L143" s="248"/>
      <c r="M143" s="248"/>
      <c r="N143" s="248"/>
      <c r="O143" s="248"/>
      <c r="P143" s="248"/>
      <c r="Q143" s="248"/>
      <c r="R143" s="248"/>
      <c r="S143" s="248"/>
      <c r="T143" s="248"/>
      <c r="U143" s="248"/>
      <c r="V143" s="248"/>
      <c r="W143" s="248"/>
      <c r="X143" s="248"/>
      <c r="Y143" s="248"/>
      <c r="Z143" s="248"/>
      <c r="AA143" s="248"/>
      <c r="AB143" s="248"/>
    </row>
    <row r="144" spans="1:28" ht="13.8">
      <c r="A144" s="248"/>
      <c r="B144" s="248"/>
      <c r="C144" s="331"/>
      <c r="D144" s="248"/>
      <c r="E144" s="248"/>
      <c r="F144" s="248"/>
      <c r="G144" s="248"/>
      <c r="H144" s="248"/>
      <c r="I144" s="248"/>
      <c r="J144" s="248"/>
      <c r="K144" s="248"/>
      <c r="L144" s="248"/>
      <c r="M144" s="248"/>
      <c r="N144" s="248"/>
      <c r="O144" s="248"/>
      <c r="P144" s="248"/>
      <c r="Q144" s="248"/>
      <c r="R144" s="248"/>
      <c r="S144" s="248"/>
      <c r="T144" s="248"/>
      <c r="U144" s="248"/>
      <c r="V144" s="248"/>
      <c r="W144" s="248"/>
      <c r="X144" s="248"/>
      <c r="Y144" s="248"/>
      <c r="Z144" s="248"/>
      <c r="AA144" s="248"/>
      <c r="AB144" s="248"/>
    </row>
    <row r="145" spans="1:28" ht="13.8">
      <c r="A145" s="248"/>
      <c r="B145" s="248"/>
      <c r="C145" s="331"/>
      <c r="D145" s="248"/>
      <c r="E145" s="248"/>
      <c r="F145" s="248"/>
      <c r="G145" s="248"/>
      <c r="H145" s="248"/>
      <c r="I145" s="248"/>
      <c r="J145" s="248"/>
      <c r="K145" s="248"/>
      <c r="L145" s="248"/>
      <c r="M145" s="248"/>
      <c r="N145" s="248"/>
      <c r="O145" s="248"/>
      <c r="P145" s="248"/>
      <c r="Q145" s="248"/>
      <c r="R145" s="248"/>
      <c r="S145" s="248"/>
      <c r="T145" s="248"/>
      <c r="U145" s="248"/>
      <c r="V145" s="248"/>
      <c r="W145" s="248"/>
      <c r="X145" s="248"/>
      <c r="Y145" s="248"/>
      <c r="Z145" s="248"/>
      <c r="AA145" s="248"/>
      <c r="AB145" s="248"/>
    </row>
    <row r="146" spans="1:28" ht="13.8">
      <c r="A146" s="248"/>
      <c r="B146" s="248"/>
      <c r="C146" s="331"/>
      <c r="D146" s="248"/>
      <c r="E146" s="248"/>
      <c r="F146" s="248"/>
      <c r="G146" s="248"/>
      <c r="H146" s="248"/>
      <c r="I146" s="248"/>
      <c r="J146" s="248"/>
      <c r="K146" s="248"/>
      <c r="L146" s="248"/>
      <c r="M146" s="248"/>
      <c r="N146" s="248"/>
      <c r="O146" s="248"/>
      <c r="P146" s="248"/>
      <c r="Q146" s="248"/>
      <c r="R146" s="248"/>
      <c r="S146" s="248"/>
      <c r="T146" s="248"/>
      <c r="U146" s="248"/>
      <c r="V146" s="248"/>
      <c r="W146" s="248"/>
      <c r="X146" s="248"/>
      <c r="Y146" s="248"/>
      <c r="Z146" s="248"/>
      <c r="AA146" s="248"/>
      <c r="AB146" s="248"/>
    </row>
    <row r="147" spans="1:28" ht="13.8">
      <c r="A147" s="248"/>
      <c r="B147" s="248"/>
      <c r="C147" s="331"/>
      <c r="D147" s="248"/>
      <c r="E147" s="248"/>
      <c r="F147" s="248"/>
      <c r="G147" s="248"/>
      <c r="H147" s="248"/>
      <c r="I147" s="248"/>
      <c r="J147" s="248"/>
      <c r="K147" s="248"/>
      <c r="L147" s="248"/>
      <c r="M147" s="248"/>
      <c r="N147" s="248"/>
      <c r="O147" s="248"/>
      <c r="P147" s="248"/>
      <c r="Q147" s="248"/>
      <c r="R147" s="248"/>
      <c r="S147" s="248"/>
      <c r="T147" s="248"/>
      <c r="U147" s="248"/>
      <c r="V147" s="248"/>
      <c r="W147" s="248"/>
      <c r="X147" s="248"/>
      <c r="Y147" s="248"/>
      <c r="Z147" s="248"/>
      <c r="AA147" s="248"/>
      <c r="AB147" s="248"/>
    </row>
    <row r="148" spans="1:28" ht="13.8">
      <c r="A148" s="248"/>
      <c r="B148" s="248"/>
      <c r="C148" s="331"/>
      <c r="D148" s="248"/>
      <c r="E148" s="248"/>
      <c r="F148" s="248"/>
      <c r="G148" s="248"/>
      <c r="H148" s="248"/>
      <c r="I148" s="248"/>
      <c r="J148" s="248"/>
      <c r="K148" s="248"/>
      <c r="L148" s="248"/>
      <c r="M148" s="248"/>
      <c r="N148" s="248"/>
      <c r="O148" s="248"/>
      <c r="P148" s="248"/>
      <c r="Q148" s="248"/>
      <c r="R148" s="248"/>
      <c r="S148" s="248"/>
      <c r="T148" s="248"/>
      <c r="U148" s="248"/>
      <c r="V148" s="248"/>
      <c r="W148" s="248"/>
      <c r="X148" s="248"/>
      <c r="Y148" s="248"/>
      <c r="Z148" s="248"/>
      <c r="AA148" s="248"/>
      <c r="AB148" s="248"/>
    </row>
    <row r="149" spans="1:28" ht="13.8">
      <c r="A149" s="248"/>
      <c r="B149" s="248"/>
      <c r="C149" s="331"/>
      <c r="D149" s="248"/>
      <c r="E149" s="248"/>
      <c r="F149" s="248"/>
      <c r="G149" s="248"/>
      <c r="H149" s="248"/>
      <c r="I149" s="248"/>
      <c r="J149" s="248"/>
      <c r="K149" s="248"/>
      <c r="L149" s="248"/>
      <c r="M149" s="248"/>
      <c r="N149" s="248"/>
      <c r="O149" s="248"/>
      <c r="P149" s="248"/>
      <c r="Q149" s="248"/>
      <c r="R149" s="248"/>
      <c r="S149" s="248"/>
      <c r="T149" s="248"/>
      <c r="U149" s="248"/>
      <c r="V149" s="248"/>
      <c r="W149" s="248"/>
      <c r="X149" s="248"/>
      <c r="Y149" s="248"/>
      <c r="Z149" s="248"/>
      <c r="AA149" s="248"/>
      <c r="AB149" s="248"/>
    </row>
    <row r="150" spans="1:28" ht="13.8">
      <c r="A150" s="248"/>
      <c r="B150" s="248"/>
      <c r="C150" s="331"/>
      <c r="D150" s="248"/>
      <c r="E150" s="248"/>
      <c r="F150" s="248"/>
      <c r="G150" s="248"/>
      <c r="H150" s="248"/>
      <c r="I150" s="248"/>
      <c r="J150" s="248"/>
      <c r="K150" s="248"/>
      <c r="L150" s="248"/>
      <c r="M150" s="248"/>
      <c r="N150" s="248"/>
      <c r="O150" s="248"/>
      <c r="P150" s="248"/>
      <c r="Q150" s="248"/>
      <c r="R150" s="248"/>
      <c r="S150" s="248"/>
      <c r="T150" s="248"/>
      <c r="U150" s="248"/>
      <c r="V150" s="248"/>
      <c r="W150" s="248"/>
      <c r="X150" s="248"/>
      <c r="Y150" s="248"/>
      <c r="Z150" s="248"/>
      <c r="AA150" s="248"/>
      <c r="AB150" s="248"/>
    </row>
    <row r="151" spans="1:28" ht="13.8">
      <c r="A151" s="248"/>
      <c r="B151" s="248"/>
      <c r="C151" s="331"/>
      <c r="D151" s="248"/>
      <c r="E151" s="248"/>
      <c r="F151" s="248"/>
      <c r="G151" s="248"/>
      <c r="H151" s="248"/>
      <c r="I151" s="248"/>
      <c r="J151" s="248"/>
      <c r="K151" s="248"/>
      <c r="L151" s="248"/>
      <c r="M151" s="248"/>
      <c r="N151" s="248"/>
      <c r="O151" s="248"/>
      <c r="P151" s="248"/>
      <c r="Q151" s="248"/>
      <c r="R151" s="248"/>
      <c r="S151" s="248"/>
      <c r="T151" s="248"/>
      <c r="U151" s="248"/>
      <c r="V151" s="248"/>
      <c r="W151" s="248"/>
      <c r="X151" s="248"/>
      <c r="Y151" s="248"/>
      <c r="Z151" s="248"/>
      <c r="AA151" s="248"/>
      <c r="AB151" s="248"/>
    </row>
    <row r="152" spans="1:28" ht="13.8">
      <c r="A152" s="248"/>
      <c r="B152" s="248"/>
      <c r="C152" s="331"/>
      <c r="D152" s="248"/>
      <c r="E152" s="248"/>
      <c r="F152" s="248"/>
      <c r="G152" s="248"/>
      <c r="H152" s="248"/>
      <c r="I152" s="248"/>
      <c r="J152" s="248"/>
      <c r="K152" s="248"/>
      <c r="L152" s="248"/>
      <c r="M152" s="248"/>
      <c r="N152" s="248"/>
      <c r="O152" s="248"/>
      <c r="P152" s="248"/>
      <c r="Q152" s="248"/>
      <c r="R152" s="248"/>
      <c r="S152" s="248"/>
      <c r="T152" s="248"/>
      <c r="U152" s="248"/>
      <c r="V152" s="248"/>
      <c r="W152" s="248"/>
      <c r="X152" s="248"/>
      <c r="Y152" s="248"/>
      <c r="Z152" s="248"/>
      <c r="AA152" s="248"/>
      <c r="AB152" s="248"/>
    </row>
    <row r="153" spans="1:28" ht="13.8">
      <c r="A153" s="248"/>
      <c r="B153" s="248"/>
      <c r="C153" s="331"/>
      <c r="D153" s="248"/>
      <c r="E153" s="248"/>
      <c r="F153" s="248"/>
      <c r="G153" s="248"/>
      <c r="H153" s="248"/>
      <c r="I153" s="248"/>
      <c r="J153" s="248"/>
      <c r="K153" s="248"/>
      <c r="L153" s="248"/>
      <c r="M153" s="248"/>
      <c r="N153" s="248"/>
      <c r="O153" s="248"/>
      <c r="P153" s="248"/>
      <c r="Q153" s="248"/>
      <c r="R153" s="248"/>
      <c r="S153" s="248"/>
      <c r="T153" s="248"/>
      <c r="U153" s="248"/>
      <c r="V153" s="248"/>
      <c r="W153" s="248"/>
      <c r="X153" s="248"/>
      <c r="Y153" s="248"/>
      <c r="Z153" s="248"/>
      <c r="AA153" s="248"/>
      <c r="AB153" s="248"/>
    </row>
    <row r="154" spans="1:28" ht="13.8">
      <c r="A154" s="248"/>
      <c r="B154" s="248"/>
      <c r="C154" s="331"/>
      <c r="D154" s="248"/>
      <c r="E154" s="248"/>
      <c r="F154" s="248"/>
      <c r="G154" s="248"/>
      <c r="H154" s="248"/>
      <c r="I154" s="248"/>
      <c r="J154" s="248"/>
      <c r="K154" s="248"/>
      <c r="L154" s="248"/>
      <c r="M154" s="248"/>
      <c r="N154" s="248"/>
      <c r="O154" s="248"/>
      <c r="P154" s="248"/>
      <c r="Q154" s="248"/>
      <c r="R154" s="248"/>
      <c r="S154" s="248"/>
      <c r="T154" s="248"/>
      <c r="U154" s="248"/>
      <c r="V154" s="248"/>
      <c r="W154" s="248"/>
      <c r="X154" s="248"/>
      <c r="Y154" s="248"/>
      <c r="Z154" s="248"/>
      <c r="AA154" s="248"/>
      <c r="AB154" s="248"/>
    </row>
    <row r="155" spans="1:28" ht="13.8">
      <c r="A155" s="248"/>
      <c r="B155" s="248"/>
      <c r="C155" s="331"/>
      <c r="D155" s="248"/>
      <c r="E155" s="248"/>
      <c r="F155" s="248"/>
      <c r="G155" s="248"/>
      <c r="H155" s="248"/>
      <c r="I155" s="248"/>
      <c r="J155" s="248"/>
      <c r="K155" s="248"/>
      <c r="L155" s="248"/>
      <c r="M155" s="248"/>
      <c r="N155" s="248"/>
      <c r="O155" s="248"/>
      <c r="P155" s="248"/>
      <c r="Q155" s="248"/>
      <c r="R155" s="248"/>
      <c r="S155" s="248"/>
      <c r="T155" s="248"/>
      <c r="U155" s="248"/>
      <c r="V155" s="248"/>
      <c r="W155" s="248"/>
      <c r="X155" s="248"/>
      <c r="Y155" s="248"/>
      <c r="Z155" s="248"/>
      <c r="AA155" s="248"/>
      <c r="AB155" s="248"/>
    </row>
    <row r="156" spans="1:28" ht="13.8">
      <c r="A156" s="248"/>
      <c r="B156" s="248"/>
      <c r="C156" s="331"/>
      <c r="D156" s="248"/>
      <c r="E156" s="248"/>
      <c r="F156" s="248"/>
      <c r="G156" s="248"/>
      <c r="H156" s="248"/>
      <c r="I156" s="248"/>
      <c r="J156" s="248"/>
      <c r="K156" s="248"/>
      <c r="L156" s="248"/>
      <c r="M156" s="248"/>
      <c r="N156" s="248"/>
      <c r="O156" s="248"/>
      <c r="P156" s="248"/>
      <c r="Q156" s="248"/>
      <c r="R156" s="248"/>
      <c r="S156" s="248"/>
      <c r="T156" s="248"/>
      <c r="U156" s="248"/>
      <c r="V156" s="248"/>
      <c r="W156" s="248"/>
      <c r="X156" s="248"/>
      <c r="Y156" s="248"/>
      <c r="Z156" s="248"/>
      <c r="AA156" s="248"/>
      <c r="AB156" s="248"/>
    </row>
    <row r="157" spans="1:28" ht="13.8">
      <c r="A157" s="248"/>
      <c r="B157" s="248"/>
      <c r="C157" s="331"/>
      <c r="D157" s="248"/>
      <c r="E157" s="248"/>
      <c r="F157" s="248"/>
      <c r="G157" s="248"/>
      <c r="H157" s="248"/>
      <c r="I157" s="248"/>
      <c r="J157" s="248"/>
      <c r="K157" s="248"/>
      <c r="L157" s="248"/>
      <c r="M157" s="248"/>
      <c r="N157" s="248"/>
      <c r="O157" s="248"/>
      <c r="P157" s="248"/>
      <c r="Q157" s="248"/>
      <c r="R157" s="248"/>
      <c r="S157" s="248"/>
      <c r="T157" s="248"/>
      <c r="U157" s="248"/>
      <c r="V157" s="248"/>
      <c r="W157" s="248"/>
      <c r="X157" s="248"/>
      <c r="Y157" s="248"/>
      <c r="Z157" s="248"/>
      <c r="AA157" s="248"/>
      <c r="AB157" s="248"/>
    </row>
    <row r="158" spans="1:28" ht="13.8">
      <c r="A158" s="248"/>
      <c r="B158" s="248"/>
      <c r="C158" s="331"/>
      <c r="D158" s="248"/>
      <c r="E158" s="248"/>
      <c r="F158" s="248"/>
      <c r="G158" s="248"/>
      <c r="H158" s="248"/>
      <c r="I158" s="248"/>
      <c r="J158" s="248"/>
      <c r="K158" s="248"/>
      <c r="L158" s="248"/>
      <c r="M158" s="248"/>
      <c r="N158" s="248"/>
      <c r="O158" s="248"/>
      <c r="P158" s="248"/>
      <c r="Q158" s="248"/>
      <c r="R158" s="248"/>
      <c r="S158" s="248"/>
      <c r="T158" s="248"/>
      <c r="U158" s="248"/>
      <c r="V158" s="248"/>
      <c r="W158" s="248"/>
      <c r="X158" s="248"/>
      <c r="Y158" s="248"/>
      <c r="Z158" s="248"/>
      <c r="AA158" s="248"/>
      <c r="AB158" s="248"/>
    </row>
    <row r="159" spans="1:28" ht="13.8">
      <c r="A159" s="248"/>
      <c r="B159" s="248"/>
      <c r="C159" s="331"/>
      <c r="D159" s="248"/>
      <c r="E159" s="248"/>
      <c r="F159" s="248"/>
      <c r="G159" s="248"/>
      <c r="H159" s="248"/>
      <c r="I159" s="248"/>
      <c r="J159" s="248"/>
      <c r="K159" s="248"/>
      <c r="L159" s="248"/>
      <c r="M159" s="248"/>
      <c r="N159" s="248"/>
      <c r="O159" s="248"/>
      <c r="P159" s="248"/>
      <c r="Q159" s="248"/>
      <c r="R159" s="248"/>
      <c r="S159" s="248"/>
      <c r="T159" s="248"/>
      <c r="U159" s="248"/>
      <c r="V159" s="248"/>
      <c r="W159" s="248"/>
      <c r="X159" s="248"/>
      <c r="Y159" s="248"/>
      <c r="Z159" s="248"/>
      <c r="AA159" s="248"/>
      <c r="AB159" s="248"/>
    </row>
    <row r="160" spans="1:28" ht="13.8">
      <c r="A160" s="248"/>
      <c r="B160" s="248"/>
      <c r="C160" s="331"/>
      <c r="D160" s="248"/>
      <c r="E160" s="248"/>
      <c r="F160" s="248"/>
      <c r="G160" s="248"/>
      <c r="H160" s="248"/>
      <c r="I160" s="248"/>
      <c r="J160" s="248"/>
      <c r="K160" s="248"/>
      <c r="L160" s="248"/>
      <c r="M160" s="248"/>
      <c r="N160" s="248"/>
      <c r="O160" s="248"/>
      <c r="P160" s="248"/>
      <c r="Q160" s="248"/>
      <c r="R160" s="248"/>
      <c r="S160" s="248"/>
      <c r="T160" s="248"/>
      <c r="U160" s="248"/>
      <c r="V160" s="248"/>
      <c r="W160" s="248"/>
      <c r="X160" s="248"/>
      <c r="Y160" s="248"/>
      <c r="Z160" s="248"/>
      <c r="AA160" s="248"/>
      <c r="AB160" s="248"/>
    </row>
    <row r="161" spans="1:28" ht="13.8">
      <c r="A161" s="248"/>
      <c r="B161" s="248"/>
      <c r="C161" s="331"/>
      <c r="D161" s="248"/>
      <c r="E161" s="248"/>
      <c r="F161" s="248"/>
      <c r="G161" s="248"/>
      <c r="H161" s="248"/>
      <c r="I161" s="248"/>
      <c r="J161" s="248"/>
      <c r="K161" s="248"/>
      <c r="L161" s="248"/>
      <c r="M161" s="248"/>
      <c r="N161" s="248"/>
      <c r="O161" s="248"/>
      <c r="P161" s="248"/>
      <c r="Q161" s="248"/>
      <c r="R161" s="248"/>
      <c r="S161" s="248"/>
      <c r="T161" s="248"/>
      <c r="U161" s="248"/>
      <c r="V161" s="248"/>
      <c r="W161" s="248"/>
      <c r="X161" s="248"/>
      <c r="Y161" s="248"/>
      <c r="Z161" s="248"/>
      <c r="AA161" s="248"/>
      <c r="AB161" s="248"/>
    </row>
    <row r="162" spans="1:28" ht="13.8">
      <c r="A162" s="248"/>
      <c r="B162" s="248"/>
      <c r="C162" s="331"/>
      <c r="D162" s="248"/>
      <c r="E162" s="248"/>
      <c r="F162" s="248"/>
      <c r="G162" s="248"/>
      <c r="H162" s="248"/>
      <c r="I162" s="248"/>
      <c r="J162" s="248"/>
      <c r="K162" s="248"/>
      <c r="L162" s="248"/>
      <c r="M162" s="248"/>
      <c r="N162" s="248"/>
      <c r="O162" s="248"/>
      <c r="P162" s="248"/>
      <c r="Q162" s="248"/>
      <c r="R162" s="248"/>
      <c r="S162" s="248"/>
      <c r="T162" s="248"/>
      <c r="U162" s="248"/>
      <c r="V162" s="248"/>
      <c r="W162" s="248"/>
      <c r="X162" s="248"/>
      <c r="Y162" s="248"/>
      <c r="Z162" s="248"/>
      <c r="AA162" s="248"/>
      <c r="AB162" s="248"/>
    </row>
    <row r="163" spans="1:28" ht="13.8">
      <c r="A163" s="248"/>
      <c r="B163" s="248"/>
      <c r="C163" s="331"/>
      <c r="D163" s="248"/>
      <c r="E163" s="248"/>
      <c r="F163" s="248"/>
      <c r="G163" s="248"/>
      <c r="H163" s="248"/>
      <c r="I163" s="248"/>
      <c r="J163" s="248"/>
      <c r="K163" s="248"/>
      <c r="L163" s="248"/>
      <c r="M163" s="248"/>
      <c r="N163" s="248"/>
      <c r="O163" s="248"/>
      <c r="P163" s="248"/>
      <c r="Q163" s="248"/>
      <c r="R163" s="248"/>
      <c r="S163" s="248"/>
      <c r="T163" s="248"/>
      <c r="U163" s="248"/>
      <c r="V163" s="248"/>
      <c r="W163" s="248"/>
      <c r="X163" s="248"/>
      <c r="Y163" s="248"/>
      <c r="Z163" s="248"/>
      <c r="AA163" s="248"/>
      <c r="AB163" s="248"/>
    </row>
    <row r="164" spans="1:28" ht="13.8">
      <c r="A164" s="248"/>
      <c r="B164" s="248"/>
      <c r="C164" s="331"/>
      <c r="D164" s="248"/>
      <c r="E164" s="248"/>
      <c r="F164" s="248"/>
      <c r="G164" s="248"/>
      <c r="H164" s="248"/>
      <c r="I164" s="248"/>
      <c r="J164" s="248"/>
      <c r="K164" s="248"/>
      <c r="L164" s="248"/>
      <c r="M164" s="248"/>
      <c r="N164" s="248"/>
      <c r="O164" s="248"/>
      <c r="P164" s="248"/>
      <c r="Q164" s="248"/>
      <c r="R164" s="248"/>
      <c r="S164" s="248"/>
      <c r="T164" s="248"/>
      <c r="U164" s="248"/>
      <c r="V164" s="248"/>
      <c r="W164" s="248"/>
      <c r="X164" s="248"/>
      <c r="Y164" s="248"/>
      <c r="Z164" s="248"/>
      <c r="AA164" s="248"/>
      <c r="AB164" s="248"/>
    </row>
    <row r="165" spans="1:28" ht="13.8">
      <c r="A165" s="248"/>
      <c r="B165" s="248"/>
      <c r="C165" s="331"/>
      <c r="D165" s="248"/>
      <c r="E165" s="248"/>
      <c r="F165" s="248"/>
      <c r="G165" s="248"/>
      <c r="H165" s="248"/>
      <c r="I165" s="248"/>
      <c r="J165" s="248"/>
      <c r="K165" s="248"/>
      <c r="L165" s="248"/>
      <c r="M165" s="248"/>
      <c r="N165" s="248"/>
      <c r="O165" s="248"/>
      <c r="P165" s="248"/>
      <c r="Q165" s="248"/>
      <c r="R165" s="248"/>
      <c r="S165" s="248"/>
      <c r="T165" s="248"/>
      <c r="U165" s="248"/>
      <c r="V165" s="248"/>
      <c r="W165" s="248"/>
      <c r="X165" s="248"/>
      <c r="Y165" s="248"/>
      <c r="Z165" s="248"/>
      <c r="AA165" s="248"/>
      <c r="AB165" s="248"/>
    </row>
    <row r="166" spans="1:28" ht="13.8">
      <c r="A166" s="248"/>
      <c r="B166" s="248"/>
      <c r="C166" s="331"/>
      <c r="D166" s="248"/>
      <c r="E166" s="248"/>
      <c r="F166" s="248"/>
      <c r="G166" s="248"/>
      <c r="H166" s="248"/>
      <c r="I166" s="248"/>
      <c r="J166" s="248"/>
      <c r="K166" s="248"/>
      <c r="L166" s="248"/>
      <c r="M166" s="248"/>
      <c r="N166" s="248"/>
      <c r="O166" s="248"/>
      <c r="P166" s="248"/>
      <c r="Q166" s="248"/>
      <c r="R166" s="248"/>
      <c r="S166" s="248"/>
      <c r="T166" s="248"/>
      <c r="U166" s="248"/>
      <c r="V166" s="248"/>
      <c r="W166" s="248"/>
      <c r="X166" s="248"/>
      <c r="Y166" s="248"/>
      <c r="Z166" s="248"/>
      <c r="AA166" s="248"/>
      <c r="AB166" s="248"/>
    </row>
    <row r="167" spans="1:28" ht="13.8">
      <c r="A167" s="248"/>
      <c r="B167" s="248"/>
      <c r="C167" s="331"/>
      <c r="D167" s="248"/>
      <c r="E167" s="248"/>
      <c r="F167" s="248"/>
      <c r="G167" s="248"/>
      <c r="H167" s="248"/>
      <c r="I167" s="248"/>
      <c r="J167" s="248"/>
      <c r="K167" s="248"/>
      <c r="L167" s="248"/>
      <c r="M167" s="248"/>
      <c r="N167" s="248"/>
      <c r="O167" s="248"/>
      <c r="P167" s="248"/>
      <c r="Q167" s="248"/>
      <c r="R167" s="248"/>
      <c r="S167" s="248"/>
      <c r="T167" s="248"/>
      <c r="U167" s="248"/>
      <c r="V167" s="248"/>
      <c r="W167" s="248"/>
      <c r="X167" s="248"/>
      <c r="Y167" s="248"/>
      <c r="Z167" s="248"/>
      <c r="AA167" s="248"/>
      <c r="AB167" s="248"/>
    </row>
    <row r="168" spans="1:28" ht="13.8">
      <c r="A168" s="248"/>
      <c r="B168" s="248"/>
      <c r="C168" s="331"/>
      <c r="D168" s="248"/>
      <c r="E168" s="248"/>
      <c r="F168" s="248"/>
      <c r="G168" s="248"/>
      <c r="H168" s="248"/>
      <c r="I168" s="248"/>
      <c r="J168" s="248"/>
      <c r="K168" s="248"/>
      <c r="L168" s="248"/>
      <c r="M168" s="248"/>
      <c r="N168" s="248"/>
      <c r="O168" s="248"/>
      <c r="P168" s="248"/>
      <c r="Q168" s="248"/>
      <c r="R168" s="248"/>
      <c r="S168" s="248"/>
      <c r="T168" s="248"/>
      <c r="U168" s="248"/>
      <c r="V168" s="248"/>
      <c r="W168" s="248"/>
      <c r="X168" s="248"/>
      <c r="Y168" s="248"/>
      <c r="Z168" s="248"/>
      <c r="AA168" s="248"/>
      <c r="AB168" s="248"/>
    </row>
    <row r="169" spans="1:28" ht="13.8">
      <c r="A169" s="248"/>
      <c r="B169" s="248"/>
      <c r="C169" s="331"/>
      <c r="D169" s="248"/>
      <c r="E169" s="248"/>
      <c r="F169" s="248"/>
      <c r="G169" s="248"/>
      <c r="H169" s="248"/>
      <c r="I169" s="248"/>
      <c r="J169" s="248"/>
      <c r="K169" s="248"/>
      <c r="L169" s="248"/>
      <c r="M169" s="248"/>
      <c r="N169" s="248"/>
      <c r="O169" s="248"/>
      <c r="P169" s="248"/>
      <c r="Q169" s="248"/>
      <c r="R169" s="248"/>
      <c r="S169" s="248"/>
      <c r="T169" s="248"/>
      <c r="U169" s="248"/>
      <c r="V169" s="248"/>
      <c r="W169" s="248"/>
      <c r="X169" s="248"/>
      <c r="Y169" s="248"/>
      <c r="Z169" s="248"/>
      <c r="AA169" s="248"/>
      <c r="AB169" s="248"/>
    </row>
    <row r="170" spans="1:28" ht="13.8">
      <c r="A170" s="248"/>
      <c r="B170" s="248"/>
      <c r="C170" s="331"/>
      <c r="D170" s="248"/>
      <c r="E170" s="248"/>
      <c r="F170" s="248"/>
      <c r="G170" s="248"/>
      <c r="H170" s="248"/>
      <c r="I170" s="248"/>
      <c r="J170" s="248"/>
      <c r="K170" s="248"/>
      <c r="L170" s="248"/>
      <c r="M170" s="248"/>
      <c r="N170" s="248"/>
      <c r="O170" s="248"/>
      <c r="P170" s="248"/>
      <c r="Q170" s="248"/>
      <c r="R170" s="248"/>
      <c r="S170" s="248"/>
      <c r="T170" s="248"/>
      <c r="U170" s="248"/>
      <c r="V170" s="248"/>
      <c r="W170" s="248"/>
      <c r="X170" s="248"/>
      <c r="Y170" s="248"/>
      <c r="Z170" s="248"/>
      <c r="AA170" s="248"/>
      <c r="AB170" s="248"/>
    </row>
    <row r="171" spans="1:28" ht="13.8">
      <c r="A171" s="248"/>
      <c r="B171" s="248"/>
      <c r="C171" s="331"/>
      <c r="D171" s="248"/>
      <c r="E171" s="248"/>
      <c r="F171" s="248"/>
      <c r="G171" s="248"/>
      <c r="H171" s="248"/>
      <c r="I171" s="248"/>
      <c r="J171" s="248"/>
      <c r="K171" s="248"/>
      <c r="L171" s="248"/>
      <c r="M171" s="248"/>
      <c r="N171" s="248"/>
      <c r="O171" s="248"/>
      <c r="P171" s="248"/>
      <c r="Q171" s="248"/>
      <c r="R171" s="248"/>
      <c r="S171" s="248"/>
      <c r="T171" s="248"/>
      <c r="U171" s="248"/>
      <c r="V171" s="248"/>
      <c r="W171" s="248"/>
      <c r="X171" s="248"/>
      <c r="Y171" s="248"/>
      <c r="Z171" s="248"/>
      <c r="AA171" s="248"/>
      <c r="AB171" s="248"/>
    </row>
    <row r="172" spans="1:28" ht="13.8">
      <c r="A172" s="248"/>
      <c r="B172" s="248"/>
      <c r="C172" s="331"/>
      <c r="D172" s="248"/>
      <c r="E172" s="248"/>
      <c r="F172" s="248"/>
      <c r="G172" s="248"/>
      <c r="H172" s="248"/>
      <c r="I172" s="248"/>
      <c r="J172" s="248"/>
      <c r="K172" s="248"/>
      <c r="L172" s="248"/>
      <c r="M172" s="248"/>
      <c r="N172" s="248"/>
      <c r="O172" s="248"/>
      <c r="P172" s="248"/>
      <c r="Q172" s="248"/>
      <c r="R172" s="248"/>
      <c r="S172" s="248"/>
      <c r="T172" s="248"/>
      <c r="U172" s="248"/>
      <c r="V172" s="248"/>
      <c r="W172" s="248"/>
      <c r="X172" s="248"/>
      <c r="Y172" s="248"/>
      <c r="Z172" s="248"/>
      <c r="AA172" s="248"/>
      <c r="AB172" s="248"/>
    </row>
    <row r="173" spans="1:28" ht="13.8">
      <c r="A173" s="248"/>
      <c r="B173" s="248"/>
      <c r="C173" s="331"/>
      <c r="D173" s="248"/>
      <c r="E173" s="248"/>
      <c r="F173" s="248"/>
      <c r="G173" s="248"/>
      <c r="H173" s="248"/>
      <c r="I173" s="248"/>
      <c r="J173" s="248"/>
      <c r="K173" s="248"/>
      <c r="L173" s="248"/>
      <c r="M173" s="248"/>
      <c r="N173" s="248"/>
      <c r="O173" s="248"/>
      <c r="P173" s="248"/>
      <c r="Q173" s="248"/>
      <c r="R173" s="248"/>
      <c r="S173" s="248"/>
      <c r="T173" s="248"/>
      <c r="U173" s="248"/>
      <c r="V173" s="248"/>
      <c r="W173" s="248"/>
      <c r="X173" s="248"/>
      <c r="Y173" s="248"/>
      <c r="Z173" s="248"/>
      <c r="AA173" s="248"/>
      <c r="AB173" s="248"/>
    </row>
    <row r="174" spans="1:28" ht="13.8">
      <c r="A174" s="248"/>
      <c r="B174" s="248"/>
      <c r="C174" s="331"/>
      <c r="D174" s="248"/>
      <c r="E174" s="248"/>
      <c r="F174" s="248"/>
      <c r="G174" s="248"/>
      <c r="H174" s="248"/>
      <c r="I174" s="248"/>
      <c r="J174" s="248"/>
      <c r="K174" s="248"/>
      <c r="L174" s="248"/>
      <c r="M174" s="248"/>
      <c r="N174" s="248"/>
      <c r="O174" s="248"/>
      <c r="P174" s="248"/>
      <c r="Q174" s="248"/>
      <c r="R174" s="248"/>
      <c r="S174" s="248"/>
      <c r="T174" s="248"/>
      <c r="U174" s="248"/>
      <c r="V174" s="248"/>
      <c r="W174" s="248"/>
      <c r="X174" s="248"/>
      <c r="Y174" s="248"/>
      <c r="Z174" s="248"/>
      <c r="AA174" s="248"/>
      <c r="AB174" s="248"/>
    </row>
    <row r="175" spans="1:28" ht="13.8">
      <c r="A175" s="248"/>
      <c r="B175" s="248"/>
      <c r="C175" s="331"/>
      <c r="D175" s="248"/>
      <c r="E175" s="248"/>
      <c r="F175" s="248"/>
      <c r="G175" s="248"/>
      <c r="H175" s="248"/>
      <c r="I175" s="248"/>
      <c r="J175" s="248"/>
      <c r="K175" s="248"/>
      <c r="L175" s="248"/>
      <c r="M175" s="248"/>
      <c r="N175" s="248"/>
      <c r="O175" s="248"/>
      <c r="P175" s="248"/>
      <c r="Q175" s="248"/>
      <c r="R175" s="248"/>
      <c r="S175" s="248"/>
      <c r="T175" s="248"/>
      <c r="U175" s="248"/>
      <c r="V175" s="248"/>
      <c r="W175" s="248"/>
      <c r="X175" s="248"/>
      <c r="Y175" s="248"/>
      <c r="Z175" s="248"/>
      <c r="AA175" s="248"/>
      <c r="AB175" s="248"/>
    </row>
    <row r="176" spans="1:28" ht="13.8">
      <c r="A176" s="248"/>
      <c r="B176" s="248"/>
      <c r="C176" s="331"/>
      <c r="D176" s="248"/>
      <c r="E176" s="248"/>
      <c r="F176" s="248"/>
      <c r="G176" s="248"/>
      <c r="H176" s="248"/>
      <c r="I176" s="248"/>
      <c r="J176" s="248"/>
      <c r="K176" s="248"/>
      <c r="L176" s="248"/>
      <c r="M176" s="248"/>
      <c r="N176" s="248"/>
      <c r="O176" s="248"/>
      <c r="P176" s="248"/>
      <c r="Q176" s="248"/>
      <c r="R176" s="248"/>
      <c r="S176" s="248"/>
      <c r="T176" s="248"/>
      <c r="U176" s="248"/>
      <c r="V176" s="248"/>
      <c r="W176" s="248"/>
      <c r="X176" s="248"/>
      <c r="Y176" s="248"/>
      <c r="Z176" s="248"/>
      <c r="AA176" s="248"/>
      <c r="AB176" s="248"/>
    </row>
    <row r="177" spans="1:28" ht="13.8">
      <c r="A177" s="248"/>
      <c r="B177" s="248"/>
      <c r="C177" s="331"/>
      <c r="D177" s="248"/>
      <c r="E177" s="248"/>
      <c r="F177" s="248"/>
      <c r="G177" s="248"/>
      <c r="H177" s="248"/>
      <c r="I177" s="248"/>
      <c r="J177" s="248"/>
      <c r="K177" s="248"/>
      <c r="L177" s="248"/>
      <c r="M177" s="248"/>
      <c r="N177" s="248"/>
      <c r="O177" s="248"/>
      <c r="P177" s="248"/>
      <c r="Q177" s="248"/>
      <c r="R177" s="248"/>
      <c r="S177" s="248"/>
      <c r="T177" s="248"/>
      <c r="U177" s="248"/>
      <c r="V177" s="248"/>
      <c r="W177" s="248"/>
      <c r="X177" s="248"/>
      <c r="Y177" s="248"/>
      <c r="Z177" s="248"/>
      <c r="AA177" s="248"/>
      <c r="AB177" s="248"/>
    </row>
    <row r="178" spans="1:28" ht="13.8">
      <c r="A178" s="248"/>
      <c r="B178" s="248"/>
      <c r="C178" s="331"/>
      <c r="D178" s="248"/>
      <c r="E178" s="248"/>
      <c r="F178" s="248"/>
      <c r="G178" s="248"/>
      <c r="H178" s="248"/>
      <c r="I178" s="248"/>
      <c r="J178" s="248"/>
      <c r="K178" s="248"/>
      <c r="L178" s="248"/>
      <c r="M178" s="248"/>
      <c r="N178" s="248"/>
      <c r="O178" s="248"/>
      <c r="P178" s="248"/>
      <c r="Q178" s="248"/>
      <c r="R178" s="248"/>
      <c r="S178" s="248"/>
      <c r="T178" s="248"/>
      <c r="U178" s="248"/>
      <c r="V178" s="248"/>
      <c r="W178" s="248"/>
      <c r="X178" s="248"/>
      <c r="Y178" s="248"/>
      <c r="Z178" s="248"/>
      <c r="AA178" s="248"/>
      <c r="AB178" s="248"/>
    </row>
    <row r="179" spans="1:28" ht="13.8">
      <c r="A179" s="248"/>
      <c r="B179" s="248"/>
      <c r="C179" s="331"/>
      <c r="D179" s="248"/>
      <c r="E179" s="248"/>
      <c r="F179" s="248"/>
      <c r="G179" s="248"/>
      <c r="H179" s="248"/>
      <c r="I179" s="248"/>
      <c r="J179" s="248"/>
      <c r="K179" s="248"/>
      <c r="L179" s="248"/>
      <c r="M179" s="248"/>
      <c r="N179" s="248"/>
      <c r="O179" s="248"/>
      <c r="P179" s="248"/>
      <c r="Q179" s="248"/>
      <c r="R179" s="248"/>
      <c r="S179" s="248"/>
      <c r="T179" s="248"/>
      <c r="U179" s="248"/>
      <c r="V179" s="248"/>
      <c r="W179" s="248"/>
      <c r="X179" s="248"/>
      <c r="Y179" s="248"/>
      <c r="Z179" s="248"/>
      <c r="AA179" s="248"/>
      <c r="AB179" s="248"/>
    </row>
    <row r="180" spans="1:28" ht="13.8">
      <c r="A180" s="248"/>
      <c r="B180" s="248"/>
      <c r="C180" s="331"/>
      <c r="D180" s="248"/>
      <c r="E180" s="248"/>
      <c r="F180" s="248"/>
      <c r="G180" s="248"/>
      <c r="H180" s="248"/>
      <c r="I180" s="248"/>
      <c r="J180" s="248"/>
      <c r="K180" s="248"/>
      <c r="L180" s="248"/>
      <c r="M180" s="248"/>
      <c r="N180" s="248"/>
      <c r="O180" s="248"/>
      <c r="P180" s="248"/>
      <c r="Q180" s="248"/>
      <c r="R180" s="248"/>
      <c r="S180" s="248"/>
      <c r="T180" s="248"/>
      <c r="U180" s="248"/>
      <c r="V180" s="248"/>
      <c r="W180" s="248"/>
      <c r="X180" s="248"/>
      <c r="Y180" s="248"/>
      <c r="Z180" s="248"/>
      <c r="AA180" s="248"/>
      <c r="AB180" s="248"/>
    </row>
    <row r="181" spans="1:28" ht="13.8">
      <c r="A181" s="248"/>
      <c r="B181" s="248"/>
      <c r="C181" s="331"/>
      <c r="D181" s="248"/>
      <c r="E181" s="248"/>
      <c r="F181" s="248"/>
      <c r="G181" s="248"/>
      <c r="H181" s="248"/>
      <c r="I181" s="248"/>
      <c r="J181" s="248"/>
      <c r="K181" s="248"/>
      <c r="L181" s="248"/>
      <c r="M181" s="248"/>
      <c r="N181" s="248"/>
      <c r="O181" s="248"/>
      <c r="P181" s="248"/>
      <c r="Q181" s="248"/>
      <c r="R181" s="248"/>
      <c r="S181" s="248"/>
      <c r="T181" s="248"/>
      <c r="U181" s="248"/>
      <c r="V181" s="248"/>
      <c r="W181" s="248"/>
      <c r="X181" s="248"/>
      <c r="Y181" s="248"/>
      <c r="Z181" s="248"/>
      <c r="AA181" s="248"/>
      <c r="AB181" s="248"/>
    </row>
    <row r="182" spans="1:28" ht="13.8">
      <c r="A182" s="248"/>
      <c r="B182" s="248"/>
      <c r="C182" s="331"/>
      <c r="D182" s="248"/>
      <c r="E182" s="248"/>
      <c r="F182" s="248"/>
      <c r="G182" s="248"/>
      <c r="H182" s="248"/>
      <c r="I182" s="248"/>
      <c r="J182" s="248"/>
      <c r="K182" s="248"/>
      <c r="L182" s="248"/>
      <c r="M182" s="248"/>
      <c r="N182" s="248"/>
      <c r="O182" s="248"/>
      <c r="P182" s="248"/>
      <c r="Q182" s="248"/>
      <c r="R182" s="248"/>
      <c r="S182" s="248"/>
      <c r="T182" s="248"/>
      <c r="U182" s="248"/>
      <c r="V182" s="248"/>
      <c r="W182" s="248"/>
      <c r="X182" s="248"/>
      <c r="Y182" s="248"/>
      <c r="Z182" s="248"/>
      <c r="AA182" s="248"/>
      <c r="AB182" s="248"/>
    </row>
    <row r="183" spans="1:28" ht="13.8">
      <c r="A183" s="248"/>
      <c r="B183" s="248"/>
      <c r="C183" s="331"/>
      <c r="D183" s="248"/>
      <c r="E183" s="248"/>
      <c r="F183" s="248"/>
      <c r="G183" s="248"/>
      <c r="H183" s="248"/>
      <c r="I183" s="248"/>
      <c r="J183" s="248"/>
      <c r="K183" s="248"/>
      <c r="L183" s="248"/>
      <c r="M183" s="248"/>
      <c r="N183" s="248"/>
      <c r="O183" s="248"/>
      <c r="P183" s="248"/>
      <c r="Q183" s="248"/>
      <c r="R183" s="248"/>
      <c r="S183" s="248"/>
      <c r="T183" s="248"/>
      <c r="U183" s="248"/>
      <c r="V183" s="248"/>
      <c r="W183" s="248"/>
      <c r="X183" s="248"/>
      <c r="Y183" s="248"/>
      <c r="Z183" s="248"/>
      <c r="AA183" s="248"/>
      <c r="AB183" s="248"/>
    </row>
    <row r="184" spans="1:28" ht="13.8">
      <c r="A184" s="248"/>
      <c r="B184" s="248"/>
      <c r="C184" s="331"/>
      <c r="D184" s="248"/>
      <c r="E184" s="248"/>
      <c r="F184" s="248"/>
      <c r="G184" s="248"/>
      <c r="H184" s="248"/>
      <c r="I184" s="248"/>
      <c r="J184" s="248"/>
      <c r="K184" s="248"/>
      <c r="L184" s="248"/>
      <c r="M184" s="248"/>
      <c r="N184" s="248"/>
      <c r="O184" s="248"/>
      <c r="P184" s="248"/>
      <c r="Q184" s="248"/>
      <c r="R184" s="248"/>
      <c r="S184" s="248"/>
      <c r="T184" s="248"/>
      <c r="U184" s="248"/>
      <c r="V184" s="248"/>
      <c r="W184" s="248"/>
      <c r="X184" s="248"/>
      <c r="Y184" s="248"/>
      <c r="Z184" s="248"/>
      <c r="AA184" s="248"/>
      <c r="AB184" s="248"/>
    </row>
    <row r="185" spans="1:28" ht="13.8">
      <c r="A185" s="248"/>
      <c r="B185" s="248"/>
      <c r="C185" s="331"/>
      <c r="D185" s="248"/>
      <c r="E185" s="248"/>
      <c r="F185" s="248"/>
      <c r="G185" s="248"/>
      <c r="H185" s="248"/>
      <c r="I185" s="248"/>
      <c r="J185" s="248"/>
      <c r="K185" s="248"/>
      <c r="L185" s="248"/>
      <c r="M185" s="248"/>
      <c r="N185" s="248"/>
      <c r="O185" s="248"/>
      <c r="P185" s="248"/>
      <c r="Q185" s="248"/>
      <c r="R185" s="248"/>
      <c r="S185" s="248"/>
      <c r="T185" s="248"/>
      <c r="U185" s="248"/>
      <c r="V185" s="248"/>
      <c r="W185" s="248"/>
      <c r="X185" s="248"/>
      <c r="Y185" s="248"/>
      <c r="Z185" s="248"/>
      <c r="AA185" s="248"/>
      <c r="AB185" s="248"/>
    </row>
    <row r="186" spans="1:28" ht="13.8">
      <c r="A186" s="248"/>
      <c r="B186" s="248"/>
      <c r="C186" s="331"/>
      <c r="D186" s="248"/>
      <c r="E186" s="248"/>
      <c r="F186" s="248"/>
      <c r="G186" s="248"/>
      <c r="H186" s="248"/>
      <c r="I186" s="248"/>
      <c r="J186" s="248"/>
      <c r="K186" s="248"/>
      <c r="L186" s="248"/>
      <c r="M186" s="248"/>
      <c r="N186" s="248"/>
      <c r="O186" s="248"/>
      <c r="P186" s="248"/>
      <c r="Q186" s="248"/>
      <c r="R186" s="248"/>
      <c r="S186" s="248"/>
      <c r="T186" s="248"/>
      <c r="U186" s="248"/>
      <c r="V186" s="248"/>
      <c r="W186" s="248"/>
      <c r="X186" s="248"/>
      <c r="Y186" s="248"/>
      <c r="Z186" s="248"/>
      <c r="AA186" s="248"/>
      <c r="AB186" s="248"/>
    </row>
    <row r="187" spans="1:28" ht="13.8">
      <c r="A187" s="248"/>
      <c r="B187" s="248"/>
      <c r="C187" s="331"/>
      <c r="D187" s="248"/>
      <c r="E187" s="248"/>
      <c r="F187" s="248"/>
      <c r="G187" s="248"/>
      <c r="H187" s="248"/>
      <c r="I187" s="248"/>
      <c r="J187" s="248"/>
      <c r="K187" s="248"/>
      <c r="L187" s="248"/>
      <c r="M187" s="248"/>
      <c r="N187" s="248"/>
      <c r="O187" s="248"/>
      <c r="P187" s="248"/>
      <c r="Q187" s="248"/>
      <c r="R187" s="248"/>
      <c r="S187" s="248"/>
      <c r="T187" s="248"/>
      <c r="U187" s="248"/>
      <c r="V187" s="248"/>
      <c r="W187" s="248"/>
      <c r="X187" s="248"/>
      <c r="Y187" s="248"/>
      <c r="Z187" s="248"/>
      <c r="AA187" s="248"/>
      <c r="AB187" s="248"/>
    </row>
    <row r="188" spans="1:28" ht="13.8">
      <c r="A188" s="248"/>
      <c r="B188" s="248"/>
      <c r="C188" s="331"/>
      <c r="D188" s="248"/>
      <c r="E188" s="248"/>
      <c r="F188" s="248"/>
      <c r="G188" s="248"/>
      <c r="H188" s="248"/>
      <c r="I188" s="248"/>
      <c r="J188" s="248"/>
      <c r="K188" s="248"/>
      <c r="L188" s="248"/>
      <c r="M188" s="248"/>
      <c r="N188" s="248"/>
      <c r="O188" s="248"/>
      <c r="P188" s="248"/>
      <c r="Q188" s="248"/>
      <c r="R188" s="248"/>
      <c r="S188" s="248"/>
      <c r="T188" s="248"/>
      <c r="U188" s="248"/>
      <c r="V188" s="248"/>
      <c r="W188" s="248"/>
      <c r="X188" s="248"/>
      <c r="Y188" s="248"/>
      <c r="Z188" s="248"/>
      <c r="AA188" s="248"/>
      <c r="AB188" s="248"/>
    </row>
    <row r="189" spans="1:28" ht="13.8">
      <c r="A189" s="248"/>
      <c r="B189" s="248"/>
      <c r="C189" s="331"/>
      <c r="D189" s="248"/>
      <c r="E189" s="248"/>
      <c r="F189" s="248"/>
      <c r="G189" s="248"/>
      <c r="H189" s="248"/>
      <c r="I189" s="248"/>
      <c r="J189" s="248"/>
      <c r="K189" s="248"/>
      <c r="L189" s="248"/>
      <c r="M189" s="248"/>
      <c r="N189" s="248"/>
      <c r="O189" s="248"/>
      <c r="P189" s="248"/>
      <c r="Q189" s="248"/>
      <c r="R189" s="248"/>
      <c r="S189" s="248"/>
      <c r="T189" s="248"/>
      <c r="U189" s="248"/>
      <c r="V189" s="248"/>
      <c r="W189" s="248"/>
      <c r="X189" s="248"/>
      <c r="Y189" s="248"/>
      <c r="Z189" s="248"/>
      <c r="AA189" s="248"/>
      <c r="AB189" s="248"/>
    </row>
    <row r="190" spans="1:28" ht="13.8">
      <c r="A190" s="248"/>
      <c r="B190" s="248"/>
      <c r="C190" s="331"/>
      <c r="D190" s="248"/>
      <c r="E190" s="248"/>
      <c r="F190" s="248"/>
      <c r="G190" s="248"/>
      <c r="H190" s="248"/>
      <c r="I190" s="248"/>
      <c r="J190" s="248"/>
      <c r="K190" s="248"/>
      <c r="L190" s="248"/>
      <c r="M190" s="248"/>
      <c r="N190" s="248"/>
      <c r="O190" s="248"/>
      <c r="P190" s="248"/>
      <c r="Q190" s="248"/>
      <c r="R190" s="248"/>
      <c r="S190" s="248"/>
      <c r="T190" s="248"/>
      <c r="U190" s="248"/>
      <c r="V190" s="248"/>
      <c r="W190" s="248"/>
      <c r="X190" s="248"/>
      <c r="Y190" s="248"/>
      <c r="Z190" s="248"/>
      <c r="AA190" s="248"/>
      <c r="AB190" s="248"/>
    </row>
    <row r="191" spans="1:28" ht="13.8">
      <c r="A191" s="248"/>
      <c r="B191" s="248"/>
      <c r="C191" s="331"/>
      <c r="D191" s="248"/>
      <c r="E191" s="248"/>
      <c r="F191" s="248"/>
      <c r="G191" s="248"/>
      <c r="H191" s="248"/>
      <c r="I191" s="248"/>
      <c r="J191" s="248"/>
      <c r="K191" s="248"/>
      <c r="L191" s="248"/>
      <c r="M191" s="248"/>
      <c r="N191" s="248"/>
      <c r="O191" s="248"/>
      <c r="P191" s="248"/>
      <c r="Q191" s="248"/>
      <c r="R191" s="248"/>
      <c r="S191" s="248"/>
      <c r="T191" s="248"/>
      <c r="U191" s="248"/>
      <c r="V191" s="248"/>
      <c r="W191" s="248"/>
      <c r="X191" s="248"/>
      <c r="Y191" s="248"/>
      <c r="Z191" s="248"/>
      <c r="AA191" s="248"/>
      <c r="AB191" s="248"/>
    </row>
    <row r="192" spans="1:28" ht="13.8">
      <c r="A192" s="248"/>
      <c r="B192" s="248"/>
      <c r="C192" s="331"/>
      <c r="D192" s="248"/>
      <c r="E192" s="248"/>
      <c r="F192" s="248"/>
      <c r="G192" s="248"/>
      <c r="H192" s="248"/>
      <c r="I192" s="248"/>
      <c r="J192" s="248"/>
      <c r="K192" s="248"/>
      <c r="L192" s="248"/>
      <c r="M192" s="248"/>
      <c r="N192" s="248"/>
      <c r="O192" s="248"/>
      <c r="P192" s="248"/>
      <c r="Q192" s="248"/>
      <c r="R192" s="248"/>
      <c r="S192" s="248"/>
      <c r="T192" s="248"/>
      <c r="U192" s="248"/>
      <c r="V192" s="248"/>
      <c r="W192" s="248"/>
      <c r="X192" s="248"/>
      <c r="Y192" s="248"/>
      <c r="Z192" s="248"/>
      <c r="AA192" s="248"/>
      <c r="AB192" s="248"/>
    </row>
    <row r="193" spans="1:28" ht="13.8">
      <c r="A193" s="248"/>
      <c r="B193" s="248"/>
      <c r="C193" s="331"/>
      <c r="D193" s="248"/>
      <c r="E193" s="248"/>
      <c r="F193" s="248"/>
      <c r="G193" s="248"/>
      <c r="H193" s="248"/>
      <c r="I193" s="248"/>
      <c r="J193" s="248"/>
      <c r="K193" s="248"/>
      <c r="L193" s="248"/>
      <c r="M193" s="248"/>
      <c r="N193" s="248"/>
      <c r="O193" s="248"/>
      <c r="P193" s="248"/>
      <c r="Q193" s="248"/>
      <c r="R193" s="248"/>
      <c r="S193" s="248"/>
      <c r="T193" s="248"/>
      <c r="U193" s="248"/>
      <c r="V193" s="248"/>
      <c r="W193" s="248"/>
      <c r="X193" s="248"/>
      <c r="Y193" s="248"/>
      <c r="Z193" s="248"/>
      <c r="AA193" s="248"/>
      <c r="AB193" s="248"/>
    </row>
    <row r="194" spans="1:28" ht="13.8">
      <c r="A194" s="248"/>
      <c r="B194" s="248"/>
      <c r="C194" s="331"/>
      <c r="D194" s="248"/>
      <c r="E194" s="248"/>
      <c r="F194" s="248"/>
      <c r="G194" s="248"/>
      <c r="H194" s="248"/>
      <c r="I194" s="248"/>
      <c r="J194" s="248"/>
      <c r="K194" s="248"/>
      <c r="L194" s="248"/>
      <c r="M194" s="248"/>
      <c r="N194" s="248"/>
      <c r="O194" s="248"/>
      <c r="P194" s="248"/>
      <c r="Q194" s="248"/>
      <c r="R194" s="248"/>
      <c r="S194" s="248"/>
      <c r="T194" s="248"/>
      <c r="U194" s="248"/>
      <c r="V194" s="248"/>
      <c r="W194" s="248"/>
      <c r="X194" s="248"/>
      <c r="Y194" s="248"/>
      <c r="Z194" s="248"/>
      <c r="AA194" s="248"/>
      <c r="AB194" s="248"/>
    </row>
    <row r="195" spans="1:28" ht="13.8">
      <c r="A195" s="248"/>
      <c r="B195" s="248"/>
      <c r="C195" s="331"/>
      <c r="D195" s="248"/>
      <c r="E195" s="248"/>
      <c r="F195" s="248"/>
      <c r="G195" s="248"/>
      <c r="H195" s="248"/>
      <c r="I195" s="248"/>
      <c r="J195" s="248"/>
      <c r="K195" s="248"/>
      <c r="L195" s="248"/>
      <c r="M195" s="248"/>
      <c r="N195" s="248"/>
      <c r="O195" s="248"/>
      <c r="P195" s="248"/>
      <c r="Q195" s="248"/>
      <c r="R195" s="248"/>
      <c r="S195" s="248"/>
      <c r="T195" s="248"/>
      <c r="U195" s="248"/>
      <c r="V195" s="248"/>
      <c r="W195" s="248"/>
      <c r="X195" s="248"/>
      <c r="Y195" s="248"/>
      <c r="Z195" s="248"/>
      <c r="AA195" s="248"/>
      <c r="AB195" s="248"/>
    </row>
    <row r="196" spans="1:28" ht="13.8">
      <c r="A196" s="248"/>
      <c r="B196" s="248"/>
      <c r="C196" s="331"/>
      <c r="D196" s="248"/>
      <c r="E196" s="248"/>
      <c r="F196" s="248"/>
      <c r="G196" s="248"/>
      <c r="H196" s="248"/>
      <c r="I196" s="248"/>
      <c r="J196" s="248"/>
      <c r="K196" s="248"/>
      <c r="L196" s="248"/>
      <c r="M196" s="248"/>
      <c r="N196" s="248"/>
      <c r="O196" s="248"/>
      <c r="P196" s="248"/>
      <c r="Q196" s="248"/>
      <c r="R196" s="248"/>
      <c r="S196" s="248"/>
      <c r="T196" s="248"/>
      <c r="U196" s="248"/>
      <c r="V196" s="248"/>
      <c r="W196" s="248"/>
      <c r="X196" s="248"/>
      <c r="Y196" s="248"/>
      <c r="Z196" s="248"/>
      <c r="AA196" s="248"/>
      <c r="AB196" s="248"/>
    </row>
    <row r="197" spans="1:28" ht="13.8">
      <c r="A197" s="248"/>
      <c r="B197" s="248"/>
      <c r="C197" s="331"/>
      <c r="D197" s="248"/>
      <c r="E197" s="248"/>
      <c r="F197" s="248"/>
      <c r="G197" s="248"/>
      <c r="H197" s="248"/>
      <c r="I197" s="248"/>
      <c r="J197" s="248"/>
      <c r="K197" s="248"/>
      <c r="L197" s="248"/>
      <c r="M197" s="248"/>
      <c r="N197" s="248"/>
      <c r="O197" s="248"/>
      <c r="P197" s="248"/>
      <c r="Q197" s="248"/>
      <c r="R197" s="248"/>
      <c r="S197" s="248"/>
      <c r="T197" s="248"/>
      <c r="U197" s="248"/>
      <c r="V197" s="248"/>
      <c r="W197" s="248"/>
      <c r="X197" s="248"/>
      <c r="Y197" s="248"/>
      <c r="Z197" s="248"/>
      <c r="AA197" s="248"/>
      <c r="AB197" s="248"/>
    </row>
    <row r="198" spans="1:28" ht="13.8">
      <c r="A198" s="248"/>
      <c r="B198" s="248"/>
      <c r="C198" s="331"/>
      <c r="D198" s="248"/>
      <c r="E198" s="248"/>
      <c r="F198" s="248"/>
      <c r="G198" s="248"/>
      <c r="H198" s="248"/>
      <c r="I198" s="248"/>
      <c r="J198" s="248"/>
      <c r="K198" s="248"/>
      <c r="L198" s="248"/>
      <c r="M198" s="248"/>
      <c r="N198" s="248"/>
      <c r="O198" s="248"/>
      <c r="P198" s="248"/>
      <c r="Q198" s="248"/>
      <c r="R198" s="248"/>
      <c r="S198" s="248"/>
      <c r="T198" s="248"/>
      <c r="U198" s="248"/>
      <c r="V198" s="248"/>
      <c r="W198" s="248"/>
      <c r="X198" s="248"/>
      <c r="Y198" s="248"/>
      <c r="Z198" s="248"/>
      <c r="AA198" s="248"/>
      <c r="AB198" s="248"/>
    </row>
    <row r="199" spans="1:28" ht="13.8">
      <c r="A199" s="248"/>
      <c r="B199" s="248"/>
      <c r="C199" s="331"/>
      <c r="D199" s="248"/>
      <c r="E199" s="248"/>
      <c r="F199" s="248"/>
      <c r="G199" s="248"/>
      <c r="H199" s="248"/>
      <c r="I199" s="248"/>
      <c r="J199" s="248"/>
      <c r="K199" s="248"/>
      <c r="L199" s="248"/>
      <c r="M199" s="248"/>
      <c r="N199" s="248"/>
      <c r="O199" s="248"/>
      <c r="P199" s="248"/>
      <c r="Q199" s="248"/>
      <c r="R199" s="248"/>
      <c r="S199" s="248"/>
      <c r="T199" s="248"/>
      <c r="U199" s="248"/>
      <c r="V199" s="248"/>
      <c r="W199" s="248"/>
      <c r="X199" s="248"/>
      <c r="Y199" s="248"/>
      <c r="Z199" s="248"/>
      <c r="AA199" s="248"/>
      <c r="AB199" s="248"/>
    </row>
    <row r="200" spans="1:28" ht="13.8">
      <c r="A200" s="248"/>
      <c r="B200" s="248"/>
      <c r="C200" s="331"/>
      <c r="D200" s="248"/>
      <c r="E200" s="248"/>
      <c r="F200" s="248"/>
      <c r="G200" s="248"/>
      <c r="H200" s="248"/>
      <c r="I200" s="248"/>
      <c r="J200" s="248"/>
      <c r="K200" s="248"/>
      <c r="L200" s="248"/>
      <c r="M200" s="248"/>
      <c r="N200" s="248"/>
      <c r="O200" s="248"/>
      <c r="P200" s="248"/>
      <c r="Q200" s="248"/>
      <c r="R200" s="248"/>
      <c r="S200" s="248"/>
      <c r="T200" s="248"/>
      <c r="U200" s="248"/>
      <c r="V200" s="248"/>
      <c r="W200" s="248"/>
      <c r="X200" s="248"/>
      <c r="Y200" s="248"/>
      <c r="Z200" s="248"/>
      <c r="AA200" s="248"/>
      <c r="AB200" s="248"/>
    </row>
    <row r="201" spans="1:28" ht="13.8">
      <c r="A201" s="248"/>
      <c r="B201" s="248"/>
      <c r="C201" s="331"/>
      <c r="D201" s="248"/>
      <c r="E201" s="248"/>
      <c r="F201" s="248"/>
      <c r="G201" s="248"/>
      <c r="H201" s="248"/>
      <c r="I201" s="248"/>
      <c r="J201" s="248"/>
      <c r="K201" s="248"/>
      <c r="L201" s="248"/>
      <c r="M201" s="248"/>
      <c r="N201" s="248"/>
      <c r="O201" s="248"/>
      <c r="P201" s="248"/>
      <c r="Q201" s="248"/>
      <c r="R201" s="248"/>
      <c r="S201" s="248"/>
      <c r="T201" s="248"/>
      <c r="U201" s="248"/>
      <c r="V201" s="248"/>
      <c r="W201" s="248"/>
      <c r="X201" s="248"/>
      <c r="Y201" s="248"/>
      <c r="Z201" s="248"/>
      <c r="AA201" s="248"/>
      <c r="AB201" s="248"/>
    </row>
    <row r="202" spans="1:28" ht="13.8">
      <c r="A202" s="248"/>
      <c r="B202" s="248"/>
      <c r="C202" s="331"/>
      <c r="D202" s="248"/>
      <c r="E202" s="248"/>
      <c r="F202" s="248"/>
      <c r="G202" s="248"/>
      <c r="H202" s="248"/>
      <c r="I202" s="248"/>
      <c r="J202" s="248"/>
      <c r="K202" s="248"/>
      <c r="L202" s="248"/>
      <c r="M202" s="248"/>
      <c r="N202" s="248"/>
      <c r="O202" s="248"/>
      <c r="P202" s="248"/>
      <c r="Q202" s="248"/>
      <c r="R202" s="248"/>
      <c r="S202" s="248"/>
      <c r="T202" s="248"/>
      <c r="U202" s="248"/>
      <c r="V202" s="248"/>
      <c r="W202" s="248"/>
      <c r="X202" s="248"/>
      <c r="Y202" s="248"/>
      <c r="Z202" s="248"/>
      <c r="AA202" s="248"/>
      <c r="AB202" s="248"/>
    </row>
    <row r="203" spans="1:28" ht="13.8">
      <c r="A203" s="248"/>
      <c r="B203" s="248"/>
      <c r="C203" s="331"/>
      <c r="D203" s="248"/>
      <c r="E203" s="248"/>
      <c r="F203" s="248"/>
      <c r="G203" s="248"/>
      <c r="H203" s="248"/>
      <c r="I203" s="248"/>
      <c r="J203" s="248"/>
      <c r="K203" s="248"/>
      <c r="L203" s="248"/>
      <c r="M203" s="248"/>
      <c r="N203" s="248"/>
      <c r="O203" s="248"/>
      <c r="P203" s="248"/>
      <c r="Q203" s="248"/>
      <c r="R203" s="248"/>
      <c r="S203" s="248"/>
      <c r="T203" s="248"/>
      <c r="U203" s="248"/>
      <c r="V203" s="248"/>
      <c r="W203" s="248"/>
      <c r="X203" s="248"/>
      <c r="Y203" s="248"/>
      <c r="Z203" s="248"/>
      <c r="AA203" s="248"/>
      <c r="AB203" s="248"/>
    </row>
    <row r="204" spans="1:28" ht="13.8">
      <c r="A204" s="248"/>
      <c r="B204" s="248"/>
      <c r="C204" s="331"/>
      <c r="D204" s="248"/>
      <c r="E204" s="248"/>
      <c r="F204" s="248"/>
      <c r="G204" s="248"/>
      <c r="H204" s="248"/>
      <c r="I204" s="248"/>
      <c r="J204" s="248"/>
      <c r="K204" s="248"/>
      <c r="L204" s="248"/>
      <c r="M204" s="248"/>
      <c r="N204" s="248"/>
      <c r="O204" s="248"/>
      <c r="P204" s="248"/>
      <c r="Q204" s="248"/>
      <c r="R204" s="248"/>
      <c r="S204" s="248"/>
      <c r="T204" s="248"/>
      <c r="U204" s="248"/>
      <c r="V204" s="248"/>
      <c r="W204" s="248"/>
      <c r="X204" s="248"/>
      <c r="Y204" s="248"/>
      <c r="Z204" s="248"/>
      <c r="AA204" s="248"/>
      <c r="AB204" s="248"/>
    </row>
    <row r="205" spans="1:28" ht="13.8">
      <c r="A205" s="248"/>
      <c r="B205" s="248"/>
      <c r="C205" s="331"/>
      <c r="D205" s="248"/>
      <c r="E205" s="248"/>
      <c r="F205" s="248"/>
      <c r="G205" s="248"/>
      <c r="H205" s="248"/>
      <c r="I205" s="248"/>
      <c r="J205" s="248"/>
      <c r="K205" s="248"/>
      <c r="L205" s="248"/>
      <c r="M205" s="248"/>
      <c r="N205" s="248"/>
      <c r="O205" s="248"/>
      <c r="P205" s="248"/>
      <c r="Q205" s="248"/>
      <c r="R205" s="248"/>
      <c r="S205" s="248"/>
      <c r="T205" s="248"/>
      <c r="U205" s="248"/>
      <c r="V205" s="248"/>
      <c r="W205" s="248"/>
      <c r="X205" s="248"/>
      <c r="Y205" s="248"/>
      <c r="Z205" s="248"/>
      <c r="AA205" s="248"/>
      <c r="AB205" s="248"/>
    </row>
    <row r="206" spans="1:28" ht="13.8">
      <c r="A206" s="248"/>
      <c r="B206" s="248"/>
      <c r="C206" s="331"/>
      <c r="D206" s="248"/>
      <c r="E206" s="248"/>
      <c r="F206" s="248"/>
      <c r="G206" s="248"/>
      <c r="H206" s="248"/>
      <c r="I206" s="248"/>
      <c r="J206" s="248"/>
      <c r="K206" s="248"/>
      <c r="L206" s="248"/>
      <c r="M206" s="248"/>
      <c r="N206" s="248"/>
      <c r="O206" s="248"/>
      <c r="P206" s="248"/>
      <c r="Q206" s="248"/>
      <c r="R206" s="248"/>
      <c r="S206" s="248"/>
      <c r="T206" s="248"/>
      <c r="U206" s="248"/>
      <c r="V206" s="248"/>
      <c r="W206" s="248"/>
      <c r="X206" s="248"/>
      <c r="Y206" s="248"/>
      <c r="Z206" s="248"/>
      <c r="AA206" s="248"/>
      <c r="AB206" s="248"/>
    </row>
    <row r="207" spans="1:28" ht="13.8">
      <c r="A207" s="248"/>
      <c r="B207" s="248"/>
      <c r="C207" s="331"/>
      <c r="D207" s="248"/>
      <c r="E207" s="248"/>
      <c r="F207" s="248"/>
      <c r="G207" s="248"/>
      <c r="H207" s="248"/>
      <c r="I207" s="248"/>
      <c r="J207" s="248"/>
      <c r="K207" s="248"/>
      <c r="L207" s="248"/>
      <c r="M207" s="248"/>
      <c r="N207" s="248"/>
      <c r="O207" s="248"/>
      <c r="P207" s="248"/>
      <c r="Q207" s="248"/>
      <c r="R207" s="248"/>
      <c r="S207" s="248"/>
      <c r="T207" s="248"/>
      <c r="U207" s="248"/>
      <c r="V207" s="248"/>
      <c r="W207" s="248"/>
      <c r="X207" s="248"/>
      <c r="Y207" s="248"/>
      <c r="Z207" s="248"/>
      <c r="AA207" s="248"/>
      <c r="AB207" s="248"/>
    </row>
    <row r="208" spans="1:28" ht="13.8">
      <c r="A208" s="248"/>
      <c r="B208" s="248"/>
      <c r="C208" s="331"/>
      <c r="D208" s="248"/>
      <c r="E208" s="248"/>
      <c r="F208" s="248"/>
      <c r="G208" s="248"/>
      <c r="H208" s="248"/>
      <c r="I208" s="248"/>
      <c r="J208" s="248"/>
      <c r="K208" s="248"/>
      <c r="L208" s="248"/>
      <c r="M208" s="248"/>
      <c r="N208" s="248"/>
      <c r="O208" s="248"/>
      <c r="P208" s="248"/>
      <c r="Q208" s="248"/>
      <c r="R208" s="248"/>
      <c r="S208" s="248"/>
      <c r="T208" s="248"/>
      <c r="U208" s="248"/>
      <c r="V208" s="248"/>
      <c r="W208" s="248"/>
      <c r="X208" s="248"/>
      <c r="Y208" s="248"/>
      <c r="Z208" s="248"/>
      <c r="AA208" s="248"/>
      <c r="AB208" s="248"/>
    </row>
    <row r="209" spans="1:28" ht="13.8">
      <c r="A209" s="248"/>
      <c r="B209" s="248"/>
      <c r="C209" s="331"/>
      <c r="D209" s="248"/>
      <c r="E209" s="248"/>
      <c r="F209" s="248"/>
      <c r="G209" s="248"/>
      <c r="H209" s="248"/>
      <c r="I209" s="248"/>
      <c r="J209" s="248"/>
      <c r="K209" s="248"/>
      <c r="L209" s="248"/>
      <c r="M209" s="248"/>
      <c r="N209" s="248"/>
      <c r="O209" s="248"/>
      <c r="P209" s="248"/>
      <c r="Q209" s="248"/>
      <c r="R209" s="248"/>
      <c r="S209" s="248"/>
      <c r="T209" s="248"/>
      <c r="U209" s="248"/>
      <c r="V209" s="248"/>
      <c r="W209" s="248"/>
      <c r="X209" s="248"/>
      <c r="Y209" s="248"/>
      <c r="Z209" s="248"/>
      <c r="AA209" s="248"/>
      <c r="AB209" s="248"/>
    </row>
    <row r="210" spans="1:28" ht="13.8">
      <c r="A210" s="248"/>
      <c r="B210" s="248"/>
      <c r="C210" s="331"/>
      <c r="D210" s="248"/>
      <c r="E210" s="248"/>
      <c r="F210" s="248"/>
      <c r="G210" s="248"/>
      <c r="H210" s="248"/>
      <c r="I210" s="248"/>
      <c r="J210" s="248"/>
      <c r="K210" s="248"/>
      <c r="L210" s="248"/>
      <c r="M210" s="248"/>
      <c r="N210" s="248"/>
      <c r="O210" s="248"/>
      <c r="P210" s="248"/>
      <c r="Q210" s="248"/>
      <c r="R210" s="248"/>
      <c r="S210" s="248"/>
      <c r="T210" s="248"/>
      <c r="U210" s="248"/>
      <c r="V210" s="248"/>
      <c r="W210" s="248"/>
      <c r="X210" s="248"/>
      <c r="Y210" s="248"/>
      <c r="Z210" s="248"/>
      <c r="AA210" s="248"/>
      <c r="AB210" s="248"/>
    </row>
    <row r="211" spans="1:28" ht="13.8">
      <c r="A211" s="248"/>
      <c r="B211" s="248"/>
      <c r="C211" s="331"/>
      <c r="D211" s="248"/>
      <c r="E211" s="248"/>
      <c r="F211" s="248"/>
      <c r="G211" s="248"/>
      <c r="H211" s="248"/>
      <c r="I211" s="248"/>
      <c r="J211" s="248"/>
      <c r="K211" s="248"/>
      <c r="L211" s="248"/>
      <c r="M211" s="248"/>
      <c r="N211" s="248"/>
      <c r="O211" s="248"/>
      <c r="P211" s="248"/>
      <c r="Q211" s="248"/>
      <c r="R211" s="248"/>
      <c r="S211" s="248"/>
      <c r="T211" s="248"/>
      <c r="U211" s="248"/>
      <c r="V211" s="248"/>
      <c r="W211" s="248"/>
      <c r="X211" s="248"/>
      <c r="Y211" s="248"/>
      <c r="Z211" s="248"/>
      <c r="AA211" s="248"/>
      <c r="AB211" s="248"/>
    </row>
    <row r="212" spans="1:28" ht="13.8">
      <c r="A212" s="248"/>
      <c r="B212" s="248"/>
      <c r="C212" s="331"/>
      <c r="D212" s="248"/>
      <c r="E212" s="248"/>
      <c r="F212" s="248"/>
      <c r="G212" s="248"/>
      <c r="H212" s="248"/>
      <c r="I212" s="248"/>
      <c r="J212" s="248"/>
      <c r="K212" s="248"/>
      <c r="L212" s="248"/>
      <c r="M212" s="248"/>
      <c r="N212" s="248"/>
      <c r="O212" s="248"/>
      <c r="P212" s="248"/>
      <c r="Q212" s="248"/>
      <c r="R212" s="248"/>
      <c r="S212" s="248"/>
      <c r="T212" s="248"/>
      <c r="U212" s="248"/>
      <c r="V212" s="248"/>
      <c r="W212" s="248"/>
      <c r="X212" s="248"/>
      <c r="Y212" s="248"/>
      <c r="Z212" s="248"/>
      <c r="AA212" s="248"/>
      <c r="AB212" s="248"/>
    </row>
    <row r="213" spans="1:28" ht="13.8">
      <c r="A213" s="248"/>
      <c r="B213" s="248"/>
      <c r="C213" s="331"/>
      <c r="D213" s="248"/>
      <c r="E213" s="248"/>
      <c r="F213" s="248"/>
      <c r="G213" s="248"/>
      <c r="H213" s="248"/>
      <c r="I213" s="248"/>
      <c r="J213" s="248"/>
      <c r="K213" s="248"/>
      <c r="L213" s="248"/>
      <c r="M213" s="248"/>
      <c r="N213" s="248"/>
      <c r="O213" s="248"/>
      <c r="P213" s="248"/>
      <c r="Q213" s="248"/>
      <c r="R213" s="248"/>
      <c r="S213" s="248"/>
      <c r="T213" s="248"/>
      <c r="U213" s="248"/>
      <c r="V213" s="248"/>
      <c r="W213" s="248"/>
      <c r="X213" s="248"/>
      <c r="Y213" s="248"/>
      <c r="Z213" s="248"/>
      <c r="AA213" s="248"/>
      <c r="AB213" s="248"/>
    </row>
    <row r="214" spans="1:28" ht="13.8">
      <c r="A214" s="248"/>
      <c r="B214" s="248"/>
      <c r="C214" s="331"/>
      <c r="D214" s="248"/>
      <c r="E214" s="248"/>
      <c r="F214" s="248"/>
      <c r="G214" s="248"/>
      <c r="H214" s="248"/>
      <c r="I214" s="248"/>
      <c r="J214" s="248"/>
      <c r="K214" s="248"/>
      <c r="L214" s="248"/>
      <c r="M214" s="248"/>
      <c r="N214" s="248"/>
      <c r="O214" s="248"/>
      <c r="P214" s="248"/>
      <c r="Q214" s="248"/>
      <c r="R214" s="248"/>
      <c r="S214" s="248"/>
      <c r="T214" s="248"/>
      <c r="U214" s="248"/>
      <c r="V214" s="248"/>
      <c r="W214" s="248"/>
      <c r="X214" s="248"/>
      <c r="Y214" s="248"/>
      <c r="Z214" s="248"/>
      <c r="AA214" s="248"/>
      <c r="AB214" s="248"/>
    </row>
    <row r="215" spans="1:28" ht="13.8">
      <c r="A215" s="248"/>
      <c r="B215" s="248"/>
      <c r="C215" s="331"/>
      <c r="D215" s="248"/>
      <c r="E215" s="248"/>
      <c r="F215" s="248"/>
      <c r="G215" s="248"/>
      <c r="H215" s="248"/>
      <c r="I215" s="248"/>
      <c r="J215" s="248"/>
      <c r="K215" s="248"/>
      <c r="L215" s="248"/>
      <c r="M215" s="248"/>
      <c r="N215" s="248"/>
      <c r="O215" s="248"/>
      <c r="P215" s="248"/>
      <c r="Q215" s="248"/>
      <c r="R215" s="248"/>
      <c r="S215" s="248"/>
      <c r="T215" s="248"/>
      <c r="U215" s="248"/>
      <c r="V215" s="248"/>
      <c r="W215" s="248"/>
      <c r="X215" s="248"/>
      <c r="Y215" s="248"/>
      <c r="Z215" s="248"/>
      <c r="AA215" s="248"/>
      <c r="AB215" s="248"/>
    </row>
    <row r="216" spans="1:28" ht="13.8">
      <c r="A216" s="248"/>
      <c r="B216" s="248"/>
      <c r="C216" s="331"/>
      <c r="D216" s="248"/>
      <c r="E216" s="248"/>
      <c r="F216" s="248"/>
      <c r="G216" s="248"/>
      <c r="H216" s="248"/>
      <c r="I216" s="248"/>
      <c r="J216" s="248"/>
      <c r="K216" s="248"/>
      <c r="L216" s="248"/>
      <c r="M216" s="248"/>
      <c r="N216" s="248"/>
      <c r="O216" s="248"/>
      <c r="P216" s="248"/>
      <c r="Q216" s="248"/>
      <c r="R216" s="248"/>
      <c r="S216" s="248"/>
      <c r="T216" s="248"/>
      <c r="U216" s="248"/>
      <c r="V216" s="248"/>
      <c r="W216" s="248"/>
      <c r="X216" s="248"/>
      <c r="Y216" s="248"/>
      <c r="Z216" s="248"/>
      <c r="AA216" s="248"/>
      <c r="AB216" s="248"/>
    </row>
    <row r="217" spans="1:28" ht="13.8">
      <c r="A217" s="248"/>
      <c r="B217" s="248"/>
      <c r="C217" s="331"/>
      <c r="D217" s="248"/>
      <c r="E217" s="248"/>
      <c r="F217" s="248"/>
      <c r="G217" s="248"/>
      <c r="H217" s="248"/>
      <c r="I217" s="248"/>
      <c r="J217" s="248"/>
      <c r="K217" s="248"/>
      <c r="L217" s="248"/>
      <c r="M217" s="248"/>
      <c r="N217" s="248"/>
      <c r="O217" s="248"/>
      <c r="P217" s="248"/>
      <c r="Q217" s="248"/>
      <c r="R217" s="248"/>
      <c r="S217" s="248"/>
      <c r="T217" s="248"/>
      <c r="U217" s="248"/>
      <c r="V217" s="248"/>
      <c r="W217" s="248"/>
      <c r="X217" s="248"/>
      <c r="Y217" s="248"/>
      <c r="Z217" s="248"/>
      <c r="AA217" s="248"/>
      <c r="AB217" s="248"/>
    </row>
    <row r="218" spans="1:28" ht="13.8">
      <c r="A218" s="248"/>
      <c r="B218" s="248"/>
      <c r="C218" s="331"/>
      <c r="D218" s="248"/>
      <c r="E218" s="248"/>
      <c r="F218" s="248"/>
      <c r="G218" s="248"/>
      <c r="H218" s="248"/>
      <c r="I218" s="248"/>
      <c r="J218" s="248"/>
      <c r="K218" s="248"/>
      <c r="L218" s="248"/>
      <c r="M218" s="248"/>
      <c r="N218" s="248"/>
      <c r="O218" s="248"/>
      <c r="P218" s="248"/>
      <c r="Q218" s="248"/>
      <c r="R218" s="248"/>
      <c r="S218" s="248"/>
      <c r="T218" s="248"/>
      <c r="U218" s="248"/>
      <c r="V218" s="248"/>
      <c r="W218" s="248"/>
      <c r="X218" s="248"/>
      <c r="Y218" s="248"/>
      <c r="Z218" s="248"/>
      <c r="AA218" s="248"/>
      <c r="AB218" s="248"/>
    </row>
    <row r="219" spans="1:28" ht="13.8">
      <c r="A219" s="248"/>
      <c r="B219" s="248"/>
      <c r="C219" s="331"/>
      <c r="D219" s="248"/>
      <c r="E219" s="248"/>
      <c r="F219" s="248"/>
      <c r="G219" s="248"/>
      <c r="H219" s="248"/>
      <c r="I219" s="248"/>
      <c r="J219" s="248"/>
      <c r="K219" s="248"/>
      <c r="L219" s="248"/>
      <c r="M219" s="248"/>
      <c r="N219" s="248"/>
      <c r="O219" s="248"/>
      <c r="P219" s="248"/>
      <c r="Q219" s="248"/>
      <c r="R219" s="248"/>
      <c r="S219" s="248"/>
      <c r="T219" s="248"/>
      <c r="U219" s="248"/>
      <c r="V219" s="248"/>
      <c r="W219" s="248"/>
      <c r="X219" s="248"/>
      <c r="Y219" s="248"/>
      <c r="Z219" s="248"/>
      <c r="AA219" s="248"/>
      <c r="AB219" s="248"/>
    </row>
    <row r="220" spans="1:28" ht="13.8">
      <c r="A220" s="248"/>
      <c r="B220" s="248"/>
      <c r="C220" s="331"/>
      <c r="D220" s="248"/>
      <c r="E220" s="248"/>
      <c r="F220" s="248"/>
      <c r="G220" s="248"/>
      <c r="H220" s="248"/>
      <c r="I220" s="248"/>
      <c r="J220" s="248"/>
      <c r="K220" s="248"/>
      <c r="L220" s="248"/>
      <c r="M220" s="248"/>
      <c r="N220" s="248"/>
      <c r="O220" s="248"/>
      <c r="P220" s="248"/>
      <c r="Q220" s="248"/>
      <c r="R220" s="248"/>
      <c r="S220" s="248"/>
      <c r="T220" s="248"/>
      <c r="U220" s="248"/>
      <c r="V220" s="248"/>
      <c r="W220" s="248"/>
      <c r="X220" s="248"/>
      <c r="Y220" s="248"/>
      <c r="Z220" s="248"/>
      <c r="AA220" s="248"/>
      <c r="AB220" s="248"/>
    </row>
    <row r="221" spans="1:28" ht="13.8">
      <c r="A221" s="248"/>
      <c r="B221" s="248"/>
      <c r="C221" s="331"/>
      <c r="D221" s="248"/>
      <c r="E221" s="248"/>
      <c r="F221" s="248"/>
      <c r="G221" s="248"/>
      <c r="H221" s="248"/>
      <c r="I221" s="248"/>
      <c r="J221" s="248"/>
      <c r="K221" s="248"/>
      <c r="L221" s="248"/>
      <c r="M221" s="248"/>
      <c r="N221" s="248"/>
      <c r="O221" s="248"/>
      <c r="P221" s="248"/>
      <c r="Q221" s="248"/>
      <c r="R221" s="248"/>
      <c r="S221" s="248"/>
      <c r="T221" s="248"/>
      <c r="U221" s="248"/>
      <c r="V221" s="248"/>
      <c r="W221" s="248"/>
      <c r="X221" s="248"/>
      <c r="Y221" s="248"/>
      <c r="Z221" s="248"/>
      <c r="AA221" s="248"/>
      <c r="AB221" s="248"/>
    </row>
    <row r="222" spans="1:28" ht="13.8">
      <c r="A222" s="248"/>
      <c r="B222" s="248"/>
      <c r="C222" s="331"/>
      <c r="D222" s="248"/>
      <c r="E222" s="248"/>
      <c r="F222" s="248"/>
      <c r="G222" s="248"/>
      <c r="H222" s="248"/>
      <c r="I222" s="248"/>
      <c r="J222" s="248"/>
      <c r="K222" s="248"/>
      <c r="L222" s="248"/>
      <c r="M222" s="248"/>
      <c r="N222" s="248"/>
      <c r="O222" s="248"/>
      <c r="P222" s="248"/>
      <c r="Q222" s="248"/>
      <c r="R222" s="248"/>
      <c r="S222" s="248"/>
      <c r="T222" s="248"/>
      <c r="U222" s="248"/>
      <c r="V222" s="248"/>
      <c r="W222" s="248"/>
      <c r="X222" s="248"/>
      <c r="Y222" s="248"/>
      <c r="Z222" s="248"/>
      <c r="AA222" s="248"/>
      <c r="AB222" s="248"/>
    </row>
    <row r="223" spans="1:28" ht="13.8">
      <c r="A223" s="248"/>
      <c r="B223" s="248"/>
      <c r="C223" s="331"/>
      <c r="D223" s="248"/>
      <c r="E223" s="248"/>
      <c r="F223" s="248"/>
      <c r="G223" s="248"/>
      <c r="H223" s="248"/>
      <c r="I223" s="248"/>
      <c r="J223" s="248"/>
      <c r="K223" s="248"/>
      <c r="L223" s="248"/>
      <c r="M223" s="248"/>
      <c r="N223" s="248"/>
      <c r="O223" s="248"/>
      <c r="P223" s="248"/>
      <c r="Q223" s="248"/>
      <c r="R223" s="248"/>
      <c r="S223" s="248"/>
      <c r="T223" s="248"/>
      <c r="U223" s="248"/>
      <c r="V223" s="248"/>
      <c r="W223" s="248"/>
      <c r="X223" s="248"/>
      <c r="Y223" s="248"/>
      <c r="Z223" s="248"/>
      <c r="AA223" s="248"/>
      <c r="AB223" s="248"/>
    </row>
    <row r="224" spans="1:28" ht="13.8">
      <c r="A224" s="248"/>
      <c r="B224" s="248"/>
      <c r="C224" s="331"/>
      <c r="D224" s="248"/>
      <c r="E224" s="248"/>
      <c r="F224" s="248"/>
      <c r="G224" s="248"/>
      <c r="H224" s="248"/>
      <c r="I224" s="248"/>
      <c r="J224" s="248"/>
      <c r="K224" s="248"/>
      <c r="L224" s="248"/>
      <c r="M224" s="248"/>
      <c r="N224" s="248"/>
      <c r="O224" s="248"/>
      <c r="P224" s="248"/>
      <c r="Q224" s="248"/>
      <c r="R224" s="248"/>
      <c r="S224" s="248"/>
      <c r="T224" s="248"/>
      <c r="U224" s="248"/>
      <c r="V224" s="248"/>
      <c r="W224" s="248"/>
      <c r="X224" s="248"/>
      <c r="Y224" s="248"/>
      <c r="Z224" s="248"/>
      <c r="AA224" s="248"/>
      <c r="AB224" s="248"/>
    </row>
    <row r="225" spans="1:28" ht="13.8">
      <c r="A225" s="248"/>
      <c r="B225" s="248"/>
      <c r="C225" s="331"/>
      <c r="D225" s="248"/>
      <c r="E225" s="248"/>
      <c r="F225" s="248"/>
      <c r="G225" s="248"/>
      <c r="H225" s="248"/>
      <c r="I225" s="248"/>
      <c r="J225" s="248"/>
      <c r="K225" s="248"/>
      <c r="L225" s="248"/>
      <c r="M225" s="248"/>
      <c r="N225" s="248"/>
      <c r="O225" s="248"/>
      <c r="P225" s="248"/>
      <c r="Q225" s="248"/>
      <c r="R225" s="248"/>
      <c r="S225" s="248"/>
      <c r="T225" s="248"/>
      <c r="U225" s="248"/>
      <c r="V225" s="248"/>
      <c r="W225" s="248"/>
      <c r="X225" s="248"/>
      <c r="Y225" s="248"/>
      <c r="Z225" s="248"/>
      <c r="AA225" s="248"/>
      <c r="AB225" s="248"/>
    </row>
    <row r="226" spans="1:28" ht="13.8">
      <c r="A226" s="248"/>
      <c r="B226" s="248"/>
      <c r="C226" s="331"/>
      <c r="D226" s="248"/>
      <c r="E226" s="248"/>
      <c r="F226" s="248"/>
      <c r="G226" s="248"/>
      <c r="H226" s="248"/>
      <c r="I226" s="248"/>
      <c r="J226" s="248"/>
      <c r="K226" s="248"/>
      <c r="L226" s="248"/>
      <c r="M226" s="248"/>
      <c r="N226" s="248"/>
      <c r="O226" s="248"/>
      <c r="P226" s="248"/>
      <c r="Q226" s="248"/>
      <c r="R226" s="248"/>
      <c r="S226" s="248"/>
      <c r="T226" s="248"/>
      <c r="U226" s="248"/>
      <c r="V226" s="248"/>
      <c r="W226" s="248"/>
      <c r="X226" s="248"/>
      <c r="Y226" s="248"/>
      <c r="Z226" s="248"/>
      <c r="AA226" s="248"/>
      <c r="AB226" s="248"/>
    </row>
    <row r="227" spans="1:28" ht="13.8">
      <c r="A227" s="248"/>
      <c r="B227" s="248"/>
      <c r="C227" s="331"/>
      <c r="D227" s="248"/>
      <c r="E227" s="248"/>
      <c r="F227" s="248"/>
      <c r="G227" s="248"/>
      <c r="H227" s="248"/>
      <c r="I227" s="248"/>
      <c r="J227" s="248"/>
      <c r="K227" s="248"/>
      <c r="L227" s="248"/>
      <c r="M227" s="248"/>
      <c r="N227" s="248"/>
      <c r="O227" s="248"/>
      <c r="P227" s="248"/>
      <c r="Q227" s="248"/>
      <c r="R227" s="248"/>
      <c r="S227" s="248"/>
      <c r="T227" s="248"/>
      <c r="U227" s="248"/>
      <c r="V227" s="248"/>
      <c r="W227" s="248"/>
      <c r="X227" s="248"/>
      <c r="Y227" s="248"/>
      <c r="Z227" s="248"/>
      <c r="AA227" s="248"/>
      <c r="AB227" s="248"/>
    </row>
    <row r="228" spans="1:28" ht="13.8">
      <c r="A228" s="248"/>
      <c r="B228" s="248"/>
      <c r="C228" s="331"/>
      <c r="D228" s="248"/>
      <c r="E228" s="248"/>
      <c r="F228" s="248"/>
      <c r="G228" s="248"/>
      <c r="H228" s="248"/>
      <c r="I228" s="248"/>
      <c r="J228" s="248"/>
      <c r="K228" s="248"/>
      <c r="L228" s="248"/>
      <c r="M228" s="248"/>
      <c r="N228" s="248"/>
      <c r="O228" s="248"/>
      <c r="P228" s="248"/>
      <c r="Q228" s="248"/>
      <c r="R228" s="248"/>
      <c r="S228" s="248"/>
      <c r="T228" s="248"/>
      <c r="U228" s="248"/>
      <c r="V228" s="248"/>
      <c r="W228" s="248"/>
      <c r="X228" s="248"/>
      <c r="Y228" s="248"/>
      <c r="Z228" s="248"/>
      <c r="AA228" s="248"/>
      <c r="AB228" s="248"/>
    </row>
    <row r="229" spans="1:28" ht="13.8">
      <c r="A229" s="248"/>
      <c r="B229" s="248"/>
      <c r="C229" s="331"/>
      <c r="D229" s="248"/>
      <c r="E229" s="248"/>
      <c r="F229" s="248"/>
      <c r="G229" s="248"/>
      <c r="H229" s="248"/>
      <c r="I229" s="248"/>
      <c r="J229" s="248"/>
      <c r="K229" s="248"/>
      <c r="L229" s="248"/>
      <c r="M229" s="248"/>
      <c r="N229" s="248"/>
      <c r="O229" s="248"/>
      <c r="P229" s="248"/>
      <c r="Q229" s="248"/>
      <c r="R229" s="248"/>
      <c r="S229" s="248"/>
      <c r="T229" s="248"/>
      <c r="U229" s="248"/>
      <c r="V229" s="248"/>
      <c r="W229" s="248"/>
      <c r="X229" s="248"/>
      <c r="Y229" s="248"/>
      <c r="Z229" s="248"/>
      <c r="AA229" s="248"/>
      <c r="AB229" s="248"/>
    </row>
    <row r="230" spans="1:28" ht="13.8">
      <c r="A230" s="248"/>
      <c r="B230" s="248"/>
      <c r="C230" s="331"/>
      <c r="D230" s="248"/>
      <c r="E230" s="248"/>
      <c r="F230" s="248"/>
      <c r="G230" s="248"/>
      <c r="H230" s="248"/>
      <c r="I230" s="248"/>
      <c r="J230" s="248"/>
      <c r="K230" s="248"/>
      <c r="L230" s="248"/>
      <c r="M230" s="248"/>
      <c r="N230" s="248"/>
      <c r="O230" s="248"/>
      <c r="P230" s="248"/>
      <c r="Q230" s="248"/>
      <c r="R230" s="248"/>
      <c r="S230" s="248"/>
      <c r="T230" s="248"/>
      <c r="U230" s="248"/>
      <c r="V230" s="248"/>
      <c r="W230" s="248"/>
      <c r="X230" s="248"/>
      <c r="Y230" s="248"/>
      <c r="Z230" s="248"/>
      <c r="AA230" s="248"/>
      <c r="AB230" s="248"/>
    </row>
    <row r="231" spans="1:28" ht="13.8">
      <c r="A231" s="248"/>
      <c r="B231" s="248"/>
      <c r="C231" s="331"/>
      <c r="D231" s="248"/>
      <c r="E231" s="248"/>
      <c r="F231" s="248"/>
      <c r="G231" s="248"/>
      <c r="H231" s="248"/>
      <c r="I231" s="248"/>
      <c r="J231" s="248"/>
      <c r="K231" s="248"/>
      <c r="L231" s="248"/>
      <c r="M231" s="248"/>
      <c r="N231" s="248"/>
      <c r="O231" s="248"/>
      <c r="P231" s="248"/>
      <c r="Q231" s="248"/>
      <c r="R231" s="248"/>
      <c r="S231" s="248"/>
      <c r="T231" s="248"/>
      <c r="U231" s="248"/>
      <c r="V231" s="248"/>
      <c r="W231" s="248"/>
      <c r="X231" s="248"/>
      <c r="Y231" s="248"/>
      <c r="Z231" s="248"/>
      <c r="AA231" s="248"/>
      <c r="AB231" s="248"/>
    </row>
    <row r="232" spans="1:28" ht="13.8">
      <c r="A232" s="248"/>
      <c r="B232" s="248"/>
      <c r="C232" s="331"/>
      <c r="D232" s="248"/>
      <c r="E232" s="248"/>
      <c r="F232" s="248"/>
      <c r="G232" s="248"/>
      <c r="H232" s="248"/>
      <c r="I232" s="248"/>
      <c r="J232" s="248"/>
      <c r="K232" s="248"/>
      <c r="L232" s="248"/>
      <c r="M232" s="248"/>
      <c r="N232" s="248"/>
      <c r="O232" s="248"/>
      <c r="P232" s="248"/>
      <c r="Q232" s="248"/>
      <c r="R232" s="248"/>
      <c r="S232" s="248"/>
      <c r="T232" s="248"/>
      <c r="U232" s="248"/>
      <c r="V232" s="248"/>
      <c r="W232" s="248"/>
      <c r="X232" s="248"/>
      <c r="Y232" s="248"/>
      <c r="Z232" s="248"/>
      <c r="AA232" s="248"/>
      <c r="AB232" s="248"/>
    </row>
    <row r="233" spans="1:28" ht="13.8">
      <c r="A233" s="248"/>
      <c r="B233" s="248"/>
      <c r="C233" s="331"/>
      <c r="D233" s="248"/>
      <c r="E233" s="248"/>
      <c r="F233" s="248"/>
      <c r="G233" s="248"/>
      <c r="H233" s="248"/>
      <c r="I233" s="248"/>
      <c r="J233" s="248"/>
      <c r="K233" s="248"/>
      <c r="L233" s="248"/>
      <c r="M233" s="248"/>
      <c r="N233" s="248"/>
      <c r="O233" s="248"/>
      <c r="P233" s="248"/>
      <c r="Q233" s="248"/>
      <c r="R233" s="248"/>
      <c r="S233" s="248"/>
      <c r="T233" s="248"/>
      <c r="U233" s="248"/>
      <c r="V233" s="248"/>
      <c r="W233" s="248"/>
      <c r="X233" s="248"/>
      <c r="Y233" s="248"/>
      <c r="Z233" s="248"/>
      <c r="AA233" s="248"/>
      <c r="AB233" s="248"/>
    </row>
    <row r="234" spans="1:28" ht="13.8">
      <c r="A234" s="248"/>
      <c r="B234" s="248"/>
      <c r="C234" s="331"/>
      <c r="D234" s="248"/>
      <c r="E234" s="248"/>
      <c r="F234" s="248"/>
      <c r="G234" s="248"/>
      <c r="H234" s="248"/>
      <c r="I234" s="248"/>
      <c r="J234" s="248"/>
      <c r="K234" s="248"/>
      <c r="L234" s="248"/>
      <c r="M234" s="248"/>
      <c r="N234" s="248"/>
      <c r="O234" s="248"/>
      <c r="P234" s="248"/>
      <c r="Q234" s="248"/>
      <c r="R234" s="248"/>
      <c r="S234" s="248"/>
      <c r="T234" s="248"/>
      <c r="U234" s="248"/>
      <c r="V234" s="248"/>
      <c r="W234" s="248"/>
      <c r="X234" s="248"/>
      <c r="Y234" s="248"/>
      <c r="Z234" s="248"/>
      <c r="AA234" s="248"/>
      <c r="AB234" s="248"/>
    </row>
    <row r="235" spans="1:28" ht="13.8">
      <c r="A235" s="248"/>
      <c r="B235" s="248"/>
      <c r="C235" s="331"/>
      <c r="D235" s="248"/>
      <c r="E235" s="248"/>
      <c r="F235" s="248"/>
      <c r="G235" s="248"/>
      <c r="H235" s="248"/>
      <c r="I235" s="248"/>
      <c r="J235" s="248"/>
      <c r="K235" s="248"/>
      <c r="L235" s="248"/>
      <c r="M235" s="248"/>
      <c r="N235" s="248"/>
      <c r="O235" s="248"/>
      <c r="P235" s="248"/>
      <c r="Q235" s="248"/>
      <c r="R235" s="248"/>
      <c r="S235" s="248"/>
      <c r="T235" s="248"/>
      <c r="U235" s="248"/>
      <c r="V235" s="248"/>
      <c r="W235" s="248"/>
      <c r="X235" s="248"/>
      <c r="Y235" s="248"/>
      <c r="Z235" s="248"/>
      <c r="AA235" s="248"/>
      <c r="AB235" s="248"/>
    </row>
    <row r="236" spans="1:28" ht="13.8">
      <c r="A236" s="248"/>
      <c r="B236" s="248"/>
      <c r="C236" s="331"/>
      <c r="D236" s="248"/>
      <c r="E236" s="248"/>
      <c r="F236" s="248"/>
      <c r="G236" s="248"/>
      <c r="H236" s="248"/>
      <c r="I236" s="248"/>
      <c r="J236" s="248"/>
      <c r="K236" s="248"/>
      <c r="L236" s="248"/>
      <c r="M236" s="248"/>
      <c r="N236" s="248"/>
      <c r="O236" s="248"/>
      <c r="P236" s="248"/>
      <c r="Q236" s="248"/>
      <c r="R236" s="248"/>
      <c r="S236" s="248"/>
      <c r="T236" s="248"/>
      <c r="U236" s="248"/>
      <c r="V236" s="248"/>
      <c r="W236" s="248"/>
      <c r="X236" s="248"/>
      <c r="Y236" s="248"/>
      <c r="Z236" s="248"/>
      <c r="AA236" s="248"/>
      <c r="AB236" s="248"/>
    </row>
    <row r="237" spans="1:28" ht="13.8">
      <c r="A237" s="248"/>
      <c r="B237" s="248"/>
      <c r="C237" s="331"/>
      <c r="D237" s="248"/>
      <c r="E237" s="248"/>
      <c r="F237" s="248"/>
      <c r="G237" s="248"/>
      <c r="H237" s="248"/>
      <c r="I237" s="248"/>
      <c r="J237" s="248"/>
      <c r="K237" s="248"/>
      <c r="L237" s="248"/>
      <c r="M237" s="248"/>
      <c r="N237" s="248"/>
      <c r="O237" s="248"/>
      <c r="P237" s="248"/>
      <c r="Q237" s="248"/>
      <c r="R237" s="248"/>
      <c r="S237" s="248"/>
      <c r="T237" s="248"/>
      <c r="U237" s="248"/>
      <c r="V237" s="248"/>
      <c r="W237" s="248"/>
      <c r="X237" s="248"/>
      <c r="Y237" s="248"/>
      <c r="Z237" s="248"/>
      <c r="AA237" s="248"/>
      <c r="AB237" s="248"/>
    </row>
    <row r="238" spans="1:28" ht="13.8">
      <c r="A238" s="248"/>
      <c r="B238" s="248"/>
      <c r="C238" s="331"/>
      <c r="D238" s="248"/>
      <c r="E238" s="248"/>
      <c r="F238" s="248"/>
      <c r="G238" s="248"/>
      <c r="H238" s="248"/>
      <c r="I238" s="248"/>
      <c r="J238" s="248"/>
      <c r="K238" s="248"/>
      <c r="L238" s="248"/>
      <c r="M238" s="248"/>
      <c r="N238" s="248"/>
      <c r="O238" s="248"/>
      <c r="P238" s="248"/>
      <c r="Q238" s="248"/>
      <c r="R238" s="248"/>
      <c r="S238" s="248"/>
      <c r="T238" s="248"/>
      <c r="U238" s="248"/>
      <c r="V238" s="248"/>
      <c r="W238" s="248"/>
      <c r="X238" s="248"/>
      <c r="Y238" s="248"/>
      <c r="Z238" s="248"/>
      <c r="AA238" s="248"/>
      <c r="AB238" s="248"/>
    </row>
    <row r="239" spans="1:28" ht="13.8">
      <c r="A239" s="248"/>
      <c r="B239" s="248"/>
      <c r="C239" s="331"/>
      <c r="D239" s="248"/>
      <c r="E239" s="248"/>
      <c r="F239" s="248"/>
      <c r="G239" s="248"/>
      <c r="H239" s="248"/>
      <c r="I239" s="248"/>
      <c r="J239" s="248"/>
      <c r="K239" s="248"/>
      <c r="L239" s="248"/>
      <c r="M239" s="248"/>
      <c r="N239" s="248"/>
      <c r="O239" s="248"/>
      <c r="P239" s="248"/>
      <c r="Q239" s="248"/>
      <c r="R239" s="248"/>
      <c r="S239" s="248"/>
      <c r="T239" s="248"/>
      <c r="U239" s="248"/>
      <c r="V239" s="248"/>
      <c r="W239" s="248"/>
      <c r="X239" s="248"/>
      <c r="Y239" s="248"/>
      <c r="Z239" s="248"/>
      <c r="AA239" s="248"/>
      <c r="AB239" s="248"/>
    </row>
    <row r="240" spans="1:28" ht="13.8">
      <c r="A240" s="248"/>
      <c r="B240" s="248"/>
      <c r="C240" s="331"/>
      <c r="D240" s="248"/>
      <c r="E240" s="248"/>
      <c r="F240" s="248"/>
      <c r="G240" s="248"/>
      <c r="H240" s="248"/>
      <c r="I240" s="248"/>
      <c r="J240" s="248"/>
      <c r="K240" s="248"/>
      <c r="L240" s="248"/>
      <c r="M240" s="248"/>
      <c r="N240" s="248"/>
      <c r="O240" s="248"/>
      <c r="P240" s="248"/>
      <c r="Q240" s="248"/>
      <c r="R240" s="248"/>
      <c r="S240" s="248"/>
      <c r="T240" s="248"/>
      <c r="U240" s="248"/>
      <c r="V240" s="248"/>
      <c r="W240" s="248"/>
      <c r="X240" s="248"/>
      <c r="Y240" s="248"/>
      <c r="Z240" s="248"/>
      <c r="AA240" s="248"/>
      <c r="AB240" s="248"/>
    </row>
    <row r="241" spans="1:28" ht="13.8">
      <c r="A241" s="248"/>
      <c r="B241" s="248"/>
      <c r="C241" s="331"/>
      <c r="D241" s="248"/>
      <c r="E241" s="248"/>
      <c r="F241" s="248"/>
      <c r="G241" s="248"/>
      <c r="H241" s="248"/>
      <c r="I241" s="248"/>
      <c r="J241" s="248"/>
      <c r="K241" s="248"/>
      <c r="L241" s="248"/>
      <c r="M241" s="248"/>
      <c r="N241" s="248"/>
      <c r="O241" s="248"/>
      <c r="P241" s="248"/>
      <c r="Q241" s="248"/>
      <c r="R241" s="248"/>
      <c r="S241" s="248"/>
      <c r="T241" s="248"/>
      <c r="U241" s="248"/>
      <c r="V241" s="248"/>
      <c r="W241" s="248"/>
      <c r="X241" s="248"/>
      <c r="Y241" s="248"/>
      <c r="Z241" s="248"/>
      <c r="AA241" s="248"/>
      <c r="AB241" s="248"/>
    </row>
    <row r="242" spans="1:28" ht="13.8">
      <c r="A242" s="248"/>
      <c r="B242" s="248"/>
      <c r="C242" s="331"/>
      <c r="D242" s="248"/>
      <c r="E242" s="248"/>
      <c r="F242" s="248"/>
      <c r="G242" s="248"/>
      <c r="H242" s="248"/>
      <c r="I242" s="248"/>
      <c r="J242" s="248"/>
      <c r="K242" s="248"/>
      <c r="L242" s="248"/>
      <c r="M242" s="248"/>
      <c r="N242" s="248"/>
      <c r="O242" s="248"/>
      <c r="P242" s="248"/>
      <c r="Q242" s="248"/>
      <c r="R242" s="248"/>
      <c r="S242" s="248"/>
      <c r="T242" s="248"/>
      <c r="U242" s="248"/>
      <c r="V242" s="248"/>
      <c r="W242" s="248"/>
      <c r="X242" s="248"/>
      <c r="Y242" s="248"/>
      <c r="Z242" s="248"/>
      <c r="AA242" s="248"/>
      <c r="AB242" s="248"/>
    </row>
    <row r="243" spans="1:28" ht="13.8">
      <c r="A243" s="248"/>
      <c r="B243" s="248"/>
      <c r="C243" s="331"/>
      <c r="D243" s="248"/>
      <c r="E243" s="248"/>
      <c r="F243" s="248"/>
      <c r="G243" s="248"/>
      <c r="H243" s="248"/>
      <c r="I243" s="248"/>
      <c r="J243" s="248"/>
      <c r="K243" s="248"/>
      <c r="L243" s="248"/>
      <c r="M243" s="248"/>
      <c r="N243" s="248"/>
      <c r="O243" s="248"/>
      <c r="P243" s="248"/>
      <c r="Q243" s="248"/>
      <c r="R243" s="248"/>
      <c r="S243" s="248"/>
      <c r="T243" s="248"/>
      <c r="U243" s="248"/>
      <c r="V243" s="248"/>
      <c r="W243" s="248"/>
      <c r="X243" s="248"/>
      <c r="Y243" s="248"/>
      <c r="Z243" s="248"/>
      <c r="AA243" s="248"/>
      <c r="AB243" s="248"/>
    </row>
    <row r="244" spans="1:28" ht="13.8">
      <c r="A244" s="248"/>
      <c r="B244" s="248"/>
      <c r="C244" s="331"/>
      <c r="D244" s="248"/>
      <c r="E244" s="248"/>
      <c r="F244" s="248"/>
      <c r="G244" s="248"/>
      <c r="H244" s="248"/>
      <c r="I244" s="248"/>
      <c r="J244" s="248"/>
      <c r="K244" s="248"/>
      <c r="L244" s="248"/>
      <c r="M244" s="248"/>
      <c r="N244" s="248"/>
      <c r="O244" s="248"/>
      <c r="P244" s="248"/>
      <c r="Q244" s="248"/>
      <c r="R244" s="248"/>
      <c r="S244" s="248"/>
      <c r="T244" s="248"/>
      <c r="U244" s="248"/>
      <c r="V244" s="248"/>
      <c r="W244" s="248"/>
      <c r="X244" s="248"/>
      <c r="Y244" s="248"/>
      <c r="Z244" s="248"/>
      <c r="AA244" s="248"/>
      <c r="AB244" s="248"/>
    </row>
    <row r="245" spans="1:28" ht="13.8">
      <c r="A245" s="248"/>
      <c r="B245" s="248"/>
      <c r="C245" s="331"/>
      <c r="D245" s="248"/>
      <c r="E245" s="248"/>
      <c r="F245" s="248"/>
      <c r="G245" s="248"/>
      <c r="H245" s="248"/>
      <c r="I245" s="248"/>
      <c r="J245" s="248"/>
      <c r="K245" s="248"/>
      <c r="L245" s="248"/>
      <c r="M245" s="248"/>
      <c r="N245" s="248"/>
      <c r="O245" s="248"/>
      <c r="P245" s="248"/>
      <c r="Q245" s="248"/>
      <c r="R245" s="248"/>
      <c r="S245" s="248"/>
      <c r="T245" s="248"/>
      <c r="U245" s="248"/>
      <c r="V245" s="248"/>
      <c r="W245" s="248"/>
      <c r="X245" s="248"/>
      <c r="Y245" s="248"/>
      <c r="Z245" s="248"/>
      <c r="AA245" s="248"/>
      <c r="AB245" s="248"/>
    </row>
    <row r="246" spans="1:28" ht="13.8">
      <c r="A246" s="248"/>
      <c r="B246" s="248"/>
      <c r="C246" s="331"/>
      <c r="D246" s="248"/>
      <c r="E246" s="248"/>
      <c r="F246" s="248"/>
      <c r="G246" s="248"/>
      <c r="H246" s="248"/>
      <c r="I246" s="248"/>
      <c r="J246" s="248"/>
      <c r="K246" s="248"/>
      <c r="L246" s="248"/>
      <c r="M246" s="248"/>
      <c r="N246" s="248"/>
      <c r="O246" s="248"/>
      <c r="P246" s="248"/>
      <c r="Q246" s="248"/>
      <c r="R246" s="248"/>
      <c r="S246" s="248"/>
      <c r="T246" s="248"/>
      <c r="U246" s="248"/>
      <c r="V246" s="248"/>
      <c r="W246" s="248"/>
      <c r="X246" s="248"/>
      <c r="Y246" s="248"/>
      <c r="Z246" s="248"/>
      <c r="AA246" s="248"/>
      <c r="AB246" s="248"/>
    </row>
    <row r="247" spans="1:28" ht="13.8">
      <c r="A247" s="248"/>
      <c r="B247" s="248"/>
      <c r="C247" s="331"/>
      <c r="D247" s="248"/>
      <c r="E247" s="248"/>
      <c r="F247" s="248"/>
      <c r="G247" s="248"/>
      <c r="H247" s="248"/>
      <c r="I247" s="248"/>
      <c r="J247" s="248"/>
      <c r="K247" s="248"/>
      <c r="L247" s="248"/>
      <c r="M247" s="248"/>
      <c r="N247" s="248"/>
      <c r="O247" s="248"/>
      <c r="P247" s="248"/>
      <c r="Q247" s="248"/>
      <c r="R247" s="248"/>
      <c r="S247" s="248"/>
      <c r="T247" s="248"/>
      <c r="U247" s="248"/>
      <c r="V247" s="248"/>
      <c r="W247" s="248"/>
      <c r="X247" s="248"/>
      <c r="Y247" s="248"/>
      <c r="Z247" s="248"/>
      <c r="AA247" s="248"/>
      <c r="AB247" s="248"/>
    </row>
    <row r="248" spans="1:28" ht="13.8">
      <c r="A248" s="248"/>
      <c r="B248" s="248"/>
      <c r="C248" s="331"/>
      <c r="D248" s="248"/>
      <c r="E248" s="248"/>
      <c r="F248" s="248"/>
      <c r="G248" s="248"/>
      <c r="H248" s="248"/>
      <c r="I248" s="248"/>
      <c r="J248" s="248"/>
      <c r="K248" s="248"/>
      <c r="L248" s="248"/>
      <c r="M248" s="248"/>
      <c r="N248" s="248"/>
      <c r="O248" s="248"/>
      <c r="P248" s="248"/>
      <c r="Q248" s="248"/>
      <c r="R248" s="248"/>
      <c r="S248" s="248"/>
      <c r="T248" s="248"/>
      <c r="U248" s="248"/>
      <c r="V248" s="248"/>
      <c r="W248" s="248"/>
      <c r="X248" s="248"/>
      <c r="Y248" s="248"/>
      <c r="Z248" s="248"/>
      <c r="AA248" s="248"/>
      <c r="AB248" s="248"/>
    </row>
    <row r="249" spans="1:28" ht="13.8">
      <c r="A249" s="248"/>
      <c r="B249" s="248"/>
      <c r="C249" s="331"/>
      <c r="D249" s="248"/>
      <c r="E249" s="248"/>
      <c r="F249" s="248"/>
      <c r="G249" s="248"/>
      <c r="H249" s="248"/>
      <c r="I249" s="248"/>
      <c r="J249" s="248"/>
      <c r="K249" s="248"/>
      <c r="L249" s="248"/>
      <c r="M249" s="248"/>
      <c r="N249" s="248"/>
      <c r="O249" s="248"/>
      <c r="P249" s="248"/>
      <c r="Q249" s="248"/>
      <c r="R249" s="248"/>
      <c r="S249" s="248"/>
      <c r="T249" s="248"/>
      <c r="U249" s="248"/>
      <c r="V249" s="248"/>
      <c r="W249" s="248"/>
      <c r="X249" s="248"/>
      <c r="Y249" s="248"/>
      <c r="Z249" s="248"/>
      <c r="AA249" s="248"/>
      <c r="AB249" s="248"/>
    </row>
    <row r="250" spans="1:28" ht="13.8">
      <c r="A250" s="248"/>
      <c r="B250" s="248"/>
      <c r="C250" s="331"/>
      <c r="D250" s="248"/>
      <c r="E250" s="248"/>
      <c r="F250" s="248"/>
      <c r="G250" s="248"/>
      <c r="H250" s="248"/>
      <c r="I250" s="248"/>
      <c r="J250" s="248"/>
      <c r="K250" s="248"/>
      <c r="L250" s="248"/>
      <c r="M250" s="248"/>
      <c r="N250" s="248"/>
      <c r="O250" s="248"/>
      <c r="P250" s="248"/>
      <c r="Q250" s="248"/>
      <c r="R250" s="248"/>
      <c r="S250" s="248"/>
      <c r="T250" s="248"/>
      <c r="U250" s="248"/>
      <c r="V250" s="248"/>
      <c r="W250" s="248"/>
      <c r="X250" s="248"/>
      <c r="Y250" s="248"/>
      <c r="Z250" s="248"/>
      <c r="AA250" s="248"/>
      <c r="AB250" s="248"/>
    </row>
    <row r="251" spans="1:28" ht="13.8">
      <c r="A251" s="248"/>
      <c r="B251" s="248"/>
      <c r="C251" s="331"/>
      <c r="D251" s="248"/>
      <c r="E251" s="248"/>
      <c r="F251" s="248"/>
      <c r="G251" s="248"/>
      <c r="H251" s="248"/>
      <c r="I251" s="248"/>
      <c r="J251" s="248"/>
      <c r="K251" s="248"/>
      <c r="L251" s="248"/>
      <c r="M251" s="248"/>
      <c r="N251" s="248"/>
      <c r="O251" s="248"/>
      <c r="P251" s="248"/>
      <c r="Q251" s="248"/>
      <c r="R251" s="248"/>
      <c r="S251" s="248"/>
      <c r="T251" s="248"/>
      <c r="U251" s="248"/>
      <c r="V251" s="248"/>
      <c r="W251" s="248"/>
      <c r="X251" s="248"/>
      <c r="Y251" s="248"/>
      <c r="Z251" s="248"/>
      <c r="AA251" s="248"/>
      <c r="AB251" s="248"/>
    </row>
    <row r="252" spans="1:28" ht="13.8">
      <c r="A252" s="248"/>
      <c r="B252" s="248"/>
      <c r="C252" s="331"/>
      <c r="D252" s="248"/>
      <c r="E252" s="248"/>
      <c r="F252" s="248"/>
      <c r="G252" s="248"/>
      <c r="H252" s="248"/>
      <c r="I252" s="248"/>
      <c r="J252" s="248"/>
      <c r="K252" s="248"/>
      <c r="L252" s="248"/>
      <c r="M252" s="248"/>
      <c r="N252" s="248"/>
      <c r="O252" s="248"/>
      <c r="P252" s="248"/>
      <c r="Q252" s="248"/>
      <c r="R252" s="248"/>
      <c r="S252" s="248"/>
      <c r="T252" s="248"/>
      <c r="U252" s="248"/>
      <c r="V252" s="248"/>
      <c r="W252" s="248"/>
      <c r="X252" s="248"/>
      <c r="Y252" s="248"/>
      <c r="Z252" s="248"/>
      <c r="AA252" s="248"/>
      <c r="AB252" s="248"/>
    </row>
    <row r="253" spans="1:28" ht="13.8">
      <c r="A253" s="248"/>
      <c r="B253" s="248"/>
      <c r="C253" s="331"/>
      <c r="D253" s="248"/>
      <c r="E253" s="248"/>
      <c r="F253" s="248"/>
      <c r="G253" s="248"/>
      <c r="H253" s="248"/>
      <c r="I253" s="248"/>
      <c r="J253" s="248"/>
      <c r="K253" s="248"/>
      <c r="L253" s="248"/>
      <c r="M253" s="248"/>
      <c r="N253" s="248"/>
      <c r="O253" s="248"/>
      <c r="P253" s="248"/>
      <c r="Q253" s="248"/>
      <c r="R253" s="248"/>
      <c r="S253" s="248"/>
      <c r="T253" s="248"/>
      <c r="U253" s="248"/>
      <c r="V253" s="248"/>
      <c r="W253" s="248"/>
      <c r="X253" s="248"/>
      <c r="Y253" s="248"/>
      <c r="Z253" s="248"/>
      <c r="AA253" s="248"/>
      <c r="AB253" s="248"/>
    </row>
    <row r="254" spans="1:28" ht="13.8">
      <c r="A254" s="248"/>
      <c r="B254" s="248"/>
      <c r="C254" s="331"/>
      <c r="D254" s="248"/>
      <c r="E254" s="248"/>
      <c r="F254" s="248"/>
      <c r="G254" s="248"/>
      <c r="H254" s="248"/>
      <c r="I254" s="248"/>
      <c r="J254" s="248"/>
      <c r="K254" s="248"/>
      <c r="L254" s="248"/>
      <c r="M254" s="248"/>
      <c r="N254" s="248"/>
      <c r="O254" s="248"/>
      <c r="P254" s="248"/>
      <c r="Q254" s="248"/>
      <c r="R254" s="248"/>
      <c r="S254" s="248"/>
      <c r="T254" s="248"/>
      <c r="U254" s="248"/>
      <c r="V254" s="248"/>
      <c r="W254" s="248"/>
      <c r="X254" s="248"/>
      <c r="Y254" s="248"/>
      <c r="Z254" s="248"/>
      <c r="AA254" s="248"/>
      <c r="AB254" s="248"/>
    </row>
    <row r="255" spans="1:28" ht="13.8">
      <c r="A255" s="248"/>
      <c r="B255" s="248"/>
      <c r="C255" s="331"/>
      <c r="D255" s="248"/>
      <c r="E255" s="248"/>
      <c r="F255" s="248"/>
      <c r="G255" s="248"/>
      <c r="H255" s="248"/>
      <c r="I255" s="248"/>
      <c r="J255" s="248"/>
      <c r="K255" s="248"/>
      <c r="L255" s="248"/>
      <c r="M255" s="248"/>
      <c r="N255" s="248"/>
      <c r="O255" s="248"/>
      <c r="P255" s="248"/>
      <c r="Q255" s="248"/>
      <c r="R255" s="248"/>
      <c r="S255" s="248"/>
      <c r="T255" s="248"/>
      <c r="U255" s="248"/>
      <c r="V255" s="248"/>
      <c r="W255" s="248"/>
      <c r="X255" s="248"/>
      <c r="Y255" s="248"/>
      <c r="Z255" s="248"/>
      <c r="AA255" s="248"/>
      <c r="AB255" s="248"/>
    </row>
    <row r="256" spans="1:28" ht="13.8">
      <c r="A256" s="248"/>
      <c r="B256" s="248"/>
      <c r="C256" s="331"/>
      <c r="D256" s="248"/>
      <c r="E256" s="248"/>
      <c r="F256" s="248"/>
      <c r="G256" s="248"/>
      <c r="H256" s="248"/>
      <c r="I256" s="248"/>
      <c r="J256" s="248"/>
      <c r="K256" s="248"/>
      <c r="L256" s="248"/>
      <c r="M256" s="248"/>
      <c r="N256" s="248"/>
      <c r="O256" s="248"/>
      <c r="P256" s="248"/>
      <c r="Q256" s="248"/>
      <c r="R256" s="248"/>
      <c r="S256" s="248"/>
      <c r="T256" s="248"/>
      <c r="U256" s="248"/>
      <c r="V256" s="248"/>
      <c r="W256" s="248"/>
      <c r="X256" s="248"/>
      <c r="Y256" s="248"/>
      <c r="Z256" s="248"/>
      <c r="AA256" s="248"/>
      <c r="AB256" s="248"/>
    </row>
    <row r="257" spans="1:28" ht="13.8">
      <c r="A257" s="248"/>
      <c r="B257" s="248"/>
      <c r="C257" s="331"/>
      <c r="D257" s="248"/>
      <c r="E257" s="248"/>
      <c r="F257" s="248"/>
      <c r="G257" s="248"/>
      <c r="H257" s="248"/>
      <c r="I257" s="248"/>
      <c r="J257" s="248"/>
      <c r="K257" s="248"/>
      <c r="L257" s="248"/>
      <c r="M257" s="248"/>
      <c r="N257" s="248"/>
      <c r="O257" s="248"/>
      <c r="P257" s="248"/>
      <c r="Q257" s="248"/>
      <c r="R257" s="248"/>
      <c r="S257" s="248"/>
      <c r="T257" s="248"/>
      <c r="U257" s="248"/>
      <c r="V257" s="248"/>
      <c r="W257" s="248"/>
      <c r="X257" s="248"/>
      <c r="Y257" s="248"/>
      <c r="Z257" s="248"/>
      <c r="AA257" s="248"/>
      <c r="AB257" s="248"/>
    </row>
    <row r="258" spans="1:28" ht="13.8">
      <c r="A258" s="248"/>
      <c r="B258" s="248"/>
      <c r="C258" s="331"/>
      <c r="D258" s="248"/>
      <c r="E258" s="248"/>
      <c r="F258" s="248"/>
      <c r="G258" s="248"/>
      <c r="H258" s="248"/>
      <c r="I258" s="248"/>
      <c r="J258" s="248"/>
      <c r="K258" s="248"/>
      <c r="L258" s="248"/>
      <c r="M258" s="248"/>
      <c r="N258" s="248"/>
      <c r="O258" s="248"/>
      <c r="P258" s="248"/>
      <c r="Q258" s="248"/>
      <c r="R258" s="248"/>
      <c r="S258" s="248"/>
      <c r="T258" s="248"/>
      <c r="U258" s="248"/>
      <c r="V258" s="248"/>
      <c r="W258" s="248"/>
      <c r="X258" s="248"/>
      <c r="Y258" s="248"/>
      <c r="Z258" s="248"/>
      <c r="AA258" s="248"/>
      <c r="AB258" s="248"/>
    </row>
    <row r="259" spans="1:28" ht="13.8">
      <c r="A259" s="248"/>
      <c r="B259" s="248"/>
      <c r="C259" s="331"/>
      <c r="D259" s="248"/>
      <c r="E259" s="248"/>
      <c r="F259" s="248"/>
      <c r="G259" s="248"/>
      <c r="H259" s="248"/>
      <c r="I259" s="248"/>
      <c r="J259" s="248"/>
      <c r="K259" s="248"/>
      <c r="L259" s="248"/>
      <c r="M259" s="248"/>
      <c r="N259" s="248"/>
      <c r="O259" s="248"/>
      <c r="P259" s="248"/>
      <c r="Q259" s="248"/>
      <c r="R259" s="248"/>
      <c r="S259" s="248"/>
      <c r="T259" s="248"/>
      <c r="U259" s="248"/>
      <c r="V259" s="248"/>
      <c r="W259" s="248"/>
      <c r="X259" s="248"/>
      <c r="Y259" s="248"/>
      <c r="Z259" s="248"/>
      <c r="AA259" s="248"/>
      <c r="AB259" s="248"/>
    </row>
    <row r="260" spans="1:28" ht="13.8">
      <c r="A260" s="248"/>
      <c r="B260" s="248"/>
      <c r="C260" s="331"/>
      <c r="D260" s="248"/>
      <c r="E260" s="248"/>
      <c r="F260" s="248"/>
      <c r="G260" s="248"/>
      <c r="H260" s="248"/>
      <c r="I260" s="248"/>
      <c r="J260" s="248"/>
      <c r="K260" s="248"/>
      <c r="L260" s="248"/>
      <c r="M260" s="248"/>
      <c r="N260" s="248"/>
      <c r="O260" s="248"/>
      <c r="P260" s="248"/>
      <c r="Q260" s="248"/>
      <c r="R260" s="248"/>
      <c r="S260" s="248"/>
      <c r="T260" s="248"/>
      <c r="U260" s="248"/>
      <c r="V260" s="248"/>
      <c r="W260" s="248"/>
      <c r="X260" s="248"/>
      <c r="Y260" s="248"/>
      <c r="Z260" s="248"/>
      <c r="AA260" s="248"/>
      <c r="AB260" s="248"/>
    </row>
    <row r="261" spans="1:28" ht="13.8">
      <c r="A261" s="248"/>
      <c r="B261" s="248"/>
      <c r="C261" s="331"/>
      <c r="D261" s="248"/>
      <c r="E261" s="248"/>
      <c r="F261" s="248"/>
      <c r="G261" s="248"/>
      <c r="H261" s="248"/>
      <c r="I261" s="248"/>
      <c r="J261" s="248"/>
      <c r="K261" s="248"/>
      <c r="L261" s="248"/>
      <c r="M261" s="248"/>
      <c r="N261" s="248"/>
      <c r="O261" s="248"/>
      <c r="P261" s="248"/>
      <c r="Q261" s="248"/>
      <c r="R261" s="248"/>
      <c r="S261" s="248"/>
      <c r="T261" s="248"/>
      <c r="U261" s="248"/>
      <c r="V261" s="248"/>
      <c r="W261" s="248"/>
      <c r="X261" s="248"/>
      <c r="Y261" s="248"/>
      <c r="Z261" s="248"/>
      <c r="AA261" s="248"/>
      <c r="AB261" s="248"/>
    </row>
    <row r="262" spans="1:28" ht="13.8">
      <c r="A262" s="248"/>
      <c r="B262" s="248"/>
      <c r="C262" s="331"/>
      <c r="D262" s="248"/>
      <c r="E262" s="248"/>
      <c r="F262" s="248"/>
      <c r="G262" s="248"/>
      <c r="H262" s="248"/>
      <c r="I262" s="248"/>
      <c r="J262" s="248"/>
      <c r="K262" s="248"/>
      <c r="L262" s="248"/>
      <c r="M262" s="248"/>
      <c r="N262" s="248"/>
      <c r="O262" s="248"/>
      <c r="P262" s="248"/>
      <c r="Q262" s="248"/>
      <c r="R262" s="248"/>
      <c r="S262" s="248"/>
      <c r="T262" s="248"/>
      <c r="U262" s="248"/>
      <c r="V262" s="248"/>
      <c r="W262" s="248"/>
      <c r="X262" s="248"/>
      <c r="Y262" s="248"/>
      <c r="Z262" s="248"/>
      <c r="AA262" s="248"/>
      <c r="AB262" s="248"/>
    </row>
    <row r="263" spans="1:28" ht="13.8">
      <c r="A263" s="248"/>
      <c r="B263" s="248"/>
      <c r="C263" s="331"/>
      <c r="D263" s="248"/>
      <c r="E263" s="248"/>
      <c r="F263" s="248"/>
      <c r="G263" s="248"/>
      <c r="H263" s="248"/>
      <c r="I263" s="248"/>
      <c r="J263" s="248"/>
      <c r="K263" s="248"/>
      <c r="L263" s="248"/>
      <c r="M263" s="248"/>
      <c r="N263" s="248"/>
      <c r="O263" s="248"/>
      <c r="P263" s="248"/>
      <c r="Q263" s="248"/>
      <c r="R263" s="248"/>
      <c r="S263" s="248"/>
      <c r="T263" s="248"/>
      <c r="U263" s="248"/>
      <c r="V263" s="248"/>
      <c r="W263" s="248"/>
      <c r="X263" s="248"/>
      <c r="Y263" s="248"/>
      <c r="Z263" s="248"/>
      <c r="AA263" s="248"/>
      <c r="AB263" s="248"/>
    </row>
    <row r="264" spans="1:28" ht="13.8">
      <c r="A264" s="248"/>
      <c r="B264" s="248"/>
      <c r="C264" s="331"/>
      <c r="D264" s="248"/>
      <c r="E264" s="248"/>
      <c r="F264" s="248"/>
      <c r="G264" s="248"/>
      <c r="H264" s="248"/>
      <c r="I264" s="248"/>
      <c r="J264" s="248"/>
      <c r="K264" s="248"/>
      <c r="L264" s="248"/>
      <c r="M264" s="248"/>
      <c r="N264" s="248"/>
      <c r="O264" s="248"/>
      <c r="P264" s="248"/>
      <c r="Q264" s="248"/>
      <c r="R264" s="248"/>
      <c r="S264" s="248"/>
      <c r="T264" s="248"/>
      <c r="U264" s="248"/>
      <c r="V264" s="248"/>
      <c r="W264" s="248"/>
      <c r="X264" s="248"/>
      <c r="Y264" s="248"/>
      <c r="Z264" s="248"/>
      <c r="AA264" s="248"/>
      <c r="AB264" s="248"/>
    </row>
    <row r="265" spans="1:28" ht="13.8">
      <c r="A265" s="248"/>
      <c r="B265" s="248"/>
      <c r="C265" s="331"/>
      <c r="D265" s="248"/>
      <c r="E265" s="248"/>
      <c r="F265" s="248"/>
      <c r="G265" s="248"/>
      <c r="H265" s="248"/>
      <c r="I265" s="248"/>
      <c r="J265" s="248"/>
      <c r="K265" s="248"/>
      <c r="L265" s="248"/>
      <c r="M265" s="248"/>
      <c r="N265" s="248"/>
      <c r="O265" s="248"/>
      <c r="P265" s="248"/>
      <c r="Q265" s="248"/>
      <c r="R265" s="248"/>
      <c r="S265" s="248"/>
      <c r="T265" s="248"/>
      <c r="U265" s="248"/>
      <c r="V265" s="248"/>
      <c r="W265" s="248"/>
      <c r="X265" s="248"/>
      <c r="Y265" s="248"/>
      <c r="Z265" s="248"/>
      <c r="AA265" s="248"/>
      <c r="AB265" s="248"/>
    </row>
    <row r="266" spans="1:28" ht="13.8">
      <c r="A266" s="248"/>
      <c r="B266" s="248"/>
      <c r="C266" s="331"/>
      <c r="D266" s="248"/>
      <c r="E266" s="248"/>
      <c r="F266" s="248"/>
      <c r="G266" s="248"/>
      <c r="H266" s="248"/>
      <c r="I266" s="248"/>
      <c r="J266" s="248"/>
      <c r="K266" s="248"/>
      <c r="L266" s="248"/>
      <c r="M266" s="248"/>
      <c r="N266" s="248"/>
      <c r="O266" s="248"/>
      <c r="P266" s="248"/>
      <c r="Q266" s="248"/>
      <c r="R266" s="248"/>
      <c r="S266" s="248"/>
      <c r="T266" s="248"/>
      <c r="U266" s="248"/>
      <c r="V266" s="248"/>
      <c r="W266" s="248"/>
      <c r="X266" s="248"/>
      <c r="Y266" s="248"/>
      <c r="Z266" s="248"/>
      <c r="AA266" s="248"/>
      <c r="AB266" s="248"/>
    </row>
    <row r="267" spans="1:28" ht="13.8">
      <c r="A267" s="248"/>
      <c r="B267" s="248"/>
      <c r="C267" s="331"/>
      <c r="D267" s="248"/>
      <c r="E267" s="248"/>
      <c r="F267" s="248"/>
      <c r="G267" s="248"/>
      <c r="H267" s="248"/>
      <c r="I267" s="248"/>
      <c r="J267" s="248"/>
      <c r="K267" s="248"/>
      <c r="L267" s="248"/>
      <c r="M267" s="248"/>
      <c r="N267" s="248"/>
      <c r="O267" s="248"/>
      <c r="P267" s="248"/>
      <c r="Q267" s="248"/>
      <c r="R267" s="248"/>
      <c r="S267" s="248"/>
      <c r="T267" s="248"/>
      <c r="U267" s="248"/>
      <c r="V267" s="248"/>
      <c r="W267" s="248"/>
      <c r="X267" s="248"/>
      <c r="Y267" s="248"/>
      <c r="Z267" s="248"/>
      <c r="AA267" s="248"/>
      <c r="AB267" s="248"/>
    </row>
    <row r="268" spans="1:28" ht="13.8">
      <c r="A268" s="248"/>
      <c r="B268" s="248"/>
      <c r="C268" s="331"/>
      <c r="D268" s="248"/>
      <c r="E268" s="248"/>
      <c r="F268" s="248"/>
      <c r="G268" s="248"/>
      <c r="H268" s="248"/>
      <c r="I268" s="248"/>
      <c r="J268" s="248"/>
      <c r="K268" s="248"/>
      <c r="L268" s="248"/>
      <c r="M268" s="248"/>
      <c r="N268" s="248"/>
      <c r="O268" s="248"/>
      <c r="P268" s="248"/>
      <c r="Q268" s="248"/>
      <c r="R268" s="248"/>
      <c r="S268" s="248"/>
      <c r="T268" s="248"/>
      <c r="U268" s="248"/>
      <c r="V268" s="248"/>
      <c r="W268" s="248"/>
      <c r="X268" s="248"/>
      <c r="Y268" s="248"/>
      <c r="Z268" s="248"/>
      <c r="AA268" s="248"/>
      <c r="AB268" s="248"/>
    </row>
    <row r="269" spans="1:28" ht="13.8">
      <c r="A269" s="248"/>
      <c r="B269" s="248"/>
      <c r="C269" s="331"/>
      <c r="D269" s="248"/>
      <c r="E269" s="248"/>
      <c r="F269" s="248"/>
      <c r="G269" s="248"/>
      <c r="H269" s="248"/>
      <c r="I269" s="248"/>
      <c r="J269" s="248"/>
      <c r="K269" s="248"/>
      <c r="L269" s="248"/>
      <c r="M269" s="248"/>
      <c r="N269" s="248"/>
      <c r="O269" s="248"/>
      <c r="P269" s="248"/>
      <c r="Q269" s="248"/>
      <c r="R269" s="248"/>
      <c r="S269" s="248"/>
      <c r="T269" s="248"/>
      <c r="U269" s="248"/>
      <c r="V269" s="248"/>
      <c r="W269" s="248"/>
      <c r="X269" s="248"/>
      <c r="Y269" s="248"/>
      <c r="Z269" s="248"/>
      <c r="AA269" s="248"/>
      <c r="AB269" s="248"/>
    </row>
    <row r="270" spans="1:28" ht="13.8">
      <c r="A270" s="248"/>
      <c r="B270" s="248"/>
      <c r="C270" s="331"/>
      <c r="D270" s="248"/>
      <c r="E270" s="248"/>
      <c r="F270" s="248"/>
      <c r="G270" s="248"/>
      <c r="H270" s="248"/>
      <c r="I270" s="248"/>
      <c r="J270" s="248"/>
      <c r="K270" s="248"/>
      <c r="L270" s="248"/>
      <c r="M270" s="248"/>
      <c r="N270" s="248"/>
      <c r="O270" s="248"/>
      <c r="P270" s="248"/>
      <c r="Q270" s="248"/>
      <c r="R270" s="248"/>
      <c r="S270" s="248"/>
      <c r="T270" s="248"/>
      <c r="U270" s="248"/>
      <c r="V270" s="248"/>
      <c r="W270" s="248"/>
      <c r="X270" s="248"/>
      <c r="Y270" s="248"/>
      <c r="Z270" s="248"/>
      <c r="AA270" s="248"/>
      <c r="AB270" s="248"/>
    </row>
    <row r="271" spans="1:28" ht="13.8">
      <c r="A271" s="248"/>
      <c r="B271" s="248"/>
      <c r="C271" s="331"/>
      <c r="D271" s="248"/>
      <c r="E271" s="248"/>
      <c r="F271" s="248"/>
      <c r="G271" s="248"/>
      <c r="H271" s="248"/>
      <c r="I271" s="248"/>
      <c r="J271" s="248"/>
      <c r="K271" s="248"/>
      <c r="L271" s="248"/>
      <c r="M271" s="248"/>
      <c r="N271" s="248"/>
      <c r="O271" s="248"/>
      <c r="P271" s="248"/>
      <c r="Q271" s="248"/>
      <c r="R271" s="248"/>
      <c r="S271" s="248"/>
      <c r="T271" s="248"/>
      <c r="U271" s="248"/>
      <c r="V271" s="248"/>
      <c r="W271" s="248"/>
      <c r="X271" s="248"/>
      <c r="Y271" s="248"/>
      <c r="Z271" s="248"/>
      <c r="AA271" s="248"/>
      <c r="AB271" s="248"/>
    </row>
    <row r="272" spans="1:28" ht="13.8">
      <c r="A272" s="248"/>
      <c r="B272" s="248"/>
      <c r="C272" s="331"/>
      <c r="D272" s="248"/>
      <c r="E272" s="248"/>
      <c r="F272" s="248"/>
      <c r="G272" s="248"/>
      <c r="H272" s="248"/>
      <c r="I272" s="248"/>
      <c r="J272" s="248"/>
      <c r="K272" s="248"/>
      <c r="L272" s="248"/>
      <c r="M272" s="248"/>
      <c r="N272" s="248"/>
      <c r="O272" s="248"/>
      <c r="P272" s="248"/>
      <c r="Q272" s="248"/>
      <c r="R272" s="248"/>
      <c r="S272" s="248"/>
      <c r="T272" s="248"/>
      <c r="U272" s="248"/>
      <c r="V272" s="248"/>
      <c r="W272" s="248"/>
      <c r="X272" s="248"/>
      <c r="Y272" s="248"/>
      <c r="Z272" s="248"/>
      <c r="AA272" s="248"/>
      <c r="AB272" s="248"/>
    </row>
    <row r="273" spans="1:28" ht="13.8">
      <c r="A273" s="248"/>
      <c r="B273" s="248"/>
      <c r="C273" s="331"/>
      <c r="D273" s="248"/>
      <c r="E273" s="248"/>
      <c r="F273" s="248"/>
      <c r="G273" s="248"/>
      <c r="H273" s="248"/>
      <c r="I273" s="248"/>
      <c r="J273" s="248"/>
      <c r="K273" s="248"/>
      <c r="L273" s="248"/>
      <c r="M273" s="248"/>
      <c r="N273" s="248"/>
      <c r="O273" s="248"/>
      <c r="P273" s="248"/>
      <c r="Q273" s="248"/>
      <c r="R273" s="248"/>
      <c r="S273" s="248"/>
      <c r="T273" s="248"/>
      <c r="U273" s="248"/>
      <c r="V273" s="248"/>
      <c r="W273" s="248"/>
      <c r="X273" s="248"/>
      <c r="Y273" s="248"/>
      <c r="Z273" s="248"/>
      <c r="AA273" s="248"/>
      <c r="AB273" s="248"/>
    </row>
    <row r="274" spans="1:28" ht="13.8">
      <c r="A274" s="248"/>
      <c r="B274" s="248"/>
      <c r="C274" s="331"/>
      <c r="D274" s="248"/>
      <c r="E274" s="248"/>
      <c r="F274" s="248"/>
      <c r="G274" s="248"/>
      <c r="H274" s="248"/>
      <c r="I274" s="248"/>
      <c r="J274" s="248"/>
      <c r="K274" s="248"/>
      <c r="L274" s="248"/>
      <c r="M274" s="248"/>
      <c r="N274" s="248"/>
      <c r="O274" s="248"/>
      <c r="P274" s="248"/>
      <c r="Q274" s="248"/>
      <c r="R274" s="248"/>
      <c r="S274" s="248"/>
      <c r="T274" s="248"/>
      <c r="U274" s="248"/>
      <c r="V274" s="248"/>
      <c r="W274" s="248"/>
      <c r="X274" s="248"/>
      <c r="Y274" s="248"/>
      <c r="Z274" s="248"/>
      <c r="AA274" s="248"/>
      <c r="AB274" s="248"/>
    </row>
    <row r="275" spans="1:28" ht="13.8">
      <c r="A275" s="248"/>
      <c r="B275" s="248"/>
      <c r="C275" s="331"/>
      <c r="D275" s="248"/>
      <c r="E275" s="248"/>
      <c r="F275" s="248"/>
      <c r="G275" s="248"/>
      <c r="H275" s="248"/>
      <c r="I275" s="248"/>
      <c r="J275" s="248"/>
      <c r="K275" s="248"/>
      <c r="L275" s="248"/>
      <c r="M275" s="248"/>
      <c r="N275" s="248"/>
      <c r="O275" s="248"/>
      <c r="P275" s="248"/>
      <c r="Q275" s="248"/>
      <c r="R275" s="248"/>
      <c r="S275" s="248"/>
      <c r="T275" s="248"/>
      <c r="U275" s="248"/>
      <c r="V275" s="248"/>
      <c r="W275" s="248"/>
      <c r="X275" s="248"/>
      <c r="Y275" s="248"/>
      <c r="Z275" s="248"/>
      <c r="AA275" s="248"/>
      <c r="AB275" s="248"/>
    </row>
    <row r="276" spans="1:28" ht="13.8">
      <c r="A276" s="248"/>
      <c r="B276" s="248"/>
      <c r="C276" s="331"/>
      <c r="D276" s="248"/>
      <c r="E276" s="248"/>
      <c r="F276" s="248"/>
      <c r="G276" s="248"/>
      <c r="H276" s="248"/>
      <c r="I276" s="248"/>
      <c r="J276" s="248"/>
      <c r="K276" s="248"/>
      <c r="L276" s="248"/>
      <c r="M276" s="248"/>
      <c r="N276" s="248"/>
      <c r="O276" s="248"/>
      <c r="P276" s="248"/>
      <c r="Q276" s="248"/>
      <c r="R276" s="248"/>
      <c r="S276" s="248"/>
      <c r="T276" s="248"/>
      <c r="U276" s="248"/>
      <c r="V276" s="248"/>
      <c r="W276" s="248"/>
      <c r="X276" s="248"/>
      <c r="Y276" s="248"/>
      <c r="Z276" s="248"/>
      <c r="AA276" s="248"/>
      <c r="AB276" s="248"/>
    </row>
    <row r="277" spans="1:28" ht="13.8">
      <c r="A277" s="248"/>
      <c r="B277" s="248"/>
      <c r="C277" s="331"/>
      <c r="D277" s="248"/>
      <c r="E277" s="248"/>
      <c r="F277" s="248"/>
      <c r="G277" s="248"/>
      <c r="H277" s="248"/>
      <c r="I277" s="248"/>
      <c r="J277" s="248"/>
      <c r="K277" s="248"/>
      <c r="L277" s="248"/>
      <c r="M277" s="248"/>
      <c r="N277" s="248"/>
      <c r="O277" s="248"/>
      <c r="P277" s="248"/>
      <c r="Q277" s="248"/>
      <c r="R277" s="248"/>
      <c r="S277" s="248"/>
      <c r="T277" s="248"/>
      <c r="U277" s="248"/>
      <c r="V277" s="248"/>
      <c r="W277" s="248"/>
      <c r="X277" s="248"/>
      <c r="Y277" s="248"/>
      <c r="Z277" s="248"/>
      <c r="AA277" s="248"/>
      <c r="AB277" s="248"/>
    </row>
    <row r="278" spans="1:28" ht="13.8">
      <c r="A278" s="248"/>
      <c r="B278" s="248"/>
      <c r="C278" s="331"/>
      <c r="D278" s="248"/>
      <c r="E278" s="248"/>
      <c r="F278" s="248"/>
      <c r="G278" s="248"/>
      <c r="H278" s="248"/>
      <c r="I278" s="248"/>
      <c r="J278" s="248"/>
      <c r="K278" s="248"/>
      <c r="L278" s="248"/>
      <c r="M278" s="248"/>
      <c r="N278" s="248"/>
      <c r="O278" s="248"/>
      <c r="P278" s="248"/>
      <c r="Q278" s="248"/>
      <c r="R278" s="248"/>
      <c r="S278" s="248"/>
      <c r="T278" s="248"/>
      <c r="U278" s="248"/>
      <c r="V278" s="248"/>
      <c r="W278" s="248"/>
      <c r="X278" s="248"/>
      <c r="Y278" s="248"/>
      <c r="Z278" s="248"/>
      <c r="AA278" s="248"/>
      <c r="AB278" s="248"/>
    </row>
    <row r="279" spans="1:28" ht="13.8">
      <c r="A279" s="248"/>
      <c r="B279" s="248"/>
      <c r="C279" s="331"/>
      <c r="D279" s="248"/>
      <c r="E279" s="248"/>
      <c r="F279" s="248"/>
      <c r="G279" s="248"/>
      <c r="H279" s="248"/>
      <c r="I279" s="248"/>
      <c r="J279" s="248"/>
      <c r="K279" s="248"/>
      <c r="L279" s="248"/>
      <c r="M279" s="248"/>
      <c r="N279" s="248"/>
      <c r="O279" s="248"/>
      <c r="P279" s="248"/>
      <c r="Q279" s="248"/>
      <c r="R279" s="248"/>
      <c r="S279" s="248"/>
      <c r="T279" s="248"/>
      <c r="U279" s="248"/>
      <c r="V279" s="248"/>
      <c r="W279" s="248"/>
      <c r="X279" s="248"/>
      <c r="Y279" s="248"/>
      <c r="Z279" s="248"/>
      <c r="AA279" s="248"/>
      <c r="AB279" s="248"/>
    </row>
    <row r="280" spans="1:28" ht="13.8">
      <c r="A280" s="248"/>
      <c r="B280" s="248"/>
      <c r="C280" s="331"/>
      <c r="D280" s="248"/>
      <c r="E280" s="248"/>
      <c r="F280" s="248"/>
      <c r="G280" s="248"/>
      <c r="H280" s="248"/>
      <c r="I280" s="248"/>
      <c r="J280" s="248"/>
      <c r="K280" s="248"/>
      <c r="L280" s="248"/>
      <c r="M280" s="248"/>
      <c r="N280" s="248"/>
      <c r="O280" s="248"/>
      <c r="P280" s="248"/>
      <c r="Q280" s="248"/>
      <c r="R280" s="248"/>
      <c r="S280" s="248"/>
      <c r="T280" s="248"/>
      <c r="U280" s="248"/>
      <c r="V280" s="248"/>
      <c r="W280" s="248"/>
      <c r="X280" s="248"/>
      <c r="Y280" s="248"/>
      <c r="Z280" s="248"/>
      <c r="AA280" s="248"/>
      <c r="AB280" s="248"/>
    </row>
    <row r="281" spans="1:28" ht="13.8">
      <c r="A281" s="248"/>
      <c r="B281" s="248"/>
      <c r="C281" s="331"/>
      <c r="D281" s="248"/>
      <c r="E281" s="248"/>
      <c r="F281" s="248"/>
      <c r="G281" s="248"/>
      <c r="H281" s="248"/>
      <c r="I281" s="248"/>
      <c r="J281" s="248"/>
      <c r="K281" s="248"/>
      <c r="L281" s="248"/>
      <c r="M281" s="248"/>
      <c r="N281" s="248"/>
      <c r="O281" s="248"/>
      <c r="P281" s="248"/>
      <c r="Q281" s="248"/>
      <c r="R281" s="248"/>
      <c r="S281" s="248"/>
      <c r="T281" s="248"/>
      <c r="U281" s="248"/>
      <c r="V281" s="248"/>
      <c r="W281" s="248"/>
      <c r="X281" s="248"/>
      <c r="Y281" s="248"/>
      <c r="Z281" s="248"/>
      <c r="AA281" s="248"/>
      <c r="AB281" s="248"/>
    </row>
    <row r="282" spans="1:28" ht="13.8">
      <c r="A282" s="248"/>
      <c r="B282" s="248"/>
      <c r="C282" s="331"/>
      <c r="D282" s="248"/>
      <c r="E282" s="248"/>
      <c r="F282" s="248"/>
      <c r="G282" s="248"/>
      <c r="H282" s="248"/>
      <c r="I282" s="248"/>
      <c r="J282" s="248"/>
      <c r="K282" s="248"/>
      <c r="L282" s="248"/>
      <c r="M282" s="248"/>
      <c r="N282" s="248"/>
      <c r="O282" s="248"/>
      <c r="P282" s="248"/>
      <c r="Q282" s="248"/>
      <c r="R282" s="248"/>
      <c r="S282" s="248"/>
      <c r="T282" s="248"/>
      <c r="U282" s="248"/>
      <c r="V282" s="248"/>
      <c r="W282" s="248"/>
      <c r="X282" s="248"/>
      <c r="Y282" s="248"/>
      <c r="Z282" s="248"/>
      <c r="AA282" s="248"/>
      <c r="AB282" s="248"/>
    </row>
    <row r="283" spans="1:28" ht="13.8">
      <c r="A283" s="248"/>
      <c r="B283" s="248"/>
      <c r="C283" s="331"/>
      <c r="D283" s="248"/>
      <c r="E283" s="248"/>
      <c r="F283" s="248"/>
      <c r="G283" s="248"/>
      <c r="H283" s="248"/>
      <c r="I283" s="248"/>
      <c r="J283" s="248"/>
      <c r="K283" s="248"/>
      <c r="L283" s="248"/>
      <c r="M283" s="248"/>
      <c r="N283" s="248"/>
      <c r="O283" s="248"/>
      <c r="P283" s="248"/>
      <c r="Q283" s="248"/>
      <c r="R283" s="248"/>
      <c r="S283" s="248"/>
      <c r="T283" s="248"/>
      <c r="U283" s="248"/>
      <c r="V283" s="248"/>
      <c r="W283" s="248"/>
      <c r="X283" s="248"/>
      <c r="Y283" s="248"/>
      <c r="Z283" s="248"/>
      <c r="AA283" s="248"/>
      <c r="AB283" s="248"/>
    </row>
    <row r="284" spans="1:28" ht="13.8">
      <c r="A284" s="248"/>
      <c r="B284" s="248"/>
      <c r="C284" s="331"/>
      <c r="D284" s="248"/>
      <c r="E284" s="248"/>
      <c r="F284" s="248"/>
      <c r="G284" s="248"/>
      <c r="H284" s="248"/>
      <c r="I284" s="248"/>
      <c r="J284" s="248"/>
      <c r="K284" s="248"/>
      <c r="L284" s="248"/>
      <c r="M284" s="248"/>
      <c r="N284" s="248"/>
      <c r="O284" s="248"/>
      <c r="P284" s="248"/>
      <c r="Q284" s="248"/>
      <c r="R284" s="248"/>
      <c r="S284" s="248"/>
      <c r="T284" s="248"/>
      <c r="U284" s="248"/>
      <c r="V284" s="248"/>
      <c r="W284" s="248"/>
      <c r="X284" s="248"/>
      <c r="Y284" s="248"/>
      <c r="Z284" s="248"/>
      <c r="AA284" s="248"/>
      <c r="AB284" s="248"/>
    </row>
    <row r="285" spans="1:28" ht="13.8">
      <c r="A285" s="248"/>
      <c r="B285" s="248"/>
      <c r="C285" s="331"/>
      <c r="D285" s="248"/>
      <c r="E285" s="248"/>
      <c r="F285" s="248"/>
      <c r="G285" s="248"/>
      <c r="H285" s="248"/>
      <c r="I285" s="248"/>
      <c r="J285" s="248"/>
      <c r="K285" s="248"/>
      <c r="L285" s="248"/>
      <c r="M285" s="248"/>
      <c r="N285" s="248"/>
      <c r="O285" s="248"/>
      <c r="P285" s="248"/>
      <c r="Q285" s="248"/>
      <c r="R285" s="248"/>
      <c r="S285" s="248"/>
      <c r="T285" s="248"/>
      <c r="U285" s="248"/>
      <c r="V285" s="248"/>
      <c r="W285" s="248"/>
      <c r="X285" s="248"/>
      <c r="Y285" s="248"/>
      <c r="Z285" s="248"/>
      <c r="AA285" s="248"/>
      <c r="AB285" s="248"/>
    </row>
    <row r="286" spans="1:28" ht="13.8">
      <c r="A286" s="248"/>
      <c r="B286" s="248"/>
      <c r="C286" s="331"/>
      <c r="D286" s="248"/>
      <c r="E286" s="248"/>
      <c r="F286" s="248"/>
      <c r="G286" s="248"/>
      <c r="H286" s="248"/>
      <c r="I286" s="248"/>
      <c r="J286" s="248"/>
      <c r="K286" s="248"/>
      <c r="L286" s="248"/>
      <c r="M286" s="248"/>
      <c r="N286" s="248"/>
      <c r="O286" s="248"/>
      <c r="P286" s="248"/>
      <c r="Q286" s="248"/>
      <c r="R286" s="248"/>
      <c r="S286" s="248"/>
      <c r="T286" s="248"/>
      <c r="U286" s="248"/>
      <c r="V286" s="248"/>
      <c r="W286" s="248"/>
      <c r="X286" s="248"/>
      <c r="Y286" s="248"/>
      <c r="Z286" s="248"/>
      <c r="AA286" s="248"/>
      <c r="AB286" s="248"/>
    </row>
    <row r="287" spans="1:28" ht="13.8">
      <c r="A287" s="248"/>
      <c r="B287" s="248"/>
      <c r="C287" s="331"/>
      <c r="D287" s="248"/>
      <c r="E287" s="248"/>
      <c r="F287" s="248"/>
      <c r="G287" s="248"/>
      <c r="H287" s="248"/>
      <c r="I287" s="248"/>
      <c r="J287" s="248"/>
      <c r="K287" s="248"/>
      <c r="L287" s="248"/>
      <c r="M287" s="248"/>
      <c r="N287" s="248"/>
      <c r="O287" s="248"/>
      <c r="P287" s="248"/>
      <c r="Q287" s="248"/>
      <c r="R287" s="248"/>
      <c r="S287" s="248"/>
      <c r="T287" s="248"/>
      <c r="U287" s="248"/>
      <c r="V287" s="248"/>
      <c r="W287" s="248"/>
      <c r="X287" s="248"/>
      <c r="Y287" s="248"/>
      <c r="Z287" s="248"/>
      <c r="AA287" s="248"/>
      <c r="AB287" s="248"/>
    </row>
    <row r="288" spans="1:28" ht="13.8">
      <c r="A288" s="248"/>
      <c r="B288" s="248"/>
      <c r="C288" s="331"/>
      <c r="D288" s="248"/>
      <c r="E288" s="248"/>
      <c r="F288" s="248"/>
      <c r="G288" s="248"/>
      <c r="H288" s="248"/>
      <c r="I288" s="248"/>
      <c r="J288" s="248"/>
      <c r="K288" s="248"/>
      <c r="L288" s="248"/>
      <c r="M288" s="248"/>
      <c r="N288" s="248"/>
      <c r="O288" s="248"/>
      <c r="P288" s="248"/>
      <c r="Q288" s="248"/>
      <c r="R288" s="248"/>
      <c r="S288" s="248"/>
      <c r="T288" s="248"/>
      <c r="U288" s="248"/>
      <c r="V288" s="248"/>
      <c r="W288" s="248"/>
      <c r="X288" s="248"/>
      <c r="Y288" s="248"/>
      <c r="Z288" s="248"/>
      <c r="AA288" s="248"/>
      <c r="AB288" s="248"/>
    </row>
    <row r="289" spans="1:28" ht="13.8">
      <c r="A289" s="248"/>
      <c r="B289" s="248"/>
      <c r="C289" s="331"/>
      <c r="D289" s="248"/>
      <c r="E289" s="248"/>
      <c r="F289" s="248"/>
      <c r="G289" s="248"/>
      <c r="H289" s="248"/>
      <c r="I289" s="248"/>
      <c r="J289" s="248"/>
      <c r="K289" s="248"/>
      <c r="L289" s="248"/>
      <c r="M289" s="248"/>
      <c r="N289" s="248"/>
      <c r="O289" s="248"/>
      <c r="P289" s="248"/>
      <c r="Q289" s="248"/>
      <c r="R289" s="248"/>
      <c r="S289" s="248"/>
      <c r="T289" s="248"/>
      <c r="U289" s="248"/>
      <c r="V289" s="248"/>
      <c r="W289" s="248"/>
      <c r="X289" s="248"/>
      <c r="Y289" s="248"/>
      <c r="Z289" s="248"/>
      <c r="AA289" s="248"/>
      <c r="AB289" s="248"/>
    </row>
    <row r="290" spans="1:28" ht="13.8">
      <c r="A290" s="248"/>
      <c r="B290" s="248"/>
      <c r="C290" s="331"/>
      <c r="D290" s="248"/>
      <c r="E290" s="248"/>
      <c r="F290" s="248"/>
      <c r="G290" s="248"/>
      <c r="H290" s="248"/>
      <c r="I290" s="248"/>
      <c r="J290" s="248"/>
      <c r="K290" s="248"/>
      <c r="L290" s="248"/>
      <c r="M290" s="248"/>
      <c r="N290" s="248"/>
      <c r="O290" s="248"/>
      <c r="P290" s="248"/>
      <c r="Q290" s="248"/>
      <c r="R290" s="248"/>
      <c r="S290" s="248"/>
      <c r="T290" s="248"/>
      <c r="U290" s="248"/>
      <c r="V290" s="248"/>
      <c r="W290" s="248"/>
      <c r="X290" s="248"/>
      <c r="Y290" s="248"/>
      <c r="Z290" s="248"/>
      <c r="AA290" s="248"/>
      <c r="AB290" s="248"/>
    </row>
    <row r="291" spans="1:28" ht="13.8">
      <c r="A291" s="248"/>
      <c r="B291" s="248"/>
      <c r="C291" s="331"/>
      <c r="D291" s="248"/>
      <c r="E291" s="248"/>
      <c r="F291" s="248"/>
      <c r="G291" s="248"/>
      <c r="H291" s="248"/>
      <c r="I291" s="248"/>
      <c r="J291" s="248"/>
      <c r="K291" s="248"/>
      <c r="L291" s="248"/>
      <c r="M291" s="248"/>
      <c r="N291" s="248"/>
      <c r="O291" s="248"/>
      <c r="P291" s="248"/>
      <c r="Q291" s="248"/>
      <c r="R291" s="248"/>
      <c r="S291" s="248"/>
      <c r="T291" s="248"/>
      <c r="U291" s="248"/>
      <c r="V291" s="248"/>
      <c r="W291" s="248"/>
      <c r="X291" s="248"/>
      <c r="Y291" s="248"/>
      <c r="Z291" s="248"/>
      <c r="AA291" s="248"/>
      <c r="AB291" s="248"/>
    </row>
    <row r="292" spans="1:28" ht="13.8">
      <c r="A292" s="248"/>
      <c r="B292" s="248"/>
      <c r="C292" s="331"/>
      <c r="D292" s="248"/>
      <c r="E292" s="248"/>
      <c r="F292" s="248"/>
      <c r="G292" s="248"/>
      <c r="H292" s="248"/>
      <c r="I292" s="248"/>
      <c r="J292" s="248"/>
      <c r="K292" s="248"/>
      <c r="L292" s="248"/>
      <c r="M292" s="248"/>
      <c r="N292" s="248"/>
      <c r="O292" s="248"/>
      <c r="P292" s="248"/>
      <c r="Q292" s="248"/>
      <c r="R292" s="248"/>
      <c r="S292" s="248"/>
      <c r="T292" s="248"/>
      <c r="U292" s="248"/>
      <c r="V292" s="248"/>
      <c r="W292" s="248"/>
      <c r="X292" s="248"/>
      <c r="Y292" s="248"/>
      <c r="Z292" s="248"/>
      <c r="AA292" s="248"/>
      <c r="AB292" s="248"/>
    </row>
    <row r="293" spans="1:28" ht="13.8">
      <c r="A293" s="248"/>
      <c r="B293" s="248"/>
      <c r="C293" s="331"/>
      <c r="D293" s="248"/>
      <c r="E293" s="248"/>
      <c r="F293" s="248"/>
      <c r="G293" s="248"/>
      <c r="H293" s="248"/>
      <c r="I293" s="248"/>
      <c r="J293" s="248"/>
      <c r="K293" s="248"/>
      <c r="L293" s="248"/>
      <c r="M293" s="248"/>
      <c r="N293" s="248"/>
      <c r="O293" s="248"/>
      <c r="P293" s="248"/>
      <c r="Q293" s="248"/>
      <c r="R293" s="248"/>
      <c r="S293" s="248"/>
      <c r="T293" s="248"/>
      <c r="U293" s="248"/>
      <c r="V293" s="248"/>
      <c r="W293" s="248"/>
      <c r="X293" s="248"/>
      <c r="Y293" s="248"/>
      <c r="Z293" s="248"/>
      <c r="AA293" s="248"/>
      <c r="AB293" s="248"/>
    </row>
    <row r="294" spans="1:28" ht="13.8">
      <c r="A294" s="248"/>
      <c r="B294" s="248"/>
      <c r="C294" s="331"/>
      <c r="D294" s="248"/>
      <c r="E294" s="248"/>
      <c r="F294" s="248"/>
      <c r="G294" s="248"/>
      <c r="H294" s="248"/>
      <c r="I294" s="248"/>
      <c r="J294" s="248"/>
      <c r="K294" s="248"/>
      <c r="L294" s="248"/>
      <c r="M294" s="248"/>
      <c r="N294" s="248"/>
      <c r="O294" s="248"/>
      <c r="P294" s="248"/>
      <c r="Q294" s="248"/>
      <c r="R294" s="248"/>
      <c r="S294" s="248"/>
      <c r="T294" s="248"/>
      <c r="U294" s="248"/>
      <c r="V294" s="248"/>
      <c r="W294" s="248"/>
      <c r="X294" s="248"/>
      <c r="Y294" s="248"/>
      <c r="Z294" s="248"/>
      <c r="AA294" s="248"/>
      <c r="AB294" s="248"/>
    </row>
    <row r="295" spans="1:28" ht="13.8">
      <c r="A295" s="248"/>
      <c r="B295" s="248"/>
      <c r="C295" s="331"/>
      <c r="D295" s="248"/>
      <c r="E295" s="248"/>
      <c r="F295" s="248"/>
      <c r="G295" s="248"/>
      <c r="H295" s="248"/>
      <c r="I295" s="248"/>
      <c r="J295" s="248"/>
      <c r="K295" s="248"/>
      <c r="L295" s="248"/>
      <c r="M295" s="248"/>
      <c r="N295" s="248"/>
      <c r="O295" s="248"/>
      <c r="P295" s="248"/>
      <c r="Q295" s="248"/>
      <c r="R295" s="248"/>
      <c r="S295" s="248"/>
      <c r="T295" s="248"/>
      <c r="U295" s="248"/>
      <c r="V295" s="248"/>
      <c r="W295" s="248"/>
      <c r="X295" s="248"/>
      <c r="Y295" s="248"/>
      <c r="Z295" s="248"/>
      <c r="AA295" s="248"/>
      <c r="AB295" s="248"/>
    </row>
    <row r="296" spans="1:28" ht="13.8">
      <c r="A296" s="248"/>
      <c r="B296" s="248"/>
      <c r="C296" s="331"/>
      <c r="D296" s="248"/>
      <c r="E296" s="248"/>
      <c r="F296" s="248"/>
      <c r="G296" s="248"/>
      <c r="H296" s="248"/>
      <c r="I296" s="248"/>
      <c r="J296" s="248"/>
      <c r="K296" s="248"/>
      <c r="L296" s="248"/>
      <c r="M296" s="248"/>
      <c r="N296" s="248"/>
      <c r="O296" s="248"/>
      <c r="P296" s="248"/>
      <c r="Q296" s="248"/>
      <c r="R296" s="248"/>
      <c r="S296" s="248"/>
      <c r="T296" s="248"/>
      <c r="U296" s="248"/>
      <c r="V296" s="248"/>
      <c r="W296" s="248"/>
      <c r="X296" s="248"/>
      <c r="Y296" s="248"/>
      <c r="Z296" s="248"/>
      <c r="AA296" s="248"/>
      <c r="AB296" s="248"/>
    </row>
    <row r="297" spans="1:28" ht="13.8">
      <c r="A297" s="248"/>
      <c r="B297" s="248"/>
      <c r="C297" s="331"/>
      <c r="D297" s="248"/>
      <c r="E297" s="248"/>
      <c r="F297" s="248"/>
      <c r="G297" s="248"/>
      <c r="H297" s="248"/>
      <c r="I297" s="248"/>
      <c r="J297" s="248"/>
      <c r="K297" s="248"/>
      <c r="L297" s="248"/>
      <c r="M297" s="248"/>
      <c r="N297" s="248"/>
      <c r="O297" s="248"/>
      <c r="P297" s="248"/>
      <c r="Q297" s="248"/>
      <c r="R297" s="248"/>
      <c r="S297" s="248"/>
      <c r="T297" s="248"/>
      <c r="U297" s="248"/>
      <c r="V297" s="248"/>
      <c r="W297" s="248"/>
      <c r="X297" s="248"/>
      <c r="Y297" s="248"/>
      <c r="Z297" s="248"/>
      <c r="AA297" s="248"/>
      <c r="AB297" s="248"/>
    </row>
    <row r="298" spans="1:28" ht="13.8">
      <c r="A298" s="248"/>
      <c r="B298" s="248"/>
      <c r="C298" s="331"/>
      <c r="D298" s="248"/>
      <c r="E298" s="248"/>
      <c r="F298" s="248"/>
      <c r="G298" s="248"/>
      <c r="H298" s="248"/>
      <c r="I298" s="248"/>
      <c r="J298" s="248"/>
      <c r="K298" s="248"/>
      <c r="L298" s="248"/>
      <c r="M298" s="248"/>
      <c r="N298" s="248"/>
      <c r="O298" s="248"/>
      <c r="P298" s="248"/>
      <c r="Q298" s="248"/>
      <c r="R298" s="248"/>
      <c r="S298" s="248"/>
      <c r="T298" s="248"/>
      <c r="U298" s="248"/>
      <c r="V298" s="248"/>
      <c r="W298" s="248"/>
      <c r="X298" s="248"/>
      <c r="Y298" s="248"/>
      <c r="Z298" s="248"/>
      <c r="AA298" s="248"/>
      <c r="AB298" s="248"/>
    </row>
    <row r="299" spans="1:28" ht="13.8">
      <c r="A299" s="248"/>
      <c r="B299" s="248"/>
      <c r="C299" s="331"/>
      <c r="D299" s="248"/>
      <c r="E299" s="248"/>
      <c r="F299" s="248"/>
      <c r="G299" s="248"/>
      <c r="H299" s="248"/>
      <c r="I299" s="248"/>
      <c r="J299" s="248"/>
      <c r="K299" s="248"/>
      <c r="L299" s="248"/>
      <c r="M299" s="248"/>
      <c r="N299" s="248"/>
      <c r="O299" s="248"/>
      <c r="P299" s="248"/>
      <c r="Q299" s="248"/>
      <c r="R299" s="248"/>
      <c r="S299" s="248"/>
      <c r="T299" s="248"/>
      <c r="U299" s="248"/>
      <c r="V299" s="248"/>
      <c r="W299" s="248"/>
      <c r="X299" s="248"/>
      <c r="Y299" s="248"/>
      <c r="Z299" s="248"/>
      <c r="AA299" s="248"/>
      <c r="AB299" s="248"/>
    </row>
    <row r="300" spans="1:28" ht="13.8">
      <c r="A300" s="248"/>
      <c r="B300" s="248"/>
      <c r="C300" s="331"/>
      <c r="D300" s="248"/>
      <c r="E300" s="248"/>
      <c r="F300" s="248"/>
      <c r="G300" s="248"/>
      <c r="H300" s="248"/>
      <c r="I300" s="248"/>
      <c r="J300" s="248"/>
      <c r="K300" s="248"/>
      <c r="L300" s="248"/>
      <c r="M300" s="248"/>
      <c r="N300" s="248"/>
      <c r="O300" s="248"/>
      <c r="P300" s="248"/>
      <c r="Q300" s="248"/>
      <c r="R300" s="248"/>
      <c r="S300" s="248"/>
      <c r="T300" s="248"/>
      <c r="U300" s="248"/>
      <c r="V300" s="248"/>
      <c r="W300" s="248"/>
      <c r="X300" s="248"/>
      <c r="Y300" s="248"/>
      <c r="Z300" s="248"/>
      <c r="AA300" s="248"/>
      <c r="AB300" s="248"/>
    </row>
    <row r="301" spans="1:28" ht="13.8">
      <c r="A301" s="248"/>
      <c r="B301" s="248"/>
      <c r="C301" s="331"/>
      <c r="D301" s="248"/>
      <c r="E301" s="248"/>
      <c r="F301" s="248"/>
      <c r="G301" s="248"/>
      <c r="H301" s="248"/>
      <c r="I301" s="248"/>
      <c r="J301" s="248"/>
      <c r="K301" s="248"/>
      <c r="L301" s="248"/>
      <c r="M301" s="248"/>
      <c r="N301" s="248"/>
      <c r="O301" s="248"/>
      <c r="P301" s="248"/>
      <c r="Q301" s="248"/>
      <c r="R301" s="248"/>
      <c r="S301" s="248"/>
      <c r="T301" s="248"/>
      <c r="U301" s="248"/>
      <c r="V301" s="248"/>
      <c r="W301" s="248"/>
      <c r="X301" s="248"/>
      <c r="Y301" s="248"/>
      <c r="Z301" s="248"/>
      <c r="AA301" s="248"/>
      <c r="AB301" s="248"/>
    </row>
    <row r="302" spans="1:28" ht="13.8">
      <c r="A302" s="248"/>
      <c r="B302" s="248"/>
      <c r="C302" s="331"/>
      <c r="D302" s="248"/>
      <c r="E302" s="248"/>
      <c r="F302" s="248"/>
      <c r="G302" s="248"/>
      <c r="H302" s="248"/>
      <c r="I302" s="248"/>
      <c r="J302" s="248"/>
      <c r="K302" s="248"/>
      <c r="L302" s="248"/>
      <c r="M302" s="248"/>
      <c r="N302" s="248"/>
      <c r="O302" s="248"/>
      <c r="P302" s="248"/>
      <c r="Q302" s="248"/>
      <c r="R302" s="248"/>
      <c r="S302" s="248"/>
      <c r="T302" s="248"/>
      <c r="U302" s="248"/>
      <c r="V302" s="248"/>
      <c r="W302" s="248"/>
      <c r="X302" s="248"/>
      <c r="Y302" s="248"/>
      <c r="Z302" s="248"/>
      <c r="AA302" s="248"/>
      <c r="AB302" s="248"/>
    </row>
    <row r="303" spans="1:28" ht="13.8">
      <c r="A303" s="248"/>
      <c r="B303" s="248"/>
      <c r="C303" s="331"/>
      <c r="D303" s="248"/>
      <c r="E303" s="248"/>
      <c r="F303" s="248"/>
      <c r="G303" s="248"/>
      <c r="H303" s="248"/>
      <c r="I303" s="248"/>
      <c r="J303" s="248"/>
      <c r="K303" s="248"/>
      <c r="L303" s="248"/>
      <c r="M303" s="248"/>
      <c r="N303" s="248"/>
      <c r="O303" s="248"/>
      <c r="P303" s="248"/>
      <c r="Q303" s="248"/>
      <c r="R303" s="248"/>
      <c r="S303" s="248"/>
      <c r="T303" s="248"/>
      <c r="U303" s="248"/>
      <c r="V303" s="248"/>
      <c r="W303" s="248"/>
      <c r="X303" s="248"/>
      <c r="Y303" s="248"/>
      <c r="Z303" s="248"/>
      <c r="AA303" s="248"/>
      <c r="AB303" s="248"/>
    </row>
    <row r="304" spans="1:28" ht="13.8">
      <c r="A304" s="248"/>
      <c r="B304" s="248"/>
      <c r="C304" s="331"/>
      <c r="D304" s="248"/>
      <c r="E304" s="248"/>
      <c r="F304" s="248"/>
      <c r="G304" s="248"/>
      <c r="H304" s="248"/>
      <c r="I304" s="248"/>
      <c r="J304" s="248"/>
      <c r="K304" s="248"/>
      <c r="L304" s="248"/>
      <c r="M304" s="248"/>
      <c r="N304" s="248"/>
      <c r="O304" s="248"/>
      <c r="P304" s="248"/>
      <c r="Q304" s="248"/>
      <c r="R304" s="248"/>
      <c r="S304" s="248"/>
      <c r="T304" s="248"/>
      <c r="U304" s="248"/>
      <c r="V304" s="248"/>
      <c r="W304" s="248"/>
      <c r="X304" s="248"/>
      <c r="Y304" s="248"/>
      <c r="Z304" s="248"/>
      <c r="AA304" s="248"/>
      <c r="AB304" s="248"/>
    </row>
    <row r="305" spans="1:28" ht="13.8">
      <c r="A305" s="248"/>
      <c r="B305" s="248"/>
      <c r="C305" s="331"/>
      <c r="D305" s="248"/>
      <c r="E305" s="248"/>
      <c r="F305" s="248"/>
      <c r="G305" s="248"/>
      <c r="H305" s="248"/>
      <c r="I305" s="248"/>
      <c r="J305" s="248"/>
      <c r="K305" s="248"/>
      <c r="L305" s="248"/>
      <c r="M305" s="248"/>
      <c r="N305" s="248"/>
      <c r="O305" s="248"/>
      <c r="P305" s="248"/>
      <c r="Q305" s="248"/>
      <c r="R305" s="248"/>
      <c r="S305" s="248"/>
      <c r="T305" s="248"/>
      <c r="U305" s="248"/>
      <c r="V305" s="248"/>
      <c r="W305" s="248"/>
      <c r="X305" s="248"/>
      <c r="Y305" s="248"/>
      <c r="Z305" s="248"/>
      <c r="AA305" s="248"/>
      <c r="AB305" s="248"/>
    </row>
    <row r="306" spans="1:28" ht="13.8">
      <c r="A306" s="248"/>
      <c r="B306" s="248"/>
      <c r="C306" s="331"/>
      <c r="D306" s="248"/>
      <c r="E306" s="248"/>
      <c r="F306" s="248"/>
      <c r="G306" s="248"/>
      <c r="H306" s="248"/>
      <c r="I306" s="248"/>
      <c r="J306" s="248"/>
      <c r="K306" s="248"/>
      <c r="L306" s="248"/>
      <c r="M306" s="248"/>
      <c r="N306" s="248"/>
      <c r="O306" s="248"/>
      <c r="P306" s="248"/>
      <c r="Q306" s="248"/>
      <c r="R306" s="248"/>
      <c r="S306" s="248"/>
      <c r="T306" s="248"/>
      <c r="U306" s="248"/>
      <c r="V306" s="248"/>
      <c r="W306" s="248"/>
      <c r="X306" s="248"/>
      <c r="Y306" s="248"/>
      <c r="Z306" s="248"/>
      <c r="AA306" s="248"/>
      <c r="AB306" s="248"/>
    </row>
    <row r="307" spans="1:28" ht="13.8">
      <c r="A307" s="248"/>
      <c r="B307" s="248"/>
      <c r="C307" s="331"/>
      <c r="D307" s="248"/>
      <c r="E307" s="248"/>
      <c r="F307" s="248"/>
      <c r="G307" s="248"/>
      <c r="H307" s="248"/>
      <c r="I307" s="248"/>
      <c r="J307" s="248"/>
      <c r="K307" s="248"/>
      <c r="L307" s="248"/>
      <c r="M307" s="248"/>
      <c r="N307" s="248"/>
      <c r="O307" s="248"/>
      <c r="P307" s="248"/>
      <c r="Q307" s="248"/>
      <c r="R307" s="248"/>
      <c r="S307" s="248"/>
      <c r="T307" s="248"/>
      <c r="U307" s="248"/>
      <c r="V307" s="248"/>
      <c r="W307" s="248"/>
      <c r="X307" s="248"/>
      <c r="Y307" s="248"/>
      <c r="Z307" s="248"/>
      <c r="AA307" s="248"/>
      <c r="AB307" s="248"/>
    </row>
    <row r="308" spans="1:28" ht="13.8">
      <c r="A308" s="248"/>
      <c r="B308" s="248"/>
      <c r="C308" s="331"/>
      <c r="D308" s="248"/>
      <c r="E308" s="248"/>
      <c r="F308" s="248"/>
      <c r="G308" s="248"/>
      <c r="H308" s="248"/>
      <c r="I308" s="248"/>
      <c r="J308" s="248"/>
      <c r="K308" s="248"/>
      <c r="L308" s="248"/>
      <c r="M308" s="248"/>
      <c r="N308" s="248"/>
      <c r="O308" s="248"/>
      <c r="P308" s="248"/>
      <c r="Q308" s="248"/>
      <c r="R308" s="248"/>
      <c r="S308" s="248"/>
      <c r="T308" s="248"/>
      <c r="U308" s="248"/>
      <c r="V308" s="248"/>
      <c r="W308" s="248"/>
      <c r="X308" s="248"/>
      <c r="Y308" s="248"/>
      <c r="Z308" s="248"/>
      <c r="AA308" s="248"/>
      <c r="AB308" s="248"/>
    </row>
    <row r="309" spans="1:28" ht="13.8">
      <c r="A309" s="248"/>
      <c r="B309" s="248"/>
      <c r="C309" s="331"/>
      <c r="D309" s="248"/>
      <c r="E309" s="248"/>
      <c r="F309" s="248"/>
      <c r="G309" s="248"/>
      <c r="H309" s="248"/>
      <c r="I309" s="248"/>
      <c r="J309" s="248"/>
      <c r="K309" s="248"/>
      <c r="L309" s="248"/>
      <c r="M309" s="248"/>
      <c r="N309" s="248"/>
      <c r="O309" s="248"/>
      <c r="P309" s="248"/>
      <c r="Q309" s="248"/>
      <c r="R309" s="248"/>
      <c r="S309" s="248"/>
      <c r="T309" s="248"/>
      <c r="U309" s="248"/>
      <c r="V309" s="248"/>
      <c r="W309" s="248"/>
      <c r="X309" s="248"/>
      <c r="Y309" s="248"/>
      <c r="Z309" s="248"/>
      <c r="AA309" s="248"/>
      <c r="AB309" s="248"/>
    </row>
    <row r="310" spans="1:28" ht="13.8">
      <c r="A310" s="248"/>
      <c r="B310" s="248"/>
      <c r="C310" s="331"/>
      <c r="D310" s="248"/>
      <c r="E310" s="248"/>
      <c r="F310" s="248"/>
      <c r="G310" s="248"/>
      <c r="H310" s="248"/>
      <c r="I310" s="248"/>
      <c r="J310" s="248"/>
      <c r="K310" s="248"/>
      <c r="L310" s="248"/>
      <c r="M310" s="248"/>
      <c r="N310" s="248"/>
      <c r="O310" s="248"/>
      <c r="P310" s="248"/>
      <c r="Q310" s="248"/>
      <c r="R310" s="248"/>
      <c r="S310" s="248"/>
      <c r="T310" s="248"/>
      <c r="U310" s="248"/>
      <c r="V310" s="248"/>
      <c r="W310" s="248"/>
      <c r="X310" s="248"/>
      <c r="Y310" s="248"/>
      <c r="Z310" s="248"/>
      <c r="AA310" s="248"/>
      <c r="AB310" s="248"/>
    </row>
    <row r="311" spans="1:28" ht="13.8">
      <c r="A311" s="248"/>
      <c r="B311" s="248"/>
      <c r="C311" s="331"/>
      <c r="D311" s="248"/>
      <c r="E311" s="248"/>
      <c r="F311" s="248"/>
      <c r="G311" s="248"/>
      <c r="H311" s="248"/>
      <c r="I311" s="248"/>
      <c r="J311" s="248"/>
      <c r="K311" s="248"/>
      <c r="L311" s="248"/>
      <c r="M311" s="248"/>
      <c r="N311" s="248"/>
      <c r="O311" s="248"/>
      <c r="P311" s="248"/>
      <c r="Q311" s="248"/>
      <c r="R311" s="248"/>
      <c r="S311" s="248"/>
      <c r="T311" s="248"/>
      <c r="U311" s="248"/>
      <c r="V311" s="248"/>
      <c r="W311" s="248"/>
      <c r="X311" s="248"/>
      <c r="Y311" s="248"/>
      <c r="Z311" s="248"/>
      <c r="AA311" s="248"/>
      <c r="AB311" s="248"/>
    </row>
    <row r="312" spans="1:28" ht="13.8">
      <c r="A312" s="248"/>
      <c r="B312" s="248"/>
      <c r="C312" s="331"/>
      <c r="D312" s="248"/>
      <c r="E312" s="248"/>
      <c r="F312" s="248"/>
      <c r="G312" s="248"/>
      <c r="H312" s="248"/>
      <c r="I312" s="248"/>
      <c r="J312" s="248"/>
      <c r="K312" s="248"/>
      <c r="L312" s="248"/>
      <c r="M312" s="248"/>
      <c r="N312" s="248"/>
      <c r="O312" s="248"/>
      <c r="P312" s="248"/>
      <c r="Q312" s="248"/>
      <c r="R312" s="248"/>
      <c r="S312" s="248"/>
      <c r="T312" s="248"/>
      <c r="U312" s="248"/>
      <c r="V312" s="248"/>
      <c r="W312" s="248"/>
      <c r="X312" s="248"/>
      <c r="Y312" s="248"/>
      <c r="Z312" s="248"/>
      <c r="AA312" s="248"/>
      <c r="AB312" s="248"/>
    </row>
    <row r="313" spans="1:28" ht="13.8">
      <c r="A313" s="248"/>
      <c r="B313" s="248"/>
      <c r="C313" s="331"/>
      <c r="D313" s="248"/>
      <c r="E313" s="248"/>
      <c r="F313" s="248"/>
      <c r="G313" s="248"/>
      <c r="H313" s="248"/>
      <c r="I313" s="248"/>
      <c r="J313" s="248"/>
      <c r="K313" s="248"/>
      <c r="L313" s="248"/>
      <c r="M313" s="248"/>
      <c r="N313" s="248"/>
      <c r="O313" s="248"/>
      <c r="P313" s="248"/>
      <c r="Q313" s="248"/>
      <c r="R313" s="248"/>
      <c r="S313" s="248"/>
      <c r="T313" s="248"/>
      <c r="U313" s="248"/>
      <c r="V313" s="248"/>
      <c r="W313" s="248"/>
      <c r="X313" s="248"/>
      <c r="Y313" s="248"/>
      <c r="Z313" s="248"/>
      <c r="AA313" s="248"/>
      <c r="AB313" s="248"/>
    </row>
    <row r="314" spans="1:28" ht="13.8">
      <c r="A314" s="248"/>
      <c r="B314" s="248"/>
      <c r="C314" s="331"/>
      <c r="D314" s="248"/>
      <c r="E314" s="248"/>
      <c r="F314" s="248"/>
      <c r="G314" s="248"/>
      <c r="H314" s="248"/>
      <c r="I314" s="248"/>
      <c r="J314" s="248"/>
      <c r="K314" s="248"/>
      <c r="L314" s="248"/>
      <c r="M314" s="248"/>
      <c r="N314" s="248"/>
      <c r="O314" s="248"/>
      <c r="P314" s="248"/>
      <c r="Q314" s="248"/>
      <c r="R314" s="248"/>
      <c r="S314" s="248"/>
      <c r="T314" s="248"/>
      <c r="U314" s="248"/>
      <c r="V314" s="248"/>
      <c r="W314" s="248"/>
      <c r="X314" s="248"/>
      <c r="Y314" s="248"/>
      <c r="Z314" s="248"/>
      <c r="AA314" s="248"/>
      <c r="AB314" s="248"/>
    </row>
    <row r="315" spans="1:28" ht="13.8">
      <c r="A315" s="248"/>
      <c r="B315" s="248"/>
      <c r="C315" s="331"/>
      <c r="D315" s="248"/>
      <c r="E315" s="248"/>
      <c r="F315" s="248"/>
      <c r="G315" s="248"/>
      <c r="H315" s="248"/>
      <c r="I315" s="248"/>
      <c r="J315" s="248"/>
      <c r="K315" s="248"/>
      <c r="L315" s="248"/>
      <c r="M315" s="248"/>
      <c r="N315" s="248"/>
      <c r="O315" s="248"/>
      <c r="P315" s="248"/>
      <c r="Q315" s="248"/>
      <c r="R315" s="248"/>
      <c r="S315" s="248"/>
      <c r="T315" s="248"/>
      <c r="U315" s="248"/>
      <c r="V315" s="248"/>
      <c r="W315" s="248"/>
      <c r="X315" s="248"/>
      <c r="Y315" s="248"/>
      <c r="Z315" s="248"/>
      <c r="AA315" s="248"/>
      <c r="AB315" s="248"/>
    </row>
    <row r="316" spans="1:28" ht="13.8">
      <c r="A316" s="248"/>
      <c r="B316" s="248"/>
      <c r="C316" s="331"/>
      <c r="D316" s="248"/>
      <c r="E316" s="248"/>
      <c r="F316" s="248"/>
      <c r="G316" s="248"/>
      <c r="H316" s="248"/>
      <c r="I316" s="248"/>
      <c r="J316" s="248"/>
      <c r="K316" s="248"/>
      <c r="L316" s="248"/>
      <c r="M316" s="248"/>
      <c r="N316" s="248"/>
      <c r="O316" s="248"/>
      <c r="P316" s="248"/>
      <c r="Q316" s="248"/>
      <c r="R316" s="248"/>
      <c r="S316" s="248"/>
      <c r="T316" s="248"/>
      <c r="U316" s="248"/>
      <c r="V316" s="248"/>
      <c r="W316" s="248"/>
      <c r="X316" s="248"/>
      <c r="Y316" s="248"/>
      <c r="Z316" s="248"/>
      <c r="AA316" s="248"/>
      <c r="AB316" s="248"/>
    </row>
    <row r="317" spans="1:28" ht="13.8">
      <c r="A317" s="248"/>
      <c r="B317" s="248"/>
      <c r="C317" s="331"/>
      <c r="D317" s="248"/>
      <c r="E317" s="248"/>
      <c r="F317" s="248"/>
      <c r="G317" s="248"/>
      <c r="H317" s="248"/>
      <c r="I317" s="248"/>
      <c r="J317" s="248"/>
      <c r="K317" s="248"/>
      <c r="L317" s="248"/>
      <c r="M317" s="248"/>
      <c r="N317" s="248"/>
      <c r="O317" s="248"/>
      <c r="P317" s="248"/>
      <c r="Q317" s="248"/>
      <c r="R317" s="248"/>
      <c r="S317" s="248"/>
      <c r="T317" s="248"/>
      <c r="U317" s="248"/>
      <c r="V317" s="248"/>
      <c r="W317" s="248"/>
      <c r="X317" s="248"/>
      <c r="Y317" s="248"/>
      <c r="Z317" s="248"/>
      <c r="AA317" s="248"/>
      <c r="AB317" s="248"/>
    </row>
    <row r="318" spans="1:28" ht="13.8">
      <c r="A318" s="248"/>
      <c r="B318" s="248"/>
      <c r="C318" s="331"/>
      <c r="D318" s="248"/>
      <c r="E318" s="248"/>
      <c r="F318" s="248"/>
      <c r="G318" s="248"/>
      <c r="H318" s="248"/>
      <c r="I318" s="248"/>
      <c r="J318" s="248"/>
      <c r="K318" s="248"/>
      <c r="L318" s="248"/>
      <c r="M318" s="248"/>
      <c r="N318" s="248"/>
      <c r="O318" s="248"/>
      <c r="P318" s="248"/>
      <c r="Q318" s="248"/>
      <c r="R318" s="248"/>
      <c r="S318" s="248"/>
      <c r="T318" s="248"/>
      <c r="U318" s="248"/>
      <c r="V318" s="248"/>
      <c r="W318" s="248"/>
      <c r="X318" s="248"/>
      <c r="Y318" s="248"/>
      <c r="Z318" s="248"/>
      <c r="AA318" s="248"/>
      <c r="AB318" s="248"/>
    </row>
    <row r="319" spans="1:28" ht="13.8">
      <c r="A319" s="248"/>
      <c r="B319" s="248"/>
      <c r="C319" s="331"/>
      <c r="D319" s="248"/>
      <c r="E319" s="248"/>
      <c r="F319" s="248"/>
      <c r="G319" s="248"/>
      <c r="H319" s="248"/>
      <c r="I319" s="248"/>
      <c r="J319" s="248"/>
      <c r="K319" s="248"/>
      <c r="L319" s="248"/>
      <c r="M319" s="248"/>
      <c r="N319" s="248"/>
      <c r="O319" s="248"/>
      <c r="P319" s="248"/>
      <c r="Q319" s="248"/>
      <c r="R319" s="248"/>
      <c r="S319" s="248"/>
      <c r="T319" s="248"/>
      <c r="U319" s="248"/>
      <c r="V319" s="248"/>
      <c r="W319" s="248"/>
      <c r="X319" s="248"/>
      <c r="Y319" s="248"/>
      <c r="Z319" s="248"/>
      <c r="AA319" s="248"/>
      <c r="AB319" s="248"/>
    </row>
    <row r="320" spans="1:28" ht="13.8">
      <c r="A320" s="248"/>
      <c r="B320" s="248"/>
      <c r="C320" s="331"/>
      <c r="D320" s="248"/>
      <c r="E320" s="248"/>
      <c r="F320" s="248"/>
      <c r="G320" s="248"/>
      <c r="H320" s="248"/>
      <c r="I320" s="248"/>
      <c r="J320" s="248"/>
      <c r="K320" s="248"/>
      <c r="L320" s="248"/>
      <c r="M320" s="248"/>
      <c r="N320" s="248"/>
      <c r="O320" s="248"/>
      <c r="P320" s="248"/>
      <c r="Q320" s="248"/>
      <c r="R320" s="248"/>
      <c r="S320" s="248"/>
      <c r="T320" s="248"/>
      <c r="U320" s="248"/>
      <c r="V320" s="248"/>
      <c r="W320" s="248"/>
      <c r="X320" s="248"/>
      <c r="Y320" s="248"/>
      <c r="Z320" s="248"/>
      <c r="AA320" s="248"/>
      <c r="AB320" s="248"/>
    </row>
    <row r="321" spans="1:28" ht="13.8">
      <c r="A321" s="248"/>
      <c r="B321" s="248"/>
      <c r="C321" s="331"/>
      <c r="D321" s="248"/>
      <c r="E321" s="248"/>
      <c r="F321" s="248"/>
      <c r="G321" s="248"/>
      <c r="H321" s="248"/>
      <c r="I321" s="248"/>
      <c r="J321" s="248"/>
      <c r="K321" s="248"/>
      <c r="L321" s="248"/>
      <c r="M321" s="248"/>
      <c r="N321" s="248"/>
      <c r="O321" s="248"/>
      <c r="P321" s="248"/>
      <c r="Q321" s="248"/>
      <c r="R321" s="248"/>
      <c r="S321" s="248"/>
      <c r="T321" s="248"/>
      <c r="U321" s="248"/>
      <c r="V321" s="248"/>
      <c r="W321" s="248"/>
      <c r="X321" s="248"/>
      <c r="Y321" s="248"/>
      <c r="Z321" s="248"/>
      <c r="AA321" s="248"/>
      <c r="AB321" s="248"/>
    </row>
    <row r="322" spans="1:28" ht="13.8">
      <c r="A322" s="248"/>
      <c r="B322" s="248"/>
      <c r="C322" s="331"/>
      <c r="D322" s="248"/>
      <c r="E322" s="248"/>
      <c r="F322" s="248"/>
      <c r="G322" s="248"/>
      <c r="H322" s="248"/>
      <c r="I322" s="248"/>
      <c r="J322" s="248"/>
      <c r="K322" s="248"/>
      <c r="L322" s="248"/>
      <c r="M322" s="248"/>
      <c r="N322" s="248"/>
      <c r="O322" s="248"/>
      <c r="P322" s="248"/>
      <c r="Q322" s="248"/>
      <c r="R322" s="248"/>
      <c r="S322" s="248"/>
      <c r="T322" s="248"/>
      <c r="U322" s="248"/>
      <c r="V322" s="248"/>
      <c r="W322" s="248"/>
      <c r="X322" s="248"/>
      <c r="Y322" s="248"/>
      <c r="Z322" s="248"/>
      <c r="AA322" s="248"/>
      <c r="AB322" s="248"/>
    </row>
    <row r="323" spans="1:28" ht="13.8">
      <c r="A323" s="248"/>
      <c r="B323" s="248"/>
      <c r="C323" s="331"/>
      <c r="D323" s="248"/>
      <c r="E323" s="248"/>
      <c r="F323" s="248"/>
      <c r="G323" s="248"/>
      <c r="H323" s="248"/>
      <c r="I323" s="248"/>
      <c r="J323" s="248"/>
      <c r="K323" s="248"/>
      <c r="L323" s="248"/>
      <c r="M323" s="248"/>
      <c r="N323" s="248"/>
      <c r="O323" s="248"/>
      <c r="P323" s="248"/>
      <c r="Q323" s="248"/>
      <c r="R323" s="248"/>
      <c r="S323" s="248"/>
      <c r="T323" s="248"/>
      <c r="U323" s="248"/>
      <c r="V323" s="248"/>
      <c r="W323" s="248"/>
      <c r="X323" s="248"/>
      <c r="Y323" s="248"/>
      <c r="Z323" s="248"/>
      <c r="AA323" s="248"/>
      <c r="AB323" s="248"/>
    </row>
    <row r="324" spans="1:28" ht="13.8">
      <c r="A324" s="248"/>
      <c r="B324" s="248"/>
      <c r="C324" s="331"/>
      <c r="D324" s="248"/>
      <c r="E324" s="248"/>
      <c r="F324" s="248"/>
      <c r="G324" s="248"/>
      <c r="H324" s="248"/>
      <c r="I324" s="248"/>
      <c r="J324" s="248"/>
      <c r="K324" s="248"/>
      <c r="L324" s="248"/>
      <c r="M324" s="248"/>
      <c r="N324" s="248"/>
      <c r="O324" s="248"/>
      <c r="P324" s="248"/>
      <c r="Q324" s="248"/>
      <c r="R324" s="248"/>
      <c r="S324" s="248"/>
      <c r="T324" s="248"/>
      <c r="U324" s="248"/>
      <c r="V324" s="248"/>
      <c r="W324" s="248"/>
      <c r="X324" s="248"/>
      <c r="Y324" s="248"/>
      <c r="Z324" s="248"/>
      <c r="AA324" s="248"/>
      <c r="AB324" s="248"/>
    </row>
    <row r="325" spans="1:28" ht="13.8">
      <c r="A325" s="248"/>
      <c r="B325" s="248"/>
      <c r="C325" s="331"/>
      <c r="D325" s="248"/>
      <c r="E325" s="248"/>
      <c r="F325" s="248"/>
      <c r="G325" s="248"/>
      <c r="H325" s="248"/>
      <c r="I325" s="248"/>
      <c r="J325" s="248"/>
      <c r="K325" s="248"/>
      <c r="L325" s="248"/>
      <c r="M325" s="248"/>
      <c r="N325" s="248"/>
      <c r="O325" s="248"/>
      <c r="P325" s="248"/>
      <c r="Q325" s="248"/>
      <c r="R325" s="248"/>
      <c r="S325" s="248"/>
      <c r="T325" s="248"/>
      <c r="U325" s="248"/>
      <c r="V325" s="248"/>
      <c r="W325" s="248"/>
      <c r="X325" s="248"/>
      <c r="Y325" s="248"/>
      <c r="Z325" s="248"/>
      <c r="AA325" s="248"/>
      <c r="AB325" s="248"/>
    </row>
    <row r="326" spans="1:28" ht="13.8">
      <c r="A326" s="248"/>
      <c r="B326" s="248"/>
      <c r="C326" s="331"/>
      <c r="D326" s="248"/>
      <c r="E326" s="248"/>
      <c r="F326" s="248"/>
      <c r="G326" s="248"/>
      <c r="H326" s="248"/>
      <c r="I326" s="248"/>
      <c r="J326" s="248"/>
      <c r="K326" s="248"/>
      <c r="L326" s="248"/>
      <c r="M326" s="248"/>
      <c r="N326" s="248"/>
      <c r="O326" s="248"/>
      <c r="P326" s="248"/>
      <c r="Q326" s="248"/>
      <c r="R326" s="248"/>
      <c r="S326" s="248"/>
      <c r="T326" s="248"/>
      <c r="U326" s="248"/>
      <c r="V326" s="248"/>
      <c r="W326" s="248"/>
      <c r="X326" s="248"/>
      <c r="Y326" s="248"/>
      <c r="Z326" s="248"/>
      <c r="AA326" s="248"/>
      <c r="AB326" s="248"/>
    </row>
    <row r="327" spans="1:28" ht="13.8">
      <c r="A327" s="248"/>
      <c r="B327" s="248"/>
      <c r="C327" s="331"/>
      <c r="D327" s="248"/>
      <c r="E327" s="248"/>
      <c r="F327" s="248"/>
      <c r="G327" s="248"/>
      <c r="H327" s="248"/>
      <c r="I327" s="248"/>
      <c r="J327" s="248"/>
      <c r="K327" s="248"/>
      <c r="L327" s="248"/>
      <c r="M327" s="248"/>
      <c r="N327" s="248"/>
      <c r="O327" s="248"/>
      <c r="P327" s="248"/>
      <c r="Q327" s="248"/>
      <c r="R327" s="248"/>
      <c r="S327" s="248"/>
      <c r="T327" s="248"/>
      <c r="U327" s="248"/>
      <c r="V327" s="248"/>
      <c r="W327" s="248"/>
      <c r="X327" s="248"/>
      <c r="Y327" s="248"/>
      <c r="Z327" s="248"/>
      <c r="AA327" s="248"/>
      <c r="AB327" s="248"/>
    </row>
    <row r="328" spans="1:28" ht="13.8">
      <c r="A328" s="248"/>
      <c r="B328" s="248"/>
      <c r="C328" s="331"/>
      <c r="D328" s="248"/>
      <c r="E328" s="248"/>
      <c r="F328" s="248"/>
      <c r="G328" s="248"/>
      <c r="H328" s="248"/>
      <c r="I328" s="248"/>
      <c r="J328" s="248"/>
      <c r="K328" s="248"/>
      <c r="L328" s="248"/>
      <c r="M328" s="248"/>
      <c r="N328" s="248"/>
      <c r="O328" s="248"/>
      <c r="P328" s="248"/>
      <c r="Q328" s="248"/>
      <c r="R328" s="248"/>
      <c r="S328" s="248"/>
      <c r="T328" s="248"/>
      <c r="U328" s="248"/>
      <c r="V328" s="248"/>
      <c r="W328" s="248"/>
      <c r="X328" s="248"/>
      <c r="Y328" s="248"/>
      <c r="Z328" s="248"/>
      <c r="AA328" s="248"/>
      <c r="AB328" s="248"/>
    </row>
    <row r="329" spans="1:28" ht="13.8">
      <c r="A329" s="248"/>
      <c r="B329" s="248"/>
      <c r="C329" s="331"/>
      <c r="D329" s="248"/>
      <c r="E329" s="248"/>
      <c r="F329" s="248"/>
      <c r="G329" s="248"/>
      <c r="H329" s="248"/>
      <c r="I329" s="248"/>
      <c r="J329" s="248"/>
      <c r="K329" s="248"/>
      <c r="L329" s="248"/>
      <c r="M329" s="248"/>
      <c r="N329" s="248"/>
      <c r="O329" s="248"/>
      <c r="P329" s="248"/>
      <c r="Q329" s="248"/>
      <c r="R329" s="248"/>
      <c r="S329" s="248"/>
      <c r="T329" s="248"/>
      <c r="U329" s="248"/>
      <c r="V329" s="248"/>
      <c r="W329" s="248"/>
      <c r="X329" s="248"/>
      <c r="Y329" s="248"/>
      <c r="Z329" s="248"/>
      <c r="AA329" s="248"/>
      <c r="AB329" s="248"/>
    </row>
    <row r="330" spans="1:28" ht="13.8">
      <c r="A330" s="248"/>
      <c r="B330" s="248"/>
      <c r="C330" s="331"/>
      <c r="D330" s="248"/>
      <c r="E330" s="248"/>
      <c r="F330" s="248"/>
      <c r="G330" s="248"/>
      <c r="H330" s="248"/>
      <c r="I330" s="248"/>
      <c r="J330" s="248"/>
      <c r="K330" s="248"/>
      <c r="L330" s="248"/>
      <c r="M330" s="248"/>
      <c r="N330" s="248"/>
      <c r="O330" s="248"/>
      <c r="P330" s="248"/>
      <c r="Q330" s="248"/>
      <c r="R330" s="248"/>
      <c r="S330" s="248"/>
      <c r="T330" s="248"/>
      <c r="U330" s="248"/>
      <c r="V330" s="248"/>
      <c r="W330" s="248"/>
      <c r="X330" s="248"/>
      <c r="Y330" s="248"/>
      <c r="Z330" s="248"/>
      <c r="AA330" s="248"/>
      <c r="AB330" s="248"/>
    </row>
    <row r="331" spans="1:28" ht="13.8">
      <c r="A331" s="248"/>
      <c r="B331" s="248"/>
      <c r="C331" s="331"/>
      <c r="D331" s="248"/>
      <c r="E331" s="248"/>
      <c r="F331" s="248"/>
      <c r="G331" s="248"/>
      <c r="H331" s="248"/>
      <c r="I331" s="248"/>
      <c r="J331" s="248"/>
      <c r="K331" s="248"/>
      <c r="L331" s="248"/>
      <c r="M331" s="248"/>
      <c r="N331" s="248"/>
      <c r="O331" s="248"/>
      <c r="P331" s="248"/>
      <c r="Q331" s="248"/>
      <c r="R331" s="248"/>
      <c r="S331" s="248"/>
      <c r="T331" s="248"/>
      <c r="U331" s="248"/>
      <c r="V331" s="248"/>
      <c r="W331" s="248"/>
      <c r="X331" s="248"/>
      <c r="Y331" s="248"/>
      <c r="Z331" s="248"/>
      <c r="AA331" s="248"/>
      <c r="AB331" s="248"/>
    </row>
    <row r="332" spans="1:28" ht="13.8">
      <c r="A332" s="248"/>
      <c r="B332" s="248"/>
      <c r="C332" s="331"/>
      <c r="D332" s="248"/>
      <c r="E332" s="248"/>
      <c r="F332" s="248"/>
      <c r="G332" s="248"/>
      <c r="H332" s="248"/>
      <c r="I332" s="248"/>
      <c r="J332" s="248"/>
      <c r="K332" s="248"/>
      <c r="L332" s="248"/>
      <c r="M332" s="248"/>
      <c r="N332" s="248"/>
      <c r="O332" s="248"/>
      <c r="P332" s="248"/>
      <c r="Q332" s="248"/>
      <c r="R332" s="248"/>
      <c r="S332" s="248"/>
      <c r="T332" s="248"/>
      <c r="U332" s="248"/>
      <c r="V332" s="248"/>
      <c r="W332" s="248"/>
      <c r="X332" s="248"/>
      <c r="Y332" s="248"/>
      <c r="Z332" s="248"/>
      <c r="AA332" s="248"/>
      <c r="AB332" s="248"/>
    </row>
    <row r="333" spans="1:28" ht="13.8">
      <c r="A333" s="248"/>
      <c r="B333" s="248"/>
      <c r="C333" s="331"/>
      <c r="D333" s="248"/>
      <c r="E333" s="248"/>
      <c r="F333" s="248"/>
      <c r="G333" s="248"/>
      <c r="H333" s="248"/>
      <c r="I333" s="248"/>
      <c r="J333" s="248"/>
      <c r="K333" s="248"/>
      <c r="L333" s="248"/>
      <c r="M333" s="248"/>
      <c r="N333" s="248"/>
      <c r="O333" s="248"/>
      <c r="P333" s="248"/>
      <c r="Q333" s="248"/>
      <c r="R333" s="248"/>
      <c r="S333" s="248"/>
      <c r="T333" s="248"/>
      <c r="U333" s="248"/>
      <c r="V333" s="248"/>
      <c r="W333" s="248"/>
      <c r="X333" s="248"/>
      <c r="Y333" s="248"/>
      <c r="Z333" s="248"/>
      <c r="AA333" s="248"/>
      <c r="AB333" s="248"/>
    </row>
    <row r="334" spans="1:28" ht="13.8">
      <c r="A334" s="248"/>
      <c r="B334" s="248"/>
      <c r="C334" s="331"/>
      <c r="D334" s="248"/>
      <c r="E334" s="248"/>
      <c r="F334" s="248"/>
      <c r="G334" s="248"/>
      <c r="H334" s="248"/>
      <c r="I334" s="248"/>
      <c r="J334" s="248"/>
      <c r="K334" s="248"/>
      <c r="L334" s="248"/>
      <c r="M334" s="248"/>
      <c r="N334" s="248"/>
      <c r="O334" s="248"/>
      <c r="P334" s="248"/>
      <c r="Q334" s="248"/>
      <c r="R334" s="248"/>
      <c r="S334" s="248"/>
      <c r="T334" s="248"/>
      <c r="U334" s="248"/>
      <c r="V334" s="248"/>
      <c r="W334" s="248"/>
      <c r="X334" s="248"/>
      <c r="Y334" s="248"/>
      <c r="Z334" s="248"/>
      <c r="AA334" s="248"/>
      <c r="AB334" s="248"/>
    </row>
    <row r="335" spans="1:28" ht="13.8">
      <c r="A335" s="248"/>
      <c r="B335" s="248"/>
      <c r="C335" s="331"/>
      <c r="D335" s="248"/>
      <c r="E335" s="248"/>
      <c r="F335" s="248"/>
      <c r="G335" s="248"/>
      <c r="H335" s="248"/>
      <c r="I335" s="248"/>
      <c r="J335" s="248"/>
      <c r="K335" s="248"/>
      <c r="L335" s="248"/>
      <c r="M335" s="248"/>
      <c r="N335" s="248"/>
      <c r="O335" s="248"/>
      <c r="P335" s="248"/>
      <c r="Q335" s="248"/>
      <c r="R335" s="248"/>
      <c r="S335" s="248"/>
      <c r="T335" s="248"/>
      <c r="U335" s="248"/>
      <c r="V335" s="248"/>
      <c r="W335" s="248"/>
      <c r="X335" s="248"/>
      <c r="Y335" s="248"/>
      <c r="Z335" s="248"/>
      <c r="AA335" s="248"/>
      <c r="AB335" s="248"/>
    </row>
    <row r="336" spans="1:28" ht="13.8">
      <c r="A336" s="248"/>
      <c r="B336" s="248"/>
      <c r="C336" s="331"/>
      <c r="D336" s="248"/>
      <c r="E336" s="248"/>
      <c r="F336" s="248"/>
      <c r="G336" s="248"/>
      <c r="H336" s="248"/>
      <c r="I336" s="248"/>
      <c r="J336" s="248"/>
      <c r="K336" s="248"/>
      <c r="L336" s="248"/>
      <c r="M336" s="248"/>
      <c r="N336" s="248"/>
      <c r="O336" s="248"/>
      <c r="P336" s="248"/>
      <c r="Q336" s="248"/>
      <c r="R336" s="248"/>
      <c r="S336" s="248"/>
      <c r="T336" s="248"/>
      <c r="U336" s="248"/>
      <c r="V336" s="248"/>
      <c r="W336" s="248"/>
      <c r="X336" s="248"/>
      <c r="Y336" s="248"/>
      <c r="Z336" s="248"/>
      <c r="AA336" s="248"/>
      <c r="AB336" s="248"/>
    </row>
    <row r="337" spans="1:28" ht="13.8">
      <c r="A337" s="248"/>
      <c r="B337" s="248"/>
      <c r="C337" s="331"/>
      <c r="D337" s="248"/>
      <c r="E337" s="248"/>
      <c r="F337" s="248"/>
      <c r="G337" s="248"/>
      <c r="H337" s="248"/>
      <c r="I337" s="248"/>
      <c r="J337" s="248"/>
      <c r="K337" s="248"/>
      <c r="L337" s="248"/>
      <c r="M337" s="248"/>
      <c r="N337" s="248"/>
      <c r="O337" s="248"/>
      <c r="P337" s="248"/>
      <c r="Q337" s="248"/>
      <c r="R337" s="248"/>
      <c r="S337" s="248"/>
      <c r="T337" s="248"/>
      <c r="U337" s="248"/>
      <c r="V337" s="248"/>
      <c r="W337" s="248"/>
      <c r="X337" s="248"/>
      <c r="Y337" s="248"/>
      <c r="Z337" s="248"/>
      <c r="AA337" s="248"/>
      <c r="AB337" s="248"/>
    </row>
    <row r="338" spans="1:28" ht="13.8">
      <c r="A338" s="248"/>
      <c r="B338" s="248"/>
      <c r="C338" s="331"/>
      <c r="D338" s="248"/>
      <c r="E338" s="248"/>
      <c r="F338" s="248"/>
      <c r="G338" s="248"/>
      <c r="H338" s="248"/>
      <c r="I338" s="248"/>
      <c r="J338" s="248"/>
      <c r="K338" s="248"/>
      <c r="L338" s="248"/>
      <c r="M338" s="248"/>
      <c r="N338" s="248"/>
      <c r="O338" s="248"/>
      <c r="P338" s="248"/>
      <c r="Q338" s="248"/>
      <c r="R338" s="248"/>
      <c r="S338" s="248"/>
      <c r="T338" s="248"/>
      <c r="U338" s="248"/>
      <c r="V338" s="248"/>
      <c r="W338" s="248"/>
      <c r="X338" s="248"/>
      <c r="Y338" s="248"/>
      <c r="Z338" s="248"/>
      <c r="AA338" s="248"/>
      <c r="AB338" s="248"/>
    </row>
    <row r="339" spans="1:28" ht="13.8">
      <c r="A339" s="248"/>
      <c r="B339" s="248"/>
      <c r="C339" s="331"/>
      <c r="D339" s="248"/>
      <c r="E339" s="248"/>
      <c r="F339" s="248"/>
      <c r="G339" s="248"/>
      <c r="H339" s="248"/>
      <c r="I339" s="248"/>
      <c r="J339" s="248"/>
      <c r="K339" s="248"/>
      <c r="L339" s="248"/>
      <c r="M339" s="248"/>
      <c r="N339" s="248"/>
      <c r="O339" s="248"/>
      <c r="P339" s="248"/>
      <c r="Q339" s="248"/>
      <c r="R339" s="248"/>
      <c r="S339" s="248"/>
      <c r="T339" s="248"/>
      <c r="U339" s="248"/>
      <c r="V339" s="248"/>
      <c r="W339" s="248"/>
      <c r="X339" s="248"/>
      <c r="Y339" s="248"/>
      <c r="Z339" s="248"/>
      <c r="AA339" s="248"/>
      <c r="AB339" s="248"/>
    </row>
    <row r="340" spans="1:28" ht="13.8">
      <c r="A340" s="248"/>
      <c r="B340" s="248"/>
      <c r="C340" s="331"/>
      <c r="D340" s="248"/>
      <c r="E340" s="248"/>
      <c r="F340" s="248"/>
      <c r="G340" s="248"/>
      <c r="H340" s="248"/>
      <c r="I340" s="248"/>
      <c r="J340" s="248"/>
      <c r="K340" s="248"/>
      <c r="L340" s="248"/>
      <c r="M340" s="248"/>
      <c r="N340" s="248"/>
      <c r="O340" s="248"/>
      <c r="P340" s="248"/>
      <c r="Q340" s="248"/>
      <c r="R340" s="248"/>
      <c r="S340" s="248"/>
      <c r="T340" s="248"/>
      <c r="U340" s="248"/>
      <c r="V340" s="248"/>
      <c r="W340" s="248"/>
      <c r="X340" s="248"/>
      <c r="Y340" s="248"/>
      <c r="Z340" s="248"/>
      <c r="AA340" s="248"/>
      <c r="AB340" s="248"/>
    </row>
    <row r="341" spans="1:28" ht="13.8">
      <c r="A341" s="248"/>
      <c r="B341" s="248"/>
      <c r="C341" s="331"/>
      <c r="D341" s="248"/>
      <c r="E341" s="248"/>
      <c r="F341" s="248"/>
      <c r="G341" s="248"/>
      <c r="H341" s="248"/>
      <c r="I341" s="248"/>
      <c r="J341" s="248"/>
      <c r="K341" s="248"/>
      <c r="L341" s="248"/>
      <c r="M341" s="248"/>
      <c r="N341" s="248"/>
      <c r="O341" s="248"/>
      <c r="P341" s="248"/>
      <c r="Q341" s="248"/>
      <c r="R341" s="248"/>
      <c r="S341" s="248"/>
      <c r="T341" s="248"/>
      <c r="U341" s="248"/>
      <c r="V341" s="248"/>
      <c r="W341" s="248"/>
      <c r="X341" s="248"/>
      <c r="Y341" s="248"/>
      <c r="Z341" s="248"/>
      <c r="AA341" s="248"/>
      <c r="AB341" s="248"/>
    </row>
    <row r="342" spans="1:28" ht="13.8">
      <c r="A342" s="248"/>
      <c r="B342" s="248"/>
      <c r="C342" s="331"/>
      <c r="D342" s="248"/>
      <c r="E342" s="248"/>
      <c r="F342" s="248"/>
      <c r="G342" s="248"/>
      <c r="H342" s="248"/>
      <c r="I342" s="248"/>
      <c r="J342" s="248"/>
      <c r="K342" s="248"/>
      <c r="L342" s="248"/>
      <c r="M342" s="248"/>
      <c r="N342" s="248"/>
      <c r="O342" s="248"/>
      <c r="P342" s="248"/>
      <c r="Q342" s="248"/>
      <c r="R342" s="248"/>
      <c r="S342" s="248"/>
      <c r="T342" s="248"/>
      <c r="U342" s="248"/>
      <c r="V342" s="248"/>
      <c r="W342" s="248"/>
      <c r="X342" s="248"/>
      <c r="Y342" s="248"/>
      <c r="Z342" s="248"/>
      <c r="AA342" s="248"/>
      <c r="AB342" s="248"/>
    </row>
    <row r="343" spans="1:28" ht="13.8">
      <c r="A343" s="248"/>
      <c r="B343" s="248"/>
      <c r="C343" s="331"/>
      <c r="D343" s="248"/>
      <c r="E343" s="248"/>
      <c r="F343" s="248"/>
      <c r="G343" s="248"/>
      <c r="H343" s="248"/>
      <c r="I343" s="248"/>
      <c r="J343" s="248"/>
      <c r="K343" s="248"/>
      <c r="L343" s="248"/>
      <c r="M343" s="248"/>
      <c r="N343" s="248"/>
      <c r="O343" s="248"/>
      <c r="P343" s="248"/>
      <c r="Q343" s="248"/>
      <c r="R343" s="248"/>
      <c r="S343" s="248"/>
      <c r="T343" s="248"/>
      <c r="U343" s="248"/>
      <c r="V343" s="248"/>
      <c r="W343" s="248"/>
      <c r="X343" s="248"/>
      <c r="Y343" s="248"/>
      <c r="Z343" s="248"/>
      <c r="AA343" s="248"/>
      <c r="AB343" s="248"/>
    </row>
    <row r="344" spans="1:28" ht="13.8">
      <c r="A344" s="248"/>
      <c r="B344" s="248"/>
      <c r="C344" s="331"/>
      <c r="D344" s="248"/>
      <c r="E344" s="248"/>
      <c r="F344" s="248"/>
      <c r="G344" s="248"/>
      <c r="H344" s="248"/>
      <c r="I344" s="248"/>
      <c r="J344" s="248"/>
      <c r="K344" s="248"/>
      <c r="L344" s="248"/>
      <c r="M344" s="248"/>
      <c r="N344" s="248"/>
      <c r="O344" s="248"/>
      <c r="P344" s="248"/>
      <c r="Q344" s="248"/>
      <c r="R344" s="248"/>
      <c r="S344" s="248"/>
      <c r="T344" s="248"/>
      <c r="U344" s="248"/>
      <c r="V344" s="248"/>
      <c r="W344" s="248"/>
      <c r="X344" s="248"/>
      <c r="Y344" s="248"/>
      <c r="Z344" s="248"/>
      <c r="AA344" s="248"/>
      <c r="AB344" s="248"/>
    </row>
    <row r="345" spans="1:28" ht="13.8">
      <c r="A345" s="248"/>
      <c r="B345" s="248"/>
      <c r="C345" s="331"/>
      <c r="D345" s="248"/>
      <c r="E345" s="248"/>
      <c r="F345" s="248"/>
      <c r="G345" s="248"/>
      <c r="H345" s="248"/>
      <c r="I345" s="248"/>
      <c r="J345" s="248"/>
      <c r="K345" s="248"/>
      <c r="L345" s="248"/>
      <c r="M345" s="248"/>
      <c r="N345" s="248"/>
      <c r="O345" s="248"/>
      <c r="P345" s="248"/>
      <c r="Q345" s="248"/>
      <c r="R345" s="248"/>
      <c r="S345" s="248"/>
      <c r="T345" s="248"/>
      <c r="U345" s="248"/>
      <c r="V345" s="248"/>
      <c r="W345" s="248"/>
      <c r="X345" s="248"/>
      <c r="Y345" s="248"/>
      <c r="Z345" s="248"/>
      <c r="AA345" s="248"/>
      <c r="AB345" s="248"/>
    </row>
    <row r="346" spans="1:28" ht="13.8">
      <c r="A346" s="248"/>
      <c r="B346" s="248"/>
      <c r="C346" s="331"/>
      <c r="D346" s="248"/>
      <c r="E346" s="248"/>
      <c r="F346" s="248"/>
      <c r="G346" s="248"/>
      <c r="H346" s="248"/>
      <c r="I346" s="248"/>
      <c r="J346" s="248"/>
      <c r="K346" s="248"/>
      <c r="L346" s="248"/>
      <c r="M346" s="248"/>
      <c r="N346" s="248"/>
      <c r="O346" s="248"/>
      <c r="P346" s="248"/>
      <c r="Q346" s="248"/>
      <c r="R346" s="248"/>
      <c r="S346" s="248"/>
      <c r="T346" s="248"/>
      <c r="U346" s="248"/>
      <c r="V346" s="248"/>
      <c r="W346" s="248"/>
      <c r="X346" s="248"/>
      <c r="Y346" s="248"/>
      <c r="Z346" s="248"/>
      <c r="AA346" s="248"/>
      <c r="AB346" s="248"/>
    </row>
    <row r="347" spans="1:28" ht="13.8">
      <c r="A347" s="248"/>
      <c r="B347" s="248"/>
      <c r="C347" s="331"/>
      <c r="D347" s="248"/>
      <c r="E347" s="248"/>
      <c r="F347" s="248"/>
      <c r="G347" s="248"/>
      <c r="H347" s="248"/>
      <c r="I347" s="248"/>
      <c r="J347" s="248"/>
      <c r="K347" s="248"/>
      <c r="L347" s="248"/>
      <c r="M347" s="248"/>
      <c r="N347" s="248"/>
      <c r="O347" s="248"/>
      <c r="P347" s="248"/>
      <c r="Q347" s="248"/>
      <c r="R347" s="248"/>
      <c r="S347" s="248"/>
      <c r="T347" s="248"/>
      <c r="U347" s="248"/>
      <c r="V347" s="248"/>
      <c r="W347" s="248"/>
      <c r="X347" s="248"/>
      <c r="Y347" s="248"/>
      <c r="Z347" s="248"/>
      <c r="AA347" s="248"/>
      <c r="AB347" s="248"/>
    </row>
    <row r="348" spans="1:28" ht="13.8">
      <c r="A348" s="248"/>
      <c r="B348" s="248"/>
      <c r="C348" s="331"/>
      <c r="D348" s="248"/>
      <c r="E348" s="248"/>
      <c r="F348" s="248"/>
      <c r="G348" s="248"/>
      <c r="H348" s="248"/>
      <c r="I348" s="248"/>
      <c r="J348" s="248"/>
      <c r="K348" s="248"/>
      <c r="L348" s="248"/>
      <c r="M348" s="248"/>
      <c r="N348" s="248"/>
      <c r="O348" s="248"/>
      <c r="P348" s="248"/>
      <c r="Q348" s="248"/>
      <c r="R348" s="248"/>
      <c r="S348" s="248"/>
      <c r="T348" s="248"/>
      <c r="U348" s="248"/>
      <c r="V348" s="248"/>
      <c r="W348" s="248"/>
      <c r="X348" s="248"/>
      <c r="Y348" s="248"/>
      <c r="Z348" s="248"/>
      <c r="AA348" s="248"/>
      <c r="AB348" s="248"/>
    </row>
    <row r="349" spans="1:28" ht="13.8">
      <c r="A349" s="248"/>
      <c r="B349" s="248"/>
      <c r="C349" s="331"/>
      <c r="D349" s="248"/>
      <c r="E349" s="248"/>
      <c r="F349" s="248"/>
      <c r="G349" s="248"/>
      <c r="H349" s="248"/>
      <c r="I349" s="248"/>
      <c r="J349" s="248"/>
      <c r="K349" s="248"/>
      <c r="L349" s="248"/>
      <c r="M349" s="248"/>
      <c r="N349" s="248"/>
      <c r="O349" s="248"/>
      <c r="P349" s="248"/>
      <c r="Q349" s="248"/>
      <c r="R349" s="248"/>
      <c r="S349" s="248"/>
      <c r="T349" s="248"/>
      <c r="U349" s="248"/>
      <c r="V349" s="248"/>
      <c r="W349" s="248"/>
      <c r="X349" s="248"/>
      <c r="Y349" s="248"/>
      <c r="Z349" s="248"/>
      <c r="AA349" s="248"/>
      <c r="AB349" s="248"/>
    </row>
    <row r="350" spans="1:28" ht="13.8">
      <c r="A350" s="248"/>
      <c r="B350" s="248"/>
      <c r="C350" s="331"/>
      <c r="D350" s="248"/>
      <c r="E350" s="248"/>
      <c r="F350" s="248"/>
      <c r="G350" s="248"/>
      <c r="H350" s="248"/>
      <c r="I350" s="248"/>
      <c r="J350" s="248"/>
      <c r="K350" s="248"/>
      <c r="L350" s="248"/>
      <c r="M350" s="248"/>
      <c r="N350" s="248"/>
      <c r="O350" s="248"/>
      <c r="P350" s="248"/>
      <c r="Q350" s="248"/>
      <c r="R350" s="248"/>
      <c r="S350" s="248"/>
      <c r="T350" s="248"/>
      <c r="U350" s="248"/>
      <c r="V350" s="248"/>
      <c r="W350" s="248"/>
      <c r="X350" s="248"/>
      <c r="Y350" s="248"/>
      <c r="Z350" s="248"/>
      <c r="AA350" s="248"/>
      <c r="AB350" s="248"/>
    </row>
    <row r="351" spans="1:28" ht="13.8">
      <c r="A351" s="248"/>
      <c r="B351" s="248"/>
      <c r="C351" s="331"/>
      <c r="D351" s="248"/>
      <c r="E351" s="248"/>
      <c r="F351" s="248"/>
      <c r="G351" s="248"/>
      <c r="H351" s="248"/>
      <c r="I351" s="248"/>
      <c r="J351" s="248"/>
      <c r="K351" s="248"/>
      <c r="L351" s="248"/>
      <c r="M351" s="248"/>
      <c r="N351" s="248"/>
      <c r="O351" s="248"/>
      <c r="P351" s="248"/>
      <c r="Q351" s="248"/>
      <c r="R351" s="248"/>
      <c r="S351" s="248"/>
      <c r="T351" s="248"/>
      <c r="U351" s="248"/>
      <c r="V351" s="248"/>
      <c r="W351" s="248"/>
      <c r="X351" s="248"/>
      <c r="Y351" s="248"/>
      <c r="Z351" s="248"/>
      <c r="AA351" s="248"/>
      <c r="AB351" s="248"/>
    </row>
    <row r="352" spans="1:28" ht="13.8">
      <c r="A352" s="248"/>
      <c r="B352" s="248"/>
      <c r="C352" s="331"/>
      <c r="D352" s="248"/>
      <c r="E352" s="248"/>
      <c r="F352" s="248"/>
      <c r="G352" s="248"/>
      <c r="H352" s="248"/>
      <c r="I352" s="248"/>
      <c r="J352" s="248"/>
      <c r="K352" s="248"/>
      <c r="L352" s="248"/>
      <c r="M352" s="248"/>
      <c r="N352" s="248"/>
      <c r="O352" s="248"/>
      <c r="P352" s="248"/>
      <c r="Q352" s="248"/>
      <c r="R352" s="248"/>
      <c r="S352" s="248"/>
      <c r="T352" s="248"/>
      <c r="U352" s="248"/>
      <c r="V352" s="248"/>
      <c r="W352" s="248"/>
      <c r="X352" s="248"/>
      <c r="Y352" s="248"/>
      <c r="Z352" s="248"/>
      <c r="AA352" s="248"/>
      <c r="AB352" s="248"/>
    </row>
    <row r="353" spans="1:28" ht="13.8">
      <c r="A353" s="248"/>
      <c r="B353" s="248"/>
      <c r="C353" s="331"/>
      <c r="D353" s="248"/>
      <c r="E353" s="248"/>
      <c r="F353" s="248"/>
      <c r="G353" s="248"/>
      <c r="H353" s="248"/>
      <c r="I353" s="248"/>
      <c r="J353" s="248"/>
      <c r="K353" s="248"/>
      <c r="L353" s="248"/>
      <c r="M353" s="248"/>
      <c r="N353" s="248"/>
      <c r="O353" s="248"/>
      <c r="P353" s="248"/>
      <c r="Q353" s="248"/>
      <c r="R353" s="248"/>
      <c r="S353" s="248"/>
      <c r="T353" s="248"/>
      <c r="U353" s="248"/>
      <c r="V353" s="248"/>
      <c r="W353" s="248"/>
      <c r="X353" s="248"/>
      <c r="Y353" s="248"/>
      <c r="Z353" s="248"/>
      <c r="AA353" s="248"/>
      <c r="AB353" s="248"/>
    </row>
    <row r="354" spans="1:28" ht="13.8">
      <c r="A354" s="248"/>
      <c r="B354" s="248"/>
      <c r="C354" s="331"/>
      <c r="D354" s="248"/>
      <c r="E354" s="248"/>
      <c r="F354" s="248"/>
      <c r="G354" s="248"/>
      <c r="H354" s="248"/>
      <c r="I354" s="248"/>
      <c r="J354" s="248"/>
      <c r="K354" s="248"/>
      <c r="L354" s="248"/>
      <c r="M354" s="248"/>
      <c r="N354" s="248"/>
      <c r="O354" s="248"/>
      <c r="P354" s="248"/>
      <c r="Q354" s="248"/>
      <c r="R354" s="248"/>
      <c r="S354" s="248"/>
      <c r="T354" s="248"/>
      <c r="U354" s="248"/>
      <c r="V354" s="248"/>
      <c r="W354" s="248"/>
      <c r="X354" s="248"/>
      <c r="Y354" s="248"/>
      <c r="Z354" s="248"/>
      <c r="AA354" s="248"/>
      <c r="AB354" s="248"/>
    </row>
    <row r="355" spans="1:28" ht="13.8">
      <c r="A355" s="248"/>
      <c r="B355" s="248"/>
      <c r="C355" s="331"/>
      <c r="D355" s="248"/>
      <c r="E355" s="248"/>
      <c r="F355" s="248"/>
      <c r="G355" s="248"/>
      <c r="H355" s="248"/>
      <c r="I355" s="248"/>
      <c r="J355" s="248"/>
      <c r="K355" s="248"/>
      <c r="L355" s="248"/>
      <c r="M355" s="248"/>
      <c r="N355" s="248"/>
      <c r="O355" s="248"/>
      <c r="P355" s="248"/>
      <c r="Q355" s="248"/>
      <c r="R355" s="248"/>
      <c r="S355" s="248"/>
      <c r="T355" s="248"/>
      <c r="U355" s="248"/>
      <c r="V355" s="248"/>
      <c r="W355" s="248"/>
      <c r="X355" s="248"/>
      <c r="Y355" s="248"/>
      <c r="Z355" s="248"/>
      <c r="AA355" s="248"/>
      <c r="AB355" s="248"/>
    </row>
    <row r="356" spans="1:28" ht="13.8">
      <c r="A356" s="248"/>
      <c r="B356" s="248"/>
      <c r="C356" s="331"/>
      <c r="D356" s="248"/>
      <c r="E356" s="248"/>
      <c r="F356" s="248"/>
      <c r="G356" s="248"/>
      <c r="H356" s="248"/>
      <c r="I356" s="248"/>
      <c r="J356" s="248"/>
      <c r="K356" s="248"/>
      <c r="L356" s="248"/>
      <c r="M356" s="248"/>
      <c r="N356" s="248"/>
      <c r="O356" s="248"/>
      <c r="P356" s="248"/>
      <c r="Q356" s="248"/>
      <c r="R356" s="248"/>
      <c r="S356" s="248"/>
      <c r="T356" s="248"/>
      <c r="U356" s="248"/>
      <c r="V356" s="248"/>
      <c r="W356" s="248"/>
      <c r="X356" s="248"/>
      <c r="Y356" s="248"/>
      <c r="Z356" s="248"/>
      <c r="AA356" s="248"/>
      <c r="AB356" s="248"/>
    </row>
    <row r="357" spans="1:28" ht="13.8">
      <c r="A357" s="248"/>
      <c r="B357" s="248"/>
      <c r="C357" s="331"/>
      <c r="D357" s="248"/>
      <c r="E357" s="248"/>
      <c r="F357" s="248"/>
      <c r="G357" s="248"/>
      <c r="H357" s="248"/>
      <c r="I357" s="248"/>
      <c r="J357" s="248"/>
      <c r="K357" s="248"/>
      <c r="L357" s="248"/>
      <c r="M357" s="248"/>
      <c r="N357" s="248"/>
      <c r="O357" s="248"/>
      <c r="P357" s="248"/>
      <c r="Q357" s="248"/>
      <c r="R357" s="248"/>
      <c r="S357" s="248"/>
      <c r="T357" s="248"/>
      <c r="U357" s="248"/>
      <c r="V357" s="248"/>
      <c r="W357" s="248"/>
      <c r="X357" s="248"/>
      <c r="Y357" s="248"/>
      <c r="Z357" s="248"/>
      <c r="AA357" s="248"/>
      <c r="AB357" s="248"/>
    </row>
    <row r="358" spans="1:28" ht="13.8">
      <c r="A358" s="248"/>
      <c r="B358" s="248"/>
      <c r="C358" s="331"/>
      <c r="D358" s="248"/>
      <c r="E358" s="248"/>
      <c r="F358" s="248"/>
      <c r="G358" s="248"/>
      <c r="H358" s="248"/>
      <c r="I358" s="248"/>
      <c r="J358" s="248"/>
      <c r="K358" s="248"/>
      <c r="L358" s="248"/>
      <c r="M358" s="248"/>
      <c r="N358" s="248"/>
      <c r="O358" s="248"/>
      <c r="P358" s="248"/>
      <c r="Q358" s="248"/>
      <c r="R358" s="248"/>
      <c r="S358" s="248"/>
      <c r="T358" s="248"/>
      <c r="U358" s="248"/>
      <c r="V358" s="248"/>
      <c r="W358" s="248"/>
      <c r="X358" s="248"/>
      <c r="Y358" s="248"/>
      <c r="Z358" s="248"/>
      <c r="AA358" s="248"/>
      <c r="AB358" s="248"/>
    </row>
    <row r="359" spans="1:28" ht="13.8">
      <c r="A359" s="248"/>
      <c r="B359" s="248"/>
      <c r="C359" s="331"/>
      <c r="D359" s="248"/>
      <c r="E359" s="248"/>
      <c r="F359" s="248"/>
      <c r="G359" s="248"/>
      <c r="H359" s="248"/>
      <c r="I359" s="248"/>
      <c r="J359" s="248"/>
      <c r="K359" s="248"/>
      <c r="L359" s="248"/>
      <c r="M359" s="248"/>
      <c r="N359" s="248"/>
      <c r="O359" s="248"/>
      <c r="P359" s="248"/>
      <c r="Q359" s="248"/>
      <c r="R359" s="248"/>
      <c r="S359" s="248"/>
      <c r="T359" s="248"/>
      <c r="U359" s="248"/>
      <c r="V359" s="248"/>
      <c r="W359" s="248"/>
      <c r="X359" s="248"/>
      <c r="Y359" s="248"/>
      <c r="Z359" s="248"/>
      <c r="AA359" s="248"/>
      <c r="AB359" s="248"/>
    </row>
    <row r="360" spans="1:28" ht="13.8">
      <c r="A360" s="248"/>
      <c r="B360" s="248"/>
      <c r="C360" s="331"/>
      <c r="D360" s="248"/>
      <c r="E360" s="248"/>
      <c r="F360" s="248"/>
      <c r="G360" s="248"/>
      <c r="H360" s="248"/>
      <c r="I360" s="248"/>
      <c r="J360" s="248"/>
      <c r="K360" s="248"/>
      <c r="L360" s="248"/>
      <c r="M360" s="248"/>
      <c r="N360" s="248"/>
      <c r="O360" s="248"/>
      <c r="P360" s="248"/>
      <c r="Q360" s="248"/>
      <c r="R360" s="248"/>
      <c r="S360" s="248"/>
      <c r="T360" s="248"/>
      <c r="U360" s="248"/>
      <c r="V360" s="248"/>
      <c r="W360" s="248"/>
      <c r="X360" s="248"/>
      <c r="Y360" s="248"/>
      <c r="Z360" s="248"/>
      <c r="AA360" s="248"/>
      <c r="AB360" s="248"/>
    </row>
    <row r="361" spans="1:28" ht="13.8">
      <c r="A361" s="248"/>
      <c r="B361" s="248"/>
      <c r="C361" s="331"/>
      <c r="D361" s="248"/>
      <c r="E361" s="248"/>
      <c r="F361" s="248"/>
      <c r="G361" s="248"/>
      <c r="H361" s="248"/>
      <c r="I361" s="248"/>
      <c r="J361" s="248"/>
      <c r="K361" s="248"/>
      <c r="L361" s="248"/>
      <c r="M361" s="248"/>
      <c r="N361" s="248"/>
      <c r="O361" s="248"/>
      <c r="P361" s="248"/>
      <c r="Q361" s="248"/>
      <c r="R361" s="248"/>
      <c r="S361" s="248"/>
      <c r="T361" s="248"/>
      <c r="U361" s="248"/>
      <c r="V361" s="248"/>
      <c r="W361" s="248"/>
      <c r="X361" s="248"/>
      <c r="Y361" s="248"/>
      <c r="Z361" s="248"/>
      <c r="AA361" s="248"/>
      <c r="AB361" s="248"/>
    </row>
    <row r="362" spans="1:28" ht="13.8">
      <c r="A362" s="248"/>
      <c r="B362" s="248"/>
      <c r="C362" s="331"/>
      <c r="D362" s="248"/>
      <c r="E362" s="248"/>
      <c r="F362" s="248"/>
      <c r="G362" s="248"/>
      <c r="H362" s="248"/>
      <c r="I362" s="248"/>
      <c r="J362" s="248"/>
      <c r="K362" s="248"/>
      <c r="L362" s="248"/>
      <c r="M362" s="248"/>
      <c r="N362" s="248"/>
      <c r="O362" s="248"/>
      <c r="P362" s="248"/>
      <c r="Q362" s="248"/>
      <c r="R362" s="248"/>
      <c r="S362" s="248"/>
      <c r="T362" s="248"/>
      <c r="U362" s="248"/>
      <c r="V362" s="248"/>
      <c r="W362" s="248"/>
      <c r="X362" s="248"/>
      <c r="Y362" s="248"/>
      <c r="Z362" s="248"/>
      <c r="AA362" s="248"/>
      <c r="AB362" s="248"/>
    </row>
    <row r="363" spans="1:28" ht="13.8">
      <c r="A363" s="248"/>
      <c r="B363" s="248"/>
      <c r="C363" s="331"/>
      <c r="D363" s="248"/>
      <c r="E363" s="248"/>
      <c r="F363" s="248"/>
      <c r="G363" s="248"/>
      <c r="H363" s="248"/>
      <c r="I363" s="248"/>
      <c r="J363" s="248"/>
      <c r="K363" s="248"/>
      <c r="L363" s="248"/>
      <c r="M363" s="248"/>
      <c r="N363" s="248"/>
      <c r="O363" s="248"/>
      <c r="P363" s="248"/>
      <c r="Q363" s="248"/>
      <c r="R363" s="248"/>
      <c r="S363" s="248"/>
      <c r="T363" s="248"/>
      <c r="U363" s="248"/>
      <c r="V363" s="248"/>
      <c r="W363" s="248"/>
      <c r="X363" s="248"/>
      <c r="Y363" s="248"/>
      <c r="Z363" s="248"/>
      <c r="AA363" s="248"/>
      <c r="AB363" s="248"/>
    </row>
    <row r="364" spans="1:28" ht="13.8">
      <c r="A364" s="248"/>
      <c r="B364" s="248"/>
      <c r="C364" s="331"/>
      <c r="D364" s="248"/>
      <c r="E364" s="248"/>
      <c r="F364" s="248"/>
      <c r="G364" s="248"/>
      <c r="H364" s="248"/>
      <c r="I364" s="248"/>
      <c r="J364" s="248"/>
      <c r="K364" s="248"/>
      <c r="L364" s="248"/>
      <c r="M364" s="248"/>
      <c r="N364" s="248"/>
      <c r="O364" s="248"/>
      <c r="P364" s="248"/>
      <c r="Q364" s="248"/>
      <c r="R364" s="248"/>
      <c r="S364" s="248"/>
      <c r="T364" s="248"/>
      <c r="U364" s="248"/>
      <c r="V364" s="248"/>
      <c r="W364" s="248"/>
      <c r="X364" s="248"/>
      <c r="Y364" s="248"/>
      <c r="Z364" s="248"/>
      <c r="AA364" s="248"/>
      <c r="AB364" s="248"/>
    </row>
    <row r="365" spans="1:28" ht="13.8">
      <c r="A365" s="248"/>
      <c r="B365" s="248"/>
      <c r="C365" s="331"/>
      <c r="D365" s="248"/>
      <c r="E365" s="248"/>
      <c r="F365" s="248"/>
      <c r="G365" s="248"/>
      <c r="H365" s="248"/>
      <c r="I365" s="248"/>
      <c r="J365" s="248"/>
      <c r="K365" s="248"/>
      <c r="L365" s="248"/>
      <c r="M365" s="248"/>
      <c r="N365" s="248"/>
      <c r="O365" s="248"/>
      <c r="P365" s="248"/>
      <c r="Q365" s="248"/>
      <c r="R365" s="248"/>
      <c r="S365" s="248"/>
      <c r="T365" s="248"/>
      <c r="U365" s="248"/>
      <c r="V365" s="248"/>
      <c r="W365" s="248"/>
      <c r="X365" s="248"/>
      <c r="Y365" s="248"/>
      <c r="Z365" s="248"/>
      <c r="AA365" s="248"/>
      <c r="AB365" s="248"/>
    </row>
    <row r="366" spans="1:28" ht="13.8">
      <c r="A366" s="248"/>
      <c r="B366" s="248"/>
      <c r="C366" s="331"/>
      <c r="D366" s="248"/>
      <c r="E366" s="248"/>
      <c r="F366" s="248"/>
      <c r="G366" s="248"/>
      <c r="H366" s="248"/>
      <c r="I366" s="248"/>
      <c r="J366" s="248"/>
      <c r="K366" s="248"/>
      <c r="L366" s="248"/>
      <c r="M366" s="248"/>
      <c r="N366" s="248"/>
      <c r="O366" s="248"/>
      <c r="P366" s="248"/>
      <c r="Q366" s="248"/>
      <c r="R366" s="248"/>
      <c r="S366" s="248"/>
      <c r="T366" s="248"/>
      <c r="U366" s="248"/>
      <c r="V366" s="248"/>
      <c r="W366" s="248"/>
      <c r="X366" s="248"/>
      <c r="Y366" s="248"/>
      <c r="Z366" s="248"/>
      <c r="AA366" s="248"/>
      <c r="AB366" s="248"/>
    </row>
    <row r="367" spans="1:28" ht="13.8">
      <c r="A367" s="248"/>
      <c r="B367" s="248"/>
      <c r="C367" s="331"/>
      <c r="D367" s="248"/>
      <c r="E367" s="248"/>
      <c r="F367" s="248"/>
      <c r="G367" s="248"/>
      <c r="H367" s="248"/>
      <c r="I367" s="248"/>
      <c r="J367" s="248"/>
      <c r="K367" s="248"/>
      <c r="L367" s="248"/>
      <c r="M367" s="248"/>
      <c r="N367" s="248"/>
      <c r="O367" s="248"/>
      <c r="P367" s="248"/>
      <c r="Q367" s="248"/>
      <c r="R367" s="248"/>
      <c r="S367" s="248"/>
      <c r="T367" s="248"/>
      <c r="U367" s="248"/>
      <c r="V367" s="248"/>
      <c r="W367" s="248"/>
      <c r="X367" s="248"/>
      <c r="Y367" s="248"/>
      <c r="Z367" s="248"/>
      <c r="AA367" s="248"/>
      <c r="AB367" s="248"/>
    </row>
    <row r="368" spans="1:28" ht="13.8">
      <c r="A368" s="248"/>
      <c r="B368" s="248"/>
      <c r="C368" s="331"/>
      <c r="D368" s="248"/>
      <c r="E368" s="248"/>
      <c r="F368" s="248"/>
      <c r="G368" s="248"/>
      <c r="H368" s="248"/>
      <c r="I368" s="248"/>
      <c r="J368" s="248"/>
      <c r="K368" s="248"/>
      <c r="L368" s="248"/>
      <c r="M368" s="248"/>
      <c r="N368" s="248"/>
      <c r="O368" s="248"/>
      <c r="P368" s="248"/>
      <c r="Q368" s="248"/>
      <c r="R368" s="248"/>
      <c r="S368" s="248"/>
      <c r="T368" s="248"/>
      <c r="U368" s="248"/>
      <c r="V368" s="248"/>
      <c r="W368" s="248"/>
      <c r="X368" s="248"/>
      <c r="Y368" s="248"/>
      <c r="Z368" s="248"/>
      <c r="AA368" s="248"/>
      <c r="AB368" s="248"/>
    </row>
    <row r="369" spans="1:28" ht="13.8">
      <c r="A369" s="248"/>
      <c r="B369" s="248"/>
      <c r="C369" s="331"/>
      <c r="D369" s="248"/>
      <c r="E369" s="248"/>
      <c r="F369" s="248"/>
      <c r="G369" s="248"/>
      <c r="H369" s="248"/>
      <c r="I369" s="248"/>
      <c r="J369" s="248"/>
      <c r="K369" s="248"/>
      <c r="L369" s="248"/>
      <c r="M369" s="248"/>
      <c r="N369" s="248"/>
      <c r="O369" s="248"/>
      <c r="P369" s="248"/>
      <c r="Q369" s="248"/>
      <c r="R369" s="248"/>
      <c r="S369" s="248"/>
      <c r="T369" s="248"/>
      <c r="U369" s="248"/>
      <c r="V369" s="248"/>
      <c r="W369" s="248"/>
      <c r="X369" s="248"/>
      <c r="Y369" s="248"/>
      <c r="Z369" s="248"/>
      <c r="AA369" s="248"/>
      <c r="AB369" s="248"/>
    </row>
    <row r="370" spans="1:28" ht="13.8">
      <c r="A370" s="248"/>
      <c r="B370" s="248"/>
      <c r="C370" s="331"/>
      <c r="D370" s="248"/>
      <c r="E370" s="248"/>
      <c r="F370" s="248"/>
      <c r="G370" s="248"/>
      <c r="H370" s="248"/>
      <c r="I370" s="248"/>
      <c r="J370" s="248"/>
      <c r="K370" s="248"/>
      <c r="L370" s="248"/>
      <c r="M370" s="248"/>
      <c r="N370" s="248"/>
      <c r="O370" s="248"/>
      <c r="P370" s="248"/>
      <c r="Q370" s="248"/>
      <c r="R370" s="248"/>
      <c r="S370" s="248"/>
      <c r="T370" s="248"/>
      <c r="U370" s="248"/>
      <c r="V370" s="248"/>
      <c r="W370" s="248"/>
      <c r="X370" s="248"/>
      <c r="Y370" s="248"/>
      <c r="Z370" s="248"/>
      <c r="AA370" s="248"/>
      <c r="AB370" s="248"/>
    </row>
    <row r="371" spans="1:28" ht="13.8">
      <c r="A371" s="248"/>
      <c r="B371" s="248"/>
      <c r="C371" s="331"/>
      <c r="D371" s="248"/>
      <c r="E371" s="248"/>
      <c r="F371" s="248"/>
      <c r="G371" s="248"/>
      <c r="H371" s="248"/>
      <c r="I371" s="248"/>
      <c r="J371" s="248"/>
      <c r="K371" s="248"/>
      <c r="L371" s="248"/>
      <c r="M371" s="248"/>
      <c r="N371" s="248"/>
      <c r="O371" s="248"/>
      <c r="P371" s="248"/>
      <c r="Q371" s="248"/>
      <c r="R371" s="248"/>
      <c r="S371" s="248"/>
      <c r="T371" s="248"/>
      <c r="U371" s="248"/>
      <c r="V371" s="248"/>
      <c r="W371" s="248"/>
      <c r="X371" s="248"/>
      <c r="Y371" s="248"/>
      <c r="Z371" s="248"/>
      <c r="AA371" s="248"/>
      <c r="AB371" s="248"/>
    </row>
    <row r="372" spans="1:28" ht="13.8">
      <c r="A372" s="248"/>
      <c r="B372" s="248"/>
      <c r="C372" s="331"/>
      <c r="D372" s="248"/>
      <c r="E372" s="248"/>
      <c r="F372" s="248"/>
      <c r="G372" s="248"/>
      <c r="H372" s="248"/>
      <c r="I372" s="248"/>
      <c r="J372" s="248"/>
      <c r="K372" s="248"/>
      <c r="L372" s="248"/>
      <c r="M372" s="248"/>
      <c r="N372" s="248"/>
      <c r="O372" s="248"/>
      <c r="P372" s="248"/>
      <c r="Q372" s="248"/>
      <c r="R372" s="248"/>
      <c r="S372" s="248"/>
      <c r="T372" s="248"/>
      <c r="U372" s="248"/>
      <c r="V372" s="248"/>
      <c r="W372" s="248"/>
      <c r="X372" s="248"/>
      <c r="Y372" s="248"/>
      <c r="Z372" s="248"/>
      <c r="AA372" s="248"/>
      <c r="AB372" s="248"/>
    </row>
    <row r="373" spans="1:28" ht="13.8">
      <c r="A373" s="248"/>
      <c r="B373" s="248"/>
      <c r="C373" s="331"/>
      <c r="D373" s="248"/>
      <c r="E373" s="248"/>
      <c r="F373" s="248"/>
      <c r="G373" s="248"/>
      <c r="H373" s="248"/>
      <c r="I373" s="248"/>
      <c r="J373" s="248"/>
      <c r="K373" s="248"/>
      <c r="L373" s="248"/>
      <c r="M373" s="248"/>
      <c r="N373" s="248"/>
      <c r="O373" s="248"/>
      <c r="P373" s="248"/>
      <c r="Q373" s="248"/>
      <c r="R373" s="248"/>
      <c r="S373" s="248"/>
      <c r="T373" s="248"/>
      <c r="U373" s="248"/>
      <c r="V373" s="248"/>
      <c r="W373" s="248"/>
      <c r="X373" s="248"/>
      <c r="Y373" s="248"/>
      <c r="Z373" s="248"/>
      <c r="AA373" s="248"/>
      <c r="AB373" s="248"/>
    </row>
    <row r="374" spans="1:28" ht="13.8">
      <c r="A374" s="248"/>
      <c r="B374" s="248"/>
      <c r="C374" s="331"/>
      <c r="D374" s="248"/>
      <c r="E374" s="248"/>
      <c r="F374" s="248"/>
      <c r="G374" s="248"/>
      <c r="H374" s="248"/>
      <c r="I374" s="248"/>
      <c r="J374" s="248"/>
      <c r="K374" s="248"/>
      <c r="L374" s="248"/>
      <c r="M374" s="248"/>
      <c r="N374" s="248"/>
      <c r="O374" s="248"/>
      <c r="P374" s="248"/>
      <c r="Q374" s="248"/>
      <c r="R374" s="248"/>
      <c r="S374" s="248"/>
      <c r="T374" s="248"/>
      <c r="U374" s="248"/>
      <c r="V374" s="248"/>
      <c r="W374" s="248"/>
      <c r="X374" s="248"/>
      <c r="Y374" s="248"/>
      <c r="Z374" s="248"/>
      <c r="AA374" s="248"/>
      <c r="AB374" s="248"/>
    </row>
    <row r="375" spans="1:28" ht="13.8">
      <c r="A375" s="248"/>
      <c r="B375" s="248"/>
      <c r="C375" s="331"/>
      <c r="D375" s="248"/>
      <c r="E375" s="248"/>
      <c r="F375" s="248"/>
      <c r="G375" s="248"/>
      <c r="H375" s="248"/>
      <c r="I375" s="248"/>
      <c r="J375" s="248"/>
      <c r="K375" s="248"/>
      <c r="L375" s="248"/>
      <c r="M375" s="248"/>
      <c r="N375" s="248"/>
      <c r="O375" s="248"/>
      <c r="P375" s="248"/>
      <c r="Q375" s="248"/>
      <c r="R375" s="248"/>
      <c r="S375" s="248"/>
      <c r="T375" s="248"/>
      <c r="U375" s="248"/>
      <c r="V375" s="248"/>
      <c r="W375" s="248"/>
      <c r="X375" s="248"/>
      <c r="Y375" s="248"/>
      <c r="Z375" s="248"/>
      <c r="AA375" s="248"/>
      <c r="AB375" s="248"/>
    </row>
    <row r="376" spans="1:28" ht="13.8">
      <c r="A376" s="248"/>
      <c r="B376" s="248"/>
      <c r="C376" s="331"/>
      <c r="D376" s="248"/>
      <c r="E376" s="248"/>
      <c r="F376" s="248"/>
      <c r="G376" s="248"/>
      <c r="H376" s="248"/>
      <c r="I376" s="248"/>
      <c r="J376" s="248"/>
      <c r="K376" s="248"/>
      <c r="L376" s="248"/>
      <c r="M376" s="248"/>
      <c r="N376" s="248"/>
      <c r="O376" s="248"/>
      <c r="P376" s="248"/>
      <c r="Q376" s="248"/>
      <c r="R376" s="248"/>
      <c r="S376" s="248"/>
      <c r="T376" s="248"/>
      <c r="U376" s="248"/>
      <c r="V376" s="248"/>
      <c r="W376" s="248"/>
      <c r="X376" s="248"/>
      <c r="Y376" s="248"/>
      <c r="Z376" s="248"/>
      <c r="AA376" s="248"/>
      <c r="AB376" s="248"/>
    </row>
    <row r="377" spans="1:28" ht="13.8">
      <c r="A377" s="248"/>
      <c r="B377" s="248"/>
      <c r="C377" s="331"/>
      <c r="D377" s="248"/>
      <c r="E377" s="248"/>
      <c r="F377" s="248"/>
      <c r="G377" s="248"/>
      <c r="H377" s="248"/>
      <c r="I377" s="248"/>
      <c r="J377" s="248"/>
      <c r="K377" s="248"/>
      <c r="L377" s="248"/>
      <c r="M377" s="248"/>
      <c r="N377" s="248"/>
      <c r="O377" s="248"/>
      <c r="P377" s="248"/>
      <c r="Q377" s="248"/>
      <c r="R377" s="248"/>
      <c r="S377" s="248"/>
      <c r="T377" s="248"/>
      <c r="U377" s="248"/>
      <c r="V377" s="248"/>
      <c r="W377" s="248"/>
      <c r="X377" s="248"/>
      <c r="Y377" s="248"/>
      <c r="Z377" s="248"/>
      <c r="AA377" s="248"/>
      <c r="AB377" s="248"/>
    </row>
    <row r="378" spans="1:28" ht="13.8">
      <c r="A378" s="248"/>
      <c r="B378" s="248"/>
      <c r="C378" s="331"/>
      <c r="D378" s="248"/>
      <c r="E378" s="248"/>
      <c r="F378" s="248"/>
      <c r="G378" s="248"/>
      <c r="H378" s="248"/>
      <c r="I378" s="248"/>
      <c r="J378" s="248"/>
      <c r="K378" s="248"/>
      <c r="L378" s="248"/>
      <c r="M378" s="248"/>
      <c r="N378" s="248"/>
      <c r="O378" s="248"/>
      <c r="P378" s="248"/>
      <c r="Q378" s="248"/>
      <c r="R378" s="248"/>
      <c r="S378" s="248"/>
      <c r="T378" s="248"/>
      <c r="U378" s="248"/>
      <c r="V378" s="248"/>
      <c r="W378" s="248"/>
      <c r="X378" s="248"/>
      <c r="Y378" s="248"/>
      <c r="Z378" s="248"/>
      <c r="AA378" s="248"/>
      <c r="AB378" s="248"/>
    </row>
    <row r="379" spans="1:28" ht="13.8">
      <c r="A379" s="248"/>
      <c r="B379" s="248"/>
      <c r="C379" s="331"/>
      <c r="D379" s="248"/>
      <c r="E379" s="248"/>
      <c r="F379" s="248"/>
      <c r="G379" s="248"/>
      <c r="H379" s="248"/>
      <c r="I379" s="248"/>
      <c r="J379" s="248"/>
      <c r="K379" s="248"/>
      <c r="L379" s="248"/>
      <c r="M379" s="248"/>
      <c r="N379" s="248"/>
      <c r="O379" s="248"/>
      <c r="P379" s="248"/>
      <c r="Q379" s="248"/>
      <c r="R379" s="248"/>
      <c r="S379" s="248"/>
      <c r="T379" s="248"/>
      <c r="U379" s="248"/>
      <c r="V379" s="248"/>
      <c r="W379" s="248"/>
      <c r="X379" s="248"/>
      <c r="Y379" s="248"/>
      <c r="Z379" s="248"/>
      <c r="AA379" s="248"/>
      <c r="AB379" s="248"/>
    </row>
    <row r="380" spans="1:28" ht="13.8">
      <c r="A380" s="248"/>
      <c r="B380" s="248"/>
      <c r="C380" s="331"/>
      <c r="D380" s="248"/>
      <c r="E380" s="248"/>
      <c r="F380" s="248"/>
      <c r="G380" s="248"/>
      <c r="H380" s="248"/>
      <c r="I380" s="248"/>
      <c r="J380" s="248"/>
      <c r="K380" s="248"/>
      <c r="L380" s="248"/>
      <c r="M380" s="248"/>
      <c r="N380" s="248"/>
      <c r="O380" s="248"/>
      <c r="P380" s="248"/>
      <c r="Q380" s="248"/>
      <c r="R380" s="248"/>
      <c r="S380" s="248"/>
      <c r="T380" s="248"/>
      <c r="U380" s="248"/>
      <c r="V380" s="248"/>
      <c r="W380" s="248"/>
      <c r="X380" s="248"/>
      <c r="Y380" s="248"/>
      <c r="Z380" s="248"/>
      <c r="AA380" s="248"/>
      <c r="AB380" s="248"/>
    </row>
    <row r="381" spans="1:28" ht="13.8">
      <c r="A381" s="248"/>
      <c r="B381" s="248"/>
      <c r="C381" s="331"/>
      <c r="D381" s="248"/>
      <c r="E381" s="248"/>
      <c r="F381" s="248"/>
      <c r="G381" s="248"/>
      <c r="H381" s="248"/>
      <c r="I381" s="248"/>
      <c r="J381" s="248"/>
      <c r="K381" s="248"/>
      <c r="L381" s="248"/>
      <c r="M381" s="248"/>
      <c r="N381" s="248"/>
      <c r="O381" s="248"/>
      <c r="P381" s="248"/>
      <c r="Q381" s="248"/>
      <c r="R381" s="248"/>
      <c r="S381" s="248"/>
      <c r="T381" s="248"/>
      <c r="U381" s="248"/>
      <c r="V381" s="248"/>
      <c r="W381" s="248"/>
      <c r="X381" s="248"/>
      <c r="Y381" s="248"/>
      <c r="Z381" s="248"/>
      <c r="AA381" s="248"/>
      <c r="AB381" s="248"/>
    </row>
    <row r="382" spans="1:28" ht="13.8">
      <c r="A382" s="248"/>
      <c r="B382" s="248"/>
      <c r="C382" s="331"/>
      <c r="D382" s="248"/>
      <c r="E382" s="248"/>
      <c r="F382" s="248"/>
      <c r="G382" s="248"/>
      <c r="H382" s="248"/>
      <c r="I382" s="248"/>
      <c r="J382" s="248"/>
      <c r="K382" s="248"/>
      <c r="L382" s="248"/>
      <c r="M382" s="248"/>
      <c r="N382" s="248"/>
      <c r="O382" s="248"/>
      <c r="P382" s="248"/>
      <c r="Q382" s="248"/>
      <c r="R382" s="248"/>
      <c r="S382" s="248"/>
      <c r="T382" s="248"/>
      <c r="U382" s="248"/>
      <c r="V382" s="248"/>
      <c r="W382" s="248"/>
      <c r="X382" s="248"/>
      <c r="Y382" s="248"/>
      <c r="Z382" s="248"/>
      <c r="AA382" s="248"/>
      <c r="AB382" s="248"/>
    </row>
    <row r="383" spans="1:28" ht="13.8">
      <c r="A383" s="248"/>
      <c r="B383" s="248"/>
      <c r="C383" s="331"/>
      <c r="D383" s="248"/>
      <c r="E383" s="248"/>
      <c r="F383" s="248"/>
      <c r="G383" s="248"/>
      <c r="H383" s="248"/>
      <c r="I383" s="248"/>
      <c r="J383" s="248"/>
      <c r="K383" s="248"/>
      <c r="L383" s="248"/>
      <c r="M383" s="248"/>
      <c r="N383" s="248"/>
      <c r="O383" s="248"/>
      <c r="P383" s="248"/>
      <c r="Q383" s="248"/>
      <c r="R383" s="248"/>
      <c r="S383" s="248"/>
      <c r="T383" s="248"/>
      <c r="U383" s="248"/>
      <c r="V383" s="248"/>
      <c r="W383" s="248"/>
      <c r="X383" s="248"/>
      <c r="Y383" s="248"/>
      <c r="Z383" s="248"/>
      <c r="AA383" s="248"/>
      <c r="AB383" s="248"/>
    </row>
    <row r="384" spans="1:28" ht="13.8">
      <c r="A384" s="248"/>
      <c r="B384" s="248"/>
      <c r="C384" s="331"/>
      <c r="D384" s="248"/>
      <c r="E384" s="248"/>
      <c r="F384" s="248"/>
      <c r="G384" s="248"/>
      <c r="H384" s="248"/>
      <c r="I384" s="248"/>
      <c r="J384" s="248"/>
      <c r="K384" s="248"/>
      <c r="L384" s="248"/>
      <c r="M384" s="248"/>
      <c r="N384" s="248"/>
      <c r="O384" s="248"/>
      <c r="P384" s="248"/>
      <c r="Q384" s="248"/>
      <c r="R384" s="248"/>
      <c r="S384" s="248"/>
      <c r="T384" s="248"/>
      <c r="U384" s="248"/>
      <c r="V384" s="248"/>
      <c r="W384" s="248"/>
      <c r="X384" s="248"/>
      <c r="Y384" s="248"/>
      <c r="Z384" s="248"/>
      <c r="AA384" s="248"/>
      <c r="AB384" s="248"/>
    </row>
    <row r="385" spans="1:28" ht="13.8">
      <c r="A385" s="248"/>
      <c r="B385" s="248"/>
      <c r="C385" s="331"/>
      <c r="D385" s="248"/>
      <c r="E385" s="248"/>
      <c r="F385" s="248"/>
      <c r="G385" s="248"/>
      <c r="H385" s="248"/>
      <c r="I385" s="248"/>
      <c r="J385" s="248"/>
      <c r="K385" s="248"/>
      <c r="L385" s="248"/>
      <c r="M385" s="248"/>
      <c r="N385" s="248"/>
      <c r="O385" s="248"/>
      <c r="P385" s="248"/>
      <c r="Q385" s="248"/>
      <c r="R385" s="248"/>
      <c r="S385" s="248"/>
      <c r="T385" s="248"/>
      <c r="U385" s="248"/>
      <c r="V385" s="248"/>
      <c r="W385" s="248"/>
      <c r="X385" s="248"/>
      <c r="Y385" s="248"/>
      <c r="Z385" s="248"/>
      <c r="AA385" s="248"/>
      <c r="AB385" s="248"/>
    </row>
    <row r="386" spans="1:28" ht="13.8">
      <c r="A386" s="248"/>
      <c r="B386" s="248"/>
      <c r="C386" s="331"/>
      <c r="D386" s="248"/>
      <c r="E386" s="248"/>
      <c r="F386" s="248"/>
      <c r="G386" s="248"/>
      <c r="H386" s="248"/>
      <c r="I386" s="248"/>
      <c r="J386" s="248"/>
      <c r="K386" s="248"/>
      <c r="L386" s="248"/>
      <c r="M386" s="248"/>
      <c r="N386" s="248"/>
      <c r="O386" s="248"/>
      <c r="P386" s="248"/>
      <c r="Q386" s="248"/>
      <c r="R386" s="248"/>
      <c r="S386" s="248"/>
      <c r="T386" s="248"/>
      <c r="U386" s="248"/>
      <c r="V386" s="248"/>
      <c r="W386" s="248"/>
      <c r="X386" s="248"/>
      <c r="Y386" s="248"/>
      <c r="Z386" s="248"/>
      <c r="AA386" s="248"/>
      <c r="AB386" s="248"/>
    </row>
    <row r="387" spans="1:28" ht="13.8">
      <c r="A387" s="248"/>
      <c r="B387" s="248"/>
      <c r="C387" s="331"/>
      <c r="D387" s="248"/>
      <c r="E387" s="248"/>
      <c r="F387" s="248"/>
      <c r="G387" s="248"/>
      <c r="H387" s="248"/>
      <c r="I387" s="248"/>
      <c r="J387" s="248"/>
      <c r="K387" s="248"/>
      <c r="L387" s="248"/>
      <c r="M387" s="248"/>
      <c r="N387" s="248"/>
      <c r="O387" s="248"/>
      <c r="P387" s="248"/>
      <c r="Q387" s="248"/>
      <c r="R387" s="248"/>
      <c r="S387" s="248"/>
      <c r="T387" s="248"/>
      <c r="U387" s="248"/>
      <c r="V387" s="248"/>
      <c r="W387" s="248"/>
      <c r="X387" s="248"/>
      <c r="Y387" s="248"/>
      <c r="Z387" s="248"/>
      <c r="AA387" s="248"/>
      <c r="AB387" s="248"/>
    </row>
    <row r="388" spans="1:28" ht="13.8">
      <c r="A388" s="248"/>
      <c r="B388" s="248"/>
      <c r="C388" s="331"/>
      <c r="D388" s="248"/>
      <c r="E388" s="248"/>
      <c r="F388" s="248"/>
      <c r="G388" s="248"/>
      <c r="H388" s="248"/>
      <c r="I388" s="248"/>
      <c r="J388" s="248"/>
      <c r="K388" s="248"/>
      <c r="L388" s="248"/>
      <c r="M388" s="248"/>
      <c r="N388" s="248"/>
      <c r="O388" s="248"/>
      <c r="P388" s="248"/>
      <c r="Q388" s="248"/>
      <c r="R388" s="248"/>
      <c r="S388" s="248"/>
      <c r="T388" s="248"/>
      <c r="U388" s="248"/>
      <c r="V388" s="248"/>
      <c r="W388" s="248"/>
      <c r="X388" s="248"/>
      <c r="Y388" s="248"/>
      <c r="Z388" s="248"/>
      <c r="AA388" s="248"/>
      <c r="AB388" s="248"/>
    </row>
    <row r="389" spans="1:28" ht="13.8">
      <c r="A389" s="248"/>
      <c r="B389" s="248"/>
      <c r="C389" s="331"/>
      <c r="D389" s="248"/>
      <c r="E389" s="248"/>
      <c r="F389" s="248"/>
      <c r="G389" s="248"/>
      <c r="H389" s="248"/>
      <c r="I389" s="248"/>
      <c r="J389" s="248"/>
      <c r="K389" s="248"/>
      <c r="L389" s="248"/>
      <c r="M389" s="248"/>
      <c r="N389" s="248"/>
      <c r="O389" s="248"/>
      <c r="P389" s="248"/>
      <c r="Q389" s="248"/>
      <c r="R389" s="248"/>
      <c r="S389" s="248"/>
      <c r="T389" s="248"/>
      <c r="U389" s="248"/>
      <c r="V389" s="248"/>
      <c r="W389" s="248"/>
      <c r="X389" s="248"/>
      <c r="Y389" s="248"/>
      <c r="Z389" s="248"/>
      <c r="AA389" s="248"/>
      <c r="AB389" s="248"/>
    </row>
    <row r="390" spans="1:28" ht="13.8">
      <c r="A390" s="248"/>
      <c r="B390" s="248"/>
      <c r="C390" s="331"/>
      <c r="D390" s="248"/>
      <c r="E390" s="248"/>
      <c r="F390" s="248"/>
      <c r="G390" s="248"/>
      <c r="H390" s="248"/>
      <c r="I390" s="248"/>
      <c r="J390" s="248"/>
      <c r="K390" s="248"/>
      <c r="L390" s="248"/>
      <c r="M390" s="248"/>
      <c r="N390" s="248"/>
      <c r="O390" s="248"/>
      <c r="P390" s="248"/>
      <c r="Q390" s="248"/>
      <c r="R390" s="248"/>
      <c r="S390" s="248"/>
      <c r="T390" s="248"/>
      <c r="U390" s="248"/>
      <c r="V390" s="248"/>
      <c r="W390" s="248"/>
      <c r="X390" s="248"/>
      <c r="Y390" s="248"/>
      <c r="Z390" s="248"/>
      <c r="AA390" s="248"/>
      <c r="AB390" s="248"/>
    </row>
    <row r="391" spans="1:28" ht="13.8">
      <c r="A391" s="248"/>
      <c r="B391" s="248"/>
      <c r="C391" s="331"/>
      <c r="D391" s="248"/>
      <c r="E391" s="248"/>
      <c r="F391" s="248"/>
      <c r="G391" s="248"/>
      <c r="H391" s="248"/>
      <c r="I391" s="248"/>
      <c r="J391" s="248"/>
      <c r="K391" s="248"/>
      <c r="L391" s="248"/>
      <c r="M391" s="248"/>
      <c r="N391" s="248"/>
      <c r="O391" s="248"/>
      <c r="P391" s="248"/>
      <c r="Q391" s="248"/>
      <c r="R391" s="248"/>
      <c r="S391" s="248"/>
      <c r="T391" s="248"/>
      <c r="U391" s="248"/>
      <c r="V391" s="248"/>
      <c r="W391" s="248"/>
      <c r="X391" s="248"/>
      <c r="Y391" s="248"/>
      <c r="Z391" s="248"/>
      <c r="AA391" s="248"/>
      <c r="AB391" s="248"/>
    </row>
    <row r="392" spans="1:28" ht="13.8">
      <c r="A392" s="248"/>
      <c r="B392" s="248"/>
      <c r="C392" s="331"/>
      <c r="D392" s="248"/>
      <c r="E392" s="248"/>
      <c r="F392" s="248"/>
      <c r="G392" s="248"/>
      <c r="H392" s="248"/>
      <c r="I392" s="248"/>
      <c r="J392" s="248"/>
      <c r="K392" s="248"/>
      <c r="L392" s="248"/>
      <c r="M392" s="248"/>
      <c r="N392" s="248"/>
      <c r="O392" s="248"/>
      <c r="P392" s="248"/>
      <c r="Q392" s="248"/>
      <c r="R392" s="248"/>
      <c r="S392" s="248"/>
      <c r="T392" s="248"/>
      <c r="U392" s="248"/>
      <c r="V392" s="248"/>
      <c r="W392" s="248"/>
      <c r="X392" s="248"/>
      <c r="Y392" s="248"/>
      <c r="Z392" s="248"/>
      <c r="AA392" s="248"/>
      <c r="AB392" s="248"/>
    </row>
    <row r="393" spans="1:28" ht="13.8">
      <c r="A393" s="248"/>
      <c r="B393" s="248"/>
      <c r="C393" s="331"/>
      <c r="D393" s="248"/>
      <c r="E393" s="248"/>
      <c r="F393" s="248"/>
      <c r="G393" s="248"/>
      <c r="H393" s="248"/>
      <c r="I393" s="248"/>
      <c r="J393" s="248"/>
      <c r="K393" s="248"/>
      <c r="L393" s="248"/>
      <c r="M393" s="248"/>
      <c r="N393" s="248"/>
      <c r="O393" s="248"/>
      <c r="P393" s="248"/>
      <c r="Q393" s="248"/>
      <c r="R393" s="248"/>
      <c r="S393" s="248"/>
      <c r="T393" s="248"/>
      <c r="U393" s="248"/>
      <c r="V393" s="248"/>
      <c r="W393" s="248"/>
      <c r="X393" s="248"/>
      <c r="Y393" s="248"/>
      <c r="Z393" s="248"/>
      <c r="AA393" s="248"/>
      <c r="AB393" s="248"/>
    </row>
    <row r="394" spans="1:28" ht="13.8">
      <c r="A394" s="248"/>
      <c r="B394" s="248"/>
      <c r="C394" s="331"/>
      <c r="D394" s="248"/>
      <c r="E394" s="248"/>
      <c r="F394" s="248"/>
      <c r="G394" s="248"/>
      <c r="H394" s="248"/>
      <c r="I394" s="248"/>
      <c r="J394" s="248"/>
      <c r="K394" s="248"/>
      <c r="L394" s="248"/>
      <c r="M394" s="248"/>
      <c r="N394" s="248"/>
      <c r="O394" s="248"/>
      <c r="P394" s="248"/>
      <c r="Q394" s="248"/>
      <c r="R394" s="248"/>
      <c r="S394" s="248"/>
      <c r="T394" s="248"/>
      <c r="U394" s="248"/>
      <c r="V394" s="248"/>
      <c r="W394" s="248"/>
      <c r="X394" s="248"/>
      <c r="Y394" s="248"/>
      <c r="Z394" s="248"/>
      <c r="AA394" s="248"/>
      <c r="AB394" s="248"/>
    </row>
    <row r="395" spans="1:28" ht="13.8">
      <c r="A395" s="248"/>
      <c r="B395" s="248"/>
      <c r="C395" s="331"/>
      <c r="D395" s="248"/>
      <c r="E395" s="248"/>
      <c r="F395" s="248"/>
      <c r="G395" s="248"/>
      <c r="H395" s="248"/>
      <c r="I395" s="248"/>
      <c r="J395" s="248"/>
      <c r="K395" s="248"/>
      <c r="L395" s="248"/>
      <c r="M395" s="248"/>
      <c r="N395" s="248"/>
      <c r="O395" s="248"/>
      <c r="P395" s="248"/>
      <c r="Q395" s="248"/>
      <c r="R395" s="248"/>
      <c r="S395" s="248"/>
      <c r="T395" s="248"/>
      <c r="U395" s="248"/>
      <c r="V395" s="248"/>
      <c r="W395" s="248"/>
      <c r="X395" s="248"/>
      <c r="Y395" s="248"/>
      <c r="Z395" s="248"/>
      <c r="AA395" s="248"/>
      <c r="AB395" s="248"/>
    </row>
    <row r="396" spans="1:28" ht="13.8">
      <c r="A396" s="248"/>
      <c r="B396" s="248"/>
      <c r="C396" s="331"/>
      <c r="D396" s="248"/>
      <c r="E396" s="248"/>
      <c r="F396" s="248"/>
      <c r="G396" s="248"/>
      <c r="H396" s="248"/>
      <c r="I396" s="248"/>
      <c r="J396" s="248"/>
      <c r="K396" s="248"/>
      <c r="L396" s="248"/>
      <c r="M396" s="248"/>
      <c r="N396" s="248"/>
      <c r="O396" s="248"/>
      <c r="P396" s="248"/>
      <c r="Q396" s="248"/>
      <c r="R396" s="248"/>
      <c r="S396" s="248"/>
      <c r="T396" s="248"/>
      <c r="U396" s="248"/>
      <c r="V396" s="248"/>
      <c r="W396" s="248"/>
      <c r="X396" s="248"/>
      <c r="Y396" s="248"/>
      <c r="Z396" s="248"/>
      <c r="AA396" s="248"/>
      <c r="AB396" s="248"/>
    </row>
    <row r="397" spans="1:28" ht="13.8">
      <c r="A397" s="248"/>
      <c r="B397" s="248"/>
      <c r="C397" s="331"/>
      <c r="D397" s="248"/>
      <c r="E397" s="248"/>
      <c r="F397" s="248"/>
      <c r="G397" s="248"/>
      <c r="H397" s="248"/>
      <c r="I397" s="248"/>
      <c r="J397" s="248"/>
      <c r="K397" s="248"/>
      <c r="L397" s="248"/>
      <c r="M397" s="248"/>
      <c r="N397" s="248"/>
      <c r="O397" s="248"/>
      <c r="P397" s="248"/>
      <c r="Q397" s="248"/>
      <c r="R397" s="248"/>
      <c r="S397" s="248"/>
      <c r="T397" s="248"/>
      <c r="U397" s="248"/>
      <c r="V397" s="248"/>
      <c r="W397" s="248"/>
      <c r="X397" s="248"/>
      <c r="Y397" s="248"/>
      <c r="Z397" s="248"/>
      <c r="AA397" s="248"/>
      <c r="AB397" s="248"/>
    </row>
    <row r="398" spans="1:28" ht="13.8">
      <c r="A398" s="248"/>
      <c r="B398" s="248"/>
      <c r="C398" s="331"/>
      <c r="D398" s="248"/>
      <c r="E398" s="248"/>
      <c r="F398" s="248"/>
      <c r="G398" s="248"/>
      <c r="H398" s="248"/>
      <c r="I398" s="248"/>
      <c r="J398" s="248"/>
      <c r="K398" s="248"/>
      <c r="L398" s="248"/>
      <c r="M398" s="248"/>
      <c r="N398" s="248"/>
      <c r="O398" s="248"/>
      <c r="P398" s="248"/>
      <c r="Q398" s="248"/>
      <c r="R398" s="248"/>
      <c r="S398" s="248"/>
      <c r="T398" s="248"/>
      <c r="U398" s="248"/>
      <c r="V398" s="248"/>
      <c r="W398" s="248"/>
      <c r="X398" s="248"/>
      <c r="Y398" s="248"/>
      <c r="Z398" s="248"/>
      <c r="AA398" s="248"/>
      <c r="AB398" s="248"/>
    </row>
    <row r="399" spans="1:28" ht="13.8">
      <c r="A399" s="248"/>
      <c r="B399" s="248"/>
      <c r="C399" s="331"/>
      <c r="D399" s="248"/>
      <c r="E399" s="248"/>
      <c r="F399" s="248"/>
      <c r="G399" s="248"/>
      <c r="H399" s="248"/>
      <c r="I399" s="248"/>
      <c r="J399" s="248"/>
      <c r="K399" s="248"/>
      <c r="L399" s="248"/>
      <c r="M399" s="248"/>
      <c r="N399" s="248"/>
      <c r="O399" s="248"/>
      <c r="P399" s="248"/>
      <c r="Q399" s="248"/>
      <c r="R399" s="248"/>
      <c r="S399" s="248"/>
      <c r="T399" s="248"/>
      <c r="U399" s="248"/>
      <c r="V399" s="248"/>
      <c r="W399" s="248"/>
      <c r="X399" s="248"/>
      <c r="Y399" s="248"/>
      <c r="Z399" s="248"/>
      <c r="AA399" s="248"/>
      <c r="AB399" s="248"/>
    </row>
    <row r="400" spans="1:28" ht="13.8">
      <c r="A400" s="248"/>
      <c r="B400" s="248"/>
      <c r="C400" s="331"/>
      <c r="D400" s="248"/>
      <c r="E400" s="248"/>
      <c r="F400" s="248"/>
      <c r="G400" s="248"/>
      <c r="H400" s="248"/>
      <c r="I400" s="248"/>
      <c r="J400" s="248"/>
      <c r="K400" s="248"/>
      <c r="L400" s="248"/>
      <c r="M400" s="248"/>
      <c r="N400" s="248"/>
      <c r="O400" s="248"/>
      <c r="P400" s="248"/>
      <c r="Q400" s="248"/>
      <c r="R400" s="248"/>
      <c r="S400" s="248"/>
      <c r="T400" s="248"/>
      <c r="U400" s="248"/>
      <c r="V400" s="248"/>
      <c r="W400" s="248"/>
      <c r="X400" s="248"/>
      <c r="Y400" s="248"/>
      <c r="Z400" s="248"/>
      <c r="AA400" s="248"/>
      <c r="AB400" s="248"/>
    </row>
    <row r="401" spans="1:28" ht="13.8">
      <c r="A401" s="248"/>
      <c r="B401" s="248"/>
      <c r="C401" s="331"/>
      <c r="D401" s="248"/>
      <c r="E401" s="248"/>
      <c r="F401" s="248"/>
      <c r="G401" s="248"/>
      <c r="H401" s="248"/>
      <c r="I401" s="248"/>
      <c r="J401" s="248"/>
      <c r="K401" s="248"/>
      <c r="L401" s="248"/>
      <c r="M401" s="248"/>
      <c r="N401" s="248"/>
      <c r="O401" s="248"/>
      <c r="P401" s="248"/>
      <c r="Q401" s="248"/>
      <c r="R401" s="248"/>
      <c r="S401" s="248"/>
      <c r="T401" s="248"/>
      <c r="U401" s="248"/>
      <c r="V401" s="248"/>
      <c r="W401" s="248"/>
      <c r="X401" s="248"/>
      <c r="Y401" s="248"/>
      <c r="Z401" s="248"/>
      <c r="AA401" s="248"/>
      <c r="AB401" s="248"/>
    </row>
    <row r="402" spans="1:28" ht="13.8">
      <c r="A402" s="248"/>
      <c r="B402" s="248"/>
      <c r="C402" s="331"/>
      <c r="D402" s="248"/>
      <c r="E402" s="248"/>
      <c r="F402" s="248"/>
      <c r="G402" s="248"/>
      <c r="H402" s="248"/>
      <c r="I402" s="248"/>
      <c r="J402" s="248"/>
      <c r="K402" s="248"/>
      <c r="L402" s="248"/>
      <c r="M402" s="248"/>
      <c r="N402" s="248"/>
      <c r="O402" s="248"/>
      <c r="P402" s="248"/>
      <c r="Q402" s="248"/>
      <c r="R402" s="248"/>
      <c r="S402" s="248"/>
      <c r="T402" s="248"/>
      <c r="U402" s="248"/>
      <c r="V402" s="248"/>
      <c r="W402" s="248"/>
      <c r="X402" s="248"/>
      <c r="Y402" s="248"/>
      <c r="Z402" s="248"/>
      <c r="AA402" s="248"/>
      <c r="AB402" s="248"/>
    </row>
    <row r="403" spans="1:28" ht="13.8">
      <c r="A403" s="248"/>
      <c r="B403" s="248"/>
      <c r="C403" s="331"/>
      <c r="D403" s="248"/>
      <c r="E403" s="248"/>
      <c r="F403" s="248"/>
      <c r="G403" s="248"/>
      <c r="H403" s="248"/>
      <c r="I403" s="248"/>
      <c r="J403" s="248"/>
      <c r="K403" s="248"/>
      <c r="L403" s="248"/>
      <c r="M403" s="248"/>
      <c r="N403" s="248"/>
      <c r="O403" s="248"/>
      <c r="P403" s="248"/>
      <c r="Q403" s="248"/>
      <c r="R403" s="248"/>
      <c r="S403" s="248"/>
      <c r="T403" s="248"/>
      <c r="U403" s="248"/>
      <c r="V403" s="248"/>
      <c r="W403" s="248"/>
      <c r="X403" s="248"/>
      <c r="Y403" s="248"/>
      <c r="Z403" s="248"/>
      <c r="AA403" s="248"/>
      <c r="AB403" s="248"/>
    </row>
    <row r="404" spans="1:28" ht="13.8">
      <c r="A404" s="248"/>
      <c r="B404" s="248"/>
      <c r="C404" s="331"/>
      <c r="D404" s="248"/>
      <c r="E404" s="248"/>
      <c r="F404" s="248"/>
      <c r="G404" s="248"/>
      <c r="H404" s="248"/>
      <c r="I404" s="248"/>
      <c r="J404" s="248"/>
      <c r="K404" s="248"/>
      <c r="L404" s="248"/>
      <c r="M404" s="248"/>
      <c r="N404" s="248"/>
      <c r="O404" s="248"/>
      <c r="P404" s="248"/>
      <c r="Q404" s="248"/>
      <c r="R404" s="248"/>
      <c r="S404" s="248"/>
      <c r="T404" s="248"/>
      <c r="U404" s="248"/>
      <c r="V404" s="248"/>
      <c r="W404" s="248"/>
      <c r="X404" s="248"/>
      <c r="Y404" s="248"/>
      <c r="Z404" s="248"/>
      <c r="AA404" s="248"/>
      <c r="AB404" s="248"/>
    </row>
    <row r="405" spans="1:28" ht="13.8">
      <c r="A405" s="248"/>
      <c r="B405" s="248"/>
      <c r="C405" s="331"/>
      <c r="D405" s="248"/>
      <c r="E405" s="248"/>
      <c r="F405" s="248"/>
      <c r="G405" s="248"/>
      <c r="H405" s="248"/>
      <c r="I405" s="248"/>
      <c r="J405" s="248"/>
      <c r="K405" s="248"/>
      <c r="L405" s="248"/>
      <c r="M405" s="248"/>
      <c r="N405" s="248"/>
      <c r="O405" s="248"/>
      <c r="P405" s="248"/>
      <c r="Q405" s="248"/>
      <c r="R405" s="248"/>
      <c r="S405" s="248"/>
      <c r="T405" s="248"/>
      <c r="U405" s="248"/>
      <c r="V405" s="248"/>
      <c r="W405" s="248"/>
      <c r="X405" s="248"/>
      <c r="Y405" s="248"/>
      <c r="Z405" s="248"/>
      <c r="AA405" s="248"/>
      <c r="AB405" s="248"/>
    </row>
    <row r="406" spans="1:28" ht="13.8">
      <c r="A406" s="248"/>
      <c r="B406" s="248"/>
      <c r="C406" s="331"/>
      <c r="D406" s="248"/>
      <c r="E406" s="248"/>
      <c r="F406" s="248"/>
      <c r="G406" s="248"/>
      <c r="H406" s="248"/>
      <c r="I406" s="248"/>
      <c r="J406" s="248"/>
      <c r="K406" s="248"/>
      <c r="L406" s="248"/>
      <c r="M406" s="248"/>
      <c r="N406" s="248"/>
      <c r="O406" s="248"/>
      <c r="P406" s="248"/>
      <c r="Q406" s="248"/>
      <c r="R406" s="248"/>
      <c r="S406" s="248"/>
      <c r="T406" s="248"/>
      <c r="U406" s="248"/>
      <c r="V406" s="248"/>
      <c r="W406" s="248"/>
      <c r="X406" s="248"/>
      <c r="Y406" s="248"/>
      <c r="Z406" s="248"/>
      <c r="AA406" s="248"/>
      <c r="AB406" s="248"/>
    </row>
    <row r="407" spans="1:28" ht="13.8">
      <c r="A407" s="248"/>
      <c r="B407" s="248"/>
      <c r="C407" s="331"/>
      <c r="D407" s="248"/>
      <c r="E407" s="248"/>
      <c r="F407" s="248"/>
      <c r="G407" s="248"/>
      <c r="H407" s="248"/>
      <c r="I407" s="248"/>
      <c r="J407" s="248"/>
      <c r="K407" s="248"/>
      <c r="L407" s="248"/>
      <c r="M407" s="248"/>
      <c r="N407" s="248"/>
      <c r="O407" s="248"/>
      <c r="P407" s="248"/>
      <c r="Q407" s="248"/>
      <c r="R407" s="248"/>
      <c r="S407" s="248"/>
      <c r="T407" s="248"/>
      <c r="U407" s="248"/>
      <c r="V407" s="248"/>
      <c r="W407" s="248"/>
      <c r="X407" s="248"/>
      <c r="Y407" s="248"/>
      <c r="Z407" s="248"/>
      <c r="AA407" s="248"/>
      <c r="AB407" s="248"/>
    </row>
    <row r="408" spans="1:28" ht="13.8">
      <c r="A408" s="248"/>
      <c r="B408" s="248"/>
      <c r="C408" s="331"/>
      <c r="D408" s="248"/>
      <c r="E408" s="248"/>
      <c r="F408" s="248"/>
      <c r="G408" s="248"/>
      <c r="H408" s="248"/>
      <c r="I408" s="248"/>
      <c r="J408" s="248"/>
      <c r="K408" s="248"/>
      <c r="L408" s="248"/>
      <c r="M408" s="248"/>
      <c r="N408" s="248"/>
      <c r="O408" s="248"/>
      <c r="P408" s="248"/>
      <c r="Q408" s="248"/>
      <c r="R408" s="248"/>
      <c r="S408" s="248"/>
      <c r="T408" s="248"/>
      <c r="U408" s="248"/>
      <c r="V408" s="248"/>
      <c r="W408" s="248"/>
      <c r="X408" s="248"/>
      <c r="Y408" s="248"/>
      <c r="Z408" s="248"/>
      <c r="AA408" s="248"/>
      <c r="AB408" s="248"/>
    </row>
    <row r="409" spans="1:28" ht="13.8">
      <c r="A409" s="248"/>
      <c r="B409" s="248"/>
      <c r="C409" s="331"/>
      <c r="D409" s="248"/>
      <c r="E409" s="248"/>
      <c r="F409" s="248"/>
      <c r="G409" s="248"/>
      <c r="H409" s="248"/>
      <c r="I409" s="248"/>
      <c r="J409" s="248"/>
      <c r="K409" s="248"/>
      <c r="L409" s="248"/>
      <c r="M409" s="248"/>
      <c r="N409" s="248"/>
      <c r="O409" s="248"/>
      <c r="P409" s="248"/>
      <c r="Q409" s="248"/>
      <c r="R409" s="248"/>
      <c r="S409" s="248"/>
      <c r="T409" s="248"/>
      <c r="U409" s="248"/>
      <c r="V409" s="248"/>
      <c r="W409" s="248"/>
      <c r="X409" s="248"/>
      <c r="Y409" s="248"/>
      <c r="Z409" s="248"/>
      <c r="AA409" s="248"/>
      <c r="AB409" s="248"/>
    </row>
    <row r="410" spans="1:28" ht="13.8">
      <c r="A410" s="248"/>
      <c r="B410" s="248"/>
      <c r="C410" s="331"/>
      <c r="D410" s="248"/>
      <c r="E410" s="248"/>
      <c r="F410" s="248"/>
      <c r="G410" s="248"/>
      <c r="H410" s="248"/>
      <c r="I410" s="248"/>
      <c r="J410" s="248"/>
      <c r="K410" s="248"/>
      <c r="L410" s="248"/>
      <c r="M410" s="248"/>
      <c r="N410" s="248"/>
      <c r="O410" s="248"/>
      <c r="P410" s="248"/>
      <c r="Q410" s="248"/>
      <c r="R410" s="248"/>
      <c r="S410" s="248"/>
      <c r="T410" s="248"/>
      <c r="U410" s="248"/>
      <c r="V410" s="248"/>
      <c r="W410" s="248"/>
      <c r="X410" s="248"/>
      <c r="Y410" s="248"/>
      <c r="Z410" s="248"/>
      <c r="AA410" s="248"/>
      <c r="AB410" s="248"/>
    </row>
    <row r="411" spans="1:28" ht="13.8">
      <c r="A411" s="248"/>
      <c r="B411" s="248"/>
      <c r="C411" s="331"/>
      <c r="D411" s="248"/>
      <c r="E411" s="248"/>
      <c r="F411" s="248"/>
      <c r="G411" s="248"/>
      <c r="H411" s="248"/>
      <c r="I411" s="248"/>
      <c r="J411" s="248"/>
      <c r="K411" s="248"/>
      <c r="L411" s="248"/>
      <c r="M411" s="248"/>
      <c r="N411" s="248"/>
      <c r="O411" s="248"/>
      <c r="P411" s="248"/>
      <c r="Q411" s="248"/>
      <c r="R411" s="248"/>
      <c r="S411" s="248"/>
      <c r="T411" s="248"/>
      <c r="U411" s="248"/>
      <c r="V411" s="248"/>
      <c r="W411" s="248"/>
      <c r="X411" s="248"/>
      <c r="Y411" s="248"/>
      <c r="Z411" s="248"/>
      <c r="AA411" s="248"/>
      <c r="AB411" s="248"/>
    </row>
    <row r="412" spans="1:28" ht="13.8">
      <c r="A412" s="248"/>
      <c r="B412" s="248"/>
      <c r="C412" s="331"/>
      <c r="D412" s="248"/>
      <c r="E412" s="248"/>
      <c r="F412" s="248"/>
      <c r="G412" s="248"/>
      <c r="H412" s="248"/>
      <c r="I412" s="248"/>
      <c r="J412" s="248"/>
      <c r="K412" s="248"/>
      <c r="L412" s="248"/>
      <c r="M412" s="248"/>
      <c r="N412" s="248"/>
      <c r="O412" s="248"/>
      <c r="P412" s="248"/>
      <c r="Q412" s="248"/>
      <c r="R412" s="248"/>
      <c r="S412" s="248"/>
      <c r="T412" s="248"/>
      <c r="U412" s="248"/>
      <c r="V412" s="248"/>
      <c r="W412" s="248"/>
      <c r="X412" s="248"/>
      <c r="Y412" s="248"/>
      <c r="Z412" s="248"/>
      <c r="AA412" s="248"/>
      <c r="AB412" s="248"/>
    </row>
    <row r="413" spans="1:28" ht="13.8">
      <c r="A413" s="248"/>
      <c r="B413" s="248"/>
      <c r="C413" s="331"/>
      <c r="D413" s="248"/>
      <c r="E413" s="248"/>
      <c r="F413" s="248"/>
      <c r="G413" s="248"/>
      <c r="H413" s="248"/>
      <c r="I413" s="248"/>
      <c r="J413" s="248"/>
      <c r="K413" s="248"/>
      <c r="L413" s="248"/>
      <c r="M413" s="248"/>
      <c r="N413" s="248"/>
      <c r="O413" s="248"/>
      <c r="P413" s="248"/>
      <c r="Q413" s="248"/>
      <c r="R413" s="248"/>
      <c r="S413" s="248"/>
      <c r="T413" s="248"/>
      <c r="U413" s="248"/>
      <c r="V413" s="248"/>
      <c r="W413" s="248"/>
      <c r="X413" s="248"/>
      <c r="Y413" s="248"/>
      <c r="Z413" s="248"/>
      <c r="AA413" s="248"/>
      <c r="AB413" s="248"/>
    </row>
    <row r="414" spans="1:28" ht="13.8">
      <c r="A414" s="248"/>
      <c r="B414" s="248"/>
      <c r="C414" s="331"/>
      <c r="D414" s="248"/>
      <c r="E414" s="248"/>
      <c r="F414" s="248"/>
      <c r="G414" s="248"/>
      <c r="H414" s="248"/>
      <c r="I414" s="248"/>
      <c r="J414" s="248"/>
      <c r="K414" s="248"/>
      <c r="L414" s="248"/>
      <c r="M414" s="248"/>
      <c r="N414" s="248"/>
      <c r="O414" s="248"/>
      <c r="P414" s="248"/>
      <c r="Q414" s="248"/>
      <c r="R414" s="248"/>
      <c r="S414" s="248"/>
      <c r="T414" s="248"/>
      <c r="U414" s="248"/>
      <c r="V414" s="248"/>
      <c r="W414" s="248"/>
      <c r="X414" s="248"/>
      <c r="Y414" s="248"/>
      <c r="Z414" s="248"/>
      <c r="AA414" s="248"/>
      <c r="AB414" s="248"/>
    </row>
    <row r="415" spans="1:28" ht="13.8">
      <c r="A415" s="248"/>
      <c r="B415" s="248"/>
      <c r="C415" s="331"/>
      <c r="D415" s="248"/>
      <c r="E415" s="248"/>
      <c r="F415" s="248"/>
      <c r="G415" s="248"/>
      <c r="H415" s="248"/>
      <c r="I415" s="248"/>
      <c r="J415" s="248"/>
      <c r="K415" s="248"/>
      <c r="L415" s="248"/>
      <c r="M415" s="248"/>
      <c r="N415" s="248"/>
      <c r="O415" s="248"/>
      <c r="P415" s="248"/>
      <c r="Q415" s="248"/>
      <c r="R415" s="248"/>
      <c r="S415" s="248"/>
      <c r="T415" s="248"/>
      <c r="U415" s="248"/>
      <c r="V415" s="248"/>
      <c r="W415" s="248"/>
      <c r="X415" s="248"/>
      <c r="Y415" s="248"/>
      <c r="Z415" s="248"/>
      <c r="AA415" s="248"/>
      <c r="AB415" s="248"/>
    </row>
    <row r="416" spans="1:28" ht="13.8">
      <c r="A416" s="248"/>
      <c r="B416" s="248"/>
      <c r="C416" s="331"/>
      <c r="D416" s="248"/>
      <c r="E416" s="248"/>
      <c r="F416" s="248"/>
      <c r="G416" s="248"/>
      <c r="H416" s="248"/>
      <c r="I416" s="248"/>
      <c r="J416" s="248"/>
      <c r="K416" s="248"/>
      <c r="L416" s="248"/>
      <c r="M416" s="248"/>
      <c r="N416" s="248"/>
      <c r="O416" s="248"/>
      <c r="P416" s="248"/>
      <c r="Q416" s="248"/>
      <c r="R416" s="248"/>
      <c r="S416" s="248"/>
      <c r="T416" s="248"/>
      <c r="U416" s="248"/>
      <c r="V416" s="248"/>
      <c r="W416" s="248"/>
      <c r="X416" s="248"/>
      <c r="Y416" s="248"/>
      <c r="Z416" s="248"/>
      <c r="AA416" s="248"/>
      <c r="AB416" s="248"/>
    </row>
    <row r="417" spans="1:28" ht="13.8">
      <c r="A417" s="248"/>
      <c r="B417" s="248"/>
      <c r="C417" s="331"/>
      <c r="D417" s="248"/>
      <c r="E417" s="248"/>
      <c r="F417" s="248"/>
      <c r="G417" s="248"/>
      <c r="H417" s="248"/>
      <c r="I417" s="248"/>
      <c r="J417" s="248"/>
      <c r="K417" s="248"/>
      <c r="L417" s="248"/>
      <c r="M417" s="248"/>
      <c r="N417" s="248"/>
      <c r="O417" s="248"/>
      <c r="P417" s="248"/>
      <c r="Q417" s="248"/>
      <c r="R417" s="248"/>
      <c r="S417" s="248"/>
      <c r="T417" s="248"/>
      <c r="U417" s="248"/>
      <c r="V417" s="248"/>
      <c r="W417" s="248"/>
      <c r="X417" s="248"/>
      <c r="Y417" s="248"/>
      <c r="Z417" s="248"/>
      <c r="AA417" s="248"/>
      <c r="AB417" s="248"/>
    </row>
    <row r="418" spans="1:28" ht="13.8">
      <c r="A418" s="248"/>
      <c r="B418" s="248"/>
      <c r="C418" s="331"/>
      <c r="D418" s="248"/>
      <c r="E418" s="248"/>
      <c r="F418" s="248"/>
      <c r="G418" s="248"/>
      <c r="H418" s="248"/>
      <c r="I418" s="248"/>
      <c r="J418" s="248"/>
      <c r="K418" s="248"/>
      <c r="L418" s="248"/>
      <c r="M418" s="248"/>
      <c r="N418" s="248"/>
      <c r="O418" s="248"/>
      <c r="P418" s="248"/>
      <c r="Q418" s="248"/>
      <c r="R418" s="248"/>
      <c r="S418" s="248"/>
      <c r="T418" s="248"/>
      <c r="U418" s="248"/>
      <c r="V418" s="248"/>
      <c r="W418" s="248"/>
      <c r="X418" s="248"/>
      <c r="Y418" s="248"/>
      <c r="Z418" s="248"/>
      <c r="AA418" s="248"/>
      <c r="AB418" s="248"/>
    </row>
    <row r="419" spans="1:28" ht="13.8">
      <c r="A419" s="248"/>
      <c r="B419" s="248"/>
      <c r="C419" s="331"/>
      <c r="D419" s="248"/>
      <c r="E419" s="248"/>
      <c r="F419" s="248"/>
      <c r="G419" s="248"/>
      <c r="H419" s="248"/>
      <c r="I419" s="248"/>
      <c r="J419" s="248"/>
      <c r="K419" s="248"/>
      <c r="L419" s="248"/>
      <c r="M419" s="248"/>
      <c r="N419" s="248"/>
      <c r="O419" s="248"/>
      <c r="P419" s="248"/>
      <c r="Q419" s="248"/>
      <c r="R419" s="248"/>
      <c r="S419" s="248"/>
      <c r="T419" s="248"/>
      <c r="U419" s="248"/>
      <c r="V419" s="248"/>
      <c r="W419" s="248"/>
      <c r="X419" s="248"/>
      <c r="Y419" s="248"/>
      <c r="Z419" s="248"/>
      <c r="AA419" s="248"/>
      <c r="AB419" s="248"/>
    </row>
    <row r="420" spans="1:28" ht="13.8">
      <c r="A420" s="248"/>
      <c r="B420" s="248"/>
      <c r="C420" s="331"/>
      <c r="D420" s="248"/>
      <c r="E420" s="248"/>
      <c r="F420" s="248"/>
      <c r="G420" s="248"/>
      <c r="H420" s="248"/>
      <c r="I420" s="248"/>
      <c r="J420" s="248"/>
      <c r="K420" s="248"/>
      <c r="L420" s="248"/>
      <c r="M420" s="248"/>
      <c r="N420" s="248"/>
      <c r="O420" s="248"/>
      <c r="P420" s="248"/>
      <c r="Q420" s="248"/>
      <c r="R420" s="248"/>
      <c r="S420" s="248"/>
      <c r="T420" s="248"/>
      <c r="U420" s="248"/>
      <c r="V420" s="248"/>
      <c r="W420" s="248"/>
      <c r="X420" s="248"/>
      <c r="Y420" s="248"/>
      <c r="Z420" s="248"/>
      <c r="AA420" s="248"/>
      <c r="AB420" s="248"/>
    </row>
    <row r="421" spans="1:28" ht="13.8">
      <c r="A421" s="248"/>
      <c r="B421" s="248"/>
      <c r="C421" s="331"/>
      <c r="D421" s="248"/>
      <c r="E421" s="248"/>
      <c r="F421" s="248"/>
      <c r="G421" s="248"/>
      <c r="H421" s="248"/>
      <c r="I421" s="248"/>
      <c r="J421" s="248"/>
      <c r="K421" s="248"/>
      <c r="L421" s="248"/>
      <c r="M421" s="248"/>
      <c r="N421" s="248"/>
      <c r="O421" s="248"/>
      <c r="P421" s="248"/>
      <c r="Q421" s="248"/>
      <c r="R421" s="248"/>
      <c r="S421" s="248"/>
      <c r="T421" s="248"/>
      <c r="U421" s="248"/>
      <c r="V421" s="248"/>
      <c r="W421" s="248"/>
      <c r="X421" s="248"/>
      <c r="Y421" s="248"/>
      <c r="Z421" s="248"/>
      <c r="AA421" s="248"/>
      <c r="AB421" s="248"/>
    </row>
    <row r="422" spans="1:28" ht="13.8">
      <c r="A422" s="248"/>
      <c r="B422" s="248"/>
      <c r="C422" s="331"/>
      <c r="D422" s="248"/>
      <c r="E422" s="248"/>
      <c r="F422" s="248"/>
      <c r="G422" s="248"/>
      <c r="H422" s="248"/>
      <c r="I422" s="248"/>
      <c r="J422" s="248"/>
      <c r="K422" s="248"/>
      <c r="L422" s="248"/>
      <c r="M422" s="248"/>
      <c r="N422" s="248"/>
      <c r="O422" s="248"/>
      <c r="P422" s="248"/>
      <c r="Q422" s="248"/>
      <c r="R422" s="248"/>
      <c r="S422" s="248"/>
      <c r="T422" s="248"/>
      <c r="U422" s="248"/>
      <c r="V422" s="248"/>
      <c r="W422" s="248"/>
      <c r="X422" s="248"/>
      <c r="Y422" s="248"/>
      <c r="Z422" s="248"/>
      <c r="AA422" s="248"/>
      <c r="AB422" s="248"/>
    </row>
    <row r="423" spans="1:28" ht="13.8">
      <c r="A423" s="248"/>
      <c r="B423" s="248"/>
      <c r="C423" s="331"/>
      <c r="D423" s="248"/>
      <c r="E423" s="248"/>
      <c r="F423" s="248"/>
      <c r="G423" s="248"/>
      <c r="H423" s="248"/>
      <c r="I423" s="248"/>
      <c r="J423" s="248"/>
      <c r="K423" s="248"/>
      <c r="L423" s="248"/>
      <c r="M423" s="248"/>
      <c r="N423" s="248"/>
      <c r="O423" s="248"/>
      <c r="P423" s="248"/>
      <c r="Q423" s="248"/>
      <c r="R423" s="248"/>
      <c r="S423" s="248"/>
      <c r="T423" s="248"/>
      <c r="U423" s="248"/>
      <c r="V423" s="248"/>
      <c r="W423" s="248"/>
      <c r="X423" s="248"/>
      <c r="Y423" s="248"/>
      <c r="Z423" s="248"/>
      <c r="AA423" s="248"/>
      <c r="AB423" s="248"/>
    </row>
    <row r="424" spans="1:28" ht="13.8">
      <c r="A424" s="248"/>
      <c r="B424" s="248"/>
      <c r="C424" s="331"/>
      <c r="D424" s="248"/>
      <c r="E424" s="248"/>
      <c r="F424" s="248"/>
      <c r="G424" s="248"/>
      <c r="H424" s="248"/>
      <c r="I424" s="248"/>
      <c r="J424" s="248"/>
      <c r="K424" s="248"/>
      <c r="L424" s="248"/>
      <c r="M424" s="248"/>
      <c r="N424" s="248"/>
      <c r="O424" s="248"/>
      <c r="P424" s="248"/>
      <c r="Q424" s="248"/>
      <c r="R424" s="248"/>
      <c r="S424" s="248"/>
      <c r="T424" s="248"/>
      <c r="U424" s="248"/>
      <c r="V424" s="248"/>
      <c r="W424" s="248"/>
      <c r="X424" s="248"/>
      <c r="Y424" s="248"/>
      <c r="Z424" s="248"/>
      <c r="AA424" s="248"/>
      <c r="AB424" s="248"/>
    </row>
    <row r="425" spans="1:28" ht="13.8">
      <c r="A425" s="248"/>
      <c r="B425" s="248"/>
      <c r="C425" s="331"/>
      <c r="D425" s="248"/>
      <c r="E425" s="248"/>
      <c r="F425" s="248"/>
      <c r="G425" s="248"/>
      <c r="H425" s="248"/>
      <c r="I425" s="248"/>
      <c r="J425" s="248"/>
      <c r="K425" s="248"/>
      <c r="L425" s="248"/>
      <c r="M425" s="248"/>
      <c r="N425" s="248"/>
      <c r="O425" s="248"/>
      <c r="P425" s="248"/>
      <c r="Q425" s="248"/>
      <c r="R425" s="248"/>
      <c r="S425" s="248"/>
      <c r="T425" s="248"/>
      <c r="U425" s="248"/>
      <c r="V425" s="248"/>
      <c r="W425" s="248"/>
      <c r="X425" s="248"/>
      <c r="Y425" s="248"/>
      <c r="Z425" s="248"/>
      <c r="AA425" s="248"/>
      <c r="AB425" s="248"/>
    </row>
    <row r="426" spans="1:28" ht="13.8">
      <c r="A426" s="248"/>
      <c r="B426" s="248"/>
      <c r="C426" s="331"/>
      <c r="D426" s="248"/>
      <c r="E426" s="248"/>
      <c r="F426" s="248"/>
      <c r="G426" s="248"/>
      <c r="H426" s="248"/>
      <c r="I426" s="248"/>
      <c r="J426" s="248"/>
      <c r="K426" s="248"/>
      <c r="L426" s="248"/>
      <c r="M426" s="248"/>
      <c r="N426" s="248"/>
      <c r="O426" s="248"/>
      <c r="P426" s="248"/>
      <c r="Q426" s="248"/>
      <c r="R426" s="248"/>
      <c r="S426" s="248"/>
      <c r="T426" s="248"/>
      <c r="U426" s="248"/>
      <c r="V426" s="248"/>
      <c r="W426" s="248"/>
      <c r="X426" s="248"/>
      <c r="Y426" s="248"/>
      <c r="Z426" s="248"/>
      <c r="AA426" s="248"/>
      <c r="AB426" s="248"/>
    </row>
    <row r="427" spans="1:28" ht="13.8">
      <c r="A427" s="248"/>
      <c r="B427" s="248"/>
      <c r="C427" s="331"/>
      <c r="D427" s="248"/>
      <c r="E427" s="248"/>
      <c r="F427" s="248"/>
      <c r="G427" s="248"/>
      <c r="H427" s="248"/>
      <c r="I427" s="248"/>
      <c r="J427" s="248"/>
      <c r="K427" s="248"/>
      <c r="L427" s="248"/>
      <c r="M427" s="248"/>
      <c r="N427" s="248"/>
      <c r="O427" s="248"/>
      <c r="P427" s="248"/>
      <c r="Q427" s="248"/>
      <c r="R427" s="248"/>
      <c r="S427" s="248"/>
      <c r="T427" s="248"/>
      <c r="U427" s="248"/>
      <c r="V427" s="248"/>
      <c r="W427" s="248"/>
      <c r="X427" s="248"/>
      <c r="Y427" s="248"/>
      <c r="Z427" s="248"/>
      <c r="AA427" s="248"/>
      <c r="AB427" s="248"/>
    </row>
    <row r="428" spans="1:28" ht="13.8">
      <c r="A428" s="248"/>
      <c r="B428" s="248"/>
      <c r="C428" s="331"/>
      <c r="D428" s="248"/>
      <c r="E428" s="248"/>
      <c r="F428" s="248"/>
      <c r="G428" s="248"/>
      <c r="H428" s="248"/>
      <c r="I428" s="248"/>
      <c r="J428" s="248"/>
      <c r="K428" s="248"/>
      <c r="L428" s="248"/>
      <c r="M428" s="248"/>
      <c r="N428" s="248"/>
      <c r="O428" s="248"/>
      <c r="P428" s="248"/>
      <c r="Q428" s="248"/>
      <c r="R428" s="248"/>
      <c r="S428" s="248"/>
      <c r="T428" s="248"/>
      <c r="U428" s="248"/>
      <c r="V428" s="248"/>
      <c r="W428" s="248"/>
      <c r="X428" s="248"/>
      <c r="Y428" s="248"/>
      <c r="Z428" s="248"/>
      <c r="AA428" s="248"/>
      <c r="AB428" s="248"/>
    </row>
    <row r="429" spans="1:28" ht="13.8">
      <c r="A429" s="248"/>
      <c r="B429" s="248"/>
      <c r="C429" s="331"/>
      <c r="D429" s="248"/>
      <c r="E429" s="248"/>
      <c r="F429" s="248"/>
      <c r="G429" s="248"/>
      <c r="H429" s="248"/>
      <c r="I429" s="248"/>
      <c r="J429" s="248"/>
      <c r="K429" s="248"/>
      <c r="L429" s="248"/>
      <c r="M429" s="248"/>
      <c r="N429" s="248"/>
      <c r="O429" s="248"/>
      <c r="P429" s="248"/>
      <c r="Q429" s="248"/>
      <c r="R429" s="248"/>
      <c r="S429" s="248"/>
      <c r="T429" s="248"/>
      <c r="U429" s="248"/>
      <c r="V429" s="248"/>
      <c r="W429" s="248"/>
      <c r="X429" s="248"/>
      <c r="Y429" s="248"/>
      <c r="Z429" s="248"/>
      <c r="AA429" s="248"/>
      <c r="AB429" s="248"/>
    </row>
    <row r="430" spans="1:28" ht="13.8">
      <c r="A430" s="248"/>
      <c r="B430" s="248"/>
      <c r="C430" s="331"/>
      <c r="D430" s="248"/>
      <c r="E430" s="248"/>
      <c r="F430" s="248"/>
      <c r="G430" s="248"/>
      <c r="H430" s="248"/>
      <c r="I430" s="248"/>
      <c r="J430" s="248"/>
      <c r="K430" s="248"/>
      <c r="L430" s="248"/>
      <c r="M430" s="248"/>
      <c r="N430" s="248"/>
      <c r="O430" s="248"/>
      <c r="P430" s="248"/>
      <c r="Q430" s="248"/>
      <c r="R430" s="248"/>
      <c r="S430" s="248"/>
      <c r="T430" s="248"/>
      <c r="U430" s="248"/>
      <c r="V430" s="248"/>
      <c r="W430" s="248"/>
      <c r="X430" s="248"/>
      <c r="Y430" s="248"/>
      <c r="Z430" s="248"/>
      <c r="AA430" s="248"/>
      <c r="AB430" s="248"/>
    </row>
    <row r="431" spans="1:28" ht="13.8">
      <c r="A431" s="248"/>
      <c r="B431" s="248"/>
      <c r="C431" s="331"/>
      <c r="D431" s="248"/>
      <c r="E431" s="248"/>
      <c r="F431" s="248"/>
      <c r="G431" s="248"/>
      <c r="H431" s="248"/>
      <c r="I431" s="248"/>
      <c r="J431" s="248"/>
      <c r="K431" s="248"/>
      <c r="L431" s="248"/>
      <c r="M431" s="248"/>
      <c r="N431" s="248"/>
      <c r="O431" s="248"/>
      <c r="P431" s="248"/>
      <c r="Q431" s="248"/>
      <c r="R431" s="248"/>
      <c r="S431" s="248"/>
      <c r="T431" s="248"/>
      <c r="U431" s="248"/>
      <c r="V431" s="248"/>
      <c r="W431" s="248"/>
      <c r="X431" s="248"/>
      <c r="Y431" s="248"/>
      <c r="Z431" s="248"/>
      <c r="AA431" s="248"/>
      <c r="AB431" s="248"/>
    </row>
    <row r="432" spans="1:28" ht="13.8">
      <c r="A432" s="248"/>
      <c r="B432" s="248"/>
      <c r="C432" s="331"/>
      <c r="D432" s="248"/>
      <c r="E432" s="248"/>
      <c r="F432" s="248"/>
      <c r="G432" s="248"/>
      <c r="H432" s="248"/>
      <c r="I432" s="248"/>
      <c r="J432" s="248"/>
      <c r="K432" s="248"/>
      <c r="L432" s="248"/>
      <c r="M432" s="248"/>
      <c r="N432" s="248"/>
      <c r="O432" s="248"/>
      <c r="P432" s="248"/>
      <c r="Q432" s="248"/>
      <c r="R432" s="248"/>
      <c r="S432" s="248"/>
      <c r="T432" s="248"/>
      <c r="U432" s="248"/>
      <c r="V432" s="248"/>
      <c r="W432" s="248"/>
      <c r="X432" s="248"/>
      <c r="Y432" s="248"/>
      <c r="Z432" s="248"/>
      <c r="AA432" s="248"/>
      <c r="AB432" s="248"/>
    </row>
    <row r="433" spans="1:28" ht="13.8">
      <c r="A433" s="248"/>
      <c r="B433" s="248"/>
      <c r="C433" s="331"/>
      <c r="D433" s="248"/>
      <c r="E433" s="248"/>
      <c r="F433" s="248"/>
      <c r="G433" s="248"/>
      <c r="H433" s="248"/>
      <c r="I433" s="248"/>
      <c r="J433" s="248"/>
      <c r="K433" s="248"/>
      <c r="L433" s="248"/>
      <c r="M433" s="248"/>
      <c r="N433" s="248"/>
      <c r="O433" s="248"/>
      <c r="P433" s="248"/>
      <c r="Q433" s="248"/>
      <c r="R433" s="248"/>
      <c r="S433" s="248"/>
      <c r="T433" s="248"/>
      <c r="U433" s="248"/>
      <c r="V433" s="248"/>
      <c r="W433" s="248"/>
      <c r="X433" s="248"/>
      <c r="Y433" s="248"/>
      <c r="Z433" s="248"/>
      <c r="AA433" s="248"/>
      <c r="AB433" s="248"/>
    </row>
    <row r="434" spans="1:28" ht="13.8">
      <c r="A434" s="248"/>
      <c r="B434" s="248"/>
      <c r="C434" s="331"/>
      <c r="D434" s="248"/>
      <c r="E434" s="248"/>
      <c r="F434" s="248"/>
      <c r="G434" s="248"/>
      <c r="H434" s="248"/>
      <c r="I434" s="248"/>
      <c r="J434" s="248"/>
      <c r="K434" s="248"/>
      <c r="L434" s="248"/>
      <c r="M434" s="248"/>
      <c r="N434" s="248"/>
      <c r="O434" s="248"/>
      <c r="P434" s="248"/>
      <c r="Q434" s="248"/>
      <c r="R434" s="248"/>
      <c r="S434" s="248"/>
      <c r="T434" s="248"/>
      <c r="U434" s="248"/>
      <c r="V434" s="248"/>
      <c r="W434" s="248"/>
      <c r="X434" s="248"/>
      <c r="Y434" s="248"/>
      <c r="Z434" s="248"/>
      <c r="AA434" s="248"/>
      <c r="AB434" s="248"/>
    </row>
    <row r="435" spans="1:28" ht="13.8">
      <c r="A435" s="248"/>
      <c r="B435" s="248"/>
      <c r="C435" s="331"/>
      <c r="D435" s="248"/>
      <c r="E435" s="248"/>
      <c r="F435" s="248"/>
      <c r="G435" s="248"/>
      <c r="H435" s="248"/>
      <c r="I435" s="248"/>
      <c r="J435" s="248"/>
      <c r="K435" s="248"/>
      <c r="L435" s="248"/>
      <c r="M435" s="248"/>
      <c r="N435" s="248"/>
      <c r="O435" s="248"/>
      <c r="P435" s="248"/>
      <c r="Q435" s="248"/>
      <c r="R435" s="248"/>
      <c r="S435" s="248"/>
      <c r="T435" s="248"/>
      <c r="U435" s="248"/>
      <c r="V435" s="248"/>
      <c r="W435" s="248"/>
      <c r="X435" s="248"/>
      <c r="Y435" s="248"/>
      <c r="Z435" s="248"/>
      <c r="AA435" s="248"/>
      <c r="AB435" s="248"/>
    </row>
    <row r="436" spans="1:28" ht="13.8">
      <c r="A436" s="248"/>
      <c r="B436" s="248"/>
      <c r="C436" s="331"/>
      <c r="D436" s="248"/>
      <c r="E436" s="248"/>
      <c r="F436" s="248"/>
      <c r="G436" s="248"/>
      <c r="H436" s="248"/>
      <c r="I436" s="248"/>
      <c r="J436" s="248"/>
      <c r="K436" s="248"/>
      <c r="L436" s="248"/>
      <c r="M436" s="248"/>
      <c r="N436" s="248"/>
      <c r="O436" s="248"/>
      <c r="P436" s="248"/>
      <c r="Q436" s="248"/>
      <c r="R436" s="248"/>
      <c r="S436" s="248"/>
      <c r="T436" s="248"/>
      <c r="U436" s="248"/>
      <c r="V436" s="248"/>
      <c r="W436" s="248"/>
      <c r="X436" s="248"/>
      <c r="Y436" s="248"/>
      <c r="Z436" s="248"/>
      <c r="AA436" s="248"/>
      <c r="AB436" s="248"/>
    </row>
    <row r="437" spans="1:28" ht="13.8">
      <c r="A437" s="248"/>
      <c r="B437" s="248"/>
      <c r="C437" s="331"/>
      <c r="D437" s="248"/>
      <c r="E437" s="248"/>
      <c r="F437" s="248"/>
      <c r="G437" s="248"/>
      <c r="H437" s="248"/>
      <c r="I437" s="248"/>
      <c r="J437" s="248"/>
      <c r="K437" s="248"/>
      <c r="L437" s="248"/>
      <c r="M437" s="248"/>
      <c r="N437" s="248"/>
      <c r="O437" s="248"/>
      <c r="P437" s="248"/>
      <c r="Q437" s="248"/>
      <c r="R437" s="248"/>
      <c r="S437" s="248"/>
      <c r="T437" s="248"/>
      <c r="U437" s="248"/>
      <c r="V437" s="248"/>
      <c r="W437" s="248"/>
      <c r="X437" s="248"/>
      <c r="Y437" s="248"/>
      <c r="Z437" s="248"/>
      <c r="AA437" s="248"/>
      <c r="AB437" s="248"/>
    </row>
    <row r="438" spans="1:28" ht="13.8">
      <c r="A438" s="248"/>
      <c r="B438" s="248"/>
      <c r="C438" s="331"/>
      <c r="D438" s="248"/>
      <c r="E438" s="248"/>
      <c r="F438" s="248"/>
      <c r="G438" s="248"/>
      <c r="H438" s="248"/>
      <c r="I438" s="248"/>
      <c r="J438" s="248"/>
      <c r="K438" s="248"/>
      <c r="L438" s="248"/>
      <c r="M438" s="248"/>
      <c r="N438" s="248"/>
      <c r="O438" s="248"/>
      <c r="P438" s="248"/>
      <c r="Q438" s="248"/>
      <c r="R438" s="248"/>
      <c r="S438" s="248"/>
      <c r="T438" s="248"/>
      <c r="U438" s="248"/>
      <c r="V438" s="248"/>
      <c r="W438" s="248"/>
      <c r="X438" s="248"/>
      <c r="Y438" s="248"/>
      <c r="Z438" s="248"/>
      <c r="AA438" s="248"/>
      <c r="AB438" s="248"/>
    </row>
    <row r="439" spans="1:28" ht="13.8">
      <c r="A439" s="248"/>
      <c r="B439" s="248"/>
      <c r="C439" s="331"/>
      <c r="D439" s="248"/>
      <c r="E439" s="248"/>
      <c r="F439" s="248"/>
      <c r="G439" s="248"/>
      <c r="H439" s="248"/>
      <c r="I439" s="248"/>
      <c r="J439" s="248"/>
      <c r="K439" s="248"/>
      <c r="L439" s="248"/>
      <c r="M439" s="248"/>
      <c r="N439" s="248"/>
      <c r="O439" s="248"/>
      <c r="P439" s="248"/>
      <c r="Q439" s="248"/>
      <c r="R439" s="248"/>
      <c r="S439" s="248"/>
      <c r="T439" s="248"/>
      <c r="U439" s="248"/>
      <c r="V439" s="248"/>
      <c r="W439" s="248"/>
      <c r="X439" s="248"/>
      <c r="Y439" s="248"/>
      <c r="Z439" s="248"/>
      <c r="AA439" s="248"/>
      <c r="AB439" s="248"/>
    </row>
    <row r="440" spans="1:28" ht="13.8">
      <c r="A440" s="248"/>
      <c r="B440" s="248"/>
      <c r="C440" s="331"/>
      <c r="D440" s="248"/>
      <c r="E440" s="248"/>
      <c r="F440" s="248"/>
      <c r="G440" s="248"/>
      <c r="H440" s="248"/>
      <c r="I440" s="248"/>
      <c r="J440" s="248"/>
      <c r="K440" s="248"/>
      <c r="L440" s="248"/>
      <c r="M440" s="248"/>
      <c r="N440" s="248"/>
      <c r="O440" s="248"/>
      <c r="P440" s="248"/>
      <c r="Q440" s="248"/>
      <c r="R440" s="248"/>
      <c r="S440" s="248"/>
      <c r="T440" s="248"/>
      <c r="U440" s="248"/>
      <c r="V440" s="248"/>
      <c r="W440" s="248"/>
      <c r="X440" s="248"/>
      <c r="Y440" s="248"/>
      <c r="Z440" s="248"/>
      <c r="AA440" s="248"/>
      <c r="AB440" s="248"/>
    </row>
    <row r="441" spans="1:28" ht="13.8">
      <c r="A441" s="248"/>
      <c r="B441" s="248"/>
      <c r="C441" s="331"/>
      <c r="D441" s="248"/>
      <c r="E441" s="248"/>
      <c r="F441" s="248"/>
      <c r="G441" s="248"/>
      <c r="H441" s="248"/>
      <c r="I441" s="248"/>
      <c r="J441" s="248"/>
      <c r="K441" s="248"/>
      <c r="L441" s="248"/>
      <c r="M441" s="248"/>
      <c r="N441" s="248"/>
      <c r="O441" s="248"/>
      <c r="P441" s="248"/>
      <c r="Q441" s="248"/>
      <c r="R441" s="248"/>
      <c r="S441" s="248"/>
      <c r="T441" s="248"/>
      <c r="U441" s="248"/>
      <c r="V441" s="248"/>
      <c r="W441" s="248"/>
      <c r="X441" s="248"/>
      <c r="Y441" s="248"/>
      <c r="Z441" s="248"/>
      <c r="AA441" s="248"/>
      <c r="AB441" s="248"/>
    </row>
    <row r="442" spans="1:28" ht="13.8">
      <c r="A442" s="248"/>
      <c r="B442" s="248"/>
      <c r="C442" s="331"/>
      <c r="D442" s="248"/>
      <c r="E442" s="248"/>
      <c r="F442" s="248"/>
      <c r="G442" s="248"/>
      <c r="H442" s="248"/>
      <c r="I442" s="248"/>
      <c r="J442" s="248"/>
      <c r="K442" s="248"/>
      <c r="L442" s="248"/>
      <c r="M442" s="248"/>
      <c r="N442" s="248"/>
      <c r="O442" s="248"/>
      <c r="P442" s="248"/>
      <c r="Q442" s="248"/>
      <c r="R442" s="248"/>
      <c r="S442" s="248"/>
      <c r="T442" s="248"/>
      <c r="U442" s="248"/>
      <c r="V442" s="248"/>
      <c r="W442" s="248"/>
      <c r="X442" s="248"/>
      <c r="Y442" s="248"/>
      <c r="Z442" s="248"/>
      <c r="AA442" s="248"/>
      <c r="AB442" s="248"/>
    </row>
    <row r="443" spans="1:28" ht="13.8">
      <c r="A443" s="248"/>
      <c r="B443" s="248"/>
      <c r="C443" s="331"/>
      <c r="D443" s="248"/>
      <c r="E443" s="248"/>
      <c r="F443" s="248"/>
      <c r="G443" s="248"/>
      <c r="H443" s="248"/>
      <c r="I443" s="248"/>
      <c r="J443" s="248"/>
      <c r="K443" s="248"/>
      <c r="L443" s="248"/>
      <c r="M443" s="248"/>
      <c r="N443" s="248"/>
      <c r="O443" s="248"/>
      <c r="P443" s="248"/>
      <c r="Q443" s="248"/>
      <c r="R443" s="248"/>
      <c r="S443" s="248"/>
      <c r="T443" s="248"/>
      <c r="U443" s="248"/>
      <c r="V443" s="248"/>
      <c r="W443" s="248"/>
      <c r="X443" s="248"/>
      <c r="Y443" s="248"/>
      <c r="Z443" s="248"/>
      <c r="AA443" s="248"/>
      <c r="AB443" s="248"/>
    </row>
    <row r="444" spans="1:28" ht="13.8">
      <c r="A444" s="248"/>
      <c r="B444" s="248"/>
      <c r="C444" s="331"/>
      <c r="D444" s="248"/>
      <c r="E444" s="248"/>
      <c r="F444" s="248"/>
      <c r="G444" s="248"/>
      <c r="H444" s="248"/>
      <c r="I444" s="248"/>
      <c r="J444" s="248"/>
      <c r="K444" s="248"/>
      <c r="L444" s="248"/>
      <c r="M444" s="248"/>
      <c r="N444" s="248"/>
      <c r="O444" s="248"/>
      <c r="P444" s="248"/>
      <c r="Q444" s="248"/>
      <c r="R444" s="248"/>
      <c r="S444" s="248"/>
      <c r="T444" s="248"/>
      <c r="U444" s="248"/>
      <c r="V444" s="248"/>
      <c r="W444" s="248"/>
      <c r="X444" s="248"/>
      <c r="Y444" s="248"/>
      <c r="Z444" s="248"/>
      <c r="AA444" s="248"/>
      <c r="AB444" s="248"/>
    </row>
    <row r="445" spans="1:28" ht="13.8">
      <c r="A445" s="248"/>
      <c r="B445" s="248"/>
      <c r="C445" s="331"/>
      <c r="D445" s="248"/>
      <c r="E445" s="248"/>
      <c r="F445" s="248"/>
      <c r="G445" s="248"/>
      <c r="H445" s="248"/>
      <c r="I445" s="248"/>
      <c r="J445" s="248"/>
      <c r="K445" s="248"/>
      <c r="L445" s="248"/>
      <c r="M445" s="248"/>
      <c r="N445" s="248"/>
      <c r="O445" s="248"/>
      <c r="P445" s="248"/>
      <c r="Q445" s="248"/>
      <c r="R445" s="248"/>
      <c r="S445" s="248"/>
      <c r="T445" s="248"/>
      <c r="U445" s="248"/>
      <c r="V445" s="248"/>
      <c r="W445" s="248"/>
      <c r="X445" s="248"/>
      <c r="Y445" s="248"/>
      <c r="Z445" s="248"/>
      <c r="AA445" s="248"/>
      <c r="AB445" s="248"/>
    </row>
    <row r="446" spans="1:28" ht="13.8">
      <c r="A446" s="248"/>
      <c r="B446" s="248"/>
      <c r="C446" s="331"/>
      <c r="D446" s="248"/>
      <c r="E446" s="248"/>
      <c r="F446" s="248"/>
      <c r="G446" s="248"/>
      <c r="H446" s="248"/>
      <c r="I446" s="248"/>
      <c r="J446" s="248"/>
      <c r="K446" s="248"/>
      <c r="L446" s="248"/>
      <c r="M446" s="248"/>
      <c r="N446" s="248"/>
      <c r="O446" s="248"/>
      <c r="P446" s="248"/>
      <c r="Q446" s="248"/>
      <c r="R446" s="248"/>
      <c r="S446" s="248"/>
      <c r="T446" s="248"/>
      <c r="U446" s="248"/>
      <c r="V446" s="248"/>
      <c r="W446" s="248"/>
      <c r="X446" s="248"/>
      <c r="Y446" s="248"/>
      <c r="Z446" s="248"/>
      <c r="AA446" s="248"/>
      <c r="AB446" s="248"/>
    </row>
    <row r="447" spans="1:28" ht="13.8">
      <c r="A447" s="248"/>
      <c r="B447" s="248"/>
      <c r="C447" s="331"/>
      <c r="D447" s="248"/>
      <c r="E447" s="248"/>
      <c r="F447" s="248"/>
      <c r="G447" s="248"/>
      <c r="H447" s="248"/>
      <c r="I447" s="248"/>
      <c r="J447" s="248"/>
      <c r="K447" s="248"/>
      <c r="L447" s="248"/>
      <c r="M447" s="248"/>
      <c r="N447" s="248"/>
      <c r="O447" s="248"/>
      <c r="P447" s="248"/>
      <c r="Q447" s="248"/>
      <c r="R447" s="248"/>
      <c r="S447" s="248"/>
      <c r="T447" s="248"/>
      <c r="U447" s="248"/>
      <c r="V447" s="248"/>
      <c r="W447" s="248"/>
      <c r="X447" s="248"/>
      <c r="Y447" s="248"/>
      <c r="Z447" s="248"/>
      <c r="AA447" s="248"/>
      <c r="AB447" s="248"/>
    </row>
    <row r="448" spans="1:28" ht="13.8">
      <c r="A448" s="248"/>
      <c r="B448" s="248"/>
      <c r="C448" s="331"/>
      <c r="D448" s="248"/>
      <c r="E448" s="248"/>
      <c r="F448" s="248"/>
      <c r="G448" s="248"/>
      <c r="H448" s="248"/>
      <c r="I448" s="248"/>
      <c r="J448" s="248"/>
      <c r="K448" s="248"/>
      <c r="L448" s="248"/>
      <c r="M448" s="248"/>
      <c r="N448" s="248"/>
      <c r="O448" s="248"/>
      <c r="P448" s="248"/>
      <c r="Q448" s="248"/>
      <c r="R448" s="248"/>
      <c r="S448" s="248"/>
      <c r="T448" s="248"/>
      <c r="U448" s="248"/>
      <c r="V448" s="248"/>
      <c r="W448" s="248"/>
      <c r="X448" s="248"/>
      <c r="Y448" s="248"/>
      <c r="Z448" s="248"/>
      <c r="AA448" s="248"/>
      <c r="AB448" s="248"/>
    </row>
    <row r="449" spans="1:28" ht="13.8">
      <c r="A449" s="248"/>
      <c r="B449" s="248"/>
      <c r="C449" s="331"/>
      <c r="D449" s="248"/>
      <c r="E449" s="248"/>
      <c r="F449" s="248"/>
      <c r="G449" s="248"/>
      <c r="H449" s="248"/>
      <c r="I449" s="248"/>
      <c r="J449" s="248"/>
      <c r="K449" s="248"/>
      <c r="L449" s="248"/>
      <c r="M449" s="248"/>
      <c r="N449" s="248"/>
      <c r="O449" s="248"/>
      <c r="P449" s="248"/>
      <c r="Q449" s="248"/>
      <c r="R449" s="248"/>
      <c r="S449" s="248"/>
      <c r="T449" s="248"/>
      <c r="U449" s="248"/>
      <c r="V449" s="248"/>
      <c r="W449" s="248"/>
      <c r="X449" s="248"/>
      <c r="Y449" s="248"/>
      <c r="Z449" s="248"/>
      <c r="AA449" s="248"/>
      <c r="AB449" s="248"/>
    </row>
    <row r="450" spans="1:28" ht="13.8">
      <c r="A450" s="248"/>
      <c r="B450" s="248"/>
      <c r="C450" s="331"/>
      <c r="D450" s="248"/>
      <c r="E450" s="248"/>
      <c r="F450" s="248"/>
      <c r="G450" s="248"/>
      <c r="H450" s="248"/>
      <c r="I450" s="248"/>
      <c r="J450" s="248"/>
      <c r="K450" s="248"/>
      <c r="L450" s="248"/>
      <c r="M450" s="248"/>
      <c r="N450" s="248"/>
      <c r="O450" s="248"/>
      <c r="P450" s="248"/>
      <c r="Q450" s="248"/>
      <c r="R450" s="248"/>
      <c r="S450" s="248"/>
      <c r="T450" s="248"/>
      <c r="U450" s="248"/>
      <c r="V450" s="248"/>
      <c r="W450" s="248"/>
      <c r="X450" s="248"/>
      <c r="Y450" s="248"/>
      <c r="Z450" s="248"/>
      <c r="AA450" s="248"/>
      <c r="AB450" s="248"/>
    </row>
    <row r="451" spans="1:28" ht="13.8">
      <c r="A451" s="248"/>
      <c r="B451" s="248"/>
      <c r="C451" s="331"/>
      <c r="D451" s="248"/>
      <c r="E451" s="248"/>
      <c r="F451" s="248"/>
      <c r="G451" s="248"/>
      <c r="H451" s="248"/>
      <c r="I451" s="248"/>
      <c r="J451" s="248"/>
      <c r="K451" s="248"/>
      <c r="L451" s="248"/>
      <c r="M451" s="248"/>
      <c r="N451" s="248"/>
      <c r="O451" s="248"/>
      <c r="P451" s="248"/>
      <c r="Q451" s="248"/>
      <c r="R451" s="248"/>
      <c r="S451" s="248"/>
      <c r="T451" s="248"/>
      <c r="U451" s="248"/>
      <c r="V451" s="248"/>
      <c r="W451" s="248"/>
      <c r="X451" s="248"/>
      <c r="Y451" s="248"/>
      <c r="Z451" s="248"/>
      <c r="AA451" s="248"/>
      <c r="AB451" s="248"/>
    </row>
    <row r="452" spans="1:28" ht="13.8">
      <c r="A452" s="248"/>
      <c r="B452" s="248"/>
      <c r="C452" s="331"/>
      <c r="D452" s="248"/>
      <c r="E452" s="248"/>
      <c r="F452" s="248"/>
      <c r="G452" s="248"/>
      <c r="H452" s="248"/>
      <c r="I452" s="248"/>
      <c r="J452" s="248"/>
      <c r="K452" s="248"/>
      <c r="L452" s="248"/>
      <c r="M452" s="248"/>
      <c r="N452" s="248"/>
      <c r="O452" s="248"/>
      <c r="P452" s="248"/>
      <c r="Q452" s="248"/>
      <c r="R452" s="248"/>
      <c r="S452" s="248"/>
      <c r="T452" s="248"/>
      <c r="U452" s="248"/>
      <c r="V452" s="248"/>
      <c r="W452" s="248"/>
      <c r="X452" s="248"/>
      <c r="Y452" s="248"/>
      <c r="Z452" s="248"/>
      <c r="AA452" s="248"/>
      <c r="AB452" s="248"/>
    </row>
    <row r="453" spans="1:28" ht="13.8">
      <c r="A453" s="248"/>
      <c r="B453" s="248"/>
      <c r="C453" s="331"/>
      <c r="D453" s="248"/>
      <c r="E453" s="248"/>
      <c r="F453" s="248"/>
      <c r="G453" s="248"/>
      <c r="H453" s="248"/>
      <c r="I453" s="248"/>
      <c r="J453" s="248"/>
      <c r="K453" s="248"/>
      <c r="L453" s="248"/>
      <c r="M453" s="248"/>
      <c r="N453" s="248"/>
      <c r="O453" s="248"/>
      <c r="P453" s="248"/>
      <c r="Q453" s="248"/>
      <c r="R453" s="248"/>
      <c r="S453" s="248"/>
      <c r="T453" s="248"/>
      <c r="U453" s="248"/>
      <c r="V453" s="248"/>
      <c r="W453" s="248"/>
      <c r="X453" s="248"/>
      <c r="Y453" s="248"/>
      <c r="Z453" s="248"/>
      <c r="AA453" s="248"/>
      <c r="AB453" s="248"/>
    </row>
    <row r="454" spans="1:28" ht="13.8">
      <c r="A454" s="248"/>
      <c r="B454" s="248"/>
      <c r="C454" s="331"/>
      <c r="D454" s="248"/>
      <c r="E454" s="248"/>
      <c r="F454" s="248"/>
      <c r="G454" s="248"/>
      <c r="H454" s="248"/>
      <c r="I454" s="248"/>
      <c r="J454" s="248"/>
      <c r="K454" s="248"/>
      <c r="L454" s="248"/>
      <c r="M454" s="248"/>
      <c r="N454" s="248"/>
      <c r="O454" s="248"/>
      <c r="P454" s="248"/>
      <c r="Q454" s="248"/>
      <c r="R454" s="248"/>
      <c r="S454" s="248"/>
      <c r="T454" s="248"/>
      <c r="U454" s="248"/>
      <c r="V454" s="248"/>
      <c r="W454" s="248"/>
      <c r="X454" s="248"/>
      <c r="Y454" s="248"/>
      <c r="Z454" s="248"/>
      <c r="AA454" s="248"/>
      <c r="AB454" s="248"/>
    </row>
    <row r="455" spans="1:28" ht="13.8">
      <c r="A455" s="248"/>
      <c r="B455" s="248"/>
      <c r="C455" s="331"/>
      <c r="D455" s="248"/>
      <c r="E455" s="248"/>
      <c r="F455" s="248"/>
      <c r="G455" s="248"/>
      <c r="H455" s="248"/>
      <c r="I455" s="248"/>
      <c r="J455" s="248"/>
      <c r="K455" s="248"/>
      <c r="L455" s="248"/>
      <c r="M455" s="248"/>
      <c r="N455" s="248"/>
      <c r="O455" s="248"/>
      <c r="P455" s="248"/>
      <c r="Q455" s="248"/>
      <c r="R455" s="248"/>
      <c r="S455" s="248"/>
      <c r="T455" s="248"/>
      <c r="U455" s="248"/>
      <c r="V455" s="248"/>
      <c r="W455" s="248"/>
      <c r="X455" s="248"/>
      <c r="Y455" s="248"/>
      <c r="Z455" s="248"/>
      <c r="AA455" s="248"/>
      <c r="AB455" s="248"/>
    </row>
    <row r="456" spans="1:28" ht="13.8">
      <c r="A456" s="248"/>
      <c r="B456" s="248"/>
      <c r="C456" s="331"/>
      <c r="D456" s="248"/>
      <c r="E456" s="248"/>
      <c r="F456" s="248"/>
      <c r="G456" s="248"/>
      <c r="H456" s="248"/>
      <c r="I456" s="248"/>
      <c r="J456" s="248"/>
      <c r="K456" s="248"/>
      <c r="L456" s="248"/>
      <c r="M456" s="248"/>
      <c r="N456" s="248"/>
      <c r="O456" s="248"/>
      <c r="P456" s="248"/>
      <c r="Q456" s="248"/>
      <c r="R456" s="248"/>
      <c r="S456" s="248"/>
      <c r="T456" s="248"/>
      <c r="U456" s="248"/>
      <c r="V456" s="248"/>
      <c r="W456" s="248"/>
      <c r="X456" s="248"/>
      <c r="Y456" s="248"/>
      <c r="Z456" s="248"/>
      <c r="AA456" s="248"/>
      <c r="AB456" s="248"/>
    </row>
    <row r="457" spans="1:28" ht="13.8">
      <c r="A457" s="248"/>
      <c r="B457" s="248"/>
      <c r="C457" s="331"/>
      <c r="D457" s="248"/>
      <c r="E457" s="248"/>
      <c r="F457" s="248"/>
      <c r="G457" s="248"/>
      <c r="H457" s="248"/>
      <c r="I457" s="248"/>
      <c r="J457" s="248"/>
      <c r="K457" s="248"/>
      <c r="L457" s="248"/>
      <c r="M457" s="248"/>
      <c r="N457" s="248"/>
      <c r="O457" s="248"/>
      <c r="P457" s="248"/>
      <c r="Q457" s="248"/>
      <c r="R457" s="248"/>
      <c r="S457" s="248"/>
      <c r="T457" s="248"/>
      <c r="U457" s="248"/>
      <c r="V457" s="248"/>
      <c r="W457" s="248"/>
      <c r="X457" s="248"/>
      <c r="Y457" s="248"/>
      <c r="Z457" s="248"/>
      <c r="AA457" s="248"/>
      <c r="AB457" s="248"/>
    </row>
    <row r="458" spans="1:28" ht="13.8">
      <c r="A458" s="248"/>
      <c r="B458" s="248"/>
      <c r="C458" s="331"/>
      <c r="D458" s="248"/>
      <c r="E458" s="248"/>
      <c r="F458" s="248"/>
      <c r="G458" s="248"/>
      <c r="H458" s="248"/>
      <c r="I458" s="248"/>
      <c r="J458" s="248"/>
      <c r="K458" s="248"/>
      <c r="L458" s="248"/>
      <c r="M458" s="248"/>
      <c r="N458" s="248"/>
      <c r="O458" s="248"/>
      <c r="P458" s="248"/>
      <c r="Q458" s="248"/>
      <c r="R458" s="248"/>
      <c r="S458" s="248"/>
      <c r="T458" s="248"/>
      <c r="U458" s="248"/>
      <c r="V458" s="248"/>
      <c r="W458" s="248"/>
      <c r="X458" s="248"/>
      <c r="Y458" s="248"/>
      <c r="Z458" s="248"/>
      <c r="AA458" s="248"/>
      <c r="AB458" s="248"/>
    </row>
    <row r="459" spans="1:28" ht="13.8">
      <c r="A459" s="248"/>
      <c r="B459" s="248"/>
      <c r="C459" s="331"/>
      <c r="D459" s="248"/>
      <c r="E459" s="248"/>
      <c r="F459" s="248"/>
      <c r="G459" s="248"/>
      <c r="H459" s="248"/>
      <c r="I459" s="248"/>
      <c r="J459" s="248"/>
      <c r="K459" s="248"/>
      <c r="L459" s="248"/>
      <c r="M459" s="248"/>
      <c r="N459" s="248"/>
      <c r="O459" s="248"/>
      <c r="P459" s="248"/>
      <c r="Q459" s="248"/>
      <c r="R459" s="248"/>
      <c r="S459" s="248"/>
      <c r="T459" s="248"/>
      <c r="U459" s="248"/>
      <c r="V459" s="248"/>
      <c r="W459" s="248"/>
      <c r="X459" s="248"/>
      <c r="Y459" s="248"/>
      <c r="Z459" s="248"/>
      <c r="AA459" s="248"/>
      <c r="AB459" s="248"/>
    </row>
    <row r="460" spans="1:28" ht="13.8">
      <c r="A460" s="248"/>
      <c r="B460" s="248"/>
      <c r="C460" s="331"/>
      <c r="D460" s="248"/>
      <c r="E460" s="248"/>
      <c r="F460" s="248"/>
      <c r="G460" s="248"/>
      <c r="H460" s="248"/>
      <c r="I460" s="248"/>
      <c r="J460" s="248"/>
      <c r="K460" s="248"/>
      <c r="L460" s="248"/>
      <c r="M460" s="248"/>
      <c r="N460" s="248"/>
      <c r="O460" s="248"/>
      <c r="P460" s="248"/>
      <c r="Q460" s="248"/>
      <c r="R460" s="248"/>
      <c r="S460" s="248"/>
      <c r="T460" s="248"/>
      <c r="U460" s="248"/>
      <c r="V460" s="248"/>
      <c r="W460" s="248"/>
      <c r="X460" s="248"/>
      <c r="Y460" s="248"/>
      <c r="Z460" s="248"/>
      <c r="AA460" s="248"/>
      <c r="AB460" s="248"/>
    </row>
    <row r="461" spans="1:28" ht="13.8">
      <c r="A461" s="248"/>
      <c r="B461" s="248"/>
      <c r="C461" s="331"/>
      <c r="D461" s="248"/>
      <c r="E461" s="248"/>
      <c r="F461" s="248"/>
      <c r="G461" s="248"/>
      <c r="H461" s="248"/>
      <c r="I461" s="248"/>
      <c r="J461" s="248"/>
      <c r="K461" s="248"/>
      <c r="L461" s="248"/>
      <c r="M461" s="248"/>
      <c r="N461" s="248"/>
      <c r="O461" s="248"/>
      <c r="P461" s="248"/>
      <c r="Q461" s="248"/>
      <c r="R461" s="248"/>
      <c r="S461" s="248"/>
      <c r="T461" s="248"/>
      <c r="U461" s="248"/>
      <c r="V461" s="248"/>
      <c r="W461" s="248"/>
      <c r="X461" s="248"/>
      <c r="Y461" s="248"/>
      <c r="Z461" s="248"/>
      <c r="AA461" s="248"/>
      <c r="AB461" s="248"/>
    </row>
    <row r="462" spans="1:28" ht="13.8">
      <c r="A462" s="248"/>
      <c r="B462" s="248"/>
      <c r="C462" s="331"/>
      <c r="D462" s="248"/>
      <c r="E462" s="248"/>
      <c r="F462" s="248"/>
      <c r="G462" s="248"/>
      <c r="H462" s="248"/>
      <c r="I462" s="248"/>
      <c r="J462" s="248"/>
      <c r="K462" s="248"/>
      <c r="L462" s="248"/>
      <c r="M462" s="248"/>
      <c r="N462" s="248"/>
      <c r="O462" s="248"/>
      <c r="P462" s="248"/>
      <c r="Q462" s="248"/>
      <c r="R462" s="248"/>
      <c r="S462" s="248"/>
      <c r="T462" s="248"/>
      <c r="U462" s="248"/>
      <c r="V462" s="248"/>
      <c r="W462" s="248"/>
      <c r="X462" s="248"/>
      <c r="Y462" s="248"/>
      <c r="Z462" s="248"/>
      <c r="AA462" s="248"/>
      <c r="AB462" s="248"/>
    </row>
    <row r="463" spans="1:28" ht="13.8">
      <c r="A463" s="248"/>
      <c r="B463" s="248"/>
      <c r="C463" s="331"/>
      <c r="D463" s="248"/>
      <c r="E463" s="248"/>
      <c r="F463" s="248"/>
      <c r="G463" s="248"/>
      <c r="H463" s="248"/>
      <c r="I463" s="248"/>
      <c r="J463" s="248"/>
      <c r="K463" s="248"/>
      <c r="L463" s="248"/>
      <c r="M463" s="248"/>
      <c r="N463" s="248"/>
      <c r="O463" s="248"/>
      <c r="P463" s="248"/>
      <c r="Q463" s="248"/>
      <c r="R463" s="248"/>
      <c r="S463" s="248"/>
      <c r="T463" s="248"/>
      <c r="U463" s="248"/>
      <c r="V463" s="248"/>
      <c r="W463" s="248"/>
      <c r="X463" s="248"/>
      <c r="Y463" s="248"/>
      <c r="Z463" s="248"/>
      <c r="AA463" s="248"/>
      <c r="AB463" s="248"/>
    </row>
    <row r="464" spans="1:28" ht="13.8">
      <c r="A464" s="248"/>
      <c r="B464" s="248"/>
      <c r="C464" s="331"/>
      <c r="D464" s="248"/>
      <c r="E464" s="248"/>
      <c r="F464" s="248"/>
      <c r="G464" s="248"/>
      <c r="H464" s="248"/>
      <c r="I464" s="248"/>
      <c r="J464" s="248"/>
      <c r="K464" s="248"/>
      <c r="L464" s="248"/>
      <c r="M464" s="248"/>
      <c r="N464" s="248"/>
      <c r="O464" s="248"/>
      <c r="P464" s="248"/>
      <c r="Q464" s="248"/>
      <c r="R464" s="248"/>
      <c r="S464" s="248"/>
      <c r="T464" s="248"/>
      <c r="U464" s="248"/>
      <c r="V464" s="248"/>
      <c r="W464" s="248"/>
      <c r="X464" s="248"/>
      <c r="Y464" s="248"/>
      <c r="Z464" s="248"/>
      <c r="AA464" s="248"/>
      <c r="AB464" s="248"/>
    </row>
    <row r="465" spans="1:28" ht="13.8">
      <c r="A465" s="248"/>
      <c r="B465" s="248"/>
      <c r="C465" s="331"/>
      <c r="D465" s="248"/>
      <c r="E465" s="248"/>
      <c r="F465" s="248"/>
      <c r="G465" s="248"/>
      <c r="H465" s="248"/>
      <c r="I465" s="248"/>
      <c r="J465" s="248"/>
      <c r="K465" s="248"/>
      <c r="L465" s="248"/>
      <c r="M465" s="248"/>
      <c r="N465" s="248"/>
      <c r="O465" s="248"/>
      <c r="P465" s="248"/>
      <c r="Q465" s="248"/>
      <c r="R465" s="248"/>
      <c r="S465" s="248"/>
      <c r="T465" s="248"/>
      <c r="U465" s="248"/>
      <c r="V465" s="248"/>
      <c r="W465" s="248"/>
      <c r="X465" s="248"/>
      <c r="Y465" s="248"/>
      <c r="Z465" s="248"/>
      <c r="AA465" s="248"/>
      <c r="AB465" s="248"/>
    </row>
    <row r="466" spans="1:28" ht="13.8">
      <c r="A466" s="248"/>
      <c r="B466" s="248"/>
      <c r="C466" s="331"/>
      <c r="D466" s="248"/>
      <c r="E466" s="248"/>
      <c r="F466" s="248"/>
      <c r="G466" s="248"/>
      <c r="H466" s="248"/>
      <c r="I466" s="248"/>
      <c r="J466" s="248"/>
      <c r="K466" s="248"/>
      <c r="L466" s="248"/>
      <c r="M466" s="248"/>
      <c r="N466" s="248"/>
      <c r="O466" s="248"/>
      <c r="P466" s="248"/>
      <c r="Q466" s="248"/>
      <c r="R466" s="248"/>
      <c r="S466" s="248"/>
      <c r="T466" s="248"/>
      <c r="U466" s="248"/>
      <c r="V466" s="248"/>
      <c r="W466" s="248"/>
      <c r="X466" s="248"/>
      <c r="Y466" s="248"/>
      <c r="Z466" s="248"/>
      <c r="AA466" s="248"/>
      <c r="AB466" s="248"/>
    </row>
    <row r="467" spans="1:28" ht="13.8">
      <c r="A467" s="248"/>
      <c r="B467" s="248"/>
      <c r="C467" s="331"/>
      <c r="D467" s="248"/>
      <c r="E467" s="248"/>
      <c r="F467" s="248"/>
      <c r="G467" s="248"/>
      <c r="H467" s="248"/>
      <c r="I467" s="248"/>
      <c r="J467" s="248"/>
      <c r="K467" s="248"/>
      <c r="L467" s="248"/>
      <c r="M467" s="248"/>
      <c r="N467" s="248"/>
      <c r="O467" s="248"/>
      <c r="P467" s="248"/>
      <c r="Q467" s="248"/>
      <c r="R467" s="248"/>
      <c r="S467" s="248"/>
      <c r="T467" s="248"/>
      <c r="U467" s="248"/>
      <c r="V467" s="248"/>
      <c r="W467" s="248"/>
      <c r="X467" s="248"/>
      <c r="Y467" s="248"/>
      <c r="Z467" s="248"/>
      <c r="AA467" s="248"/>
      <c r="AB467" s="248"/>
    </row>
    <row r="468" spans="1:28" ht="13.8">
      <c r="A468" s="248"/>
      <c r="B468" s="248"/>
      <c r="C468" s="331"/>
      <c r="D468" s="248"/>
      <c r="E468" s="248"/>
      <c r="F468" s="248"/>
      <c r="G468" s="248"/>
      <c r="H468" s="248"/>
      <c r="I468" s="248"/>
      <c r="J468" s="248"/>
      <c r="K468" s="248"/>
      <c r="L468" s="248"/>
      <c r="M468" s="248"/>
      <c r="N468" s="248"/>
      <c r="O468" s="248"/>
      <c r="P468" s="248"/>
      <c r="Q468" s="248"/>
      <c r="R468" s="248"/>
      <c r="S468" s="248"/>
      <c r="T468" s="248"/>
      <c r="U468" s="248"/>
      <c r="V468" s="248"/>
      <c r="W468" s="248"/>
      <c r="X468" s="248"/>
      <c r="Y468" s="248"/>
      <c r="Z468" s="248"/>
      <c r="AA468" s="248"/>
      <c r="AB468" s="248"/>
    </row>
    <row r="469" spans="1:28" ht="13.8">
      <c r="A469" s="248"/>
      <c r="B469" s="248"/>
      <c r="C469" s="331"/>
      <c r="D469" s="248"/>
      <c r="E469" s="248"/>
      <c r="F469" s="248"/>
      <c r="G469" s="248"/>
      <c r="H469" s="248"/>
      <c r="I469" s="248"/>
      <c r="J469" s="248"/>
      <c r="K469" s="248"/>
      <c r="L469" s="248"/>
      <c r="M469" s="248"/>
      <c r="N469" s="248"/>
      <c r="O469" s="248"/>
      <c r="P469" s="248"/>
      <c r="Q469" s="248"/>
      <c r="R469" s="248"/>
      <c r="S469" s="248"/>
      <c r="T469" s="248"/>
      <c r="U469" s="248"/>
      <c r="V469" s="248"/>
      <c r="W469" s="248"/>
      <c r="X469" s="248"/>
      <c r="Y469" s="248"/>
      <c r="Z469" s="248"/>
      <c r="AA469" s="248"/>
      <c r="AB469" s="248"/>
    </row>
    <row r="470" spans="1:28" ht="13.8">
      <c r="A470" s="248"/>
      <c r="B470" s="248"/>
      <c r="C470" s="331"/>
      <c r="D470" s="248"/>
      <c r="E470" s="248"/>
      <c r="F470" s="248"/>
      <c r="G470" s="248"/>
      <c r="H470" s="248"/>
      <c r="I470" s="248"/>
      <c r="J470" s="248"/>
      <c r="K470" s="248"/>
      <c r="L470" s="248"/>
      <c r="M470" s="248"/>
      <c r="N470" s="248"/>
      <c r="O470" s="248"/>
      <c r="P470" s="248"/>
      <c r="Q470" s="248"/>
      <c r="R470" s="248"/>
      <c r="S470" s="248"/>
      <c r="T470" s="248"/>
      <c r="U470" s="248"/>
      <c r="V470" s="248"/>
      <c r="W470" s="248"/>
      <c r="X470" s="248"/>
      <c r="Y470" s="248"/>
      <c r="Z470" s="248"/>
      <c r="AA470" s="248"/>
      <c r="AB470" s="248"/>
    </row>
    <row r="471" spans="1:28" ht="13.8">
      <c r="A471" s="248"/>
      <c r="B471" s="248"/>
      <c r="C471" s="331"/>
      <c r="D471" s="248"/>
      <c r="E471" s="248"/>
      <c r="F471" s="248"/>
      <c r="G471" s="248"/>
      <c r="H471" s="248"/>
      <c r="I471" s="248"/>
      <c r="J471" s="248"/>
      <c r="K471" s="248"/>
      <c r="L471" s="248"/>
      <c r="M471" s="248"/>
      <c r="N471" s="248"/>
      <c r="O471" s="248"/>
      <c r="P471" s="248"/>
      <c r="Q471" s="248"/>
      <c r="R471" s="248"/>
      <c r="S471" s="248"/>
      <c r="T471" s="248"/>
      <c r="U471" s="248"/>
      <c r="V471" s="248"/>
      <c r="W471" s="248"/>
      <c r="X471" s="248"/>
      <c r="Y471" s="248"/>
      <c r="Z471" s="248"/>
      <c r="AA471" s="248"/>
      <c r="AB471" s="248"/>
    </row>
    <row r="472" spans="1:28" ht="13.8">
      <c r="A472" s="248"/>
      <c r="B472" s="248"/>
      <c r="C472" s="331"/>
      <c r="D472" s="248"/>
      <c r="E472" s="248"/>
      <c r="F472" s="248"/>
      <c r="G472" s="248"/>
      <c r="H472" s="248"/>
      <c r="I472" s="248"/>
      <c r="J472" s="248"/>
      <c r="K472" s="248"/>
      <c r="L472" s="248"/>
      <c r="M472" s="248"/>
      <c r="N472" s="248"/>
      <c r="O472" s="248"/>
      <c r="P472" s="248"/>
      <c r="Q472" s="248"/>
      <c r="R472" s="248"/>
      <c r="S472" s="248"/>
      <c r="T472" s="248"/>
      <c r="U472" s="248"/>
      <c r="V472" s="248"/>
      <c r="W472" s="248"/>
      <c r="X472" s="248"/>
      <c r="Y472" s="248"/>
      <c r="Z472" s="248"/>
      <c r="AA472" s="248"/>
      <c r="AB472" s="248"/>
    </row>
    <row r="473" spans="1:28" ht="13.8">
      <c r="A473" s="248"/>
      <c r="B473" s="248"/>
      <c r="C473" s="331"/>
      <c r="D473" s="248"/>
      <c r="E473" s="248"/>
      <c r="F473" s="248"/>
      <c r="G473" s="248"/>
      <c r="H473" s="248"/>
      <c r="I473" s="248"/>
      <c r="J473" s="248"/>
      <c r="K473" s="248"/>
      <c r="L473" s="248"/>
      <c r="M473" s="248"/>
      <c r="N473" s="248"/>
      <c r="O473" s="248"/>
      <c r="P473" s="248"/>
      <c r="Q473" s="248"/>
      <c r="R473" s="248"/>
      <c r="S473" s="248"/>
      <c r="T473" s="248"/>
      <c r="U473" s="248"/>
      <c r="V473" s="248"/>
      <c r="W473" s="248"/>
      <c r="X473" s="248"/>
      <c r="Y473" s="248"/>
      <c r="Z473" s="248"/>
      <c r="AA473" s="248"/>
      <c r="AB473" s="248"/>
    </row>
    <row r="474" spans="1:28" ht="13.8">
      <c r="A474" s="248"/>
      <c r="B474" s="248"/>
      <c r="C474" s="331"/>
      <c r="D474" s="248"/>
      <c r="E474" s="248"/>
      <c r="F474" s="248"/>
      <c r="G474" s="248"/>
      <c r="H474" s="248"/>
      <c r="I474" s="248"/>
      <c r="J474" s="248"/>
      <c r="K474" s="248"/>
      <c r="L474" s="248"/>
      <c r="M474" s="248"/>
      <c r="N474" s="248"/>
      <c r="O474" s="248"/>
      <c r="P474" s="248"/>
      <c r="Q474" s="248"/>
      <c r="R474" s="248"/>
      <c r="S474" s="248"/>
      <c r="T474" s="248"/>
      <c r="U474" s="248"/>
      <c r="V474" s="248"/>
      <c r="W474" s="248"/>
      <c r="X474" s="248"/>
      <c r="Y474" s="248"/>
      <c r="Z474" s="248"/>
      <c r="AA474" s="248"/>
      <c r="AB474" s="248"/>
    </row>
    <row r="475" spans="1:28" ht="13.8">
      <c r="A475" s="248"/>
      <c r="B475" s="248"/>
      <c r="C475" s="331"/>
      <c r="D475" s="248"/>
      <c r="E475" s="248"/>
      <c r="F475" s="248"/>
      <c r="G475" s="248"/>
      <c r="H475" s="248"/>
      <c r="I475" s="248"/>
      <c r="J475" s="248"/>
      <c r="K475" s="248"/>
      <c r="L475" s="248"/>
      <c r="M475" s="248"/>
      <c r="N475" s="248"/>
      <c r="O475" s="248"/>
      <c r="P475" s="248"/>
      <c r="Q475" s="248"/>
      <c r="R475" s="248"/>
      <c r="S475" s="248"/>
      <c r="T475" s="248"/>
      <c r="U475" s="248"/>
      <c r="V475" s="248"/>
      <c r="W475" s="248"/>
      <c r="X475" s="248"/>
      <c r="Y475" s="248"/>
      <c r="Z475" s="248"/>
      <c r="AA475" s="248"/>
      <c r="AB475" s="248"/>
    </row>
    <row r="476" spans="1:28" ht="13.8">
      <c r="A476" s="248"/>
      <c r="B476" s="248"/>
      <c r="C476" s="331"/>
      <c r="D476" s="248"/>
      <c r="E476" s="248"/>
      <c r="F476" s="248"/>
      <c r="G476" s="248"/>
      <c r="H476" s="248"/>
      <c r="I476" s="248"/>
      <c r="J476" s="248"/>
      <c r="K476" s="248"/>
      <c r="L476" s="248"/>
      <c r="M476" s="248"/>
      <c r="N476" s="248"/>
      <c r="O476" s="248"/>
      <c r="P476" s="248"/>
      <c r="Q476" s="248"/>
      <c r="R476" s="248"/>
      <c r="S476" s="248"/>
      <c r="T476" s="248"/>
      <c r="U476" s="248"/>
      <c r="V476" s="248"/>
      <c r="W476" s="248"/>
      <c r="X476" s="248"/>
      <c r="Y476" s="248"/>
      <c r="Z476" s="248"/>
      <c r="AA476" s="248"/>
      <c r="AB476" s="248"/>
    </row>
    <row r="477" spans="1:28" ht="13.8">
      <c r="A477" s="248"/>
      <c r="B477" s="248"/>
      <c r="C477" s="331"/>
      <c r="D477" s="248"/>
      <c r="E477" s="248"/>
      <c r="F477" s="248"/>
      <c r="G477" s="248"/>
      <c r="H477" s="248"/>
      <c r="I477" s="248"/>
      <c r="J477" s="248"/>
      <c r="K477" s="248"/>
      <c r="L477" s="248"/>
      <c r="M477" s="248"/>
      <c r="N477" s="248"/>
      <c r="O477" s="248"/>
      <c r="P477" s="248"/>
      <c r="Q477" s="248"/>
      <c r="R477" s="248"/>
      <c r="S477" s="248"/>
      <c r="T477" s="248"/>
      <c r="U477" s="248"/>
      <c r="V477" s="248"/>
      <c r="W477" s="248"/>
      <c r="X477" s="248"/>
      <c r="Y477" s="248"/>
      <c r="Z477" s="248"/>
      <c r="AA477" s="248"/>
      <c r="AB477" s="248"/>
    </row>
    <row r="478" spans="1:28" ht="13.8">
      <c r="A478" s="248"/>
      <c r="B478" s="248"/>
      <c r="C478" s="331"/>
      <c r="D478" s="248"/>
      <c r="E478" s="248"/>
      <c r="F478" s="248"/>
      <c r="G478" s="248"/>
      <c r="H478" s="248"/>
      <c r="I478" s="248"/>
      <c r="J478" s="248"/>
      <c r="K478" s="248"/>
      <c r="L478" s="248"/>
      <c r="M478" s="248"/>
      <c r="N478" s="248"/>
      <c r="O478" s="248"/>
      <c r="P478" s="248"/>
      <c r="Q478" s="248"/>
      <c r="R478" s="248"/>
      <c r="S478" s="248"/>
      <c r="T478" s="248"/>
      <c r="U478" s="248"/>
      <c r="V478" s="248"/>
      <c r="W478" s="248"/>
      <c r="X478" s="248"/>
      <c r="Y478" s="248"/>
      <c r="Z478" s="248"/>
      <c r="AA478" s="248"/>
      <c r="AB478" s="248"/>
    </row>
    <row r="479" spans="1:28" ht="13.8">
      <c r="A479" s="248"/>
      <c r="B479" s="248"/>
      <c r="C479" s="331"/>
      <c r="D479" s="248"/>
      <c r="E479" s="248"/>
      <c r="F479" s="248"/>
      <c r="G479" s="248"/>
      <c r="H479" s="248"/>
      <c r="I479" s="248"/>
      <c r="J479" s="248"/>
      <c r="K479" s="248"/>
      <c r="L479" s="248"/>
      <c r="M479" s="248"/>
      <c r="N479" s="248"/>
      <c r="O479" s="248"/>
      <c r="P479" s="248"/>
      <c r="Q479" s="248"/>
      <c r="R479" s="248"/>
      <c r="S479" s="248"/>
      <c r="T479" s="248"/>
      <c r="U479" s="248"/>
      <c r="V479" s="248"/>
      <c r="W479" s="248"/>
      <c r="X479" s="248"/>
      <c r="Y479" s="248"/>
      <c r="Z479" s="248"/>
      <c r="AA479" s="248"/>
      <c r="AB479" s="248"/>
    </row>
    <row r="480" spans="1:28" ht="13.8">
      <c r="A480" s="248"/>
      <c r="B480" s="248"/>
      <c r="C480" s="331"/>
      <c r="D480" s="248"/>
      <c r="E480" s="248"/>
      <c r="F480" s="248"/>
      <c r="G480" s="248"/>
      <c r="H480" s="248"/>
      <c r="I480" s="248"/>
      <c r="J480" s="248"/>
      <c r="K480" s="248"/>
      <c r="L480" s="248"/>
      <c r="M480" s="248"/>
      <c r="N480" s="248"/>
      <c r="O480" s="248"/>
      <c r="P480" s="248"/>
      <c r="Q480" s="248"/>
      <c r="R480" s="248"/>
      <c r="S480" s="248"/>
      <c r="T480" s="248"/>
      <c r="U480" s="248"/>
      <c r="V480" s="248"/>
      <c r="W480" s="248"/>
      <c r="X480" s="248"/>
      <c r="Y480" s="248"/>
      <c r="Z480" s="248"/>
      <c r="AA480" s="248"/>
      <c r="AB480" s="248"/>
    </row>
    <row r="481" spans="1:28" ht="13.8">
      <c r="A481" s="248"/>
      <c r="B481" s="248"/>
      <c r="C481" s="331"/>
      <c r="D481" s="248"/>
      <c r="E481" s="248"/>
      <c r="F481" s="248"/>
      <c r="G481" s="248"/>
      <c r="H481" s="248"/>
      <c r="I481" s="248"/>
      <c r="J481" s="248"/>
      <c r="K481" s="248"/>
      <c r="L481" s="248"/>
      <c r="M481" s="248"/>
      <c r="N481" s="248"/>
      <c r="O481" s="248"/>
      <c r="P481" s="248"/>
      <c r="Q481" s="248"/>
      <c r="R481" s="248"/>
      <c r="S481" s="248"/>
      <c r="T481" s="248"/>
      <c r="U481" s="248"/>
      <c r="V481" s="248"/>
      <c r="W481" s="248"/>
      <c r="X481" s="248"/>
      <c r="Y481" s="248"/>
      <c r="Z481" s="248"/>
      <c r="AA481" s="248"/>
      <c r="AB481" s="248"/>
    </row>
    <row r="482" spans="1:28" ht="13.8">
      <c r="A482" s="248"/>
      <c r="B482" s="248"/>
      <c r="C482" s="331"/>
      <c r="D482" s="248"/>
      <c r="E482" s="248"/>
      <c r="F482" s="248"/>
      <c r="G482" s="248"/>
      <c r="H482" s="248"/>
      <c r="I482" s="248"/>
      <c r="J482" s="248"/>
      <c r="K482" s="248"/>
      <c r="L482" s="248"/>
      <c r="M482" s="248"/>
      <c r="N482" s="248"/>
      <c r="O482" s="248"/>
      <c r="P482" s="248"/>
      <c r="Q482" s="248"/>
      <c r="R482" s="248"/>
      <c r="S482" s="248"/>
      <c r="T482" s="248"/>
      <c r="U482" s="248"/>
      <c r="V482" s="248"/>
      <c r="W482" s="248"/>
      <c r="X482" s="248"/>
      <c r="Y482" s="248"/>
      <c r="Z482" s="248"/>
      <c r="AA482" s="248"/>
      <c r="AB482" s="248"/>
    </row>
    <row r="483" spans="1:28" ht="13.8">
      <c r="A483" s="248"/>
      <c r="B483" s="248"/>
      <c r="C483" s="331"/>
      <c r="D483" s="248"/>
      <c r="E483" s="248"/>
      <c r="F483" s="248"/>
      <c r="G483" s="248"/>
      <c r="H483" s="248"/>
      <c r="I483" s="248"/>
      <c r="J483" s="248"/>
      <c r="K483" s="248"/>
      <c r="L483" s="248"/>
      <c r="M483" s="248"/>
      <c r="N483" s="248"/>
      <c r="O483" s="248"/>
      <c r="P483" s="248"/>
      <c r="Q483" s="248"/>
      <c r="R483" s="248"/>
      <c r="S483" s="248"/>
      <c r="T483" s="248"/>
      <c r="U483" s="248"/>
      <c r="V483" s="248"/>
      <c r="W483" s="248"/>
      <c r="X483" s="248"/>
      <c r="Y483" s="248"/>
      <c r="Z483" s="248"/>
      <c r="AA483" s="248"/>
      <c r="AB483" s="248"/>
    </row>
    <row r="484" spans="1:28" ht="13.8">
      <c r="A484" s="248"/>
      <c r="B484" s="248"/>
      <c r="C484" s="331"/>
      <c r="D484" s="248"/>
      <c r="E484" s="248"/>
      <c r="F484" s="248"/>
      <c r="G484" s="248"/>
      <c r="H484" s="248"/>
      <c r="I484" s="248"/>
      <c r="J484" s="248"/>
      <c r="K484" s="248"/>
      <c r="L484" s="248"/>
      <c r="M484" s="248"/>
      <c r="N484" s="248"/>
      <c r="O484" s="248"/>
      <c r="P484" s="248"/>
      <c r="Q484" s="248"/>
      <c r="R484" s="248"/>
      <c r="S484" s="248"/>
      <c r="T484" s="248"/>
      <c r="U484" s="248"/>
      <c r="V484" s="248"/>
      <c r="W484" s="248"/>
      <c r="X484" s="248"/>
      <c r="Y484" s="248"/>
      <c r="Z484" s="248"/>
      <c r="AA484" s="248"/>
      <c r="AB484" s="248"/>
    </row>
    <row r="485" spans="1:28" ht="13.8">
      <c r="A485" s="248"/>
      <c r="B485" s="248"/>
      <c r="C485" s="331"/>
      <c r="D485" s="248"/>
      <c r="E485" s="248"/>
      <c r="F485" s="248"/>
      <c r="G485" s="248"/>
      <c r="H485" s="248"/>
      <c r="I485" s="248"/>
      <c r="J485" s="248"/>
      <c r="K485" s="248"/>
      <c r="L485" s="248"/>
      <c r="M485" s="248"/>
      <c r="N485" s="248"/>
      <c r="O485" s="248"/>
      <c r="P485" s="248"/>
      <c r="Q485" s="248"/>
      <c r="R485" s="248"/>
      <c r="S485" s="248"/>
      <c r="T485" s="248"/>
      <c r="U485" s="248"/>
      <c r="V485" s="248"/>
      <c r="W485" s="248"/>
      <c r="X485" s="248"/>
      <c r="Y485" s="248"/>
      <c r="Z485" s="248"/>
      <c r="AA485" s="248"/>
      <c r="AB485" s="248"/>
    </row>
    <row r="486" spans="1:28" ht="13.8">
      <c r="A486" s="248"/>
      <c r="B486" s="248"/>
      <c r="C486" s="331"/>
      <c r="D486" s="248"/>
      <c r="E486" s="248"/>
      <c r="F486" s="248"/>
      <c r="G486" s="248"/>
      <c r="H486" s="248"/>
      <c r="I486" s="248"/>
      <c r="J486" s="248"/>
      <c r="K486" s="248"/>
      <c r="L486" s="248"/>
      <c r="M486" s="248"/>
      <c r="N486" s="248"/>
      <c r="O486" s="248"/>
      <c r="P486" s="248"/>
      <c r="Q486" s="248"/>
      <c r="R486" s="248"/>
      <c r="S486" s="248"/>
      <c r="T486" s="248"/>
      <c r="U486" s="248"/>
      <c r="V486" s="248"/>
      <c r="W486" s="248"/>
      <c r="X486" s="248"/>
      <c r="Y486" s="248"/>
      <c r="Z486" s="248"/>
      <c r="AA486" s="248"/>
      <c r="AB486" s="248"/>
    </row>
    <row r="487" spans="1:28" ht="13.8">
      <c r="A487" s="248"/>
      <c r="B487" s="248"/>
      <c r="C487" s="331"/>
      <c r="D487" s="248"/>
      <c r="E487" s="248"/>
      <c r="F487" s="248"/>
      <c r="G487" s="248"/>
      <c r="H487" s="248"/>
      <c r="I487" s="248"/>
      <c r="J487" s="248"/>
      <c r="K487" s="248"/>
      <c r="L487" s="248"/>
      <c r="M487" s="248"/>
      <c r="N487" s="248"/>
      <c r="O487" s="248"/>
      <c r="P487" s="248"/>
      <c r="Q487" s="248"/>
      <c r="R487" s="248"/>
      <c r="S487" s="248"/>
      <c r="T487" s="248"/>
      <c r="U487" s="248"/>
      <c r="V487" s="248"/>
      <c r="W487" s="248"/>
      <c r="X487" s="248"/>
      <c r="Y487" s="248"/>
      <c r="Z487" s="248"/>
      <c r="AA487" s="248"/>
      <c r="AB487" s="248"/>
    </row>
    <row r="488" spans="1:28" ht="13.8">
      <c r="A488" s="248"/>
      <c r="B488" s="248"/>
      <c r="C488" s="331"/>
      <c r="D488" s="248"/>
      <c r="E488" s="248"/>
      <c r="F488" s="248"/>
      <c r="G488" s="248"/>
      <c r="H488" s="248"/>
      <c r="I488" s="248"/>
      <c r="J488" s="248"/>
      <c r="K488" s="248"/>
      <c r="L488" s="248"/>
      <c r="M488" s="248"/>
      <c r="N488" s="248"/>
      <c r="O488" s="248"/>
      <c r="P488" s="248"/>
      <c r="Q488" s="248"/>
      <c r="R488" s="248"/>
      <c r="S488" s="248"/>
      <c r="T488" s="248"/>
      <c r="U488" s="248"/>
      <c r="V488" s="248"/>
      <c r="W488" s="248"/>
      <c r="X488" s="248"/>
      <c r="Y488" s="248"/>
      <c r="Z488" s="248"/>
      <c r="AA488" s="248"/>
      <c r="AB488" s="248"/>
    </row>
    <row r="489" spans="1:28" ht="13.8">
      <c r="A489" s="248"/>
      <c r="B489" s="248"/>
      <c r="C489" s="331"/>
      <c r="D489" s="248"/>
      <c r="E489" s="248"/>
      <c r="F489" s="248"/>
      <c r="G489" s="248"/>
      <c r="H489" s="248"/>
      <c r="I489" s="248"/>
      <c r="J489" s="248"/>
      <c r="K489" s="248"/>
      <c r="L489" s="248"/>
      <c r="M489" s="248"/>
      <c r="N489" s="248"/>
      <c r="O489" s="248"/>
      <c r="P489" s="248"/>
      <c r="Q489" s="248"/>
      <c r="R489" s="248"/>
      <c r="S489" s="248"/>
      <c r="T489" s="248"/>
      <c r="U489" s="248"/>
      <c r="V489" s="248"/>
      <c r="W489" s="248"/>
      <c r="X489" s="248"/>
      <c r="Y489" s="248"/>
      <c r="Z489" s="248"/>
      <c r="AA489" s="248"/>
      <c r="AB489" s="248"/>
    </row>
    <row r="490" spans="1:28" ht="13.8">
      <c r="A490" s="248"/>
      <c r="B490" s="248"/>
      <c r="C490" s="331"/>
      <c r="D490" s="248"/>
      <c r="E490" s="248"/>
      <c r="F490" s="248"/>
      <c r="G490" s="248"/>
      <c r="H490" s="248"/>
      <c r="I490" s="248"/>
      <c r="J490" s="248"/>
      <c r="K490" s="248"/>
      <c r="L490" s="248"/>
      <c r="M490" s="248"/>
      <c r="N490" s="248"/>
      <c r="O490" s="248"/>
      <c r="P490" s="248"/>
      <c r="Q490" s="248"/>
      <c r="R490" s="248"/>
      <c r="S490" s="248"/>
      <c r="T490" s="248"/>
      <c r="U490" s="248"/>
      <c r="V490" s="248"/>
      <c r="W490" s="248"/>
      <c r="X490" s="248"/>
      <c r="Y490" s="248"/>
      <c r="Z490" s="248"/>
      <c r="AA490" s="248"/>
      <c r="AB490" s="248"/>
    </row>
    <row r="491" spans="1:28" ht="13.8">
      <c r="A491" s="248"/>
      <c r="B491" s="248"/>
      <c r="C491" s="331"/>
      <c r="D491" s="248"/>
      <c r="E491" s="248"/>
      <c r="F491" s="248"/>
      <c r="G491" s="248"/>
      <c r="H491" s="248"/>
      <c r="I491" s="248"/>
      <c r="J491" s="248"/>
      <c r="K491" s="248"/>
      <c r="L491" s="248"/>
      <c r="M491" s="248"/>
      <c r="N491" s="248"/>
      <c r="O491" s="248"/>
      <c r="P491" s="248"/>
      <c r="Q491" s="248"/>
      <c r="R491" s="248"/>
      <c r="S491" s="248"/>
      <c r="T491" s="248"/>
      <c r="U491" s="248"/>
      <c r="V491" s="248"/>
      <c r="W491" s="248"/>
      <c r="X491" s="248"/>
      <c r="Y491" s="248"/>
      <c r="Z491" s="248"/>
      <c r="AA491" s="248"/>
      <c r="AB491" s="248"/>
    </row>
    <row r="492" spans="1:28" ht="13.8">
      <c r="A492" s="248"/>
      <c r="B492" s="248"/>
      <c r="C492" s="331"/>
      <c r="D492" s="248"/>
      <c r="E492" s="248"/>
      <c r="F492" s="248"/>
      <c r="G492" s="248"/>
      <c r="H492" s="248"/>
      <c r="I492" s="248"/>
      <c r="J492" s="248"/>
      <c r="K492" s="248"/>
      <c r="L492" s="248"/>
      <c r="M492" s="248"/>
      <c r="N492" s="248"/>
      <c r="O492" s="248"/>
      <c r="P492" s="248"/>
      <c r="Q492" s="248"/>
      <c r="R492" s="248"/>
      <c r="S492" s="248"/>
      <c r="T492" s="248"/>
      <c r="U492" s="248"/>
      <c r="V492" s="248"/>
      <c r="W492" s="248"/>
      <c r="X492" s="248"/>
      <c r="Y492" s="248"/>
      <c r="Z492" s="248"/>
      <c r="AA492" s="248"/>
      <c r="AB492" s="248"/>
    </row>
    <row r="493" spans="1:28" ht="13.8">
      <c r="A493" s="248"/>
      <c r="B493" s="248"/>
      <c r="C493" s="331"/>
      <c r="D493" s="248"/>
      <c r="E493" s="248"/>
      <c r="F493" s="248"/>
      <c r="G493" s="248"/>
      <c r="H493" s="248"/>
      <c r="I493" s="248"/>
      <c r="J493" s="248"/>
      <c r="K493" s="248"/>
      <c r="L493" s="248"/>
      <c r="M493" s="248"/>
      <c r="N493" s="248"/>
      <c r="O493" s="248"/>
      <c r="P493" s="248"/>
      <c r="Q493" s="248"/>
      <c r="R493" s="248"/>
      <c r="S493" s="248"/>
      <c r="T493" s="248"/>
      <c r="U493" s="248"/>
      <c r="V493" s="248"/>
      <c r="W493" s="248"/>
      <c r="X493" s="248"/>
      <c r="Y493" s="248"/>
      <c r="Z493" s="248"/>
      <c r="AA493" s="248"/>
      <c r="AB493" s="248"/>
    </row>
    <row r="494" spans="1:28" ht="13.8">
      <c r="A494" s="248"/>
      <c r="B494" s="248"/>
      <c r="C494" s="331"/>
      <c r="D494" s="248"/>
      <c r="E494" s="248"/>
      <c r="F494" s="248"/>
      <c r="G494" s="248"/>
      <c r="H494" s="248"/>
      <c r="I494" s="248"/>
      <c r="J494" s="248"/>
      <c r="K494" s="248"/>
      <c r="L494" s="248"/>
      <c r="M494" s="248"/>
      <c r="N494" s="248"/>
      <c r="O494" s="248"/>
      <c r="P494" s="248"/>
      <c r="Q494" s="248"/>
      <c r="R494" s="248"/>
      <c r="S494" s="248"/>
      <c r="T494" s="248"/>
      <c r="U494" s="248"/>
      <c r="V494" s="248"/>
      <c r="W494" s="248"/>
      <c r="X494" s="248"/>
      <c r="Y494" s="248"/>
      <c r="Z494" s="248"/>
      <c r="AA494" s="248"/>
      <c r="AB494" s="248"/>
    </row>
    <row r="495" spans="1:28" ht="13.8">
      <c r="A495" s="248"/>
      <c r="B495" s="248"/>
      <c r="C495" s="331"/>
      <c r="D495" s="248"/>
      <c r="E495" s="248"/>
      <c r="F495" s="248"/>
      <c r="G495" s="248"/>
      <c r="H495" s="248"/>
      <c r="I495" s="248"/>
      <c r="J495" s="248"/>
      <c r="K495" s="248"/>
      <c r="L495" s="248"/>
      <c r="M495" s="248"/>
      <c r="N495" s="248"/>
      <c r="O495" s="248"/>
      <c r="P495" s="248"/>
      <c r="Q495" s="248"/>
      <c r="R495" s="248"/>
      <c r="S495" s="248"/>
      <c r="T495" s="248"/>
      <c r="U495" s="248"/>
      <c r="V495" s="248"/>
      <c r="W495" s="248"/>
      <c r="X495" s="248"/>
      <c r="Y495" s="248"/>
      <c r="Z495" s="248"/>
      <c r="AA495" s="248"/>
      <c r="AB495" s="248"/>
    </row>
    <row r="496" spans="1:28" ht="13.8">
      <c r="A496" s="248"/>
      <c r="B496" s="248"/>
      <c r="C496" s="331"/>
      <c r="D496" s="248"/>
      <c r="E496" s="248"/>
      <c r="F496" s="248"/>
      <c r="G496" s="248"/>
      <c r="H496" s="248"/>
      <c r="I496" s="248"/>
      <c r="J496" s="248"/>
      <c r="K496" s="248"/>
      <c r="L496" s="248"/>
      <c r="M496" s="248"/>
      <c r="N496" s="248"/>
      <c r="O496" s="248"/>
      <c r="P496" s="248"/>
      <c r="Q496" s="248"/>
      <c r="R496" s="248"/>
      <c r="S496" s="248"/>
      <c r="T496" s="248"/>
      <c r="U496" s="248"/>
      <c r="V496" s="248"/>
      <c r="W496" s="248"/>
      <c r="X496" s="248"/>
      <c r="Y496" s="248"/>
      <c r="Z496" s="248"/>
      <c r="AA496" s="248"/>
      <c r="AB496" s="248"/>
    </row>
    <row r="497" spans="1:28" ht="13.8">
      <c r="A497" s="248"/>
      <c r="B497" s="248"/>
      <c r="C497" s="331"/>
      <c r="D497" s="248"/>
      <c r="E497" s="248"/>
      <c r="F497" s="248"/>
      <c r="G497" s="248"/>
      <c r="H497" s="248"/>
      <c r="I497" s="248"/>
      <c r="J497" s="248"/>
      <c r="K497" s="248"/>
      <c r="L497" s="248"/>
      <c r="M497" s="248"/>
      <c r="N497" s="248"/>
      <c r="O497" s="248"/>
      <c r="P497" s="248"/>
      <c r="Q497" s="248"/>
      <c r="R497" s="248"/>
      <c r="S497" s="248"/>
      <c r="T497" s="248"/>
      <c r="U497" s="248"/>
      <c r="V497" s="248"/>
      <c r="W497" s="248"/>
      <c r="X497" s="248"/>
      <c r="Y497" s="248"/>
      <c r="Z497" s="248"/>
      <c r="AA497" s="248"/>
      <c r="AB497" s="248"/>
    </row>
    <row r="498" spans="1:28" ht="13.8">
      <c r="A498" s="248"/>
      <c r="B498" s="248"/>
      <c r="C498" s="331"/>
      <c r="D498" s="248"/>
      <c r="E498" s="248"/>
      <c r="F498" s="248"/>
      <c r="G498" s="248"/>
      <c r="H498" s="248"/>
      <c r="I498" s="248"/>
      <c r="J498" s="248"/>
      <c r="K498" s="248"/>
      <c r="L498" s="248"/>
      <c r="M498" s="248"/>
      <c r="N498" s="248"/>
      <c r="O498" s="248"/>
      <c r="P498" s="248"/>
      <c r="Q498" s="248"/>
      <c r="R498" s="248"/>
      <c r="S498" s="248"/>
      <c r="T498" s="248"/>
      <c r="U498" s="248"/>
      <c r="V498" s="248"/>
      <c r="W498" s="248"/>
      <c r="X498" s="248"/>
      <c r="Y498" s="248"/>
      <c r="Z498" s="248"/>
      <c r="AA498" s="248"/>
      <c r="AB498" s="248"/>
    </row>
    <row r="499" spans="1:28" ht="13.8">
      <c r="A499" s="248"/>
      <c r="B499" s="248"/>
      <c r="C499" s="331"/>
      <c r="D499" s="248"/>
      <c r="E499" s="248"/>
      <c r="F499" s="248"/>
      <c r="G499" s="248"/>
      <c r="H499" s="248"/>
      <c r="I499" s="248"/>
      <c r="J499" s="248"/>
      <c r="K499" s="248"/>
      <c r="L499" s="248"/>
      <c r="M499" s="248"/>
      <c r="N499" s="248"/>
      <c r="O499" s="248"/>
      <c r="P499" s="248"/>
      <c r="Q499" s="248"/>
      <c r="R499" s="248"/>
      <c r="S499" s="248"/>
      <c r="T499" s="248"/>
      <c r="U499" s="248"/>
      <c r="V499" s="248"/>
      <c r="W499" s="248"/>
      <c r="X499" s="248"/>
      <c r="Y499" s="248"/>
      <c r="Z499" s="248"/>
      <c r="AA499" s="248"/>
      <c r="AB499" s="248"/>
    </row>
    <row r="500" spans="1:28" ht="13.8">
      <c r="A500" s="248"/>
      <c r="B500" s="248"/>
      <c r="C500" s="331"/>
      <c r="D500" s="248"/>
      <c r="E500" s="248"/>
      <c r="F500" s="248"/>
      <c r="G500" s="248"/>
      <c r="H500" s="248"/>
      <c r="I500" s="248"/>
      <c r="J500" s="248"/>
      <c r="K500" s="248"/>
      <c r="L500" s="248"/>
      <c r="M500" s="248"/>
      <c r="N500" s="248"/>
      <c r="O500" s="248"/>
      <c r="P500" s="248"/>
      <c r="Q500" s="248"/>
      <c r="R500" s="248"/>
      <c r="S500" s="248"/>
      <c r="T500" s="248"/>
      <c r="U500" s="248"/>
      <c r="V500" s="248"/>
      <c r="W500" s="248"/>
      <c r="X500" s="248"/>
      <c r="Y500" s="248"/>
      <c r="Z500" s="248"/>
      <c r="AA500" s="248"/>
      <c r="AB500" s="248"/>
    </row>
    <row r="501" spans="1:28" ht="13.8">
      <c r="A501" s="248"/>
      <c r="B501" s="248"/>
      <c r="C501" s="331"/>
      <c r="D501" s="248"/>
      <c r="E501" s="248"/>
      <c r="F501" s="248"/>
      <c r="G501" s="248"/>
      <c r="H501" s="248"/>
      <c r="I501" s="248"/>
      <c r="J501" s="248"/>
      <c r="K501" s="248"/>
      <c r="L501" s="248"/>
      <c r="M501" s="248"/>
      <c r="N501" s="248"/>
      <c r="O501" s="248"/>
      <c r="P501" s="248"/>
      <c r="Q501" s="248"/>
      <c r="R501" s="248"/>
      <c r="S501" s="248"/>
      <c r="T501" s="248"/>
      <c r="U501" s="248"/>
      <c r="V501" s="248"/>
      <c r="W501" s="248"/>
      <c r="X501" s="248"/>
      <c r="Y501" s="248"/>
      <c r="Z501" s="248"/>
      <c r="AA501" s="248"/>
      <c r="AB501" s="248"/>
    </row>
    <row r="502" spans="1:28" ht="13.8">
      <c r="A502" s="248"/>
      <c r="B502" s="248"/>
      <c r="C502" s="331"/>
      <c r="D502" s="248"/>
      <c r="E502" s="248"/>
      <c r="F502" s="248"/>
      <c r="G502" s="248"/>
      <c r="H502" s="248"/>
      <c r="I502" s="248"/>
      <c r="J502" s="248"/>
      <c r="K502" s="248"/>
      <c r="L502" s="248"/>
      <c r="M502" s="248"/>
      <c r="N502" s="248"/>
      <c r="O502" s="248"/>
      <c r="P502" s="248"/>
      <c r="Q502" s="248"/>
      <c r="R502" s="248"/>
      <c r="S502" s="248"/>
      <c r="T502" s="248"/>
      <c r="U502" s="248"/>
      <c r="V502" s="248"/>
      <c r="W502" s="248"/>
      <c r="X502" s="248"/>
      <c r="Y502" s="248"/>
      <c r="Z502" s="248"/>
      <c r="AA502" s="248"/>
      <c r="AB502" s="248"/>
    </row>
    <row r="503" spans="1:28" ht="13.8">
      <c r="A503" s="248"/>
      <c r="B503" s="248"/>
      <c r="C503" s="331"/>
      <c r="D503" s="248"/>
      <c r="E503" s="248"/>
      <c r="F503" s="248"/>
      <c r="G503" s="248"/>
      <c r="H503" s="248"/>
      <c r="I503" s="248"/>
      <c r="J503" s="248"/>
      <c r="K503" s="248"/>
      <c r="L503" s="248"/>
      <c r="M503" s="248"/>
      <c r="N503" s="248"/>
      <c r="O503" s="248"/>
      <c r="P503" s="248"/>
      <c r="Q503" s="248"/>
      <c r="R503" s="248"/>
      <c r="S503" s="248"/>
      <c r="T503" s="248"/>
      <c r="U503" s="248"/>
      <c r="V503" s="248"/>
      <c r="W503" s="248"/>
      <c r="X503" s="248"/>
      <c r="Y503" s="248"/>
      <c r="Z503" s="248"/>
      <c r="AA503" s="248"/>
      <c r="AB503" s="248"/>
    </row>
    <row r="504" spans="1:28" ht="13.8">
      <c r="A504" s="248"/>
      <c r="B504" s="248"/>
      <c r="C504" s="331"/>
      <c r="D504" s="248"/>
      <c r="E504" s="248"/>
      <c r="F504" s="248"/>
      <c r="G504" s="248"/>
      <c r="H504" s="248"/>
      <c r="I504" s="248"/>
      <c r="J504" s="248"/>
      <c r="K504" s="248"/>
      <c r="L504" s="248"/>
      <c r="M504" s="248"/>
      <c r="N504" s="248"/>
      <c r="O504" s="248"/>
      <c r="P504" s="248"/>
      <c r="Q504" s="248"/>
      <c r="R504" s="248"/>
      <c r="S504" s="248"/>
      <c r="T504" s="248"/>
      <c r="U504" s="248"/>
      <c r="V504" s="248"/>
      <c r="W504" s="248"/>
      <c r="X504" s="248"/>
      <c r="Y504" s="248"/>
      <c r="Z504" s="248"/>
      <c r="AA504" s="248"/>
      <c r="AB504" s="248"/>
    </row>
    <row r="505" spans="1:28" ht="13.8">
      <c r="A505" s="248"/>
      <c r="B505" s="248"/>
      <c r="C505" s="331"/>
      <c r="D505" s="248"/>
      <c r="E505" s="248"/>
      <c r="F505" s="248"/>
      <c r="G505" s="248"/>
      <c r="H505" s="248"/>
      <c r="I505" s="248"/>
      <c r="J505" s="248"/>
      <c r="K505" s="248"/>
      <c r="L505" s="248"/>
      <c r="M505" s="248"/>
      <c r="N505" s="248"/>
      <c r="O505" s="248"/>
      <c r="P505" s="248"/>
      <c r="Q505" s="248"/>
      <c r="R505" s="248"/>
      <c r="S505" s="248"/>
      <c r="T505" s="248"/>
      <c r="U505" s="248"/>
      <c r="V505" s="248"/>
      <c r="W505" s="248"/>
      <c r="X505" s="248"/>
      <c r="Y505" s="248"/>
      <c r="Z505" s="248"/>
      <c r="AA505" s="248"/>
      <c r="AB505" s="248"/>
    </row>
    <row r="506" spans="1:28" ht="13.8">
      <c r="A506" s="248"/>
      <c r="B506" s="248"/>
      <c r="C506" s="331"/>
      <c r="D506" s="248"/>
      <c r="E506" s="248"/>
      <c r="F506" s="248"/>
      <c r="G506" s="248"/>
      <c r="H506" s="248"/>
      <c r="I506" s="248"/>
      <c r="J506" s="248"/>
      <c r="K506" s="248"/>
      <c r="L506" s="248"/>
      <c r="M506" s="248"/>
      <c r="N506" s="248"/>
      <c r="O506" s="248"/>
      <c r="P506" s="248"/>
      <c r="Q506" s="248"/>
      <c r="R506" s="248"/>
      <c r="S506" s="248"/>
      <c r="T506" s="248"/>
      <c r="U506" s="248"/>
      <c r="V506" s="248"/>
      <c r="W506" s="248"/>
      <c r="X506" s="248"/>
      <c r="Y506" s="248"/>
      <c r="Z506" s="248"/>
      <c r="AA506" s="248"/>
      <c r="AB506" s="248"/>
    </row>
    <row r="507" spans="1:28" ht="13.8">
      <c r="A507" s="248"/>
      <c r="B507" s="248"/>
      <c r="C507" s="331"/>
      <c r="D507" s="248"/>
      <c r="E507" s="248"/>
      <c r="F507" s="248"/>
      <c r="G507" s="248"/>
      <c r="H507" s="248"/>
      <c r="I507" s="248"/>
      <c r="J507" s="248"/>
      <c r="K507" s="248"/>
      <c r="L507" s="248"/>
      <c r="M507" s="248"/>
      <c r="N507" s="248"/>
      <c r="O507" s="248"/>
      <c r="P507" s="248"/>
      <c r="Q507" s="248"/>
      <c r="R507" s="248"/>
      <c r="S507" s="248"/>
      <c r="T507" s="248"/>
      <c r="U507" s="248"/>
      <c r="V507" s="248"/>
      <c r="W507" s="248"/>
      <c r="X507" s="248"/>
      <c r="Y507" s="248"/>
      <c r="Z507" s="248"/>
      <c r="AA507" s="248"/>
      <c r="AB507" s="248"/>
    </row>
    <row r="508" spans="1:28" ht="13.8">
      <c r="A508" s="248"/>
      <c r="B508" s="248"/>
      <c r="C508" s="331"/>
      <c r="D508" s="248"/>
      <c r="E508" s="248"/>
      <c r="F508" s="248"/>
      <c r="G508" s="248"/>
      <c r="H508" s="248"/>
      <c r="I508" s="248"/>
      <c r="J508" s="248"/>
      <c r="K508" s="248"/>
      <c r="L508" s="248"/>
      <c r="M508" s="248"/>
      <c r="N508" s="248"/>
      <c r="O508" s="248"/>
      <c r="P508" s="248"/>
      <c r="Q508" s="248"/>
      <c r="R508" s="248"/>
      <c r="S508" s="248"/>
      <c r="T508" s="248"/>
      <c r="U508" s="248"/>
      <c r="V508" s="248"/>
      <c r="W508" s="248"/>
      <c r="X508" s="248"/>
      <c r="Y508" s="248"/>
      <c r="Z508" s="248"/>
      <c r="AA508" s="248"/>
      <c r="AB508" s="248"/>
    </row>
    <row r="509" spans="1:28" ht="13.8">
      <c r="A509" s="248"/>
      <c r="B509" s="248"/>
      <c r="C509" s="331"/>
      <c r="D509" s="248"/>
      <c r="E509" s="248"/>
      <c r="F509" s="248"/>
      <c r="G509" s="248"/>
      <c r="H509" s="248"/>
      <c r="I509" s="248"/>
      <c r="J509" s="248"/>
      <c r="K509" s="248"/>
      <c r="L509" s="248"/>
      <c r="M509" s="248"/>
      <c r="N509" s="248"/>
      <c r="O509" s="248"/>
      <c r="P509" s="248"/>
      <c r="Q509" s="248"/>
      <c r="R509" s="248"/>
      <c r="S509" s="248"/>
      <c r="T509" s="248"/>
      <c r="U509" s="248"/>
      <c r="V509" s="248"/>
      <c r="W509" s="248"/>
      <c r="X509" s="248"/>
      <c r="Y509" s="248"/>
      <c r="Z509" s="248"/>
      <c r="AA509" s="248"/>
      <c r="AB509" s="248"/>
    </row>
    <row r="510" spans="1:28" ht="13.8">
      <c r="A510" s="248"/>
      <c r="B510" s="248"/>
      <c r="C510" s="331"/>
      <c r="D510" s="248"/>
      <c r="E510" s="248"/>
      <c r="F510" s="248"/>
      <c r="G510" s="248"/>
      <c r="H510" s="248"/>
      <c r="I510" s="248"/>
      <c r="J510" s="248"/>
      <c r="K510" s="248"/>
      <c r="L510" s="248"/>
      <c r="M510" s="248"/>
      <c r="N510" s="248"/>
      <c r="O510" s="248"/>
      <c r="P510" s="248"/>
      <c r="Q510" s="248"/>
      <c r="R510" s="248"/>
      <c r="S510" s="248"/>
      <c r="T510" s="248"/>
      <c r="U510" s="248"/>
      <c r="V510" s="248"/>
      <c r="W510" s="248"/>
      <c r="X510" s="248"/>
      <c r="Y510" s="248"/>
      <c r="Z510" s="248"/>
      <c r="AA510" s="248"/>
      <c r="AB510" s="248"/>
    </row>
    <row r="511" spans="1:28" ht="13.8">
      <c r="A511" s="248"/>
      <c r="B511" s="248"/>
      <c r="C511" s="331"/>
      <c r="D511" s="248"/>
      <c r="E511" s="248"/>
      <c r="F511" s="248"/>
      <c r="G511" s="248"/>
      <c r="H511" s="248"/>
      <c r="I511" s="248"/>
      <c r="J511" s="248"/>
      <c r="K511" s="248"/>
      <c r="L511" s="248"/>
      <c r="M511" s="248"/>
      <c r="N511" s="248"/>
      <c r="O511" s="248"/>
      <c r="P511" s="248"/>
      <c r="Q511" s="248"/>
      <c r="R511" s="248"/>
      <c r="S511" s="248"/>
      <c r="T511" s="248"/>
      <c r="U511" s="248"/>
      <c r="V511" s="248"/>
      <c r="W511" s="248"/>
      <c r="X511" s="248"/>
      <c r="Y511" s="248"/>
      <c r="Z511" s="248"/>
      <c r="AA511" s="248"/>
      <c r="AB511" s="248"/>
    </row>
    <row r="512" spans="1:28" ht="13.8">
      <c r="A512" s="248"/>
      <c r="B512" s="248"/>
      <c r="C512" s="331"/>
      <c r="D512" s="248"/>
      <c r="E512" s="248"/>
      <c r="F512" s="248"/>
      <c r="G512" s="248"/>
      <c r="H512" s="248"/>
      <c r="I512" s="248"/>
      <c r="J512" s="248"/>
      <c r="K512" s="248"/>
      <c r="L512" s="248"/>
      <c r="M512" s="248"/>
      <c r="N512" s="248"/>
      <c r="O512" s="248"/>
      <c r="P512" s="248"/>
      <c r="Q512" s="248"/>
      <c r="R512" s="248"/>
      <c r="S512" s="248"/>
      <c r="T512" s="248"/>
      <c r="U512" s="248"/>
      <c r="V512" s="248"/>
      <c r="W512" s="248"/>
      <c r="X512" s="248"/>
      <c r="Y512" s="248"/>
      <c r="Z512" s="248"/>
      <c r="AA512" s="248"/>
      <c r="AB512" s="248"/>
    </row>
    <row r="513" spans="1:28" ht="13.8">
      <c r="A513" s="248"/>
      <c r="B513" s="248"/>
      <c r="C513" s="331"/>
      <c r="D513" s="248"/>
      <c r="E513" s="248"/>
      <c r="F513" s="248"/>
      <c r="G513" s="248"/>
      <c r="H513" s="248"/>
      <c r="I513" s="248"/>
      <c r="J513" s="248"/>
      <c r="K513" s="248"/>
      <c r="L513" s="248"/>
      <c r="M513" s="248"/>
      <c r="N513" s="248"/>
      <c r="O513" s="248"/>
      <c r="P513" s="248"/>
      <c r="Q513" s="248"/>
      <c r="R513" s="248"/>
      <c r="S513" s="248"/>
      <c r="T513" s="248"/>
      <c r="U513" s="248"/>
      <c r="V513" s="248"/>
      <c r="W513" s="248"/>
      <c r="X513" s="248"/>
      <c r="Y513" s="248"/>
      <c r="Z513" s="248"/>
      <c r="AA513" s="248"/>
      <c r="AB513" s="248"/>
    </row>
    <row r="514" spans="1:28" ht="13.8">
      <c r="A514" s="248"/>
      <c r="B514" s="248"/>
      <c r="C514" s="331"/>
      <c r="D514" s="248"/>
      <c r="E514" s="248"/>
      <c r="F514" s="248"/>
      <c r="G514" s="248"/>
      <c r="H514" s="248"/>
      <c r="I514" s="248"/>
      <c r="J514" s="248"/>
      <c r="K514" s="248"/>
      <c r="L514" s="248"/>
      <c r="M514" s="248"/>
      <c r="N514" s="248"/>
      <c r="O514" s="248"/>
      <c r="P514" s="248"/>
      <c r="Q514" s="248"/>
      <c r="R514" s="248"/>
      <c r="S514" s="248"/>
      <c r="T514" s="248"/>
      <c r="U514" s="248"/>
      <c r="V514" s="248"/>
      <c r="W514" s="248"/>
      <c r="X514" s="248"/>
      <c r="Y514" s="248"/>
      <c r="Z514" s="248"/>
      <c r="AA514" s="248"/>
      <c r="AB514" s="248"/>
    </row>
    <row r="515" spans="1:28" ht="13.8">
      <c r="A515" s="248"/>
      <c r="B515" s="248"/>
      <c r="C515" s="331"/>
      <c r="D515" s="248"/>
      <c r="E515" s="248"/>
      <c r="F515" s="248"/>
      <c r="G515" s="248"/>
      <c r="H515" s="248"/>
      <c r="I515" s="248"/>
      <c r="J515" s="248"/>
      <c r="K515" s="248"/>
      <c r="L515" s="248"/>
      <c r="M515" s="248"/>
      <c r="N515" s="248"/>
      <c r="O515" s="248"/>
      <c r="P515" s="248"/>
      <c r="Q515" s="248"/>
      <c r="R515" s="248"/>
      <c r="S515" s="248"/>
      <c r="T515" s="248"/>
      <c r="U515" s="248"/>
      <c r="V515" s="248"/>
      <c r="W515" s="248"/>
      <c r="X515" s="248"/>
      <c r="Y515" s="248"/>
      <c r="Z515" s="248"/>
      <c r="AA515" s="248"/>
      <c r="AB515" s="248"/>
    </row>
    <row r="516" spans="1:28" ht="13.8">
      <c r="A516" s="248"/>
      <c r="B516" s="248"/>
      <c r="C516" s="331"/>
      <c r="D516" s="248"/>
      <c r="E516" s="248"/>
      <c r="F516" s="248"/>
      <c r="G516" s="248"/>
      <c r="H516" s="248"/>
      <c r="I516" s="248"/>
      <c r="J516" s="248"/>
      <c r="K516" s="248"/>
      <c r="L516" s="248"/>
      <c r="M516" s="248"/>
      <c r="N516" s="248"/>
      <c r="O516" s="248"/>
      <c r="P516" s="248"/>
      <c r="Q516" s="248"/>
      <c r="R516" s="248"/>
      <c r="S516" s="248"/>
      <c r="T516" s="248"/>
      <c r="U516" s="248"/>
      <c r="V516" s="248"/>
      <c r="W516" s="248"/>
      <c r="X516" s="248"/>
      <c r="Y516" s="248"/>
      <c r="Z516" s="248"/>
      <c r="AA516" s="248"/>
      <c r="AB516" s="248"/>
    </row>
    <row r="517" spans="1:28" ht="13.8">
      <c r="A517" s="248"/>
      <c r="B517" s="248"/>
      <c r="C517" s="331"/>
      <c r="D517" s="248"/>
      <c r="E517" s="248"/>
      <c r="F517" s="248"/>
      <c r="G517" s="248"/>
      <c r="H517" s="248"/>
      <c r="I517" s="248"/>
      <c r="J517" s="248"/>
      <c r="K517" s="248"/>
      <c r="L517" s="248"/>
      <c r="M517" s="248"/>
      <c r="N517" s="248"/>
      <c r="O517" s="248"/>
      <c r="P517" s="248"/>
      <c r="Q517" s="248"/>
      <c r="R517" s="248"/>
      <c r="S517" s="248"/>
      <c r="T517" s="248"/>
      <c r="U517" s="248"/>
      <c r="V517" s="248"/>
      <c r="W517" s="248"/>
      <c r="X517" s="248"/>
      <c r="Y517" s="248"/>
      <c r="Z517" s="248"/>
      <c r="AA517" s="248"/>
      <c r="AB517" s="248"/>
    </row>
    <row r="518" spans="1:28" ht="13.8">
      <c r="A518" s="248"/>
      <c r="B518" s="248"/>
      <c r="C518" s="331"/>
      <c r="D518" s="248"/>
      <c r="E518" s="248"/>
      <c r="F518" s="248"/>
      <c r="G518" s="248"/>
      <c r="H518" s="248"/>
      <c r="I518" s="248"/>
      <c r="J518" s="248"/>
      <c r="K518" s="248"/>
      <c r="L518" s="248"/>
      <c r="M518" s="248"/>
      <c r="N518" s="248"/>
      <c r="O518" s="248"/>
      <c r="P518" s="248"/>
      <c r="Q518" s="248"/>
      <c r="R518" s="248"/>
      <c r="S518" s="248"/>
      <c r="T518" s="248"/>
      <c r="U518" s="248"/>
      <c r="V518" s="248"/>
      <c r="W518" s="248"/>
      <c r="X518" s="248"/>
      <c r="Y518" s="248"/>
      <c r="Z518" s="248"/>
      <c r="AA518" s="248"/>
      <c r="AB518" s="248"/>
    </row>
    <row r="519" spans="1:28" ht="13.8">
      <c r="A519" s="248"/>
      <c r="B519" s="248"/>
      <c r="C519" s="331"/>
      <c r="D519" s="248"/>
      <c r="E519" s="248"/>
      <c r="F519" s="248"/>
      <c r="G519" s="248"/>
      <c r="H519" s="248"/>
      <c r="I519" s="248"/>
      <c r="J519" s="248"/>
      <c r="K519" s="248"/>
      <c r="L519" s="248"/>
      <c r="M519" s="248"/>
      <c r="N519" s="248"/>
      <c r="O519" s="248"/>
      <c r="P519" s="248"/>
      <c r="Q519" s="248"/>
      <c r="R519" s="248"/>
      <c r="S519" s="248"/>
      <c r="T519" s="248"/>
      <c r="U519" s="248"/>
      <c r="V519" s="248"/>
      <c r="W519" s="248"/>
      <c r="X519" s="248"/>
      <c r="Y519" s="248"/>
      <c r="Z519" s="248"/>
      <c r="AA519" s="248"/>
      <c r="AB519" s="248"/>
    </row>
    <row r="520" spans="1:28" ht="13.8">
      <c r="A520" s="248"/>
      <c r="B520" s="248"/>
      <c r="C520" s="331"/>
      <c r="D520" s="248"/>
      <c r="E520" s="248"/>
      <c r="F520" s="248"/>
      <c r="G520" s="248"/>
      <c r="H520" s="248"/>
      <c r="I520" s="248"/>
      <c r="J520" s="248"/>
      <c r="K520" s="248"/>
      <c r="L520" s="248"/>
      <c r="M520" s="248"/>
      <c r="N520" s="248"/>
      <c r="O520" s="248"/>
      <c r="P520" s="248"/>
      <c r="Q520" s="248"/>
      <c r="R520" s="248"/>
      <c r="S520" s="248"/>
      <c r="T520" s="248"/>
      <c r="U520" s="248"/>
      <c r="V520" s="248"/>
      <c r="W520" s="248"/>
      <c r="X520" s="248"/>
      <c r="Y520" s="248"/>
      <c r="Z520" s="248"/>
      <c r="AA520" s="248"/>
      <c r="AB520" s="248"/>
    </row>
    <row r="521" spans="1:28" ht="13.8">
      <c r="A521" s="248"/>
      <c r="B521" s="248"/>
      <c r="C521" s="331"/>
      <c r="D521" s="248"/>
      <c r="E521" s="248"/>
      <c r="F521" s="248"/>
      <c r="G521" s="248"/>
      <c r="H521" s="248"/>
      <c r="I521" s="248"/>
      <c r="J521" s="248"/>
      <c r="K521" s="248"/>
      <c r="L521" s="248"/>
      <c r="M521" s="248"/>
      <c r="N521" s="248"/>
      <c r="O521" s="248"/>
      <c r="P521" s="248"/>
      <c r="Q521" s="248"/>
      <c r="R521" s="248"/>
      <c r="S521" s="248"/>
      <c r="T521" s="248"/>
      <c r="U521" s="248"/>
      <c r="V521" s="248"/>
      <c r="W521" s="248"/>
      <c r="X521" s="248"/>
      <c r="Y521" s="248"/>
      <c r="Z521" s="248"/>
      <c r="AA521" s="248"/>
      <c r="AB521" s="248"/>
    </row>
    <row r="522" spans="1:28" ht="13.8">
      <c r="A522" s="248"/>
      <c r="B522" s="248"/>
      <c r="C522" s="331"/>
      <c r="D522" s="248"/>
      <c r="E522" s="248"/>
      <c r="F522" s="248"/>
      <c r="G522" s="248"/>
      <c r="H522" s="248"/>
      <c r="I522" s="248"/>
      <c r="J522" s="248"/>
      <c r="K522" s="248"/>
      <c r="L522" s="248"/>
      <c r="M522" s="248"/>
      <c r="N522" s="248"/>
      <c r="O522" s="248"/>
      <c r="P522" s="248"/>
      <c r="Q522" s="248"/>
      <c r="R522" s="248"/>
      <c r="S522" s="248"/>
      <c r="T522" s="248"/>
      <c r="U522" s="248"/>
      <c r="V522" s="248"/>
      <c r="W522" s="248"/>
      <c r="X522" s="248"/>
      <c r="Y522" s="248"/>
      <c r="Z522" s="248"/>
      <c r="AA522" s="248"/>
      <c r="AB522" s="248"/>
    </row>
    <row r="523" spans="1:28" ht="13.8">
      <c r="A523" s="248"/>
      <c r="B523" s="248"/>
      <c r="C523" s="331"/>
      <c r="D523" s="248"/>
      <c r="E523" s="248"/>
      <c r="F523" s="248"/>
      <c r="G523" s="248"/>
      <c r="H523" s="248"/>
      <c r="I523" s="248"/>
      <c r="J523" s="248"/>
      <c r="K523" s="248"/>
      <c r="L523" s="248"/>
      <c r="M523" s="248"/>
      <c r="N523" s="248"/>
      <c r="O523" s="248"/>
      <c r="P523" s="248"/>
      <c r="Q523" s="248"/>
      <c r="R523" s="248"/>
      <c r="S523" s="248"/>
      <c r="T523" s="248"/>
      <c r="U523" s="248"/>
      <c r="V523" s="248"/>
      <c r="W523" s="248"/>
      <c r="X523" s="248"/>
      <c r="Y523" s="248"/>
      <c r="Z523" s="248"/>
      <c r="AA523" s="248"/>
      <c r="AB523" s="248"/>
    </row>
    <row r="524" spans="1:28" ht="13.8">
      <c r="A524" s="248"/>
      <c r="B524" s="248"/>
      <c r="C524" s="331"/>
      <c r="D524" s="248"/>
      <c r="E524" s="248"/>
      <c r="F524" s="248"/>
      <c r="G524" s="248"/>
      <c r="H524" s="248"/>
      <c r="I524" s="248"/>
      <c r="J524" s="248"/>
      <c r="K524" s="248"/>
      <c r="L524" s="248"/>
      <c r="M524" s="248"/>
      <c r="N524" s="248"/>
      <c r="O524" s="248"/>
      <c r="P524" s="248"/>
      <c r="Q524" s="248"/>
      <c r="R524" s="248"/>
      <c r="S524" s="248"/>
      <c r="T524" s="248"/>
      <c r="U524" s="248"/>
      <c r="V524" s="248"/>
      <c r="W524" s="248"/>
      <c r="X524" s="248"/>
      <c r="Y524" s="248"/>
      <c r="Z524" s="248"/>
      <c r="AA524" s="248"/>
      <c r="AB524" s="248"/>
    </row>
    <row r="525" spans="1:28" ht="13.8">
      <c r="A525" s="248"/>
      <c r="B525" s="248"/>
      <c r="C525" s="331"/>
      <c r="D525" s="248"/>
      <c r="E525" s="248"/>
      <c r="F525" s="248"/>
      <c r="G525" s="248"/>
      <c r="H525" s="248"/>
      <c r="I525" s="248"/>
      <c r="J525" s="248"/>
      <c r="K525" s="248"/>
      <c r="L525" s="248"/>
      <c r="M525" s="248"/>
      <c r="N525" s="248"/>
      <c r="O525" s="248"/>
      <c r="P525" s="248"/>
      <c r="Q525" s="248"/>
      <c r="R525" s="248"/>
      <c r="S525" s="248"/>
      <c r="T525" s="248"/>
      <c r="U525" s="248"/>
      <c r="V525" s="248"/>
      <c r="W525" s="248"/>
      <c r="X525" s="248"/>
      <c r="Y525" s="248"/>
      <c r="Z525" s="248"/>
      <c r="AA525" s="248"/>
      <c r="AB525" s="248"/>
    </row>
    <row r="526" spans="1:28" ht="13.8">
      <c r="A526" s="248"/>
      <c r="B526" s="248"/>
      <c r="C526" s="331"/>
      <c r="D526" s="248"/>
      <c r="E526" s="248"/>
      <c r="F526" s="248"/>
      <c r="G526" s="248"/>
      <c r="H526" s="248"/>
      <c r="I526" s="248"/>
      <c r="J526" s="248"/>
      <c r="K526" s="248"/>
      <c r="L526" s="248"/>
      <c r="M526" s="248"/>
      <c r="N526" s="248"/>
      <c r="O526" s="248"/>
      <c r="P526" s="248"/>
      <c r="Q526" s="248"/>
      <c r="R526" s="248"/>
      <c r="S526" s="248"/>
      <c r="T526" s="248"/>
      <c r="U526" s="248"/>
      <c r="V526" s="248"/>
      <c r="W526" s="248"/>
      <c r="X526" s="248"/>
      <c r="Y526" s="248"/>
      <c r="Z526" s="248"/>
      <c r="AA526" s="248"/>
      <c r="AB526" s="248"/>
    </row>
    <row r="527" spans="1:28" ht="13.8">
      <c r="A527" s="248"/>
      <c r="B527" s="248"/>
      <c r="C527" s="331"/>
      <c r="D527" s="248"/>
      <c r="E527" s="248"/>
      <c r="F527" s="248"/>
      <c r="G527" s="248"/>
      <c r="H527" s="248"/>
      <c r="I527" s="248"/>
      <c r="J527" s="248"/>
      <c r="K527" s="248"/>
      <c r="L527" s="248"/>
      <c r="M527" s="248"/>
      <c r="N527" s="248"/>
      <c r="O527" s="248"/>
      <c r="P527" s="248"/>
      <c r="Q527" s="248"/>
      <c r="R527" s="248"/>
      <c r="S527" s="248"/>
      <c r="T527" s="248"/>
      <c r="U527" s="248"/>
      <c r="V527" s="248"/>
      <c r="W527" s="248"/>
      <c r="X527" s="248"/>
      <c r="Y527" s="248"/>
      <c r="Z527" s="248"/>
      <c r="AA527" s="248"/>
      <c r="AB527" s="248"/>
    </row>
    <row r="528" spans="1:28" ht="13.8">
      <c r="A528" s="248"/>
      <c r="B528" s="248"/>
      <c r="C528" s="331"/>
      <c r="D528" s="248"/>
      <c r="E528" s="248"/>
      <c r="F528" s="248"/>
      <c r="G528" s="248"/>
      <c r="H528" s="248"/>
      <c r="I528" s="248"/>
      <c r="J528" s="248"/>
      <c r="K528" s="248"/>
      <c r="L528" s="248"/>
      <c r="M528" s="248"/>
      <c r="N528" s="248"/>
      <c r="O528" s="248"/>
      <c r="P528" s="248"/>
      <c r="Q528" s="248"/>
      <c r="R528" s="248"/>
      <c r="S528" s="248"/>
      <c r="T528" s="248"/>
      <c r="U528" s="248"/>
      <c r="V528" s="248"/>
      <c r="W528" s="248"/>
      <c r="X528" s="248"/>
      <c r="Y528" s="248"/>
      <c r="Z528" s="248"/>
      <c r="AA528" s="248"/>
      <c r="AB528" s="248"/>
    </row>
    <row r="529" spans="1:28" ht="13.8">
      <c r="A529" s="248"/>
      <c r="B529" s="248"/>
      <c r="C529" s="331"/>
      <c r="D529" s="248"/>
      <c r="E529" s="248"/>
      <c r="F529" s="248"/>
      <c r="G529" s="248"/>
      <c r="H529" s="248"/>
      <c r="I529" s="248"/>
      <c r="J529" s="248"/>
      <c r="K529" s="248"/>
      <c r="L529" s="248"/>
      <c r="M529" s="248"/>
      <c r="N529" s="248"/>
      <c r="O529" s="248"/>
      <c r="P529" s="248"/>
      <c r="Q529" s="248"/>
      <c r="R529" s="248"/>
      <c r="S529" s="248"/>
      <c r="T529" s="248"/>
      <c r="U529" s="248"/>
      <c r="V529" s="248"/>
      <c r="W529" s="248"/>
      <c r="X529" s="248"/>
      <c r="Y529" s="248"/>
      <c r="Z529" s="248"/>
      <c r="AA529" s="248"/>
      <c r="AB529" s="248"/>
    </row>
    <row r="530" spans="1:28" ht="13.8">
      <c r="A530" s="248"/>
      <c r="B530" s="248"/>
      <c r="C530" s="331"/>
      <c r="D530" s="248"/>
      <c r="E530" s="248"/>
      <c r="F530" s="248"/>
      <c r="G530" s="248"/>
      <c r="H530" s="248"/>
      <c r="I530" s="248"/>
      <c r="J530" s="248"/>
      <c r="K530" s="248"/>
      <c r="L530" s="248"/>
      <c r="M530" s="248"/>
      <c r="N530" s="248"/>
      <c r="O530" s="248"/>
      <c r="P530" s="248"/>
      <c r="Q530" s="248"/>
      <c r="R530" s="248"/>
      <c r="S530" s="248"/>
      <c r="T530" s="248"/>
      <c r="U530" s="248"/>
      <c r="V530" s="248"/>
      <c r="W530" s="248"/>
      <c r="X530" s="248"/>
      <c r="Y530" s="248"/>
      <c r="Z530" s="248"/>
      <c r="AA530" s="248"/>
      <c r="AB530" s="248"/>
    </row>
    <row r="531" spans="1:28" ht="13.8">
      <c r="A531" s="248"/>
      <c r="B531" s="248"/>
      <c r="C531" s="331"/>
      <c r="D531" s="248"/>
      <c r="E531" s="248"/>
      <c r="F531" s="248"/>
      <c r="G531" s="248"/>
      <c r="H531" s="248"/>
      <c r="I531" s="248"/>
      <c r="J531" s="248"/>
      <c r="K531" s="248"/>
      <c r="L531" s="248"/>
      <c r="M531" s="248"/>
      <c r="N531" s="248"/>
      <c r="O531" s="248"/>
      <c r="P531" s="248"/>
      <c r="Q531" s="248"/>
      <c r="R531" s="248"/>
      <c r="S531" s="248"/>
      <c r="T531" s="248"/>
      <c r="U531" s="248"/>
      <c r="V531" s="248"/>
      <c r="W531" s="248"/>
      <c r="X531" s="248"/>
      <c r="Y531" s="248"/>
      <c r="Z531" s="248"/>
      <c r="AA531" s="248"/>
      <c r="AB531" s="248"/>
    </row>
    <row r="532" spans="1:28" ht="13.8">
      <c r="A532" s="248"/>
      <c r="B532" s="248"/>
      <c r="C532" s="331"/>
      <c r="D532" s="248"/>
      <c r="E532" s="248"/>
      <c r="F532" s="248"/>
      <c r="G532" s="248"/>
      <c r="H532" s="248"/>
      <c r="I532" s="248"/>
      <c r="J532" s="248"/>
      <c r="K532" s="248"/>
      <c r="L532" s="248"/>
      <c r="M532" s="248"/>
      <c r="N532" s="248"/>
      <c r="O532" s="248"/>
      <c r="P532" s="248"/>
      <c r="Q532" s="248"/>
      <c r="R532" s="248"/>
      <c r="S532" s="248"/>
      <c r="T532" s="248"/>
      <c r="U532" s="248"/>
      <c r="V532" s="248"/>
      <c r="W532" s="248"/>
      <c r="X532" s="248"/>
      <c r="Y532" s="248"/>
      <c r="Z532" s="248"/>
      <c r="AA532" s="248"/>
      <c r="AB532" s="248"/>
    </row>
    <row r="533" spans="1:28" ht="13.8">
      <c r="A533" s="248"/>
      <c r="B533" s="248"/>
      <c r="C533" s="331"/>
      <c r="D533" s="248"/>
      <c r="E533" s="248"/>
      <c r="F533" s="248"/>
      <c r="G533" s="248"/>
      <c r="H533" s="248"/>
      <c r="I533" s="248"/>
      <c r="J533" s="248"/>
      <c r="K533" s="248"/>
      <c r="L533" s="248"/>
      <c r="M533" s="248"/>
      <c r="N533" s="248"/>
      <c r="O533" s="248"/>
      <c r="P533" s="248"/>
      <c r="Q533" s="248"/>
      <c r="R533" s="248"/>
      <c r="S533" s="248"/>
      <c r="T533" s="248"/>
      <c r="U533" s="248"/>
      <c r="V533" s="248"/>
      <c r="W533" s="248"/>
      <c r="X533" s="248"/>
      <c r="Y533" s="248"/>
      <c r="Z533" s="248"/>
      <c r="AA533" s="248"/>
      <c r="AB533" s="248"/>
    </row>
    <row r="534" spans="1:28" ht="13.8">
      <c r="A534" s="248"/>
      <c r="B534" s="248"/>
      <c r="C534" s="331"/>
      <c r="D534" s="248"/>
      <c r="E534" s="248"/>
      <c r="F534" s="248"/>
      <c r="G534" s="248"/>
      <c r="H534" s="248"/>
      <c r="I534" s="248"/>
      <c r="J534" s="248"/>
      <c r="K534" s="248"/>
      <c r="L534" s="248"/>
      <c r="M534" s="248"/>
      <c r="N534" s="248"/>
      <c r="O534" s="248"/>
      <c r="P534" s="248"/>
      <c r="Q534" s="248"/>
      <c r="R534" s="248"/>
      <c r="S534" s="248"/>
      <c r="T534" s="248"/>
      <c r="U534" s="248"/>
      <c r="V534" s="248"/>
      <c r="W534" s="248"/>
      <c r="X534" s="248"/>
      <c r="Y534" s="248"/>
      <c r="Z534" s="248"/>
      <c r="AA534" s="248"/>
      <c r="AB534" s="248"/>
    </row>
    <row r="535" spans="1:28" ht="13.8">
      <c r="A535" s="248"/>
      <c r="B535" s="248"/>
      <c r="C535" s="331"/>
      <c r="D535" s="248"/>
      <c r="E535" s="248"/>
      <c r="F535" s="248"/>
      <c r="G535" s="248"/>
      <c r="H535" s="248"/>
      <c r="I535" s="248"/>
      <c r="J535" s="248"/>
      <c r="K535" s="248"/>
      <c r="L535" s="248"/>
      <c r="M535" s="248"/>
      <c r="N535" s="248"/>
      <c r="O535" s="248"/>
      <c r="P535" s="248"/>
      <c r="Q535" s="248"/>
      <c r="R535" s="248"/>
      <c r="S535" s="248"/>
      <c r="T535" s="248"/>
      <c r="U535" s="248"/>
      <c r="V535" s="248"/>
      <c r="W535" s="248"/>
      <c r="X535" s="248"/>
      <c r="Y535" s="248"/>
      <c r="Z535" s="248"/>
      <c r="AA535" s="248"/>
      <c r="AB535" s="248"/>
    </row>
    <row r="536" spans="1:28" ht="13.8">
      <c r="A536" s="248"/>
      <c r="B536" s="248"/>
      <c r="C536" s="331"/>
      <c r="D536" s="248"/>
      <c r="E536" s="248"/>
      <c r="F536" s="248"/>
      <c r="G536" s="248"/>
      <c r="H536" s="248"/>
      <c r="I536" s="248"/>
      <c r="J536" s="248"/>
      <c r="K536" s="248"/>
      <c r="L536" s="248"/>
      <c r="M536" s="248"/>
      <c r="N536" s="248"/>
      <c r="O536" s="248"/>
      <c r="P536" s="248"/>
      <c r="Q536" s="248"/>
      <c r="R536" s="248"/>
      <c r="S536" s="248"/>
      <c r="T536" s="248"/>
      <c r="U536" s="248"/>
      <c r="V536" s="248"/>
      <c r="W536" s="248"/>
      <c r="X536" s="248"/>
      <c r="Y536" s="248"/>
      <c r="Z536" s="248"/>
      <c r="AA536" s="248"/>
      <c r="AB536" s="248"/>
    </row>
    <row r="537" spans="1:28" ht="13.8">
      <c r="A537" s="248"/>
      <c r="B537" s="248"/>
      <c r="C537" s="331"/>
      <c r="D537" s="248"/>
      <c r="E537" s="248"/>
      <c r="F537" s="248"/>
      <c r="G537" s="248"/>
      <c r="H537" s="248"/>
      <c r="I537" s="248"/>
      <c r="J537" s="248"/>
      <c r="K537" s="248"/>
      <c r="L537" s="248"/>
      <c r="M537" s="248"/>
      <c r="N537" s="248"/>
      <c r="O537" s="248"/>
      <c r="P537" s="248"/>
      <c r="Q537" s="248"/>
      <c r="R537" s="248"/>
      <c r="S537" s="248"/>
      <c r="T537" s="248"/>
      <c r="U537" s="248"/>
      <c r="V537" s="248"/>
      <c r="W537" s="248"/>
      <c r="X537" s="248"/>
      <c r="Y537" s="248"/>
      <c r="Z537" s="248"/>
      <c r="AA537" s="248"/>
      <c r="AB537" s="248"/>
    </row>
    <row r="538" spans="1:28" ht="13.8">
      <c r="A538" s="248"/>
      <c r="B538" s="248"/>
      <c r="C538" s="331"/>
      <c r="D538" s="248"/>
      <c r="E538" s="248"/>
      <c r="F538" s="248"/>
      <c r="G538" s="248"/>
      <c r="H538" s="248"/>
      <c r="I538" s="248"/>
      <c r="J538" s="248"/>
      <c r="K538" s="248"/>
      <c r="L538" s="248"/>
      <c r="M538" s="248"/>
      <c r="N538" s="248"/>
      <c r="O538" s="248"/>
      <c r="P538" s="248"/>
      <c r="Q538" s="248"/>
      <c r="R538" s="248"/>
      <c r="S538" s="248"/>
      <c r="T538" s="248"/>
      <c r="U538" s="248"/>
      <c r="V538" s="248"/>
      <c r="W538" s="248"/>
      <c r="X538" s="248"/>
      <c r="Y538" s="248"/>
      <c r="Z538" s="248"/>
      <c r="AA538" s="248"/>
      <c r="AB538" s="248"/>
    </row>
    <row r="539" spans="1:28" ht="13.8">
      <c r="A539" s="248"/>
      <c r="B539" s="248"/>
      <c r="C539" s="331"/>
      <c r="D539" s="248"/>
      <c r="E539" s="248"/>
      <c r="F539" s="248"/>
      <c r="G539" s="248"/>
      <c r="H539" s="248"/>
      <c r="I539" s="248"/>
      <c r="J539" s="248"/>
      <c r="K539" s="248"/>
      <c r="L539" s="248"/>
      <c r="M539" s="248"/>
      <c r="N539" s="248"/>
      <c r="O539" s="248"/>
      <c r="P539" s="248"/>
      <c r="Q539" s="248"/>
      <c r="R539" s="248"/>
      <c r="S539" s="248"/>
      <c r="T539" s="248"/>
      <c r="U539" s="248"/>
      <c r="V539" s="248"/>
      <c r="W539" s="248"/>
      <c r="X539" s="248"/>
      <c r="Y539" s="248"/>
      <c r="Z539" s="248"/>
      <c r="AA539" s="248"/>
      <c r="AB539" s="248"/>
    </row>
    <row r="540" spans="1:28" ht="13.8">
      <c r="A540" s="248"/>
      <c r="B540" s="248"/>
      <c r="C540" s="331"/>
      <c r="D540" s="248"/>
      <c r="E540" s="248"/>
      <c r="F540" s="248"/>
      <c r="G540" s="248"/>
      <c r="H540" s="248"/>
      <c r="I540" s="248"/>
      <c r="J540" s="248"/>
      <c r="K540" s="248"/>
      <c r="L540" s="248"/>
      <c r="M540" s="248"/>
      <c r="N540" s="248"/>
      <c r="O540" s="248"/>
      <c r="P540" s="248"/>
      <c r="Q540" s="248"/>
      <c r="R540" s="248"/>
      <c r="S540" s="248"/>
      <c r="T540" s="248"/>
      <c r="U540" s="248"/>
      <c r="V540" s="248"/>
      <c r="W540" s="248"/>
      <c r="X540" s="248"/>
      <c r="Y540" s="248"/>
      <c r="Z540" s="248"/>
      <c r="AA540" s="248"/>
      <c r="AB540" s="248"/>
    </row>
    <row r="541" spans="1:28" ht="13.8">
      <c r="A541" s="248"/>
      <c r="B541" s="248"/>
      <c r="C541" s="331"/>
      <c r="D541" s="248"/>
      <c r="E541" s="248"/>
      <c r="F541" s="248"/>
      <c r="G541" s="248"/>
      <c r="H541" s="248"/>
      <c r="I541" s="248"/>
      <c r="J541" s="248"/>
      <c r="K541" s="248"/>
      <c r="L541" s="248"/>
      <c r="M541" s="248"/>
      <c r="N541" s="248"/>
      <c r="O541" s="248"/>
      <c r="P541" s="248"/>
      <c r="Q541" s="248"/>
      <c r="R541" s="248"/>
      <c r="S541" s="248"/>
      <c r="T541" s="248"/>
      <c r="U541" s="248"/>
      <c r="V541" s="248"/>
      <c r="W541" s="248"/>
      <c r="X541" s="248"/>
      <c r="Y541" s="248"/>
      <c r="Z541" s="248"/>
      <c r="AA541" s="248"/>
      <c r="AB541" s="248"/>
    </row>
    <row r="542" spans="1:28" ht="13.8">
      <c r="A542" s="248"/>
      <c r="B542" s="248"/>
      <c r="C542" s="331"/>
      <c r="D542" s="248"/>
      <c r="E542" s="248"/>
      <c r="F542" s="248"/>
      <c r="G542" s="248"/>
      <c r="H542" s="248"/>
      <c r="I542" s="248"/>
      <c r="J542" s="248"/>
      <c r="K542" s="248"/>
      <c r="L542" s="248"/>
      <c r="M542" s="248"/>
      <c r="N542" s="248"/>
      <c r="O542" s="248"/>
      <c r="P542" s="248"/>
      <c r="Q542" s="248"/>
      <c r="R542" s="248"/>
      <c r="S542" s="248"/>
      <c r="T542" s="248"/>
      <c r="U542" s="248"/>
      <c r="V542" s="248"/>
      <c r="W542" s="248"/>
      <c r="X542" s="248"/>
      <c r="Y542" s="248"/>
      <c r="Z542" s="248"/>
      <c r="AA542" s="248"/>
      <c r="AB542" s="248"/>
    </row>
    <row r="543" spans="1:28" ht="13.8">
      <c r="A543" s="248"/>
      <c r="B543" s="248"/>
      <c r="C543" s="331"/>
      <c r="D543" s="248"/>
      <c r="E543" s="248"/>
      <c r="F543" s="248"/>
      <c r="G543" s="248"/>
      <c r="H543" s="248"/>
      <c r="I543" s="248"/>
      <c r="J543" s="248"/>
      <c r="K543" s="248"/>
      <c r="L543" s="248"/>
      <c r="M543" s="248"/>
      <c r="N543" s="248"/>
      <c r="O543" s="248"/>
      <c r="P543" s="248"/>
      <c r="Q543" s="248"/>
      <c r="R543" s="248"/>
      <c r="S543" s="248"/>
      <c r="T543" s="248"/>
      <c r="U543" s="248"/>
      <c r="V543" s="248"/>
      <c r="W543" s="248"/>
      <c r="X543" s="248"/>
      <c r="Y543" s="248"/>
      <c r="Z543" s="248"/>
      <c r="AA543" s="248"/>
      <c r="AB543" s="248"/>
    </row>
    <row r="544" spans="1:28" ht="13.8">
      <c r="A544" s="248"/>
      <c r="B544" s="248"/>
      <c r="C544" s="331"/>
      <c r="D544" s="248"/>
      <c r="E544" s="248"/>
      <c r="F544" s="248"/>
      <c r="G544" s="248"/>
      <c r="H544" s="248"/>
      <c r="I544" s="248"/>
      <c r="J544" s="248"/>
      <c r="K544" s="248"/>
      <c r="L544" s="248"/>
      <c r="M544" s="248"/>
      <c r="N544" s="248"/>
      <c r="O544" s="248"/>
      <c r="P544" s="248"/>
      <c r="Q544" s="248"/>
      <c r="R544" s="248"/>
      <c r="S544" s="248"/>
      <c r="T544" s="248"/>
      <c r="U544" s="248"/>
      <c r="V544" s="248"/>
      <c r="W544" s="248"/>
      <c r="X544" s="248"/>
      <c r="Y544" s="248"/>
      <c r="Z544" s="248"/>
      <c r="AA544" s="248"/>
      <c r="AB544" s="248"/>
    </row>
    <row r="545" spans="1:28" ht="13.8">
      <c r="A545" s="248"/>
      <c r="B545" s="248"/>
      <c r="C545" s="331"/>
      <c r="D545" s="248"/>
      <c r="E545" s="248"/>
      <c r="F545" s="248"/>
      <c r="G545" s="248"/>
      <c r="H545" s="248"/>
      <c r="I545" s="248"/>
      <c r="J545" s="248"/>
      <c r="K545" s="248"/>
      <c r="L545" s="248"/>
      <c r="M545" s="248"/>
      <c r="N545" s="248"/>
      <c r="O545" s="248"/>
      <c r="P545" s="248"/>
      <c r="Q545" s="248"/>
      <c r="R545" s="248"/>
      <c r="S545" s="248"/>
      <c r="T545" s="248"/>
      <c r="U545" s="248"/>
      <c r="V545" s="248"/>
      <c r="W545" s="248"/>
      <c r="X545" s="248"/>
      <c r="Y545" s="248"/>
      <c r="Z545" s="248"/>
      <c r="AA545" s="248"/>
      <c r="AB545" s="248"/>
    </row>
    <row r="546" spans="1:28" ht="13.8">
      <c r="A546" s="248"/>
      <c r="B546" s="248"/>
      <c r="C546" s="331"/>
      <c r="D546" s="248"/>
      <c r="E546" s="248"/>
      <c r="F546" s="248"/>
      <c r="G546" s="248"/>
      <c r="H546" s="248"/>
      <c r="I546" s="248"/>
      <c r="J546" s="248"/>
      <c r="K546" s="248"/>
      <c r="L546" s="248"/>
      <c r="M546" s="248"/>
      <c r="N546" s="248"/>
      <c r="O546" s="248"/>
      <c r="P546" s="248"/>
      <c r="Q546" s="248"/>
      <c r="R546" s="248"/>
      <c r="S546" s="248"/>
      <c r="T546" s="248"/>
      <c r="U546" s="248"/>
      <c r="V546" s="248"/>
      <c r="W546" s="248"/>
      <c r="X546" s="248"/>
      <c r="Y546" s="248"/>
      <c r="Z546" s="248"/>
      <c r="AA546" s="248"/>
      <c r="AB546" s="248"/>
    </row>
    <row r="547" spans="1:28" ht="13.8">
      <c r="A547" s="248"/>
      <c r="B547" s="248"/>
      <c r="C547" s="331"/>
      <c r="D547" s="248"/>
      <c r="E547" s="248"/>
      <c r="F547" s="248"/>
      <c r="G547" s="248"/>
      <c r="H547" s="248"/>
      <c r="I547" s="248"/>
      <c r="J547" s="248"/>
      <c r="K547" s="248"/>
      <c r="L547" s="248"/>
      <c r="M547" s="248"/>
      <c r="N547" s="248"/>
      <c r="O547" s="248"/>
      <c r="P547" s="248"/>
      <c r="Q547" s="248"/>
      <c r="R547" s="248"/>
      <c r="S547" s="248"/>
      <c r="T547" s="248"/>
      <c r="U547" s="248"/>
      <c r="V547" s="248"/>
      <c r="W547" s="248"/>
      <c r="X547" s="248"/>
      <c r="Y547" s="248"/>
      <c r="Z547" s="248"/>
      <c r="AA547" s="248"/>
      <c r="AB547" s="248"/>
    </row>
    <row r="548" spans="1:28" ht="13.8">
      <c r="A548" s="248"/>
      <c r="B548" s="248"/>
      <c r="C548" s="331"/>
      <c r="D548" s="248"/>
      <c r="E548" s="248"/>
      <c r="F548" s="248"/>
      <c r="G548" s="248"/>
      <c r="H548" s="248"/>
      <c r="I548" s="248"/>
      <c r="J548" s="248"/>
      <c r="K548" s="248"/>
      <c r="L548" s="248"/>
      <c r="M548" s="248"/>
      <c r="N548" s="248"/>
      <c r="O548" s="248"/>
      <c r="P548" s="248"/>
      <c r="Q548" s="248"/>
      <c r="R548" s="248"/>
      <c r="S548" s="248"/>
      <c r="T548" s="248"/>
      <c r="U548" s="248"/>
      <c r="V548" s="248"/>
      <c r="W548" s="248"/>
      <c r="X548" s="248"/>
      <c r="Y548" s="248"/>
      <c r="Z548" s="248"/>
      <c r="AA548" s="248"/>
      <c r="AB548" s="248"/>
    </row>
    <row r="549" spans="1:28" ht="13.8">
      <c r="A549" s="248"/>
      <c r="B549" s="248"/>
      <c r="C549" s="331"/>
      <c r="D549" s="248"/>
      <c r="E549" s="248"/>
      <c r="F549" s="248"/>
      <c r="G549" s="248"/>
      <c r="H549" s="248"/>
      <c r="I549" s="248"/>
      <c r="J549" s="248"/>
      <c r="K549" s="248"/>
      <c r="L549" s="248"/>
      <c r="M549" s="248"/>
      <c r="N549" s="248"/>
      <c r="O549" s="248"/>
      <c r="P549" s="248"/>
      <c r="Q549" s="248"/>
      <c r="R549" s="248"/>
      <c r="S549" s="248"/>
      <c r="T549" s="248"/>
      <c r="U549" s="248"/>
      <c r="V549" s="248"/>
      <c r="W549" s="248"/>
      <c r="X549" s="248"/>
      <c r="Y549" s="248"/>
      <c r="Z549" s="248"/>
      <c r="AA549" s="248"/>
      <c r="AB549" s="248"/>
    </row>
    <row r="550" spans="1:28" ht="13.8">
      <c r="A550" s="248"/>
      <c r="B550" s="248"/>
      <c r="C550" s="331"/>
      <c r="D550" s="248"/>
      <c r="E550" s="248"/>
      <c r="F550" s="248"/>
      <c r="G550" s="248"/>
      <c r="H550" s="248"/>
      <c r="I550" s="248"/>
      <c r="J550" s="248"/>
      <c r="K550" s="248"/>
      <c r="L550" s="248"/>
      <c r="M550" s="248"/>
      <c r="N550" s="248"/>
      <c r="O550" s="248"/>
      <c r="P550" s="248"/>
      <c r="Q550" s="248"/>
      <c r="R550" s="248"/>
      <c r="S550" s="248"/>
      <c r="T550" s="248"/>
      <c r="U550" s="248"/>
      <c r="V550" s="248"/>
      <c r="W550" s="248"/>
      <c r="X550" s="248"/>
      <c r="Y550" s="248"/>
      <c r="Z550" s="248"/>
      <c r="AA550" s="248"/>
      <c r="AB550" s="248"/>
    </row>
    <row r="551" spans="1:28" ht="13.8">
      <c r="A551" s="248"/>
      <c r="B551" s="248"/>
      <c r="C551" s="331"/>
      <c r="D551" s="248"/>
      <c r="E551" s="248"/>
      <c r="F551" s="248"/>
      <c r="G551" s="248"/>
      <c r="H551" s="248"/>
      <c r="I551" s="248"/>
      <c r="J551" s="248"/>
      <c r="K551" s="248"/>
      <c r="L551" s="248"/>
      <c r="M551" s="248"/>
      <c r="N551" s="248"/>
      <c r="O551" s="248"/>
      <c r="P551" s="248"/>
      <c r="Q551" s="248"/>
      <c r="R551" s="248"/>
      <c r="S551" s="248"/>
      <c r="T551" s="248"/>
      <c r="U551" s="248"/>
      <c r="V551" s="248"/>
      <c r="W551" s="248"/>
      <c r="X551" s="248"/>
      <c r="Y551" s="248"/>
      <c r="Z551" s="248"/>
      <c r="AA551" s="248"/>
      <c r="AB551" s="248"/>
    </row>
    <row r="552" spans="1:28" ht="13.8">
      <c r="A552" s="248"/>
      <c r="B552" s="248"/>
      <c r="C552" s="331"/>
      <c r="D552" s="248"/>
      <c r="E552" s="248"/>
      <c r="F552" s="248"/>
      <c r="G552" s="248"/>
      <c r="H552" s="248"/>
      <c r="I552" s="248"/>
      <c r="J552" s="248"/>
      <c r="K552" s="248"/>
      <c r="L552" s="248"/>
      <c r="M552" s="248"/>
      <c r="N552" s="248"/>
      <c r="O552" s="248"/>
      <c r="P552" s="248"/>
      <c r="Q552" s="248"/>
      <c r="R552" s="248"/>
      <c r="S552" s="248"/>
      <c r="T552" s="248"/>
      <c r="U552" s="248"/>
      <c r="V552" s="248"/>
      <c r="W552" s="248"/>
      <c r="X552" s="248"/>
      <c r="Y552" s="248"/>
      <c r="Z552" s="248"/>
      <c r="AA552" s="248"/>
      <c r="AB552" s="248"/>
    </row>
    <row r="553" spans="1:28" ht="13.8">
      <c r="A553" s="248"/>
      <c r="B553" s="248"/>
      <c r="C553" s="331"/>
      <c r="D553" s="248"/>
      <c r="E553" s="248"/>
      <c r="F553" s="248"/>
      <c r="G553" s="248"/>
      <c r="H553" s="248"/>
      <c r="I553" s="248"/>
      <c r="J553" s="248"/>
      <c r="K553" s="248"/>
      <c r="L553" s="248"/>
      <c r="M553" s="248"/>
      <c r="N553" s="248"/>
      <c r="O553" s="248"/>
      <c r="P553" s="248"/>
      <c r="Q553" s="248"/>
      <c r="R553" s="248"/>
      <c r="S553" s="248"/>
      <c r="T553" s="248"/>
      <c r="U553" s="248"/>
      <c r="V553" s="248"/>
      <c r="W553" s="248"/>
      <c r="X553" s="248"/>
      <c r="Y553" s="248"/>
      <c r="Z553" s="248"/>
      <c r="AA553" s="248"/>
      <c r="AB553" s="248"/>
    </row>
    <row r="554" spans="1:28" ht="13.8">
      <c r="A554" s="248"/>
      <c r="B554" s="248"/>
      <c r="C554" s="331"/>
      <c r="D554" s="248"/>
      <c r="E554" s="248"/>
      <c r="F554" s="248"/>
      <c r="G554" s="248"/>
      <c r="H554" s="248"/>
      <c r="I554" s="248"/>
      <c r="J554" s="248"/>
      <c r="K554" s="248"/>
      <c r="L554" s="248"/>
      <c r="M554" s="248"/>
      <c r="N554" s="248"/>
      <c r="O554" s="248"/>
      <c r="P554" s="248"/>
      <c r="Q554" s="248"/>
      <c r="R554" s="248"/>
      <c r="S554" s="248"/>
      <c r="T554" s="248"/>
      <c r="U554" s="248"/>
      <c r="V554" s="248"/>
      <c r="W554" s="248"/>
      <c r="X554" s="248"/>
      <c r="Y554" s="248"/>
      <c r="Z554" s="248"/>
      <c r="AA554" s="248"/>
      <c r="AB554" s="248"/>
    </row>
    <row r="555" spans="1:28" ht="13.8">
      <c r="A555" s="248"/>
      <c r="B555" s="248"/>
      <c r="C555" s="331"/>
      <c r="D555" s="248"/>
      <c r="E555" s="248"/>
      <c r="F555" s="248"/>
      <c r="G555" s="248"/>
      <c r="H555" s="248"/>
      <c r="I555" s="248"/>
      <c r="J555" s="248"/>
      <c r="K555" s="248"/>
      <c r="L555" s="248"/>
      <c r="M555" s="248"/>
      <c r="N555" s="248"/>
      <c r="O555" s="248"/>
      <c r="P555" s="248"/>
      <c r="Q555" s="248"/>
      <c r="R555" s="248"/>
      <c r="S555" s="248"/>
      <c r="T555" s="248"/>
      <c r="U555" s="248"/>
      <c r="V555" s="248"/>
      <c r="W555" s="248"/>
      <c r="X555" s="248"/>
      <c r="Y555" s="248"/>
      <c r="Z555" s="248"/>
      <c r="AA555" s="248"/>
      <c r="AB555" s="248"/>
    </row>
    <row r="556" spans="1:28" ht="13.8">
      <c r="A556" s="248"/>
      <c r="B556" s="248"/>
      <c r="C556" s="331"/>
      <c r="D556" s="248"/>
      <c r="E556" s="248"/>
      <c r="F556" s="248"/>
      <c r="G556" s="248"/>
      <c r="H556" s="248"/>
      <c r="I556" s="248"/>
      <c r="J556" s="248"/>
      <c r="K556" s="248"/>
      <c r="L556" s="248"/>
      <c r="M556" s="248"/>
      <c r="N556" s="248"/>
      <c r="O556" s="248"/>
      <c r="P556" s="248"/>
      <c r="Q556" s="248"/>
      <c r="R556" s="248"/>
      <c r="S556" s="248"/>
      <c r="T556" s="248"/>
      <c r="U556" s="248"/>
      <c r="V556" s="248"/>
      <c r="W556" s="248"/>
      <c r="X556" s="248"/>
      <c r="Y556" s="248"/>
      <c r="Z556" s="248"/>
      <c r="AA556" s="248"/>
      <c r="AB556" s="248"/>
    </row>
    <row r="557" spans="1:28" ht="13.8">
      <c r="A557" s="248"/>
      <c r="B557" s="248"/>
      <c r="C557" s="331"/>
      <c r="D557" s="248"/>
      <c r="E557" s="248"/>
      <c r="F557" s="248"/>
      <c r="G557" s="248"/>
      <c r="H557" s="248"/>
      <c r="I557" s="248"/>
      <c r="J557" s="248"/>
      <c r="K557" s="248"/>
      <c r="L557" s="248"/>
      <c r="M557" s="248"/>
      <c r="N557" s="248"/>
      <c r="O557" s="248"/>
      <c r="P557" s="248"/>
      <c r="Q557" s="248"/>
      <c r="R557" s="248"/>
      <c r="S557" s="248"/>
      <c r="T557" s="248"/>
      <c r="U557" s="248"/>
      <c r="V557" s="248"/>
      <c r="W557" s="248"/>
      <c r="X557" s="248"/>
      <c r="Y557" s="248"/>
      <c r="Z557" s="248"/>
      <c r="AA557" s="248"/>
      <c r="AB557" s="248"/>
    </row>
    <row r="558" spans="1:28" ht="13.8">
      <c r="A558" s="248"/>
      <c r="B558" s="248"/>
      <c r="C558" s="331"/>
      <c r="D558" s="248"/>
      <c r="E558" s="248"/>
      <c r="F558" s="248"/>
      <c r="G558" s="248"/>
      <c r="H558" s="248"/>
      <c r="I558" s="248"/>
      <c r="J558" s="248"/>
      <c r="K558" s="248"/>
      <c r="L558" s="248"/>
      <c r="M558" s="248"/>
      <c r="N558" s="248"/>
      <c r="O558" s="248"/>
      <c r="P558" s="248"/>
      <c r="Q558" s="248"/>
      <c r="R558" s="248"/>
      <c r="S558" s="248"/>
      <c r="T558" s="248"/>
      <c r="U558" s="248"/>
      <c r="V558" s="248"/>
      <c r="W558" s="248"/>
      <c r="X558" s="248"/>
      <c r="Y558" s="248"/>
      <c r="Z558" s="248"/>
      <c r="AA558" s="248"/>
      <c r="AB558" s="248"/>
    </row>
    <row r="559" spans="1:28" ht="13.8">
      <c r="A559" s="248"/>
      <c r="B559" s="248"/>
      <c r="C559" s="331"/>
      <c r="D559" s="248"/>
      <c r="E559" s="248"/>
      <c r="F559" s="248"/>
      <c r="G559" s="248"/>
      <c r="H559" s="248"/>
      <c r="I559" s="248"/>
      <c r="J559" s="248"/>
      <c r="K559" s="248"/>
      <c r="L559" s="248"/>
      <c r="M559" s="248"/>
      <c r="N559" s="248"/>
      <c r="O559" s="248"/>
      <c r="P559" s="248"/>
      <c r="Q559" s="248"/>
      <c r="R559" s="248"/>
      <c r="S559" s="248"/>
      <c r="T559" s="248"/>
      <c r="U559" s="248"/>
      <c r="V559" s="248"/>
      <c r="W559" s="248"/>
      <c r="X559" s="248"/>
      <c r="Y559" s="248"/>
      <c r="Z559" s="248"/>
      <c r="AA559" s="248"/>
      <c r="AB559" s="248"/>
    </row>
    <row r="560" spans="1:28" ht="13.8">
      <c r="A560" s="248"/>
      <c r="B560" s="248"/>
      <c r="C560" s="331"/>
      <c r="D560" s="248"/>
      <c r="E560" s="248"/>
      <c r="F560" s="248"/>
      <c r="G560" s="248"/>
      <c r="H560" s="248"/>
      <c r="I560" s="248"/>
      <c r="J560" s="248"/>
      <c r="K560" s="248"/>
      <c r="L560" s="248"/>
      <c r="M560" s="248"/>
      <c r="N560" s="248"/>
      <c r="O560" s="248"/>
      <c r="P560" s="248"/>
      <c r="Q560" s="248"/>
      <c r="R560" s="248"/>
      <c r="S560" s="248"/>
      <c r="T560" s="248"/>
      <c r="U560" s="248"/>
      <c r="V560" s="248"/>
      <c r="W560" s="248"/>
      <c r="X560" s="248"/>
      <c r="Y560" s="248"/>
      <c r="Z560" s="248"/>
      <c r="AA560" s="248"/>
      <c r="AB560" s="248"/>
    </row>
    <row r="561" spans="1:28" ht="13.8">
      <c r="A561" s="248"/>
      <c r="B561" s="248"/>
      <c r="C561" s="331"/>
      <c r="D561" s="248"/>
      <c r="E561" s="248"/>
      <c r="F561" s="248"/>
      <c r="G561" s="248"/>
      <c r="H561" s="248"/>
      <c r="I561" s="248"/>
      <c r="J561" s="248"/>
      <c r="K561" s="248"/>
      <c r="L561" s="248"/>
      <c r="M561" s="248"/>
      <c r="N561" s="248"/>
      <c r="O561" s="248"/>
      <c r="P561" s="248"/>
      <c r="Q561" s="248"/>
      <c r="R561" s="248"/>
      <c r="S561" s="248"/>
      <c r="T561" s="248"/>
      <c r="U561" s="248"/>
      <c r="V561" s="248"/>
      <c r="W561" s="248"/>
      <c r="X561" s="248"/>
      <c r="Y561" s="248"/>
      <c r="Z561" s="248"/>
      <c r="AA561" s="248"/>
      <c r="AB561" s="248"/>
    </row>
    <row r="562" spans="1:28" ht="13.8">
      <c r="A562" s="248"/>
      <c r="B562" s="248"/>
      <c r="C562" s="331"/>
      <c r="D562" s="248"/>
      <c r="E562" s="248"/>
      <c r="F562" s="248"/>
      <c r="G562" s="248"/>
      <c r="H562" s="248"/>
      <c r="I562" s="248"/>
      <c r="J562" s="248"/>
      <c r="K562" s="248"/>
      <c r="L562" s="248"/>
      <c r="M562" s="248"/>
      <c r="N562" s="248"/>
      <c r="O562" s="248"/>
      <c r="P562" s="248"/>
      <c r="Q562" s="248"/>
      <c r="R562" s="248"/>
      <c r="S562" s="248"/>
      <c r="T562" s="248"/>
      <c r="U562" s="248"/>
      <c r="V562" s="248"/>
      <c r="W562" s="248"/>
      <c r="X562" s="248"/>
      <c r="Y562" s="248"/>
      <c r="Z562" s="248"/>
      <c r="AA562" s="248"/>
      <c r="AB562" s="248"/>
    </row>
    <row r="563" spans="1:28" ht="13.8">
      <c r="A563" s="248"/>
      <c r="B563" s="248"/>
      <c r="C563" s="331"/>
      <c r="D563" s="248"/>
      <c r="E563" s="248"/>
      <c r="F563" s="248"/>
      <c r="G563" s="248"/>
      <c r="H563" s="248"/>
      <c r="I563" s="248"/>
      <c r="J563" s="248"/>
      <c r="K563" s="248"/>
      <c r="L563" s="248"/>
      <c r="M563" s="248"/>
      <c r="N563" s="248"/>
      <c r="O563" s="248"/>
      <c r="P563" s="248"/>
      <c r="Q563" s="248"/>
      <c r="R563" s="248"/>
      <c r="S563" s="248"/>
      <c r="T563" s="248"/>
      <c r="U563" s="248"/>
      <c r="V563" s="248"/>
      <c r="W563" s="248"/>
      <c r="X563" s="248"/>
      <c r="Y563" s="248"/>
      <c r="Z563" s="248"/>
      <c r="AA563" s="248"/>
      <c r="AB563" s="248"/>
    </row>
    <row r="564" spans="1:28" ht="13.8">
      <c r="A564" s="248"/>
      <c r="B564" s="248"/>
      <c r="C564" s="331"/>
      <c r="D564" s="248"/>
      <c r="E564" s="248"/>
      <c r="F564" s="248"/>
      <c r="G564" s="248"/>
      <c r="H564" s="248"/>
      <c r="I564" s="248"/>
      <c r="J564" s="248"/>
      <c r="K564" s="248"/>
      <c r="L564" s="248"/>
      <c r="M564" s="248"/>
      <c r="N564" s="248"/>
      <c r="O564" s="248"/>
      <c r="P564" s="248"/>
      <c r="Q564" s="248"/>
      <c r="R564" s="248"/>
      <c r="S564" s="248"/>
      <c r="T564" s="248"/>
      <c r="U564" s="248"/>
      <c r="V564" s="248"/>
      <c r="W564" s="248"/>
      <c r="X564" s="248"/>
      <c r="Y564" s="248"/>
      <c r="Z564" s="248"/>
      <c r="AA564" s="248"/>
      <c r="AB564" s="248"/>
    </row>
    <row r="565" spans="1:28" ht="13.8">
      <c r="A565" s="248"/>
      <c r="B565" s="248"/>
      <c r="C565" s="331"/>
      <c r="D565" s="248"/>
      <c r="E565" s="248"/>
      <c r="F565" s="248"/>
      <c r="G565" s="248"/>
      <c r="H565" s="248"/>
      <c r="I565" s="248"/>
      <c r="J565" s="248"/>
      <c r="K565" s="248"/>
      <c r="L565" s="248"/>
      <c r="M565" s="248"/>
      <c r="N565" s="248"/>
      <c r="O565" s="248"/>
      <c r="P565" s="248"/>
      <c r="Q565" s="248"/>
      <c r="R565" s="248"/>
      <c r="S565" s="248"/>
      <c r="T565" s="248"/>
      <c r="U565" s="248"/>
      <c r="V565" s="248"/>
      <c r="W565" s="248"/>
      <c r="X565" s="248"/>
      <c r="Y565" s="248"/>
      <c r="Z565" s="248"/>
      <c r="AA565" s="248"/>
      <c r="AB565" s="248"/>
    </row>
    <row r="566" spans="1:28" ht="13.8">
      <c r="A566" s="248"/>
      <c r="B566" s="248"/>
      <c r="C566" s="331"/>
      <c r="D566" s="248"/>
      <c r="E566" s="248"/>
      <c r="F566" s="248"/>
      <c r="G566" s="248"/>
      <c r="H566" s="248"/>
      <c r="I566" s="248"/>
      <c r="J566" s="248"/>
      <c r="K566" s="248"/>
      <c r="L566" s="248"/>
      <c r="M566" s="248"/>
      <c r="N566" s="248"/>
      <c r="O566" s="248"/>
      <c r="P566" s="248"/>
      <c r="Q566" s="248"/>
      <c r="R566" s="248"/>
      <c r="S566" s="248"/>
      <c r="T566" s="248"/>
      <c r="U566" s="248"/>
      <c r="V566" s="248"/>
      <c r="W566" s="248"/>
      <c r="X566" s="248"/>
      <c r="Y566" s="248"/>
      <c r="Z566" s="248"/>
      <c r="AA566" s="248"/>
      <c r="AB566" s="248"/>
    </row>
    <row r="567" spans="1:28" ht="13.8">
      <c r="A567" s="248"/>
      <c r="B567" s="248"/>
      <c r="C567" s="331"/>
      <c r="D567" s="248"/>
      <c r="E567" s="248"/>
      <c r="F567" s="248"/>
      <c r="G567" s="248"/>
      <c r="H567" s="248"/>
      <c r="I567" s="248"/>
      <c r="J567" s="248"/>
      <c r="K567" s="248"/>
      <c r="L567" s="248"/>
      <c r="M567" s="248"/>
      <c r="N567" s="248"/>
      <c r="O567" s="248"/>
      <c r="P567" s="248"/>
      <c r="Q567" s="248"/>
      <c r="R567" s="248"/>
      <c r="S567" s="248"/>
      <c r="T567" s="248"/>
      <c r="U567" s="248"/>
      <c r="V567" s="248"/>
      <c r="W567" s="248"/>
      <c r="X567" s="248"/>
      <c r="Y567" s="248"/>
      <c r="Z567" s="248"/>
      <c r="AA567" s="248"/>
      <c r="AB567" s="248"/>
    </row>
    <row r="568" spans="1:28" ht="13.8">
      <c r="A568" s="248"/>
      <c r="B568" s="248"/>
      <c r="C568" s="331"/>
      <c r="D568" s="248"/>
      <c r="E568" s="248"/>
      <c r="F568" s="248"/>
      <c r="G568" s="248"/>
      <c r="H568" s="248"/>
      <c r="I568" s="248"/>
      <c r="J568" s="248"/>
      <c r="K568" s="248"/>
      <c r="L568" s="248"/>
      <c r="M568" s="248"/>
      <c r="N568" s="248"/>
      <c r="O568" s="248"/>
      <c r="P568" s="248"/>
      <c r="Q568" s="248"/>
      <c r="R568" s="248"/>
      <c r="S568" s="248"/>
      <c r="T568" s="248"/>
      <c r="U568" s="248"/>
      <c r="V568" s="248"/>
      <c r="W568" s="248"/>
      <c r="X568" s="248"/>
      <c r="Y568" s="248"/>
      <c r="Z568" s="248"/>
      <c r="AA568" s="248"/>
      <c r="AB568" s="248"/>
    </row>
    <row r="569" spans="1:28" ht="13.8">
      <c r="A569" s="248"/>
      <c r="B569" s="248"/>
      <c r="C569" s="331"/>
      <c r="D569" s="248"/>
      <c r="E569" s="248"/>
      <c r="F569" s="248"/>
      <c r="G569" s="248"/>
      <c r="H569" s="248"/>
      <c r="I569" s="248"/>
      <c r="J569" s="248"/>
      <c r="K569" s="248"/>
      <c r="L569" s="248"/>
      <c r="M569" s="248"/>
      <c r="N569" s="248"/>
      <c r="O569" s="248"/>
      <c r="P569" s="248"/>
      <c r="Q569" s="248"/>
      <c r="R569" s="248"/>
      <c r="S569" s="248"/>
      <c r="T569" s="248"/>
      <c r="U569" s="248"/>
      <c r="V569" s="248"/>
      <c r="W569" s="248"/>
      <c r="X569" s="248"/>
      <c r="Y569" s="248"/>
      <c r="Z569" s="248"/>
      <c r="AA569" s="248"/>
      <c r="AB569" s="248"/>
    </row>
    <row r="570" spans="1:28" ht="13.8">
      <c r="A570" s="248"/>
      <c r="B570" s="248"/>
      <c r="C570" s="331"/>
      <c r="D570" s="248"/>
      <c r="E570" s="248"/>
      <c r="F570" s="248"/>
      <c r="G570" s="248"/>
      <c r="H570" s="248"/>
      <c r="I570" s="248"/>
      <c r="J570" s="248"/>
      <c r="K570" s="248"/>
      <c r="L570" s="248"/>
      <c r="M570" s="248"/>
      <c r="N570" s="248"/>
      <c r="O570" s="248"/>
      <c r="P570" s="248"/>
      <c r="Q570" s="248"/>
      <c r="R570" s="248"/>
      <c r="S570" s="248"/>
      <c r="T570" s="248"/>
      <c r="U570" s="248"/>
      <c r="V570" s="248"/>
      <c r="W570" s="248"/>
      <c r="X570" s="248"/>
      <c r="Y570" s="248"/>
      <c r="Z570" s="248"/>
      <c r="AA570" s="248"/>
      <c r="AB570" s="248"/>
    </row>
    <row r="571" spans="1:28" ht="13.8">
      <c r="A571" s="248"/>
      <c r="B571" s="248"/>
      <c r="C571" s="331"/>
      <c r="D571" s="248"/>
      <c r="E571" s="248"/>
      <c r="F571" s="248"/>
      <c r="G571" s="248"/>
      <c r="H571" s="248"/>
      <c r="I571" s="248"/>
      <c r="J571" s="248"/>
      <c r="K571" s="248"/>
      <c r="L571" s="248"/>
      <c r="M571" s="248"/>
      <c r="N571" s="248"/>
      <c r="O571" s="248"/>
      <c r="P571" s="248"/>
      <c r="Q571" s="248"/>
      <c r="R571" s="248"/>
      <c r="S571" s="248"/>
      <c r="T571" s="248"/>
      <c r="U571" s="248"/>
      <c r="V571" s="248"/>
      <c r="W571" s="248"/>
      <c r="X571" s="248"/>
      <c r="Y571" s="248"/>
      <c r="Z571" s="248"/>
      <c r="AA571" s="248"/>
      <c r="AB571" s="248"/>
    </row>
    <row r="572" spans="1:28" ht="13.8">
      <c r="A572" s="248"/>
      <c r="B572" s="248"/>
      <c r="C572" s="331"/>
      <c r="D572" s="248"/>
      <c r="E572" s="248"/>
      <c r="F572" s="248"/>
      <c r="G572" s="248"/>
      <c r="H572" s="248"/>
      <c r="I572" s="248"/>
      <c r="J572" s="248"/>
      <c r="K572" s="248"/>
      <c r="L572" s="248"/>
      <c r="M572" s="248"/>
      <c r="N572" s="248"/>
      <c r="O572" s="248"/>
      <c r="P572" s="248"/>
      <c r="Q572" s="248"/>
      <c r="R572" s="248"/>
      <c r="S572" s="248"/>
      <c r="T572" s="248"/>
      <c r="U572" s="248"/>
      <c r="V572" s="248"/>
      <c r="W572" s="248"/>
      <c r="X572" s="248"/>
      <c r="Y572" s="248"/>
      <c r="Z572" s="248"/>
      <c r="AA572" s="248"/>
      <c r="AB572" s="248"/>
    </row>
    <row r="573" spans="1:28" ht="13.8">
      <c r="A573" s="248"/>
      <c r="B573" s="248"/>
      <c r="C573" s="331"/>
      <c r="D573" s="248"/>
      <c r="E573" s="248"/>
      <c r="F573" s="248"/>
      <c r="G573" s="248"/>
      <c r="H573" s="248"/>
      <c r="I573" s="248"/>
      <c r="J573" s="248"/>
      <c r="K573" s="248"/>
      <c r="L573" s="248"/>
      <c r="M573" s="248"/>
      <c r="N573" s="248"/>
      <c r="O573" s="248"/>
      <c r="P573" s="248"/>
      <c r="Q573" s="248"/>
      <c r="R573" s="248"/>
      <c r="S573" s="248"/>
      <c r="T573" s="248"/>
      <c r="U573" s="248"/>
      <c r="V573" s="248"/>
      <c r="W573" s="248"/>
      <c r="X573" s="248"/>
      <c r="Y573" s="248"/>
      <c r="Z573" s="248"/>
      <c r="AA573" s="248"/>
      <c r="AB573" s="248"/>
    </row>
    <row r="574" spans="1:28" ht="13.8">
      <c r="A574" s="248"/>
      <c r="B574" s="248"/>
      <c r="C574" s="331"/>
      <c r="D574" s="248"/>
      <c r="E574" s="248"/>
      <c r="F574" s="248"/>
      <c r="G574" s="248"/>
      <c r="H574" s="248"/>
      <c r="I574" s="248"/>
      <c r="J574" s="248"/>
      <c r="K574" s="248"/>
      <c r="L574" s="248"/>
      <c r="M574" s="248"/>
      <c r="N574" s="248"/>
      <c r="O574" s="248"/>
      <c r="P574" s="248"/>
      <c r="Q574" s="248"/>
      <c r="R574" s="248"/>
      <c r="S574" s="248"/>
      <c r="T574" s="248"/>
      <c r="U574" s="248"/>
      <c r="V574" s="248"/>
      <c r="W574" s="248"/>
      <c r="X574" s="248"/>
      <c r="Y574" s="248"/>
      <c r="Z574" s="248"/>
      <c r="AA574" s="248"/>
      <c r="AB574" s="248"/>
    </row>
    <row r="575" spans="1:28" ht="13.8">
      <c r="A575" s="248"/>
      <c r="B575" s="248"/>
      <c r="C575" s="331"/>
      <c r="D575" s="248"/>
      <c r="E575" s="248"/>
      <c r="F575" s="248"/>
      <c r="G575" s="248"/>
      <c r="H575" s="248"/>
      <c r="I575" s="248"/>
      <c r="J575" s="248"/>
      <c r="K575" s="248"/>
      <c r="L575" s="248"/>
      <c r="M575" s="248"/>
      <c r="N575" s="248"/>
      <c r="O575" s="248"/>
      <c r="P575" s="248"/>
      <c r="Q575" s="248"/>
      <c r="R575" s="248"/>
      <c r="S575" s="248"/>
      <c r="T575" s="248"/>
      <c r="U575" s="248"/>
      <c r="V575" s="248"/>
      <c r="W575" s="248"/>
      <c r="X575" s="248"/>
      <c r="Y575" s="248"/>
      <c r="Z575" s="248"/>
      <c r="AA575" s="248"/>
      <c r="AB575" s="248"/>
    </row>
    <row r="576" spans="1:28" ht="13.8">
      <c r="A576" s="248"/>
      <c r="B576" s="248"/>
      <c r="C576" s="331"/>
      <c r="D576" s="248"/>
      <c r="E576" s="248"/>
      <c r="F576" s="248"/>
      <c r="G576" s="248"/>
      <c r="H576" s="248"/>
      <c r="I576" s="248"/>
      <c r="J576" s="248"/>
      <c r="K576" s="248"/>
      <c r="L576" s="248"/>
      <c r="M576" s="248"/>
      <c r="N576" s="248"/>
      <c r="O576" s="248"/>
      <c r="P576" s="248"/>
      <c r="Q576" s="248"/>
      <c r="R576" s="248"/>
      <c r="S576" s="248"/>
      <c r="T576" s="248"/>
      <c r="U576" s="248"/>
      <c r="V576" s="248"/>
      <c r="W576" s="248"/>
      <c r="X576" s="248"/>
      <c r="Y576" s="248"/>
      <c r="Z576" s="248"/>
      <c r="AA576" s="248"/>
      <c r="AB576" s="248"/>
    </row>
    <row r="577" spans="1:28" ht="13.8">
      <c r="A577" s="248"/>
      <c r="B577" s="248"/>
      <c r="C577" s="331"/>
      <c r="D577" s="248"/>
      <c r="E577" s="248"/>
      <c r="F577" s="248"/>
      <c r="G577" s="248"/>
      <c r="H577" s="248"/>
      <c r="I577" s="248"/>
      <c r="J577" s="248"/>
      <c r="K577" s="248"/>
      <c r="L577" s="248"/>
      <c r="M577" s="248"/>
      <c r="N577" s="248"/>
      <c r="O577" s="248"/>
      <c r="P577" s="248"/>
      <c r="Q577" s="248"/>
      <c r="R577" s="248"/>
      <c r="S577" s="248"/>
      <c r="T577" s="248"/>
      <c r="U577" s="248"/>
      <c r="V577" s="248"/>
      <c r="W577" s="248"/>
      <c r="X577" s="248"/>
      <c r="Y577" s="248"/>
      <c r="Z577" s="248"/>
      <c r="AA577" s="248"/>
      <c r="AB577" s="248"/>
    </row>
    <row r="578" spans="1:28" ht="13.8">
      <c r="A578" s="248"/>
      <c r="B578" s="248"/>
      <c r="C578" s="331"/>
      <c r="D578" s="248"/>
      <c r="E578" s="248"/>
      <c r="F578" s="248"/>
      <c r="G578" s="248"/>
      <c r="H578" s="248"/>
      <c r="I578" s="248"/>
      <c r="J578" s="248"/>
      <c r="K578" s="248"/>
      <c r="L578" s="248"/>
      <c r="M578" s="248"/>
      <c r="N578" s="248"/>
      <c r="O578" s="248"/>
      <c r="P578" s="248"/>
      <c r="Q578" s="248"/>
      <c r="R578" s="248"/>
      <c r="S578" s="248"/>
      <c r="T578" s="248"/>
      <c r="U578" s="248"/>
      <c r="V578" s="248"/>
      <c r="W578" s="248"/>
      <c r="X578" s="248"/>
      <c r="Y578" s="248"/>
      <c r="Z578" s="248"/>
      <c r="AA578" s="248"/>
      <c r="AB578" s="248"/>
    </row>
    <row r="579" spans="1:28" ht="13.8">
      <c r="A579" s="248"/>
      <c r="B579" s="248"/>
      <c r="C579" s="331"/>
      <c r="D579" s="248"/>
      <c r="E579" s="248"/>
      <c r="F579" s="248"/>
      <c r="G579" s="248"/>
      <c r="H579" s="248"/>
      <c r="I579" s="248"/>
      <c r="J579" s="248"/>
      <c r="K579" s="248"/>
      <c r="L579" s="248"/>
      <c r="M579" s="248"/>
      <c r="N579" s="248"/>
      <c r="O579" s="248"/>
      <c r="P579" s="248"/>
      <c r="Q579" s="248"/>
      <c r="R579" s="248"/>
      <c r="S579" s="248"/>
      <c r="T579" s="248"/>
      <c r="U579" s="248"/>
      <c r="V579" s="248"/>
      <c r="W579" s="248"/>
      <c r="X579" s="248"/>
      <c r="Y579" s="248"/>
      <c r="Z579" s="248"/>
      <c r="AA579" s="248"/>
      <c r="AB579" s="248"/>
    </row>
    <row r="580" spans="1:28" ht="13.8">
      <c r="A580" s="248"/>
      <c r="B580" s="248"/>
      <c r="C580" s="331"/>
      <c r="D580" s="248"/>
      <c r="E580" s="248"/>
      <c r="F580" s="248"/>
      <c r="G580" s="248"/>
      <c r="H580" s="248"/>
      <c r="I580" s="248"/>
      <c r="J580" s="248"/>
      <c r="K580" s="248"/>
      <c r="L580" s="248"/>
      <c r="M580" s="248"/>
      <c r="N580" s="248"/>
      <c r="O580" s="248"/>
      <c r="P580" s="248"/>
      <c r="Q580" s="248"/>
      <c r="R580" s="248"/>
      <c r="S580" s="248"/>
      <c r="T580" s="248"/>
      <c r="U580" s="248"/>
      <c r="V580" s="248"/>
      <c r="W580" s="248"/>
      <c r="X580" s="248"/>
      <c r="Y580" s="248"/>
      <c r="Z580" s="248"/>
      <c r="AA580" s="248"/>
      <c r="AB580" s="248"/>
    </row>
    <row r="581" spans="1:28" ht="13.8">
      <c r="A581" s="248"/>
      <c r="B581" s="248"/>
      <c r="C581" s="331"/>
      <c r="D581" s="248"/>
      <c r="E581" s="248"/>
      <c r="F581" s="248"/>
      <c r="G581" s="248"/>
      <c r="H581" s="248"/>
      <c r="I581" s="248"/>
      <c r="J581" s="248"/>
      <c r="K581" s="248"/>
      <c r="L581" s="248"/>
      <c r="M581" s="248"/>
      <c r="N581" s="248"/>
      <c r="O581" s="248"/>
      <c r="P581" s="248"/>
      <c r="Q581" s="248"/>
      <c r="R581" s="248"/>
      <c r="S581" s="248"/>
      <c r="T581" s="248"/>
      <c r="U581" s="248"/>
      <c r="V581" s="248"/>
      <c r="W581" s="248"/>
      <c r="X581" s="248"/>
      <c r="Y581" s="248"/>
      <c r="Z581" s="248"/>
      <c r="AA581" s="248"/>
      <c r="AB581" s="248"/>
    </row>
    <row r="582" spans="1:28" ht="13.8">
      <c r="A582" s="248"/>
      <c r="B582" s="248"/>
      <c r="C582" s="331"/>
      <c r="D582" s="248"/>
      <c r="E582" s="248"/>
      <c r="F582" s="248"/>
      <c r="G582" s="248"/>
      <c r="H582" s="248"/>
      <c r="I582" s="248"/>
      <c r="J582" s="248"/>
      <c r="K582" s="248"/>
      <c r="L582" s="248"/>
      <c r="M582" s="248"/>
      <c r="N582" s="248"/>
      <c r="O582" s="248"/>
      <c r="P582" s="248"/>
      <c r="Q582" s="248"/>
      <c r="R582" s="248"/>
      <c r="S582" s="248"/>
      <c r="T582" s="248"/>
      <c r="U582" s="248"/>
      <c r="V582" s="248"/>
      <c r="W582" s="248"/>
      <c r="X582" s="248"/>
      <c r="Y582" s="248"/>
      <c r="Z582" s="248"/>
      <c r="AA582" s="248"/>
      <c r="AB582" s="248"/>
    </row>
    <row r="583" spans="1:28" ht="13.8">
      <c r="A583" s="248"/>
      <c r="B583" s="248"/>
      <c r="C583" s="331"/>
      <c r="D583" s="248"/>
      <c r="E583" s="248"/>
      <c r="F583" s="248"/>
      <c r="G583" s="248"/>
      <c r="H583" s="248"/>
      <c r="I583" s="248"/>
      <c r="J583" s="248"/>
      <c r="K583" s="248"/>
      <c r="L583" s="248"/>
      <c r="M583" s="248"/>
      <c r="N583" s="248"/>
      <c r="O583" s="248"/>
      <c r="P583" s="248"/>
      <c r="Q583" s="248"/>
      <c r="R583" s="248"/>
      <c r="S583" s="248"/>
      <c r="T583" s="248"/>
      <c r="U583" s="248"/>
      <c r="V583" s="248"/>
      <c r="W583" s="248"/>
      <c r="X583" s="248"/>
      <c r="Y583" s="248"/>
      <c r="Z583" s="248"/>
      <c r="AA583" s="248"/>
      <c r="AB583" s="248"/>
    </row>
    <row r="584" spans="1:28" ht="13.8">
      <c r="A584" s="248"/>
      <c r="B584" s="248"/>
      <c r="C584" s="331"/>
      <c r="D584" s="248"/>
      <c r="E584" s="248"/>
      <c r="F584" s="248"/>
      <c r="G584" s="248"/>
      <c r="H584" s="248"/>
      <c r="I584" s="248"/>
      <c r="J584" s="248"/>
      <c r="K584" s="248"/>
      <c r="L584" s="248"/>
      <c r="M584" s="248"/>
      <c r="N584" s="248"/>
      <c r="O584" s="248"/>
      <c r="P584" s="248"/>
      <c r="Q584" s="248"/>
      <c r="R584" s="248"/>
      <c r="S584" s="248"/>
      <c r="T584" s="248"/>
      <c r="U584" s="248"/>
      <c r="V584" s="248"/>
      <c r="W584" s="248"/>
      <c r="X584" s="248"/>
      <c r="Y584" s="248"/>
      <c r="Z584" s="248"/>
      <c r="AA584" s="248"/>
      <c r="AB584" s="248"/>
    </row>
    <row r="585" spans="1:28" ht="13.8">
      <c r="A585" s="248"/>
      <c r="B585" s="248"/>
      <c r="C585" s="331"/>
      <c r="D585" s="248"/>
      <c r="E585" s="248"/>
      <c r="F585" s="248"/>
      <c r="G585" s="248"/>
      <c r="H585" s="248"/>
      <c r="I585" s="248"/>
      <c r="J585" s="248"/>
      <c r="K585" s="248"/>
      <c r="L585" s="248"/>
      <c r="M585" s="248"/>
      <c r="N585" s="248"/>
      <c r="O585" s="248"/>
      <c r="P585" s="248"/>
      <c r="Q585" s="248"/>
      <c r="R585" s="248"/>
      <c r="S585" s="248"/>
      <c r="T585" s="248"/>
      <c r="U585" s="248"/>
      <c r="V585" s="248"/>
      <c r="W585" s="248"/>
      <c r="X585" s="248"/>
      <c r="Y585" s="248"/>
      <c r="Z585" s="248"/>
      <c r="AA585" s="248"/>
      <c r="AB585" s="248"/>
    </row>
    <row r="586" spans="1:28" ht="13.8">
      <c r="A586" s="248"/>
      <c r="B586" s="248"/>
      <c r="C586" s="331"/>
      <c r="D586" s="248"/>
      <c r="E586" s="248"/>
      <c r="F586" s="248"/>
      <c r="G586" s="248"/>
      <c r="H586" s="248"/>
      <c r="I586" s="248"/>
      <c r="J586" s="248"/>
      <c r="K586" s="248"/>
      <c r="L586" s="248"/>
      <c r="M586" s="248"/>
      <c r="N586" s="248"/>
      <c r="O586" s="248"/>
      <c r="P586" s="248"/>
      <c r="Q586" s="248"/>
      <c r="R586" s="248"/>
      <c r="S586" s="248"/>
      <c r="T586" s="248"/>
      <c r="U586" s="248"/>
      <c r="V586" s="248"/>
      <c r="W586" s="248"/>
      <c r="X586" s="248"/>
      <c r="Y586" s="248"/>
      <c r="Z586" s="248"/>
      <c r="AA586" s="248"/>
      <c r="AB586" s="248"/>
    </row>
    <row r="587" spans="1:28" ht="13.8">
      <c r="A587" s="248"/>
      <c r="B587" s="248"/>
      <c r="C587" s="331"/>
      <c r="D587" s="248"/>
      <c r="E587" s="248"/>
      <c r="F587" s="248"/>
      <c r="G587" s="248"/>
      <c r="H587" s="248"/>
      <c r="I587" s="248"/>
      <c r="J587" s="248"/>
      <c r="K587" s="248"/>
      <c r="L587" s="248"/>
      <c r="M587" s="248"/>
      <c r="N587" s="248"/>
      <c r="O587" s="248"/>
      <c r="P587" s="248"/>
      <c r="Q587" s="248"/>
      <c r="R587" s="248"/>
      <c r="S587" s="248"/>
      <c r="T587" s="248"/>
      <c r="U587" s="248"/>
      <c r="V587" s="248"/>
      <c r="W587" s="248"/>
      <c r="X587" s="248"/>
      <c r="Y587" s="248"/>
      <c r="Z587" s="248"/>
      <c r="AA587" s="248"/>
      <c r="AB587" s="248"/>
    </row>
    <row r="588" spans="1:28" ht="13.8">
      <c r="A588" s="248"/>
      <c r="B588" s="248"/>
      <c r="C588" s="331"/>
      <c r="D588" s="248"/>
      <c r="E588" s="248"/>
      <c r="F588" s="248"/>
      <c r="G588" s="248"/>
      <c r="H588" s="248"/>
      <c r="I588" s="248"/>
      <c r="J588" s="248"/>
      <c r="K588" s="248"/>
      <c r="L588" s="248"/>
      <c r="M588" s="248"/>
      <c r="N588" s="248"/>
      <c r="O588" s="248"/>
      <c r="P588" s="248"/>
      <c r="Q588" s="248"/>
      <c r="R588" s="248"/>
      <c r="S588" s="248"/>
      <c r="T588" s="248"/>
      <c r="U588" s="248"/>
      <c r="V588" s="248"/>
      <c r="W588" s="248"/>
      <c r="X588" s="248"/>
      <c r="Y588" s="248"/>
      <c r="Z588" s="248"/>
      <c r="AA588" s="248"/>
      <c r="AB588" s="248"/>
    </row>
    <row r="589" spans="1:28" ht="13.8">
      <c r="A589" s="248"/>
      <c r="B589" s="248"/>
      <c r="C589" s="331"/>
      <c r="D589" s="248"/>
      <c r="E589" s="248"/>
      <c r="F589" s="248"/>
      <c r="G589" s="248"/>
      <c r="H589" s="248"/>
      <c r="I589" s="248"/>
      <c r="J589" s="248"/>
      <c r="K589" s="248"/>
      <c r="L589" s="248"/>
      <c r="M589" s="248"/>
      <c r="N589" s="248"/>
      <c r="O589" s="248"/>
      <c r="P589" s="248"/>
      <c r="Q589" s="248"/>
      <c r="R589" s="248"/>
      <c r="S589" s="248"/>
      <c r="T589" s="248"/>
      <c r="U589" s="248"/>
      <c r="V589" s="248"/>
      <c r="W589" s="248"/>
      <c r="X589" s="248"/>
      <c r="Y589" s="248"/>
      <c r="Z589" s="248"/>
      <c r="AA589" s="248"/>
      <c r="AB589" s="248"/>
    </row>
    <row r="590" spans="1:28" ht="13.8">
      <c r="A590" s="248"/>
      <c r="B590" s="248"/>
      <c r="C590" s="331"/>
      <c r="D590" s="248"/>
      <c r="E590" s="248"/>
      <c r="F590" s="248"/>
      <c r="G590" s="248"/>
      <c r="H590" s="248"/>
      <c r="I590" s="248"/>
      <c r="J590" s="248"/>
      <c r="K590" s="248"/>
      <c r="L590" s="248"/>
      <c r="M590" s="248"/>
      <c r="N590" s="248"/>
      <c r="O590" s="248"/>
      <c r="P590" s="248"/>
      <c r="Q590" s="248"/>
      <c r="R590" s="248"/>
      <c r="S590" s="248"/>
      <c r="T590" s="248"/>
      <c r="U590" s="248"/>
      <c r="V590" s="248"/>
      <c r="W590" s="248"/>
      <c r="X590" s="248"/>
      <c r="Y590" s="248"/>
      <c r="Z590" s="248"/>
      <c r="AA590" s="248"/>
      <c r="AB590" s="248"/>
    </row>
    <row r="591" spans="1:28" ht="13.8">
      <c r="A591" s="248"/>
      <c r="B591" s="248"/>
      <c r="C591" s="331"/>
      <c r="D591" s="248"/>
      <c r="E591" s="248"/>
      <c r="F591" s="248"/>
      <c r="G591" s="248"/>
      <c r="H591" s="248"/>
      <c r="I591" s="248"/>
      <c r="J591" s="248"/>
      <c r="K591" s="248"/>
      <c r="L591" s="248"/>
      <c r="M591" s="248"/>
      <c r="N591" s="248"/>
      <c r="O591" s="248"/>
      <c r="P591" s="248"/>
      <c r="Q591" s="248"/>
      <c r="R591" s="248"/>
      <c r="S591" s="248"/>
      <c r="T591" s="248"/>
      <c r="U591" s="248"/>
      <c r="V591" s="248"/>
      <c r="W591" s="248"/>
      <c r="X591" s="248"/>
      <c r="Y591" s="248"/>
      <c r="Z591" s="248"/>
      <c r="AA591" s="248"/>
      <c r="AB591" s="248"/>
    </row>
    <row r="592" spans="1:28" ht="13.8">
      <c r="A592" s="248"/>
      <c r="B592" s="248"/>
      <c r="C592" s="331"/>
      <c r="D592" s="248"/>
      <c r="E592" s="248"/>
      <c r="F592" s="248"/>
      <c r="G592" s="248"/>
      <c r="H592" s="248"/>
      <c r="I592" s="248"/>
      <c r="J592" s="248"/>
      <c r="K592" s="248"/>
      <c r="L592" s="248"/>
      <c r="M592" s="248"/>
      <c r="N592" s="248"/>
      <c r="O592" s="248"/>
      <c r="P592" s="248"/>
      <c r="Q592" s="248"/>
      <c r="R592" s="248"/>
      <c r="S592" s="248"/>
      <c r="T592" s="248"/>
      <c r="U592" s="248"/>
      <c r="V592" s="248"/>
      <c r="W592" s="248"/>
      <c r="X592" s="248"/>
      <c r="Y592" s="248"/>
      <c r="Z592" s="248"/>
      <c r="AA592" s="248"/>
      <c r="AB592" s="248"/>
    </row>
    <row r="593" spans="1:28" ht="13.8">
      <c r="A593" s="248"/>
      <c r="B593" s="248"/>
      <c r="C593" s="331"/>
      <c r="D593" s="248"/>
      <c r="E593" s="248"/>
      <c r="F593" s="248"/>
      <c r="G593" s="248"/>
      <c r="H593" s="248"/>
      <c r="I593" s="248"/>
      <c r="J593" s="248"/>
      <c r="K593" s="248"/>
      <c r="L593" s="248"/>
      <c r="M593" s="248"/>
      <c r="N593" s="248"/>
      <c r="O593" s="248"/>
      <c r="P593" s="248"/>
      <c r="Q593" s="248"/>
      <c r="R593" s="248"/>
      <c r="S593" s="248"/>
      <c r="T593" s="248"/>
      <c r="U593" s="248"/>
      <c r="V593" s="248"/>
      <c r="W593" s="248"/>
      <c r="X593" s="248"/>
      <c r="Y593" s="248"/>
      <c r="Z593" s="248"/>
      <c r="AA593" s="248"/>
      <c r="AB593" s="248"/>
    </row>
    <row r="594" spans="1:28" ht="13.8">
      <c r="A594" s="248"/>
      <c r="B594" s="248"/>
      <c r="C594" s="331"/>
      <c r="D594" s="248"/>
      <c r="E594" s="248"/>
      <c r="F594" s="248"/>
      <c r="G594" s="248"/>
      <c r="H594" s="248"/>
      <c r="I594" s="248"/>
      <c r="J594" s="248"/>
      <c r="K594" s="248"/>
      <c r="L594" s="248"/>
      <c r="M594" s="248"/>
      <c r="N594" s="248"/>
      <c r="O594" s="248"/>
      <c r="P594" s="248"/>
      <c r="Q594" s="248"/>
      <c r="R594" s="248"/>
      <c r="S594" s="248"/>
      <c r="T594" s="248"/>
      <c r="U594" s="248"/>
      <c r="V594" s="248"/>
      <c r="W594" s="248"/>
      <c r="X594" s="248"/>
      <c r="Y594" s="248"/>
      <c r="Z594" s="248"/>
      <c r="AA594" s="248"/>
      <c r="AB594" s="248"/>
    </row>
    <row r="595" spans="1:28" ht="13.8">
      <c r="A595" s="248"/>
      <c r="B595" s="248"/>
      <c r="C595" s="331"/>
      <c r="D595" s="248"/>
      <c r="E595" s="248"/>
      <c r="F595" s="248"/>
      <c r="G595" s="248"/>
      <c r="H595" s="248"/>
      <c r="I595" s="248"/>
      <c r="J595" s="248"/>
      <c r="K595" s="248"/>
      <c r="L595" s="248"/>
      <c r="M595" s="248"/>
      <c r="N595" s="248"/>
      <c r="O595" s="248"/>
      <c r="P595" s="248"/>
      <c r="Q595" s="248"/>
      <c r="R595" s="248"/>
      <c r="S595" s="248"/>
      <c r="T595" s="248"/>
      <c r="U595" s="248"/>
      <c r="V595" s="248"/>
      <c r="W595" s="248"/>
      <c r="X595" s="248"/>
      <c r="Y595" s="248"/>
      <c r="Z595" s="248"/>
      <c r="AA595" s="248"/>
      <c r="AB595" s="248"/>
    </row>
    <row r="596" spans="1:28" ht="13.8">
      <c r="A596" s="248"/>
      <c r="B596" s="248"/>
      <c r="C596" s="331"/>
      <c r="D596" s="248"/>
      <c r="E596" s="248"/>
      <c r="F596" s="248"/>
      <c r="G596" s="248"/>
      <c r="H596" s="248"/>
      <c r="I596" s="248"/>
      <c r="J596" s="248"/>
      <c r="K596" s="248"/>
      <c r="L596" s="248"/>
      <c r="M596" s="248"/>
      <c r="N596" s="248"/>
      <c r="O596" s="248"/>
      <c r="P596" s="248"/>
      <c r="Q596" s="248"/>
      <c r="R596" s="248"/>
      <c r="S596" s="248"/>
      <c r="T596" s="248"/>
      <c r="U596" s="248"/>
      <c r="V596" s="248"/>
      <c r="W596" s="248"/>
      <c r="X596" s="248"/>
      <c r="Y596" s="248"/>
      <c r="Z596" s="248"/>
      <c r="AA596" s="248"/>
      <c r="AB596" s="248"/>
    </row>
    <row r="597" spans="1:28" ht="13.8">
      <c r="A597" s="248"/>
      <c r="B597" s="248"/>
      <c r="C597" s="331"/>
      <c r="D597" s="248"/>
      <c r="E597" s="248"/>
      <c r="F597" s="248"/>
      <c r="G597" s="248"/>
      <c r="H597" s="248"/>
      <c r="I597" s="248"/>
      <c r="J597" s="248"/>
      <c r="K597" s="248"/>
      <c r="L597" s="248"/>
      <c r="M597" s="248"/>
      <c r="N597" s="248"/>
      <c r="O597" s="248"/>
      <c r="P597" s="248"/>
      <c r="Q597" s="248"/>
      <c r="R597" s="248"/>
      <c r="S597" s="248"/>
      <c r="T597" s="248"/>
      <c r="U597" s="248"/>
      <c r="V597" s="248"/>
      <c r="W597" s="248"/>
      <c r="X597" s="248"/>
      <c r="Y597" s="248"/>
      <c r="Z597" s="248"/>
      <c r="AA597" s="248"/>
      <c r="AB597" s="248"/>
    </row>
    <row r="598" spans="1:28" ht="13.8">
      <c r="A598" s="248"/>
      <c r="B598" s="248"/>
      <c r="C598" s="331"/>
      <c r="D598" s="248"/>
      <c r="E598" s="248"/>
      <c r="F598" s="248"/>
      <c r="G598" s="248"/>
      <c r="H598" s="248"/>
      <c r="I598" s="248"/>
      <c r="J598" s="248"/>
      <c r="K598" s="248"/>
      <c r="L598" s="248"/>
      <c r="M598" s="248"/>
      <c r="N598" s="248"/>
      <c r="O598" s="248"/>
      <c r="P598" s="248"/>
      <c r="Q598" s="248"/>
      <c r="R598" s="248"/>
      <c r="S598" s="248"/>
      <c r="T598" s="248"/>
      <c r="U598" s="248"/>
      <c r="V598" s="248"/>
      <c r="W598" s="248"/>
      <c r="X598" s="248"/>
      <c r="Y598" s="248"/>
      <c r="Z598" s="248"/>
      <c r="AA598" s="248"/>
      <c r="AB598" s="248"/>
    </row>
    <row r="599" spans="1:28" ht="13.8">
      <c r="A599" s="248"/>
      <c r="B599" s="248"/>
      <c r="C599" s="331"/>
      <c r="D599" s="248"/>
      <c r="E599" s="248"/>
      <c r="F599" s="248"/>
      <c r="G599" s="248"/>
      <c r="H599" s="248"/>
      <c r="I599" s="248"/>
      <c r="J599" s="248"/>
      <c r="K599" s="248"/>
      <c r="L599" s="248"/>
      <c r="M599" s="248"/>
      <c r="N599" s="248"/>
      <c r="O599" s="248"/>
      <c r="P599" s="248"/>
      <c r="Q599" s="248"/>
      <c r="R599" s="248"/>
      <c r="S599" s="248"/>
      <c r="T599" s="248"/>
      <c r="U599" s="248"/>
      <c r="V599" s="248"/>
      <c r="W599" s="248"/>
      <c r="X599" s="248"/>
      <c r="Y599" s="248"/>
      <c r="Z599" s="248"/>
      <c r="AA599" s="248"/>
      <c r="AB599" s="248"/>
    </row>
    <row r="600" spans="1:28" ht="13.8">
      <c r="A600" s="248"/>
      <c r="B600" s="248"/>
      <c r="C600" s="331"/>
      <c r="D600" s="248"/>
      <c r="E600" s="248"/>
      <c r="F600" s="248"/>
      <c r="G600" s="248"/>
      <c r="H600" s="248"/>
      <c r="I600" s="248"/>
      <c r="J600" s="248"/>
      <c r="K600" s="248"/>
      <c r="L600" s="248"/>
      <c r="M600" s="248"/>
      <c r="N600" s="248"/>
      <c r="O600" s="248"/>
      <c r="P600" s="248"/>
      <c r="Q600" s="248"/>
      <c r="R600" s="248"/>
      <c r="S600" s="248"/>
      <c r="T600" s="248"/>
      <c r="U600" s="248"/>
      <c r="V600" s="248"/>
      <c r="W600" s="248"/>
      <c r="X600" s="248"/>
      <c r="Y600" s="248"/>
      <c r="Z600" s="248"/>
      <c r="AA600" s="248"/>
      <c r="AB600" s="248"/>
    </row>
    <row r="601" spans="1:28" ht="13.8">
      <c r="A601" s="248"/>
      <c r="B601" s="248"/>
      <c r="C601" s="331"/>
      <c r="D601" s="248"/>
      <c r="E601" s="248"/>
      <c r="F601" s="248"/>
      <c r="G601" s="248"/>
      <c r="H601" s="248"/>
      <c r="I601" s="248"/>
      <c r="J601" s="248"/>
      <c r="K601" s="248"/>
      <c r="L601" s="248"/>
      <c r="M601" s="248"/>
      <c r="N601" s="248"/>
      <c r="O601" s="248"/>
      <c r="P601" s="248"/>
      <c r="Q601" s="248"/>
      <c r="R601" s="248"/>
      <c r="S601" s="248"/>
      <c r="T601" s="248"/>
      <c r="U601" s="248"/>
      <c r="V601" s="248"/>
      <c r="W601" s="248"/>
      <c r="X601" s="248"/>
      <c r="Y601" s="248"/>
      <c r="Z601" s="248"/>
      <c r="AA601" s="248"/>
      <c r="AB601" s="248"/>
    </row>
    <row r="602" spans="1:28" ht="13.8">
      <c r="A602" s="248"/>
      <c r="B602" s="248"/>
      <c r="C602" s="331"/>
      <c r="D602" s="248"/>
      <c r="E602" s="248"/>
      <c r="F602" s="248"/>
      <c r="G602" s="248"/>
      <c r="H602" s="248"/>
      <c r="I602" s="248"/>
      <c r="J602" s="248"/>
      <c r="K602" s="248"/>
      <c r="L602" s="248"/>
      <c r="M602" s="248"/>
      <c r="N602" s="248"/>
      <c r="O602" s="248"/>
      <c r="P602" s="248"/>
      <c r="Q602" s="248"/>
      <c r="R602" s="248"/>
      <c r="S602" s="248"/>
      <c r="T602" s="248"/>
      <c r="U602" s="248"/>
      <c r="V602" s="248"/>
      <c r="W602" s="248"/>
      <c r="X602" s="248"/>
      <c r="Y602" s="248"/>
      <c r="Z602" s="248"/>
      <c r="AA602" s="248"/>
      <c r="AB602" s="248"/>
    </row>
    <row r="603" spans="1:28" ht="13.8">
      <c r="A603" s="248"/>
      <c r="B603" s="248"/>
      <c r="C603" s="331"/>
      <c r="D603" s="248"/>
      <c r="E603" s="248"/>
      <c r="F603" s="248"/>
      <c r="G603" s="248"/>
      <c r="H603" s="248"/>
      <c r="I603" s="248"/>
      <c r="J603" s="248"/>
      <c r="K603" s="248"/>
      <c r="L603" s="248"/>
      <c r="M603" s="248"/>
      <c r="N603" s="248"/>
      <c r="O603" s="248"/>
      <c r="P603" s="248"/>
      <c r="Q603" s="248"/>
      <c r="R603" s="248"/>
      <c r="S603" s="248"/>
      <c r="T603" s="248"/>
      <c r="U603" s="248"/>
      <c r="V603" s="248"/>
      <c r="W603" s="248"/>
      <c r="X603" s="248"/>
      <c r="Y603" s="248"/>
      <c r="Z603" s="248"/>
      <c r="AA603" s="248"/>
      <c r="AB603" s="248"/>
    </row>
    <row r="604" spans="1:28" ht="13.8">
      <c r="A604" s="248"/>
      <c r="B604" s="248"/>
      <c r="C604" s="331"/>
      <c r="D604" s="248"/>
      <c r="E604" s="248"/>
      <c r="F604" s="248"/>
      <c r="G604" s="248"/>
      <c r="H604" s="248"/>
      <c r="I604" s="248"/>
      <c r="J604" s="248"/>
      <c r="K604" s="248"/>
      <c r="L604" s="248"/>
      <c r="M604" s="248"/>
      <c r="N604" s="248"/>
      <c r="O604" s="248"/>
      <c r="P604" s="248"/>
      <c r="Q604" s="248"/>
      <c r="R604" s="248"/>
      <c r="S604" s="248"/>
      <c r="T604" s="248"/>
      <c r="U604" s="248"/>
      <c r="V604" s="248"/>
      <c r="W604" s="248"/>
      <c r="X604" s="248"/>
      <c r="Y604" s="248"/>
      <c r="Z604" s="248"/>
      <c r="AA604" s="248"/>
      <c r="AB604" s="248"/>
    </row>
    <row r="605" spans="1:28" ht="13.8">
      <c r="A605" s="248"/>
      <c r="B605" s="248"/>
      <c r="C605" s="331"/>
      <c r="D605" s="248"/>
      <c r="E605" s="248"/>
      <c r="F605" s="248"/>
      <c r="G605" s="248"/>
      <c r="H605" s="248"/>
      <c r="I605" s="248"/>
      <c r="J605" s="248"/>
      <c r="K605" s="248"/>
      <c r="L605" s="248"/>
      <c r="M605" s="248"/>
      <c r="N605" s="248"/>
      <c r="O605" s="248"/>
      <c r="P605" s="248"/>
      <c r="Q605" s="248"/>
      <c r="R605" s="248"/>
      <c r="S605" s="248"/>
      <c r="T605" s="248"/>
      <c r="U605" s="248"/>
      <c r="V605" s="248"/>
      <c r="W605" s="248"/>
      <c r="X605" s="248"/>
      <c r="Y605" s="248"/>
      <c r="Z605" s="248"/>
      <c r="AA605" s="248"/>
      <c r="AB605" s="248"/>
    </row>
    <row r="606" spans="1:28" ht="13.8">
      <c r="A606" s="248"/>
      <c r="B606" s="248"/>
      <c r="C606" s="331"/>
      <c r="D606" s="248"/>
      <c r="E606" s="248"/>
      <c r="F606" s="248"/>
      <c r="G606" s="248"/>
      <c r="H606" s="248"/>
      <c r="I606" s="248"/>
      <c r="J606" s="248"/>
      <c r="K606" s="248"/>
      <c r="L606" s="248"/>
      <c r="M606" s="248"/>
      <c r="N606" s="248"/>
      <c r="O606" s="248"/>
      <c r="P606" s="248"/>
      <c r="Q606" s="248"/>
      <c r="R606" s="248"/>
      <c r="S606" s="248"/>
      <c r="T606" s="248"/>
      <c r="U606" s="248"/>
      <c r="V606" s="248"/>
      <c r="W606" s="248"/>
      <c r="X606" s="248"/>
      <c r="Y606" s="248"/>
      <c r="Z606" s="248"/>
      <c r="AA606" s="248"/>
      <c r="AB606" s="248"/>
    </row>
    <row r="607" spans="1:28" ht="13.8">
      <c r="A607" s="248"/>
      <c r="B607" s="248"/>
      <c r="C607" s="331"/>
      <c r="D607" s="248"/>
      <c r="E607" s="248"/>
      <c r="F607" s="248"/>
      <c r="G607" s="248"/>
      <c r="H607" s="248"/>
      <c r="I607" s="248"/>
      <c r="J607" s="248"/>
      <c r="K607" s="248"/>
      <c r="L607" s="248"/>
      <c r="M607" s="248"/>
      <c r="N607" s="248"/>
      <c r="O607" s="248"/>
      <c r="P607" s="248"/>
      <c r="Q607" s="248"/>
      <c r="R607" s="248"/>
      <c r="S607" s="248"/>
      <c r="T607" s="248"/>
      <c r="U607" s="248"/>
      <c r="V607" s="248"/>
      <c r="W607" s="248"/>
      <c r="X607" s="248"/>
      <c r="Y607" s="248"/>
      <c r="Z607" s="248"/>
      <c r="AA607" s="248"/>
      <c r="AB607" s="248"/>
    </row>
    <row r="608" spans="1:28" ht="13.8">
      <c r="A608" s="248"/>
      <c r="B608" s="248"/>
      <c r="C608" s="331"/>
      <c r="D608" s="248"/>
      <c r="E608" s="248"/>
      <c r="F608" s="248"/>
      <c r="G608" s="248"/>
      <c r="H608" s="248"/>
      <c r="I608" s="248"/>
      <c r="J608" s="248"/>
      <c r="K608" s="248"/>
      <c r="L608" s="248"/>
      <c r="M608" s="248"/>
      <c r="N608" s="248"/>
      <c r="O608" s="248"/>
      <c r="P608" s="248"/>
      <c r="Q608" s="248"/>
      <c r="R608" s="248"/>
      <c r="S608" s="248"/>
      <c r="T608" s="248"/>
      <c r="U608" s="248"/>
      <c r="V608" s="248"/>
      <c r="W608" s="248"/>
      <c r="X608" s="248"/>
      <c r="Y608" s="248"/>
      <c r="Z608" s="248"/>
      <c r="AA608" s="248"/>
      <c r="AB608" s="248"/>
    </row>
    <row r="609" spans="1:28" ht="13.8">
      <c r="A609" s="248"/>
      <c r="B609" s="248"/>
      <c r="C609" s="331"/>
      <c r="D609" s="248"/>
      <c r="E609" s="248"/>
      <c r="F609" s="248"/>
      <c r="G609" s="248"/>
      <c r="H609" s="248"/>
      <c r="I609" s="248"/>
      <c r="J609" s="248"/>
      <c r="K609" s="248"/>
      <c r="L609" s="248"/>
      <c r="M609" s="248"/>
      <c r="N609" s="248"/>
      <c r="O609" s="248"/>
      <c r="P609" s="248"/>
      <c r="Q609" s="248"/>
      <c r="R609" s="248"/>
      <c r="S609" s="248"/>
      <c r="T609" s="248"/>
      <c r="U609" s="248"/>
      <c r="V609" s="248"/>
      <c r="W609" s="248"/>
      <c r="X609" s="248"/>
      <c r="Y609" s="248"/>
      <c r="Z609" s="248"/>
      <c r="AA609" s="248"/>
      <c r="AB609" s="248"/>
    </row>
    <row r="610" spans="1:28" ht="13.8">
      <c r="A610" s="248"/>
      <c r="B610" s="248"/>
      <c r="C610" s="331"/>
      <c r="D610" s="248"/>
      <c r="E610" s="248"/>
      <c r="F610" s="248"/>
      <c r="G610" s="248"/>
      <c r="H610" s="248"/>
      <c r="I610" s="248"/>
      <c r="J610" s="248"/>
      <c r="K610" s="248"/>
      <c r="L610" s="248"/>
      <c r="M610" s="248"/>
      <c r="N610" s="248"/>
      <c r="O610" s="248"/>
      <c r="P610" s="248"/>
      <c r="Q610" s="248"/>
      <c r="R610" s="248"/>
      <c r="S610" s="248"/>
      <c r="T610" s="248"/>
      <c r="U610" s="248"/>
      <c r="V610" s="248"/>
      <c r="W610" s="248"/>
      <c r="X610" s="248"/>
      <c r="Y610" s="248"/>
      <c r="Z610" s="248"/>
      <c r="AA610" s="248"/>
      <c r="AB610" s="248"/>
    </row>
    <row r="611" spans="1:28" ht="13.8">
      <c r="A611" s="248"/>
      <c r="B611" s="248"/>
      <c r="C611" s="331"/>
      <c r="D611" s="248"/>
      <c r="E611" s="248"/>
      <c r="F611" s="248"/>
      <c r="G611" s="248"/>
      <c r="H611" s="248"/>
      <c r="I611" s="248"/>
      <c r="J611" s="248"/>
      <c r="K611" s="248"/>
      <c r="L611" s="248"/>
      <c r="M611" s="248"/>
      <c r="N611" s="248"/>
      <c r="O611" s="248"/>
      <c r="P611" s="248"/>
      <c r="Q611" s="248"/>
      <c r="R611" s="248"/>
      <c r="S611" s="248"/>
      <c r="T611" s="248"/>
      <c r="U611" s="248"/>
      <c r="V611" s="248"/>
      <c r="W611" s="248"/>
      <c r="X611" s="248"/>
      <c r="Y611" s="248"/>
      <c r="Z611" s="248"/>
      <c r="AA611" s="248"/>
      <c r="AB611" s="248"/>
    </row>
    <row r="612" spans="1:28" ht="13.8">
      <c r="A612" s="248"/>
      <c r="B612" s="248"/>
      <c r="C612" s="331"/>
      <c r="D612" s="248"/>
      <c r="E612" s="248"/>
      <c r="F612" s="248"/>
      <c r="G612" s="248"/>
      <c r="H612" s="248"/>
      <c r="I612" s="248"/>
      <c r="J612" s="248"/>
      <c r="K612" s="248"/>
      <c r="L612" s="248"/>
      <c r="M612" s="248"/>
      <c r="N612" s="248"/>
      <c r="O612" s="248"/>
      <c r="P612" s="248"/>
      <c r="Q612" s="248"/>
      <c r="R612" s="248"/>
      <c r="S612" s="248"/>
      <c r="T612" s="248"/>
      <c r="U612" s="248"/>
      <c r="V612" s="248"/>
      <c r="W612" s="248"/>
      <c r="X612" s="248"/>
      <c r="Y612" s="248"/>
      <c r="Z612" s="248"/>
      <c r="AA612" s="248"/>
      <c r="AB612" s="248"/>
    </row>
    <row r="613" spans="1:28" ht="13.8">
      <c r="A613" s="248"/>
      <c r="B613" s="248"/>
      <c r="C613" s="331"/>
      <c r="D613" s="248"/>
      <c r="E613" s="248"/>
      <c r="F613" s="248"/>
      <c r="G613" s="248"/>
      <c r="H613" s="248"/>
      <c r="I613" s="248"/>
      <c r="J613" s="248"/>
      <c r="K613" s="248"/>
      <c r="L613" s="248"/>
      <c r="M613" s="248"/>
      <c r="N613" s="248"/>
      <c r="O613" s="248"/>
      <c r="P613" s="248"/>
      <c r="Q613" s="248"/>
      <c r="R613" s="248"/>
      <c r="S613" s="248"/>
      <c r="T613" s="248"/>
      <c r="U613" s="248"/>
      <c r="V613" s="248"/>
      <c r="W613" s="248"/>
      <c r="X613" s="248"/>
      <c r="Y613" s="248"/>
      <c r="Z613" s="248"/>
      <c r="AA613" s="248"/>
      <c r="AB613" s="248"/>
    </row>
    <row r="614" spans="1:28" ht="13.8">
      <c r="A614" s="248"/>
      <c r="B614" s="248"/>
      <c r="C614" s="331"/>
      <c r="D614" s="248"/>
      <c r="E614" s="248"/>
      <c r="F614" s="248"/>
      <c r="G614" s="248"/>
      <c r="H614" s="248"/>
      <c r="I614" s="248"/>
      <c r="J614" s="248"/>
      <c r="K614" s="248"/>
      <c r="L614" s="248"/>
      <c r="M614" s="248"/>
      <c r="N614" s="248"/>
      <c r="O614" s="248"/>
      <c r="P614" s="248"/>
      <c r="Q614" s="248"/>
      <c r="R614" s="248"/>
      <c r="S614" s="248"/>
      <c r="T614" s="248"/>
      <c r="U614" s="248"/>
      <c r="V614" s="248"/>
      <c r="W614" s="248"/>
      <c r="X614" s="248"/>
      <c r="Y614" s="248"/>
      <c r="Z614" s="248"/>
      <c r="AA614" s="248"/>
      <c r="AB614" s="248"/>
    </row>
    <row r="615" spans="1:28" ht="13.8">
      <c r="A615" s="248"/>
      <c r="B615" s="248"/>
      <c r="C615" s="331"/>
      <c r="D615" s="248"/>
      <c r="E615" s="248"/>
      <c r="F615" s="248"/>
      <c r="G615" s="248"/>
      <c r="H615" s="248"/>
      <c r="I615" s="248"/>
      <c r="J615" s="248"/>
      <c r="K615" s="248"/>
      <c r="L615" s="248"/>
      <c r="M615" s="248"/>
      <c r="N615" s="248"/>
      <c r="O615" s="248"/>
      <c r="P615" s="248"/>
      <c r="Q615" s="248"/>
      <c r="R615" s="248"/>
      <c r="S615" s="248"/>
      <c r="T615" s="248"/>
      <c r="U615" s="248"/>
      <c r="V615" s="248"/>
      <c r="W615" s="248"/>
      <c r="X615" s="248"/>
      <c r="Y615" s="248"/>
      <c r="Z615" s="248"/>
      <c r="AA615" s="248"/>
      <c r="AB615" s="248"/>
    </row>
    <row r="616" spans="1:28" ht="13.8">
      <c r="A616" s="248"/>
      <c r="B616" s="248"/>
      <c r="C616" s="331"/>
      <c r="D616" s="248"/>
      <c r="E616" s="248"/>
      <c r="F616" s="248"/>
      <c r="G616" s="248"/>
      <c r="H616" s="248"/>
      <c r="I616" s="248"/>
      <c r="J616" s="248"/>
      <c r="K616" s="248"/>
      <c r="L616" s="248"/>
      <c r="M616" s="248"/>
      <c r="N616" s="248"/>
      <c r="O616" s="248"/>
      <c r="P616" s="248"/>
      <c r="Q616" s="248"/>
      <c r="R616" s="248"/>
      <c r="S616" s="248"/>
      <c r="T616" s="248"/>
      <c r="U616" s="248"/>
      <c r="V616" s="248"/>
      <c r="W616" s="248"/>
      <c r="X616" s="248"/>
      <c r="Y616" s="248"/>
      <c r="Z616" s="248"/>
      <c r="AA616" s="248"/>
      <c r="AB616" s="248"/>
    </row>
    <row r="617" spans="1:28" ht="13.8">
      <c r="A617" s="248"/>
      <c r="B617" s="248"/>
      <c r="C617" s="331"/>
      <c r="D617" s="248"/>
      <c r="E617" s="248"/>
      <c r="F617" s="248"/>
      <c r="G617" s="248"/>
      <c r="H617" s="248"/>
      <c r="I617" s="248"/>
      <c r="J617" s="248"/>
      <c r="K617" s="248"/>
      <c r="L617" s="248"/>
      <c r="M617" s="248"/>
      <c r="N617" s="248"/>
      <c r="O617" s="248"/>
      <c r="P617" s="248"/>
      <c r="Q617" s="248"/>
      <c r="R617" s="248"/>
      <c r="S617" s="248"/>
      <c r="T617" s="248"/>
      <c r="U617" s="248"/>
      <c r="V617" s="248"/>
      <c r="W617" s="248"/>
      <c r="X617" s="248"/>
      <c r="Y617" s="248"/>
      <c r="Z617" s="248"/>
      <c r="AA617" s="248"/>
      <c r="AB617" s="248"/>
    </row>
    <row r="618" spans="1:28" ht="13.8">
      <c r="A618" s="248"/>
      <c r="B618" s="248"/>
      <c r="C618" s="331"/>
      <c r="D618" s="248"/>
      <c r="E618" s="248"/>
      <c r="F618" s="248"/>
      <c r="G618" s="248"/>
      <c r="H618" s="248"/>
      <c r="I618" s="248"/>
      <c r="J618" s="248"/>
      <c r="K618" s="248"/>
      <c r="L618" s="248"/>
      <c r="M618" s="248"/>
      <c r="N618" s="248"/>
      <c r="O618" s="248"/>
      <c r="P618" s="248"/>
      <c r="Q618" s="248"/>
      <c r="R618" s="248"/>
      <c r="S618" s="248"/>
      <c r="T618" s="248"/>
      <c r="U618" s="248"/>
      <c r="V618" s="248"/>
      <c r="W618" s="248"/>
      <c r="X618" s="248"/>
      <c r="Y618" s="248"/>
      <c r="Z618" s="248"/>
      <c r="AA618" s="248"/>
      <c r="AB618" s="248"/>
    </row>
    <row r="619" spans="1:28" ht="13.8">
      <c r="A619" s="248"/>
      <c r="B619" s="248"/>
      <c r="C619" s="331"/>
      <c r="D619" s="248"/>
      <c r="E619" s="248"/>
      <c r="F619" s="248"/>
      <c r="G619" s="248"/>
      <c r="H619" s="248"/>
      <c r="I619" s="248"/>
      <c r="J619" s="248"/>
      <c r="K619" s="248"/>
      <c r="L619" s="248"/>
      <c r="M619" s="248"/>
      <c r="N619" s="248"/>
      <c r="O619" s="248"/>
      <c r="P619" s="248"/>
      <c r="Q619" s="248"/>
      <c r="R619" s="248"/>
      <c r="S619" s="248"/>
      <c r="T619" s="248"/>
      <c r="U619" s="248"/>
      <c r="V619" s="248"/>
      <c r="W619" s="248"/>
      <c r="X619" s="248"/>
      <c r="Y619" s="248"/>
      <c r="Z619" s="248"/>
      <c r="AA619" s="248"/>
      <c r="AB619" s="248"/>
    </row>
    <row r="620" spans="1:28" ht="13.8">
      <c r="A620" s="248"/>
      <c r="B620" s="248"/>
      <c r="C620" s="331"/>
      <c r="D620" s="248"/>
      <c r="E620" s="248"/>
      <c r="F620" s="248"/>
      <c r="G620" s="248"/>
      <c r="H620" s="248"/>
      <c r="I620" s="248"/>
      <c r="J620" s="248"/>
      <c r="K620" s="248"/>
      <c r="L620" s="248"/>
      <c r="M620" s="248"/>
      <c r="N620" s="248"/>
      <c r="O620" s="248"/>
      <c r="P620" s="248"/>
      <c r="Q620" s="248"/>
      <c r="R620" s="248"/>
      <c r="S620" s="248"/>
      <c r="T620" s="248"/>
      <c r="U620" s="248"/>
      <c r="V620" s="248"/>
      <c r="W620" s="248"/>
      <c r="X620" s="248"/>
      <c r="Y620" s="248"/>
      <c r="Z620" s="248"/>
      <c r="AA620" s="248"/>
      <c r="AB620" s="248"/>
    </row>
    <row r="621" spans="1:28" ht="13.8">
      <c r="A621" s="248"/>
      <c r="B621" s="248"/>
      <c r="C621" s="331"/>
      <c r="D621" s="248"/>
      <c r="E621" s="248"/>
      <c r="F621" s="248"/>
      <c r="G621" s="248"/>
      <c r="H621" s="248"/>
      <c r="I621" s="248"/>
      <c r="J621" s="248"/>
      <c r="K621" s="248"/>
      <c r="L621" s="248"/>
      <c r="M621" s="248"/>
      <c r="N621" s="248"/>
      <c r="O621" s="248"/>
      <c r="P621" s="248"/>
      <c r="Q621" s="248"/>
      <c r="R621" s="248"/>
      <c r="S621" s="248"/>
      <c r="T621" s="248"/>
      <c r="U621" s="248"/>
      <c r="V621" s="248"/>
      <c r="W621" s="248"/>
      <c r="X621" s="248"/>
      <c r="Y621" s="248"/>
      <c r="Z621" s="248"/>
      <c r="AA621" s="248"/>
      <c r="AB621" s="248"/>
    </row>
    <row r="622" spans="1:28" ht="13.8">
      <c r="A622" s="248"/>
      <c r="B622" s="248"/>
      <c r="C622" s="331"/>
      <c r="D622" s="248"/>
      <c r="E622" s="248"/>
      <c r="F622" s="248"/>
      <c r="G622" s="248"/>
      <c r="H622" s="248"/>
      <c r="I622" s="248"/>
      <c r="J622" s="248"/>
      <c r="K622" s="248"/>
      <c r="L622" s="248"/>
      <c r="M622" s="248"/>
      <c r="N622" s="248"/>
      <c r="O622" s="248"/>
      <c r="P622" s="248"/>
      <c r="Q622" s="248"/>
      <c r="R622" s="248"/>
      <c r="S622" s="248"/>
      <c r="T622" s="248"/>
      <c r="U622" s="248"/>
      <c r="V622" s="248"/>
      <c r="W622" s="248"/>
      <c r="X622" s="248"/>
      <c r="Y622" s="248"/>
      <c r="Z622" s="248"/>
      <c r="AA622" s="248"/>
      <c r="AB622" s="248"/>
    </row>
    <row r="623" spans="1:28" ht="13.8">
      <c r="A623" s="248"/>
      <c r="B623" s="248"/>
      <c r="C623" s="331"/>
      <c r="D623" s="248"/>
      <c r="E623" s="248"/>
      <c r="F623" s="248"/>
      <c r="G623" s="248"/>
      <c r="H623" s="248"/>
      <c r="I623" s="248"/>
      <c r="J623" s="248"/>
      <c r="K623" s="248"/>
      <c r="L623" s="248"/>
      <c r="M623" s="248"/>
      <c r="N623" s="248"/>
      <c r="O623" s="248"/>
      <c r="P623" s="248"/>
      <c r="Q623" s="248"/>
      <c r="R623" s="248"/>
      <c r="S623" s="248"/>
      <c r="T623" s="248"/>
      <c r="U623" s="248"/>
      <c r="V623" s="248"/>
      <c r="W623" s="248"/>
      <c r="X623" s="248"/>
      <c r="Y623" s="248"/>
      <c r="Z623" s="248"/>
      <c r="AA623" s="248"/>
      <c r="AB623" s="248"/>
    </row>
    <row r="624" spans="1:28" ht="13.8">
      <c r="A624" s="248"/>
      <c r="B624" s="248"/>
      <c r="C624" s="331"/>
      <c r="D624" s="248"/>
      <c r="E624" s="248"/>
      <c r="F624" s="248"/>
      <c r="G624" s="248"/>
      <c r="H624" s="248"/>
      <c r="I624" s="248"/>
      <c r="J624" s="248"/>
      <c r="K624" s="248"/>
      <c r="L624" s="248"/>
      <c r="M624" s="248"/>
      <c r="N624" s="248"/>
      <c r="O624" s="248"/>
      <c r="P624" s="248"/>
      <c r="Q624" s="248"/>
      <c r="R624" s="248"/>
      <c r="S624" s="248"/>
      <c r="T624" s="248"/>
      <c r="U624" s="248"/>
      <c r="V624" s="248"/>
      <c r="W624" s="248"/>
      <c r="X624" s="248"/>
      <c r="Y624" s="248"/>
      <c r="Z624" s="248"/>
      <c r="AA624" s="248"/>
      <c r="AB624" s="248"/>
    </row>
    <row r="625" spans="1:28" ht="13.8">
      <c r="A625" s="248"/>
      <c r="B625" s="248"/>
      <c r="C625" s="331"/>
      <c r="D625" s="248"/>
      <c r="E625" s="248"/>
      <c r="F625" s="248"/>
      <c r="G625" s="248"/>
      <c r="H625" s="248"/>
      <c r="I625" s="248"/>
      <c r="J625" s="248"/>
      <c r="K625" s="248"/>
      <c r="L625" s="248"/>
      <c r="M625" s="248"/>
      <c r="N625" s="248"/>
      <c r="O625" s="248"/>
      <c r="P625" s="248"/>
      <c r="Q625" s="248"/>
      <c r="R625" s="248"/>
      <c r="S625" s="248"/>
      <c r="T625" s="248"/>
      <c r="U625" s="248"/>
      <c r="V625" s="248"/>
      <c r="W625" s="248"/>
      <c r="X625" s="248"/>
      <c r="Y625" s="248"/>
      <c r="Z625" s="248"/>
      <c r="AA625" s="248"/>
      <c r="AB625" s="248"/>
    </row>
    <row r="626" spans="1:28" ht="13.8">
      <c r="A626" s="248"/>
      <c r="B626" s="248"/>
      <c r="C626" s="331"/>
      <c r="D626" s="248"/>
      <c r="E626" s="248"/>
      <c r="F626" s="248"/>
      <c r="G626" s="248"/>
      <c r="H626" s="248"/>
      <c r="I626" s="248"/>
      <c r="J626" s="248"/>
      <c r="K626" s="248"/>
      <c r="L626" s="248"/>
      <c r="M626" s="248"/>
      <c r="N626" s="248"/>
      <c r="O626" s="248"/>
      <c r="P626" s="248"/>
      <c r="Q626" s="248"/>
      <c r="R626" s="248"/>
      <c r="S626" s="248"/>
      <c r="T626" s="248"/>
      <c r="U626" s="248"/>
      <c r="V626" s="248"/>
      <c r="W626" s="248"/>
      <c r="X626" s="248"/>
      <c r="Y626" s="248"/>
      <c r="Z626" s="248"/>
      <c r="AA626" s="248"/>
      <c r="AB626" s="248"/>
    </row>
    <row r="627" spans="1:28" ht="13.8">
      <c r="A627" s="248"/>
      <c r="B627" s="248"/>
      <c r="C627" s="331"/>
      <c r="D627" s="248"/>
      <c r="E627" s="248"/>
      <c r="F627" s="248"/>
      <c r="G627" s="248"/>
      <c r="H627" s="248"/>
      <c r="I627" s="248"/>
      <c r="J627" s="248"/>
      <c r="K627" s="248"/>
      <c r="L627" s="248"/>
      <c r="M627" s="248"/>
      <c r="N627" s="248"/>
      <c r="O627" s="248"/>
      <c r="P627" s="248"/>
      <c r="Q627" s="248"/>
      <c r="R627" s="248"/>
      <c r="S627" s="248"/>
      <c r="T627" s="248"/>
      <c r="U627" s="248"/>
      <c r="V627" s="248"/>
      <c r="W627" s="248"/>
      <c r="X627" s="248"/>
      <c r="Y627" s="248"/>
      <c r="Z627" s="248"/>
      <c r="AA627" s="248"/>
      <c r="AB627" s="248"/>
    </row>
    <row r="628" spans="1:28" ht="13.8">
      <c r="A628" s="248"/>
      <c r="B628" s="248"/>
      <c r="C628" s="331"/>
      <c r="D628" s="248"/>
      <c r="E628" s="248"/>
      <c r="F628" s="248"/>
      <c r="G628" s="248"/>
      <c r="H628" s="248"/>
      <c r="I628" s="248"/>
      <c r="J628" s="248"/>
      <c r="K628" s="248"/>
      <c r="L628" s="248"/>
      <c r="M628" s="248"/>
      <c r="N628" s="248"/>
      <c r="O628" s="248"/>
      <c r="P628" s="248"/>
      <c r="Q628" s="248"/>
      <c r="R628" s="248"/>
      <c r="S628" s="248"/>
      <c r="T628" s="248"/>
      <c r="U628" s="248"/>
      <c r="V628" s="248"/>
      <c r="W628" s="248"/>
      <c r="X628" s="248"/>
      <c r="Y628" s="248"/>
      <c r="Z628" s="248"/>
      <c r="AA628" s="248"/>
      <c r="AB628" s="248"/>
    </row>
    <row r="629" spans="1:28" ht="13.8">
      <c r="A629" s="248"/>
      <c r="B629" s="248"/>
      <c r="C629" s="331"/>
      <c r="D629" s="248"/>
      <c r="E629" s="248"/>
      <c r="F629" s="248"/>
      <c r="G629" s="248"/>
      <c r="H629" s="248"/>
      <c r="I629" s="248"/>
      <c r="J629" s="248"/>
      <c r="K629" s="248"/>
      <c r="L629" s="248"/>
      <c r="M629" s="248"/>
      <c r="N629" s="248"/>
      <c r="O629" s="248"/>
      <c r="P629" s="248"/>
      <c r="Q629" s="248"/>
      <c r="R629" s="248"/>
      <c r="S629" s="248"/>
      <c r="T629" s="248"/>
      <c r="U629" s="248"/>
      <c r="V629" s="248"/>
      <c r="W629" s="248"/>
      <c r="X629" s="248"/>
      <c r="Y629" s="248"/>
      <c r="Z629" s="248"/>
      <c r="AA629" s="248"/>
      <c r="AB629" s="248"/>
    </row>
    <row r="630" spans="1:28" ht="13.8">
      <c r="A630" s="248"/>
      <c r="B630" s="248"/>
      <c r="C630" s="331"/>
      <c r="D630" s="248"/>
      <c r="E630" s="248"/>
      <c r="F630" s="248"/>
      <c r="G630" s="248"/>
      <c r="H630" s="248"/>
      <c r="I630" s="248"/>
      <c r="J630" s="248"/>
      <c r="K630" s="248"/>
      <c r="L630" s="248"/>
      <c r="M630" s="248"/>
      <c r="N630" s="248"/>
      <c r="O630" s="248"/>
      <c r="P630" s="248"/>
      <c r="Q630" s="248"/>
      <c r="R630" s="248"/>
      <c r="S630" s="248"/>
      <c r="T630" s="248"/>
      <c r="U630" s="248"/>
      <c r="V630" s="248"/>
      <c r="W630" s="248"/>
      <c r="X630" s="248"/>
      <c r="Y630" s="248"/>
      <c r="Z630" s="248"/>
      <c r="AA630" s="248"/>
      <c r="AB630" s="248"/>
    </row>
    <row r="631" spans="1:28" ht="13.8">
      <c r="A631" s="248"/>
      <c r="B631" s="248"/>
      <c r="C631" s="331"/>
      <c r="D631" s="248"/>
      <c r="E631" s="248"/>
      <c r="F631" s="248"/>
      <c r="G631" s="248"/>
      <c r="H631" s="248"/>
      <c r="I631" s="248"/>
      <c r="J631" s="248"/>
      <c r="K631" s="248"/>
      <c r="L631" s="248"/>
      <c r="M631" s="248"/>
      <c r="N631" s="248"/>
      <c r="O631" s="248"/>
      <c r="P631" s="248"/>
      <c r="Q631" s="248"/>
      <c r="R631" s="248"/>
      <c r="S631" s="248"/>
      <c r="T631" s="248"/>
      <c r="U631" s="248"/>
      <c r="V631" s="248"/>
      <c r="W631" s="248"/>
      <c r="X631" s="248"/>
      <c r="Y631" s="248"/>
      <c r="Z631" s="248"/>
      <c r="AA631" s="248"/>
      <c r="AB631" s="248"/>
    </row>
    <row r="632" spans="1:28" ht="13.8">
      <c r="A632" s="248"/>
      <c r="B632" s="248"/>
      <c r="C632" s="331"/>
      <c r="D632" s="248"/>
      <c r="E632" s="248"/>
      <c r="F632" s="248"/>
      <c r="G632" s="248"/>
      <c r="H632" s="248"/>
      <c r="I632" s="248"/>
      <c r="J632" s="248"/>
      <c r="K632" s="248"/>
      <c r="L632" s="248"/>
      <c r="M632" s="248"/>
      <c r="N632" s="248"/>
      <c r="O632" s="248"/>
      <c r="P632" s="248"/>
      <c r="Q632" s="248"/>
      <c r="R632" s="248"/>
      <c r="S632" s="248"/>
      <c r="T632" s="248"/>
      <c r="U632" s="248"/>
      <c r="V632" s="248"/>
      <c r="W632" s="248"/>
      <c r="X632" s="248"/>
      <c r="Y632" s="248"/>
      <c r="Z632" s="248"/>
      <c r="AA632" s="248"/>
      <c r="AB632" s="248"/>
    </row>
    <row r="633" spans="1:28" ht="13.8">
      <c r="A633" s="248"/>
      <c r="B633" s="248"/>
      <c r="C633" s="331"/>
      <c r="D633" s="248"/>
      <c r="E633" s="248"/>
      <c r="F633" s="248"/>
      <c r="G633" s="248"/>
      <c r="H633" s="248"/>
      <c r="I633" s="248"/>
      <c r="J633" s="248"/>
      <c r="K633" s="248"/>
      <c r="L633" s="248"/>
      <c r="M633" s="248"/>
      <c r="N633" s="248"/>
      <c r="O633" s="248"/>
      <c r="P633" s="248"/>
      <c r="Q633" s="248"/>
      <c r="R633" s="248"/>
      <c r="S633" s="248"/>
      <c r="T633" s="248"/>
      <c r="U633" s="248"/>
      <c r="V633" s="248"/>
      <c r="W633" s="248"/>
      <c r="X633" s="248"/>
      <c r="Y633" s="248"/>
      <c r="Z633" s="248"/>
      <c r="AA633" s="248"/>
      <c r="AB633" s="248"/>
    </row>
    <row r="634" spans="1:28" ht="13.8">
      <c r="A634" s="248"/>
      <c r="B634" s="248"/>
      <c r="C634" s="331"/>
      <c r="D634" s="248"/>
      <c r="E634" s="248"/>
      <c r="F634" s="248"/>
      <c r="G634" s="248"/>
      <c r="H634" s="248"/>
      <c r="I634" s="248"/>
      <c r="J634" s="248"/>
      <c r="K634" s="248"/>
      <c r="L634" s="248"/>
      <c r="M634" s="248"/>
      <c r="N634" s="248"/>
      <c r="O634" s="248"/>
      <c r="P634" s="248"/>
      <c r="Q634" s="248"/>
      <c r="R634" s="248"/>
      <c r="S634" s="248"/>
      <c r="T634" s="248"/>
      <c r="U634" s="248"/>
      <c r="V634" s="248"/>
      <c r="W634" s="248"/>
      <c r="X634" s="248"/>
      <c r="Y634" s="248"/>
      <c r="Z634" s="248"/>
      <c r="AA634" s="248"/>
      <c r="AB634" s="248"/>
    </row>
    <row r="635" spans="1:28" ht="13.8">
      <c r="A635" s="248"/>
      <c r="B635" s="248"/>
      <c r="C635" s="331"/>
      <c r="D635" s="248"/>
      <c r="E635" s="248"/>
      <c r="F635" s="248"/>
      <c r="G635" s="248"/>
      <c r="H635" s="248"/>
      <c r="I635" s="248"/>
      <c r="J635" s="248"/>
      <c r="K635" s="248"/>
      <c r="L635" s="248"/>
      <c r="M635" s="248"/>
      <c r="N635" s="248"/>
      <c r="O635" s="248"/>
      <c r="P635" s="248"/>
      <c r="Q635" s="248"/>
      <c r="R635" s="248"/>
      <c r="S635" s="248"/>
      <c r="T635" s="248"/>
      <c r="U635" s="248"/>
      <c r="V635" s="248"/>
      <c r="W635" s="248"/>
      <c r="X635" s="248"/>
      <c r="Y635" s="248"/>
      <c r="Z635" s="248"/>
      <c r="AA635" s="248"/>
      <c r="AB635" s="248"/>
    </row>
    <row r="636" spans="1:28" ht="13.8">
      <c r="A636" s="248"/>
      <c r="B636" s="248"/>
      <c r="C636" s="331"/>
      <c r="D636" s="248"/>
      <c r="E636" s="248"/>
      <c r="F636" s="248"/>
      <c r="G636" s="248"/>
      <c r="H636" s="248"/>
      <c r="I636" s="248"/>
      <c r="J636" s="248"/>
      <c r="K636" s="248"/>
      <c r="L636" s="248"/>
      <c r="M636" s="248"/>
      <c r="N636" s="248"/>
      <c r="O636" s="248"/>
      <c r="P636" s="248"/>
      <c r="Q636" s="248"/>
      <c r="R636" s="248"/>
      <c r="S636" s="248"/>
      <c r="T636" s="248"/>
      <c r="U636" s="248"/>
      <c r="V636" s="248"/>
      <c r="W636" s="248"/>
      <c r="X636" s="248"/>
      <c r="Y636" s="248"/>
      <c r="Z636" s="248"/>
      <c r="AA636" s="248"/>
      <c r="AB636" s="248"/>
    </row>
    <row r="637" spans="1:28" ht="13.8">
      <c r="A637" s="248"/>
      <c r="B637" s="248"/>
      <c r="C637" s="331"/>
      <c r="D637" s="248"/>
      <c r="E637" s="248"/>
      <c r="F637" s="248"/>
      <c r="G637" s="248"/>
      <c r="H637" s="248"/>
      <c r="I637" s="248"/>
      <c r="J637" s="248"/>
      <c r="K637" s="248"/>
      <c r="L637" s="248"/>
      <c r="M637" s="248"/>
      <c r="N637" s="248"/>
      <c r="O637" s="248"/>
      <c r="P637" s="248"/>
      <c r="Q637" s="248"/>
      <c r="R637" s="248"/>
      <c r="S637" s="248"/>
      <c r="T637" s="248"/>
      <c r="U637" s="248"/>
      <c r="V637" s="248"/>
      <c r="W637" s="248"/>
      <c r="X637" s="248"/>
      <c r="Y637" s="248"/>
      <c r="Z637" s="248"/>
      <c r="AA637" s="248"/>
      <c r="AB637" s="248"/>
    </row>
    <row r="638" spans="1:28" ht="13.8">
      <c r="A638" s="248"/>
      <c r="B638" s="248"/>
      <c r="C638" s="331"/>
      <c r="D638" s="248"/>
      <c r="E638" s="248"/>
      <c r="F638" s="248"/>
      <c r="G638" s="248"/>
      <c r="H638" s="248"/>
      <c r="I638" s="248"/>
      <c r="J638" s="248"/>
      <c r="K638" s="248"/>
      <c r="L638" s="248"/>
      <c r="M638" s="248"/>
      <c r="N638" s="248"/>
      <c r="O638" s="248"/>
      <c r="P638" s="248"/>
      <c r="Q638" s="248"/>
      <c r="R638" s="248"/>
      <c r="S638" s="248"/>
      <c r="T638" s="248"/>
      <c r="U638" s="248"/>
      <c r="V638" s="248"/>
      <c r="W638" s="248"/>
      <c r="X638" s="248"/>
      <c r="Y638" s="248"/>
      <c r="Z638" s="248"/>
      <c r="AA638" s="248"/>
      <c r="AB638" s="248"/>
    </row>
    <row r="639" spans="1:28" ht="13.8">
      <c r="A639" s="248"/>
      <c r="B639" s="248"/>
      <c r="C639" s="331"/>
      <c r="D639" s="248"/>
      <c r="E639" s="248"/>
      <c r="F639" s="248"/>
      <c r="G639" s="248"/>
      <c r="H639" s="248"/>
      <c r="I639" s="248"/>
      <c r="J639" s="248"/>
      <c r="K639" s="248"/>
      <c r="L639" s="248"/>
      <c r="M639" s="248"/>
      <c r="N639" s="248"/>
      <c r="O639" s="248"/>
      <c r="P639" s="248"/>
      <c r="Q639" s="248"/>
      <c r="R639" s="248"/>
      <c r="S639" s="248"/>
      <c r="T639" s="248"/>
      <c r="U639" s="248"/>
      <c r="V639" s="248"/>
      <c r="W639" s="248"/>
      <c r="X639" s="248"/>
      <c r="Y639" s="248"/>
      <c r="Z639" s="248"/>
      <c r="AA639" s="248"/>
      <c r="AB639" s="248"/>
    </row>
    <row r="640" spans="1:28" ht="13.8">
      <c r="A640" s="248"/>
      <c r="B640" s="248"/>
      <c r="C640" s="331"/>
      <c r="D640" s="248"/>
      <c r="E640" s="248"/>
      <c r="F640" s="248"/>
      <c r="G640" s="248"/>
      <c r="H640" s="248"/>
      <c r="I640" s="248"/>
      <c r="J640" s="248"/>
      <c r="K640" s="248"/>
      <c r="L640" s="248"/>
      <c r="M640" s="248"/>
      <c r="N640" s="248"/>
      <c r="O640" s="248"/>
      <c r="P640" s="248"/>
      <c r="Q640" s="248"/>
      <c r="R640" s="248"/>
      <c r="S640" s="248"/>
      <c r="T640" s="248"/>
      <c r="U640" s="248"/>
      <c r="V640" s="248"/>
      <c r="W640" s="248"/>
      <c r="X640" s="248"/>
      <c r="Y640" s="248"/>
      <c r="Z640" s="248"/>
      <c r="AA640" s="248"/>
      <c r="AB640" s="248"/>
    </row>
    <row r="641" spans="1:28" ht="13.8">
      <c r="A641" s="248"/>
      <c r="B641" s="248"/>
      <c r="C641" s="331"/>
      <c r="D641" s="248"/>
      <c r="E641" s="248"/>
      <c r="F641" s="248"/>
      <c r="G641" s="248"/>
      <c r="H641" s="248"/>
      <c r="I641" s="248"/>
      <c r="J641" s="248"/>
      <c r="K641" s="248"/>
      <c r="L641" s="248"/>
      <c r="M641" s="248"/>
      <c r="N641" s="248"/>
      <c r="O641" s="248"/>
      <c r="P641" s="248"/>
      <c r="Q641" s="248"/>
      <c r="R641" s="248"/>
      <c r="S641" s="248"/>
      <c r="T641" s="248"/>
      <c r="U641" s="248"/>
      <c r="V641" s="248"/>
      <c r="W641" s="248"/>
      <c r="X641" s="248"/>
      <c r="Y641" s="248"/>
      <c r="Z641" s="248"/>
      <c r="AA641" s="248"/>
      <c r="AB641" s="248"/>
    </row>
    <row r="642" spans="1:28" ht="13.8">
      <c r="A642" s="248"/>
      <c r="B642" s="248"/>
      <c r="C642" s="331"/>
      <c r="D642" s="248"/>
      <c r="E642" s="248"/>
      <c r="F642" s="248"/>
      <c r="G642" s="248"/>
      <c r="H642" s="248"/>
      <c r="I642" s="248"/>
      <c r="J642" s="248"/>
      <c r="K642" s="248"/>
      <c r="L642" s="248"/>
      <c r="M642" s="248"/>
      <c r="N642" s="248"/>
      <c r="O642" s="248"/>
      <c r="P642" s="248"/>
      <c r="Q642" s="248"/>
      <c r="R642" s="248"/>
      <c r="S642" s="248"/>
      <c r="T642" s="248"/>
      <c r="U642" s="248"/>
      <c r="V642" s="248"/>
      <c r="W642" s="248"/>
      <c r="X642" s="248"/>
      <c r="Y642" s="248"/>
      <c r="Z642" s="248"/>
      <c r="AA642" s="248"/>
      <c r="AB642" s="248"/>
    </row>
    <row r="643" spans="1:28" ht="13.8">
      <c r="A643" s="248"/>
      <c r="B643" s="248"/>
      <c r="C643" s="331"/>
      <c r="D643" s="248"/>
      <c r="E643" s="248"/>
      <c r="F643" s="248"/>
      <c r="G643" s="248"/>
      <c r="H643" s="248"/>
      <c r="I643" s="248"/>
      <c r="J643" s="248"/>
      <c r="K643" s="248"/>
      <c r="L643" s="248"/>
      <c r="M643" s="248"/>
      <c r="N643" s="248"/>
      <c r="O643" s="248"/>
      <c r="P643" s="248"/>
      <c r="Q643" s="248"/>
      <c r="R643" s="248"/>
      <c r="S643" s="248"/>
      <c r="T643" s="248"/>
      <c r="U643" s="248"/>
      <c r="V643" s="248"/>
      <c r="W643" s="248"/>
      <c r="X643" s="248"/>
      <c r="Y643" s="248"/>
      <c r="Z643" s="248"/>
      <c r="AA643" s="248"/>
      <c r="AB643" s="248"/>
    </row>
    <row r="644" spans="1:28" ht="13.8">
      <c r="A644" s="248"/>
      <c r="B644" s="248"/>
      <c r="C644" s="331"/>
      <c r="D644" s="248"/>
      <c r="E644" s="248"/>
      <c r="F644" s="248"/>
      <c r="G644" s="248"/>
      <c r="H644" s="248"/>
      <c r="I644" s="248"/>
      <c r="J644" s="248"/>
      <c r="K644" s="248"/>
      <c r="L644" s="248"/>
      <c r="M644" s="248"/>
      <c r="N644" s="248"/>
      <c r="O644" s="248"/>
      <c r="P644" s="248"/>
      <c r="Q644" s="248"/>
      <c r="R644" s="248"/>
      <c r="S644" s="248"/>
      <c r="T644" s="248"/>
      <c r="U644" s="248"/>
      <c r="V644" s="248"/>
      <c r="W644" s="248"/>
      <c r="X644" s="248"/>
      <c r="Y644" s="248"/>
      <c r="Z644" s="248"/>
      <c r="AA644" s="248"/>
      <c r="AB644" s="248"/>
    </row>
    <row r="645" spans="1:28" ht="13.8">
      <c r="A645" s="248"/>
      <c r="B645" s="248"/>
      <c r="C645" s="331"/>
      <c r="D645" s="248"/>
      <c r="E645" s="248"/>
      <c r="F645" s="248"/>
      <c r="G645" s="248"/>
      <c r="H645" s="248"/>
      <c r="I645" s="248"/>
      <c r="J645" s="248"/>
      <c r="K645" s="248"/>
      <c r="L645" s="248"/>
      <c r="M645" s="248"/>
      <c r="N645" s="248"/>
      <c r="O645" s="248"/>
      <c r="P645" s="248"/>
      <c r="Q645" s="248"/>
      <c r="R645" s="248"/>
      <c r="S645" s="248"/>
      <c r="T645" s="248"/>
      <c r="U645" s="248"/>
      <c r="V645" s="248"/>
      <c r="W645" s="248"/>
      <c r="X645" s="248"/>
      <c r="Y645" s="248"/>
      <c r="Z645" s="248"/>
      <c r="AA645" s="248"/>
      <c r="AB645" s="248"/>
    </row>
    <row r="646" spans="1:28" ht="13.8">
      <c r="A646" s="248"/>
      <c r="B646" s="248"/>
      <c r="C646" s="331"/>
      <c r="D646" s="248"/>
      <c r="E646" s="248"/>
      <c r="F646" s="248"/>
      <c r="G646" s="248"/>
      <c r="H646" s="248"/>
      <c r="I646" s="248"/>
      <c r="J646" s="248"/>
      <c r="K646" s="248"/>
      <c r="L646" s="248"/>
      <c r="M646" s="248"/>
      <c r="N646" s="248"/>
      <c r="O646" s="248"/>
      <c r="P646" s="248"/>
      <c r="Q646" s="248"/>
      <c r="R646" s="248"/>
      <c r="S646" s="248"/>
      <c r="T646" s="248"/>
      <c r="U646" s="248"/>
      <c r="V646" s="248"/>
      <c r="W646" s="248"/>
      <c r="X646" s="248"/>
      <c r="Y646" s="248"/>
      <c r="Z646" s="248"/>
      <c r="AA646" s="248"/>
      <c r="AB646" s="248"/>
    </row>
    <row r="647" spans="1:28" ht="13.8">
      <c r="A647" s="248"/>
      <c r="B647" s="248"/>
      <c r="C647" s="331"/>
      <c r="D647" s="248"/>
      <c r="E647" s="248"/>
      <c r="F647" s="248"/>
      <c r="G647" s="248"/>
      <c r="H647" s="248"/>
      <c r="I647" s="248"/>
      <c r="J647" s="248"/>
      <c r="K647" s="248"/>
      <c r="L647" s="248"/>
      <c r="M647" s="248"/>
      <c r="N647" s="248"/>
      <c r="O647" s="248"/>
      <c r="P647" s="248"/>
      <c r="Q647" s="248"/>
      <c r="R647" s="248"/>
      <c r="S647" s="248"/>
      <c r="T647" s="248"/>
      <c r="U647" s="248"/>
      <c r="V647" s="248"/>
      <c r="W647" s="248"/>
      <c r="X647" s="248"/>
      <c r="Y647" s="248"/>
      <c r="Z647" s="248"/>
      <c r="AA647" s="248"/>
      <c r="AB647" s="248"/>
    </row>
    <row r="648" spans="1:28" ht="13.8">
      <c r="A648" s="248"/>
      <c r="B648" s="248"/>
      <c r="C648" s="331"/>
      <c r="D648" s="248"/>
      <c r="E648" s="248"/>
      <c r="F648" s="248"/>
      <c r="G648" s="248"/>
      <c r="H648" s="248"/>
      <c r="I648" s="248"/>
      <c r="J648" s="248"/>
      <c r="K648" s="248"/>
      <c r="L648" s="248"/>
      <c r="M648" s="248"/>
      <c r="N648" s="248"/>
      <c r="O648" s="248"/>
      <c r="P648" s="248"/>
      <c r="Q648" s="248"/>
      <c r="R648" s="248"/>
      <c r="S648" s="248"/>
      <c r="T648" s="248"/>
      <c r="U648" s="248"/>
      <c r="V648" s="248"/>
      <c r="W648" s="248"/>
      <c r="X648" s="248"/>
      <c r="Y648" s="248"/>
      <c r="Z648" s="248"/>
      <c r="AA648" s="248"/>
      <c r="AB648" s="248"/>
    </row>
    <row r="649" spans="1:28" ht="13.8">
      <c r="A649" s="248"/>
      <c r="B649" s="248"/>
      <c r="C649" s="331"/>
      <c r="D649" s="248"/>
      <c r="E649" s="248"/>
      <c r="F649" s="248"/>
      <c r="G649" s="248"/>
      <c r="H649" s="248"/>
      <c r="I649" s="248"/>
      <c r="J649" s="248"/>
      <c r="K649" s="248"/>
      <c r="L649" s="248"/>
      <c r="M649" s="248"/>
      <c r="N649" s="248"/>
      <c r="O649" s="248"/>
      <c r="P649" s="248"/>
      <c r="Q649" s="248"/>
      <c r="R649" s="248"/>
      <c r="S649" s="248"/>
      <c r="T649" s="248"/>
      <c r="U649" s="248"/>
      <c r="V649" s="248"/>
      <c r="W649" s="248"/>
      <c r="X649" s="248"/>
      <c r="Y649" s="248"/>
      <c r="Z649" s="248"/>
      <c r="AA649" s="248"/>
      <c r="AB649" s="248"/>
    </row>
    <row r="650" spans="1:28" ht="13.8">
      <c r="A650" s="248"/>
      <c r="B650" s="248"/>
      <c r="C650" s="331"/>
      <c r="D650" s="248"/>
      <c r="E650" s="248"/>
      <c r="F650" s="248"/>
      <c r="G650" s="248"/>
      <c r="H650" s="248"/>
      <c r="I650" s="248"/>
      <c r="J650" s="248"/>
      <c r="K650" s="248"/>
      <c r="L650" s="248"/>
      <c r="M650" s="248"/>
      <c r="N650" s="248"/>
      <c r="O650" s="248"/>
      <c r="P650" s="248"/>
      <c r="Q650" s="248"/>
      <c r="R650" s="248"/>
      <c r="S650" s="248"/>
      <c r="T650" s="248"/>
      <c r="U650" s="248"/>
      <c r="V650" s="248"/>
      <c r="W650" s="248"/>
      <c r="X650" s="248"/>
      <c r="Y650" s="248"/>
      <c r="Z650" s="248"/>
      <c r="AA650" s="248"/>
      <c r="AB650" s="248"/>
    </row>
    <row r="651" spans="1:28" ht="13.8">
      <c r="A651" s="248"/>
      <c r="B651" s="248"/>
      <c r="C651" s="331"/>
      <c r="D651" s="248"/>
      <c r="E651" s="248"/>
      <c r="F651" s="248"/>
      <c r="G651" s="248"/>
      <c r="H651" s="248"/>
      <c r="I651" s="248"/>
      <c r="J651" s="248"/>
      <c r="K651" s="248"/>
      <c r="L651" s="248"/>
      <c r="M651" s="248"/>
      <c r="N651" s="248"/>
      <c r="O651" s="248"/>
      <c r="P651" s="248"/>
      <c r="Q651" s="248"/>
      <c r="R651" s="248"/>
      <c r="S651" s="248"/>
      <c r="T651" s="248"/>
      <c r="U651" s="248"/>
      <c r="V651" s="248"/>
      <c r="W651" s="248"/>
      <c r="X651" s="248"/>
      <c r="Y651" s="248"/>
      <c r="Z651" s="248"/>
      <c r="AA651" s="248"/>
      <c r="AB651" s="248"/>
    </row>
    <row r="652" spans="1:28" ht="13.8">
      <c r="A652" s="248"/>
      <c r="B652" s="248"/>
      <c r="C652" s="331"/>
      <c r="D652" s="248"/>
      <c r="E652" s="248"/>
      <c r="F652" s="248"/>
      <c r="G652" s="248"/>
      <c r="H652" s="248"/>
      <c r="I652" s="248"/>
      <c r="J652" s="248"/>
      <c r="K652" s="248"/>
      <c r="L652" s="248"/>
      <c r="M652" s="248"/>
      <c r="N652" s="248"/>
      <c r="O652" s="248"/>
      <c r="P652" s="248"/>
      <c r="Q652" s="248"/>
      <c r="R652" s="248"/>
      <c r="S652" s="248"/>
      <c r="T652" s="248"/>
      <c r="U652" s="248"/>
      <c r="V652" s="248"/>
      <c r="W652" s="248"/>
      <c r="X652" s="248"/>
      <c r="Y652" s="248"/>
      <c r="Z652" s="248"/>
      <c r="AA652" s="248"/>
      <c r="AB652" s="248"/>
    </row>
    <row r="653" spans="1:28" ht="13.8">
      <c r="A653" s="248"/>
      <c r="B653" s="248"/>
      <c r="C653" s="331"/>
      <c r="D653" s="248"/>
      <c r="E653" s="248"/>
      <c r="F653" s="248"/>
      <c r="G653" s="248"/>
      <c r="H653" s="248"/>
      <c r="I653" s="248"/>
      <c r="J653" s="248"/>
      <c r="K653" s="248"/>
      <c r="L653" s="248"/>
      <c r="M653" s="248"/>
      <c r="N653" s="248"/>
      <c r="O653" s="248"/>
      <c r="P653" s="248"/>
      <c r="Q653" s="248"/>
      <c r="R653" s="248"/>
      <c r="S653" s="248"/>
      <c r="T653" s="248"/>
      <c r="U653" s="248"/>
      <c r="V653" s="248"/>
      <c r="W653" s="248"/>
      <c r="X653" s="248"/>
      <c r="Y653" s="248"/>
      <c r="Z653" s="248"/>
      <c r="AA653" s="248"/>
      <c r="AB653" s="248"/>
    </row>
    <row r="654" spans="1:28" ht="13.8">
      <c r="A654" s="248"/>
      <c r="B654" s="248"/>
      <c r="C654" s="331"/>
      <c r="D654" s="248"/>
      <c r="E654" s="248"/>
      <c r="F654" s="248"/>
      <c r="G654" s="248"/>
      <c r="H654" s="248"/>
      <c r="I654" s="248"/>
      <c r="J654" s="248"/>
      <c r="K654" s="248"/>
      <c r="L654" s="248"/>
      <c r="M654" s="248"/>
      <c r="N654" s="248"/>
      <c r="O654" s="248"/>
      <c r="P654" s="248"/>
      <c r="Q654" s="248"/>
      <c r="R654" s="248"/>
      <c r="S654" s="248"/>
      <c r="T654" s="248"/>
      <c r="U654" s="248"/>
      <c r="V654" s="248"/>
      <c r="W654" s="248"/>
      <c r="X654" s="248"/>
      <c r="Y654" s="248"/>
      <c r="Z654" s="248"/>
      <c r="AA654" s="248"/>
      <c r="AB654" s="248"/>
    </row>
    <row r="655" spans="1:28" ht="13.8">
      <c r="A655" s="248"/>
      <c r="B655" s="248"/>
      <c r="C655" s="331"/>
      <c r="D655" s="248"/>
      <c r="E655" s="248"/>
      <c r="F655" s="248"/>
      <c r="G655" s="248"/>
      <c r="H655" s="248"/>
      <c r="I655" s="248"/>
      <c r="J655" s="248"/>
      <c r="K655" s="248"/>
      <c r="L655" s="248"/>
      <c r="M655" s="248"/>
      <c r="N655" s="248"/>
      <c r="O655" s="248"/>
      <c r="P655" s="248"/>
      <c r="Q655" s="248"/>
      <c r="R655" s="248"/>
      <c r="S655" s="248"/>
      <c r="T655" s="248"/>
      <c r="U655" s="248"/>
      <c r="V655" s="248"/>
      <c r="W655" s="248"/>
      <c r="X655" s="248"/>
      <c r="Y655" s="248"/>
      <c r="Z655" s="248"/>
      <c r="AA655" s="248"/>
      <c r="AB655" s="248"/>
    </row>
    <row r="656" spans="1:28" ht="13.8">
      <c r="A656" s="248"/>
      <c r="B656" s="248"/>
      <c r="C656" s="331"/>
      <c r="D656" s="248"/>
      <c r="E656" s="248"/>
      <c r="F656" s="248"/>
      <c r="G656" s="248"/>
      <c r="H656" s="248"/>
      <c r="I656" s="248"/>
      <c r="J656" s="248"/>
      <c r="K656" s="248"/>
      <c r="L656" s="248"/>
      <c r="M656" s="248"/>
      <c r="N656" s="248"/>
      <c r="O656" s="248"/>
      <c r="P656" s="248"/>
      <c r="Q656" s="248"/>
      <c r="R656" s="248"/>
      <c r="S656" s="248"/>
      <c r="T656" s="248"/>
      <c r="U656" s="248"/>
      <c r="V656" s="248"/>
      <c r="W656" s="248"/>
      <c r="X656" s="248"/>
      <c r="Y656" s="248"/>
      <c r="Z656" s="248"/>
      <c r="AA656" s="248"/>
      <c r="AB656" s="248"/>
    </row>
    <row r="657" spans="1:28" ht="13.8">
      <c r="A657" s="248"/>
      <c r="B657" s="248"/>
      <c r="C657" s="331"/>
      <c r="D657" s="248"/>
      <c r="E657" s="248"/>
      <c r="F657" s="248"/>
      <c r="G657" s="248"/>
      <c r="H657" s="248"/>
      <c r="I657" s="248"/>
      <c r="J657" s="248"/>
      <c r="K657" s="248"/>
      <c r="L657" s="248"/>
      <c r="M657" s="248"/>
      <c r="N657" s="248"/>
      <c r="O657" s="248"/>
      <c r="P657" s="248"/>
      <c r="Q657" s="248"/>
      <c r="R657" s="248"/>
      <c r="S657" s="248"/>
      <c r="T657" s="248"/>
      <c r="U657" s="248"/>
      <c r="V657" s="248"/>
      <c r="W657" s="248"/>
      <c r="X657" s="248"/>
      <c r="Y657" s="248"/>
      <c r="Z657" s="248"/>
      <c r="AA657" s="248"/>
      <c r="AB657" s="248"/>
    </row>
    <row r="658" spans="1:28" ht="13.8">
      <c r="A658" s="248"/>
      <c r="B658" s="248"/>
      <c r="C658" s="331"/>
      <c r="D658" s="248"/>
      <c r="E658" s="248"/>
      <c r="F658" s="248"/>
      <c r="G658" s="248"/>
      <c r="H658" s="248"/>
      <c r="I658" s="248"/>
      <c r="J658" s="248"/>
      <c r="K658" s="248"/>
      <c r="L658" s="248"/>
      <c r="M658" s="248"/>
      <c r="N658" s="248"/>
      <c r="O658" s="248"/>
      <c r="P658" s="248"/>
      <c r="Q658" s="248"/>
      <c r="R658" s="248"/>
      <c r="S658" s="248"/>
      <c r="T658" s="248"/>
      <c r="U658" s="248"/>
      <c r="V658" s="248"/>
      <c r="W658" s="248"/>
      <c r="X658" s="248"/>
      <c r="Y658" s="248"/>
      <c r="Z658" s="248"/>
      <c r="AA658" s="248"/>
      <c r="AB658" s="248"/>
    </row>
    <row r="659" spans="1:28" ht="13.8">
      <c r="A659" s="248"/>
      <c r="B659" s="248"/>
      <c r="C659" s="331"/>
      <c r="D659" s="248"/>
      <c r="E659" s="248"/>
      <c r="F659" s="248"/>
      <c r="G659" s="248"/>
      <c r="H659" s="248"/>
      <c r="I659" s="248"/>
      <c r="J659" s="248"/>
      <c r="K659" s="248"/>
      <c r="L659" s="248"/>
      <c r="M659" s="248"/>
      <c r="N659" s="248"/>
      <c r="O659" s="248"/>
      <c r="P659" s="248"/>
      <c r="Q659" s="248"/>
      <c r="R659" s="248"/>
      <c r="S659" s="248"/>
      <c r="T659" s="248"/>
      <c r="U659" s="248"/>
      <c r="V659" s="248"/>
      <c r="W659" s="248"/>
      <c r="X659" s="248"/>
      <c r="Y659" s="248"/>
      <c r="Z659" s="248"/>
      <c r="AA659" s="248"/>
      <c r="AB659" s="248"/>
    </row>
    <row r="660" spans="1:28" ht="13.8">
      <c r="A660" s="248"/>
      <c r="B660" s="248"/>
      <c r="C660" s="331"/>
      <c r="D660" s="248"/>
      <c r="E660" s="248"/>
      <c r="F660" s="248"/>
      <c r="G660" s="248"/>
      <c r="H660" s="248"/>
      <c r="I660" s="248"/>
      <c r="J660" s="248"/>
      <c r="K660" s="248"/>
      <c r="L660" s="248"/>
      <c r="M660" s="248"/>
      <c r="N660" s="248"/>
      <c r="O660" s="248"/>
      <c r="P660" s="248"/>
      <c r="Q660" s="248"/>
      <c r="R660" s="248"/>
      <c r="S660" s="248"/>
      <c r="T660" s="248"/>
      <c r="U660" s="248"/>
      <c r="V660" s="248"/>
      <c r="W660" s="248"/>
      <c r="X660" s="248"/>
      <c r="Y660" s="248"/>
      <c r="Z660" s="248"/>
      <c r="AA660" s="248"/>
      <c r="AB660" s="248"/>
    </row>
    <row r="661" spans="1:28" ht="13.8">
      <c r="A661" s="248"/>
      <c r="B661" s="248"/>
      <c r="C661" s="331"/>
      <c r="D661" s="248"/>
      <c r="E661" s="248"/>
      <c r="F661" s="248"/>
      <c r="G661" s="248"/>
      <c r="H661" s="248"/>
      <c r="I661" s="248"/>
      <c r="J661" s="248"/>
      <c r="K661" s="248"/>
      <c r="L661" s="248"/>
      <c r="M661" s="248"/>
      <c r="N661" s="248"/>
      <c r="O661" s="248"/>
      <c r="P661" s="248"/>
      <c r="Q661" s="248"/>
      <c r="R661" s="248"/>
      <c r="S661" s="248"/>
      <c r="T661" s="248"/>
      <c r="U661" s="248"/>
      <c r="V661" s="248"/>
      <c r="W661" s="248"/>
      <c r="X661" s="248"/>
      <c r="Y661" s="248"/>
      <c r="Z661" s="248"/>
      <c r="AA661" s="248"/>
      <c r="AB661" s="248"/>
    </row>
    <row r="662" spans="1:28" ht="13.8">
      <c r="A662" s="248"/>
      <c r="B662" s="248"/>
      <c r="C662" s="331"/>
      <c r="D662" s="248"/>
      <c r="E662" s="248"/>
      <c r="F662" s="248"/>
      <c r="G662" s="248"/>
      <c r="H662" s="248"/>
      <c r="I662" s="248"/>
      <c r="J662" s="248"/>
      <c r="K662" s="248"/>
      <c r="L662" s="248"/>
      <c r="M662" s="248"/>
      <c r="N662" s="248"/>
      <c r="O662" s="248"/>
      <c r="P662" s="248"/>
      <c r="Q662" s="248"/>
      <c r="R662" s="248"/>
      <c r="S662" s="248"/>
      <c r="T662" s="248"/>
      <c r="U662" s="248"/>
      <c r="V662" s="248"/>
      <c r="W662" s="248"/>
      <c r="X662" s="248"/>
      <c r="Y662" s="248"/>
      <c r="Z662" s="248"/>
      <c r="AA662" s="248"/>
      <c r="AB662" s="248"/>
    </row>
    <row r="663" spans="1:28" ht="13.8">
      <c r="A663" s="248"/>
      <c r="B663" s="248"/>
      <c r="C663" s="331"/>
      <c r="D663" s="248"/>
      <c r="E663" s="248"/>
      <c r="F663" s="248"/>
      <c r="G663" s="248"/>
      <c r="H663" s="248"/>
      <c r="I663" s="248"/>
      <c r="J663" s="248"/>
      <c r="K663" s="248"/>
      <c r="L663" s="248"/>
      <c r="M663" s="248"/>
      <c r="N663" s="248"/>
      <c r="O663" s="248"/>
      <c r="P663" s="248"/>
      <c r="Q663" s="248"/>
      <c r="R663" s="248"/>
      <c r="S663" s="248"/>
      <c r="T663" s="248"/>
      <c r="U663" s="248"/>
      <c r="V663" s="248"/>
      <c r="W663" s="248"/>
      <c r="X663" s="248"/>
      <c r="Y663" s="248"/>
      <c r="Z663" s="248"/>
      <c r="AA663" s="248"/>
      <c r="AB663" s="248"/>
    </row>
    <row r="664" spans="1:28" ht="13.8">
      <c r="A664" s="248"/>
      <c r="B664" s="248"/>
      <c r="C664" s="331"/>
      <c r="D664" s="248"/>
      <c r="E664" s="248"/>
      <c r="F664" s="248"/>
      <c r="G664" s="248"/>
      <c r="H664" s="248"/>
      <c r="I664" s="248"/>
      <c r="J664" s="248"/>
      <c r="K664" s="248"/>
      <c r="L664" s="248"/>
      <c r="M664" s="248"/>
      <c r="N664" s="248"/>
      <c r="O664" s="248"/>
      <c r="P664" s="248"/>
      <c r="Q664" s="248"/>
      <c r="R664" s="248"/>
      <c r="S664" s="248"/>
      <c r="T664" s="248"/>
      <c r="U664" s="248"/>
      <c r="V664" s="248"/>
      <c r="W664" s="248"/>
      <c r="X664" s="248"/>
      <c r="Y664" s="248"/>
      <c r="Z664" s="248"/>
      <c r="AA664" s="248"/>
      <c r="AB664" s="248"/>
    </row>
    <row r="665" spans="1:28" ht="13.8">
      <c r="A665" s="248"/>
      <c r="B665" s="248"/>
      <c r="C665" s="331"/>
      <c r="D665" s="248"/>
      <c r="E665" s="248"/>
      <c r="F665" s="248"/>
      <c r="G665" s="248"/>
      <c r="H665" s="248"/>
      <c r="I665" s="248"/>
      <c r="J665" s="248"/>
      <c r="K665" s="248"/>
      <c r="L665" s="248"/>
      <c r="M665" s="248"/>
      <c r="N665" s="248"/>
      <c r="O665" s="248"/>
      <c r="P665" s="248"/>
      <c r="Q665" s="248"/>
      <c r="R665" s="248"/>
      <c r="S665" s="248"/>
      <c r="T665" s="248"/>
      <c r="U665" s="248"/>
      <c r="V665" s="248"/>
      <c r="W665" s="248"/>
      <c r="X665" s="248"/>
      <c r="Y665" s="248"/>
      <c r="Z665" s="248"/>
      <c r="AA665" s="248"/>
      <c r="AB665" s="248"/>
    </row>
    <row r="666" spans="1:28" ht="13.8">
      <c r="A666" s="248"/>
      <c r="B666" s="248"/>
      <c r="C666" s="331"/>
      <c r="D666" s="248"/>
      <c r="E666" s="248"/>
      <c r="F666" s="248"/>
      <c r="G666" s="248"/>
      <c r="H666" s="248"/>
      <c r="I666" s="248"/>
      <c r="J666" s="248"/>
      <c r="K666" s="248"/>
      <c r="L666" s="248"/>
      <c r="M666" s="248"/>
      <c r="N666" s="248"/>
      <c r="O666" s="248"/>
      <c r="P666" s="248"/>
      <c r="Q666" s="248"/>
      <c r="R666" s="248"/>
      <c r="S666" s="248"/>
      <c r="T666" s="248"/>
      <c r="U666" s="248"/>
      <c r="V666" s="248"/>
      <c r="W666" s="248"/>
      <c r="X666" s="248"/>
      <c r="Y666" s="248"/>
      <c r="Z666" s="248"/>
      <c r="AA666" s="248"/>
      <c r="AB666" s="248"/>
    </row>
    <row r="667" spans="1:28" ht="13.8">
      <c r="A667" s="248"/>
      <c r="B667" s="248"/>
      <c r="C667" s="331"/>
      <c r="D667" s="248"/>
      <c r="E667" s="248"/>
      <c r="F667" s="248"/>
      <c r="G667" s="248"/>
      <c r="H667" s="248"/>
      <c r="I667" s="248"/>
      <c r="J667" s="248"/>
      <c r="K667" s="248"/>
      <c r="L667" s="248"/>
      <c r="M667" s="248"/>
      <c r="N667" s="248"/>
      <c r="O667" s="248"/>
      <c r="P667" s="248"/>
      <c r="Q667" s="248"/>
      <c r="R667" s="248"/>
      <c r="S667" s="248"/>
      <c r="T667" s="248"/>
      <c r="U667" s="248"/>
      <c r="V667" s="248"/>
      <c r="W667" s="248"/>
      <c r="X667" s="248"/>
      <c r="Y667" s="248"/>
      <c r="Z667" s="248"/>
      <c r="AA667" s="248"/>
      <c r="AB667" s="248"/>
    </row>
    <row r="668" spans="1:28" ht="13.8">
      <c r="A668" s="248"/>
      <c r="B668" s="248"/>
      <c r="C668" s="331"/>
      <c r="D668" s="248"/>
      <c r="E668" s="248"/>
      <c r="F668" s="248"/>
      <c r="G668" s="248"/>
      <c r="H668" s="248"/>
      <c r="I668" s="248"/>
      <c r="J668" s="248"/>
      <c r="K668" s="248"/>
      <c r="L668" s="248"/>
      <c r="M668" s="248"/>
      <c r="N668" s="248"/>
      <c r="O668" s="248"/>
      <c r="P668" s="248"/>
      <c r="Q668" s="248"/>
      <c r="R668" s="248"/>
      <c r="S668" s="248"/>
      <c r="T668" s="248"/>
      <c r="U668" s="248"/>
      <c r="V668" s="248"/>
      <c r="W668" s="248"/>
      <c r="X668" s="248"/>
      <c r="Y668" s="248"/>
      <c r="Z668" s="248"/>
      <c r="AA668" s="248"/>
      <c r="AB668" s="248"/>
    </row>
    <row r="669" spans="1:28" ht="13.8">
      <c r="A669" s="248"/>
      <c r="B669" s="248"/>
      <c r="C669" s="331"/>
      <c r="D669" s="248"/>
      <c r="E669" s="248"/>
      <c r="F669" s="248"/>
      <c r="G669" s="248"/>
      <c r="H669" s="248"/>
      <c r="I669" s="248"/>
      <c r="J669" s="248"/>
      <c r="K669" s="248"/>
      <c r="L669" s="248"/>
      <c r="M669" s="248"/>
      <c r="N669" s="248"/>
      <c r="O669" s="248"/>
      <c r="P669" s="248"/>
      <c r="Q669" s="248"/>
      <c r="R669" s="248"/>
      <c r="S669" s="248"/>
      <c r="T669" s="248"/>
      <c r="U669" s="248"/>
      <c r="V669" s="248"/>
      <c r="W669" s="248"/>
      <c r="X669" s="248"/>
      <c r="Y669" s="248"/>
      <c r="Z669" s="248"/>
      <c r="AA669" s="248"/>
      <c r="AB669" s="248"/>
    </row>
    <row r="670" spans="1:28" ht="13.8">
      <c r="A670" s="248"/>
      <c r="B670" s="248"/>
      <c r="C670" s="331"/>
      <c r="D670" s="248"/>
      <c r="E670" s="248"/>
      <c r="F670" s="248"/>
      <c r="G670" s="248"/>
      <c r="H670" s="248"/>
      <c r="I670" s="248"/>
      <c r="J670" s="248"/>
      <c r="K670" s="248"/>
      <c r="L670" s="248"/>
      <c r="M670" s="248"/>
      <c r="N670" s="248"/>
      <c r="O670" s="248"/>
      <c r="P670" s="248"/>
      <c r="Q670" s="248"/>
      <c r="R670" s="248"/>
      <c r="S670" s="248"/>
      <c r="T670" s="248"/>
      <c r="U670" s="248"/>
      <c r="V670" s="248"/>
      <c r="W670" s="248"/>
      <c r="X670" s="248"/>
      <c r="Y670" s="248"/>
      <c r="Z670" s="248"/>
      <c r="AA670" s="248"/>
      <c r="AB670" s="248"/>
    </row>
    <row r="671" spans="1:28" ht="13.8">
      <c r="A671" s="248"/>
      <c r="B671" s="248"/>
      <c r="C671" s="331"/>
      <c r="D671" s="248"/>
      <c r="E671" s="248"/>
      <c r="F671" s="248"/>
      <c r="G671" s="248"/>
      <c r="H671" s="248"/>
      <c r="I671" s="248"/>
      <c r="J671" s="248"/>
      <c r="K671" s="248"/>
      <c r="L671" s="248"/>
      <c r="M671" s="248"/>
      <c r="N671" s="248"/>
      <c r="O671" s="248"/>
      <c r="P671" s="248"/>
      <c r="Q671" s="248"/>
      <c r="R671" s="248"/>
      <c r="S671" s="248"/>
      <c r="T671" s="248"/>
      <c r="U671" s="248"/>
      <c r="V671" s="248"/>
      <c r="W671" s="248"/>
      <c r="X671" s="248"/>
      <c r="Y671" s="248"/>
      <c r="Z671" s="248"/>
      <c r="AA671" s="248"/>
      <c r="AB671" s="248"/>
    </row>
    <row r="672" spans="1:28" ht="13.8">
      <c r="A672" s="248"/>
      <c r="B672" s="248"/>
      <c r="C672" s="331"/>
      <c r="D672" s="248"/>
      <c r="E672" s="248"/>
      <c r="F672" s="248"/>
      <c r="G672" s="248"/>
      <c r="H672" s="248"/>
      <c r="I672" s="248"/>
      <c r="J672" s="248"/>
      <c r="K672" s="248"/>
      <c r="L672" s="248"/>
      <c r="M672" s="248"/>
      <c r="N672" s="248"/>
      <c r="O672" s="248"/>
      <c r="P672" s="248"/>
      <c r="Q672" s="248"/>
      <c r="R672" s="248"/>
      <c r="S672" s="248"/>
      <c r="T672" s="248"/>
      <c r="U672" s="248"/>
      <c r="V672" s="248"/>
      <c r="W672" s="248"/>
      <c r="X672" s="248"/>
      <c r="Y672" s="248"/>
      <c r="Z672" s="248"/>
      <c r="AA672" s="248"/>
      <c r="AB672" s="248"/>
    </row>
    <row r="673" spans="1:28" ht="13.8">
      <c r="A673" s="248"/>
      <c r="B673" s="248"/>
      <c r="C673" s="331"/>
      <c r="D673" s="248"/>
      <c r="E673" s="248"/>
      <c r="F673" s="248"/>
      <c r="G673" s="248"/>
      <c r="H673" s="248"/>
      <c r="I673" s="248"/>
      <c r="J673" s="248"/>
      <c r="K673" s="248"/>
      <c r="L673" s="248"/>
      <c r="M673" s="248"/>
      <c r="N673" s="248"/>
      <c r="O673" s="248"/>
      <c r="P673" s="248"/>
      <c r="Q673" s="248"/>
      <c r="R673" s="248"/>
      <c r="S673" s="248"/>
      <c r="T673" s="248"/>
      <c r="U673" s="248"/>
      <c r="V673" s="248"/>
      <c r="W673" s="248"/>
      <c r="X673" s="248"/>
      <c r="Y673" s="248"/>
      <c r="Z673" s="248"/>
      <c r="AA673" s="248"/>
      <c r="AB673" s="248"/>
    </row>
    <row r="674" spans="1:28" ht="13.8">
      <c r="A674" s="248"/>
      <c r="B674" s="248"/>
      <c r="C674" s="331"/>
      <c r="D674" s="248"/>
      <c r="E674" s="248"/>
      <c r="F674" s="248"/>
      <c r="G674" s="248"/>
      <c r="H674" s="248"/>
      <c r="I674" s="248"/>
      <c r="J674" s="248"/>
      <c r="K674" s="248"/>
      <c r="L674" s="248"/>
      <c r="M674" s="248"/>
      <c r="N674" s="248"/>
      <c r="O674" s="248"/>
      <c r="P674" s="248"/>
      <c r="Q674" s="248"/>
      <c r="R674" s="248"/>
      <c r="S674" s="248"/>
      <c r="T674" s="248"/>
      <c r="U674" s="248"/>
      <c r="V674" s="248"/>
      <c r="W674" s="248"/>
      <c r="X674" s="248"/>
      <c r="Y674" s="248"/>
      <c r="Z674" s="248"/>
      <c r="AA674" s="248"/>
      <c r="AB674" s="248"/>
    </row>
    <row r="675" spans="1:28" ht="13.8">
      <c r="A675" s="248"/>
      <c r="B675" s="248"/>
      <c r="C675" s="331"/>
      <c r="D675" s="248"/>
      <c r="E675" s="248"/>
      <c r="F675" s="248"/>
      <c r="G675" s="248"/>
      <c r="H675" s="248"/>
      <c r="I675" s="248"/>
      <c r="J675" s="248"/>
      <c r="K675" s="248"/>
      <c r="L675" s="248"/>
      <c r="M675" s="248"/>
      <c r="N675" s="248"/>
      <c r="O675" s="248"/>
      <c r="P675" s="248"/>
      <c r="Q675" s="248"/>
      <c r="R675" s="248"/>
      <c r="S675" s="248"/>
      <c r="T675" s="248"/>
      <c r="U675" s="248"/>
      <c r="V675" s="248"/>
      <c r="W675" s="248"/>
      <c r="X675" s="248"/>
      <c r="Y675" s="248"/>
      <c r="Z675" s="248"/>
      <c r="AA675" s="248"/>
      <c r="AB675" s="248"/>
    </row>
    <row r="676" spans="1:28" ht="13.8">
      <c r="A676" s="248"/>
      <c r="B676" s="248"/>
      <c r="C676" s="331"/>
      <c r="D676" s="248"/>
      <c r="E676" s="248"/>
      <c r="F676" s="248"/>
      <c r="G676" s="248"/>
      <c r="H676" s="248"/>
      <c r="I676" s="248"/>
      <c r="J676" s="248"/>
      <c r="K676" s="248"/>
      <c r="L676" s="248"/>
      <c r="M676" s="248"/>
      <c r="N676" s="248"/>
      <c r="O676" s="248"/>
      <c r="P676" s="248"/>
      <c r="Q676" s="248"/>
      <c r="R676" s="248"/>
      <c r="S676" s="248"/>
      <c r="T676" s="248"/>
      <c r="U676" s="248"/>
      <c r="V676" s="248"/>
      <c r="W676" s="248"/>
      <c r="X676" s="248"/>
      <c r="Y676" s="248"/>
      <c r="Z676" s="248"/>
      <c r="AA676" s="248"/>
      <c r="AB676" s="248"/>
    </row>
    <row r="677" spans="1:28" ht="13.8">
      <c r="A677" s="248"/>
      <c r="B677" s="248"/>
      <c r="C677" s="331"/>
      <c r="D677" s="248"/>
      <c r="E677" s="248"/>
      <c r="F677" s="248"/>
      <c r="G677" s="248"/>
      <c r="H677" s="248"/>
      <c r="I677" s="248"/>
      <c r="J677" s="248"/>
      <c r="K677" s="248"/>
      <c r="L677" s="248"/>
      <c r="M677" s="248"/>
      <c r="N677" s="248"/>
      <c r="O677" s="248"/>
      <c r="P677" s="248"/>
      <c r="Q677" s="248"/>
      <c r="R677" s="248"/>
      <c r="S677" s="248"/>
      <c r="T677" s="248"/>
      <c r="U677" s="248"/>
      <c r="V677" s="248"/>
      <c r="W677" s="248"/>
      <c r="X677" s="248"/>
      <c r="Y677" s="248"/>
      <c r="Z677" s="248"/>
      <c r="AA677" s="248"/>
      <c r="AB677" s="248"/>
    </row>
    <row r="678" spans="1:28" ht="13.8">
      <c r="A678" s="248"/>
      <c r="B678" s="248"/>
      <c r="C678" s="331"/>
      <c r="D678" s="248"/>
      <c r="E678" s="248"/>
      <c r="F678" s="248"/>
      <c r="G678" s="248"/>
      <c r="H678" s="248"/>
      <c r="I678" s="248"/>
      <c r="J678" s="248"/>
      <c r="K678" s="248"/>
      <c r="L678" s="248"/>
      <c r="M678" s="248"/>
      <c r="N678" s="248"/>
      <c r="O678" s="248"/>
      <c r="P678" s="248"/>
      <c r="Q678" s="248"/>
      <c r="R678" s="248"/>
      <c r="S678" s="248"/>
      <c r="T678" s="248"/>
      <c r="U678" s="248"/>
      <c r="V678" s="248"/>
      <c r="W678" s="248"/>
      <c r="X678" s="248"/>
      <c r="Y678" s="248"/>
      <c r="Z678" s="248"/>
      <c r="AA678" s="248"/>
      <c r="AB678" s="248"/>
    </row>
    <row r="679" spans="1:28" ht="13.8">
      <c r="A679" s="248"/>
      <c r="B679" s="248"/>
      <c r="C679" s="331"/>
      <c r="D679" s="248"/>
      <c r="E679" s="248"/>
      <c r="F679" s="248"/>
      <c r="G679" s="248"/>
      <c r="H679" s="248"/>
      <c r="I679" s="248"/>
      <c r="J679" s="248"/>
      <c r="K679" s="248"/>
      <c r="L679" s="248"/>
      <c r="M679" s="248"/>
      <c r="N679" s="248"/>
      <c r="O679" s="248"/>
      <c r="P679" s="248"/>
      <c r="Q679" s="248"/>
      <c r="R679" s="248"/>
      <c r="S679" s="248"/>
      <c r="T679" s="248"/>
      <c r="U679" s="248"/>
      <c r="V679" s="248"/>
      <c r="W679" s="248"/>
      <c r="X679" s="248"/>
      <c r="Y679" s="248"/>
      <c r="Z679" s="248"/>
      <c r="AA679" s="248"/>
      <c r="AB679" s="248"/>
    </row>
    <row r="680" spans="1:28" ht="13.8">
      <c r="A680" s="248"/>
      <c r="B680" s="248"/>
      <c r="C680" s="331"/>
      <c r="D680" s="248"/>
      <c r="E680" s="248"/>
      <c r="F680" s="248"/>
      <c r="G680" s="248"/>
      <c r="H680" s="248"/>
      <c r="I680" s="248"/>
      <c r="J680" s="248"/>
      <c r="K680" s="248"/>
      <c r="L680" s="248"/>
      <c r="M680" s="248"/>
      <c r="N680" s="248"/>
      <c r="O680" s="248"/>
      <c r="P680" s="248"/>
      <c r="Q680" s="248"/>
      <c r="R680" s="248"/>
      <c r="S680" s="248"/>
      <c r="T680" s="248"/>
      <c r="U680" s="248"/>
      <c r="V680" s="248"/>
      <c r="W680" s="248"/>
      <c r="X680" s="248"/>
      <c r="Y680" s="248"/>
      <c r="Z680" s="248"/>
      <c r="AA680" s="248"/>
      <c r="AB680" s="248"/>
    </row>
    <row r="681" spans="1:28" ht="13.8">
      <c r="A681" s="248"/>
      <c r="B681" s="248"/>
      <c r="C681" s="331"/>
      <c r="D681" s="248"/>
      <c r="E681" s="248"/>
      <c r="F681" s="248"/>
      <c r="G681" s="248"/>
      <c r="H681" s="248"/>
      <c r="I681" s="248"/>
      <c r="J681" s="248"/>
      <c r="K681" s="248"/>
      <c r="L681" s="248"/>
      <c r="M681" s="248"/>
      <c r="N681" s="248"/>
      <c r="O681" s="248"/>
      <c r="P681" s="248"/>
      <c r="Q681" s="248"/>
      <c r="R681" s="248"/>
      <c r="S681" s="248"/>
      <c r="T681" s="248"/>
      <c r="U681" s="248"/>
      <c r="V681" s="248"/>
      <c r="W681" s="248"/>
      <c r="X681" s="248"/>
      <c r="Y681" s="248"/>
      <c r="Z681" s="248"/>
      <c r="AA681" s="248"/>
      <c r="AB681" s="248"/>
    </row>
    <row r="682" spans="1:28" ht="13.8">
      <c r="A682" s="248"/>
      <c r="B682" s="248"/>
      <c r="C682" s="331"/>
      <c r="D682" s="248"/>
      <c r="E682" s="248"/>
      <c r="F682" s="248"/>
      <c r="G682" s="248"/>
      <c r="H682" s="248"/>
      <c r="I682" s="248"/>
      <c r="J682" s="248"/>
      <c r="K682" s="248"/>
      <c r="L682" s="248"/>
      <c r="M682" s="248"/>
      <c r="N682" s="248"/>
      <c r="O682" s="248"/>
      <c r="P682" s="248"/>
      <c r="Q682" s="248"/>
      <c r="R682" s="248"/>
      <c r="S682" s="248"/>
      <c r="T682" s="248"/>
      <c r="U682" s="248"/>
      <c r="V682" s="248"/>
      <c r="W682" s="248"/>
      <c r="X682" s="248"/>
      <c r="Y682" s="248"/>
      <c r="Z682" s="248"/>
      <c r="AA682" s="248"/>
      <c r="AB682" s="248"/>
    </row>
    <row r="683" spans="1:28" ht="13.8">
      <c r="A683" s="248"/>
      <c r="B683" s="248"/>
      <c r="C683" s="331"/>
      <c r="D683" s="248"/>
      <c r="E683" s="248"/>
      <c r="F683" s="248"/>
      <c r="G683" s="248"/>
      <c r="H683" s="248"/>
      <c r="I683" s="248"/>
      <c r="J683" s="248"/>
      <c r="K683" s="248"/>
      <c r="L683" s="248"/>
      <c r="M683" s="248"/>
      <c r="N683" s="248"/>
      <c r="O683" s="248"/>
      <c r="P683" s="248"/>
      <c r="Q683" s="248"/>
      <c r="R683" s="248"/>
      <c r="S683" s="248"/>
      <c r="T683" s="248"/>
      <c r="U683" s="248"/>
      <c r="V683" s="248"/>
      <c r="W683" s="248"/>
      <c r="X683" s="248"/>
      <c r="Y683" s="248"/>
      <c r="Z683" s="248"/>
      <c r="AA683" s="248"/>
      <c r="AB683" s="248"/>
    </row>
    <row r="684" spans="1:28" ht="13.8">
      <c r="A684" s="248"/>
      <c r="B684" s="248"/>
      <c r="C684" s="331"/>
      <c r="D684" s="248"/>
      <c r="E684" s="248"/>
      <c r="F684" s="248"/>
      <c r="G684" s="248"/>
      <c r="H684" s="248"/>
      <c r="I684" s="248"/>
      <c r="J684" s="248"/>
      <c r="K684" s="248"/>
      <c r="L684" s="248"/>
      <c r="M684" s="248"/>
      <c r="N684" s="248"/>
      <c r="O684" s="248"/>
      <c r="P684" s="248"/>
      <c r="Q684" s="248"/>
      <c r="R684" s="248"/>
      <c r="S684" s="248"/>
      <c r="T684" s="248"/>
      <c r="U684" s="248"/>
      <c r="V684" s="248"/>
      <c r="W684" s="248"/>
      <c r="X684" s="248"/>
      <c r="Y684" s="248"/>
      <c r="Z684" s="248"/>
      <c r="AA684" s="248"/>
      <c r="AB684" s="248"/>
    </row>
    <row r="685" spans="1:28" ht="13.8">
      <c r="A685" s="248"/>
      <c r="B685" s="248"/>
      <c r="C685" s="331"/>
      <c r="D685" s="248"/>
      <c r="E685" s="248"/>
      <c r="F685" s="248"/>
      <c r="G685" s="248"/>
      <c r="H685" s="248"/>
      <c r="I685" s="248"/>
      <c r="J685" s="248"/>
      <c r="K685" s="248"/>
      <c r="L685" s="248"/>
      <c r="M685" s="248"/>
      <c r="N685" s="248"/>
      <c r="O685" s="248"/>
      <c r="P685" s="248"/>
      <c r="Q685" s="248"/>
      <c r="R685" s="248"/>
      <c r="S685" s="248"/>
      <c r="T685" s="248"/>
      <c r="U685" s="248"/>
      <c r="V685" s="248"/>
      <c r="W685" s="248"/>
      <c r="X685" s="248"/>
      <c r="Y685" s="248"/>
      <c r="Z685" s="248"/>
      <c r="AA685" s="248"/>
      <c r="AB685" s="248"/>
    </row>
    <row r="686" spans="1:28" ht="13.8">
      <c r="A686" s="248"/>
      <c r="B686" s="248"/>
      <c r="C686" s="331"/>
      <c r="D686" s="248"/>
      <c r="E686" s="248"/>
      <c r="F686" s="248"/>
      <c r="G686" s="248"/>
      <c r="H686" s="248"/>
      <c r="I686" s="248"/>
      <c r="J686" s="248"/>
      <c r="K686" s="248"/>
      <c r="L686" s="248"/>
      <c r="M686" s="248"/>
      <c r="N686" s="248"/>
      <c r="O686" s="248"/>
      <c r="P686" s="248"/>
      <c r="Q686" s="248"/>
      <c r="R686" s="248"/>
      <c r="S686" s="248"/>
      <c r="T686" s="248"/>
      <c r="U686" s="248"/>
      <c r="V686" s="248"/>
      <c r="W686" s="248"/>
      <c r="X686" s="248"/>
      <c r="Y686" s="248"/>
      <c r="Z686" s="248"/>
      <c r="AA686" s="248"/>
      <c r="AB686" s="248"/>
    </row>
    <row r="687" spans="1:28" ht="13.8">
      <c r="A687" s="248"/>
      <c r="B687" s="248"/>
      <c r="C687" s="331"/>
      <c r="D687" s="248"/>
      <c r="E687" s="248"/>
      <c r="F687" s="248"/>
      <c r="G687" s="248"/>
      <c r="H687" s="248"/>
      <c r="I687" s="248"/>
      <c r="J687" s="248"/>
      <c r="K687" s="248"/>
      <c r="L687" s="248"/>
      <c r="M687" s="248"/>
      <c r="N687" s="248"/>
      <c r="O687" s="248"/>
      <c r="P687" s="248"/>
      <c r="Q687" s="248"/>
      <c r="R687" s="248"/>
      <c r="S687" s="248"/>
      <c r="T687" s="248"/>
      <c r="U687" s="248"/>
      <c r="V687" s="248"/>
      <c r="W687" s="248"/>
      <c r="X687" s="248"/>
      <c r="Y687" s="248"/>
      <c r="Z687" s="248"/>
      <c r="AA687" s="248"/>
      <c r="AB687" s="248"/>
    </row>
    <row r="688" spans="1:28" ht="13.8">
      <c r="A688" s="248"/>
      <c r="B688" s="248"/>
      <c r="C688" s="331"/>
      <c r="D688" s="248"/>
      <c r="E688" s="248"/>
      <c r="F688" s="248"/>
      <c r="G688" s="248"/>
      <c r="H688" s="248"/>
      <c r="I688" s="248"/>
      <c r="J688" s="248"/>
      <c r="K688" s="248"/>
      <c r="L688" s="248"/>
      <c r="M688" s="248"/>
      <c r="N688" s="248"/>
      <c r="O688" s="248"/>
      <c r="P688" s="248"/>
      <c r="Q688" s="248"/>
      <c r="R688" s="248"/>
      <c r="S688" s="248"/>
      <c r="T688" s="248"/>
      <c r="U688" s="248"/>
      <c r="V688" s="248"/>
      <c r="W688" s="248"/>
      <c r="X688" s="248"/>
      <c r="Y688" s="248"/>
      <c r="Z688" s="248"/>
      <c r="AA688" s="248"/>
      <c r="AB688" s="248"/>
    </row>
    <row r="689" spans="1:28" ht="13.8">
      <c r="A689" s="248"/>
      <c r="B689" s="248"/>
      <c r="C689" s="331"/>
      <c r="D689" s="248"/>
      <c r="E689" s="248"/>
      <c r="F689" s="248"/>
      <c r="G689" s="248"/>
      <c r="H689" s="248"/>
      <c r="I689" s="248"/>
      <c r="J689" s="248"/>
      <c r="K689" s="248"/>
      <c r="L689" s="248"/>
      <c r="M689" s="248"/>
      <c r="N689" s="248"/>
      <c r="O689" s="248"/>
      <c r="P689" s="248"/>
      <c r="Q689" s="248"/>
      <c r="R689" s="248"/>
      <c r="S689" s="248"/>
      <c r="T689" s="248"/>
      <c r="U689" s="248"/>
      <c r="V689" s="248"/>
      <c r="W689" s="248"/>
      <c r="X689" s="248"/>
      <c r="Y689" s="248"/>
      <c r="Z689" s="248"/>
      <c r="AA689" s="248"/>
      <c r="AB689" s="248"/>
    </row>
    <row r="690" spans="1:28" ht="13.8">
      <c r="A690" s="248"/>
      <c r="B690" s="248"/>
      <c r="C690" s="331"/>
      <c r="D690" s="248"/>
      <c r="E690" s="248"/>
      <c r="F690" s="248"/>
      <c r="G690" s="248"/>
      <c r="H690" s="248"/>
      <c r="I690" s="248"/>
      <c r="J690" s="248"/>
      <c r="K690" s="248"/>
      <c r="L690" s="248"/>
      <c r="M690" s="248"/>
      <c r="N690" s="248"/>
      <c r="O690" s="248"/>
      <c r="P690" s="248"/>
      <c r="Q690" s="248"/>
      <c r="R690" s="248"/>
      <c r="S690" s="248"/>
      <c r="T690" s="248"/>
      <c r="U690" s="248"/>
      <c r="V690" s="248"/>
      <c r="W690" s="248"/>
      <c r="X690" s="248"/>
      <c r="Y690" s="248"/>
      <c r="Z690" s="248"/>
      <c r="AA690" s="248"/>
      <c r="AB690" s="248"/>
    </row>
    <row r="691" spans="1:28" ht="13.8">
      <c r="A691" s="248"/>
      <c r="B691" s="248"/>
      <c r="C691" s="331"/>
      <c r="D691" s="248"/>
      <c r="E691" s="248"/>
      <c r="F691" s="248"/>
      <c r="G691" s="248"/>
      <c r="H691" s="248"/>
      <c r="I691" s="248"/>
      <c r="J691" s="248"/>
      <c r="K691" s="248"/>
      <c r="L691" s="248"/>
      <c r="M691" s="248"/>
      <c r="N691" s="248"/>
      <c r="O691" s="248"/>
      <c r="P691" s="248"/>
      <c r="Q691" s="248"/>
      <c r="R691" s="248"/>
      <c r="S691" s="248"/>
      <c r="T691" s="248"/>
      <c r="U691" s="248"/>
      <c r="V691" s="248"/>
      <c r="W691" s="248"/>
      <c r="X691" s="248"/>
      <c r="Y691" s="248"/>
      <c r="Z691" s="248"/>
      <c r="AA691" s="248"/>
      <c r="AB691" s="248"/>
    </row>
    <row r="692" spans="1:28" ht="13.8">
      <c r="A692" s="248"/>
      <c r="B692" s="248"/>
      <c r="C692" s="331"/>
      <c r="D692" s="248"/>
      <c r="E692" s="248"/>
      <c r="F692" s="248"/>
      <c r="G692" s="248"/>
      <c r="H692" s="248"/>
      <c r="I692" s="248"/>
      <c r="J692" s="248"/>
      <c r="K692" s="248"/>
      <c r="L692" s="248"/>
      <c r="M692" s="248"/>
      <c r="N692" s="248"/>
      <c r="O692" s="248"/>
      <c r="P692" s="248"/>
      <c r="Q692" s="248"/>
      <c r="R692" s="248"/>
      <c r="S692" s="248"/>
      <c r="T692" s="248"/>
      <c r="U692" s="248"/>
      <c r="V692" s="248"/>
      <c r="W692" s="248"/>
      <c r="X692" s="248"/>
      <c r="Y692" s="248"/>
      <c r="Z692" s="248"/>
      <c r="AA692" s="248"/>
      <c r="AB692" s="248"/>
    </row>
    <row r="693" spans="1:28" ht="13.8">
      <c r="A693" s="248"/>
      <c r="B693" s="248"/>
      <c r="C693" s="331"/>
      <c r="D693" s="248"/>
      <c r="E693" s="248"/>
      <c r="F693" s="248"/>
      <c r="G693" s="248"/>
      <c r="H693" s="248"/>
      <c r="I693" s="248"/>
      <c r="J693" s="248"/>
      <c r="K693" s="248"/>
      <c r="L693" s="248"/>
      <c r="M693" s="248"/>
      <c r="N693" s="248"/>
      <c r="O693" s="248"/>
      <c r="P693" s="248"/>
      <c r="Q693" s="248"/>
      <c r="R693" s="248"/>
      <c r="S693" s="248"/>
      <c r="T693" s="248"/>
      <c r="U693" s="248"/>
      <c r="V693" s="248"/>
      <c r="W693" s="248"/>
      <c r="X693" s="248"/>
      <c r="Y693" s="248"/>
      <c r="Z693" s="248"/>
      <c r="AA693" s="248"/>
      <c r="AB693" s="248"/>
    </row>
    <row r="694" spans="1:28" ht="13.8">
      <c r="A694" s="248"/>
      <c r="B694" s="248"/>
      <c r="C694" s="331"/>
      <c r="D694" s="248"/>
      <c r="E694" s="248"/>
      <c r="F694" s="248"/>
      <c r="G694" s="248"/>
      <c r="H694" s="248"/>
      <c r="I694" s="248"/>
      <c r="J694" s="248"/>
      <c r="K694" s="248"/>
      <c r="L694" s="248"/>
      <c r="M694" s="248"/>
      <c r="N694" s="248"/>
      <c r="O694" s="248"/>
      <c r="P694" s="248"/>
      <c r="Q694" s="248"/>
      <c r="R694" s="248"/>
      <c r="S694" s="248"/>
      <c r="T694" s="248"/>
      <c r="U694" s="248"/>
      <c r="V694" s="248"/>
      <c r="W694" s="248"/>
      <c r="X694" s="248"/>
      <c r="Y694" s="248"/>
      <c r="Z694" s="248"/>
      <c r="AA694" s="248"/>
      <c r="AB694" s="248"/>
    </row>
    <row r="695" spans="1:28" ht="13.8">
      <c r="A695" s="248"/>
      <c r="B695" s="248"/>
      <c r="C695" s="331"/>
      <c r="D695" s="248"/>
      <c r="E695" s="248"/>
      <c r="F695" s="248"/>
      <c r="G695" s="248"/>
      <c r="H695" s="248"/>
      <c r="I695" s="248"/>
      <c r="J695" s="248"/>
      <c r="K695" s="248"/>
      <c r="L695" s="248"/>
      <c r="M695" s="248"/>
      <c r="N695" s="248"/>
      <c r="O695" s="248"/>
      <c r="P695" s="248"/>
      <c r="Q695" s="248"/>
      <c r="R695" s="248"/>
      <c r="S695" s="248"/>
      <c r="T695" s="248"/>
      <c r="U695" s="248"/>
      <c r="V695" s="248"/>
      <c r="W695" s="248"/>
      <c r="X695" s="248"/>
      <c r="Y695" s="248"/>
      <c r="Z695" s="248"/>
      <c r="AA695" s="248"/>
      <c r="AB695" s="248"/>
    </row>
    <row r="696" spans="1:28" ht="13.8">
      <c r="A696" s="248"/>
      <c r="B696" s="248"/>
      <c r="C696" s="331"/>
      <c r="D696" s="248"/>
      <c r="E696" s="248"/>
      <c r="F696" s="248"/>
      <c r="G696" s="248"/>
      <c r="H696" s="248"/>
      <c r="I696" s="248"/>
      <c r="J696" s="248"/>
      <c r="K696" s="248"/>
      <c r="L696" s="248"/>
      <c r="M696" s="248"/>
      <c r="N696" s="248"/>
      <c r="O696" s="248"/>
      <c r="P696" s="248"/>
      <c r="Q696" s="248"/>
      <c r="R696" s="248"/>
      <c r="S696" s="248"/>
      <c r="T696" s="248"/>
      <c r="U696" s="248"/>
      <c r="V696" s="248"/>
      <c r="W696" s="248"/>
      <c r="X696" s="248"/>
      <c r="Y696" s="248"/>
      <c r="Z696" s="248"/>
      <c r="AA696" s="248"/>
      <c r="AB696" s="248"/>
    </row>
    <row r="697" spans="1:28" ht="13.8">
      <c r="A697" s="248"/>
      <c r="B697" s="248"/>
      <c r="C697" s="331"/>
      <c r="D697" s="248"/>
      <c r="E697" s="248"/>
      <c r="F697" s="248"/>
      <c r="G697" s="248"/>
      <c r="H697" s="248"/>
      <c r="I697" s="248"/>
      <c r="J697" s="248"/>
      <c r="K697" s="248"/>
      <c r="L697" s="248"/>
      <c r="M697" s="248"/>
      <c r="N697" s="248"/>
      <c r="O697" s="248"/>
      <c r="P697" s="248"/>
      <c r="Q697" s="248"/>
      <c r="R697" s="248"/>
      <c r="S697" s="248"/>
      <c r="T697" s="248"/>
      <c r="U697" s="248"/>
      <c r="V697" s="248"/>
      <c r="W697" s="248"/>
      <c r="X697" s="248"/>
      <c r="Y697" s="248"/>
      <c r="Z697" s="248"/>
      <c r="AA697" s="248"/>
      <c r="AB697" s="248"/>
    </row>
    <row r="698" spans="1:28" ht="13.8">
      <c r="A698" s="248"/>
      <c r="B698" s="248"/>
      <c r="C698" s="331"/>
      <c r="D698" s="248"/>
      <c r="E698" s="248"/>
      <c r="F698" s="248"/>
      <c r="G698" s="248"/>
      <c r="H698" s="248"/>
      <c r="I698" s="248"/>
      <c r="J698" s="248"/>
      <c r="K698" s="248"/>
      <c r="L698" s="248"/>
      <c r="M698" s="248"/>
      <c r="N698" s="248"/>
      <c r="O698" s="248"/>
      <c r="P698" s="248"/>
      <c r="Q698" s="248"/>
      <c r="R698" s="248"/>
      <c r="S698" s="248"/>
      <c r="T698" s="248"/>
      <c r="U698" s="248"/>
      <c r="V698" s="248"/>
      <c r="W698" s="248"/>
      <c r="X698" s="248"/>
      <c r="Y698" s="248"/>
      <c r="Z698" s="248"/>
      <c r="AA698" s="248"/>
      <c r="AB698" s="248"/>
    </row>
    <row r="699" spans="1:28" ht="13.8">
      <c r="A699" s="248"/>
      <c r="B699" s="248"/>
      <c r="C699" s="331"/>
      <c r="D699" s="248"/>
      <c r="E699" s="248"/>
      <c r="F699" s="248"/>
      <c r="G699" s="248"/>
      <c r="H699" s="248"/>
      <c r="I699" s="248"/>
      <c r="J699" s="248"/>
      <c r="K699" s="248"/>
      <c r="L699" s="248"/>
      <c r="M699" s="248"/>
      <c r="N699" s="248"/>
      <c r="O699" s="248"/>
      <c r="P699" s="248"/>
      <c r="Q699" s="248"/>
      <c r="R699" s="248"/>
      <c r="S699" s="248"/>
      <c r="T699" s="248"/>
      <c r="U699" s="248"/>
      <c r="V699" s="248"/>
      <c r="W699" s="248"/>
      <c r="X699" s="248"/>
      <c r="Y699" s="248"/>
      <c r="Z699" s="248"/>
      <c r="AA699" s="248"/>
      <c r="AB699" s="248"/>
    </row>
    <row r="700" spans="1:28" ht="13.8">
      <c r="A700" s="248"/>
      <c r="B700" s="248"/>
      <c r="C700" s="331"/>
      <c r="D700" s="248"/>
      <c r="E700" s="248"/>
      <c r="F700" s="248"/>
      <c r="G700" s="248"/>
      <c r="H700" s="248"/>
      <c r="I700" s="248"/>
      <c r="J700" s="248"/>
      <c r="K700" s="248"/>
      <c r="L700" s="248"/>
      <c r="M700" s="248"/>
      <c r="N700" s="248"/>
      <c r="O700" s="248"/>
      <c r="P700" s="248"/>
      <c r="Q700" s="248"/>
      <c r="R700" s="248"/>
      <c r="S700" s="248"/>
      <c r="T700" s="248"/>
      <c r="U700" s="248"/>
      <c r="V700" s="248"/>
      <c r="W700" s="248"/>
      <c r="X700" s="248"/>
      <c r="Y700" s="248"/>
      <c r="Z700" s="248"/>
      <c r="AA700" s="248"/>
      <c r="AB700" s="248"/>
    </row>
    <row r="701" spans="1:28" ht="13.8">
      <c r="A701" s="248"/>
      <c r="B701" s="248"/>
      <c r="C701" s="331"/>
      <c r="D701" s="248"/>
      <c r="E701" s="248"/>
      <c r="F701" s="248"/>
      <c r="G701" s="248"/>
      <c r="H701" s="248"/>
      <c r="I701" s="248"/>
      <c r="J701" s="248"/>
      <c r="K701" s="248"/>
      <c r="L701" s="248"/>
      <c r="M701" s="248"/>
      <c r="N701" s="248"/>
      <c r="O701" s="248"/>
      <c r="P701" s="248"/>
      <c r="Q701" s="248"/>
      <c r="R701" s="248"/>
      <c r="S701" s="248"/>
      <c r="T701" s="248"/>
      <c r="U701" s="248"/>
      <c r="V701" s="248"/>
      <c r="W701" s="248"/>
      <c r="X701" s="248"/>
      <c r="Y701" s="248"/>
      <c r="Z701" s="248"/>
      <c r="AA701" s="248"/>
      <c r="AB701" s="248"/>
    </row>
    <row r="702" spans="1:28" ht="13.8">
      <c r="A702" s="248"/>
      <c r="B702" s="248"/>
      <c r="C702" s="331"/>
      <c r="D702" s="248"/>
      <c r="E702" s="248"/>
      <c r="F702" s="248"/>
      <c r="G702" s="248"/>
      <c r="H702" s="248"/>
      <c r="I702" s="248"/>
      <c r="J702" s="248"/>
      <c r="K702" s="248"/>
      <c r="L702" s="248"/>
      <c r="M702" s="248"/>
      <c r="N702" s="248"/>
      <c r="O702" s="248"/>
      <c r="P702" s="248"/>
      <c r="Q702" s="248"/>
      <c r="R702" s="248"/>
      <c r="S702" s="248"/>
      <c r="T702" s="248"/>
      <c r="U702" s="248"/>
      <c r="V702" s="248"/>
      <c r="W702" s="248"/>
      <c r="X702" s="248"/>
      <c r="Y702" s="248"/>
      <c r="Z702" s="248"/>
      <c r="AA702" s="248"/>
      <c r="AB702" s="248"/>
    </row>
    <row r="703" spans="1:28" ht="13.8">
      <c r="A703" s="248"/>
      <c r="B703" s="248"/>
      <c r="C703" s="331"/>
      <c r="D703" s="248"/>
      <c r="E703" s="248"/>
      <c r="F703" s="248"/>
      <c r="G703" s="248"/>
      <c r="H703" s="248"/>
      <c r="I703" s="248"/>
      <c r="J703" s="248"/>
      <c r="K703" s="248"/>
      <c r="L703" s="248"/>
      <c r="M703" s="248"/>
      <c r="N703" s="248"/>
      <c r="O703" s="248"/>
      <c r="P703" s="248"/>
      <c r="Q703" s="248"/>
      <c r="R703" s="248"/>
      <c r="S703" s="248"/>
      <c r="T703" s="248"/>
      <c r="U703" s="248"/>
      <c r="V703" s="248"/>
      <c r="W703" s="248"/>
      <c r="X703" s="248"/>
      <c r="Y703" s="248"/>
      <c r="Z703" s="248"/>
      <c r="AA703" s="248"/>
      <c r="AB703" s="248"/>
    </row>
    <row r="704" spans="1:28" ht="13.8">
      <c r="A704" s="248"/>
      <c r="B704" s="248"/>
      <c r="C704" s="331"/>
      <c r="D704" s="248"/>
      <c r="E704" s="248"/>
      <c r="F704" s="248"/>
      <c r="G704" s="248"/>
      <c r="H704" s="248"/>
      <c r="I704" s="248"/>
      <c r="J704" s="248"/>
      <c r="K704" s="248"/>
      <c r="L704" s="248"/>
      <c r="M704" s="248"/>
      <c r="N704" s="248"/>
      <c r="O704" s="248"/>
      <c r="P704" s="248"/>
      <c r="Q704" s="248"/>
      <c r="R704" s="248"/>
      <c r="S704" s="248"/>
      <c r="T704" s="248"/>
      <c r="U704" s="248"/>
      <c r="V704" s="248"/>
      <c r="W704" s="248"/>
      <c r="X704" s="248"/>
      <c r="Y704" s="248"/>
      <c r="Z704" s="248"/>
      <c r="AA704" s="248"/>
      <c r="AB704" s="248"/>
    </row>
    <row r="705" spans="1:28" ht="13.8">
      <c r="A705" s="248"/>
      <c r="B705" s="248"/>
      <c r="C705" s="331"/>
      <c r="D705" s="248"/>
      <c r="E705" s="248"/>
      <c r="F705" s="248"/>
      <c r="G705" s="248"/>
      <c r="H705" s="248"/>
      <c r="I705" s="248"/>
      <c r="J705" s="248"/>
      <c r="K705" s="248"/>
      <c r="L705" s="248"/>
      <c r="M705" s="248"/>
      <c r="N705" s="248"/>
      <c r="O705" s="248"/>
      <c r="P705" s="248"/>
      <c r="Q705" s="248"/>
      <c r="R705" s="248"/>
      <c r="S705" s="248"/>
      <c r="T705" s="248"/>
      <c r="U705" s="248"/>
      <c r="V705" s="248"/>
      <c r="W705" s="248"/>
      <c r="X705" s="248"/>
      <c r="Y705" s="248"/>
      <c r="Z705" s="248"/>
      <c r="AA705" s="248"/>
      <c r="AB705" s="248"/>
    </row>
    <row r="706" spans="1:28" ht="13.8">
      <c r="A706" s="248"/>
      <c r="B706" s="248"/>
      <c r="C706" s="331"/>
      <c r="D706" s="248"/>
      <c r="E706" s="248"/>
      <c r="F706" s="248"/>
      <c r="G706" s="248"/>
      <c r="H706" s="248"/>
      <c r="I706" s="248"/>
      <c r="J706" s="248"/>
      <c r="K706" s="248"/>
      <c r="L706" s="248"/>
      <c r="M706" s="248"/>
      <c r="N706" s="248"/>
      <c r="O706" s="248"/>
      <c r="P706" s="248"/>
      <c r="Q706" s="248"/>
      <c r="R706" s="248"/>
      <c r="S706" s="248"/>
      <c r="T706" s="248"/>
      <c r="U706" s="248"/>
      <c r="V706" s="248"/>
      <c r="W706" s="248"/>
      <c r="X706" s="248"/>
      <c r="Y706" s="248"/>
      <c r="Z706" s="248"/>
      <c r="AA706" s="248"/>
      <c r="AB706" s="248"/>
    </row>
    <row r="707" spans="1:28" ht="13.8">
      <c r="A707" s="248"/>
      <c r="B707" s="248"/>
      <c r="C707" s="331"/>
      <c r="D707" s="248"/>
      <c r="E707" s="248"/>
      <c r="F707" s="248"/>
      <c r="G707" s="248"/>
      <c r="H707" s="248"/>
      <c r="I707" s="248"/>
      <c r="J707" s="248"/>
      <c r="K707" s="248"/>
      <c r="L707" s="248"/>
      <c r="M707" s="248"/>
      <c r="N707" s="248"/>
      <c r="O707" s="248"/>
      <c r="P707" s="248"/>
      <c r="Q707" s="248"/>
      <c r="R707" s="248"/>
      <c r="S707" s="248"/>
      <c r="T707" s="248"/>
      <c r="U707" s="248"/>
      <c r="V707" s="248"/>
      <c r="W707" s="248"/>
      <c r="X707" s="248"/>
      <c r="Y707" s="248"/>
      <c r="Z707" s="248"/>
      <c r="AA707" s="248"/>
      <c r="AB707" s="248"/>
    </row>
    <row r="708" spans="1:28" ht="13.8">
      <c r="A708" s="248"/>
      <c r="B708" s="248"/>
      <c r="C708" s="331"/>
      <c r="D708" s="248"/>
      <c r="E708" s="248"/>
      <c r="F708" s="248"/>
      <c r="G708" s="248"/>
      <c r="H708" s="248"/>
      <c r="I708" s="248"/>
      <c r="J708" s="248"/>
      <c r="K708" s="248"/>
      <c r="L708" s="248"/>
      <c r="M708" s="248"/>
      <c r="N708" s="248"/>
      <c r="O708" s="248"/>
      <c r="P708" s="248"/>
      <c r="Q708" s="248"/>
      <c r="R708" s="248"/>
      <c r="S708" s="248"/>
      <c r="T708" s="248"/>
      <c r="U708" s="248"/>
      <c r="V708" s="248"/>
      <c r="W708" s="248"/>
      <c r="X708" s="248"/>
      <c r="Y708" s="248"/>
      <c r="Z708" s="248"/>
      <c r="AA708" s="248"/>
      <c r="AB708" s="248"/>
    </row>
    <row r="709" spans="1:28" ht="13.8">
      <c r="A709" s="248"/>
      <c r="B709" s="248"/>
      <c r="C709" s="331"/>
      <c r="D709" s="248"/>
      <c r="E709" s="248"/>
      <c r="F709" s="248"/>
      <c r="G709" s="248"/>
      <c r="H709" s="248"/>
      <c r="I709" s="248"/>
      <c r="J709" s="248"/>
      <c r="K709" s="248"/>
      <c r="L709" s="248"/>
      <c r="M709" s="248"/>
      <c r="N709" s="248"/>
      <c r="O709" s="248"/>
      <c r="P709" s="248"/>
      <c r="Q709" s="248"/>
      <c r="R709" s="248"/>
      <c r="S709" s="248"/>
      <c r="T709" s="248"/>
      <c r="U709" s="248"/>
      <c r="V709" s="248"/>
      <c r="W709" s="248"/>
      <c r="X709" s="248"/>
      <c r="Y709" s="248"/>
      <c r="Z709" s="248"/>
      <c r="AA709" s="248"/>
      <c r="AB709" s="248"/>
    </row>
    <row r="710" spans="1:28" ht="13.8">
      <c r="A710" s="248"/>
      <c r="B710" s="248"/>
      <c r="C710" s="331"/>
      <c r="D710" s="248"/>
      <c r="E710" s="248"/>
      <c r="F710" s="248"/>
      <c r="G710" s="248"/>
      <c r="H710" s="248"/>
      <c r="I710" s="248"/>
      <c r="J710" s="248"/>
      <c r="K710" s="248"/>
      <c r="L710" s="248"/>
      <c r="M710" s="248"/>
      <c r="N710" s="248"/>
      <c r="O710" s="248"/>
      <c r="P710" s="248"/>
      <c r="Q710" s="248"/>
      <c r="R710" s="248"/>
      <c r="S710" s="248"/>
      <c r="T710" s="248"/>
      <c r="U710" s="248"/>
      <c r="V710" s="248"/>
      <c r="W710" s="248"/>
      <c r="X710" s="248"/>
      <c r="Y710" s="248"/>
      <c r="Z710" s="248"/>
      <c r="AA710" s="248"/>
      <c r="AB710" s="248"/>
    </row>
    <row r="711" spans="1:28" ht="13.8">
      <c r="A711" s="248"/>
      <c r="B711" s="248"/>
      <c r="C711" s="331"/>
      <c r="D711" s="248"/>
      <c r="E711" s="248"/>
      <c r="F711" s="248"/>
      <c r="G711" s="248"/>
      <c r="H711" s="248"/>
      <c r="I711" s="248"/>
      <c r="J711" s="248"/>
      <c r="K711" s="248"/>
      <c r="L711" s="248"/>
      <c r="M711" s="248"/>
      <c r="N711" s="248"/>
      <c r="O711" s="248"/>
      <c r="P711" s="248"/>
      <c r="Q711" s="248"/>
      <c r="R711" s="248"/>
      <c r="S711" s="248"/>
      <c r="T711" s="248"/>
      <c r="U711" s="248"/>
      <c r="V711" s="248"/>
      <c r="W711" s="248"/>
      <c r="X711" s="248"/>
      <c r="Y711" s="248"/>
      <c r="Z711" s="248"/>
      <c r="AA711" s="248"/>
      <c r="AB711" s="248"/>
    </row>
    <row r="712" spans="1:28" ht="13.8">
      <c r="A712" s="248"/>
      <c r="B712" s="248"/>
      <c r="C712" s="331"/>
      <c r="D712" s="248"/>
      <c r="E712" s="248"/>
      <c r="F712" s="248"/>
      <c r="G712" s="248"/>
      <c r="H712" s="248"/>
      <c r="I712" s="248"/>
      <c r="J712" s="248"/>
      <c r="K712" s="248"/>
      <c r="L712" s="248"/>
      <c r="M712" s="248"/>
      <c r="N712" s="248"/>
      <c r="O712" s="248"/>
      <c r="P712" s="248"/>
      <c r="Q712" s="248"/>
      <c r="R712" s="248"/>
      <c r="S712" s="248"/>
      <c r="T712" s="248"/>
      <c r="U712" s="248"/>
      <c r="V712" s="248"/>
      <c r="W712" s="248"/>
      <c r="X712" s="248"/>
      <c r="Y712" s="248"/>
      <c r="Z712" s="248"/>
      <c r="AA712" s="248"/>
      <c r="AB712" s="248"/>
    </row>
    <row r="713" spans="1:28" ht="13.8">
      <c r="A713" s="248"/>
      <c r="B713" s="248"/>
      <c r="C713" s="331"/>
      <c r="D713" s="248"/>
      <c r="E713" s="248"/>
      <c r="F713" s="248"/>
      <c r="G713" s="248"/>
      <c r="H713" s="248"/>
      <c r="I713" s="248"/>
      <c r="J713" s="248"/>
      <c r="K713" s="248"/>
      <c r="L713" s="248"/>
      <c r="M713" s="248"/>
      <c r="N713" s="248"/>
      <c r="O713" s="248"/>
      <c r="P713" s="248"/>
      <c r="Q713" s="248"/>
      <c r="R713" s="248"/>
      <c r="S713" s="248"/>
      <c r="T713" s="248"/>
      <c r="U713" s="248"/>
      <c r="V713" s="248"/>
      <c r="W713" s="248"/>
      <c r="X713" s="248"/>
      <c r="Y713" s="248"/>
      <c r="Z713" s="248"/>
      <c r="AA713" s="248"/>
      <c r="AB713" s="248"/>
    </row>
    <row r="714" spans="1:28" ht="13.8">
      <c r="A714" s="248"/>
      <c r="B714" s="248"/>
      <c r="C714" s="331"/>
      <c r="D714" s="248"/>
      <c r="E714" s="248"/>
      <c r="F714" s="248"/>
      <c r="G714" s="248"/>
      <c r="H714" s="248"/>
      <c r="I714" s="248"/>
      <c r="J714" s="248"/>
      <c r="K714" s="248"/>
      <c r="L714" s="248"/>
      <c r="M714" s="248"/>
      <c r="N714" s="248"/>
      <c r="O714" s="248"/>
      <c r="P714" s="248"/>
      <c r="Q714" s="248"/>
      <c r="R714" s="248"/>
      <c r="S714" s="248"/>
      <c r="T714" s="248"/>
      <c r="U714" s="248"/>
      <c r="V714" s="248"/>
      <c r="W714" s="248"/>
      <c r="X714" s="248"/>
      <c r="Y714" s="248"/>
      <c r="Z714" s="248"/>
      <c r="AA714" s="248"/>
      <c r="AB714" s="248"/>
    </row>
    <row r="715" spans="1:28" ht="13.8">
      <c r="A715" s="248"/>
      <c r="B715" s="248"/>
      <c r="C715" s="331"/>
      <c r="D715" s="248"/>
      <c r="E715" s="248"/>
      <c r="F715" s="248"/>
      <c r="G715" s="248"/>
      <c r="H715" s="248"/>
      <c r="I715" s="248"/>
      <c r="J715" s="248"/>
      <c r="K715" s="248"/>
      <c r="L715" s="248"/>
      <c r="M715" s="248"/>
      <c r="N715" s="248"/>
      <c r="O715" s="248"/>
      <c r="P715" s="248"/>
      <c r="Q715" s="248"/>
      <c r="R715" s="248"/>
      <c r="S715" s="248"/>
      <c r="T715" s="248"/>
      <c r="U715" s="248"/>
      <c r="V715" s="248"/>
      <c r="W715" s="248"/>
      <c r="X715" s="248"/>
      <c r="Y715" s="248"/>
      <c r="Z715" s="248"/>
      <c r="AA715" s="248"/>
      <c r="AB715" s="248"/>
    </row>
    <row r="716" spans="1:28" ht="13.8">
      <c r="A716" s="248"/>
      <c r="B716" s="248"/>
      <c r="C716" s="331"/>
      <c r="D716" s="248"/>
      <c r="E716" s="248"/>
      <c r="F716" s="248"/>
      <c r="G716" s="248"/>
      <c r="H716" s="248"/>
      <c r="I716" s="248"/>
      <c r="J716" s="248"/>
      <c r="K716" s="248"/>
      <c r="L716" s="248"/>
      <c r="M716" s="248"/>
      <c r="N716" s="248"/>
      <c r="O716" s="248"/>
      <c r="P716" s="248"/>
      <c r="Q716" s="248"/>
      <c r="R716" s="248"/>
      <c r="S716" s="248"/>
      <c r="T716" s="248"/>
      <c r="U716" s="248"/>
      <c r="V716" s="248"/>
      <c r="W716" s="248"/>
      <c r="X716" s="248"/>
      <c r="Y716" s="248"/>
      <c r="Z716" s="248"/>
      <c r="AA716" s="248"/>
      <c r="AB716" s="248"/>
    </row>
    <row r="717" spans="1:28" ht="13.8">
      <c r="A717" s="248"/>
      <c r="B717" s="248"/>
      <c r="C717" s="331"/>
      <c r="D717" s="248"/>
      <c r="E717" s="248"/>
      <c r="F717" s="248"/>
      <c r="G717" s="248"/>
      <c r="H717" s="248"/>
      <c r="I717" s="248"/>
      <c r="J717" s="248"/>
      <c r="K717" s="248"/>
      <c r="L717" s="248"/>
      <c r="M717" s="248"/>
      <c r="N717" s="248"/>
      <c r="O717" s="248"/>
      <c r="P717" s="248"/>
      <c r="Q717" s="248"/>
      <c r="R717" s="248"/>
      <c r="S717" s="248"/>
      <c r="T717" s="248"/>
      <c r="U717" s="248"/>
      <c r="V717" s="248"/>
      <c r="W717" s="248"/>
      <c r="X717" s="248"/>
      <c r="Y717" s="248"/>
      <c r="Z717" s="248"/>
      <c r="AA717" s="248"/>
      <c r="AB717" s="248"/>
    </row>
    <row r="718" spans="1:28" ht="13.8">
      <c r="A718" s="248"/>
      <c r="B718" s="248"/>
      <c r="C718" s="331"/>
      <c r="D718" s="248"/>
      <c r="E718" s="248"/>
      <c r="F718" s="248"/>
      <c r="G718" s="248"/>
      <c r="H718" s="248"/>
      <c r="I718" s="248"/>
      <c r="J718" s="248"/>
      <c r="K718" s="248"/>
      <c r="L718" s="248"/>
      <c r="M718" s="248"/>
      <c r="N718" s="248"/>
      <c r="O718" s="248"/>
      <c r="P718" s="248"/>
      <c r="Q718" s="248"/>
      <c r="R718" s="248"/>
      <c r="S718" s="248"/>
      <c r="T718" s="248"/>
      <c r="U718" s="248"/>
      <c r="V718" s="248"/>
      <c r="W718" s="248"/>
      <c r="X718" s="248"/>
      <c r="Y718" s="248"/>
      <c r="Z718" s="248"/>
      <c r="AA718" s="248"/>
      <c r="AB718" s="248"/>
    </row>
    <row r="719" spans="1:28" ht="13.8">
      <c r="A719" s="248"/>
      <c r="B719" s="248"/>
      <c r="C719" s="331"/>
      <c r="D719" s="248"/>
      <c r="E719" s="248"/>
      <c r="F719" s="248"/>
      <c r="G719" s="248"/>
      <c r="H719" s="248"/>
      <c r="I719" s="248"/>
      <c r="J719" s="248"/>
      <c r="K719" s="248"/>
      <c r="L719" s="248"/>
      <c r="M719" s="248"/>
      <c r="N719" s="248"/>
      <c r="O719" s="248"/>
      <c r="P719" s="248"/>
      <c r="Q719" s="248"/>
      <c r="R719" s="248"/>
      <c r="S719" s="248"/>
      <c r="T719" s="248"/>
      <c r="U719" s="248"/>
      <c r="V719" s="248"/>
      <c r="W719" s="248"/>
      <c r="X719" s="248"/>
      <c r="Y719" s="248"/>
      <c r="Z719" s="248"/>
      <c r="AA719" s="248"/>
      <c r="AB719" s="248"/>
    </row>
    <row r="720" spans="1:28" ht="13.8">
      <c r="A720" s="248"/>
      <c r="B720" s="248"/>
      <c r="C720" s="331"/>
      <c r="D720" s="248"/>
      <c r="E720" s="248"/>
      <c r="F720" s="248"/>
      <c r="G720" s="248"/>
      <c r="H720" s="248"/>
      <c r="I720" s="248"/>
      <c r="J720" s="248"/>
      <c r="K720" s="248"/>
      <c r="L720" s="248"/>
      <c r="M720" s="248"/>
      <c r="N720" s="248"/>
      <c r="O720" s="248"/>
      <c r="P720" s="248"/>
      <c r="Q720" s="248"/>
      <c r="R720" s="248"/>
      <c r="S720" s="248"/>
      <c r="T720" s="248"/>
      <c r="U720" s="248"/>
      <c r="V720" s="248"/>
      <c r="W720" s="248"/>
      <c r="X720" s="248"/>
      <c r="Y720" s="248"/>
      <c r="Z720" s="248"/>
      <c r="AA720" s="248"/>
      <c r="AB720" s="248"/>
    </row>
    <row r="721" spans="1:28" ht="13.8">
      <c r="A721" s="248"/>
      <c r="B721" s="248"/>
      <c r="C721" s="331"/>
      <c r="D721" s="248"/>
      <c r="E721" s="248"/>
      <c r="F721" s="248"/>
      <c r="G721" s="248"/>
      <c r="H721" s="248"/>
      <c r="I721" s="248"/>
      <c r="J721" s="248"/>
      <c r="K721" s="248"/>
      <c r="L721" s="248"/>
      <c r="M721" s="248"/>
      <c r="N721" s="248"/>
      <c r="O721" s="248"/>
      <c r="P721" s="248"/>
      <c r="Q721" s="248"/>
      <c r="R721" s="248"/>
      <c r="S721" s="248"/>
      <c r="T721" s="248"/>
      <c r="U721" s="248"/>
      <c r="V721" s="248"/>
      <c r="W721" s="248"/>
      <c r="X721" s="248"/>
      <c r="Y721" s="248"/>
      <c r="Z721" s="248"/>
      <c r="AA721" s="248"/>
      <c r="AB721" s="248"/>
    </row>
    <row r="722" spans="1:28" ht="13.8">
      <c r="A722" s="248"/>
      <c r="B722" s="248"/>
      <c r="C722" s="331"/>
      <c r="D722" s="248"/>
      <c r="E722" s="248"/>
      <c r="F722" s="248"/>
      <c r="G722" s="248"/>
      <c r="H722" s="248"/>
      <c r="I722" s="248"/>
      <c r="J722" s="248"/>
      <c r="K722" s="248"/>
      <c r="L722" s="248"/>
      <c r="M722" s="248"/>
      <c r="N722" s="248"/>
      <c r="O722" s="248"/>
      <c r="P722" s="248"/>
      <c r="Q722" s="248"/>
      <c r="R722" s="248"/>
      <c r="S722" s="248"/>
      <c r="T722" s="248"/>
      <c r="U722" s="248"/>
      <c r="V722" s="248"/>
      <c r="W722" s="248"/>
      <c r="X722" s="248"/>
      <c r="Y722" s="248"/>
      <c r="Z722" s="248"/>
      <c r="AA722" s="248"/>
      <c r="AB722" s="248"/>
    </row>
    <row r="723" spans="1:28" ht="13.8">
      <c r="A723" s="248"/>
      <c r="B723" s="248"/>
      <c r="C723" s="331"/>
      <c r="D723" s="248"/>
      <c r="E723" s="248"/>
      <c r="F723" s="248"/>
      <c r="G723" s="248"/>
      <c r="H723" s="248"/>
      <c r="I723" s="248"/>
      <c r="J723" s="248"/>
      <c r="K723" s="248"/>
      <c r="L723" s="248"/>
      <c r="M723" s="248"/>
      <c r="N723" s="248"/>
      <c r="O723" s="248"/>
      <c r="P723" s="248"/>
      <c r="Q723" s="248"/>
      <c r="R723" s="248"/>
      <c r="S723" s="248"/>
      <c r="T723" s="248"/>
      <c r="U723" s="248"/>
      <c r="V723" s="248"/>
      <c r="W723" s="248"/>
      <c r="X723" s="248"/>
      <c r="Y723" s="248"/>
      <c r="Z723" s="248"/>
      <c r="AA723" s="248"/>
      <c r="AB723" s="248"/>
    </row>
    <row r="724" spans="1:28" ht="13.8">
      <c r="A724" s="248"/>
      <c r="B724" s="248"/>
      <c r="C724" s="331"/>
      <c r="D724" s="248"/>
      <c r="E724" s="248"/>
      <c r="F724" s="248"/>
      <c r="G724" s="248"/>
      <c r="H724" s="248"/>
      <c r="I724" s="248"/>
      <c r="J724" s="248"/>
      <c r="K724" s="248"/>
      <c r="L724" s="248"/>
      <c r="M724" s="248"/>
      <c r="N724" s="248"/>
      <c r="O724" s="248"/>
      <c r="P724" s="248"/>
      <c r="Q724" s="248"/>
      <c r="R724" s="248"/>
      <c r="S724" s="248"/>
      <c r="T724" s="248"/>
      <c r="U724" s="248"/>
      <c r="V724" s="248"/>
      <c r="W724" s="248"/>
      <c r="X724" s="248"/>
      <c r="Y724" s="248"/>
      <c r="Z724" s="248"/>
      <c r="AA724" s="248"/>
      <c r="AB724" s="248"/>
    </row>
    <row r="725" spans="1:28" ht="13.8">
      <c r="A725" s="248"/>
      <c r="B725" s="248"/>
      <c r="C725" s="331"/>
      <c r="D725" s="248"/>
      <c r="E725" s="248"/>
      <c r="F725" s="248"/>
      <c r="G725" s="248"/>
      <c r="H725" s="248"/>
      <c r="I725" s="248"/>
      <c r="J725" s="248"/>
      <c r="K725" s="248"/>
      <c r="L725" s="248"/>
      <c r="M725" s="248"/>
      <c r="N725" s="248"/>
      <c r="O725" s="248"/>
      <c r="P725" s="248"/>
      <c r="Q725" s="248"/>
      <c r="R725" s="248"/>
      <c r="S725" s="248"/>
      <c r="T725" s="248"/>
      <c r="U725" s="248"/>
      <c r="V725" s="248"/>
      <c r="W725" s="248"/>
      <c r="X725" s="248"/>
      <c r="Y725" s="248"/>
      <c r="Z725" s="248"/>
      <c r="AA725" s="248"/>
      <c r="AB725" s="248"/>
    </row>
    <row r="726" spans="1:28" ht="13.8">
      <c r="A726" s="248"/>
      <c r="B726" s="248"/>
      <c r="C726" s="331"/>
      <c r="D726" s="248"/>
      <c r="E726" s="248"/>
      <c r="F726" s="248"/>
      <c r="G726" s="248"/>
      <c r="H726" s="248"/>
      <c r="I726" s="248"/>
      <c r="J726" s="248"/>
      <c r="K726" s="248"/>
      <c r="L726" s="248"/>
      <c r="M726" s="248"/>
      <c r="N726" s="248"/>
      <c r="O726" s="248"/>
      <c r="P726" s="248"/>
      <c r="Q726" s="248"/>
      <c r="R726" s="248"/>
      <c r="S726" s="248"/>
      <c r="T726" s="248"/>
      <c r="U726" s="248"/>
      <c r="V726" s="248"/>
      <c r="W726" s="248"/>
      <c r="X726" s="248"/>
      <c r="Y726" s="248"/>
      <c r="Z726" s="248"/>
      <c r="AA726" s="248"/>
      <c r="AB726" s="248"/>
    </row>
    <row r="727" spans="1:28" ht="13.8">
      <c r="A727" s="248"/>
      <c r="B727" s="248"/>
      <c r="C727" s="331"/>
      <c r="D727" s="248"/>
      <c r="E727" s="248"/>
      <c r="F727" s="248"/>
      <c r="G727" s="248"/>
      <c r="H727" s="248"/>
      <c r="I727" s="248"/>
      <c r="J727" s="248"/>
      <c r="K727" s="248"/>
      <c r="L727" s="248"/>
      <c r="M727" s="248"/>
      <c r="N727" s="248"/>
      <c r="O727" s="248"/>
      <c r="P727" s="248"/>
      <c r="Q727" s="248"/>
      <c r="R727" s="248"/>
      <c r="S727" s="248"/>
      <c r="T727" s="248"/>
      <c r="U727" s="248"/>
      <c r="V727" s="248"/>
      <c r="W727" s="248"/>
      <c r="X727" s="248"/>
      <c r="Y727" s="248"/>
      <c r="Z727" s="248"/>
      <c r="AA727" s="248"/>
      <c r="AB727" s="248"/>
    </row>
    <row r="728" spans="1:28" ht="13.8">
      <c r="A728" s="248"/>
      <c r="B728" s="248"/>
      <c r="C728" s="331"/>
      <c r="D728" s="248"/>
      <c r="E728" s="248"/>
      <c r="F728" s="248"/>
      <c r="G728" s="248"/>
      <c r="H728" s="248"/>
      <c r="I728" s="248"/>
      <c r="J728" s="248"/>
      <c r="K728" s="248"/>
      <c r="L728" s="248"/>
      <c r="M728" s="248"/>
      <c r="N728" s="248"/>
      <c r="O728" s="248"/>
      <c r="P728" s="248"/>
      <c r="Q728" s="248"/>
      <c r="R728" s="248"/>
      <c r="S728" s="248"/>
      <c r="T728" s="248"/>
      <c r="U728" s="248"/>
      <c r="V728" s="248"/>
      <c r="W728" s="248"/>
      <c r="X728" s="248"/>
      <c r="Y728" s="248"/>
      <c r="Z728" s="248"/>
      <c r="AA728" s="248"/>
      <c r="AB728" s="248"/>
    </row>
    <row r="729" spans="1:28" ht="13.8">
      <c r="A729" s="248"/>
      <c r="B729" s="248"/>
      <c r="C729" s="331"/>
      <c r="D729" s="248"/>
      <c r="E729" s="248"/>
      <c r="F729" s="248"/>
      <c r="G729" s="248"/>
      <c r="H729" s="248"/>
      <c r="I729" s="248"/>
      <c r="J729" s="248"/>
      <c r="K729" s="248"/>
      <c r="L729" s="248"/>
      <c r="M729" s="248"/>
      <c r="N729" s="248"/>
      <c r="O729" s="248"/>
      <c r="P729" s="248"/>
      <c r="Q729" s="248"/>
      <c r="R729" s="248"/>
      <c r="S729" s="248"/>
      <c r="T729" s="248"/>
      <c r="U729" s="248"/>
      <c r="V729" s="248"/>
      <c r="W729" s="248"/>
      <c r="X729" s="248"/>
      <c r="Y729" s="248"/>
      <c r="Z729" s="248"/>
      <c r="AA729" s="248"/>
      <c r="AB729" s="248"/>
    </row>
    <row r="730" spans="1:28" ht="13.8">
      <c r="A730" s="248"/>
      <c r="B730" s="248"/>
      <c r="C730" s="331"/>
      <c r="D730" s="248"/>
      <c r="E730" s="248"/>
      <c r="F730" s="248"/>
      <c r="G730" s="248"/>
      <c r="H730" s="248"/>
      <c r="I730" s="248"/>
      <c r="J730" s="248"/>
      <c r="K730" s="248"/>
      <c r="L730" s="248"/>
      <c r="M730" s="248"/>
      <c r="N730" s="248"/>
      <c r="O730" s="248"/>
      <c r="P730" s="248"/>
      <c r="Q730" s="248"/>
      <c r="R730" s="248"/>
      <c r="S730" s="248"/>
      <c r="T730" s="248"/>
      <c r="U730" s="248"/>
      <c r="V730" s="248"/>
      <c r="W730" s="248"/>
      <c r="X730" s="248"/>
      <c r="Y730" s="248"/>
      <c r="Z730" s="248"/>
      <c r="AA730" s="248"/>
      <c r="AB730" s="248"/>
    </row>
    <row r="731" spans="1:28" ht="13.8">
      <c r="A731" s="248"/>
      <c r="B731" s="248"/>
      <c r="C731" s="331"/>
      <c r="D731" s="248"/>
      <c r="E731" s="248"/>
      <c r="F731" s="248"/>
      <c r="G731" s="248"/>
      <c r="H731" s="248"/>
      <c r="I731" s="248"/>
      <c r="J731" s="248"/>
      <c r="K731" s="248"/>
      <c r="L731" s="248"/>
      <c r="M731" s="248"/>
      <c r="N731" s="248"/>
      <c r="O731" s="248"/>
      <c r="P731" s="248"/>
      <c r="Q731" s="248"/>
      <c r="R731" s="248"/>
      <c r="S731" s="248"/>
      <c r="T731" s="248"/>
      <c r="U731" s="248"/>
      <c r="V731" s="248"/>
      <c r="W731" s="248"/>
      <c r="X731" s="248"/>
      <c r="Y731" s="248"/>
      <c r="Z731" s="248"/>
      <c r="AA731" s="248"/>
      <c r="AB731" s="248"/>
    </row>
    <row r="732" spans="1:28" ht="13.8">
      <c r="A732" s="248"/>
      <c r="B732" s="248"/>
      <c r="C732" s="331"/>
      <c r="D732" s="248"/>
      <c r="E732" s="248"/>
      <c r="F732" s="248"/>
      <c r="G732" s="248"/>
      <c r="H732" s="248"/>
      <c r="I732" s="248"/>
      <c r="J732" s="248"/>
      <c r="K732" s="248"/>
      <c r="L732" s="248"/>
      <c r="M732" s="248"/>
      <c r="N732" s="248"/>
      <c r="O732" s="248"/>
      <c r="P732" s="248"/>
      <c r="Q732" s="248"/>
      <c r="R732" s="248"/>
      <c r="S732" s="248"/>
      <c r="T732" s="248"/>
      <c r="U732" s="248"/>
      <c r="V732" s="248"/>
      <c r="W732" s="248"/>
      <c r="X732" s="248"/>
      <c r="Y732" s="248"/>
      <c r="Z732" s="248"/>
      <c r="AA732" s="248"/>
      <c r="AB732" s="248"/>
    </row>
    <row r="733" spans="1:28" ht="13.8">
      <c r="A733" s="248"/>
      <c r="B733" s="248"/>
      <c r="C733" s="331"/>
      <c r="D733" s="248"/>
      <c r="E733" s="248"/>
      <c r="F733" s="248"/>
      <c r="G733" s="248"/>
      <c r="H733" s="248"/>
      <c r="I733" s="248"/>
      <c r="J733" s="248"/>
      <c r="K733" s="248"/>
      <c r="L733" s="248"/>
      <c r="M733" s="248"/>
      <c r="N733" s="248"/>
      <c r="O733" s="248"/>
      <c r="P733" s="248"/>
      <c r="Q733" s="248"/>
      <c r="R733" s="248"/>
      <c r="S733" s="248"/>
      <c r="T733" s="248"/>
      <c r="U733" s="248"/>
      <c r="V733" s="248"/>
      <c r="W733" s="248"/>
      <c r="X733" s="248"/>
      <c r="Y733" s="248"/>
      <c r="Z733" s="248"/>
      <c r="AA733" s="248"/>
      <c r="AB733" s="248"/>
    </row>
    <row r="734" spans="1:28" ht="13.8">
      <c r="A734" s="248"/>
      <c r="B734" s="248"/>
      <c r="C734" s="331"/>
      <c r="D734" s="248"/>
      <c r="E734" s="248"/>
      <c r="F734" s="248"/>
      <c r="G734" s="248"/>
      <c r="H734" s="248"/>
      <c r="I734" s="248"/>
      <c r="J734" s="248"/>
      <c r="K734" s="248"/>
      <c r="L734" s="248"/>
      <c r="M734" s="248"/>
      <c r="N734" s="248"/>
      <c r="O734" s="248"/>
      <c r="P734" s="248"/>
      <c r="Q734" s="248"/>
      <c r="R734" s="248"/>
      <c r="S734" s="248"/>
      <c r="T734" s="248"/>
      <c r="U734" s="248"/>
      <c r="V734" s="248"/>
      <c r="W734" s="248"/>
      <c r="X734" s="248"/>
      <c r="Y734" s="248"/>
      <c r="Z734" s="248"/>
      <c r="AA734" s="248"/>
      <c r="AB734" s="248"/>
    </row>
    <row r="735" spans="1:28" ht="13.8">
      <c r="A735" s="248"/>
      <c r="B735" s="248"/>
      <c r="C735" s="331"/>
      <c r="D735" s="248"/>
      <c r="E735" s="248"/>
      <c r="F735" s="248"/>
      <c r="G735" s="248"/>
      <c r="H735" s="248"/>
      <c r="I735" s="248"/>
      <c r="J735" s="248"/>
      <c r="K735" s="248"/>
      <c r="L735" s="248"/>
      <c r="M735" s="248"/>
      <c r="N735" s="248"/>
      <c r="O735" s="248"/>
      <c r="P735" s="248"/>
      <c r="Q735" s="248"/>
      <c r="R735" s="248"/>
      <c r="S735" s="248"/>
      <c r="T735" s="248"/>
      <c r="U735" s="248"/>
      <c r="V735" s="248"/>
      <c r="W735" s="248"/>
      <c r="X735" s="248"/>
      <c r="Y735" s="248"/>
      <c r="Z735" s="248"/>
      <c r="AA735" s="248"/>
      <c r="AB735" s="248"/>
    </row>
    <row r="736" spans="1:28" ht="13.8">
      <c r="A736" s="248"/>
      <c r="B736" s="248"/>
      <c r="C736" s="331"/>
      <c r="D736" s="248"/>
      <c r="E736" s="248"/>
      <c r="F736" s="248"/>
      <c r="G736" s="248"/>
      <c r="H736" s="248"/>
      <c r="I736" s="248"/>
      <c r="J736" s="248"/>
      <c r="K736" s="248"/>
      <c r="L736" s="248"/>
      <c r="M736" s="248"/>
      <c r="N736" s="248"/>
      <c r="O736" s="248"/>
      <c r="P736" s="248"/>
      <c r="Q736" s="248"/>
      <c r="R736" s="248"/>
      <c r="S736" s="248"/>
      <c r="T736" s="248"/>
      <c r="U736" s="248"/>
      <c r="V736" s="248"/>
      <c r="W736" s="248"/>
      <c r="X736" s="248"/>
      <c r="Y736" s="248"/>
      <c r="Z736" s="248"/>
      <c r="AA736" s="248"/>
      <c r="AB736" s="248"/>
    </row>
    <row r="737" spans="1:28" ht="13.8">
      <c r="A737" s="248"/>
      <c r="B737" s="248"/>
      <c r="C737" s="331"/>
      <c r="D737" s="248"/>
      <c r="E737" s="248"/>
      <c r="F737" s="248"/>
      <c r="G737" s="248"/>
      <c r="H737" s="248"/>
      <c r="I737" s="248"/>
      <c r="J737" s="248"/>
      <c r="K737" s="248"/>
      <c r="L737" s="248"/>
      <c r="M737" s="248"/>
      <c r="N737" s="248"/>
      <c r="O737" s="248"/>
      <c r="P737" s="248"/>
      <c r="Q737" s="248"/>
      <c r="R737" s="248"/>
      <c r="S737" s="248"/>
      <c r="T737" s="248"/>
      <c r="U737" s="248"/>
      <c r="V737" s="248"/>
      <c r="W737" s="248"/>
      <c r="X737" s="248"/>
      <c r="Y737" s="248"/>
      <c r="Z737" s="248"/>
      <c r="AA737" s="248"/>
      <c r="AB737" s="248"/>
    </row>
    <row r="738" spans="1:28" ht="13.8">
      <c r="A738" s="248"/>
      <c r="B738" s="248"/>
      <c r="C738" s="331"/>
      <c r="D738" s="248"/>
      <c r="E738" s="248"/>
      <c r="F738" s="248"/>
      <c r="G738" s="248"/>
      <c r="H738" s="248"/>
      <c r="I738" s="248"/>
      <c r="J738" s="248"/>
      <c r="K738" s="248"/>
      <c r="L738" s="248"/>
      <c r="M738" s="248"/>
      <c r="N738" s="248"/>
      <c r="O738" s="248"/>
      <c r="P738" s="248"/>
      <c r="Q738" s="248"/>
      <c r="R738" s="248"/>
      <c r="S738" s="248"/>
      <c r="T738" s="248"/>
      <c r="U738" s="248"/>
      <c r="V738" s="248"/>
      <c r="W738" s="248"/>
      <c r="X738" s="248"/>
      <c r="Y738" s="248"/>
      <c r="Z738" s="248"/>
      <c r="AA738" s="248"/>
      <c r="AB738" s="248"/>
    </row>
    <row r="739" spans="1:28" ht="13.8">
      <c r="A739" s="248"/>
      <c r="B739" s="248"/>
      <c r="C739" s="331"/>
      <c r="D739" s="248"/>
      <c r="E739" s="248"/>
      <c r="F739" s="248"/>
      <c r="G739" s="248"/>
      <c r="H739" s="248"/>
      <c r="I739" s="248"/>
      <c r="J739" s="248"/>
      <c r="K739" s="248"/>
      <c r="L739" s="248"/>
      <c r="M739" s="248"/>
      <c r="N739" s="248"/>
      <c r="O739" s="248"/>
      <c r="P739" s="248"/>
      <c r="Q739" s="248"/>
      <c r="R739" s="248"/>
      <c r="S739" s="248"/>
      <c r="T739" s="248"/>
      <c r="U739" s="248"/>
      <c r="V739" s="248"/>
      <c r="W739" s="248"/>
      <c r="X739" s="248"/>
      <c r="Y739" s="248"/>
      <c r="Z739" s="248"/>
      <c r="AA739" s="248"/>
      <c r="AB739" s="248"/>
    </row>
    <row r="740" spans="1:28" ht="13.8">
      <c r="A740" s="248"/>
      <c r="B740" s="248"/>
      <c r="C740" s="331"/>
      <c r="D740" s="248"/>
      <c r="E740" s="248"/>
      <c r="F740" s="248"/>
      <c r="G740" s="248"/>
      <c r="H740" s="248"/>
      <c r="I740" s="248"/>
      <c r="J740" s="248"/>
      <c r="K740" s="248"/>
      <c r="L740" s="248"/>
      <c r="M740" s="248"/>
      <c r="N740" s="248"/>
      <c r="O740" s="248"/>
      <c r="P740" s="248"/>
      <c r="Q740" s="248"/>
      <c r="R740" s="248"/>
      <c r="S740" s="248"/>
      <c r="T740" s="248"/>
      <c r="U740" s="248"/>
      <c r="V740" s="248"/>
      <c r="W740" s="248"/>
      <c r="X740" s="248"/>
      <c r="Y740" s="248"/>
      <c r="Z740" s="248"/>
      <c r="AA740" s="248"/>
      <c r="AB740" s="248"/>
    </row>
    <row r="741" spans="1:28" ht="13.8">
      <c r="A741" s="248"/>
      <c r="B741" s="248"/>
      <c r="C741" s="331"/>
      <c r="D741" s="248"/>
      <c r="E741" s="248"/>
      <c r="F741" s="248"/>
      <c r="G741" s="248"/>
      <c r="H741" s="248"/>
      <c r="I741" s="248"/>
      <c r="J741" s="248"/>
      <c r="K741" s="248"/>
      <c r="L741" s="248"/>
      <c r="M741" s="248"/>
      <c r="N741" s="248"/>
      <c r="O741" s="248"/>
      <c r="P741" s="248"/>
      <c r="Q741" s="248"/>
      <c r="R741" s="248"/>
      <c r="S741" s="248"/>
      <c r="T741" s="248"/>
      <c r="U741" s="248"/>
      <c r="V741" s="248"/>
      <c r="W741" s="248"/>
      <c r="X741" s="248"/>
      <c r="Y741" s="248"/>
      <c r="Z741" s="248"/>
      <c r="AA741" s="248"/>
      <c r="AB741" s="248"/>
    </row>
    <row r="742" spans="1:28" ht="13.8">
      <c r="A742" s="248"/>
      <c r="B742" s="248"/>
      <c r="C742" s="331"/>
      <c r="D742" s="248"/>
      <c r="E742" s="248"/>
      <c r="F742" s="248"/>
      <c r="G742" s="248"/>
      <c r="H742" s="248"/>
      <c r="I742" s="248"/>
      <c r="J742" s="248"/>
      <c r="K742" s="248"/>
      <c r="L742" s="248"/>
      <c r="M742" s="248"/>
      <c r="N742" s="248"/>
      <c r="O742" s="248"/>
      <c r="P742" s="248"/>
      <c r="Q742" s="248"/>
      <c r="R742" s="248"/>
      <c r="S742" s="248"/>
      <c r="T742" s="248"/>
      <c r="U742" s="248"/>
      <c r="V742" s="248"/>
      <c r="W742" s="248"/>
      <c r="X742" s="248"/>
      <c r="Y742" s="248"/>
      <c r="Z742" s="248"/>
      <c r="AA742" s="248"/>
      <c r="AB742" s="248"/>
    </row>
    <row r="743" spans="1:28" ht="13.8">
      <c r="A743" s="248"/>
      <c r="B743" s="248"/>
      <c r="C743" s="331"/>
      <c r="D743" s="248"/>
      <c r="E743" s="248"/>
      <c r="F743" s="248"/>
      <c r="G743" s="248"/>
      <c r="H743" s="248"/>
      <c r="I743" s="248"/>
      <c r="J743" s="248"/>
      <c r="K743" s="248"/>
      <c r="L743" s="248"/>
      <c r="M743" s="248"/>
      <c r="N743" s="248"/>
      <c r="O743" s="248"/>
      <c r="P743" s="248"/>
      <c r="Q743" s="248"/>
      <c r="R743" s="248"/>
      <c r="S743" s="248"/>
      <c r="T743" s="248"/>
      <c r="U743" s="248"/>
      <c r="V743" s="248"/>
      <c r="W743" s="248"/>
      <c r="X743" s="248"/>
      <c r="Y743" s="248"/>
      <c r="Z743" s="248"/>
      <c r="AA743" s="248"/>
      <c r="AB743" s="248"/>
    </row>
    <row r="744" spans="1:28" ht="13.8">
      <c r="A744" s="248"/>
      <c r="B744" s="248"/>
      <c r="C744" s="331"/>
      <c r="D744" s="248"/>
      <c r="E744" s="248"/>
      <c r="F744" s="248"/>
      <c r="G744" s="248"/>
      <c r="H744" s="248"/>
      <c r="I744" s="248"/>
      <c r="J744" s="248"/>
      <c r="K744" s="248"/>
      <c r="L744" s="248"/>
      <c r="M744" s="248"/>
      <c r="N744" s="248"/>
      <c r="O744" s="248"/>
      <c r="P744" s="248"/>
      <c r="Q744" s="248"/>
      <c r="R744" s="248"/>
      <c r="S744" s="248"/>
      <c r="T744" s="248"/>
      <c r="U744" s="248"/>
      <c r="V744" s="248"/>
      <c r="W744" s="248"/>
      <c r="X744" s="248"/>
      <c r="Y744" s="248"/>
      <c r="Z744" s="248"/>
      <c r="AA744" s="248"/>
      <c r="AB744" s="248"/>
    </row>
    <row r="745" spans="1:28" ht="13.8">
      <c r="A745" s="248"/>
      <c r="B745" s="248"/>
      <c r="C745" s="331"/>
      <c r="D745" s="248"/>
      <c r="E745" s="248"/>
      <c r="F745" s="248"/>
      <c r="G745" s="248"/>
      <c r="H745" s="248"/>
      <c r="I745" s="248"/>
      <c r="J745" s="248"/>
      <c r="K745" s="248"/>
      <c r="L745" s="248"/>
      <c r="M745" s="248"/>
      <c r="N745" s="248"/>
      <c r="O745" s="248"/>
      <c r="P745" s="248"/>
      <c r="Q745" s="248"/>
      <c r="R745" s="248"/>
      <c r="S745" s="248"/>
      <c r="T745" s="248"/>
      <c r="U745" s="248"/>
      <c r="V745" s="248"/>
      <c r="W745" s="248"/>
      <c r="X745" s="248"/>
      <c r="Y745" s="248"/>
      <c r="Z745" s="248"/>
      <c r="AA745" s="248"/>
      <c r="AB745" s="248"/>
    </row>
    <row r="746" spans="1:28" ht="13.8">
      <c r="A746" s="248"/>
      <c r="B746" s="248"/>
      <c r="C746" s="331"/>
      <c r="D746" s="248"/>
      <c r="E746" s="248"/>
      <c r="F746" s="248"/>
      <c r="G746" s="248"/>
      <c r="H746" s="248"/>
      <c r="I746" s="248"/>
      <c r="J746" s="248"/>
      <c r="K746" s="248"/>
      <c r="L746" s="248"/>
      <c r="M746" s="248"/>
      <c r="N746" s="248"/>
      <c r="O746" s="248"/>
      <c r="P746" s="248"/>
      <c r="Q746" s="248"/>
      <c r="R746" s="248"/>
      <c r="S746" s="248"/>
      <c r="T746" s="248"/>
      <c r="U746" s="248"/>
      <c r="V746" s="248"/>
      <c r="W746" s="248"/>
      <c r="X746" s="248"/>
      <c r="Y746" s="248"/>
      <c r="Z746" s="248"/>
      <c r="AA746" s="248"/>
      <c r="AB746" s="248"/>
    </row>
    <row r="747" spans="1:28" ht="13.8">
      <c r="A747" s="248"/>
      <c r="B747" s="248"/>
      <c r="C747" s="331"/>
      <c r="D747" s="248"/>
      <c r="E747" s="248"/>
      <c r="F747" s="248"/>
      <c r="G747" s="248"/>
      <c r="H747" s="248"/>
      <c r="I747" s="248"/>
      <c r="J747" s="248"/>
      <c r="K747" s="248"/>
      <c r="L747" s="248"/>
      <c r="M747" s="248"/>
      <c r="N747" s="248"/>
      <c r="O747" s="248"/>
      <c r="P747" s="248"/>
      <c r="Q747" s="248"/>
      <c r="R747" s="248"/>
      <c r="S747" s="248"/>
      <c r="T747" s="248"/>
      <c r="U747" s="248"/>
      <c r="V747" s="248"/>
      <c r="W747" s="248"/>
      <c r="X747" s="248"/>
      <c r="Y747" s="248"/>
      <c r="Z747" s="248"/>
      <c r="AA747" s="248"/>
      <c r="AB747" s="248"/>
    </row>
    <row r="748" spans="1:28" ht="13.8">
      <c r="A748" s="248"/>
      <c r="B748" s="248"/>
      <c r="C748" s="331"/>
      <c r="D748" s="248"/>
      <c r="E748" s="248"/>
      <c r="F748" s="248"/>
      <c r="G748" s="248"/>
      <c r="H748" s="248"/>
      <c r="I748" s="248"/>
      <c r="J748" s="248"/>
      <c r="K748" s="248"/>
      <c r="L748" s="248"/>
      <c r="M748" s="248"/>
      <c r="N748" s="248"/>
      <c r="O748" s="248"/>
      <c r="P748" s="248"/>
      <c r="Q748" s="248"/>
      <c r="R748" s="248"/>
      <c r="S748" s="248"/>
      <c r="T748" s="248"/>
      <c r="U748" s="248"/>
      <c r="V748" s="248"/>
      <c r="W748" s="248"/>
      <c r="X748" s="248"/>
      <c r="Y748" s="248"/>
      <c r="Z748" s="248"/>
      <c r="AA748" s="248"/>
      <c r="AB748" s="248"/>
    </row>
    <row r="749" spans="1:28" ht="13.8">
      <c r="A749" s="248"/>
      <c r="B749" s="248"/>
      <c r="C749" s="331"/>
      <c r="D749" s="248"/>
      <c r="E749" s="248"/>
      <c r="F749" s="248"/>
      <c r="G749" s="248"/>
      <c r="H749" s="248"/>
      <c r="I749" s="248"/>
      <c r="J749" s="248"/>
      <c r="K749" s="248"/>
      <c r="L749" s="248"/>
      <c r="M749" s="248"/>
      <c r="N749" s="248"/>
      <c r="O749" s="248"/>
      <c r="P749" s="248"/>
      <c r="Q749" s="248"/>
      <c r="R749" s="248"/>
      <c r="S749" s="248"/>
      <c r="T749" s="248"/>
      <c r="U749" s="248"/>
      <c r="V749" s="248"/>
      <c r="W749" s="248"/>
      <c r="X749" s="248"/>
      <c r="Y749" s="248"/>
      <c r="Z749" s="248"/>
      <c r="AA749" s="248"/>
      <c r="AB749" s="248"/>
    </row>
    <row r="750" spans="1:28" ht="13.8">
      <c r="A750" s="248"/>
      <c r="B750" s="248"/>
      <c r="C750" s="331"/>
      <c r="D750" s="248"/>
      <c r="E750" s="248"/>
      <c r="F750" s="248"/>
      <c r="G750" s="248"/>
      <c r="H750" s="248"/>
      <c r="I750" s="248"/>
      <c r="J750" s="248"/>
      <c r="K750" s="248"/>
      <c r="L750" s="248"/>
      <c r="M750" s="248"/>
      <c r="N750" s="248"/>
      <c r="O750" s="248"/>
      <c r="P750" s="248"/>
      <c r="Q750" s="248"/>
      <c r="R750" s="248"/>
      <c r="S750" s="248"/>
      <c r="T750" s="248"/>
      <c r="U750" s="248"/>
      <c r="V750" s="248"/>
      <c r="W750" s="248"/>
      <c r="X750" s="248"/>
      <c r="Y750" s="248"/>
      <c r="Z750" s="248"/>
      <c r="AA750" s="248"/>
      <c r="AB750" s="248"/>
    </row>
    <row r="751" spans="1:28" ht="13.8">
      <c r="A751" s="248"/>
      <c r="B751" s="248"/>
      <c r="C751" s="331"/>
      <c r="D751" s="248"/>
      <c r="E751" s="248"/>
      <c r="F751" s="248"/>
      <c r="G751" s="248"/>
      <c r="H751" s="248"/>
      <c r="I751" s="248"/>
      <c r="J751" s="248"/>
      <c r="K751" s="248"/>
      <c r="L751" s="248"/>
      <c r="M751" s="248"/>
      <c r="N751" s="248"/>
      <c r="O751" s="248"/>
      <c r="P751" s="248"/>
      <c r="Q751" s="248"/>
      <c r="R751" s="248"/>
      <c r="S751" s="248"/>
      <c r="T751" s="248"/>
      <c r="U751" s="248"/>
      <c r="V751" s="248"/>
      <c r="W751" s="248"/>
      <c r="X751" s="248"/>
      <c r="Y751" s="248"/>
      <c r="Z751" s="248"/>
      <c r="AA751" s="248"/>
      <c r="AB751" s="248"/>
    </row>
    <row r="752" spans="1:28" ht="13.8">
      <c r="A752" s="248"/>
      <c r="B752" s="248"/>
      <c r="C752" s="331"/>
      <c r="D752" s="248"/>
      <c r="E752" s="248"/>
      <c r="F752" s="248"/>
      <c r="G752" s="248"/>
      <c r="H752" s="248"/>
      <c r="I752" s="248"/>
      <c r="J752" s="248"/>
      <c r="K752" s="248"/>
      <c r="L752" s="248"/>
      <c r="M752" s="248"/>
      <c r="N752" s="248"/>
      <c r="O752" s="248"/>
      <c r="P752" s="248"/>
      <c r="Q752" s="248"/>
      <c r="R752" s="248"/>
      <c r="S752" s="248"/>
      <c r="T752" s="248"/>
      <c r="U752" s="248"/>
      <c r="V752" s="248"/>
      <c r="W752" s="248"/>
      <c r="X752" s="248"/>
      <c r="Y752" s="248"/>
      <c r="Z752" s="248"/>
      <c r="AA752" s="248"/>
      <c r="AB752" s="248"/>
    </row>
    <row r="753" spans="1:28" ht="13.8">
      <c r="A753" s="248"/>
      <c r="B753" s="248"/>
      <c r="C753" s="331"/>
      <c r="D753" s="248"/>
      <c r="E753" s="248"/>
      <c r="F753" s="248"/>
      <c r="G753" s="248"/>
      <c r="H753" s="248"/>
      <c r="I753" s="248"/>
      <c r="J753" s="248"/>
      <c r="K753" s="248"/>
      <c r="L753" s="248"/>
      <c r="M753" s="248"/>
      <c r="N753" s="248"/>
      <c r="O753" s="248"/>
      <c r="P753" s="248"/>
      <c r="Q753" s="248"/>
      <c r="R753" s="248"/>
      <c r="S753" s="248"/>
      <c r="T753" s="248"/>
      <c r="U753" s="248"/>
      <c r="V753" s="248"/>
      <c r="W753" s="248"/>
      <c r="X753" s="248"/>
      <c r="Y753" s="248"/>
      <c r="Z753" s="248"/>
      <c r="AA753" s="248"/>
      <c r="AB753" s="248"/>
    </row>
    <row r="754" spans="1:28" ht="13.8">
      <c r="A754" s="248"/>
      <c r="B754" s="248"/>
      <c r="C754" s="331"/>
      <c r="D754" s="248"/>
      <c r="E754" s="248"/>
      <c r="F754" s="248"/>
      <c r="G754" s="248"/>
      <c r="H754" s="248"/>
      <c r="I754" s="248"/>
      <c r="J754" s="248"/>
      <c r="K754" s="248"/>
      <c r="L754" s="248"/>
      <c r="M754" s="248"/>
      <c r="N754" s="248"/>
      <c r="O754" s="248"/>
      <c r="P754" s="248"/>
      <c r="Q754" s="248"/>
      <c r="R754" s="248"/>
      <c r="S754" s="248"/>
      <c r="T754" s="248"/>
      <c r="U754" s="248"/>
      <c r="V754" s="248"/>
      <c r="W754" s="248"/>
      <c r="X754" s="248"/>
      <c r="Y754" s="248"/>
      <c r="Z754" s="248"/>
      <c r="AA754" s="248"/>
      <c r="AB754" s="248"/>
    </row>
    <row r="755" spans="1:28" ht="13.8">
      <c r="A755" s="248"/>
      <c r="B755" s="248"/>
      <c r="C755" s="331"/>
      <c r="D755" s="248"/>
      <c r="E755" s="248"/>
      <c r="F755" s="248"/>
      <c r="G755" s="248"/>
      <c r="H755" s="248"/>
      <c r="I755" s="248"/>
      <c r="J755" s="248"/>
      <c r="K755" s="248"/>
      <c r="L755" s="248"/>
      <c r="M755" s="248"/>
      <c r="N755" s="248"/>
      <c r="O755" s="248"/>
      <c r="P755" s="248"/>
      <c r="Q755" s="248"/>
      <c r="R755" s="248"/>
      <c r="S755" s="248"/>
      <c r="T755" s="248"/>
      <c r="U755" s="248"/>
      <c r="V755" s="248"/>
      <c r="W755" s="248"/>
      <c r="X755" s="248"/>
      <c r="Y755" s="248"/>
      <c r="Z755" s="248"/>
      <c r="AA755" s="248"/>
      <c r="AB755" s="248"/>
    </row>
    <row r="756" spans="1:28" ht="13.8">
      <c r="A756" s="248"/>
      <c r="B756" s="248"/>
      <c r="C756" s="331"/>
      <c r="D756" s="248"/>
      <c r="E756" s="248"/>
      <c r="F756" s="248"/>
      <c r="G756" s="248"/>
      <c r="H756" s="248"/>
      <c r="I756" s="248"/>
      <c r="J756" s="248"/>
      <c r="K756" s="248"/>
      <c r="L756" s="248"/>
      <c r="M756" s="248"/>
      <c r="N756" s="248"/>
      <c r="O756" s="248"/>
      <c r="P756" s="248"/>
      <c r="Q756" s="248"/>
      <c r="R756" s="248"/>
      <c r="S756" s="248"/>
      <c r="T756" s="248"/>
      <c r="U756" s="248"/>
      <c r="V756" s="248"/>
      <c r="W756" s="248"/>
      <c r="X756" s="248"/>
      <c r="Y756" s="248"/>
      <c r="Z756" s="248"/>
      <c r="AA756" s="248"/>
      <c r="AB756" s="248"/>
    </row>
    <row r="757" spans="1:28" ht="13.8">
      <c r="A757" s="248"/>
      <c r="B757" s="248"/>
      <c r="C757" s="331"/>
      <c r="D757" s="248"/>
      <c r="E757" s="248"/>
      <c r="F757" s="248"/>
      <c r="G757" s="248"/>
      <c r="H757" s="248"/>
      <c r="I757" s="248"/>
      <c r="J757" s="248"/>
      <c r="K757" s="248"/>
      <c r="L757" s="248"/>
      <c r="M757" s="248"/>
      <c r="N757" s="248"/>
      <c r="O757" s="248"/>
      <c r="P757" s="248"/>
      <c r="Q757" s="248"/>
      <c r="R757" s="248"/>
      <c r="S757" s="248"/>
      <c r="T757" s="248"/>
      <c r="U757" s="248"/>
      <c r="V757" s="248"/>
      <c r="W757" s="248"/>
      <c r="X757" s="248"/>
      <c r="Y757" s="248"/>
      <c r="Z757" s="248"/>
      <c r="AA757" s="248"/>
      <c r="AB757" s="248"/>
    </row>
    <row r="758" spans="1:28" ht="13.8">
      <c r="A758" s="248"/>
      <c r="B758" s="248"/>
      <c r="C758" s="331"/>
      <c r="D758" s="248"/>
      <c r="E758" s="248"/>
      <c r="F758" s="248"/>
      <c r="G758" s="248"/>
      <c r="H758" s="248"/>
      <c r="I758" s="248"/>
      <c r="J758" s="248"/>
      <c r="K758" s="248"/>
      <c r="L758" s="248"/>
      <c r="M758" s="248"/>
      <c r="N758" s="248"/>
      <c r="O758" s="248"/>
      <c r="P758" s="248"/>
      <c r="Q758" s="248"/>
      <c r="R758" s="248"/>
      <c r="S758" s="248"/>
      <c r="T758" s="248"/>
      <c r="U758" s="248"/>
      <c r="V758" s="248"/>
      <c r="W758" s="248"/>
      <c r="X758" s="248"/>
      <c r="Y758" s="248"/>
      <c r="Z758" s="248"/>
      <c r="AA758" s="248"/>
      <c r="AB758" s="248"/>
    </row>
    <row r="759" spans="1:28" ht="13.8">
      <c r="A759" s="248"/>
      <c r="B759" s="248"/>
      <c r="C759" s="331"/>
      <c r="D759" s="248"/>
      <c r="E759" s="248"/>
      <c r="F759" s="248"/>
      <c r="G759" s="248"/>
      <c r="H759" s="248"/>
      <c r="I759" s="248"/>
      <c r="J759" s="248"/>
      <c r="K759" s="248"/>
      <c r="L759" s="248"/>
      <c r="M759" s="248"/>
      <c r="N759" s="248"/>
      <c r="O759" s="248"/>
      <c r="P759" s="248"/>
      <c r="Q759" s="248"/>
      <c r="R759" s="248"/>
      <c r="S759" s="248"/>
      <c r="T759" s="248"/>
      <c r="U759" s="248"/>
      <c r="V759" s="248"/>
      <c r="W759" s="248"/>
      <c r="X759" s="248"/>
      <c r="Y759" s="248"/>
      <c r="Z759" s="248"/>
      <c r="AA759" s="248"/>
      <c r="AB759" s="248"/>
    </row>
    <row r="760" spans="1:28" ht="13.8">
      <c r="A760" s="248"/>
      <c r="B760" s="248"/>
      <c r="C760" s="331"/>
      <c r="D760" s="248"/>
      <c r="E760" s="248"/>
      <c r="F760" s="248"/>
      <c r="G760" s="248"/>
      <c r="H760" s="248"/>
      <c r="I760" s="248"/>
      <c r="J760" s="248"/>
      <c r="K760" s="248"/>
      <c r="L760" s="248"/>
      <c r="M760" s="248"/>
      <c r="N760" s="248"/>
      <c r="O760" s="248"/>
      <c r="P760" s="248"/>
      <c r="Q760" s="248"/>
      <c r="R760" s="248"/>
      <c r="S760" s="248"/>
      <c r="T760" s="248"/>
      <c r="U760" s="248"/>
      <c r="V760" s="248"/>
      <c r="W760" s="248"/>
      <c r="X760" s="248"/>
      <c r="Y760" s="248"/>
      <c r="Z760" s="248"/>
      <c r="AA760" s="248"/>
      <c r="AB760" s="248"/>
    </row>
    <row r="761" spans="1:28" ht="13.8">
      <c r="A761" s="248"/>
      <c r="B761" s="248"/>
      <c r="C761" s="331"/>
      <c r="D761" s="248"/>
      <c r="E761" s="248"/>
      <c r="F761" s="248"/>
      <c r="G761" s="248"/>
      <c r="H761" s="248"/>
      <c r="I761" s="248"/>
      <c r="J761" s="248"/>
      <c r="K761" s="248"/>
      <c r="L761" s="248"/>
      <c r="M761" s="248"/>
      <c r="N761" s="248"/>
      <c r="O761" s="248"/>
      <c r="P761" s="248"/>
      <c r="Q761" s="248"/>
      <c r="R761" s="248"/>
      <c r="S761" s="248"/>
      <c r="T761" s="248"/>
      <c r="U761" s="248"/>
      <c r="V761" s="248"/>
      <c r="W761" s="248"/>
      <c r="X761" s="248"/>
      <c r="Y761" s="248"/>
      <c r="Z761" s="248"/>
      <c r="AA761" s="248"/>
      <c r="AB761" s="248"/>
    </row>
    <row r="762" spans="1:28" ht="13.8">
      <c r="A762" s="248"/>
      <c r="B762" s="248"/>
      <c r="C762" s="331"/>
      <c r="D762" s="248"/>
      <c r="E762" s="248"/>
      <c r="F762" s="248"/>
      <c r="G762" s="248"/>
      <c r="H762" s="248"/>
      <c r="I762" s="248"/>
      <c r="J762" s="248"/>
      <c r="K762" s="248"/>
      <c r="L762" s="248"/>
      <c r="M762" s="248"/>
      <c r="N762" s="248"/>
      <c r="O762" s="248"/>
      <c r="P762" s="248"/>
      <c r="Q762" s="248"/>
      <c r="R762" s="248"/>
      <c r="S762" s="248"/>
      <c r="T762" s="248"/>
      <c r="U762" s="248"/>
      <c r="V762" s="248"/>
      <c r="W762" s="248"/>
      <c r="X762" s="248"/>
      <c r="Y762" s="248"/>
      <c r="Z762" s="248"/>
      <c r="AA762" s="248"/>
      <c r="AB762" s="248"/>
    </row>
    <row r="763" spans="1:28" ht="13.8">
      <c r="A763" s="248"/>
      <c r="B763" s="248"/>
      <c r="C763" s="331"/>
      <c r="D763" s="248"/>
      <c r="E763" s="248"/>
      <c r="F763" s="248"/>
      <c r="G763" s="248"/>
      <c r="H763" s="248"/>
      <c r="I763" s="248"/>
      <c r="J763" s="248"/>
      <c r="K763" s="248"/>
      <c r="L763" s="248"/>
      <c r="M763" s="248"/>
      <c r="N763" s="248"/>
      <c r="O763" s="248"/>
      <c r="P763" s="248"/>
      <c r="Q763" s="248"/>
      <c r="R763" s="248"/>
      <c r="S763" s="248"/>
      <c r="T763" s="248"/>
      <c r="U763" s="248"/>
      <c r="V763" s="248"/>
      <c r="W763" s="248"/>
      <c r="X763" s="248"/>
      <c r="Y763" s="248"/>
      <c r="Z763" s="248"/>
      <c r="AA763" s="248"/>
      <c r="AB763" s="248"/>
    </row>
    <row r="764" spans="1:28" ht="13.8">
      <c r="A764" s="248"/>
      <c r="B764" s="248"/>
      <c r="C764" s="331"/>
      <c r="D764" s="248"/>
      <c r="E764" s="248"/>
      <c r="F764" s="248"/>
      <c r="G764" s="248"/>
      <c r="H764" s="248"/>
      <c r="I764" s="248"/>
      <c r="J764" s="248"/>
      <c r="K764" s="248"/>
      <c r="L764" s="248"/>
      <c r="M764" s="248"/>
      <c r="N764" s="248"/>
      <c r="O764" s="248"/>
      <c r="P764" s="248"/>
      <c r="Q764" s="248"/>
      <c r="R764" s="248"/>
      <c r="S764" s="248"/>
      <c r="T764" s="248"/>
      <c r="U764" s="248"/>
      <c r="V764" s="248"/>
      <c r="W764" s="248"/>
      <c r="X764" s="248"/>
      <c r="Y764" s="248"/>
      <c r="Z764" s="248"/>
      <c r="AA764" s="248"/>
      <c r="AB764" s="248"/>
    </row>
    <row r="765" spans="1:28" ht="13.8">
      <c r="A765" s="248"/>
      <c r="B765" s="248"/>
      <c r="C765" s="331"/>
      <c r="D765" s="248"/>
      <c r="E765" s="248"/>
      <c r="F765" s="248"/>
      <c r="G765" s="248"/>
      <c r="H765" s="248"/>
      <c r="I765" s="248"/>
      <c r="J765" s="248"/>
      <c r="K765" s="248"/>
      <c r="L765" s="248"/>
      <c r="M765" s="248"/>
      <c r="N765" s="248"/>
      <c r="O765" s="248"/>
      <c r="P765" s="248"/>
      <c r="Q765" s="248"/>
      <c r="R765" s="248"/>
      <c r="S765" s="248"/>
      <c r="T765" s="248"/>
      <c r="U765" s="248"/>
      <c r="V765" s="248"/>
      <c r="W765" s="248"/>
      <c r="X765" s="248"/>
      <c r="Y765" s="248"/>
      <c r="Z765" s="248"/>
      <c r="AA765" s="248"/>
      <c r="AB765" s="248"/>
    </row>
    <row r="766" spans="1:28" ht="13.8">
      <c r="A766" s="248"/>
      <c r="B766" s="248"/>
      <c r="C766" s="331"/>
      <c r="D766" s="248"/>
      <c r="E766" s="248"/>
      <c r="F766" s="248"/>
      <c r="G766" s="248"/>
      <c r="H766" s="248"/>
      <c r="I766" s="248"/>
      <c r="J766" s="248"/>
      <c r="K766" s="248"/>
      <c r="L766" s="248"/>
      <c r="M766" s="248"/>
      <c r="N766" s="248"/>
      <c r="O766" s="248"/>
      <c r="P766" s="248"/>
      <c r="Q766" s="248"/>
      <c r="R766" s="248"/>
      <c r="S766" s="248"/>
      <c r="T766" s="248"/>
      <c r="U766" s="248"/>
      <c r="V766" s="248"/>
      <c r="W766" s="248"/>
      <c r="X766" s="248"/>
      <c r="Y766" s="248"/>
      <c r="Z766" s="248"/>
      <c r="AA766" s="248"/>
      <c r="AB766" s="248"/>
    </row>
    <row r="767" spans="1:28" ht="13.8">
      <c r="A767" s="248"/>
      <c r="B767" s="248"/>
      <c r="C767" s="331"/>
      <c r="D767" s="248"/>
      <c r="E767" s="248"/>
      <c r="F767" s="248"/>
      <c r="G767" s="248"/>
      <c r="H767" s="248"/>
      <c r="I767" s="248"/>
      <c r="J767" s="248"/>
      <c r="K767" s="248"/>
      <c r="L767" s="248"/>
      <c r="M767" s="248"/>
      <c r="N767" s="248"/>
      <c r="O767" s="248"/>
      <c r="P767" s="248"/>
      <c r="Q767" s="248"/>
      <c r="R767" s="248"/>
      <c r="S767" s="248"/>
      <c r="T767" s="248"/>
      <c r="U767" s="248"/>
      <c r="V767" s="248"/>
      <c r="W767" s="248"/>
      <c r="X767" s="248"/>
      <c r="Y767" s="248"/>
      <c r="Z767" s="248"/>
      <c r="AA767" s="248"/>
      <c r="AB767" s="248"/>
    </row>
    <row r="768" spans="1:28" ht="13.8">
      <c r="A768" s="248"/>
      <c r="B768" s="248"/>
      <c r="C768" s="331"/>
      <c r="D768" s="248"/>
      <c r="E768" s="248"/>
      <c r="F768" s="248"/>
      <c r="G768" s="248"/>
      <c r="H768" s="248"/>
      <c r="I768" s="248"/>
      <c r="J768" s="248"/>
      <c r="K768" s="248"/>
      <c r="L768" s="248"/>
      <c r="M768" s="248"/>
      <c r="N768" s="248"/>
      <c r="O768" s="248"/>
      <c r="P768" s="248"/>
      <c r="Q768" s="248"/>
      <c r="R768" s="248"/>
      <c r="S768" s="248"/>
      <c r="T768" s="248"/>
      <c r="U768" s="248"/>
      <c r="V768" s="248"/>
      <c r="W768" s="248"/>
      <c r="X768" s="248"/>
      <c r="Y768" s="248"/>
      <c r="Z768" s="248"/>
      <c r="AA768" s="248"/>
      <c r="AB768" s="248"/>
    </row>
    <row r="769" spans="1:28" ht="13.8">
      <c r="A769" s="248"/>
      <c r="B769" s="248"/>
      <c r="C769" s="331"/>
      <c r="D769" s="248"/>
      <c r="E769" s="248"/>
      <c r="F769" s="248"/>
      <c r="G769" s="248"/>
      <c r="H769" s="248"/>
      <c r="I769" s="248"/>
      <c r="J769" s="248"/>
      <c r="K769" s="248"/>
      <c r="L769" s="248"/>
      <c r="M769" s="248"/>
      <c r="N769" s="248"/>
      <c r="O769" s="248"/>
      <c r="P769" s="248"/>
      <c r="Q769" s="248"/>
      <c r="R769" s="248"/>
      <c r="S769" s="248"/>
      <c r="T769" s="248"/>
      <c r="U769" s="248"/>
      <c r="V769" s="248"/>
      <c r="W769" s="248"/>
      <c r="X769" s="248"/>
      <c r="Y769" s="248"/>
      <c r="Z769" s="248"/>
      <c r="AA769" s="248"/>
      <c r="AB769" s="248"/>
    </row>
    <row r="770" spans="1:28" ht="13.8">
      <c r="A770" s="248"/>
      <c r="B770" s="248"/>
      <c r="C770" s="331"/>
      <c r="D770" s="248"/>
      <c r="E770" s="248"/>
      <c r="F770" s="248"/>
      <c r="G770" s="248"/>
      <c r="H770" s="248"/>
      <c r="I770" s="248"/>
      <c r="J770" s="248"/>
      <c r="K770" s="248"/>
      <c r="L770" s="248"/>
      <c r="M770" s="248"/>
      <c r="N770" s="248"/>
      <c r="O770" s="248"/>
      <c r="P770" s="248"/>
      <c r="Q770" s="248"/>
      <c r="R770" s="248"/>
      <c r="S770" s="248"/>
      <c r="T770" s="248"/>
      <c r="U770" s="248"/>
      <c r="V770" s="248"/>
      <c r="W770" s="248"/>
      <c r="X770" s="248"/>
      <c r="Y770" s="248"/>
      <c r="Z770" s="248"/>
      <c r="AA770" s="248"/>
      <c r="AB770" s="248"/>
    </row>
    <row r="771" spans="1:28" ht="13.8">
      <c r="A771" s="248"/>
      <c r="B771" s="248"/>
      <c r="C771" s="331"/>
      <c r="D771" s="248"/>
      <c r="E771" s="248"/>
      <c r="F771" s="248"/>
      <c r="G771" s="248"/>
      <c r="H771" s="248"/>
      <c r="I771" s="248"/>
      <c r="J771" s="248"/>
      <c r="K771" s="248"/>
      <c r="L771" s="248"/>
      <c r="M771" s="248"/>
      <c r="N771" s="248"/>
      <c r="O771" s="248"/>
      <c r="P771" s="248"/>
      <c r="Q771" s="248"/>
      <c r="R771" s="248"/>
      <c r="S771" s="248"/>
      <c r="T771" s="248"/>
      <c r="U771" s="248"/>
      <c r="V771" s="248"/>
      <c r="W771" s="248"/>
      <c r="X771" s="248"/>
      <c r="Y771" s="248"/>
      <c r="Z771" s="248"/>
      <c r="AA771" s="248"/>
      <c r="AB771" s="248"/>
    </row>
    <row r="772" spans="1:28" ht="13.8">
      <c r="A772" s="248"/>
      <c r="B772" s="248"/>
      <c r="C772" s="331"/>
      <c r="D772" s="248"/>
      <c r="E772" s="248"/>
      <c r="F772" s="248"/>
      <c r="G772" s="248"/>
      <c r="H772" s="248"/>
      <c r="I772" s="248"/>
      <c r="J772" s="248"/>
      <c r="K772" s="248"/>
      <c r="L772" s="248"/>
      <c r="M772" s="248"/>
      <c r="N772" s="248"/>
      <c r="O772" s="248"/>
      <c r="P772" s="248"/>
      <c r="Q772" s="248"/>
      <c r="R772" s="248"/>
      <c r="S772" s="248"/>
      <c r="T772" s="248"/>
      <c r="U772" s="248"/>
      <c r="V772" s="248"/>
      <c r="W772" s="248"/>
      <c r="X772" s="248"/>
      <c r="Y772" s="248"/>
      <c r="Z772" s="248"/>
      <c r="AA772" s="248"/>
      <c r="AB772" s="248"/>
    </row>
    <row r="773" spans="1:28" ht="13.8">
      <c r="A773" s="248"/>
      <c r="B773" s="248"/>
      <c r="C773" s="331"/>
      <c r="D773" s="248"/>
      <c r="E773" s="248"/>
      <c r="F773" s="248"/>
      <c r="G773" s="248"/>
      <c r="H773" s="248"/>
      <c r="I773" s="248"/>
      <c r="J773" s="248"/>
      <c r="K773" s="248"/>
      <c r="L773" s="248"/>
      <c r="M773" s="248"/>
      <c r="N773" s="248"/>
      <c r="O773" s="248"/>
      <c r="P773" s="248"/>
      <c r="Q773" s="248"/>
      <c r="R773" s="248"/>
      <c r="S773" s="248"/>
      <c r="T773" s="248"/>
      <c r="U773" s="248"/>
      <c r="V773" s="248"/>
      <c r="W773" s="248"/>
      <c r="X773" s="248"/>
      <c r="Y773" s="248"/>
      <c r="Z773" s="248"/>
      <c r="AA773" s="248"/>
      <c r="AB773" s="248"/>
    </row>
    <row r="774" spans="1:28" ht="13.8">
      <c r="A774" s="248"/>
      <c r="B774" s="248"/>
      <c r="C774" s="331"/>
      <c r="D774" s="248"/>
      <c r="E774" s="248"/>
      <c r="F774" s="248"/>
      <c r="G774" s="248"/>
      <c r="H774" s="248"/>
      <c r="I774" s="248"/>
      <c r="J774" s="248"/>
      <c r="K774" s="248"/>
      <c r="L774" s="248"/>
      <c r="M774" s="248"/>
      <c r="N774" s="248"/>
      <c r="O774" s="248"/>
      <c r="P774" s="248"/>
      <c r="Q774" s="248"/>
      <c r="R774" s="248"/>
      <c r="S774" s="248"/>
      <c r="T774" s="248"/>
      <c r="U774" s="248"/>
      <c r="V774" s="248"/>
      <c r="W774" s="248"/>
      <c r="X774" s="248"/>
      <c r="Y774" s="248"/>
      <c r="Z774" s="248"/>
      <c r="AA774" s="248"/>
      <c r="AB774" s="248"/>
    </row>
    <row r="775" spans="1:28" ht="13.8">
      <c r="A775" s="248"/>
      <c r="B775" s="248"/>
      <c r="C775" s="331"/>
      <c r="D775" s="248"/>
      <c r="E775" s="248"/>
      <c r="F775" s="248"/>
      <c r="G775" s="248"/>
      <c r="H775" s="248"/>
      <c r="I775" s="248"/>
      <c r="J775" s="248"/>
      <c r="K775" s="248"/>
      <c r="L775" s="248"/>
      <c r="M775" s="248"/>
      <c r="N775" s="248"/>
      <c r="O775" s="248"/>
      <c r="P775" s="248"/>
      <c r="Q775" s="248"/>
      <c r="R775" s="248"/>
      <c r="S775" s="248"/>
      <c r="T775" s="248"/>
      <c r="U775" s="248"/>
      <c r="V775" s="248"/>
      <c r="W775" s="248"/>
      <c r="X775" s="248"/>
      <c r="Y775" s="248"/>
      <c r="Z775" s="248"/>
      <c r="AA775" s="248"/>
      <c r="AB775" s="248"/>
    </row>
    <row r="776" spans="1:28" ht="13.8">
      <c r="A776" s="248"/>
      <c r="B776" s="248"/>
      <c r="C776" s="331"/>
      <c r="D776" s="248"/>
      <c r="E776" s="248"/>
      <c r="F776" s="248"/>
      <c r="G776" s="248"/>
      <c r="H776" s="248"/>
      <c r="I776" s="248"/>
      <c r="J776" s="248"/>
      <c r="K776" s="248"/>
      <c r="L776" s="248"/>
      <c r="M776" s="248"/>
      <c r="N776" s="248"/>
      <c r="O776" s="248"/>
      <c r="P776" s="248"/>
      <c r="Q776" s="248"/>
      <c r="R776" s="248"/>
      <c r="S776" s="248"/>
      <c r="T776" s="248"/>
      <c r="U776" s="248"/>
      <c r="V776" s="248"/>
      <c r="W776" s="248"/>
      <c r="X776" s="248"/>
      <c r="Y776" s="248"/>
      <c r="Z776" s="248"/>
      <c r="AA776" s="248"/>
      <c r="AB776" s="248"/>
    </row>
    <row r="777" spans="1:28" ht="13.8">
      <c r="A777" s="248"/>
      <c r="B777" s="248"/>
      <c r="C777" s="331"/>
      <c r="D777" s="248"/>
      <c r="E777" s="248"/>
      <c r="F777" s="248"/>
      <c r="G777" s="248"/>
      <c r="H777" s="248"/>
      <c r="I777" s="248"/>
      <c r="J777" s="248"/>
      <c r="K777" s="248"/>
      <c r="L777" s="248"/>
      <c r="M777" s="248"/>
      <c r="N777" s="248"/>
      <c r="O777" s="248"/>
      <c r="P777" s="248"/>
      <c r="Q777" s="248"/>
      <c r="R777" s="248"/>
      <c r="S777" s="248"/>
      <c r="T777" s="248"/>
      <c r="U777" s="248"/>
      <c r="V777" s="248"/>
      <c r="W777" s="248"/>
      <c r="X777" s="248"/>
      <c r="Y777" s="248"/>
      <c r="Z777" s="248"/>
      <c r="AA777" s="248"/>
      <c r="AB777" s="248"/>
    </row>
    <row r="778" spans="1:28" ht="13.8">
      <c r="A778" s="248"/>
      <c r="B778" s="248"/>
      <c r="C778" s="331"/>
      <c r="D778" s="248"/>
      <c r="E778" s="248"/>
      <c r="F778" s="248"/>
      <c r="G778" s="248"/>
      <c r="H778" s="248"/>
      <c r="I778" s="248"/>
      <c r="J778" s="248"/>
      <c r="K778" s="248"/>
      <c r="L778" s="248"/>
      <c r="M778" s="248"/>
      <c r="N778" s="248"/>
      <c r="O778" s="248"/>
      <c r="P778" s="248"/>
      <c r="Q778" s="248"/>
      <c r="R778" s="248"/>
      <c r="S778" s="248"/>
      <c r="T778" s="248"/>
      <c r="U778" s="248"/>
      <c r="V778" s="248"/>
      <c r="W778" s="248"/>
      <c r="X778" s="248"/>
      <c r="Y778" s="248"/>
      <c r="Z778" s="248"/>
      <c r="AA778" s="248"/>
      <c r="AB778" s="248"/>
    </row>
    <row r="779" spans="1:28" ht="13.8">
      <c r="A779" s="248"/>
      <c r="B779" s="248"/>
      <c r="C779" s="331"/>
      <c r="D779" s="248"/>
      <c r="E779" s="248"/>
      <c r="F779" s="248"/>
      <c r="G779" s="248"/>
      <c r="H779" s="248"/>
      <c r="I779" s="248"/>
      <c r="J779" s="248"/>
      <c r="K779" s="248"/>
      <c r="L779" s="248"/>
      <c r="M779" s="248"/>
      <c r="N779" s="248"/>
      <c r="O779" s="248"/>
      <c r="P779" s="248"/>
      <c r="Q779" s="248"/>
      <c r="R779" s="248"/>
      <c r="S779" s="248"/>
      <c r="T779" s="248"/>
      <c r="U779" s="248"/>
      <c r="V779" s="248"/>
      <c r="W779" s="248"/>
      <c r="X779" s="248"/>
      <c r="Y779" s="248"/>
      <c r="Z779" s="248"/>
      <c r="AA779" s="248"/>
      <c r="AB779" s="248"/>
    </row>
    <row r="780" spans="1:28" ht="13.8">
      <c r="A780" s="248"/>
      <c r="B780" s="248"/>
      <c r="C780" s="331"/>
      <c r="D780" s="248"/>
      <c r="E780" s="248"/>
      <c r="F780" s="248"/>
      <c r="G780" s="248"/>
      <c r="H780" s="248"/>
      <c r="I780" s="248"/>
      <c r="J780" s="248"/>
      <c r="K780" s="248"/>
      <c r="L780" s="248"/>
      <c r="M780" s="248"/>
      <c r="N780" s="248"/>
      <c r="O780" s="248"/>
      <c r="P780" s="248"/>
      <c r="Q780" s="248"/>
      <c r="R780" s="248"/>
      <c r="S780" s="248"/>
      <c r="T780" s="248"/>
      <c r="U780" s="248"/>
      <c r="V780" s="248"/>
      <c r="W780" s="248"/>
      <c r="X780" s="248"/>
      <c r="Y780" s="248"/>
      <c r="Z780" s="248"/>
      <c r="AA780" s="248"/>
      <c r="AB780" s="248"/>
    </row>
    <row r="781" spans="1:28" ht="13.8">
      <c r="A781" s="248"/>
      <c r="B781" s="248"/>
      <c r="C781" s="331"/>
      <c r="D781" s="248"/>
      <c r="E781" s="248"/>
      <c r="F781" s="248"/>
      <c r="G781" s="248"/>
      <c r="H781" s="248"/>
      <c r="I781" s="248"/>
      <c r="J781" s="248"/>
      <c r="K781" s="248"/>
      <c r="L781" s="248"/>
      <c r="M781" s="248"/>
      <c r="N781" s="248"/>
      <c r="O781" s="248"/>
      <c r="P781" s="248"/>
      <c r="Q781" s="248"/>
      <c r="R781" s="248"/>
      <c r="S781" s="248"/>
      <c r="T781" s="248"/>
      <c r="U781" s="248"/>
      <c r="V781" s="248"/>
      <c r="W781" s="248"/>
      <c r="X781" s="248"/>
      <c r="Y781" s="248"/>
      <c r="Z781" s="248"/>
      <c r="AA781" s="248"/>
      <c r="AB781" s="248"/>
    </row>
    <row r="782" spans="1:28" ht="13.8">
      <c r="A782" s="248"/>
      <c r="B782" s="248"/>
      <c r="C782" s="331"/>
      <c r="D782" s="248"/>
      <c r="E782" s="248"/>
      <c r="F782" s="248"/>
      <c r="G782" s="248"/>
      <c r="H782" s="248"/>
      <c r="I782" s="248"/>
      <c r="J782" s="248"/>
      <c r="K782" s="248"/>
      <c r="L782" s="248"/>
      <c r="M782" s="248"/>
      <c r="N782" s="248"/>
      <c r="O782" s="248"/>
      <c r="P782" s="248"/>
      <c r="Q782" s="248"/>
      <c r="R782" s="248"/>
      <c r="S782" s="248"/>
      <c r="T782" s="248"/>
      <c r="U782" s="248"/>
      <c r="V782" s="248"/>
      <c r="W782" s="248"/>
      <c r="X782" s="248"/>
      <c r="Y782" s="248"/>
      <c r="Z782" s="248"/>
      <c r="AA782" s="248"/>
      <c r="AB782" s="248"/>
    </row>
    <row r="783" spans="1:28" ht="13.8">
      <c r="A783" s="248"/>
      <c r="B783" s="248"/>
      <c r="C783" s="331"/>
      <c r="D783" s="248"/>
      <c r="E783" s="248"/>
      <c r="F783" s="248"/>
      <c r="G783" s="248"/>
      <c r="H783" s="248"/>
      <c r="I783" s="248"/>
      <c r="J783" s="248"/>
      <c r="K783" s="248"/>
      <c r="L783" s="248"/>
      <c r="M783" s="248"/>
      <c r="N783" s="248"/>
      <c r="O783" s="248"/>
      <c r="P783" s="248"/>
      <c r="Q783" s="248"/>
      <c r="R783" s="248"/>
      <c r="S783" s="248"/>
      <c r="T783" s="248"/>
      <c r="U783" s="248"/>
      <c r="V783" s="248"/>
      <c r="W783" s="248"/>
      <c r="X783" s="248"/>
      <c r="Y783" s="248"/>
      <c r="Z783" s="248"/>
      <c r="AA783" s="248"/>
      <c r="AB783" s="248"/>
    </row>
    <row r="784" spans="1:28" ht="13.8">
      <c r="A784" s="248"/>
      <c r="B784" s="248"/>
      <c r="C784" s="331"/>
      <c r="D784" s="248"/>
      <c r="E784" s="248"/>
      <c r="F784" s="248"/>
      <c r="G784" s="248"/>
      <c r="H784" s="248"/>
      <c r="I784" s="248"/>
      <c r="J784" s="248"/>
      <c r="K784" s="248"/>
      <c r="L784" s="248"/>
      <c r="M784" s="248"/>
      <c r="N784" s="248"/>
      <c r="O784" s="248"/>
      <c r="P784" s="248"/>
      <c r="Q784" s="248"/>
      <c r="R784" s="248"/>
      <c r="S784" s="248"/>
      <c r="T784" s="248"/>
      <c r="U784" s="248"/>
      <c r="V784" s="248"/>
      <c r="W784" s="248"/>
      <c r="X784" s="248"/>
      <c r="Y784" s="248"/>
      <c r="Z784" s="248"/>
      <c r="AA784" s="248"/>
      <c r="AB784" s="248"/>
    </row>
    <row r="785" spans="1:28" ht="13.8">
      <c r="A785" s="248"/>
      <c r="B785" s="248"/>
      <c r="C785" s="331"/>
      <c r="D785" s="248"/>
      <c r="E785" s="248"/>
      <c r="F785" s="248"/>
      <c r="G785" s="248"/>
      <c r="H785" s="248"/>
      <c r="I785" s="248"/>
      <c r="J785" s="248"/>
      <c r="K785" s="248"/>
      <c r="L785" s="248"/>
      <c r="M785" s="248"/>
      <c r="N785" s="248"/>
      <c r="O785" s="248"/>
      <c r="P785" s="248"/>
      <c r="Q785" s="248"/>
      <c r="R785" s="248"/>
      <c r="S785" s="248"/>
      <c r="T785" s="248"/>
      <c r="U785" s="248"/>
      <c r="V785" s="248"/>
      <c r="W785" s="248"/>
      <c r="X785" s="248"/>
      <c r="Y785" s="248"/>
      <c r="Z785" s="248"/>
      <c r="AA785" s="248"/>
      <c r="AB785" s="248"/>
    </row>
    <row r="786" spans="1:28" ht="13.8">
      <c r="A786" s="248"/>
      <c r="B786" s="248"/>
      <c r="C786" s="331"/>
      <c r="D786" s="248"/>
      <c r="E786" s="248"/>
      <c r="F786" s="248"/>
      <c r="G786" s="248"/>
      <c r="H786" s="248"/>
      <c r="I786" s="248"/>
      <c r="J786" s="248"/>
      <c r="K786" s="248"/>
      <c r="L786" s="248"/>
      <c r="M786" s="248"/>
      <c r="N786" s="248"/>
      <c r="O786" s="248"/>
      <c r="P786" s="248"/>
      <c r="Q786" s="248"/>
      <c r="R786" s="248"/>
      <c r="S786" s="248"/>
      <c r="T786" s="248"/>
      <c r="U786" s="248"/>
      <c r="V786" s="248"/>
      <c r="W786" s="248"/>
      <c r="X786" s="248"/>
      <c r="Y786" s="248"/>
      <c r="Z786" s="248"/>
      <c r="AA786" s="248"/>
      <c r="AB786" s="248"/>
    </row>
    <row r="787" spans="1:28" ht="13.8">
      <c r="A787" s="248"/>
      <c r="B787" s="248"/>
      <c r="C787" s="331"/>
      <c r="D787" s="248"/>
      <c r="E787" s="248"/>
      <c r="F787" s="248"/>
      <c r="G787" s="248"/>
      <c r="H787" s="248"/>
      <c r="I787" s="248"/>
      <c r="J787" s="248"/>
      <c r="K787" s="248"/>
      <c r="L787" s="248"/>
      <c r="M787" s="248"/>
      <c r="N787" s="248"/>
      <c r="O787" s="248"/>
      <c r="P787" s="248"/>
      <c r="Q787" s="248"/>
      <c r="R787" s="248"/>
      <c r="S787" s="248"/>
      <c r="T787" s="248"/>
      <c r="U787" s="248"/>
      <c r="V787" s="248"/>
      <c r="W787" s="248"/>
      <c r="X787" s="248"/>
      <c r="Y787" s="248"/>
      <c r="Z787" s="248"/>
      <c r="AA787" s="248"/>
      <c r="AB787" s="248"/>
    </row>
    <row r="788" spans="1:28" ht="13.8">
      <c r="A788" s="248"/>
      <c r="B788" s="248"/>
      <c r="C788" s="331"/>
      <c r="D788" s="248"/>
      <c r="E788" s="248"/>
      <c r="F788" s="248"/>
      <c r="G788" s="248"/>
      <c r="H788" s="248"/>
      <c r="I788" s="248"/>
      <c r="J788" s="248"/>
      <c r="K788" s="248"/>
      <c r="L788" s="248"/>
      <c r="M788" s="248"/>
      <c r="N788" s="248"/>
      <c r="O788" s="248"/>
      <c r="P788" s="248"/>
      <c r="Q788" s="248"/>
      <c r="R788" s="248"/>
      <c r="S788" s="248"/>
      <c r="T788" s="248"/>
      <c r="U788" s="248"/>
      <c r="V788" s="248"/>
      <c r="W788" s="248"/>
      <c r="X788" s="248"/>
      <c r="Y788" s="248"/>
      <c r="Z788" s="248"/>
      <c r="AA788" s="248"/>
      <c r="AB788" s="248"/>
    </row>
    <row r="789" spans="1:28" ht="13.8">
      <c r="A789" s="248"/>
      <c r="B789" s="248"/>
      <c r="C789" s="331"/>
      <c r="D789" s="248"/>
      <c r="E789" s="248"/>
      <c r="F789" s="248"/>
      <c r="G789" s="248"/>
      <c r="H789" s="248"/>
      <c r="I789" s="248"/>
      <c r="J789" s="248"/>
      <c r="K789" s="248"/>
      <c r="L789" s="248"/>
      <c r="M789" s="248"/>
      <c r="N789" s="248"/>
      <c r="O789" s="248"/>
      <c r="P789" s="248"/>
      <c r="Q789" s="248"/>
      <c r="R789" s="248"/>
      <c r="S789" s="248"/>
      <c r="T789" s="248"/>
      <c r="U789" s="248"/>
      <c r="V789" s="248"/>
      <c r="W789" s="248"/>
      <c r="X789" s="248"/>
      <c r="Y789" s="248"/>
      <c r="Z789" s="248"/>
      <c r="AA789" s="248"/>
      <c r="AB789" s="248"/>
    </row>
    <row r="790" spans="1:28" ht="13.8">
      <c r="A790" s="248"/>
      <c r="B790" s="248"/>
      <c r="C790" s="331"/>
      <c r="D790" s="248"/>
      <c r="E790" s="248"/>
      <c r="F790" s="248"/>
      <c r="G790" s="248"/>
      <c r="H790" s="248"/>
      <c r="I790" s="248"/>
      <c r="J790" s="248"/>
      <c r="K790" s="248"/>
      <c r="L790" s="248"/>
      <c r="M790" s="248"/>
      <c r="N790" s="248"/>
      <c r="O790" s="248"/>
      <c r="P790" s="248"/>
      <c r="Q790" s="248"/>
      <c r="R790" s="248"/>
      <c r="S790" s="248"/>
      <c r="T790" s="248"/>
      <c r="U790" s="248"/>
      <c r="V790" s="248"/>
      <c r="W790" s="248"/>
      <c r="X790" s="248"/>
      <c r="Y790" s="248"/>
      <c r="Z790" s="248"/>
      <c r="AA790" s="248"/>
      <c r="AB790" s="248"/>
    </row>
    <row r="791" spans="1:28" ht="13.8">
      <c r="A791" s="248"/>
      <c r="B791" s="248"/>
      <c r="C791" s="331"/>
      <c r="D791" s="248"/>
      <c r="E791" s="248"/>
      <c r="F791" s="248"/>
      <c r="G791" s="248"/>
      <c r="H791" s="248"/>
      <c r="I791" s="248"/>
      <c r="J791" s="248"/>
      <c r="K791" s="248"/>
      <c r="L791" s="248"/>
      <c r="M791" s="248"/>
      <c r="N791" s="248"/>
      <c r="O791" s="248"/>
      <c r="P791" s="248"/>
      <c r="Q791" s="248"/>
      <c r="R791" s="248"/>
      <c r="S791" s="248"/>
      <c r="T791" s="248"/>
      <c r="U791" s="248"/>
      <c r="V791" s="248"/>
      <c r="W791" s="248"/>
      <c r="X791" s="248"/>
      <c r="Y791" s="248"/>
      <c r="Z791" s="248"/>
      <c r="AA791" s="248"/>
      <c r="AB791" s="248"/>
    </row>
    <row r="792" spans="1:28" ht="13.8">
      <c r="A792" s="248"/>
      <c r="B792" s="248"/>
      <c r="C792" s="331"/>
      <c r="D792" s="248"/>
      <c r="E792" s="248"/>
      <c r="F792" s="248"/>
      <c r="G792" s="248"/>
      <c r="H792" s="248"/>
      <c r="I792" s="248"/>
      <c r="J792" s="248"/>
      <c r="K792" s="248"/>
      <c r="L792" s="248"/>
      <c r="M792" s="248"/>
      <c r="N792" s="248"/>
      <c r="O792" s="248"/>
      <c r="P792" s="248"/>
      <c r="Q792" s="248"/>
      <c r="R792" s="248"/>
      <c r="S792" s="248"/>
      <c r="T792" s="248"/>
      <c r="U792" s="248"/>
      <c r="V792" s="248"/>
      <c r="W792" s="248"/>
      <c r="X792" s="248"/>
      <c r="Y792" s="248"/>
      <c r="Z792" s="248"/>
      <c r="AA792" s="248"/>
      <c r="AB792" s="248"/>
    </row>
    <row r="793" spans="1:28" ht="13.8">
      <c r="A793" s="248"/>
      <c r="B793" s="248"/>
      <c r="C793" s="331"/>
      <c r="D793" s="248"/>
      <c r="E793" s="248"/>
      <c r="F793" s="248"/>
      <c r="G793" s="248"/>
      <c r="H793" s="248"/>
      <c r="I793" s="248"/>
      <c r="J793" s="248"/>
      <c r="K793" s="248"/>
      <c r="L793" s="248"/>
      <c r="M793" s="248"/>
      <c r="N793" s="248"/>
      <c r="O793" s="248"/>
      <c r="P793" s="248"/>
      <c r="Q793" s="248"/>
      <c r="R793" s="248"/>
      <c r="S793" s="248"/>
      <c r="T793" s="248"/>
      <c r="U793" s="248"/>
      <c r="V793" s="248"/>
      <c r="W793" s="248"/>
      <c r="X793" s="248"/>
      <c r="Y793" s="248"/>
      <c r="Z793" s="248"/>
      <c r="AA793" s="248"/>
      <c r="AB793" s="248"/>
    </row>
    <row r="794" spans="1:28" ht="13.8">
      <c r="A794" s="248"/>
      <c r="B794" s="248"/>
      <c r="C794" s="331"/>
      <c r="D794" s="248"/>
      <c r="E794" s="248"/>
      <c r="F794" s="248"/>
      <c r="G794" s="248"/>
      <c r="H794" s="248"/>
      <c r="I794" s="248"/>
      <c r="J794" s="248"/>
      <c r="K794" s="248"/>
      <c r="L794" s="248"/>
      <c r="M794" s="248"/>
      <c r="N794" s="248"/>
      <c r="O794" s="248"/>
      <c r="P794" s="248"/>
      <c r="Q794" s="248"/>
      <c r="R794" s="248"/>
      <c r="S794" s="248"/>
      <c r="T794" s="248"/>
      <c r="U794" s="248"/>
      <c r="V794" s="248"/>
      <c r="W794" s="248"/>
      <c r="X794" s="248"/>
      <c r="Y794" s="248"/>
      <c r="Z794" s="248"/>
      <c r="AA794" s="248"/>
      <c r="AB794" s="248"/>
    </row>
    <row r="795" spans="1:28" ht="13.8">
      <c r="A795" s="248"/>
      <c r="B795" s="248"/>
      <c r="C795" s="331"/>
      <c r="D795" s="248"/>
      <c r="E795" s="248"/>
      <c r="F795" s="248"/>
      <c r="G795" s="248"/>
      <c r="H795" s="248"/>
      <c r="I795" s="248"/>
      <c r="J795" s="248"/>
      <c r="K795" s="248"/>
      <c r="L795" s="248"/>
      <c r="M795" s="248"/>
      <c r="N795" s="248"/>
      <c r="O795" s="248"/>
      <c r="P795" s="248"/>
      <c r="Q795" s="248"/>
      <c r="R795" s="248"/>
      <c r="S795" s="248"/>
      <c r="T795" s="248"/>
      <c r="U795" s="248"/>
      <c r="V795" s="248"/>
      <c r="W795" s="248"/>
      <c r="X795" s="248"/>
      <c r="Y795" s="248"/>
      <c r="Z795" s="248"/>
      <c r="AA795" s="248"/>
      <c r="AB795" s="248"/>
    </row>
    <row r="796" spans="1:28" ht="13.8">
      <c r="A796" s="248"/>
      <c r="B796" s="248"/>
      <c r="C796" s="331"/>
      <c r="D796" s="248"/>
      <c r="E796" s="248"/>
      <c r="F796" s="248"/>
      <c r="G796" s="248"/>
      <c r="H796" s="248"/>
      <c r="I796" s="248"/>
      <c r="J796" s="248"/>
      <c r="K796" s="248"/>
      <c r="L796" s="248"/>
      <c r="M796" s="248"/>
      <c r="N796" s="248"/>
      <c r="O796" s="248"/>
      <c r="P796" s="248"/>
      <c r="Q796" s="248"/>
      <c r="R796" s="248"/>
      <c r="S796" s="248"/>
      <c r="T796" s="248"/>
      <c r="U796" s="248"/>
      <c r="V796" s="248"/>
      <c r="W796" s="248"/>
      <c r="X796" s="248"/>
      <c r="Y796" s="248"/>
      <c r="Z796" s="248"/>
      <c r="AA796" s="248"/>
      <c r="AB796" s="248"/>
    </row>
    <row r="797" spans="1:28" ht="13.8">
      <c r="A797" s="248"/>
      <c r="B797" s="248"/>
      <c r="C797" s="331"/>
      <c r="D797" s="248"/>
      <c r="E797" s="248"/>
      <c r="F797" s="248"/>
      <c r="G797" s="248"/>
      <c r="H797" s="248"/>
      <c r="I797" s="248"/>
      <c r="J797" s="248"/>
      <c r="K797" s="248"/>
      <c r="L797" s="248"/>
      <c r="M797" s="248"/>
      <c r="N797" s="248"/>
      <c r="O797" s="248"/>
      <c r="P797" s="248"/>
      <c r="Q797" s="248"/>
      <c r="R797" s="248"/>
      <c r="S797" s="248"/>
      <c r="T797" s="248"/>
      <c r="U797" s="248"/>
      <c r="V797" s="248"/>
      <c r="W797" s="248"/>
      <c r="X797" s="248"/>
      <c r="Y797" s="248"/>
      <c r="Z797" s="248"/>
      <c r="AA797" s="248"/>
      <c r="AB797" s="248"/>
    </row>
    <row r="798" spans="1:28" ht="13.8">
      <c r="A798" s="248"/>
      <c r="B798" s="248"/>
      <c r="C798" s="331"/>
      <c r="D798" s="248"/>
      <c r="E798" s="248"/>
      <c r="F798" s="248"/>
      <c r="G798" s="248"/>
      <c r="H798" s="248"/>
      <c r="I798" s="248"/>
      <c r="J798" s="248"/>
      <c r="K798" s="248"/>
      <c r="L798" s="248"/>
      <c r="M798" s="248"/>
      <c r="N798" s="248"/>
      <c r="O798" s="248"/>
      <c r="P798" s="248"/>
      <c r="Q798" s="248"/>
      <c r="R798" s="248"/>
      <c r="S798" s="248"/>
      <c r="T798" s="248"/>
      <c r="U798" s="248"/>
      <c r="V798" s="248"/>
      <c r="W798" s="248"/>
      <c r="X798" s="248"/>
      <c r="Y798" s="248"/>
      <c r="Z798" s="248"/>
      <c r="AA798" s="248"/>
      <c r="AB798" s="248"/>
    </row>
    <row r="799" spans="1:28" ht="13.8">
      <c r="A799" s="248"/>
      <c r="B799" s="248"/>
      <c r="C799" s="331"/>
      <c r="D799" s="248"/>
      <c r="E799" s="248"/>
      <c r="F799" s="248"/>
      <c r="G799" s="248"/>
      <c r="H799" s="248"/>
      <c r="I799" s="248"/>
      <c r="J799" s="248"/>
      <c r="K799" s="248"/>
      <c r="L799" s="248"/>
      <c r="M799" s="248"/>
      <c r="N799" s="248"/>
      <c r="O799" s="248"/>
      <c r="P799" s="248"/>
      <c r="Q799" s="248"/>
      <c r="R799" s="248"/>
      <c r="S799" s="248"/>
      <c r="T799" s="248"/>
      <c r="U799" s="248"/>
      <c r="V799" s="248"/>
      <c r="W799" s="248"/>
      <c r="X799" s="248"/>
      <c r="Y799" s="248"/>
      <c r="Z799" s="248"/>
      <c r="AA799" s="248"/>
      <c r="AB799" s="248"/>
    </row>
    <row r="800" spans="1:28" ht="13.8">
      <c r="A800" s="248"/>
      <c r="B800" s="248"/>
      <c r="C800" s="331"/>
      <c r="D800" s="248"/>
      <c r="E800" s="248"/>
      <c r="F800" s="248"/>
      <c r="G800" s="248"/>
      <c r="H800" s="248"/>
      <c r="I800" s="248"/>
      <c r="J800" s="248"/>
      <c r="K800" s="248"/>
      <c r="L800" s="248"/>
      <c r="M800" s="248"/>
      <c r="N800" s="248"/>
      <c r="O800" s="248"/>
      <c r="P800" s="248"/>
      <c r="Q800" s="248"/>
      <c r="R800" s="248"/>
      <c r="S800" s="248"/>
      <c r="T800" s="248"/>
      <c r="U800" s="248"/>
      <c r="V800" s="248"/>
      <c r="W800" s="248"/>
      <c r="X800" s="248"/>
      <c r="Y800" s="248"/>
      <c r="Z800" s="248"/>
      <c r="AA800" s="248"/>
      <c r="AB800" s="248"/>
    </row>
    <row r="801" spans="1:28" ht="13.8">
      <c r="A801" s="248"/>
      <c r="B801" s="248"/>
      <c r="C801" s="331"/>
      <c r="D801" s="248"/>
      <c r="E801" s="248"/>
      <c r="F801" s="248"/>
      <c r="G801" s="248"/>
      <c r="H801" s="248"/>
      <c r="I801" s="248"/>
      <c r="J801" s="248"/>
      <c r="K801" s="248"/>
      <c r="L801" s="248"/>
      <c r="M801" s="248"/>
      <c r="N801" s="248"/>
      <c r="O801" s="248"/>
      <c r="P801" s="248"/>
      <c r="Q801" s="248"/>
      <c r="R801" s="248"/>
      <c r="S801" s="248"/>
      <c r="T801" s="248"/>
      <c r="U801" s="248"/>
      <c r="V801" s="248"/>
      <c r="W801" s="248"/>
      <c r="X801" s="248"/>
      <c r="Y801" s="248"/>
      <c r="Z801" s="248"/>
      <c r="AA801" s="248"/>
      <c r="AB801" s="248"/>
    </row>
    <row r="802" spans="1:28" ht="13.8">
      <c r="A802" s="248"/>
      <c r="B802" s="248"/>
      <c r="C802" s="331"/>
      <c r="D802" s="248"/>
      <c r="E802" s="248"/>
      <c r="F802" s="248"/>
      <c r="G802" s="248"/>
      <c r="H802" s="248"/>
      <c r="I802" s="248"/>
      <c r="J802" s="248"/>
      <c r="K802" s="248"/>
      <c r="L802" s="248"/>
      <c r="M802" s="248"/>
      <c r="N802" s="248"/>
      <c r="O802" s="248"/>
      <c r="P802" s="248"/>
      <c r="Q802" s="248"/>
      <c r="R802" s="248"/>
      <c r="S802" s="248"/>
      <c r="T802" s="248"/>
      <c r="U802" s="248"/>
      <c r="V802" s="248"/>
      <c r="W802" s="248"/>
      <c r="X802" s="248"/>
      <c r="Y802" s="248"/>
      <c r="Z802" s="248"/>
      <c r="AA802" s="248"/>
      <c r="AB802" s="248"/>
    </row>
    <row r="803" spans="1:28" ht="13.8">
      <c r="A803" s="248"/>
      <c r="B803" s="248"/>
      <c r="C803" s="331"/>
      <c r="D803" s="248"/>
      <c r="E803" s="248"/>
      <c r="F803" s="248"/>
      <c r="G803" s="248"/>
      <c r="H803" s="248"/>
      <c r="I803" s="248"/>
      <c r="J803" s="248"/>
      <c r="K803" s="248"/>
      <c r="L803" s="248"/>
      <c r="M803" s="248"/>
      <c r="N803" s="248"/>
      <c r="O803" s="248"/>
      <c r="P803" s="248"/>
      <c r="Q803" s="248"/>
      <c r="R803" s="248"/>
      <c r="S803" s="248"/>
      <c r="T803" s="248"/>
      <c r="U803" s="248"/>
      <c r="V803" s="248"/>
      <c r="W803" s="248"/>
      <c r="X803" s="248"/>
      <c r="Y803" s="248"/>
      <c r="Z803" s="248"/>
      <c r="AA803" s="248"/>
      <c r="AB803" s="248"/>
    </row>
    <row r="804" spans="1:28" ht="13.8">
      <c r="A804" s="248"/>
      <c r="B804" s="248"/>
      <c r="C804" s="331"/>
      <c r="D804" s="248"/>
      <c r="E804" s="248"/>
      <c r="F804" s="248"/>
      <c r="G804" s="248"/>
      <c r="H804" s="248"/>
      <c r="I804" s="248"/>
      <c r="J804" s="248"/>
      <c r="K804" s="248"/>
      <c r="L804" s="248"/>
      <c r="M804" s="248"/>
      <c r="N804" s="248"/>
      <c r="O804" s="248"/>
      <c r="P804" s="248"/>
      <c r="Q804" s="248"/>
      <c r="R804" s="248"/>
      <c r="S804" s="248"/>
      <c r="T804" s="248"/>
      <c r="U804" s="248"/>
      <c r="V804" s="248"/>
      <c r="W804" s="248"/>
      <c r="X804" s="248"/>
      <c r="Y804" s="248"/>
      <c r="Z804" s="248"/>
      <c r="AA804" s="248"/>
      <c r="AB804" s="248"/>
    </row>
    <row r="805" spans="1:28" ht="13.8">
      <c r="A805" s="248"/>
      <c r="B805" s="248"/>
      <c r="C805" s="331"/>
      <c r="D805" s="248"/>
      <c r="E805" s="248"/>
      <c r="F805" s="248"/>
      <c r="G805" s="248"/>
      <c r="H805" s="248"/>
      <c r="I805" s="248"/>
      <c r="J805" s="248"/>
      <c r="K805" s="248"/>
      <c r="L805" s="248"/>
      <c r="M805" s="248"/>
      <c r="N805" s="248"/>
      <c r="O805" s="248"/>
      <c r="P805" s="248"/>
      <c r="Q805" s="248"/>
      <c r="R805" s="248"/>
      <c r="S805" s="248"/>
      <c r="T805" s="248"/>
      <c r="U805" s="248"/>
      <c r="V805" s="248"/>
      <c r="W805" s="248"/>
      <c r="X805" s="248"/>
      <c r="Y805" s="248"/>
      <c r="Z805" s="248"/>
      <c r="AA805" s="248"/>
      <c r="AB805" s="248"/>
    </row>
    <row r="806" spans="1:28" ht="13.8">
      <c r="A806" s="248"/>
      <c r="B806" s="248"/>
      <c r="C806" s="331"/>
      <c r="D806" s="248"/>
      <c r="E806" s="248"/>
      <c r="F806" s="248"/>
      <c r="G806" s="248"/>
      <c r="H806" s="248"/>
      <c r="I806" s="248"/>
      <c r="J806" s="248"/>
      <c r="K806" s="248"/>
      <c r="L806" s="248"/>
      <c r="M806" s="248"/>
      <c r="N806" s="248"/>
      <c r="O806" s="248"/>
      <c r="P806" s="248"/>
      <c r="Q806" s="248"/>
      <c r="R806" s="248"/>
      <c r="S806" s="248"/>
      <c r="T806" s="248"/>
      <c r="U806" s="248"/>
      <c r="V806" s="248"/>
      <c r="W806" s="248"/>
      <c r="X806" s="248"/>
      <c r="Y806" s="248"/>
      <c r="Z806" s="248"/>
      <c r="AA806" s="248"/>
      <c r="AB806" s="248"/>
    </row>
    <row r="807" spans="1:28" ht="13.8">
      <c r="A807" s="248"/>
      <c r="B807" s="248"/>
      <c r="C807" s="331"/>
      <c r="D807" s="248"/>
      <c r="E807" s="248"/>
      <c r="F807" s="248"/>
      <c r="G807" s="248"/>
      <c r="H807" s="248"/>
      <c r="I807" s="248"/>
      <c r="J807" s="248"/>
      <c r="K807" s="248"/>
      <c r="L807" s="248"/>
      <c r="M807" s="248"/>
      <c r="N807" s="248"/>
      <c r="O807" s="248"/>
      <c r="P807" s="248"/>
      <c r="Q807" s="248"/>
      <c r="R807" s="248"/>
      <c r="S807" s="248"/>
      <c r="T807" s="248"/>
      <c r="U807" s="248"/>
      <c r="V807" s="248"/>
      <c r="W807" s="248"/>
      <c r="X807" s="248"/>
      <c r="Y807" s="248"/>
      <c r="Z807" s="248"/>
      <c r="AA807" s="248"/>
      <c r="AB807" s="248"/>
    </row>
    <row r="808" spans="1:28" ht="13.8">
      <c r="A808" s="248"/>
      <c r="B808" s="248"/>
      <c r="C808" s="331"/>
      <c r="D808" s="248"/>
      <c r="E808" s="248"/>
      <c r="F808" s="248"/>
      <c r="G808" s="248"/>
      <c r="H808" s="248"/>
      <c r="I808" s="248"/>
      <c r="J808" s="248"/>
      <c r="K808" s="248"/>
      <c r="L808" s="248"/>
      <c r="M808" s="248"/>
      <c r="N808" s="248"/>
      <c r="O808" s="248"/>
      <c r="P808" s="248"/>
      <c r="Q808" s="248"/>
      <c r="R808" s="248"/>
      <c r="S808" s="248"/>
      <c r="T808" s="248"/>
      <c r="U808" s="248"/>
      <c r="V808" s="248"/>
      <c r="W808" s="248"/>
      <c r="X808" s="248"/>
      <c r="Y808" s="248"/>
      <c r="Z808" s="248"/>
      <c r="AA808" s="248"/>
      <c r="AB808" s="248"/>
    </row>
    <row r="809" spans="1:28" ht="13.8">
      <c r="A809" s="248"/>
      <c r="B809" s="248"/>
      <c r="C809" s="331"/>
      <c r="D809" s="248"/>
      <c r="E809" s="248"/>
      <c r="F809" s="248"/>
      <c r="G809" s="248"/>
      <c r="H809" s="248"/>
      <c r="I809" s="248"/>
      <c r="J809" s="248"/>
      <c r="K809" s="248"/>
      <c r="L809" s="248"/>
      <c r="M809" s="248"/>
      <c r="N809" s="248"/>
      <c r="O809" s="248"/>
      <c r="P809" s="248"/>
      <c r="Q809" s="248"/>
      <c r="R809" s="248"/>
      <c r="S809" s="248"/>
      <c r="T809" s="248"/>
      <c r="U809" s="248"/>
      <c r="V809" s="248"/>
      <c r="W809" s="248"/>
      <c r="X809" s="248"/>
      <c r="Y809" s="248"/>
      <c r="Z809" s="248"/>
      <c r="AA809" s="248"/>
      <c r="AB809" s="248"/>
    </row>
    <row r="810" spans="1:28" ht="13.8">
      <c r="A810" s="248"/>
      <c r="B810" s="248"/>
      <c r="C810" s="331"/>
      <c r="D810" s="248"/>
      <c r="E810" s="248"/>
      <c r="F810" s="248"/>
      <c r="G810" s="248"/>
      <c r="H810" s="248"/>
      <c r="I810" s="248"/>
      <c r="J810" s="248"/>
      <c r="K810" s="248"/>
      <c r="L810" s="248"/>
      <c r="M810" s="248"/>
      <c r="N810" s="248"/>
      <c r="O810" s="248"/>
      <c r="P810" s="248"/>
      <c r="Q810" s="248"/>
      <c r="R810" s="248"/>
      <c r="S810" s="248"/>
      <c r="T810" s="248"/>
      <c r="U810" s="248"/>
      <c r="V810" s="248"/>
      <c r="W810" s="248"/>
      <c r="X810" s="248"/>
      <c r="Y810" s="248"/>
      <c r="Z810" s="248"/>
      <c r="AA810" s="248"/>
      <c r="AB810" s="248"/>
    </row>
    <row r="811" spans="1:28" ht="13.8">
      <c r="A811" s="248"/>
      <c r="B811" s="248"/>
      <c r="C811" s="331"/>
      <c r="D811" s="248"/>
      <c r="E811" s="248"/>
      <c r="F811" s="248"/>
      <c r="G811" s="248"/>
      <c r="H811" s="248"/>
      <c r="I811" s="248"/>
      <c r="J811" s="248"/>
      <c r="K811" s="248"/>
      <c r="L811" s="248"/>
      <c r="M811" s="248"/>
      <c r="N811" s="248"/>
      <c r="O811" s="248"/>
      <c r="P811" s="248"/>
      <c r="Q811" s="248"/>
      <c r="R811" s="248"/>
      <c r="S811" s="248"/>
      <c r="T811" s="248"/>
      <c r="U811" s="248"/>
      <c r="V811" s="248"/>
      <c r="W811" s="248"/>
      <c r="X811" s="248"/>
      <c r="Y811" s="248"/>
      <c r="Z811" s="248"/>
      <c r="AA811" s="248"/>
      <c r="AB811" s="248"/>
    </row>
    <row r="812" spans="1:28" ht="13.8">
      <c r="A812" s="248"/>
      <c r="B812" s="248"/>
      <c r="C812" s="331"/>
      <c r="D812" s="248"/>
      <c r="E812" s="248"/>
      <c r="F812" s="248"/>
      <c r="G812" s="248"/>
      <c r="H812" s="248"/>
      <c r="I812" s="248"/>
      <c r="J812" s="248"/>
      <c r="K812" s="248"/>
      <c r="L812" s="248"/>
      <c r="M812" s="248"/>
      <c r="N812" s="248"/>
      <c r="O812" s="248"/>
      <c r="P812" s="248"/>
      <c r="Q812" s="248"/>
      <c r="R812" s="248"/>
      <c r="S812" s="248"/>
      <c r="T812" s="248"/>
      <c r="U812" s="248"/>
      <c r="V812" s="248"/>
      <c r="W812" s="248"/>
      <c r="X812" s="248"/>
      <c r="Y812" s="248"/>
      <c r="Z812" s="248"/>
      <c r="AA812" s="248"/>
      <c r="AB812" s="248"/>
    </row>
    <row r="813" spans="1:28" ht="13.8">
      <c r="A813" s="248"/>
      <c r="B813" s="248"/>
      <c r="C813" s="331"/>
      <c r="D813" s="248"/>
      <c r="E813" s="248"/>
      <c r="F813" s="248"/>
      <c r="G813" s="248"/>
      <c r="H813" s="248"/>
      <c r="I813" s="248"/>
      <c r="J813" s="248"/>
      <c r="K813" s="248"/>
      <c r="L813" s="248"/>
      <c r="M813" s="248"/>
      <c r="N813" s="248"/>
      <c r="O813" s="248"/>
      <c r="P813" s="248"/>
      <c r="Q813" s="248"/>
      <c r="R813" s="248"/>
      <c r="S813" s="248"/>
      <c r="T813" s="248"/>
      <c r="U813" s="248"/>
      <c r="V813" s="248"/>
      <c r="W813" s="248"/>
      <c r="X813" s="248"/>
      <c r="Y813" s="248"/>
      <c r="Z813" s="248"/>
      <c r="AA813" s="248"/>
      <c r="AB813" s="248"/>
    </row>
    <row r="814" spans="1:28" ht="13.8">
      <c r="A814" s="248"/>
      <c r="B814" s="248"/>
      <c r="C814" s="331"/>
      <c r="D814" s="248"/>
      <c r="E814" s="248"/>
      <c r="F814" s="248"/>
      <c r="G814" s="248"/>
      <c r="H814" s="248"/>
      <c r="I814" s="248"/>
      <c r="J814" s="248"/>
      <c r="K814" s="248"/>
      <c r="L814" s="248"/>
      <c r="M814" s="248"/>
      <c r="N814" s="248"/>
      <c r="O814" s="248"/>
      <c r="P814" s="248"/>
      <c r="Q814" s="248"/>
      <c r="R814" s="248"/>
      <c r="S814" s="248"/>
      <c r="T814" s="248"/>
      <c r="U814" s="248"/>
      <c r="V814" s="248"/>
      <c r="W814" s="248"/>
      <c r="X814" s="248"/>
      <c r="Y814" s="248"/>
      <c r="Z814" s="248"/>
      <c r="AA814" s="248"/>
      <c r="AB814" s="248"/>
    </row>
    <row r="815" spans="1:28" ht="13.8">
      <c r="A815" s="248"/>
      <c r="B815" s="248"/>
      <c r="C815" s="331"/>
      <c r="D815" s="248"/>
      <c r="E815" s="248"/>
      <c r="F815" s="248"/>
      <c r="G815" s="248"/>
      <c r="H815" s="248"/>
      <c r="I815" s="248"/>
      <c r="J815" s="248"/>
      <c r="K815" s="248"/>
      <c r="L815" s="248"/>
      <c r="M815" s="248"/>
      <c r="N815" s="248"/>
      <c r="O815" s="248"/>
      <c r="P815" s="248"/>
      <c r="Q815" s="248"/>
      <c r="R815" s="248"/>
      <c r="S815" s="248"/>
      <c r="T815" s="248"/>
      <c r="U815" s="248"/>
      <c r="V815" s="248"/>
      <c r="W815" s="248"/>
      <c r="X815" s="248"/>
      <c r="Y815" s="248"/>
      <c r="Z815" s="248"/>
      <c r="AA815" s="248"/>
      <c r="AB815" s="248"/>
    </row>
    <row r="816" spans="1:28" ht="13.8">
      <c r="A816" s="248"/>
      <c r="B816" s="248"/>
      <c r="C816" s="331"/>
      <c r="D816" s="248"/>
      <c r="E816" s="248"/>
      <c r="F816" s="248"/>
      <c r="G816" s="248"/>
      <c r="H816" s="248"/>
      <c r="I816" s="248"/>
      <c r="J816" s="248"/>
      <c r="K816" s="248"/>
      <c r="L816" s="248"/>
      <c r="M816" s="248"/>
      <c r="N816" s="248"/>
      <c r="O816" s="248"/>
      <c r="P816" s="248"/>
      <c r="Q816" s="248"/>
      <c r="R816" s="248"/>
      <c r="S816" s="248"/>
      <c r="T816" s="248"/>
      <c r="U816" s="248"/>
      <c r="V816" s="248"/>
      <c r="W816" s="248"/>
      <c r="X816" s="248"/>
      <c r="Y816" s="248"/>
      <c r="Z816" s="248"/>
      <c r="AA816" s="248"/>
      <c r="AB816" s="248"/>
    </row>
    <row r="817" spans="1:28" ht="13.8">
      <c r="A817" s="248"/>
      <c r="B817" s="248"/>
      <c r="C817" s="331"/>
      <c r="D817" s="248"/>
      <c r="E817" s="248"/>
      <c r="F817" s="248"/>
      <c r="G817" s="248"/>
      <c r="H817" s="248"/>
      <c r="I817" s="248"/>
      <c r="J817" s="248"/>
      <c r="K817" s="248"/>
      <c r="L817" s="248"/>
      <c r="M817" s="248"/>
      <c r="N817" s="248"/>
      <c r="O817" s="248"/>
      <c r="P817" s="248"/>
      <c r="Q817" s="248"/>
      <c r="R817" s="248"/>
      <c r="S817" s="248"/>
      <c r="T817" s="248"/>
      <c r="U817" s="248"/>
      <c r="V817" s="248"/>
      <c r="W817" s="248"/>
      <c r="X817" s="248"/>
      <c r="Y817" s="248"/>
      <c r="Z817" s="248"/>
      <c r="AA817" s="248"/>
      <c r="AB817" s="248"/>
    </row>
    <row r="818" spans="1:28" ht="13.8">
      <c r="A818" s="248"/>
      <c r="B818" s="248"/>
      <c r="C818" s="331"/>
      <c r="D818" s="248"/>
      <c r="E818" s="248"/>
      <c r="F818" s="248"/>
      <c r="G818" s="248"/>
      <c r="H818" s="248"/>
      <c r="I818" s="248"/>
      <c r="J818" s="248"/>
      <c r="K818" s="248"/>
      <c r="L818" s="248"/>
      <c r="M818" s="248"/>
      <c r="N818" s="248"/>
      <c r="O818" s="248"/>
      <c r="P818" s="248"/>
      <c r="Q818" s="248"/>
      <c r="R818" s="248"/>
      <c r="S818" s="248"/>
      <c r="T818" s="248"/>
      <c r="U818" s="248"/>
      <c r="V818" s="248"/>
      <c r="W818" s="248"/>
      <c r="X818" s="248"/>
      <c r="Y818" s="248"/>
      <c r="Z818" s="248"/>
      <c r="AA818" s="248"/>
      <c r="AB818" s="248"/>
    </row>
    <row r="819" spans="1:28" ht="13.8">
      <c r="A819" s="248"/>
      <c r="B819" s="248"/>
      <c r="C819" s="331"/>
      <c r="D819" s="248"/>
      <c r="E819" s="248"/>
      <c r="F819" s="248"/>
      <c r="G819" s="248"/>
      <c r="H819" s="248"/>
      <c r="I819" s="248"/>
      <c r="J819" s="248"/>
      <c r="K819" s="248"/>
      <c r="L819" s="248"/>
      <c r="M819" s="248"/>
      <c r="N819" s="248"/>
      <c r="O819" s="248"/>
      <c r="P819" s="248"/>
      <c r="Q819" s="248"/>
      <c r="R819" s="248"/>
      <c r="S819" s="248"/>
      <c r="T819" s="248"/>
      <c r="U819" s="248"/>
      <c r="V819" s="248"/>
      <c r="W819" s="248"/>
      <c r="X819" s="248"/>
      <c r="Y819" s="248"/>
      <c r="Z819" s="248"/>
      <c r="AA819" s="248"/>
      <c r="AB819" s="248"/>
    </row>
    <row r="820" spans="1:28" ht="13.8">
      <c r="A820" s="248"/>
      <c r="B820" s="248"/>
      <c r="C820" s="331"/>
      <c r="D820" s="248"/>
      <c r="E820" s="248"/>
      <c r="F820" s="248"/>
      <c r="G820" s="248"/>
      <c r="H820" s="248"/>
      <c r="I820" s="248"/>
      <c r="J820" s="248"/>
      <c r="K820" s="248"/>
      <c r="L820" s="248"/>
      <c r="M820" s="248"/>
      <c r="N820" s="248"/>
      <c r="O820" s="248"/>
      <c r="P820" s="248"/>
      <c r="Q820" s="248"/>
      <c r="R820" s="248"/>
      <c r="S820" s="248"/>
      <c r="T820" s="248"/>
      <c r="U820" s="248"/>
      <c r="V820" s="248"/>
      <c r="W820" s="248"/>
      <c r="X820" s="248"/>
      <c r="Y820" s="248"/>
      <c r="Z820" s="248"/>
      <c r="AA820" s="248"/>
      <c r="AB820" s="248"/>
    </row>
    <row r="821" spans="1:28" ht="13.8">
      <c r="A821" s="248"/>
      <c r="B821" s="248"/>
      <c r="C821" s="331"/>
      <c r="D821" s="248"/>
      <c r="E821" s="248"/>
      <c r="F821" s="248"/>
      <c r="G821" s="248"/>
      <c r="H821" s="248"/>
      <c r="I821" s="248"/>
      <c r="J821" s="248"/>
      <c r="K821" s="248"/>
      <c r="L821" s="248"/>
      <c r="M821" s="248"/>
      <c r="N821" s="248"/>
      <c r="O821" s="248"/>
      <c r="P821" s="248"/>
      <c r="Q821" s="248"/>
      <c r="R821" s="248"/>
      <c r="S821" s="248"/>
      <c r="T821" s="248"/>
      <c r="U821" s="248"/>
      <c r="V821" s="248"/>
      <c r="W821" s="248"/>
      <c r="X821" s="248"/>
      <c r="Y821" s="248"/>
      <c r="Z821" s="248"/>
      <c r="AA821" s="248"/>
      <c r="AB821" s="248"/>
    </row>
    <row r="822" spans="1:28" ht="13.8">
      <c r="A822" s="248"/>
      <c r="B822" s="248"/>
      <c r="C822" s="331"/>
      <c r="D822" s="248"/>
      <c r="E822" s="248"/>
      <c r="F822" s="248"/>
      <c r="G822" s="248"/>
      <c r="H822" s="248"/>
      <c r="I822" s="248"/>
      <c r="J822" s="248"/>
      <c r="K822" s="248"/>
      <c r="L822" s="248"/>
      <c r="M822" s="248"/>
      <c r="N822" s="248"/>
      <c r="O822" s="248"/>
      <c r="P822" s="248"/>
      <c r="Q822" s="248"/>
      <c r="R822" s="248"/>
      <c r="S822" s="248"/>
      <c r="T822" s="248"/>
      <c r="U822" s="248"/>
      <c r="V822" s="248"/>
      <c r="W822" s="248"/>
      <c r="X822" s="248"/>
      <c r="Y822" s="248"/>
      <c r="Z822" s="248"/>
      <c r="AA822" s="248"/>
      <c r="AB822" s="248"/>
    </row>
    <row r="823" spans="1:28" ht="13.8">
      <c r="A823" s="248"/>
      <c r="B823" s="248"/>
      <c r="C823" s="331"/>
      <c r="D823" s="248"/>
      <c r="E823" s="248"/>
      <c r="F823" s="248"/>
      <c r="G823" s="248"/>
      <c r="H823" s="248"/>
      <c r="I823" s="248"/>
      <c r="J823" s="248"/>
      <c r="K823" s="248"/>
      <c r="L823" s="248"/>
      <c r="M823" s="248"/>
      <c r="N823" s="248"/>
      <c r="O823" s="248"/>
      <c r="P823" s="248"/>
      <c r="Q823" s="248"/>
      <c r="R823" s="248"/>
      <c r="S823" s="248"/>
      <c r="T823" s="248"/>
      <c r="U823" s="248"/>
      <c r="V823" s="248"/>
      <c r="W823" s="248"/>
      <c r="X823" s="248"/>
      <c r="Y823" s="248"/>
      <c r="Z823" s="248"/>
      <c r="AA823" s="248"/>
      <c r="AB823" s="248"/>
    </row>
    <row r="824" spans="1:28" ht="13.8">
      <c r="A824" s="248"/>
      <c r="B824" s="248"/>
      <c r="C824" s="331"/>
      <c r="D824" s="248"/>
      <c r="E824" s="248"/>
      <c r="F824" s="248"/>
      <c r="G824" s="248"/>
      <c r="H824" s="248"/>
      <c r="I824" s="248"/>
      <c r="J824" s="248"/>
      <c r="K824" s="248"/>
      <c r="L824" s="248"/>
      <c r="M824" s="248"/>
      <c r="N824" s="248"/>
      <c r="O824" s="248"/>
      <c r="P824" s="248"/>
      <c r="Q824" s="248"/>
      <c r="R824" s="248"/>
      <c r="S824" s="248"/>
      <c r="T824" s="248"/>
      <c r="U824" s="248"/>
      <c r="V824" s="248"/>
      <c r="W824" s="248"/>
      <c r="X824" s="248"/>
      <c r="Y824" s="248"/>
      <c r="Z824" s="248"/>
      <c r="AA824" s="248"/>
      <c r="AB824" s="248"/>
    </row>
    <row r="825" spans="1:28" ht="13.8">
      <c r="A825" s="248"/>
      <c r="B825" s="248"/>
      <c r="C825" s="331"/>
      <c r="D825" s="248"/>
      <c r="E825" s="248"/>
      <c r="F825" s="248"/>
      <c r="G825" s="248"/>
      <c r="H825" s="248"/>
      <c r="I825" s="248"/>
      <c r="J825" s="248"/>
      <c r="K825" s="248"/>
      <c r="L825" s="248"/>
      <c r="M825" s="248"/>
      <c r="N825" s="248"/>
      <c r="O825" s="248"/>
      <c r="P825" s="248"/>
      <c r="Q825" s="248"/>
      <c r="R825" s="248"/>
      <c r="S825" s="248"/>
      <c r="T825" s="248"/>
      <c r="U825" s="248"/>
      <c r="V825" s="248"/>
      <c r="W825" s="248"/>
      <c r="X825" s="248"/>
      <c r="Y825" s="248"/>
      <c r="Z825" s="248"/>
      <c r="AA825" s="248"/>
      <c r="AB825" s="248"/>
    </row>
    <row r="826" spans="1:28" ht="13.8">
      <c r="A826" s="248"/>
      <c r="B826" s="248"/>
      <c r="C826" s="331"/>
      <c r="D826" s="248"/>
      <c r="E826" s="248"/>
      <c r="F826" s="248"/>
      <c r="G826" s="248"/>
      <c r="H826" s="248"/>
      <c r="I826" s="248"/>
      <c r="J826" s="248"/>
      <c r="K826" s="248"/>
      <c r="L826" s="248"/>
      <c r="M826" s="248"/>
      <c r="N826" s="248"/>
      <c r="O826" s="248"/>
      <c r="P826" s="248"/>
      <c r="Q826" s="248"/>
      <c r="R826" s="248"/>
      <c r="S826" s="248"/>
      <c r="T826" s="248"/>
      <c r="U826" s="248"/>
      <c r="V826" s="248"/>
      <c r="W826" s="248"/>
      <c r="X826" s="248"/>
      <c r="Y826" s="248"/>
      <c r="Z826" s="248"/>
      <c r="AA826" s="248"/>
      <c r="AB826" s="248"/>
    </row>
    <row r="827" spans="1:28" ht="13.8">
      <c r="A827" s="248"/>
      <c r="B827" s="248"/>
      <c r="C827" s="331"/>
      <c r="D827" s="248"/>
      <c r="E827" s="248"/>
      <c r="F827" s="248"/>
      <c r="G827" s="248"/>
      <c r="H827" s="248"/>
      <c r="I827" s="248"/>
      <c r="J827" s="248"/>
      <c r="K827" s="248"/>
      <c r="L827" s="248"/>
      <c r="M827" s="248"/>
      <c r="N827" s="248"/>
      <c r="O827" s="248"/>
      <c r="P827" s="248"/>
      <c r="Q827" s="248"/>
      <c r="R827" s="248"/>
      <c r="S827" s="248"/>
      <c r="T827" s="248"/>
      <c r="U827" s="248"/>
      <c r="V827" s="248"/>
      <c r="W827" s="248"/>
      <c r="X827" s="248"/>
      <c r="Y827" s="248"/>
      <c r="Z827" s="248"/>
      <c r="AA827" s="248"/>
      <c r="AB827" s="248"/>
    </row>
    <row r="828" spans="1:28" ht="13.8">
      <c r="A828" s="248"/>
      <c r="B828" s="248"/>
      <c r="C828" s="331"/>
      <c r="D828" s="248"/>
      <c r="E828" s="248"/>
      <c r="F828" s="248"/>
      <c r="G828" s="248"/>
      <c r="H828" s="248"/>
      <c r="I828" s="248"/>
      <c r="J828" s="248"/>
      <c r="K828" s="248"/>
      <c r="L828" s="248"/>
      <c r="M828" s="248"/>
      <c r="N828" s="248"/>
      <c r="O828" s="248"/>
      <c r="P828" s="248"/>
      <c r="Q828" s="248"/>
      <c r="R828" s="248"/>
      <c r="S828" s="248"/>
      <c r="T828" s="248"/>
      <c r="U828" s="248"/>
      <c r="V828" s="248"/>
      <c r="W828" s="248"/>
      <c r="X828" s="248"/>
      <c r="Y828" s="248"/>
      <c r="Z828" s="248"/>
      <c r="AA828" s="248"/>
      <c r="AB828" s="248"/>
    </row>
    <row r="829" spans="1:28" ht="13.8">
      <c r="A829" s="248"/>
      <c r="B829" s="248"/>
      <c r="C829" s="331"/>
      <c r="D829" s="248"/>
      <c r="E829" s="248"/>
      <c r="F829" s="248"/>
      <c r="G829" s="248"/>
      <c r="H829" s="248"/>
      <c r="I829" s="248"/>
      <c r="J829" s="248"/>
      <c r="K829" s="248"/>
      <c r="L829" s="248"/>
      <c r="M829" s="248"/>
      <c r="N829" s="248"/>
      <c r="O829" s="248"/>
      <c r="P829" s="248"/>
      <c r="Q829" s="248"/>
      <c r="R829" s="248"/>
      <c r="S829" s="248"/>
      <c r="T829" s="248"/>
      <c r="U829" s="248"/>
      <c r="V829" s="248"/>
      <c r="W829" s="248"/>
      <c r="X829" s="248"/>
      <c r="Y829" s="248"/>
      <c r="Z829" s="248"/>
      <c r="AA829" s="248"/>
      <c r="AB829" s="248"/>
    </row>
    <row r="830" spans="1:28" ht="13.8">
      <c r="A830" s="248"/>
      <c r="B830" s="248"/>
      <c r="C830" s="331"/>
      <c r="D830" s="248"/>
      <c r="E830" s="248"/>
      <c r="F830" s="248"/>
      <c r="G830" s="248"/>
      <c r="H830" s="248"/>
      <c r="I830" s="248"/>
      <c r="J830" s="248"/>
      <c r="K830" s="248"/>
      <c r="L830" s="248"/>
      <c r="M830" s="248"/>
      <c r="N830" s="248"/>
      <c r="O830" s="248"/>
      <c r="P830" s="248"/>
      <c r="Q830" s="248"/>
      <c r="R830" s="248"/>
      <c r="S830" s="248"/>
      <c r="T830" s="248"/>
      <c r="U830" s="248"/>
      <c r="V830" s="248"/>
      <c r="W830" s="248"/>
      <c r="X830" s="248"/>
      <c r="Y830" s="248"/>
      <c r="Z830" s="248"/>
      <c r="AA830" s="248"/>
      <c r="AB830" s="248"/>
    </row>
    <row r="831" spans="1:28" ht="13.8">
      <c r="A831" s="248"/>
      <c r="B831" s="248"/>
      <c r="C831" s="331"/>
      <c r="D831" s="248"/>
      <c r="E831" s="248"/>
      <c r="F831" s="248"/>
      <c r="G831" s="248"/>
      <c r="H831" s="248"/>
      <c r="I831" s="248"/>
      <c r="J831" s="248"/>
      <c r="K831" s="248"/>
      <c r="L831" s="248"/>
      <c r="M831" s="248"/>
      <c r="N831" s="248"/>
      <c r="O831" s="248"/>
      <c r="P831" s="248"/>
      <c r="Q831" s="248"/>
      <c r="R831" s="248"/>
      <c r="S831" s="248"/>
      <c r="T831" s="248"/>
      <c r="U831" s="248"/>
      <c r="V831" s="248"/>
      <c r="W831" s="248"/>
      <c r="X831" s="248"/>
      <c r="Y831" s="248"/>
      <c r="Z831" s="248"/>
      <c r="AA831" s="248"/>
      <c r="AB831" s="248"/>
    </row>
    <row r="832" spans="1:28" ht="13.8">
      <c r="A832" s="248"/>
      <c r="B832" s="248"/>
      <c r="C832" s="331"/>
      <c r="D832" s="248"/>
      <c r="E832" s="248"/>
      <c r="F832" s="248"/>
      <c r="G832" s="248"/>
      <c r="H832" s="248"/>
      <c r="I832" s="248"/>
      <c r="J832" s="248"/>
      <c r="K832" s="248"/>
      <c r="L832" s="248"/>
      <c r="M832" s="248"/>
      <c r="N832" s="248"/>
      <c r="O832" s="248"/>
      <c r="P832" s="248"/>
      <c r="Q832" s="248"/>
      <c r="R832" s="248"/>
      <c r="S832" s="248"/>
      <c r="T832" s="248"/>
      <c r="U832" s="248"/>
      <c r="V832" s="248"/>
      <c r="W832" s="248"/>
      <c r="X832" s="248"/>
      <c r="Y832" s="248"/>
      <c r="Z832" s="248"/>
      <c r="AA832" s="248"/>
      <c r="AB832" s="248"/>
    </row>
    <row r="833" spans="1:28" ht="13.8">
      <c r="A833" s="248"/>
      <c r="B833" s="248"/>
      <c r="C833" s="331"/>
      <c r="D833" s="248"/>
      <c r="E833" s="248"/>
      <c r="F833" s="248"/>
      <c r="G833" s="248"/>
      <c r="H833" s="248"/>
      <c r="I833" s="248"/>
      <c r="J833" s="248"/>
      <c r="K833" s="248"/>
      <c r="L833" s="248"/>
      <c r="M833" s="248"/>
      <c r="N833" s="248"/>
      <c r="O833" s="248"/>
      <c r="P833" s="248"/>
      <c r="Q833" s="248"/>
      <c r="R833" s="248"/>
      <c r="S833" s="248"/>
      <c r="T833" s="248"/>
      <c r="U833" s="248"/>
      <c r="V833" s="248"/>
      <c r="W833" s="248"/>
      <c r="X833" s="248"/>
      <c r="Y833" s="248"/>
      <c r="Z833" s="248"/>
      <c r="AA833" s="248"/>
      <c r="AB833" s="248"/>
    </row>
    <row r="834" spans="1:28" ht="13.8">
      <c r="A834" s="248"/>
      <c r="B834" s="248"/>
      <c r="C834" s="331"/>
      <c r="D834" s="248"/>
      <c r="E834" s="248"/>
      <c r="F834" s="248"/>
      <c r="G834" s="248"/>
      <c r="H834" s="248"/>
      <c r="I834" s="248"/>
      <c r="J834" s="248"/>
      <c r="K834" s="248"/>
      <c r="L834" s="248"/>
      <c r="M834" s="248"/>
      <c r="N834" s="248"/>
      <c r="O834" s="248"/>
      <c r="P834" s="248"/>
      <c r="Q834" s="248"/>
      <c r="R834" s="248"/>
      <c r="S834" s="248"/>
      <c r="T834" s="248"/>
      <c r="U834" s="248"/>
      <c r="V834" s="248"/>
      <c r="W834" s="248"/>
      <c r="X834" s="248"/>
      <c r="Y834" s="248"/>
      <c r="Z834" s="248"/>
      <c r="AA834" s="248"/>
      <c r="AB834" s="248"/>
    </row>
    <row r="835" spans="1:28" ht="13.8">
      <c r="A835" s="248"/>
      <c r="B835" s="248"/>
      <c r="C835" s="331"/>
      <c r="D835" s="248"/>
      <c r="E835" s="248"/>
      <c r="F835" s="248"/>
      <c r="G835" s="248"/>
      <c r="H835" s="248"/>
      <c r="I835" s="248"/>
      <c r="J835" s="248"/>
      <c r="K835" s="248"/>
      <c r="L835" s="248"/>
      <c r="M835" s="248"/>
      <c r="N835" s="248"/>
      <c r="O835" s="248"/>
      <c r="P835" s="248"/>
      <c r="Q835" s="248"/>
      <c r="R835" s="248"/>
      <c r="S835" s="248"/>
      <c r="T835" s="248"/>
      <c r="U835" s="248"/>
      <c r="V835" s="248"/>
      <c r="W835" s="248"/>
      <c r="X835" s="248"/>
      <c r="Y835" s="248"/>
      <c r="Z835" s="248"/>
      <c r="AA835" s="248"/>
      <c r="AB835" s="248"/>
    </row>
    <row r="836" spans="1:28" ht="13.8">
      <c r="A836" s="248"/>
      <c r="B836" s="248"/>
      <c r="C836" s="331"/>
      <c r="D836" s="248"/>
      <c r="E836" s="248"/>
      <c r="F836" s="248"/>
      <c r="G836" s="248"/>
      <c r="H836" s="248"/>
      <c r="I836" s="248"/>
      <c r="J836" s="248"/>
      <c r="K836" s="248"/>
      <c r="L836" s="248"/>
      <c r="M836" s="248"/>
      <c r="N836" s="248"/>
      <c r="O836" s="248"/>
      <c r="P836" s="248"/>
      <c r="Q836" s="248"/>
      <c r="R836" s="248"/>
      <c r="S836" s="248"/>
      <c r="T836" s="248"/>
      <c r="U836" s="248"/>
      <c r="V836" s="248"/>
      <c r="W836" s="248"/>
      <c r="X836" s="248"/>
      <c r="Y836" s="248"/>
      <c r="Z836" s="248"/>
      <c r="AA836" s="248"/>
      <c r="AB836" s="248"/>
    </row>
    <row r="837" spans="1:28" ht="13.8">
      <c r="A837" s="248"/>
      <c r="B837" s="248"/>
      <c r="C837" s="331"/>
      <c r="D837" s="248"/>
      <c r="E837" s="248"/>
      <c r="F837" s="248"/>
      <c r="G837" s="248"/>
      <c r="H837" s="248"/>
      <c r="I837" s="248"/>
      <c r="J837" s="248"/>
      <c r="K837" s="248"/>
      <c r="L837" s="248"/>
      <c r="M837" s="248"/>
      <c r="N837" s="248"/>
      <c r="O837" s="248"/>
      <c r="P837" s="248"/>
      <c r="Q837" s="248"/>
      <c r="R837" s="248"/>
      <c r="S837" s="248"/>
      <c r="T837" s="248"/>
      <c r="U837" s="248"/>
      <c r="V837" s="248"/>
      <c r="W837" s="248"/>
      <c r="X837" s="248"/>
      <c r="Y837" s="248"/>
      <c r="Z837" s="248"/>
      <c r="AA837" s="248"/>
      <c r="AB837" s="248"/>
    </row>
    <row r="838" spans="1:28" ht="13.8">
      <c r="A838" s="248"/>
      <c r="B838" s="248"/>
      <c r="C838" s="331"/>
      <c r="D838" s="248"/>
      <c r="E838" s="248"/>
      <c r="F838" s="248"/>
      <c r="G838" s="248"/>
      <c r="H838" s="248"/>
      <c r="I838" s="248"/>
      <c r="J838" s="248"/>
      <c r="K838" s="248"/>
      <c r="L838" s="248"/>
      <c r="M838" s="248"/>
      <c r="N838" s="248"/>
      <c r="O838" s="248"/>
      <c r="P838" s="248"/>
      <c r="Q838" s="248"/>
      <c r="R838" s="248"/>
      <c r="S838" s="248"/>
      <c r="T838" s="248"/>
      <c r="U838" s="248"/>
      <c r="V838" s="248"/>
      <c r="W838" s="248"/>
      <c r="X838" s="248"/>
      <c r="Y838" s="248"/>
      <c r="Z838" s="248"/>
      <c r="AA838" s="248"/>
      <c r="AB838" s="248"/>
    </row>
    <row r="839" spans="1:28" ht="13.8">
      <c r="A839" s="248"/>
      <c r="B839" s="248"/>
      <c r="C839" s="331"/>
      <c r="D839" s="248"/>
      <c r="E839" s="248"/>
      <c r="F839" s="248"/>
      <c r="G839" s="248"/>
      <c r="H839" s="248"/>
      <c r="I839" s="248"/>
      <c r="J839" s="248"/>
      <c r="K839" s="248"/>
      <c r="L839" s="248"/>
      <c r="M839" s="248"/>
      <c r="N839" s="248"/>
      <c r="O839" s="248"/>
      <c r="P839" s="248"/>
      <c r="Q839" s="248"/>
      <c r="R839" s="248"/>
      <c r="S839" s="248"/>
      <c r="T839" s="248"/>
      <c r="U839" s="248"/>
      <c r="V839" s="248"/>
      <c r="W839" s="248"/>
      <c r="X839" s="248"/>
      <c r="Y839" s="248"/>
      <c r="Z839" s="248"/>
      <c r="AA839" s="248"/>
      <c r="AB839" s="248"/>
    </row>
    <row r="840" spans="1:28" ht="13.8">
      <c r="A840" s="248"/>
      <c r="B840" s="248"/>
      <c r="C840" s="331"/>
      <c r="D840" s="248"/>
      <c r="E840" s="248"/>
      <c r="F840" s="248"/>
      <c r="G840" s="248"/>
      <c r="H840" s="248"/>
      <c r="I840" s="248"/>
      <c r="J840" s="248"/>
      <c r="K840" s="248"/>
      <c r="L840" s="248"/>
      <c r="M840" s="248"/>
      <c r="N840" s="248"/>
      <c r="O840" s="248"/>
      <c r="P840" s="248"/>
      <c r="Q840" s="248"/>
      <c r="R840" s="248"/>
      <c r="S840" s="248"/>
      <c r="T840" s="248"/>
      <c r="U840" s="248"/>
      <c r="V840" s="248"/>
      <c r="W840" s="248"/>
      <c r="X840" s="248"/>
      <c r="Y840" s="248"/>
      <c r="Z840" s="248"/>
      <c r="AA840" s="248"/>
      <c r="AB840" s="248"/>
    </row>
    <row r="841" spans="1:28" ht="13.8">
      <c r="A841" s="248"/>
      <c r="B841" s="248"/>
      <c r="C841" s="331"/>
      <c r="D841" s="248"/>
      <c r="E841" s="248"/>
      <c r="F841" s="248"/>
      <c r="G841" s="248"/>
      <c r="H841" s="248"/>
      <c r="I841" s="248"/>
      <c r="J841" s="248"/>
      <c r="K841" s="248"/>
      <c r="L841" s="248"/>
      <c r="M841" s="248"/>
      <c r="N841" s="248"/>
      <c r="O841" s="248"/>
      <c r="P841" s="248"/>
      <c r="Q841" s="248"/>
      <c r="R841" s="248"/>
      <c r="S841" s="248"/>
      <c r="T841" s="248"/>
      <c r="U841" s="248"/>
      <c r="V841" s="248"/>
      <c r="W841" s="248"/>
      <c r="X841" s="248"/>
      <c r="Y841" s="248"/>
      <c r="Z841" s="248"/>
      <c r="AA841" s="248"/>
      <c r="AB841" s="248"/>
    </row>
    <row r="842" spans="1:28" ht="13.8">
      <c r="A842" s="248"/>
      <c r="B842" s="248"/>
      <c r="C842" s="331"/>
      <c r="D842" s="248"/>
      <c r="E842" s="248"/>
      <c r="F842" s="248"/>
      <c r="G842" s="248"/>
      <c r="H842" s="248"/>
      <c r="I842" s="248"/>
      <c r="J842" s="248"/>
      <c r="K842" s="248"/>
      <c r="L842" s="248"/>
      <c r="M842" s="248"/>
      <c r="N842" s="248"/>
      <c r="O842" s="248"/>
      <c r="P842" s="248"/>
      <c r="Q842" s="248"/>
      <c r="R842" s="248"/>
      <c r="S842" s="248"/>
      <c r="T842" s="248"/>
      <c r="U842" s="248"/>
      <c r="V842" s="248"/>
      <c r="W842" s="248"/>
      <c r="X842" s="248"/>
      <c r="Y842" s="248"/>
      <c r="Z842" s="248"/>
      <c r="AA842" s="248"/>
      <c r="AB842" s="248"/>
    </row>
    <row r="843" spans="1:28" ht="13.8">
      <c r="A843" s="248"/>
      <c r="B843" s="248"/>
      <c r="C843" s="331"/>
      <c r="D843" s="248"/>
      <c r="E843" s="248"/>
      <c r="F843" s="248"/>
      <c r="G843" s="248"/>
      <c r="H843" s="248"/>
      <c r="I843" s="248"/>
      <c r="J843" s="248"/>
      <c r="K843" s="248"/>
      <c r="L843" s="248"/>
      <c r="M843" s="248"/>
      <c r="N843" s="248"/>
      <c r="O843" s="248"/>
      <c r="P843" s="248"/>
      <c r="Q843" s="248"/>
      <c r="R843" s="248"/>
      <c r="S843" s="248"/>
      <c r="T843" s="248"/>
      <c r="U843" s="248"/>
      <c r="V843" s="248"/>
      <c r="W843" s="248"/>
      <c r="X843" s="248"/>
      <c r="Y843" s="248"/>
      <c r="Z843" s="248"/>
      <c r="AA843" s="248"/>
      <c r="AB843" s="248"/>
    </row>
    <row r="844" spans="1:28" ht="13.8">
      <c r="A844" s="248"/>
      <c r="B844" s="248"/>
      <c r="C844" s="331"/>
      <c r="D844" s="248"/>
      <c r="E844" s="248"/>
      <c r="F844" s="248"/>
      <c r="G844" s="248"/>
      <c r="H844" s="248"/>
      <c r="I844" s="248"/>
      <c r="J844" s="248"/>
      <c r="K844" s="248"/>
      <c r="L844" s="248"/>
      <c r="M844" s="248"/>
      <c r="N844" s="248"/>
      <c r="O844" s="248"/>
      <c r="P844" s="248"/>
      <c r="Q844" s="248"/>
      <c r="R844" s="248"/>
      <c r="S844" s="248"/>
      <c r="T844" s="248"/>
      <c r="U844" s="248"/>
      <c r="V844" s="248"/>
      <c r="W844" s="248"/>
      <c r="X844" s="248"/>
      <c r="Y844" s="248"/>
      <c r="Z844" s="248"/>
      <c r="AA844" s="248"/>
      <c r="AB844" s="248"/>
    </row>
    <row r="845" spans="1:28" ht="13.8">
      <c r="A845" s="248"/>
      <c r="B845" s="248"/>
      <c r="C845" s="331"/>
      <c r="D845" s="248"/>
      <c r="E845" s="248"/>
      <c r="F845" s="248"/>
      <c r="G845" s="248"/>
      <c r="H845" s="248"/>
      <c r="I845" s="248"/>
      <c r="J845" s="248"/>
      <c r="K845" s="248"/>
      <c r="L845" s="248"/>
      <c r="M845" s="248"/>
      <c r="N845" s="248"/>
      <c r="O845" s="248"/>
      <c r="P845" s="248"/>
      <c r="Q845" s="248"/>
      <c r="R845" s="248"/>
      <c r="S845" s="248"/>
      <c r="T845" s="248"/>
      <c r="U845" s="248"/>
      <c r="V845" s="248"/>
      <c r="W845" s="248"/>
      <c r="X845" s="248"/>
      <c r="Y845" s="248"/>
      <c r="Z845" s="248"/>
      <c r="AA845" s="248"/>
      <c r="AB845" s="248"/>
    </row>
    <row r="846" spans="1:28" ht="13.8">
      <c r="A846" s="248"/>
      <c r="B846" s="248"/>
      <c r="C846" s="331"/>
      <c r="D846" s="248"/>
      <c r="E846" s="248"/>
      <c r="F846" s="248"/>
      <c r="G846" s="248"/>
      <c r="H846" s="248"/>
      <c r="I846" s="248"/>
      <c r="J846" s="248"/>
      <c r="K846" s="248"/>
      <c r="L846" s="248"/>
      <c r="M846" s="248"/>
      <c r="N846" s="248"/>
      <c r="O846" s="248"/>
      <c r="P846" s="248"/>
      <c r="Q846" s="248"/>
      <c r="R846" s="248"/>
      <c r="S846" s="248"/>
      <c r="T846" s="248"/>
      <c r="U846" s="248"/>
      <c r="V846" s="248"/>
      <c r="W846" s="248"/>
      <c r="X846" s="248"/>
      <c r="Y846" s="248"/>
      <c r="Z846" s="248"/>
      <c r="AA846" s="248"/>
      <c r="AB846" s="248"/>
    </row>
    <row r="847" spans="1:28" ht="13.8">
      <c r="A847" s="248"/>
      <c r="B847" s="248"/>
      <c r="C847" s="331"/>
      <c r="D847" s="248"/>
      <c r="E847" s="248"/>
      <c r="F847" s="248"/>
      <c r="G847" s="248"/>
      <c r="H847" s="248"/>
      <c r="I847" s="248"/>
      <c r="J847" s="248"/>
      <c r="K847" s="248"/>
      <c r="L847" s="248"/>
      <c r="M847" s="248"/>
      <c r="N847" s="248"/>
      <c r="O847" s="248"/>
      <c r="P847" s="248"/>
      <c r="Q847" s="248"/>
      <c r="R847" s="248"/>
      <c r="S847" s="248"/>
      <c r="T847" s="248"/>
      <c r="U847" s="248"/>
      <c r="V847" s="248"/>
      <c r="W847" s="248"/>
      <c r="X847" s="248"/>
      <c r="Y847" s="248"/>
      <c r="Z847" s="248"/>
      <c r="AA847" s="248"/>
      <c r="AB847" s="248"/>
    </row>
    <row r="848" spans="1:28" ht="13.8">
      <c r="A848" s="248"/>
      <c r="B848" s="248"/>
      <c r="C848" s="331"/>
      <c r="D848" s="248"/>
      <c r="E848" s="248"/>
      <c r="F848" s="248"/>
      <c r="G848" s="248"/>
      <c r="H848" s="248"/>
      <c r="I848" s="248"/>
      <c r="J848" s="248"/>
      <c r="K848" s="248"/>
      <c r="L848" s="248"/>
      <c r="M848" s="248"/>
      <c r="N848" s="248"/>
      <c r="O848" s="248"/>
      <c r="P848" s="248"/>
      <c r="Q848" s="248"/>
      <c r="R848" s="248"/>
      <c r="S848" s="248"/>
      <c r="T848" s="248"/>
      <c r="U848" s="248"/>
      <c r="V848" s="248"/>
      <c r="W848" s="248"/>
      <c r="X848" s="248"/>
      <c r="Y848" s="248"/>
      <c r="Z848" s="248"/>
      <c r="AA848" s="248"/>
      <c r="AB848" s="248"/>
    </row>
    <row r="849" spans="1:28" ht="13.8">
      <c r="A849" s="248"/>
      <c r="B849" s="248"/>
      <c r="C849" s="331"/>
      <c r="D849" s="248"/>
      <c r="E849" s="248"/>
      <c r="F849" s="248"/>
      <c r="G849" s="248"/>
      <c r="H849" s="248"/>
      <c r="I849" s="248"/>
      <c r="J849" s="248"/>
      <c r="K849" s="248"/>
      <c r="L849" s="248"/>
      <c r="M849" s="248"/>
      <c r="N849" s="248"/>
      <c r="O849" s="248"/>
      <c r="P849" s="248"/>
      <c r="Q849" s="248"/>
      <c r="R849" s="248"/>
      <c r="S849" s="248"/>
      <c r="T849" s="248"/>
      <c r="U849" s="248"/>
      <c r="V849" s="248"/>
      <c r="W849" s="248"/>
      <c r="X849" s="248"/>
      <c r="Y849" s="248"/>
      <c r="Z849" s="248"/>
      <c r="AA849" s="248"/>
      <c r="AB849" s="248"/>
    </row>
    <row r="850" spans="1:28" ht="13.8">
      <c r="A850" s="248"/>
      <c r="B850" s="248"/>
      <c r="C850" s="331"/>
      <c r="D850" s="248"/>
      <c r="E850" s="248"/>
      <c r="F850" s="248"/>
      <c r="G850" s="248"/>
      <c r="H850" s="248"/>
      <c r="I850" s="248"/>
      <c r="J850" s="248"/>
      <c r="K850" s="248"/>
      <c r="L850" s="248"/>
      <c r="M850" s="248"/>
      <c r="N850" s="248"/>
      <c r="O850" s="248"/>
      <c r="P850" s="248"/>
      <c r="Q850" s="248"/>
      <c r="R850" s="248"/>
      <c r="S850" s="248"/>
      <c r="T850" s="248"/>
      <c r="U850" s="248"/>
      <c r="V850" s="248"/>
      <c r="W850" s="248"/>
      <c r="X850" s="248"/>
      <c r="Y850" s="248"/>
      <c r="Z850" s="248"/>
      <c r="AA850" s="248"/>
      <c r="AB850" s="248"/>
    </row>
    <row r="851" spans="1:28" ht="13.8">
      <c r="A851" s="248"/>
      <c r="B851" s="248"/>
      <c r="C851" s="331"/>
      <c r="D851" s="248"/>
      <c r="E851" s="248"/>
      <c r="F851" s="248"/>
      <c r="G851" s="248"/>
      <c r="H851" s="248"/>
      <c r="I851" s="248"/>
      <c r="J851" s="248"/>
      <c r="K851" s="248"/>
      <c r="L851" s="248"/>
      <c r="M851" s="248"/>
      <c r="N851" s="248"/>
      <c r="O851" s="248"/>
      <c r="P851" s="248"/>
      <c r="Q851" s="248"/>
      <c r="R851" s="248"/>
      <c r="S851" s="248"/>
      <c r="T851" s="248"/>
      <c r="U851" s="248"/>
      <c r="V851" s="248"/>
      <c r="W851" s="248"/>
      <c r="X851" s="248"/>
      <c r="Y851" s="248"/>
      <c r="Z851" s="248"/>
      <c r="AA851" s="248"/>
      <c r="AB851" s="248"/>
    </row>
    <row r="852" spans="1:28" ht="13.8">
      <c r="A852" s="248"/>
      <c r="B852" s="248"/>
      <c r="C852" s="331"/>
      <c r="D852" s="248"/>
      <c r="E852" s="248"/>
      <c r="F852" s="248"/>
      <c r="G852" s="248"/>
      <c r="H852" s="248"/>
      <c r="I852" s="248"/>
      <c r="J852" s="248"/>
      <c r="K852" s="248"/>
      <c r="L852" s="248"/>
      <c r="M852" s="248"/>
      <c r="N852" s="248"/>
      <c r="O852" s="248"/>
      <c r="P852" s="248"/>
      <c r="Q852" s="248"/>
      <c r="R852" s="248"/>
      <c r="S852" s="248"/>
      <c r="T852" s="248"/>
      <c r="U852" s="248"/>
      <c r="V852" s="248"/>
      <c r="W852" s="248"/>
      <c r="X852" s="248"/>
      <c r="Y852" s="248"/>
      <c r="Z852" s="248"/>
      <c r="AA852" s="248"/>
      <c r="AB852" s="248"/>
    </row>
    <row r="853" spans="1:28" ht="13.8">
      <c r="A853" s="248"/>
      <c r="B853" s="248"/>
      <c r="C853" s="331"/>
      <c r="D853" s="248"/>
      <c r="E853" s="248"/>
      <c r="F853" s="248"/>
      <c r="G853" s="248"/>
      <c r="H853" s="248"/>
      <c r="I853" s="248"/>
      <c r="J853" s="248"/>
      <c r="K853" s="248"/>
      <c r="L853" s="248"/>
      <c r="M853" s="248"/>
      <c r="N853" s="248"/>
      <c r="O853" s="248"/>
      <c r="P853" s="248"/>
      <c r="Q853" s="248"/>
      <c r="R853" s="248"/>
      <c r="S853" s="248"/>
      <c r="T853" s="248"/>
      <c r="U853" s="248"/>
      <c r="V853" s="248"/>
      <c r="W853" s="248"/>
      <c r="X853" s="248"/>
      <c r="Y853" s="248"/>
      <c r="Z853" s="248"/>
      <c r="AA853" s="248"/>
      <c r="AB853" s="248"/>
    </row>
    <row r="854" spans="1:28" ht="13.8">
      <c r="A854" s="248"/>
      <c r="B854" s="248"/>
      <c r="C854" s="331"/>
      <c r="D854" s="248"/>
      <c r="E854" s="248"/>
      <c r="F854" s="248"/>
      <c r="G854" s="248"/>
      <c r="H854" s="248"/>
      <c r="I854" s="248"/>
      <c r="J854" s="248"/>
      <c r="K854" s="248"/>
      <c r="L854" s="248"/>
      <c r="M854" s="248"/>
      <c r="N854" s="248"/>
      <c r="O854" s="248"/>
      <c r="P854" s="248"/>
      <c r="Q854" s="248"/>
      <c r="R854" s="248"/>
      <c r="S854" s="248"/>
      <c r="T854" s="248"/>
      <c r="U854" s="248"/>
      <c r="V854" s="248"/>
      <c r="W854" s="248"/>
      <c r="X854" s="248"/>
      <c r="Y854" s="248"/>
      <c r="Z854" s="248"/>
      <c r="AA854" s="248"/>
      <c r="AB854" s="248"/>
    </row>
    <row r="855" spans="1:28" ht="13.8">
      <c r="A855" s="248"/>
      <c r="B855" s="248"/>
      <c r="C855" s="331"/>
      <c r="D855" s="248"/>
      <c r="E855" s="248"/>
      <c r="F855" s="248"/>
      <c r="G855" s="248"/>
      <c r="H855" s="248"/>
      <c r="I855" s="248"/>
      <c r="J855" s="248"/>
      <c r="K855" s="248"/>
      <c r="L855" s="248"/>
      <c r="M855" s="248"/>
      <c r="N855" s="248"/>
      <c r="O855" s="248"/>
      <c r="P855" s="248"/>
      <c r="Q855" s="248"/>
      <c r="R855" s="248"/>
      <c r="S855" s="248"/>
      <c r="T855" s="248"/>
      <c r="U855" s="248"/>
      <c r="V855" s="248"/>
      <c r="W855" s="248"/>
      <c r="X855" s="248"/>
      <c r="Y855" s="248"/>
      <c r="Z855" s="248"/>
      <c r="AA855" s="248"/>
      <c r="AB855" s="248"/>
    </row>
    <row r="856" spans="1:28" ht="13.8">
      <c r="A856" s="248"/>
      <c r="B856" s="248"/>
      <c r="C856" s="331"/>
      <c r="D856" s="248"/>
      <c r="E856" s="248"/>
      <c r="F856" s="248"/>
      <c r="G856" s="248"/>
      <c r="H856" s="248"/>
      <c r="I856" s="248"/>
      <c r="J856" s="248"/>
      <c r="K856" s="248"/>
      <c r="L856" s="248"/>
      <c r="M856" s="248"/>
      <c r="N856" s="248"/>
      <c r="O856" s="248"/>
      <c r="P856" s="248"/>
      <c r="Q856" s="248"/>
      <c r="R856" s="248"/>
      <c r="S856" s="248"/>
      <c r="T856" s="248"/>
      <c r="U856" s="248"/>
      <c r="V856" s="248"/>
      <c r="W856" s="248"/>
      <c r="X856" s="248"/>
      <c r="Y856" s="248"/>
      <c r="Z856" s="248"/>
      <c r="AA856" s="248"/>
      <c r="AB856" s="248"/>
    </row>
    <row r="857" spans="1:28" ht="13.8">
      <c r="A857" s="248"/>
      <c r="B857" s="248"/>
      <c r="C857" s="331"/>
      <c r="D857" s="248"/>
      <c r="E857" s="248"/>
      <c r="F857" s="248"/>
      <c r="G857" s="248"/>
      <c r="H857" s="248"/>
      <c r="I857" s="248"/>
      <c r="J857" s="248"/>
      <c r="K857" s="248"/>
      <c r="L857" s="248"/>
      <c r="M857" s="248"/>
      <c r="N857" s="248"/>
      <c r="O857" s="248"/>
      <c r="P857" s="248"/>
      <c r="Q857" s="248"/>
      <c r="R857" s="248"/>
      <c r="S857" s="248"/>
      <c r="T857" s="248"/>
      <c r="U857" s="248"/>
      <c r="V857" s="248"/>
      <c r="W857" s="248"/>
      <c r="X857" s="248"/>
      <c r="Y857" s="248"/>
      <c r="Z857" s="248"/>
      <c r="AA857" s="248"/>
      <c r="AB857" s="248"/>
    </row>
    <row r="858" spans="1:28" ht="13.8">
      <c r="A858" s="248"/>
      <c r="B858" s="248"/>
      <c r="C858" s="331"/>
      <c r="D858" s="248"/>
      <c r="E858" s="248"/>
      <c r="F858" s="248"/>
      <c r="G858" s="248"/>
      <c r="H858" s="248"/>
      <c r="I858" s="248"/>
      <c r="J858" s="248"/>
      <c r="K858" s="248"/>
      <c r="L858" s="248"/>
      <c r="M858" s="248"/>
      <c r="N858" s="248"/>
      <c r="O858" s="248"/>
      <c r="P858" s="248"/>
      <c r="Q858" s="248"/>
      <c r="R858" s="248"/>
      <c r="S858" s="248"/>
      <c r="T858" s="248"/>
      <c r="U858" s="248"/>
      <c r="V858" s="248"/>
      <c r="W858" s="248"/>
      <c r="X858" s="248"/>
      <c r="Y858" s="248"/>
      <c r="Z858" s="248"/>
      <c r="AA858" s="248"/>
      <c r="AB858" s="248"/>
    </row>
    <row r="859" spans="1:28" ht="13.8">
      <c r="A859" s="248"/>
      <c r="B859" s="248"/>
      <c r="C859" s="331"/>
      <c r="D859" s="248"/>
      <c r="E859" s="248"/>
      <c r="F859" s="248"/>
      <c r="G859" s="248"/>
      <c r="H859" s="248"/>
      <c r="I859" s="248"/>
      <c r="J859" s="248"/>
      <c r="K859" s="248"/>
      <c r="L859" s="248"/>
      <c r="M859" s="248"/>
      <c r="N859" s="248"/>
      <c r="O859" s="248"/>
      <c r="P859" s="248"/>
      <c r="Q859" s="248"/>
      <c r="R859" s="248"/>
      <c r="S859" s="248"/>
      <c r="T859" s="248"/>
      <c r="U859" s="248"/>
      <c r="V859" s="248"/>
      <c r="W859" s="248"/>
      <c r="X859" s="248"/>
      <c r="Y859" s="248"/>
      <c r="Z859" s="248"/>
      <c r="AA859" s="248"/>
      <c r="AB859" s="248"/>
    </row>
    <row r="860" spans="1:28" ht="13.8">
      <c r="A860" s="248"/>
      <c r="B860" s="248"/>
      <c r="C860" s="331"/>
      <c r="D860" s="248"/>
      <c r="E860" s="248"/>
      <c r="F860" s="248"/>
      <c r="G860" s="248"/>
      <c r="H860" s="248"/>
      <c r="I860" s="248"/>
      <c r="J860" s="248"/>
      <c r="K860" s="248"/>
      <c r="L860" s="248"/>
      <c r="M860" s="248"/>
      <c r="N860" s="248"/>
      <c r="O860" s="248"/>
      <c r="P860" s="248"/>
      <c r="Q860" s="248"/>
      <c r="R860" s="248"/>
      <c r="S860" s="248"/>
      <c r="T860" s="248"/>
      <c r="U860" s="248"/>
      <c r="V860" s="248"/>
      <c r="W860" s="248"/>
      <c r="X860" s="248"/>
      <c r="Y860" s="248"/>
      <c r="Z860" s="248"/>
      <c r="AA860" s="248"/>
      <c r="AB860" s="248"/>
    </row>
    <row r="861" spans="1:28" ht="13.8">
      <c r="A861" s="248"/>
      <c r="B861" s="248"/>
      <c r="C861" s="331"/>
      <c r="D861" s="248"/>
      <c r="E861" s="248"/>
      <c r="F861" s="248"/>
      <c r="G861" s="248"/>
      <c r="H861" s="248"/>
      <c r="I861" s="248"/>
      <c r="J861" s="248"/>
      <c r="K861" s="248"/>
      <c r="L861" s="248"/>
      <c r="M861" s="248"/>
      <c r="N861" s="248"/>
      <c r="O861" s="248"/>
      <c r="P861" s="248"/>
      <c r="Q861" s="248"/>
      <c r="R861" s="248"/>
      <c r="S861" s="248"/>
      <c r="T861" s="248"/>
      <c r="U861" s="248"/>
      <c r="V861" s="248"/>
      <c r="W861" s="248"/>
      <c r="X861" s="248"/>
      <c r="Y861" s="248"/>
      <c r="Z861" s="248"/>
      <c r="AA861" s="248"/>
      <c r="AB861" s="248"/>
    </row>
    <row r="862" spans="1:28" ht="13.8">
      <c r="A862" s="248"/>
      <c r="B862" s="248"/>
      <c r="C862" s="331"/>
      <c r="D862" s="248"/>
      <c r="E862" s="248"/>
      <c r="F862" s="248"/>
      <c r="G862" s="248"/>
      <c r="H862" s="248"/>
      <c r="I862" s="248"/>
      <c r="J862" s="248"/>
      <c r="K862" s="248"/>
      <c r="L862" s="248"/>
      <c r="M862" s="248"/>
      <c r="N862" s="248"/>
      <c r="O862" s="248"/>
      <c r="P862" s="248"/>
      <c r="Q862" s="248"/>
      <c r="R862" s="248"/>
      <c r="S862" s="248"/>
      <c r="T862" s="248"/>
      <c r="U862" s="248"/>
      <c r="V862" s="248"/>
      <c r="W862" s="248"/>
      <c r="X862" s="248"/>
      <c r="Y862" s="248"/>
      <c r="Z862" s="248"/>
      <c r="AA862" s="248"/>
      <c r="AB862" s="248"/>
    </row>
    <row r="863" spans="1:28" ht="13.8">
      <c r="A863" s="248"/>
      <c r="B863" s="248"/>
      <c r="C863" s="331"/>
      <c r="D863" s="248"/>
      <c r="E863" s="248"/>
      <c r="F863" s="248"/>
      <c r="G863" s="248"/>
      <c r="H863" s="248"/>
      <c r="I863" s="248"/>
      <c r="J863" s="248"/>
      <c r="K863" s="248"/>
      <c r="L863" s="248"/>
      <c r="M863" s="248"/>
      <c r="N863" s="248"/>
      <c r="O863" s="248"/>
      <c r="P863" s="248"/>
      <c r="Q863" s="248"/>
      <c r="R863" s="248"/>
      <c r="S863" s="248"/>
      <c r="T863" s="248"/>
      <c r="U863" s="248"/>
      <c r="V863" s="248"/>
      <c r="W863" s="248"/>
      <c r="X863" s="248"/>
      <c r="Y863" s="248"/>
      <c r="Z863" s="248"/>
      <c r="AA863" s="248"/>
      <c r="AB863" s="248"/>
    </row>
    <row r="864" spans="1:28" ht="13.8">
      <c r="A864" s="248"/>
      <c r="B864" s="248"/>
      <c r="C864" s="331"/>
      <c r="D864" s="248"/>
      <c r="E864" s="248"/>
      <c r="F864" s="248"/>
      <c r="G864" s="248"/>
      <c r="H864" s="248"/>
      <c r="I864" s="248"/>
      <c r="J864" s="248"/>
      <c r="K864" s="248"/>
      <c r="L864" s="248"/>
      <c r="M864" s="248"/>
      <c r="N864" s="248"/>
      <c r="O864" s="248"/>
      <c r="P864" s="248"/>
      <c r="Q864" s="248"/>
      <c r="R864" s="248"/>
      <c r="S864" s="248"/>
      <c r="T864" s="248"/>
      <c r="U864" s="248"/>
      <c r="V864" s="248"/>
      <c r="W864" s="248"/>
      <c r="X864" s="248"/>
      <c r="Y864" s="248"/>
      <c r="Z864" s="248"/>
      <c r="AA864" s="248"/>
      <c r="AB864" s="248"/>
    </row>
    <row r="865" spans="1:28" ht="13.8">
      <c r="A865" s="248"/>
      <c r="B865" s="248"/>
      <c r="C865" s="331"/>
      <c r="D865" s="248"/>
      <c r="E865" s="248"/>
      <c r="F865" s="248"/>
      <c r="G865" s="248"/>
      <c r="H865" s="248"/>
      <c r="I865" s="248"/>
      <c r="J865" s="248"/>
      <c r="K865" s="248"/>
      <c r="L865" s="248"/>
      <c r="M865" s="248"/>
      <c r="N865" s="248"/>
      <c r="O865" s="248"/>
      <c r="P865" s="248"/>
      <c r="Q865" s="248"/>
      <c r="R865" s="248"/>
      <c r="S865" s="248"/>
      <c r="T865" s="248"/>
      <c r="U865" s="248"/>
      <c r="V865" s="248"/>
      <c r="W865" s="248"/>
      <c r="X865" s="248"/>
      <c r="Y865" s="248"/>
      <c r="Z865" s="248"/>
      <c r="AA865" s="248"/>
      <c r="AB865" s="248"/>
    </row>
    <row r="866" spans="1:28" ht="13.8">
      <c r="A866" s="248"/>
      <c r="B866" s="248"/>
      <c r="C866" s="331"/>
      <c r="D866" s="248"/>
      <c r="E866" s="248"/>
      <c r="F866" s="248"/>
      <c r="G866" s="248"/>
      <c r="H866" s="248"/>
      <c r="I866" s="248"/>
      <c r="J866" s="248"/>
      <c r="K866" s="248"/>
      <c r="L866" s="248"/>
      <c r="M866" s="248"/>
      <c r="N866" s="248"/>
      <c r="O866" s="248"/>
      <c r="P866" s="248"/>
      <c r="Q866" s="248"/>
      <c r="R866" s="248"/>
      <c r="S866" s="248"/>
      <c r="T866" s="248"/>
      <c r="U866" s="248"/>
      <c r="V866" s="248"/>
      <c r="W866" s="248"/>
      <c r="X866" s="248"/>
      <c r="Y866" s="248"/>
      <c r="Z866" s="248"/>
      <c r="AA866" s="248"/>
      <c r="AB866" s="248"/>
    </row>
    <row r="867" spans="1:28" ht="13.8">
      <c r="A867" s="248"/>
      <c r="B867" s="248"/>
      <c r="C867" s="331"/>
      <c r="D867" s="248"/>
      <c r="E867" s="248"/>
      <c r="F867" s="248"/>
      <c r="G867" s="248"/>
      <c r="H867" s="248"/>
      <c r="I867" s="248"/>
      <c r="J867" s="248"/>
      <c r="K867" s="248"/>
      <c r="L867" s="248"/>
      <c r="M867" s="248"/>
      <c r="N867" s="248"/>
      <c r="O867" s="248"/>
      <c r="P867" s="248"/>
      <c r="Q867" s="248"/>
      <c r="R867" s="248"/>
      <c r="S867" s="248"/>
      <c r="T867" s="248"/>
      <c r="U867" s="248"/>
      <c r="V867" s="248"/>
      <c r="W867" s="248"/>
      <c r="X867" s="248"/>
      <c r="Y867" s="248"/>
      <c r="Z867" s="248"/>
      <c r="AA867" s="248"/>
      <c r="AB867" s="248"/>
    </row>
    <row r="868" spans="1:28" ht="13.8">
      <c r="A868" s="248"/>
      <c r="B868" s="248"/>
      <c r="C868" s="331"/>
      <c r="D868" s="248"/>
      <c r="E868" s="248"/>
      <c r="F868" s="248"/>
      <c r="G868" s="248"/>
      <c r="H868" s="248"/>
      <c r="I868" s="248"/>
      <c r="J868" s="248"/>
      <c r="K868" s="248"/>
      <c r="L868" s="248"/>
      <c r="M868" s="248"/>
      <c r="N868" s="248"/>
      <c r="O868" s="248"/>
      <c r="P868" s="248"/>
      <c r="Q868" s="248"/>
      <c r="R868" s="248"/>
      <c r="S868" s="248"/>
      <c r="T868" s="248"/>
      <c r="U868" s="248"/>
      <c r="V868" s="248"/>
      <c r="W868" s="248"/>
      <c r="X868" s="248"/>
      <c r="Y868" s="248"/>
      <c r="Z868" s="248"/>
      <c r="AA868" s="248"/>
      <c r="AB868" s="248"/>
    </row>
    <row r="869" spans="1:28" ht="13.8">
      <c r="A869" s="248"/>
      <c r="B869" s="248"/>
      <c r="C869" s="331"/>
      <c r="D869" s="248"/>
      <c r="E869" s="248"/>
      <c r="F869" s="248"/>
      <c r="G869" s="248"/>
      <c r="H869" s="248"/>
      <c r="I869" s="248"/>
      <c r="J869" s="248"/>
      <c r="K869" s="248"/>
      <c r="L869" s="248"/>
      <c r="M869" s="248"/>
      <c r="N869" s="248"/>
      <c r="O869" s="248"/>
      <c r="P869" s="248"/>
      <c r="Q869" s="248"/>
      <c r="R869" s="248"/>
      <c r="S869" s="248"/>
      <c r="T869" s="248"/>
      <c r="U869" s="248"/>
      <c r="V869" s="248"/>
      <c r="W869" s="248"/>
      <c r="X869" s="248"/>
      <c r="Y869" s="248"/>
      <c r="Z869" s="248"/>
      <c r="AA869" s="248"/>
      <c r="AB869" s="248"/>
    </row>
    <row r="870" spans="1:28" ht="13.8">
      <c r="A870" s="248"/>
      <c r="B870" s="248"/>
      <c r="C870" s="331"/>
      <c r="D870" s="248"/>
      <c r="E870" s="248"/>
      <c r="F870" s="248"/>
      <c r="G870" s="248"/>
      <c r="H870" s="248"/>
      <c r="I870" s="248"/>
      <c r="J870" s="248"/>
      <c r="K870" s="248"/>
      <c r="L870" s="248"/>
      <c r="M870" s="248"/>
      <c r="N870" s="248"/>
      <c r="O870" s="248"/>
      <c r="P870" s="248"/>
      <c r="Q870" s="248"/>
      <c r="R870" s="248"/>
      <c r="S870" s="248"/>
      <c r="T870" s="248"/>
      <c r="U870" s="248"/>
      <c r="V870" s="248"/>
      <c r="W870" s="248"/>
      <c r="X870" s="248"/>
      <c r="Y870" s="248"/>
      <c r="Z870" s="248"/>
      <c r="AA870" s="248"/>
      <c r="AB870" s="248"/>
    </row>
    <row r="871" spans="1:28" ht="13.8">
      <c r="A871" s="248"/>
      <c r="B871" s="248"/>
      <c r="C871" s="331"/>
      <c r="D871" s="248"/>
      <c r="E871" s="248"/>
      <c r="F871" s="248"/>
      <c r="G871" s="248"/>
      <c r="H871" s="248"/>
      <c r="I871" s="248"/>
      <c r="J871" s="248"/>
      <c r="K871" s="248"/>
      <c r="L871" s="248"/>
      <c r="M871" s="248"/>
      <c r="N871" s="248"/>
      <c r="O871" s="248"/>
      <c r="P871" s="248"/>
      <c r="Q871" s="248"/>
      <c r="R871" s="248"/>
      <c r="S871" s="248"/>
      <c r="T871" s="248"/>
      <c r="U871" s="248"/>
      <c r="V871" s="248"/>
      <c r="W871" s="248"/>
      <c r="X871" s="248"/>
      <c r="Y871" s="248"/>
      <c r="Z871" s="248"/>
      <c r="AA871" s="248"/>
      <c r="AB871" s="248"/>
    </row>
    <row r="872" spans="1:28" ht="13.8">
      <c r="A872" s="248"/>
      <c r="B872" s="248"/>
      <c r="C872" s="331"/>
      <c r="D872" s="248"/>
      <c r="E872" s="248"/>
      <c r="F872" s="248"/>
      <c r="G872" s="248"/>
      <c r="H872" s="248"/>
      <c r="I872" s="248"/>
      <c r="J872" s="248"/>
      <c r="K872" s="248"/>
      <c r="L872" s="248"/>
      <c r="M872" s="248"/>
      <c r="N872" s="248"/>
      <c r="O872" s="248"/>
      <c r="P872" s="248"/>
      <c r="Q872" s="248"/>
      <c r="R872" s="248"/>
      <c r="S872" s="248"/>
      <c r="T872" s="248"/>
      <c r="U872" s="248"/>
      <c r="V872" s="248"/>
      <c r="W872" s="248"/>
      <c r="X872" s="248"/>
      <c r="Y872" s="248"/>
      <c r="Z872" s="248"/>
      <c r="AA872" s="248"/>
      <c r="AB872" s="248"/>
    </row>
    <row r="873" spans="1:28" ht="13.8">
      <c r="A873" s="248"/>
      <c r="B873" s="248"/>
      <c r="C873" s="331"/>
      <c r="D873" s="248"/>
      <c r="E873" s="248"/>
      <c r="F873" s="248"/>
      <c r="G873" s="248"/>
      <c r="H873" s="248"/>
      <c r="I873" s="248"/>
      <c r="J873" s="248"/>
      <c r="K873" s="248"/>
      <c r="L873" s="248"/>
      <c r="M873" s="248"/>
      <c r="N873" s="248"/>
      <c r="O873" s="248"/>
      <c r="P873" s="248"/>
      <c r="Q873" s="248"/>
      <c r="R873" s="248"/>
      <c r="S873" s="248"/>
      <c r="T873" s="248"/>
      <c r="U873" s="248"/>
      <c r="V873" s="248"/>
      <c r="W873" s="248"/>
      <c r="X873" s="248"/>
      <c r="Y873" s="248"/>
      <c r="Z873" s="248"/>
      <c r="AA873" s="248"/>
      <c r="AB873" s="248"/>
    </row>
    <row r="874" spans="1:28" ht="13.8">
      <c r="A874" s="248"/>
      <c r="B874" s="248"/>
      <c r="C874" s="331"/>
      <c r="D874" s="248"/>
      <c r="E874" s="248"/>
      <c r="F874" s="248"/>
      <c r="G874" s="248"/>
      <c r="H874" s="248"/>
      <c r="I874" s="248"/>
      <c r="J874" s="248"/>
      <c r="K874" s="248"/>
      <c r="L874" s="248"/>
      <c r="M874" s="248"/>
      <c r="N874" s="248"/>
      <c r="O874" s="248"/>
      <c r="P874" s="248"/>
      <c r="Q874" s="248"/>
      <c r="R874" s="248"/>
      <c r="S874" s="248"/>
      <c r="T874" s="248"/>
      <c r="U874" s="248"/>
      <c r="V874" s="248"/>
      <c r="W874" s="248"/>
      <c r="X874" s="248"/>
      <c r="Y874" s="248"/>
      <c r="Z874" s="248"/>
      <c r="AA874" s="248"/>
      <c r="AB874" s="248"/>
    </row>
    <row r="875" spans="1:28" ht="13.8">
      <c r="A875" s="248"/>
      <c r="B875" s="248"/>
      <c r="C875" s="331"/>
      <c r="D875" s="248"/>
      <c r="E875" s="248"/>
      <c r="F875" s="248"/>
      <c r="G875" s="248"/>
      <c r="H875" s="248"/>
      <c r="I875" s="248"/>
      <c r="J875" s="248"/>
      <c r="K875" s="248"/>
      <c r="L875" s="248"/>
      <c r="M875" s="248"/>
      <c r="N875" s="248"/>
      <c r="O875" s="248"/>
      <c r="P875" s="248"/>
      <c r="Q875" s="248"/>
      <c r="R875" s="248"/>
      <c r="S875" s="248"/>
      <c r="T875" s="248"/>
      <c r="U875" s="248"/>
      <c r="V875" s="248"/>
      <c r="W875" s="248"/>
      <c r="X875" s="248"/>
      <c r="Y875" s="248"/>
      <c r="Z875" s="248"/>
      <c r="AA875" s="248"/>
      <c r="AB875" s="248"/>
    </row>
    <row r="876" spans="1:28" ht="13.8">
      <c r="A876" s="248"/>
      <c r="B876" s="248"/>
      <c r="C876" s="331"/>
      <c r="D876" s="248"/>
      <c r="E876" s="248"/>
      <c r="F876" s="248"/>
      <c r="G876" s="248"/>
      <c r="H876" s="248"/>
      <c r="I876" s="248"/>
      <c r="J876" s="248"/>
      <c r="K876" s="248"/>
      <c r="L876" s="248"/>
      <c r="M876" s="248"/>
      <c r="N876" s="248"/>
      <c r="O876" s="248"/>
      <c r="P876" s="248"/>
      <c r="Q876" s="248"/>
      <c r="R876" s="248"/>
      <c r="S876" s="248"/>
      <c r="T876" s="248"/>
      <c r="U876" s="248"/>
      <c r="V876" s="248"/>
      <c r="W876" s="248"/>
      <c r="X876" s="248"/>
      <c r="Y876" s="248"/>
      <c r="Z876" s="248"/>
      <c r="AA876" s="248"/>
      <c r="AB876" s="248"/>
    </row>
    <row r="877" spans="1:28" ht="13.8">
      <c r="A877" s="248"/>
      <c r="B877" s="248"/>
      <c r="C877" s="331"/>
      <c r="D877" s="248"/>
      <c r="E877" s="248"/>
      <c r="F877" s="248"/>
      <c r="G877" s="248"/>
      <c r="H877" s="248"/>
      <c r="I877" s="248"/>
      <c r="J877" s="248"/>
      <c r="K877" s="248"/>
      <c r="L877" s="248"/>
      <c r="M877" s="248"/>
      <c r="N877" s="248"/>
      <c r="O877" s="248"/>
      <c r="P877" s="248"/>
      <c r="Q877" s="248"/>
      <c r="R877" s="248"/>
      <c r="S877" s="248"/>
      <c r="T877" s="248"/>
      <c r="U877" s="248"/>
      <c r="V877" s="248"/>
      <c r="W877" s="248"/>
      <c r="X877" s="248"/>
      <c r="Y877" s="248"/>
      <c r="Z877" s="248"/>
      <c r="AA877" s="248"/>
      <c r="AB877" s="248"/>
    </row>
    <row r="878" spans="1:28" ht="13.8">
      <c r="A878" s="248"/>
      <c r="B878" s="248"/>
      <c r="C878" s="331"/>
      <c r="D878" s="248"/>
      <c r="E878" s="248"/>
      <c r="F878" s="248"/>
      <c r="G878" s="248"/>
      <c r="H878" s="248"/>
      <c r="I878" s="248"/>
      <c r="J878" s="248"/>
      <c r="K878" s="248"/>
      <c r="L878" s="248"/>
      <c r="M878" s="248"/>
      <c r="N878" s="248"/>
      <c r="O878" s="248"/>
      <c r="P878" s="248"/>
      <c r="Q878" s="248"/>
      <c r="R878" s="248"/>
      <c r="S878" s="248"/>
      <c r="T878" s="248"/>
      <c r="U878" s="248"/>
      <c r="V878" s="248"/>
      <c r="W878" s="248"/>
      <c r="X878" s="248"/>
      <c r="Y878" s="248"/>
      <c r="Z878" s="248"/>
      <c r="AA878" s="248"/>
      <c r="AB878" s="248"/>
    </row>
    <row r="879" spans="1:28" ht="13.8">
      <c r="A879" s="248"/>
      <c r="B879" s="248"/>
      <c r="C879" s="331"/>
      <c r="D879" s="248"/>
      <c r="E879" s="248"/>
      <c r="F879" s="248"/>
      <c r="G879" s="248"/>
      <c r="H879" s="248"/>
      <c r="I879" s="248"/>
      <c r="J879" s="248"/>
      <c r="K879" s="248"/>
      <c r="L879" s="248"/>
      <c r="M879" s="248"/>
      <c r="N879" s="248"/>
      <c r="O879" s="248"/>
      <c r="P879" s="248"/>
      <c r="Q879" s="248"/>
      <c r="R879" s="248"/>
      <c r="S879" s="248"/>
      <c r="T879" s="248"/>
      <c r="U879" s="248"/>
      <c r="V879" s="248"/>
      <c r="W879" s="248"/>
      <c r="X879" s="248"/>
      <c r="Y879" s="248"/>
      <c r="Z879" s="248"/>
      <c r="AA879" s="248"/>
      <c r="AB879" s="248"/>
    </row>
    <row r="880" spans="1:28" ht="13.8">
      <c r="A880" s="248"/>
      <c r="B880" s="248"/>
      <c r="C880" s="331"/>
      <c r="D880" s="248"/>
      <c r="E880" s="248"/>
      <c r="F880" s="248"/>
      <c r="G880" s="248"/>
      <c r="H880" s="248"/>
      <c r="I880" s="248"/>
      <c r="J880" s="248"/>
      <c r="K880" s="248"/>
      <c r="L880" s="248"/>
      <c r="M880" s="248"/>
      <c r="N880" s="248"/>
      <c r="O880" s="248"/>
      <c r="P880" s="248"/>
      <c r="Q880" s="248"/>
      <c r="R880" s="248"/>
      <c r="S880" s="248"/>
      <c r="T880" s="248"/>
      <c r="U880" s="248"/>
      <c r="V880" s="248"/>
      <c r="W880" s="248"/>
      <c r="X880" s="248"/>
      <c r="Y880" s="248"/>
      <c r="Z880" s="248"/>
      <c r="AA880" s="248"/>
      <c r="AB880" s="248"/>
    </row>
    <row r="881" spans="1:28" ht="13.8">
      <c r="A881" s="248"/>
      <c r="B881" s="248"/>
      <c r="C881" s="331"/>
      <c r="D881" s="248"/>
      <c r="E881" s="248"/>
      <c r="F881" s="248"/>
      <c r="G881" s="248"/>
      <c r="H881" s="248"/>
      <c r="I881" s="248"/>
      <c r="J881" s="248"/>
      <c r="K881" s="248"/>
      <c r="L881" s="248"/>
      <c r="M881" s="248"/>
      <c r="N881" s="248"/>
      <c r="O881" s="248"/>
      <c r="P881" s="248"/>
      <c r="Q881" s="248"/>
      <c r="R881" s="248"/>
      <c r="S881" s="248"/>
      <c r="T881" s="248"/>
      <c r="U881" s="248"/>
      <c r="V881" s="248"/>
      <c r="W881" s="248"/>
      <c r="X881" s="248"/>
      <c r="Y881" s="248"/>
      <c r="Z881" s="248"/>
      <c r="AA881" s="248"/>
      <c r="AB881" s="248"/>
    </row>
    <row r="882" spans="1:28" ht="13.8">
      <c r="A882" s="248"/>
      <c r="B882" s="248"/>
      <c r="C882" s="331"/>
      <c r="D882" s="248"/>
      <c r="E882" s="248"/>
      <c r="F882" s="248"/>
      <c r="G882" s="248"/>
      <c r="H882" s="248"/>
      <c r="I882" s="248"/>
      <c r="J882" s="248"/>
      <c r="K882" s="248"/>
      <c r="L882" s="248"/>
      <c r="M882" s="248"/>
      <c r="N882" s="248"/>
      <c r="O882" s="248"/>
      <c r="P882" s="248"/>
      <c r="Q882" s="248"/>
      <c r="R882" s="248"/>
      <c r="S882" s="248"/>
      <c r="T882" s="248"/>
      <c r="U882" s="248"/>
      <c r="V882" s="248"/>
      <c r="W882" s="248"/>
      <c r="X882" s="248"/>
      <c r="Y882" s="248"/>
      <c r="Z882" s="248"/>
      <c r="AA882" s="248"/>
      <c r="AB882" s="248"/>
    </row>
    <row r="883" spans="1:28" ht="13.8">
      <c r="A883" s="248"/>
      <c r="B883" s="248"/>
      <c r="C883" s="331"/>
      <c r="D883" s="248"/>
      <c r="E883" s="248"/>
      <c r="F883" s="248"/>
      <c r="G883" s="248"/>
      <c r="H883" s="248"/>
      <c r="I883" s="248"/>
      <c r="J883" s="248"/>
      <c r="K883" s="248"/>
      <c r="L883" s="248"/>
      <c r="M883" s="248"/>
      <c r="N883" s="248"/>
      <c r="O883" s="248"/>
      <c r="P883" s="248"/>
      <c r="Q883" s="248"/>
      <c r="R883" s="248"/>
      <c r="S883" s="248"/>
      <c r="T883" s="248"/>
      <c r="U883" s="248"/>
      <c r="V883" s="248"/>
      <c r="W883" s="248"/>
      <c r="X883" s="248"/>
      <c r="Y883" s="248"/>
      <c r="Z883" s="248"/>
      <c r="AA883" s="248"/>
      <c r="AB883" s="248"/>
    </row>
    <row r="884" spans="1:28" ht="13.8">
      <c r="A884" s="248"/>
      <c r="B884" s="248"/>
      <c r="C884" s="331"/>
      <c r="D884" s="248"/>
      <c r="E884" s="248"/>
      <c r="F884" s="248"/>
      <c r="G884" s="248"/>
      <c r="H884" s="248"/>
      <c r="I884" s="248"/>
      <c r="J884" s="248"/>
      <c r="K884" s="248"/>
      <c r="L884" s="248"/>
      <c r="M884" s="248"/>
      <c r="N884" s="248"/>
      <c r="O884" s="248"/>
      <c r="P884" s="248"/>
      <c r="Q884" s="248"/>
      <c r="R884" s="248"/>
      <c r="S884" s="248"/>
      <c r="T884" s="248"/>
      <c r="U884" s="248"/>
      <c r="V884" s="248"/>
      <c r="W884" s="248"/>
      <c r="X884" s="248"/>
      <c r="Y884" s="248"/>
      <c r="Z884" s="248"/>
      <c r="AA884" s="248"/>
      <c r="AB884" s="248"/>
    </row>
    <row r="885" spans="1:28" ht="13.8">
      <c r="A885" s="248"/>
      <c r="B885" s="248"/>
      <c r="C885" s="331"/>
      <c r="D885" s="248"/>
      <c r="E885" s="248"/>
      <c r="F885" s="248"/>
      <c r="G885" s="248"/>
      <c r="H885" s="248"/>
      <c r="I885" s="248"/>
      <c r="J885" s="248"/>
      <c r="K885" s="248"/>
      <c r="L885" s="248"/>
      <c r="M885" s="248"/>
      <c r="N885" s="248"/>
      <c r="O885" s="248"/>
      <c r="P885" s="248"/>
      <c r="Q885" s="248"/>
      <c r="R885" s="248"/>
      <c r="S885" s="248"/>
      <c r="T885" s="248"/>
      <c r="U885" s="248"/>
      <c r="V885" s="248"/>
      <c r="W885" s="248"/>
      <c r="X885" s="248"/>
      <c r="Y885" s="248"/>
      <c r="Z885" s="248"/>
      <c r="AA885" s="248"/>
      <c r="AB885" s="248"/>
    </row>
    <row r="886" spans="1:28" ht="13.8">
      <c r="A886" s="248"/>
      <c r="B886" s="248"/>
      <c r="C886" s="331"/>
      <c r="D886" s="248"/>
      <c r="E886" s="248"/>
      <c r="F886" s="248"/>
      <c r="G886" s="248"/>
      <c r="H886" s="248"/>
      <c r="I886" s="248"/>
      <c r="J886" s="248"/>
      <c r="K886" s="248"/>
      <c r="L886" s="248"/>
      <c r="M886" s="248"/>
      <c r="N886" s="248"/>
      <c r="O886" s="248"/>
      <c r="P886" s="248"/>
      <c r="Q886" s="248"/>
      <c r="R886" s="248"/>
      <c r="S886" s="248"/>
      <c r="T886" s="248"/>
      <c r="U886" s="248"/>
      <c r="V886" s="248"/>
      <c r="W886" s="248"/>
      <c r="X886" s="248"/>
      <c r="Y886" s="248"/>
      <c r="Z886" s="248"/>
      <c r="AA886" s="248"/>
      <c r="AB886" s="248"/>
    </row>
    <row r="887" spans="1:28" ht="13.8">
      <c r="A887" s="248"/>
      <c r="B887" s="248"/>
      <c r="C887" s="331"/>
      <c r="D887" s="248"/>
      <c r="E887" s="248"/>
      <c r="F887" s="248"/>
      <c r="G887" s="248"/>
      <c r="H887" s="248"/>
      <c r="I887" s="248"/>
      <c r="J887" s="248"/>
      <c r="K887" s="248"/>
      <c r="L887" s="248"/>
      <c r="M887" s="248"/>
      <c r="N887" s="248"/>
      <c r="O887" s="248"/>
      <c r="P887" s="248"/>
      <c r="Q887" s="248"/>
      <c r="R887" s="248"/>
      <c r="S887" s="248"/>
      <c r="T887" s="248"/>
      <c r="U887" s="248"/>
      <c r="V887" s="248"/>
      <c r="W887" s="248"/>
      <c r="X887" s="248"/>
      <c r="Y887" s="248"/>
      <c r="Z887" s="248"/>
      <c r="AA887" s="248"/>
      <c r="AB887" s="248"/>
    </row>
    <row r="888" spans="1:28" ht="13.8">
      <c r="A888" s="248"/>
      <c r="B888" s="248"/>
      <c r="C888" s="331"/>
      <c r="D888" s="248"/>
      <c r="E888" s="248"/>
      <c r="F888" s="248"/>
      <c r="G888" s="248"/>
      <c r="H888" s="248"/>
      <c r="I888" s="248"/>
      <c r="J888" s="248"/>
      <c r="K888" s="248"/>
      <c r="L888" s="248"/>
      <c r="M888" s="248"/>
      <c r="N888" s="248"/>
      <c r="O888" s="248"/>
      <c r="P888" s="248"/>
      <c r="Q888" s="248"/>
      <c r="R888" s="248"/>
      <c r="S888" s="248"/>
      <c r="T888" s="248"/>
      <c r="U888" s="248"/>
      <c r="V888" s="248"/>
      <c r="W888" s="248"/>
      <c r="X888" s="248"/>
      <c r="Y888" s="248"/>
      <c r="Z888" s="248"/>
      <c r="AA888" s="248"/>
      <c r="AB888" s="248"/>
    </row>
    <row r="889" spans="1:28" ht="13.8">
      <c r="A889" s="248"/>
      <c r="B889" s="248"/>
      <c r="C889" s="331"/>
      <c r="D889" s="248"/>
      <c r="E889" s="248"/>
      <c r="F889" s="248"/>
      <c r="G889" s="248"/>
      <c r="H889" s="248"/>
      <c r="I889" s="248"/>
      <c r="J889" s="248"/>
      <c r="K889" s="248"/>
      <c r="L889" s="248"/>
      <c r="M889" s="248"/>
      <c r="N889" s="248"/>
      <c r="O889" s="248"/>
      <c r="P889" s="248"/>
      <c r="Q889" s="248"/>
      <c r="R889" s="248"/>
      <c r="S889" s="248"/>
      <c r="T889" s="248"/>
      <c r="U889" s="248"/>
      <c r="V889" s="248"/>
      <c r="W889" s="248"/>
      <c r="X889" s="248"/>
      <c r="Y889" s="248"/>
      <c r="Z889" s="248"/>
      <c r="AA889" s="248"/>
      <c r="AB889" s="248"/>
    </row>
    <row r="890" spans="1:28" ht="13.8">
      <c r="A890" s="248"/>
      <c r="B890" s="248"/>
      <c r="C890" s="331"/>
      <c r="D890" s="248"/>
      <c r="E890" s="248"/>
      <c r="F890" s="248"/>
      <c r="G890" s="248"/>
      <c r="H890" s="248"/>
      <c r="I890" s="248"/>
      <c r="J890" s="248"/>
      <c r="K890" s="248"/>
      <c r="L890" s="248"/>
      <c r="M890" s="248"/>
      <c r="N890" s="248"/>
      <c r="O890" s="248"/>
      <c r="P890" s="248"/>
      <c r="Q890" s="248"/>
      <c r="R890" s="248"/>
      <c r="S890" s="248"/>
      <c r="T890" s="248"/>
      <c r="U890" s="248"/>
      <c r="V890" s="248"/>
      <c r="W890" s="248"/>
      <c r="X890" s="248"/>
      <c r="Y890" s="248"/>
      <c r="Z890" s="248"/>
      <c r="AA890" s="248"/>
      <c r="AB890" s="248"/>
    </row>
    <row r="891" spans="1:28" ht="13.8">
      <c r="A891" s="248"/>
      <c r="B891" s="248"/>
      <c r="C891" s="331"/>
      <c r="D891" s="248"/>
      <c r="E891" s="248"/>
      <c r="F891" s="248"/>
      <c r="G891" s="248"/>
      <c r="H891" s="248"/>
      <c r="I891" s="248"/>
      <c r="J891" s="248"/>
      <c r="K891" s="248"/>
      <c r="L891" s="248"/>
      <c r="M891" s="248"/>
      <c r="N891" s="248"/>
      <c r="O891" s="248"/>
      <c r="P891" s="248"/>
      <c r="Q891" s="248"/>
      <c r="R891" s="248"/>
      <c r="S891" s="248"/>
      <c r="T891" s="248"/>
      <c r="U891" s="248"/>
      <c r="V891" s="248"/>
      <c r="W891" s="248"/>
      <c r="X891" s="248"/>
      <c r="Y891" s="248"/>
      <c r="Z891" s="248"/>
      <c r="AA891" s="248"/>
      <c r="AB891" s="248"/>
    </row>
    <row r="892" spans="1:28" ht="13.8">
      <c r="A892" s="248"/>
      <c r="B892" s="248"/>
      <c r="C892" s="331"/>
      <c r="D892" s="248"/>
      <c r="E892" s="248"/>
      <c r="F892" s="248"/>
      <c r="G892" s="248"/>
      <c r="H892" s="248"/>
      <c r="I892" s="248"/>
      <c r="J892" s="248"/>
      <c r="K892" s="248"/>
      <c r="L892" s="248"/>
      <c r="M892" s="248"/>
      <c r="N892" s="248"/>
      <c r="O892" s="248"/>
      <c r="P892" s="248"/>
      <c r="Q892" s="248"/>
      <c r="R892" s="248"/>
      <c r="S892" s="248"/>
      <c r="T892" s="248"/>
      <c r="U892" s="248"/>
      <c r="V892" s="248"/>
      <c r="W892" s="248"/>
      <c r="X892" s="248"/>
      <c r="Y892" s="248"/>
      <c r="Z892" s="248"/>
      <c r="AA892" s="248"/>
      <c r="AB892" s="248"/>
    </row>
    <row r="893" spans="1:28" ht="13.8">
      <c r="A893" s="248"/>
      <c r="B893" s="248"/>
      <c r="C893" s="331"/>
      <c r="D893" s="248"/>
      <c r="E893" s="248"/>
      <c r="F893" s="248"/>
      <c r="G893" s="248"/>
      <c r="H893" s="248"/>
      <c r="I893" s="248"/>
      <c r="J893" s="248"/>
      <c r="K893" s="248"/>
      <c r="L893" s="248"/>
      <c r="M893" s="248"/>
      <c r="N893" s="248"/>
      <c r="O893" s="248"/>
      <c r="P893" s="248"/>
      <c r="Q893" s="248"/>
      <c r="R893" s="248"/>
      <c r="S893" s="248"/>
      <c r="T893" s="248"/>
      <c r="U893" s="248"/>
      <c r="V893" s="248"/>
      <c r="W893" s="248"/>
      <c r="X893" s="248"/>
      <c r="Y893" s="248"/>
      <c r="Z893" s="248"/>
      <c r="AA893" s="248"/>
      <c r="AB893" s="248"/>
    </row>
    <row r="894" spans="1:28" ht="13.8">
      <c r="A894" s="248"/>
      <c r="B894" s="248"/>
      <c r="C894" s="331"/>
      <c r="D894" s="248"/>
      <c r="E894" s="248"/>
      <c r="F894" s="248"/>
      <c r="G894" s="248"/>
      <c r="H894" s="248"/>
      <c r="I894" s="248"/>
      <c r="J894" s="248"/>
      <c r="K894" s="248"/>
      <c r="L894" s="248"/>
      <c r="M894" s="248"/>
      <c r="N894" s="248"/>
      <c r="O894" s="248"/>
      <c r="P894" s="248"/>
      <c r="Q894" s="248"/>
      <c r="R894" s="248"/>
      <c r="S894" s="248"/>
      <c r="T894" s="248"/>
      <c r="U894" s="248"/>
      <c r="V894" s="248"/>
      <c r="W894" s="248"/>
      <c r="X894" s="248"/>
      <c r="Y894" s="248"/>
      <c r="Z894" s="248"/>
      <c r="AA894" s="248"/>
      <c r="AB894" s="248"/>
    </row>
    <row r="895" spans="1:28" ht="13.8">
      <c r="A895" s="248"/>
      <c r="B895" s="248"/>
      <c r="C895" s="331"/>
      <c r="D895" s="248"/>
      <c r="E895" s="248"/>
      <c r="F895" s="248"/>
      <c r="G895" s="248"/>
      <c r="H895" s="248"/>
      <c r="I895" s="248"/>
      <c r="J895" s="248"/>
      <c r="K895" s="248"/>
      <c r="L895" s="248"/>
      <c r="M895" s="248"/>
      <c r="N895" s="248"/>
      <c r="O895" s="248"/>
      <c r="P895" s="248"/>
      <c r="Q895" s="248"/>
      <c r="R895" s="248"/>
      <c r="S895" s="248"/>
      <c r="T895" s="248"/>
      <c r="U895" s="248"/>
      <c r="V895" s="248"/>
      <c r="W895" s="248"/>
      <c r="X895" s="248"/>
      <c r="Y895" s="248"/>
      <c r="Z895" s="248"/>
      <c r="AA895" s="248"/>
      <c r="AB895" s="248"/>
    </row>
    <row r="896" spans="1:28" ht="13.8">
      <c r="A896" s="248"/>
      <c r="B896" s="248"/>
      <c r="C896" s="331"/>
      <c r="D896" s="248"/>
      <c r="E896" s="248"/>
      <c r="F896" s="248"/>
      <c r="G896" s="248"/>
      <c r="H896" s="248"/>
      <c r="I896" s="248"/>
      <c r="J896" s="248"/>
      <c r="K896" s="248"/>
      <c r="L896" s="248"/>
      <c r="M896" s="248"/>
      <c r="N896" s="248"/>
      <c r="O896" s="248"/>
      <c r="P896" s="248"/>
      <c r="Q896" s="248"/>
      <c r="R896" s="248"/>
      <c r="S896" s="248"/>
      <c r="T896" s="248"/>
      <c r="U896" s="248"/>
      <c r="V896" s="248"/>
      <c r="W896" s="248"/>
      <c r="X896" s="248"/>
      <c r="Y896" s="248"/>
      <c r="Z896" s="248"/>
      <c r="AA896" s="248"/>
      <c r="AB896" s="248"/>
    </row>
    <row r="897" spans="1:28" ht="13.8">
      <c r="A897" s="248"/>
      <c r="B897" s="248"/>
      <c r="C897" s="331"/>
      <c r="D897" s="248"/>
      <c r="E897" s="248"/>
      <c r="F897" s="248"/>
      <c r="G897" s="248"/>
      <c r="H897" s="248"/>
      <c r="I897" s="248"/>
      <c r="J897" s="248"/>
      <c r="K897" s="248"/>
      <c r="L897" s="248"/>
      <c r="M897" s="248"/>
      <c r="N897" s="248"/>
      <c r="O897" s="248"/>
      <c r="P897" s="248"/>
      <c r="Q897" s="248"/>
      <c r="R897" s="248"/>
      <c r="S897" s="248"/>
      <c r="T897" s="248"/>
      <c r="U897" s="248"/>
      <c r="V897" s="248"/>
      <c r="W897" s="248"/>
      <c r="X897" s="248"/>
      <c r="Y897" s="248"/>
      <c r="Z897" s="248"/>
      <c r="AA897" s="248"/>
      <c r="AB897" s="248"/>
    </row>
    <row r="898" spans="1:28" ht="13.8">
      <c r="A898" s="248"/>
      <c r="B898" s="248"/>
      <c r="C898" s="331"/>
      <c r="D898" s="248"/>
      <c r="E898" s="248"/>
      <c r="F898" s="248"/>
      <c r="G898" s="248"/>
      <c r="H898" s="248"/>
      <c r="I898" s="248"/>
      <c r="J898" s="248"/>
      <c r="K898" s="248"/>
      <c r="L898" s="248"/>
      <c r="M898" s="248"/>
      <c r="N898" s="248"/>
      <c r="O898" s="248"/>
      <c r="P898" s="248"/>
      <c r="Q898" s="248"/>
      <c r="R898" s="248"/>
      <c r="S898" s="248"/>
      <c r="T898" s="248"/>
      <c r="U898" s="248"/>
      <c r="V898" s="248"/>
      <c r="W898" s="248"/>
      <c r="X898" s="248"/>
      <c r="Y898" s="248"/>
      <c r="Z898" s="248"/>
      <c r="AA898" s="248"/>
      <c r="AB898" s="248"/>
    </row>
    <row r="899" spans="1:28" ht="13.8">
      <c r="A899" s="248"/>
      <c r="B899" s="248"/>
      <c r="C899" s="331"/>
      <c r="D899" s="248"/>
      <c r="E899" s="248"/>
      <c r="F899" s="248"/>
      <c r="G899" s="248"/>
      <c r="H899" s="248"/>
      <c r="I899" s="248"/>
      <c r="J899" s="248"/>
      <c r="K899" s="248"/>
      <c r="L899" s="248"/>
      <c r="M899" s="248"/>
      <c r="N899" s="248"/>
      <c r="O899" s="248"/>
      <c r="P899" s="248"/>
      <c r="Q899" s="248"/>
      <c r="R899" s="248"/>
      <c r="S899" s="248"/>
      <c r="T899" s="248"/>
      <c r="U899" s="248"/>
      <c r="V899" s="248"/>
      <c r="W899" s="248"/>
      <c r="X899" s="248"/>
      <c r="Y899" s="248"/>
      <c r="Z899" s="248"/>
      <c r="AA899" s="248"/>
      <c r="AB899" s="248"/>
    </row>
    <row r="900" spans="1:28" ht="13.8">
      <c r="A900" s="248"/>
      <c r="B900" s="248"/>
      <c r="C900" s="331"/>
      <c r="D900" s="248"/>
      <c r="E900" s="248"/>
      <c r="F900" s="248"/>
      <c r="G900" s="248"/>
      <c r="H900" s="248"/>
      <c r="I900" s="248"/>
      <c r="J900" s="248"/>
      <c r="K900" s="248"/>
      <c r="L900" s="248"/>
      <c r="M900" s="248"/>
      <c r="N900" s="248"/>
      <c r="O900" s="248"/>
      <c r="P900" s="248"/>
      <c r="Q900" s="248"/>
      <c r="R900" s="248"/>
      <c r="S900" s="248"/>
      <c r="T900" s="248"/>
      <c r="U900" s="248"/>
      <c r="V900" s="248"/>
      <c r="W900" s="248"/>
      <c r="X900" s="248"/>
      <c r="Y900" s="248"/>
      <c r="Z900" s="248"/>
      <c r="AA900" s="248"/>
      <c r="AB900" s="248"/>
    </row>
    <row r="901" spans="1:28" ht="13.8">
      <c r="A901" s="248"/>
      <c r="B901" s="248"/>
      <c r="C901" s="331"/>
      <c r="D901" s="248"/>
      <c r="E901" s="248"/>
      <c r="F901" s="248"/>
      <c r="G901" s="248"/>
      <c r="H901" s="248"/>
      <c r="I901" s="248"/>
      <c r="J901" s="248"/>
      <c r="K901" s="248"/>
      <c r="L901" s="248"/>
      <c r="M901" s="248"/>
      <c r="N901" s="248"/>
      <c r="O901" s="248"/>
      <c r="P901" s="248"/>
      <c r="Q901" s="248"/>
      <c r="R901" s="248"/>
      <c r="S901" s="248"/>
      <c r="T901" s="248"/>
      <c r="U901" s="248"/>
      <c r="V901" s="248"/>
      <c r="W901" s="248"/>
      <c r="X901" s="248"/>
      <c r="Y901" s="248"/>
      <c r="Z901" s="248"/>
      <c r="AA901" s="248"/>
      <c r="AB901" s="248"/>
    </row>
    <row r="902" spans="1:28" ht="13.8">
      <c r="A902" s="248"/>
      <c r="B902" s="248"/>
      <c r="C902" s="331"/>
      <c r="D902" s="248"/>
      <c r="E902" s="248"/>
      <c r="F902" s="248"/>
      <c r="G902" s="248"/>
      <c r="H902" s="248"/>
      <c r="I902" s="248"/>
      <c r="J902" s="248"/>
      <c r="K902" s="248"/>
      <c r="L902" s="248"/>
      <c r="M902" s="248"/>
      <c r="N902" s="248"/>
      <c r="O902" s="248"/>
      <c r="P902" s="248"/>
      <c r="Q902" s="248"/>
      <c r="R902" s="248"/>
      <c r="S902" s="248"/>
      <c r="T902" s="248"/>
      <c r="U902" s="248"/>
      <c r="V902" s="248"/>
      <c r="W902" s="248"/>
      <c r="X902" s="248"/>
      <c r="Y902" s="248"/>
      <c r="Z902" s="248"/>
      <c r="AA902" s="248"/>
      <c r="AB902" s="248"/>
    </row>
    <row r="903" spans="1:28" ht="13.8">
      <c r="A903" s="248"/>
      <c r="B903" s="248"/>
      <c r="C903" s="331"/>
      <c r="D903" s="248"/>
      <c r="E903" s="248"/>
      <c r="F903" s="248"/>
      <c r="G903" s="248"/>
      <c r="H903" s="248"/>
      <c r="I903" s="248"/>
      <c r="J903" s="248"/>
      <c r="K903" s="248"/>
      <c r="L903" s="248"/>
      <c r="M903" s="248"/>
      <c r="N903" s="248"/>
      <c r="O903" s="248"/>
      <c r="P903" s="248"/>
      <c r="Q903" s="248"/>
      <c r="R903" s="248"/>
      <c r="S903" s="248"/>
      <c r="T903" s="248"/>
      <c r="U903" s="248"/>
      <c r="V903" s="248"/>
      <c r="W903" s="248"/>
      <c r="X903" s="248"/>
      <c r="Y903" s="248"/>
      <c r="Z903" s="248"/>
      <c r="AA903" s="248"/>
      <c r="AB903" s="248"/>
    </row>
    <row r="904" spans="1:28" ht="13.8">
      <c r="A904" s="248"/>
      <c r="B904" s="248"/>
      <c r="C904" s="331"/>
      <c r="D904" s="248"/>
      <c r="E904" s="248"/>
      <c r="F904" s="248"/>
      <c r="G904" s="248"/>
      <c r="H904" s="248"/>
      <c r="I904" s="248"/>
      <c r="J904" s="248"/>
      <c r="K904" s="248"/>
      <c r="L904" s="248"/>
      <c r="M904" s="248"/>
      <c r="N904" s="248"/>
      <c r="O904" s="248"/>
      <c r="P904" s="248"/>
      <c r="Q904" s="248"/>
      <c r="R904" s="248"/>
      <c r="S904" s="248"/>
      <c r="T904" s="248"/>
      <c r="U904" s="248"/>
      <c r="V904" s="248"/>
      <c r="W904" s="248"/>
      <c r="X904" s="248"/>
      <c r="Y904" s="248"/>
      <c r="Z904" s="248"/>
      <c r="AA904" s="248"/>
      <c r="AB904" s="248"/>
    </row>
    <row r="905" spans="1:28" ht="13.8">
      <c r="A905" s="248"/>
      <c r="B905" s="248"/>
      <c r="C905" s="331"/>
      <c r="D905" s="248"/>
      <c r="E905" s="248"/>
      <c r="F905" s="248"/>
      <c r="G905" s="248"/>
      <c r="H905" s="248"/>
      <c r="I905" s="248"/>
      <c r="J905" s="248"/>
      <c r="K905" s="248"/>
      <c r="L905" s="248"/>
      <c r="M905" s="248"/>
      <c r="N905" s="248"/>
      <c r="O905" s="248"/>
      <c r="P905" s="248"/>
      <c r="Q905" s="248"/>
      <c r="R905" s="248"/>
      <c r="S905" s="248"/>
      <c r="T905" s="248"/>
      <c r="U905" s="248"/>
      <c r="V905" s="248"/>
      <c r="W905" s="248"/>
      <c r="X905" s="248"/>
      <c r="Y905" s="248"/>
      <c r="Z905" s="248"/>
      <c r="AA905" s="248"/>
      <c r="AB905" s="248"/>
    </row>
    <row r="906" spans="1:28" ht="13.8">
      <c r="A906" s="248"/>
      <c r="B906" s="248"/>
      <c r="C906" s="331"/>
      <c r="D906" s="248"/>
      <c r="E906" s="248"/>
      <c r="F906" s="248"/>
      <c r="G906" s="248"/>
      <c r="H906" s="248"/>
      <c r="I906" s="248"/>
      <c r="J906" s="248"/>
      <c r="K906" s="248"/>
      <c r="L906" s="248"/>
      <c r="M906" s="248"/>
      <c r="N906" s="248"/>
      <c r="O906" s="248"/>
      <c r="P906" s="248"/>
      <c r="Q906" s="248"/>
      <c r="R906" s="248"/>
      <c r="S906" s="248"/>
      <c r="T906" s="248"/>
      <c r="U906" s="248"/>
      <c r="V906" s="248"/>
      <c r="W906" s="248"/>
      <c r="X906" s="248"/>
      <c r="Y906" s="248"/>
      <c r="Z906" s="248"/>
      <c r="AA906" s="248"/>
      <c r="AB906" s="248"/>
    </row>
    <row r="907" spans="1:28" ht="13.8">
      <c r="A907" s="248"/>
      <c r="B907" s="248"/>
      <c r="C907" s="331"/>
      <c r="D907" s="248"/>
      <c r="E907" s="248"/>
      <c r="F907" s="248"/>
      <c r="G907" s="248"/>
      <c r="H907" s="248"/>
      <c r="I907" s="248"/>
      <c r="J907" s="248"/>
      <c r="K907" s="248"/>
      <c r="L907" s="248"/>
      <c r="M907" s="248"/>
      <c r="N907" s="248"/>
      <c r="O907" s="248"/>
      <c r="P907" s="248"/>
      <c r="Q907" s="248"/>
      <c r="R907" s="248"/>
      <c r="S907" s="248"/>
      <c r="T907" s="248"/>
      <c r="U907" s="248"/>
      <c r="V907" s="248"/>
      <c r="W907" s="248"/>
      <c r="X907" s="248"/>
      <c r="Y907" s="248"/>
      <c r="Z907" s="248"/>
      <c r="AA907" s="248"/>
      <c r="AB907" s="248"/>
    </row>
    <row r="908" spans="1:28" ht="13.8">
      <c r="A908" s="248"/>
      <c r="B908" s="248"/>
      <c r="C908" s="331"/>
      <c r="D908" s="248"/>
      <c r="E908" s="248"/>
      <c r="F908" s="248"/>
      <c r="G908" s="248"/>
      <c r="H908" s="248"/>
      <c r="I908" s="248"/>
      <c r="J908" s="248"/>
      <c r="K908" s="248"/>
      <c r="L908" s="248"/>
      <c r="M908" s="248"/>
      <c r="N908" s="248"/>
      <c r="O908" s="248"/>
      <c r="P908" s="248"/>
      <c r="Q908" s="248"/>
      <c r="R908" s="248"/>
      <c r="S908" s="248"/>
      <c r="T908" s="248"/>
      <c r="U908" s="248"/>
      <c r="V908" s="248"/>
      <c r="W908" s="248"/>
      <c r="X908" s="248"/>
      <c r="Y908" s="248"/>
      <c r="Z908" s="248"/>
      <c r="AA908" s="248"/>
      <c r="AB908" s="248"/>
    </row>
    <row r="909" spans="1:28" ht="13.8">
      <c r="A909" s="248"/>
      <c r="B909" s="248"/>
      <c r="C909" s="331"/>
      <c r="D909" s="248"/>
      <c r="E909" s="248"/>
      <c r="F909" s="248"/>
      <c r="G909" s="248"/>
      <c r="H909" s="248"/>
      <c r="I909" s="248"/>
      <c r="J909" s="248"/>
      <c r="K909" s="248"/>
      <c r="L909" s="248"/>
      <c r="M909" s="248"/>
      <c r="N909" s="248"/>
      <c r="O909" s="248"/>
      <c r="P909" s="248"/>
      <c r="Q909" s="248"/>
      <c r="R909" s="248"/>
      <c r="S909" s="248"/>
      <c r="T909" s="248"/>
      <c r="U909" s="248"/>
      <c r="V909" s="248"/>
      <c r="W909" s="248"/>
      <c r="X909" s="248"/>
      <c r="Y909" s="248"/>
      <c r="Z909" s="248"/>
      <c r="AA909" s="248"/>
      <c r="AB909" s="248"/>
    </row>
    <row r="910" spans="1:28" ht="13.8">
      <c r="A910" s="248"/>
      <c r="B910" s="248"/>
      <c r="C910" s="331"/>
      <c r="D910" s="248"/>
      <c r="E910" s="248"/>
      <c r="F910" s="248"/>
      <c r="G910" s="248"/>
      <c r="H910" s="248"/>
      <c r="I910" s="248"/>
      <c r="J910" s="248"/>
      <c r="K910" s="248"/>
      <c r="L910" s="248"/>
      <c r="M910" s="248"/>
      <c r="N910" s="248"/>
      <c r="O910" s="248"/>
      <c r="P910" s="248"/>
      <c r="Q910" s="248"/>
      <c r="R910" s="248"/>
      <c r="S910" s="248"/>
      <c r="T910" s="248"/>
      <c r="U910" s="248"/>
      <c r="V910" s="248"/>
      <c r="W910" s="248"/>
      <c r="X910" s="248"/>
      <c r="Y910" s="248"/>
      <c r="Z910" s="248"/>
      <c r="AA910" s="248"/>
      <c r="AB910" s="248"/>
    </row>
    <row r="911" spans="1:28" ht="13.8">
      <c r="A911" s="248"/>
      <c r="B911" s="248"/>
      <c r="C911" s="331"/>
      <c r="D911" s="248"/>
      <c r="E911" s="248"/>
      <c r="F911" s="248"/>
      <c r="G911" s="248"/>
      <c r="H911" s="248"/>
      <c r="I911" s="248"/>
      <c r="J911" s="248"/>
      <c r="K911" s="248"/>
      <c r="L911" s="248"/>
      <c r="M911" s="248"/>
      <c r="N911" s="248"/>
      <c r="O911" s="248"/>
      <c r="P911" s="248"/>
      <c r="Q911" s="248"/>
      <c r="R911" s="248"/>
      <c r="S911" s="248"/>
      <c r="T911" s="248"/>
      <c r="U911" s="248"/>
      <c r="V911" s="248"/>
      <c r="W911" s="248"/>
      <c r="X911" s="248"/>
      <c r="Y911" s="248"/>
      <c r="Z911" s="248"/>
      <c r="AA911" s="248"/>
      <c r="AB911" s="248"/>
    </row>
    <row r="912" spans="1:28" ht="13.8">
      <c r="A912" s="248"/>
      <c r="B912" s="248"/>
      <c r="C912" s="331"/>
      <c r="D912" s="248"/>
      <c r="E912" s="248"/>
      <c r="F912" s="248"/>
      <c r="G912" s="248"/>
      <c r="H912" s="248"/>
      <c r="I912" s="248"/>
      <c r="J912" s="248"/>
      <c r="K912" s="248"/>
      <c r="L912" s="248"/>
      <c r="M912" s="248"/>
      <c r="N912" s="248"/>
      <c r="O912" s="248"/>
      <c r="P912" s="248"/>
      <c r="Q912" s="248"/>
      <c r="R912" s="248"/>
      <c r="S912" s="248"/>
      <c r="T912" s="248"/>
      <c r="U912" s="248"/>
      <c r="V912" s="248"/>
      <c r="W912" s="248"/>
      <c r="X912" s="248"/>
      <c r="Y912" s="248"/>
      <c r="Z912" s="248"/>
      <c r="AA912" s="248"/>
      <c r="AB912" s="248"/>
    </row>
    <row r="913" spans="1:28" ht="13.8">
      <c r="A913" s="248"/>
      <c r="B913" s="248"/>
      <c r="C913" s="331"/>
      <c r="D913" s="248"/>
      <c r="E913" s="248"/>
      <c r="F913" s="248"/>
      <c r="G913" s="248"/>
      <c r="H913" s="248"/>
      <c r="I913" s="248"/>
      <c r="J913" s="248"/>
      <c r="K913" s="248"/>
      <c r="L913" s="248"/>
      <c r="M913" s="248"/>
      <c r="N913" s="248"/>
      <c r="O913" s="248"/>
      <c r="P913" s="248"/>
      <c r="Q913" s="248"/>
      <c r="R913" s="248"/>
      <c r="S913" s="248"/>
      <c r="T913" s="248"/>
      <c r="U913" s="248"/>
      <c r="V913" s="248"/>
      <c r="W913" s="248"/>
      <c r="X913" s="248"/>
      <c r="Y913" s="248"/>
      <c r="Z913" s="248"/>
      <c r="AA913" s="248"/>
      <c r="AB913" s="248"/>
    </row>
    <row r="914" spans="1:28" ht="13.8">
      <c r="A914" s="248"/>
      <c r="B914" s="248"/>
      <c r="C914" s="331"/>
      <c r="D914" s="248"/>
      <c r="E914" s="248"/>
      <c r="F914" s="248"/>
      <c r="G914" s="248"/>
      <c r="H914" s="248"/>
      <c r="I914" s="248"/>
      <c r="J914" s="248"/>
      <c r="K914" s="248"/>
      <c r="L914" s="248"/>
      <c r="M914" s="248"/>
      <c r="N914" s="248"/>
      <c r="O914" s="248"/>
      <c r="P914" s="248"/>
      <c r="Q914" s="248"/>
      <c r="R914" s="248"/>
      <c r="S914" s="248"/>
      <c r="T914" s="248"/>
      <c r="U914" s="248"/>
      <c r="V914" s="248"/>
      <c r="W914" s="248"/>
      <c r="X914" s="248"/>
      <c r="Y914" s="248"/>
      <c r="Z914" s="248"/>
      <c r="AA914" s="248"/>
      <c r="AB914" s="248"/>
    </row>
    <row r="915" spans="1:28" ht="13.8">
      <c r="A915" s="248"/>
      <c r="B915" s="248"/>
      <c r="C915" s="331"/>
      <c r="D915" s="248"/>
      <c r="E915" s="248"/>
      <c r="F915" s="248"/>
      <c r="G915" s="248"/>
      <c r="H915" s="248"/>
      <c r="I915" s="248"/>
      <c r="J915" s="248"/>
      <c r="K915" s="248"/>
      <c r="L915" s="248"/>
      <c r="M915" s="248"/>
      <c r="N915" s="248"/>
      <c r="O915" s="248"/>
      <c r="P915" s="248"/>
      <c r="Q915" s="248"/>
      <c r="R915" s="248"/>
      <c r="S915" s="248"/>
      <c r="T915" s="248"/>
      <c r="U915" s="248"/>
      <c r="V915" s="248"/>
      <c r="W915" s="248"/>
      <c r="X915" s="248"/>
      <c r="Y915" s="248"/>
      <c r="Z915" s="248"/>
      <c r="AA915" s="248"/>
      <c r="AB915" s="248"/>
    </row>
    <row r="916" spans="1:28" ht="13.8">
      <c r="A916" s="248"/>
      <c r="B916" s="248"/>
      <c r="C916" s="331"/>
      <c r="D916" s="248"/>
      <c r="E916" s="248"/>
      <c r="F916" s="248"/>
      <c r="G916" s="248"/>
      <c r="H916" s="248"/>
      <c r="I916" s="248"/>
      <c r="J916" s="248"/>
      <c r="K916" s="248"/>
      <c r="L916" s="248"/>
      <c r="M916" s="248"/>
      <c r="N916" s="248"/>
      <c r="O916" s="248"/>
      <c r="P916" s="248"/>
      <c r="Q916" s="248"/>
      <c r="R916" s="248"/>
      <c r="S916" s="248"/>
      <c r="T916" s="248"/>
      <c r="U916" s="248"/>
      <c r="V916" s="248"/>
      <c r="W916" s="248"/>
      <c r="X916" s="248"/>
      <c r="Y916" s="248"/>
      <c r="Z916" s="248"/>
      <c r="AA916" s="248"/>
      <c r="AB916" s="248"/>
    </row>
    <row r="917" spans="1:28" ht="13.8">
      <c r="A917" s="248"/>
      <c r="B917" s="248"/>
      <c r="C917" s="331"/>
      <c r="D917" s="248"/>
      <c r="E917" s="248"/>
      <c r="F917" s="248"/>
      <c r="G917" s="248"/>
      <c r="H917" s="248"/>
      <c r="I917" s="248"/>
      <c r="J917" s="248"/>
      <c r="K917" s="248"/>
      <c r="L917" s="248"/>
      <c r="M917" s="248"/>
      <c r="N917" s="248"/>
      <c r="O917" s="248"/>
      <c r="P917" s="248"/>
      <c r="Q917" s="248"/>
      <c r="R917" s="248"/>
      <c r="S917" s="248"/>
      <c r="T917" s="248"/>
      <c r="U917" s="248"/>
      <c r="V917" s="248"/>
      <c r="W917" s="248"/>
      <c r="X917" s="248"/>
      <c r="Y917" s="248"/>
      <c r="Z917" s="248"/>
      <c r="AA917" s="248"/>
      <c r="AB917" s="248"/>
    </row>
    <row r="918" spans="1:28" ht="13.8">
      <c r="A918" s="248"/>
      <c r="B918" s="248"/>
      <c r="C918" s="331"/>
      <c r="D918" s="248"/>
      <c r="E918" s="248"/>
      <c r="F918" s="248"/>
      <c r="G918" s="248"/>
      <c r="H918" s="248"/>
      <c r="I918" s="248"/>
      <c r="J918" s="248"/>
      <c r="K918" s="248"/>
      <c r="L918" s="248"/>
      <c r="M918" s="248"/>
      <c r="N918" s="248"/>
      <c r="O918" s="248"/>
      <c r="P918" s="248"/>
      <c r="Q918" s="248"/>
      <c r="R918" s="248"/>
      <c r="S918" s="248"/>
      <c r="T918" s="248"/>
      <c r="U918" s="248"/>
      <c r="V918" s="248"/>
      <c r="W918" s="248"/>
      <c r="X918" s="248"/>
      <c r="Y918" s="248"/>
      <c r="Z918" s="248"/>
      <c r="AA918" s="248"/>
      <c r="AB918" s="248"/>
    </row>
    <row r="919" spans="1:28" ht="13.8">
      <c r="A919" s="248"/>
      <c r="B919" s="248"/>
      <c r="C919" s="331"/>
      <c r="D919" s="248"/>
      <c r="E919" s="248"/>
      <c r="F919" s="248"/>
      <c r="G919" s="248"/>
      <c r="H919" s="248"/>
      <c r="I919" s="248"/>
      <c r="J919" s="248"/>
      <c r="K919" s="248"/>
      <c r="L919" s="248"/>
      <c r="M919" s="248"/>
      <c r="N919" s="248"/>
      <c r="O919" s="248"/>
      <c r="P919" s="248"/>
      <c r="Q919" s="248"/>
      <c r="R919" s="248"/>
      <c r="S919" s="248"/>
      <c r="T919" s="248"/>
      <c r="U919" s="248"/>
      <c r="V919" s="248"/>
      <c r="W919" s="248"/>
      <c r="X919" s="248"/>
      <c r="Y919" s="248"/>
      <c r="Z919" s="248"/>
      <c r="AA919" s="248"/>
      <c r="AB919" s="248"/>
    </row>
    <row r="920" spans="1:28" ht="13.8">
      <c r="A920" s="248"/>
      <c r="B920" s="248"/>
      <c r="C920" s="331"/>
      <c r="D920" s="248"/>
      <c r="E920" s="248"/>
      <c r="F920" s="248"/>
      <c r="G920" s="248"/>
      <c r="H920" s="248"/>
      <c r="I920" s="248"/>
      <c r="J920" s="248"/>
      <c r="K920" s="248"/>
      <c r="L920" s="248"/>
      <c r="M920" s="248"/>
      <c r="N920" s="248"/>
      <c r="O920" s="248"/>
      <c r="P920" s="248"/>
      <c r="Q920" s="248"/>
      <c r="R920" s="248"/>
      <c r="S920" s="248"/>
      <c r="T920" s="248"/>
      <c r="U920" s="248"/>
      <c r="V920" s="248"/>
      <c r="W920" s="248"/>
      <c r="X920" s="248"/>
      <c r="Y920" s="248"/>
      <c r="Z920" s="248"/>
      <c r="AA920" s="248"/>
      <c r="AB920" s="248"/>
    </row>
    <row r="921" spans="1:28" ht="13.8">
      <c r="A921" s="248"/>
      <c r="B921" s="248"/>
      <c r="C921" s="331"/>
      <c r="D921" s="248"/>
      <c r="E921" s="248"/>
      <c r="F921" s="248"/>
      <c r="G921" s="248"/>
      <c r="H921" s="248"/>
      <c r="I921" s="248"/>
      <c r="J921" s="248"/>
      <c r="K921" s="248"/>
      <c r="L921" s="248"/>
      <c r="M921" s="248"/>
      <c r="N921" s="248"/>
      <c r="O921" s="248"/>
      <c r="P921" s="248"/>
      <c r="Q921" s="248"/>
      <c r="R921" s="248"/>
      <c r="S921" s="248"/>
      <c r="T921" s="248"/>
      <c r="U921" s="248"/>
      <c r="V921" s="248"/>
      <c r="W921" s="248"/>
      <c r="X921" s="248"/>
      <c r="Y921" s="248"/>
      <c r="Z921" s="248"/>
      <c r="AA921" s="248"/>
      <c r="AB921" s="248"/>
    </row>
    <row r="922" spans="1:28" ht="13.8">
      <c r="A922" s="248"/>
      <c r="B922" s="248"/>
      <c r="C922" s="331"/>
      <c r="D922" s="248"/>
      <c r="E922" s="248"/>
      <c r="F922" s="248"/>
      <c r="G922" s="248"/>
      <c r="H922" s="248"/>
      <c r="I922" s="248"/>
      <c r="J922" s="248"/>
      <c r="K922" s="248"/>
      <c r="L922" s="248"/>
      <c r="M922" s="248"/>
      <c r="N922" s="248"/>
      <c r="O922" s="248"/>
      <c r="P922" s="248"/>
      <c r="Q922" s="248"/>
      <c r="R922" s="248"/>
      <c r="S922" s="248"/>
      <c r="T922" s="248"/>
      <c r="U922" s="248"/>
      <c r="V922" s="248"/>
      <c r="W922" s="248"/>
      <c r="X922" s="248"/>
      <c r="Y922" s="248"/>
      <c r="Z922" s="248"/>
      <c r="AA922" s="248"/>
      <c r="AB922" s="248"/>
    </row>
    <row r="923" spans="1:28" ht="13.8">
      <c r="A923" s="248"/>
      <c r="B923" s="248"/>
      <c r="C923" s="331"/>
      <c r="D923" s="248"/>
      <c r="E923" s="248"/>
      <c r="F923" s="248"/>
      <c r="G923" s="248"/>
      <c r="H923" s="248"/>
      <c r="I923" s="248"/>
      <c r="J923" s="248"/>
      <c r="K923" s="248"/>
      <c r="L923" s="248"/>
      <c r="M923" s="248"/>
      <c r="N923" s="248"/>
      <c r="O923" s="248"/>
      <c r="P923" s="248"/>
      <c r="Q923" s="248"/>
      <c r="R923" s="248"/>
      <c r="S923" s="248"/>
      <c r="T923" s="248"/>
      <c r="U923" s="248"/>
      <c r="V923" s="248"/>
      <c r="W923" s="248"/>
      <c r="X923" s="248"/>
      <c r="Y923" s="248"/>
      <c r="Z923" s="248"/>
      <c r="AA923" s="248"/>
      <c r="AB923" s="248"/>
    </row>
    <row r="924" spans="1:28" ht="13.8">
      <c r="A924" s="248"/>
      <c r="B924" s="248"/>
      <c r="C924" s="331"/>
      <c r="D924" s="248"/>
      <c r="E924" s="248"/>
      <c r="F924" s="248"/>
      <c r="G924" s="248"/>
      <c r="H924" s="248"/>
      <c r="I924" s="248"/>
      <c r="J924" s="248"/>
      <c r="K924" s="248"/>
      <c r="L924" s="248"/>
      <c r="M924" s="248"/>
      <c r="N924" s="248"/>
      <c r="O924" s="248"/>
      <c r="P924" s="248"/>
      <c r="Q924" s="248"/>
      <c r="R924" s="248"/>
      <c r="S924" s="248"/>
      <c r="T924" s="248"/>
      <c r="U924" s="248"/>
      <c r="V924" s="248"/>
      <c r="W924" s="248"/>
      <c r="X924" s="248"/>
      <c r="Y924" s="248"/>
      <c r="Z924" s="248"/>
      <c r="AA924" s="248"/>
      <c r="AB924" s="248"/>
    </row>
    <row r="925" spans="1:28" ht="13.8">
      <c r="A925" s="248"/>
      <c r="B925" s="248"/>
      <c r="C925" s="331"/>
      <c r="D925" s="248"/>
      <c r="E925" s="248"/>
      <c r="F925" s="248"/>
      <c r="G925" s="248"/>
      <c r="H925" s="248"/>
      <c r="I925" s="248"/>
      <c r="J925" s="248"/>
      <c r="K925" s="248"/>
      <c r="L925" s="248"/>
      <c r="M925" s="248"/>
      <c r="N925" s="248"/>
      <c r="O925" s="248"/>
      <c r="P925" s="248"/>
      <c r="Q925" s="248"/>
      <c r="R925" s="248"/>
      <c r="S925" s="248"/>
      <c r="T925" s="248"/>
      <c r="U925" s="248"/>
      <c r="V925" s="248"/>
      <c r="W925" s="248"/>
      <c r="X925" s="248"/>
      <c r="Y925" s="248"/>
      <c r="Z925" s="248"/>
      <c r="AA925" s="248"/>
      <c r="AB925" s="248"/>
    </row>
    <row r="926" spans="1:28" ht="13.8">
      <c r="A926" s="248"/>
      <c r="B926" s="248"/>
      <c r="C926" s="331"/>
      <c r="D926" s="248"/>
      <c r="E926" s="248"/>
      <c r="F926" s="248"/>
      <c r="G926" s="248"/>
      <c r="H926" s="248"/>
      <c r="I926" s="248"/>
      <c r="J926" s="248"/>
      <c r="K926" s="248"/>
      <c r="L926" s="248"/>
      <c r="M926" s="248"/>
      <c r="N926" s="248"/>
      <c r="O926" s="248"/>
      <c r="P926" s="248"/>
      <c r="Q926" s="248"/>
      <c r="R926" s="248"/>
      <c r="S926" s="248"/>
      <c r="T926" s="248"/>
      <c r="U926" s="248"/>
      <c r="V926" s="248"/>
      <c r="W926" s="248"/>
      <c r="X926" s="248"/>
      <c r="Y926" s="248"/>
      <c r="Z926" s="248"/>
      <c r="AA926" s="248"/>
      <c r="AB926" s="248"/>
    </row>
    <row r="927" spans="1:28" ht="13.8">
      <c r="A927" s="248"/>
      <c r="B927" s="248"/>
      <c r="C927" s="331"/>
      <c r="D927" s="248"/>
      <c r="E927" s="248"/>
      <c r="F927" s="248"/>
      <c r="G927" s="248"/>
      <c r="H927" s="248"/>
      <c r="I927" s="248"/>
      <c r="J927" s="248"/>
      <c r="K927" s="248"/>
      <c r="L927" s="248"/>
      <c r="M927" s="248"/>
      <c r="N927" s="248"/>
      <c r="O927" s="248"/>
      <c r="P927" s="248"/>
      <c r="Q927" s="248"/>
      <c r="R927" s="248"/>
      <c r="S927" s="248"/>
      <c r="T927" s="248"/>
      <c r="U927" s="248"/>
      <c r="V927" s="248"/>
      <c r="W927" s="248"/>
      <c r="X927" s="248"/>
      <c r="Y927" s="248"/>
      <c r="Z927" s="248"/>
      <c r="AA927" s="248"/>
      <c r="AB927" s="248"/>
    </row>
    <row r="928" spans="1:28" ht="13.8">
      <c r="A928" s="248"/>
      <c r="B928" s="248"/>
      <c r="C928" s="331"/>
      <c r="D928" s="248"/>
      <c r="E928" s="248"/>
      <c r="F928" s="248"/>
      <c r="G928" s="248"/>
      <c r="H928" s="248"/>
      <c r="I928" s="248"/>
      <c r="J928" s="248"/>
      <c r="K928" s="248"/>
      <c r="L928" s="248"/>
      <c r="M928" s="248"/>
      <c r="N928" s="248"/>
      <c r="O928" s="248"/>
      <c r="P928" s="248"/>
      <c r="Q928" s="248"/>
      <c r="R928" s="248"/>
      <c r="S928" s="248"/>
      <c r="T928" s="248"/>
      <c r="U928" s="248"/>
      <c r="V928" s="248"/>
      <c r="W928" s="248"/>
      <c r="X928" s="248"/>
      <c r="Y928" s="248"/>
      <c r="Z928" s="248"/>
      <c r="AA928" s="248"/>
      <c r="AB928" s="248"/>
    </row>
    <row r="929" spans="1:28" ht="13.8">
      <c r="A929" s="248"/>
      <c r="B929" s="248"/>
      <c r="C929" s="331"/>
      <c r="D929" s="248"/>
      <c r="E929" s="248"/>
      <c r="F929" s="248"/>
      <c r="G929" s="248"/>
      <c r="H929" s="248"/>
      <c r="I929" s="248"/>
      <c r="J929" s="248"/>
      <c r="K929" s="248"/>
      <c r="L929" s="248"/>
      <c r="M929" s="248"/>
      <c r="N929" s="248"/>
      <c r="O929" s="248"/>
      <c r="P929" s="248"/>
      <c r="Q929" s="248"/>
      <c r="R929" s="248"/>
      <c r="S929" s="248"/>
      <c r="T929" s="248"/>
      <c r="U929" s="248"/>
      <c r="V929" s="248"/>
      <c r="W929" s="248"/>
      <c r="X929" s="248"/>
      <c r="Y929" s="248"/>
      <c r="Z929" s="248"/>
      <c r="AA929" s="248"/>
      <c r="AB929" s="248"/>
    </row>
    <row r="930" spans="1:28" ht="13.8">
      <c r="A930" s="248"/>
      <c r="B930" s="248"/>
      <c r="C930" s="331"/>
      <c r="D930" s="248"/>
      <c r="E930" s="248"/>
      <c r="F930" s="248"/>
      <c r="G930" s="248"/>
      <c r="H930" s="248"/>
      <c r="I930" s="248"/>
      <c r="J930" s="248"/>
      <c r="K930" s="248"/>
      <c r="L930" s="248"/>
      <c r="M930" s="248"/>
      <c r="N930" s="248"/>
      <c r="O930" s="248"/>
      <c r="P930" s="248"/>
      <c r="Q930" s="248"/>
      <c r="R930" s="248"/>
      <c r="S930" s="248"/>
      <c r="T930" s="248"/>
      <c r="U930" s="248"/>
      <c r="V930" s="248"/>
      <c r="W930" s="248"/>
      <c r="X930" s="248"/>
      <c r="Y930" s="248"/>
      <c r="Z930" s="248"/>
      <c r="AA930" s="248"/>
      <c r="AB930" s="248"/>
    </row>
    <row r="931" spans="1:28" ht="13.8">
      <c r="A931" s="248"/>
      <c r="B931" s="248"/>
      <c r="C931" s="331"/>
      <c r="D931" s="248"/>
      <c r="E931" s="248"/>
      <c r="F931" s="248"/>
      <c r="G931" s="248"/>
      <c r="H931" s="248"/>
      <c r="I931" s="248"/>
      <c r="J931" s="248"/>
      <c r="K931" s="248"/>
      <c r="L931" s="248"/>
      <c r="M931" s="248"/>
      <c r="N931" s="248"/>
      <c r="O931" s="248"/>
      <c r="P931" s="248"/>
      <c r="Q931" s="248"/>
      <c r="R931" s="248"/>
      <c r="S931" s="248"/>
      <c r="T931" s="248"/>
      <c r="U931" s="248"/>
      <c r="V931" s="248"/>
      <c r="W931" s="248"/>
      <c r="X931" s="248"/>
      <c r="Y931" s="248"/>
      <c r="Z931" s="248"/>
      <c r="AA931" s="248"/>
      <c r="AB931" s="248"/>
    </row>
    <row r="932" spans="1:28" ht="13.8">
      <c r="A932" s="248"/>
      <c r="B932" s="248"/>
      <c r="C932" s="331"/>
      <c r="D932" s="248"/>
      <c r="E932" s="248"/>
      <c r="F932" s="248"/>
      <c r="G932" s="248"/>
      <c r="H932" s="248"/>
      <c r="I932" s="248"/>
      <c r="J932" s="248"/>
      <c r="K932" s="248"/>
      <c r="L932" s="248"/>
      <c r="M932" s="248"/>
      <c r="N932" s="248"/>
      <c r="O932" s="248"/>
      <c r="P932" s="248"/>
      <c r="Q932" s="248"/>
      <c r="R932" s="248"/>
      <c r="S932" s="248"/>
      <c r="T932" s="248"/>
      <c r="U932" s="248"/>
      <c r="V932" s="248"/>
      <c r="W932" s="248"/>
      <c r="X932" s="248"/>
      <c r="Y932" s="248"/>
      <c r="Z932" s="248"/>
      <c r="AA932" s="248"/>
      <c r="AB932" s="248"/>
    </row>
    <row r="933" spans="1:28" ht="13.8">
      <c r="A933" s="248"/>
      <c r="B933" s="248"/>
      <c r="C933" s="331"/>
      <c r="D933" s="248"/>
      <c r="E933" s="248"/>
      <c r="F933" s="248"/>
      <c r="G933" s="248"/>
      <c r="H933" s="248"/>
      <c r="I933" s="248"/>
      <c r="J933" s="248"/>
      <c r="K933" s="248"/>
      <c r="L933" s="248"/>
      <c r="M933" s="248"/>
      <c r="N933" s="248"/>
      <c r="O933" s="248"/>
      <c r="P933" s="248"/>
      <c r="Q933" s="248"/>
      <c r="R933" s="248"/>
      <c r="S933" s="248"/>
      <c r="T933" s="248"/>
      <c r="U933" s="248"/>
      <c r="V933" s="248"/>
      <c r="W933" s="248"/>
      <c r="X933" s="248"/>
      <c r="Y933" s="248"/>
      <c r="Z933" s="248"/>
      <c r="AA933" s="248"/>
      <c r="AB933" s="248"/>
    </row>
    <row r="934" spans="1:28" ht="13.8">
      <c r="A934" s="248"/>
      <c r="B934" s="248"/>
      <c r="C934" s="331"/>
      <c r="D934" s="248"/>
      <c r="E934" s="248"/>
      <c r="F934" s="248"/>
      <c r="G934" s="248"/>
      <c r="H934" s="248"/>
      <c r="I934" s="248"/>
      <c r="J934" s="248"/>
      <c r="K934" s="248"/>
      <c r="L934" s="248"/>
      <c r="M934" s="248"/>
      <c r="N934" s="248"/>
      <c r="O934" s="248"/>
      <c r="P934" s="248"/>
      <c r="Q934" s="248"/>
      <c r="R934" s="248"/>
      <c r="S934" s="248"/>
      <c r="T934" s="248"/>
      <c r="U934" s="248"/>
      <c r="V934" s="248"/>
      <c r="W934" s="248"/>
      <c r="X934" s="248"/>
      <c r="Y934" s="248"/>
      <c r="Z934" s="248"/>
      <c r="AA934" s="248"/>
      <c r="AB934" s="248"/>
    </row>
    <row r="935" spans="1:28" ht="13.8">
      <c r="A935" s="248"/>
      <c r="B935" s="248"/>
      <c r="C935" s="331"/>
      <c r="D935" s="248"/>
      <c r="E935" s="248"/>
      <c r="F935" s="248"/>
      <c r="G935" s="248"/>
      <c r="H935" s="248"/>
      <c r="I935" s="248"/>
      <c r="J935" s="248"/>
      <c r="K935" s="248"/>
      <c r="L935" s="248"/>
      <c r="M935" s="248"/>
      <c r="N935" s="248"/>
      <c r="O935" s="248"/>
      <c r="P935" s="248"/>
      <c r="Q935" s="248"/>
      <c r="R935" s="248"/>
      <c r="S935" s="248"/>
      <c r="T935" s="248"/>
      <c r="U935" s="248"/>
      <c r="V935" s="248"/>
      <c r="W935" s="248"/>
      <c r="X935" s="248"/>
      <c r="Y935" s="248"/>
      <c r="Z935" s="248"/>
      <c r="AA935" s="248"/>
      <c r="AB935" s="248"/>
    </row>
    <row r="936" spans="1:28" ht="13.8">
      <c r="A936" s="248"/>
      <c r="B936" s="248"/>
      <c r="C936" s="331"/>
      <c r="D936" s="248"/>
      <c r="E936" s="248"/>
      <c r="F936" s="248"/>
      <c r="G936" s="248"/>
      <c r="H936" s="248"/>
      <c r="I936" s="248"/>
      <c r="J936" s="248"/>
      <c r="K936" s="248"/>
      <c r="L936" s="248"/>
      <c r="M936" s="248"/>
      <c r="N936" s="248"/>
      <c r="O936" s="248"/>
      <c r="P936" s="248"/>
      <c r="Q936" s="248"/>
      <c r="R936" s="248"/>
      <c r="S936" s="248"/>
      <c r="T936" s="248"/>
      <c r="U936" s="248"/>
      <c r="V936" s="248"/>
      <c r="W936" s="248"/>
      <c r="X936" s="248"/>
      <c r="Y936" s="248"/>
      <c r="Z936" s="248"/>
      <c r="AA936" s="248"/>
      <c r="AB936" s="248"/>
    </row>
    <row r="937" spans="1:28" ht="13.8">
      <c r="A937" s="248"/>
      <c r="B937" s="248"/>
      <c r="C937" s="331"/>
      <c r="D937" s="248"/>
      <c r="E937" s="248"/>
      <c r="F937" s="248"/>
      <c r="G937" s="248"/>
      <c r="H937" s="248"/>
      <c r="I937" s="248"/>
      <c r="J937" s="248"/>
      <c r="K937" s="248"/>
      <c r="L937" s="248"/>
      <c r="M937" s="248"/>
      <c r="N937" s="248"/>
      <c r="O937" s="248"/>
      <c r="P937" s="248"/>
      <c r="Q937" s="248"/>
      <c r="R937" s="248"/>
      <c r="S937" s="248"/>
      <c r="T937" s="248"/>
      <c r="U937" s="248"/>
      <c r="V937" s="248"/>
      <c r="W937" s="248"/>
      <c r="X937" s="248"/>
      <c r="Y937" s="248"/>
      <c r="Z937" s="248"/>
      <c r="AA937" s="248"/>
      <c r="AB937" s="248"/>
    </row>
    <row r="938" spans="1:28" ht="13.8">
      <c r="A938" s="248"/>
      <c r="B938" s="248"/>
      <c r="C938" s="331"/>
      <c r="D938" s="248"/>
      <c r="E938" s="248"/>
      <c r="F938" s="248"/>
      <c r="G938" s="248"/>
      <c r="H938" s="248"/>
      <c r="I938" s="248"/>
      <c r="J938" s="248"/>
      <c r="K938" s="248"/>
      <c r="L938" s="248"/>
      <c r="M938" s="248"/>
      <c r="N938" s="248"/>
      <c r="O938" s="248"/>
      <c r="P938" s="248"/>
      <c r="Q938" s="248"/>
      <c r="R938" s="248"/>
      <c r="S938" s="248"/>
      <c r="T938" s="248"/>
      <c r="U938" s="248"/>
      <c r="V938" s="248"/>
      <c r="W938" s="248"/>
      <c r="X938" s="248"/>
      <c r="Y938" s="248"/>
      <c r="Z938" s="248"/>
      <c r="AA938" s="248"/>
      <c r="AB938" s="248"/>
    </row>
    <row r="939" spans="1:28" ht="13.8">
      <c r="A939" s="248"/>
      <c r="B939" s="248"/>
      <c r="C939" s="331"/>
      <c r="D939" s="248"/>
      <c r="E939" s="248"/>
      <c r="F939" s="248"/>
      <c r="G939" s="248"/>
      <c r="H939" s="248"/>
      <c r="I939" s="248"/>
      <c r="J939" s="248"/>
      <c r="K939" s="248"/>
      <c r="L939" s="248"/>
      <c r="M939" s="248"/>
      <c r="N939" s="248"/>
      <c r="O939" s="248"/>
      <c r="P939" s="248"/>
      <c r="Q939" s="248"/>
      <c r="R939" s="248"/>
      <c r="S939" s="248"/>
      <c r="T939" s="248"/>
      <c r="U939" s="248"/>
      <c r="V939" s="248"/>
      <c r="W939" s="248"/>
      <c r="X939" s="248"/>
      <c r="Y939" s="248"/>
      <c r="Z939" s="248"/>
      <c r="AA939" s="248"/>
      <c r="AB939" s="248"/>
    </row>
    <row r="940" spans="1:28" ht="13.8">
      <c r="A940" s="248"/>
      <c r="B940" s="248"/>
      <c r="C940" s="331"/>
      <c r="D940" s="248"/>
      <c r="E940" s="248"/>
      <c r="F940" s="248"/>
      <c r="G940" s="248"/>
      <c r="H940" s="248"/>
      <c r="I940" s="248"/>
      <c r="J940" s="248"/>
      <c r="K940" s="248"/>
      <c r="L940" s="248"/>
      <c r="M940" s="248"/>
      <c r="N940" s="248"/>
      <c r="O940" s="248"/>
      <c r="P940" s="248"/>
      <c r="Q940" s="248"/>
      <c r="R940" s="248"/>
      <c r="S940" s="248"/>
      <c r="T940" s="248"/>
      <c r="U940" s="248"/>
      <c r="V940" s="248"/>
      <c r="W940" s="248"/>
      <c r="X940" s="248"/>
      <c r="Y940" s="248"/>
      <c r="Z940" s="248"/>
      <c r="AA940" s="248"/>
      <c r="AB940" s="248"/>
    </row>
    <row r="941" spans="1:28" ht="13.8">
      <c r="A941" s="248"/>
      <c r="B941" s="248"/>
      <c r="C941" s="331"/>
      <c r="D941" s="248"/>
      <c r="E941" s="248"/>
      <c r="F941" s="248"/>
      <c r="G941" s="248"/>
      <c r="H941" s="248"/>
      <c r="I941" s="248"/>
      <c r="J941" s="248"/>
      <c r="K941" s="248"/>
      <c r="L941" s="248"/>
      <c r="M941" s="248"/>
      <c r="N941" s="248"/>
      <c r="O941" s="248"/>
      <c r="P941" s="248"/>
      <c r="Q941" s="248"/>
      <c r="R941" s="248"/>
      <c r="S941" s="248"/>
      <c r="T941" s="248"/>
      <c r="U941" s="248"/>
      <c r="V941" s="248"/>
      <c r="W941" s="248"/>
      <c r="X941" s="248"/>
      <c r="Y941" s="248"/>
      <c r="Z941" s="248"/>
      <c r="AA941" s="248"/>
      <c r="AB941" s="248"/>
    </row>
    <row r="942" spans="1:28" ht="13.8">
      <c r="A942" s="248"/>
      <c r="B942" s="248"/>
      <c r="C942" s="331"/>
      <c r="D942" s="248"/>
      <c r="E942" s="248"/>
      <c r="F942" s="248"/>
      <c r="G942" s="248"/>
      <c r="H942" s="248"/>
      <c r="I942" s="248"/>
      <c r="J942" s="248"/>
      <c r="K942" s="248"/>
      <c r="L942" s="248"/>
      <c r="M942" s="248"/>
      <c r="N942" s="248"/>
      <c r="O942" s="248"/>
      <c r="P942" s="248"/>
      <c r="Q942" s="248"/>
      <c r="R942" s="248"/>
      <c r="S942" s="248"/>
      <c r="T942" s="248"/>
      <c r="U942" s="248"/>
      <c r="V942" s="248"/>
      <c r="W942" s="248"/>
      <c r="X942" s="248"/>
      <c r="Y942" s="248"/>
      <c r="Z942" s="248"/>
      <c r="AA942" s="248"/>
      <c r="AB942" s="248"/>
    </row>
    <row r="943" spans="1:28" ht="13.8">
      <c r="A943" s="248"/>
      <c r="B943" s="248"/>
      <c r="C943" s="331"/>
      <c r="D943" s="248"/>
      <c r="E943" s="248"/>
      <c r="F943" s="248"/>
      <c r="G943" s="248"/>
      <c r="H943" s="248"/>
      <c r="I943" s="248"/>
      <c r="J943" s="248"/>
      <c r="K943" s="248"/>
      <c r="L943" s="248"/>
      <c r="M943" s="248"/>
      <c r="N943" s="248"/>
      <c r="O943" s="248"/>
      <c r="P943" s="248"/>
      <c r="Q943" s="248"/>
      <c r="R943" s="248"/>
      <c r="S943" s="248"/>
      <c r="T943" s="248"/>
      <c r="U943" s="248"/>
      <c r="V943" s="248"/>
      <c r="W943" s="248"/>
      <c r="X943" s="248"/>
      <c r="Y943" s="248"/>
      <c r="Z943" s="248"/>
      <c r="AA943" s="248"/>
      <c r="AB943" s="248"/>
    </row>
    <row r="944" spans="1:28" ht="13.8">
      <c r="A944" s="248"/>
      <c r="B944" s="248"/>
      <c r="C944" s="331"/>
      <c r="D944" s="248"/>
      <c r="E944" s="248"/>
      <c r="F944" s="248"/>
      <c r="G944" s="248"/>
      <c r="H944" s="248"/>
      <c r="I944" s="248"/>
      <c r="J944" s="248"/>
      <c r="K944" s="248"/>
      <c r="L944" s="248"/>
      <c r="M944" s="248"/>
      <c r="N944" s="248"/>
      <c r="O944" s="248"/>
      <c r="P944" s="248"/>
      <c r="Q944" s="248"/>
      <c r="R944" s="248"/>
      <c r="S944" s="248"/>
      <c r="T944" s="248"/>
      <c r="U944" s="248"/>
      <c r="V944" s="248"/>
      <c r="W944" s="248"/>
      <c r="X944" s="248"/>
      <c r="Y944" s="248"/>
      <c r="Z944" s="248"/>
      <c r="AA944" s="248"/>
      <c r="AB944" s="248"/>
    </row>
    <row r="945" spans="1:28" ht="13.8">
      <c r="A945" s="248"/>
      <c r="B945" s="248"/>
      <c r="C945" s="331"/>
      <c r="D945" s="248"/>
      <c r="E945" s="248"/>
      <c r="F945" s="248"/>
      <c r="G945" s="248"/>
      <c r="H945" s="248"/>
      <c r="I945" s="248"/>
      <c r="J945" s="248"/>
      <c r="K945" s="248"/>
      <c r="L945" s="248"/>
      <c r="M945" s="248"/>
      <c r="N945" s="248"/>
      <c r="O945" s="248"/>
      <c r="P945" s="248"/>
      <c r="Q945" s="248"/>
      <c r="R945" s="248"/>
      <c r="S945" s="248"/>
      <c r="T945" s="248"/>
      <c r="U945" s="248"/>
      <c r="V945" s="248"/>
      <c r="W945" s="248"/>
      <c r="X945" s="248"/>
      <c r="Y945" s="248"/>
      <c r="Z945" s="248"/>
      <c r="AA945" s="248"/>
      <c r="AB945" s="248"/>
    </row>
    <row r="946" spans="1:28" ht="13.8">
      <c r="A946" s="248"/>
      <c r="B946" s="248"/>
      <c r="C946" s="331"/>
      <c r="D946" s="248"/>
      <c r="E946" s="248"/>
      <c r="F946" s="248"/>
      <c r="G946" s="248"/>
      <c r="H946" s="248"/>
      <c r="I946" s="248"/>
      <c r="J946" s="248"/>
      <c r="K946" s="248"/>
      <c r="L946" s="248"/>
      <c r="M946" s="248"/>
      <c r="N946" s="248"/>
      <c r="O946" s="248"/>
      <c r="P946" s="248"/>
      <c r="Q946" s="248"/>
      <c r="R946" s="248"/>
      <c r="S946" s="248"/>
      <c r="T946" s="248"/>
      <c r="U946" s="248"/>
      <c r="V946" s="248"/>
      <c r="W946" s="248"/>
      <c r="X946" s="248"/>
      <c r="Y946" s="248"/>
      <c r="Z946" s="248"/>
      <c r="AA946" s="248"/>
      <c r="AB946" s="248"/>
    </row>
    <row r="947" spans="1:28" ht="13.8">
      <c r="A947" s="248"/>
      <c r="B947" s="248"/>
      <c r="C947" s="331"/>
      <c r="D947" s="248"/>
      <c r="E947" s="248"/>
      <c r="F947" s="248"/>
      <c r="G947" s="248"/>
      <c r="H947" s="248"/>
      <c r="I947" s="248"/>
      <c r="J947" s="248"/>
      <c r="K947" s="248"/>
      <c r="L947" s="248"/>
      <c r="M947" s="248"/>
      <c r="N947" s="248"/>
      <c r="O947" s="248"/>
      <c r="P947" s="248"/>
      <c r="Q947" s="248"/>
      <c r="R947" s="248"/>
      <c r="S947" s="248"/>
      <c r="T947" s="248"/>
      <c r="U947" s="248"/>
      <c r="V947" s="248"/>
      <c r="W947" s="248"/>
      <c r="X947" s="248"/>
      <c r="Y947" s="248"/>
      <c r="Z947" s="248"/>
      <c r="AA947" s="248"/>
      <c r="AB947" s="248"/>
    </row>
    <row r="948" spans="1:28" ht="13.8">
      <c r="A948" s="248"/>
      <c r="B948" s="248"/>
      <c r="C948" s="331"/>
      <c r="D948" s="248"/>
      <c r="E948" s="248"/>
      <c r="F948" s="248"/>
      <c r="G948" s="248"/>
      <c r="H948" s="248"/>
      <c r="I948" s="248"/>
      <c r="J948" s="248"/>
      <c r="K948" s="248"/>
      <c r="L948" s="248"/>
      <c r="M948" s="248"/>
      <c r="N948" s="248"/>
      <c r="O948" s="248"/>
      <c r="P948" s="248"/>
      <c r="Q948" s="248"/>
      <c r="R948" s="248"/>
      <c r="S948" s="248"/>
      <c r="T948" s="248"/>
      <c r="U948" s="248"/>
      <c r="V948" s="248"/>
      <c r="W948" s="248"/>
      <c r="X948" s="248"/>
      <c r="Y948" s="248"/>
      <c r="Z948" s="248"/>
      <c r="AA948" s="248"/>
      <c r="AB948" s="248"/>
    </row>
    <row r="949" spans="1:28" ht="13.8">
      <c r="A949" s="248"/>
      <c r="B949" s="248"/>
      <c r="C949" s="331"/>
      <c r="D949" s="248"/>
      <c r="E949" s="248"/>
      <c r="F949" s="248"/>
      <c r="G949" s="248"/>
      <c r="H949" s="248"/>
      <c r="I949" s="248"/>
      <c r="J949" s="248"/>
      <c r="K949" s="248"/>
      <c r="L949" s="248"/>
      <c r="M949" s="248"/>
      <c r="N949" s="248"/>
      <c r="O949" s="248"/>
      <c r="P949" s="248"/>
      <c r="Q949" s="248"/>
      <c r="R949" s="248"/>
      <c r="S949" s="248"/>
      <c r="T949" s="248"/>
      <c r="U949" s="248"/>
      <c r="V949" s="248"/>
      <c r="W949" s="248"/>
      <c r="X949" s="248"/>
      <c r="Y949" s="248"/>
      <c r="Z949" s="248"/>
      <c r="AA949" s="248"/>
      <c r="AB949" s="248"/>
    </row>
    <row r="950" spans="1:28" ht="13.8">
      <c r="A950" s="248"/>
      <c r="B950" s="248"/>
      <c r="C950" s="331"/>
      <c r="D950" s="248"/>
      <c r="E950" s="248"/>
      <c r="F950" s="248"/>
      <c r="G950" s="248"/>
      <c r="H950" s="248"/>
      <c r="I950" s="248"/>
      <c r="J950" s="248"/>
      <c r="K950" s="248"/>
      <c r="L950" s="248"/>
      <c r="M950" s="248"/>
      <c r="N950" s="248"/>
      <c r="O950" s="248"/>
      <c r="P950" s="248"/>
      <c r="Q950" s="248"/>
      <c r="R950" s="248"/>
      <c r="S950" s="248"/>
      <c r="T950" s="248"/>
      <c r="U950" s="248"/>
      <c r="V950" s="248"/>
      <c r="W950" s="248"/>
      <c r="X950" s="248"/>
      <c r="Y950" s="248"/>
      <c r="Z950" s="248"/>
      <c r="AA950" s="248"/>
      <c r="AB950" s="248"/>
    </row>
    <row r="951" spans="1:28" ht="13.8">
      <c r="A951" s="248"/>
      <c r="B951" s="248"/>
      <c r="C951" s="331"/>
      <c r="D951" s="248"/>
      <c r="E951" s="248"/>
      <c r="F951" s="248"/>
      <c r="G951" s="248"/>
      <c r="H951" s="248"/>
      <c r="I951" s="248"/>
      <c r="J951" s="248"/>
      <c r="K951" s="248"/>
      <c r="L951" s="248"/>
      <c r="M951" s="248"/>
      <c r="N951" s="248"/>
      <c r="O951" s="248"/>
      <c r="P951" s="248"/>
      <c r="Q951" s="248"/>
      <c r="R951" s="248"/>
      <c r="S951" s="248"/>
      <c r="T951" s="248"/>
      <c r="U951" s="248"/>
      <c r="V951" s="248"/>
      <c r="W951" s="248"/>
      <c r="X951" s="248"/>
      <c r="Y951" s="248"/>
      <c r="Z951" s="248"/>
      <c r="AA951" s="248"/>
      <c r="AB951" s="248"/>
    </row>
    <row r="952" spans="1:28" ht="13.8">
      <c r="A952" s="248"/>
      <c r="B952" s="248"/>
      <c r="C952" s="331"/>
      <c r="D952" s="248"/>
      <c r="E952" s="248"/>
      <c r="F952" s="248"/>
      <c r="G952" s="248"/>
      <c r="H952" s="248"/>
      <c r="I952" s="248"/>
      <c r="J952" s="248"/>
      <c r="K952" s="248"/>
      <c r="L952" s="248"/>
      <c r="M952" s="248"/>
      <c r="N952" s="248"/>
      <c r="O952" s="248"/>
      <c r="P952" s="248"/>
      <c r="Q952" s="248"/>
      <c r="R952" s="248"/>
      <c r="S952" s="248"/>
      <c r="T952" s="248"/>
      <c r="U952" s="248"/>
      <c r="V952" s="248"/>
      <c r="W952" s="248"/>
      <c r="X952" s="248"/>
      <c r="Y952" s="248"/>
      <c r="Z952" s="248"/>
      <c r="AA952" s="248"/>
      <c r="AB952" s="248"/>
    </row>
    <row r="953" spans="1:28" ht="13.8">
      <c r="A953" s="248"/>
      <c r="B953" s="248"/>
      <c r="C953" s="331"/>
      <c r="D953" s="248"/>
      <c r="E953" s="248"/>
      <c r="F953" s="248"/>
      <c r="G953" s="248"/>
      <c r="H953" s="248"/>
      <c r="I953" s="248"/>
      <c r="J953" s="248"/>
      <c r="K953" s="248"/>
      <c r="L953" s="248"/>
      <c r="M953" s="248"/>
      <c r="N953" s="248"/>
      <c r="O953" s="248"/>
      <c r="P953" s="248"/>
      <c r="Q953" s="248"/>
      <c r="R953" s="248"/>
      <c r="S953" s="248"/>
      <c r="T953" s="248"/>
      <c r="U953" s="248"/>
      <c r="V953" s="248"/>
      <c r="W953" s="248"/>
      <c r="X953" s="248"/>
      <c r="Y953" s="248"/>
      <c r="Z953" s="248"/>
      <c r="AA953" s="248"/>
      <c r="AB953" s="248"/>
    </row>
    <row r="954" spans="1:28" ht="13.8">
      <c r="A954" s="248"/>
      <c r="B954" s="248"/>
      <c r="C954" s="331"/>
      <c r="D954" s="248"/>
      <c r="E954" s="248"/>
      <c r="F954" s="248"/>
      <c r="G954" s="248"/>
      <c r="H954" s="248"/>
      <c r="I954" s="248"/>
      <c r="J954" s="248"/>
      <c r="K954" s="248"/>
      <c r="L954" s="248"/>
      <c r="M954" s="248"/>
      <c r="N954" s="248"/>
      <c r="O954" s="248"/>
      <c r="P954" s="248"/>
      <c r="Q954" s="248"/>
      <c r="R954" s="248"/>
      <c r="S954" s="248"/>
      <c r="T954" s="248"/>
      <c r="U954" s="248"/>
      <c r="V954" s="248"/>
      <c r="W954" s="248"/>
      <c r="X954" s="248"/>
      <c r="Y954" s="248"/>
      <c r="Z954" s="248"/>
      <c r="AA954" s="248"/>
      <c r="AB954" s="248"/>
    </row>
    <row r="955" spans="1:28" ht="13.8">
      <c r="A955" s="248"/>
      <c r="B955" s="248"/>
      <c r="C955" s="331"/>
      <c r="D955" s="248"/>
      <c r="E955" s="248"/>
      <c r="F955" s="248"/>
      <c r="G955" s="248"/>
      <c r="H955" s="248"/>
      <c r="I955" s="248"/>
      <c r="J955" s="248"/>
      <c r="K955" s="248"/>
      <c r="L955" s="248"/>
      <c r="M955" s="248"/>
      <c r="N955" s="248"/>
      <c r="O955" s="248"/>
      <c r="P955" s="248"/>
      <c r="Q955" s="248"/>
      <c r="R955" s="248"/>
      <c r="S955" s="248"/>
      <c r="T955" s="248"/>
      <c r="U955" s="248"/>
      <c r="V955" s="248"/>
      <c r="W955" s="248"/>
      <c r="X955" s="248"/>
      <c r="Y955" s="248"/>
      <c r="Z955" s="248"/>
      <c r="AA955" s="248"/>
      <c r="AB955" s="248"/>
    </row>
    <row r="956" spans="1:28" ht="13.8">
      <c r="A956" s="248"/>
      <c r="B956" s="248"/>
      <c r="C956" s="331"/>
      <c r="D956" s="248"/>
      <c r="E956" s="248"/>
      <c r="F956" s="248"/>
      <c r="G956" s="248"/>
      <c r="H956" s="248"/>
      <c r="I956" s="248"/>
      <c r="J956" s="248"/>
      <c r="K956" s="248"/>
      <c r="L956" s="248"/>
      <c r="M956" s="248"/>
      <c r="N956" s="248"/>
      <c r="O956" s="248"/>
      <c r="P956" s="248"/>
      <c r="Q956" s="248"/>
      <c r="R956" s="248"/>
      <c r="S956" s="248"/>
      <c r="T956" s="248"/>
      <c r="U956" s="248"/>
      <c r="V956" s="248"/>
      <c r="W956" s="248"/>
      <c r="X956" s="248"/>
      <c r="Y956" s="248"/>
      <c r="Z956" s="248"/>
      <c r="AA956" s="248"/>
      <c r="AB956" s="248"/>
    </row>
    <row r="957" spans="1:28" ht="13.8">
      <c r="A957" s="248"/>
      <c r="B957" s="248"/>
      <c r="C957" s="331"/>
      <c r="D957" s="248"/>
      <c r="E957" s="248"/>
      <c r="F957" s="248"/>
      <c r="G957" s="248"/>
      <c r="H957" s="248"/>
      <c r="I957" s="248"/>
      <c r="J957" s="248"/>
      <c r="K957" s="248"/>
      <c r="L957" s="248"/>
      <c r="M957" s="248"/>
      <c r="N957" s="248"/>
      <c r="O957" s="248"/>
      <c r="P957" s="248"/>
      <c r="Q957" s="248"/>
      <c r="R957" s="248"/>
      <c r="S957" s="248"/>
      <c r="T957" s="248"/>
      <c r="U957" s="248"/>
      <c r="V957" s="248"/>
      <c r="W957" s="248"/>
      <c r="X957" s="248"/>
      <c r="Y957" s="248"/>
      <c r="Z957" s="248"/>
      <c r="AA957" s="248"/>
      <c r="AB957" s="248"/>
    </row>
    <row r="958" spans="1:28" ht="13.8">
      <c r="A958" s="248"/>
      <c r="B958" s="248"/>
      <c r="C958" s="331"/>
      <c r="D958" s="248"/>
      <c r="E958" s="248"/>
      <c r="F958" s="248"/>
      <c r="G958" s="248"/>
      <c r="H958" s="248"/>
      <c r="I958" s="248"/>
      <c r="J958" s="248"/>
      <c r="K958" s="248"/>
      <c r="L958" s="248"/>
      <c r="M958" s="248"/>
      <c r="N958" s="248"/>
      <c r="O958" s="248"/>
      <c r="P958" s="248"/>
      <c r="Q958" s="248"/>
      <c r="R958" s="248"/>
      <c r="S958" s="248"/>
      <c r="T958" s="248"/>
      <c r="U958" s="248"/>
      <c r="V958" s="248"/>
      <c r="W958" s="248"/>
      <c r="X958" s="248"/>
      <c r="Y958" s="248"/>
      <c r="Z958" s="248"/>
      <c r="AA958" s="248"/>
      <c r="AB958" s="248"/>
    </row>
    <row r="959" spans="1:28" ht="13.8">
      <c r="A959" s="248"/>
      <c r="B959" s="248"/>
      <c r="C959" s="331"/>
      <c r="D959" s="248"/>
      <c r="E959" s="248"/>
      <c r="F959" s="248"/>
      <c r="G959" s="248"/>
      <c r="H959" s="248"/>
      <c r="I959" s="248"/>
      <c r="J959" s="248"/>
      <c r="K959" s="248"/>
      <c r="L959" s="248"/>
      <c r="M959" s="248"/>
      <c r="N959" s="248"/>
      <c r="O959" s="248"/>
      <c r="P959" s="248"/>
      <c r="Q959" s="248"/>
      <c r="R959" s="248"/>
      <c r="S959" s="248"/>
      <c r="T959" s="248"/>
      <c r="U959" s="248"/>
      <c r="V959" s="248"/>
      <c r="W959" s="248"/>
      <c r="X959" s="248"/>
      <c r="Y959" s="248"/>
      <c r="Z959" s="248"/>
      <c r="AA959" s="248"/>
      <c r="AB959" s="248"/>
    </row>
    <row r="960" spans="1:28" ht="13.8">
      <c r="A960" s="248"/>
      <c r="B960" s="248"/>
      <c r="C960" s="331"/>
      <c r="D960" s="248"/>
      <c r="E960" s="248"/>
      <c r="F960" s="248"/>
      <c r="G960" s="248"/>
      <c r="H960" s="248"/>
      <c r="I960" s="248"/>
      <c r="J960" s="248"/>
      <c r="K960" s="248"/>
      <c r="L960" s="248"/>
      <c r="M960" s="248"/>
      <c r="N960" s="248"/>
      <c r="O960" s="248"/>
      <c r="P960" s="248"/>
      <c r="Q960" s="248"/>
      <c r="R960" s="248"/>
      <c r="S960" s="248"/>
      <c r="T960" s="248"/>
      <c r="U960" s="248"/>
      <c r="V960" s="248"/>
      <c r="W960" s="248"/>
      <c r="X960" s="248"/>
      <c r="Y960" s="248"/>
      <c r="Z960" s="248"/>
      <c r="AA960" s="248"/>
      <c r="AB960" s="248"/>
    </row>
    <row r="961" spans="1:28" ht="13.8">
      <c r="A961" s="248"/>
      <c r="B961" s="248"/>
      <c r="C961" s="331"/>
      <c r="D961" s="248"/>
      <c r="E961" s="248"/>
      <c r="F961" s="248"/>
      <c r="G961" s="248"/>
      <c r="H961" s="248"/>
      <c r="I961" s="248"/>
      <c r="J961" s="248"/>
      <c r="K961" s="248"/>
      <c r="L961" s="248"/>
      <c r="M961" s="248"/>
      <c r="N961" s="248"/>
      <c r="O961" s="248"/>
      <c r="P961" s="248"/>
      <c r="Q961" s="248"/>
      <c r="R961" s="248"/>
      <c r="S961" s="248"/>
      <c r="T961" s="248"/>
      <c r="U961" s="248"/>
      <c r="V961" s="248"/>
      <c r="W961" s="248"/>
      <c r="X961" s="248"/>
      <c r="Y961" s="248"/>
      <c r="Z961" s="248"/>
      <c r="AA961" s="248"/>
      <c r="AB961" s="248"/>
    </row>
    <row r="962" spans="1:28" ht="13.8">
      <c r="A962" s="248"/>
      <c r="B962" s="248"/>
      <c r="C962" s="331"/>
      <c r="D962" s="248"/>
      <c r="E962" s="248"/>
      <c r="F962" s="248"/>
      <c r="G962" s="248"/>
      <c r="H962" s="248"/>
      <c r="I962" s="248"/>
      <c r="J962" s="248"/>
      <c r="K962" s="248"/>
      <c r="L962" s="248"/>
      <c r="M962" s="248"/>
      <c r="N962" s="248"/>
      <c r="O962" s="248"/>
      <c r="P962" s="248"/>
      <c r="Q962" s="248"/>
      <c r="R962" s="248"/>
      <c r="S962" s="248"/>
      <c r="T962" s="248"/>
      <c r="U962" s="248"/>
      <c r="V962" s="248"/>
      <c r="W962" s="248"/>
      <c r="X962" s="248"/>
      <c r="Y962" s="248"/>
      <c r="Z962" s="248"/>
      <c r="AA962" s="248"/>
      <c r="AB962" s="248"/>
    </row>
    <row r="963" spans="1:28" ht="13.8">
      <c r="A963" s="248"/>
      <c r="B963" s="248"/>
      <c r="C963" s="331"/>
      <c r="D963" s="248"/>
      <c r="E963" s="248"/>
      <c r="F963" s="248"/>
      <c r="G963" s="248"/>
      <c r="H963" s="248"/>
      <c r="I963" s="248"/>
      <c r="J963" s="248"/>
      <c r="K963" s="248"/>
      <c r="L963" s="248"/>
      <c r="M963" s="248"/>
      <c r="N963" s="248"/>
      <c r="O963" s="248"/>
      <c r="P963" s="248"/>
      <c r="Q963" s="248"/>
      <c r="R963" s="248"/>
      <c r="S963" s="248"/>
      <c r="T963" s="248"/>
      <c r="U963" s="248"/>
      <c r="V963" s="248"/>
      <c r="W963" s="248"/>
      <c r="X963" s="248"/>
      <c r="Y963" s="248"/>
      <c r="Z963" s="248"/>
      <c r="AA963" s="248"/>
      <c r="AB963" s="248"/>
    </row>
    <row r="964" spans="1:28" ht="13.8">
      <c r="A964" s="248"/>
      <c r="B964" s="248"/>
      <c r="C964" s="331"/>
      <c r="D964" s="248"/>
      <c r="E964" s="248"/>
      <c r="F964" s="248"/>
      <c r="G964" s="248"/>
      <c r="H964" s="248"/>
      <c r="I964" s="248"/>
      <c r="J964" s="248"/>
      <c r="K964" s="248"/>
      <c r="L964" s="248"/>
      <c r="M964" s="248"/>
      <c r="N964" s="248"/>
      <c r="O964" s="248"/>
      <c r="P964" s="248"/>
      <c r="Q964" s="248"/>
      <c r="R964" s="248"/>
      <c r="S964" s="248"/>
      <c r="T964" s="248"/>
      <c r="U964" s="248"/>
      <c r="V964" s="248"/>
      <c r="W964" s="248"/>
      <c r="X964" s="248"/>
      <c r="Y964" s="248"/>
      <c r="Z964" s="248"/>
      <c r="AA964" s="248"/>
      <c r="AB964" s="248"/>
    </row>
    <row r="965" spans="1:28" ht="13.8">
      <c r="A965" s="248"/>
      <c r="B965" s="248"/>
      <c r="C965" s="331"/>
      <c r="D965" s="248"/>
      <c r="E965" s="248"/>
      <c r="F965" s="248"/>
      <c r="G965" s="248"/>
      <c r="H965" s="248"/>
      <c r="I965" s="248"/>
      <c r="J965" s="248"/>
      <c r="K965" s="248"/>
      <c r="L965" s="248"/>
      <c r="M965" s="248"/>
      <c r="N965" s="248"/>
      <c r="O965" s="248"/>
      <c r="P965" s="248"/>
      <c r="Q965" s="248"/>
      <c r="R965" s="248"/>
      <c r="S965" s="248"/>
      <c r="T965" s="248"/>
      <c r="U965" s="248"/>
      <c r="V965" s="248"/>
      <c r="W965" s="248"/>
      <c r="X965" s="248"/>
      <c r="Y965" s="248"/>
      <c r="Z965" s="248"/>
      <c r="AA965" s="248"/>
      <c r="AB965" s="248"/>
    </row>
    <row r="966" spans="1:28" ht="13.8">
      <c r="A966" s="248"/>
      <c r="B966" s="248"/>
      <c r="C966" s="331"/>
      <c r="D966" s="248"/>
      <c r="E966" s="248"/>
      <c r="F966" s="248"/>
      <c r="G966" s="248"/>
      <c r="H966" s="248"/>
      <c r="I966" s="248"/>
      <c r="J966" s="248"/>
      <c r="K966" s="248"/>
      <c r="L966" s="248"/>
      <c r="M966" s="248"/>
      <c r="N966" s="248"/>
      <c r="O966" s="248"/>
      <c r="P966" s="248"/>
      <c r="Q966" s="248"/>
      <c r="R966" s="248"/>
      <c r="S966" s="248"/>
      <c r="T966" s="248"/>
      <c r="U966" s="248"/>
      <c r="V966" s="248"/>
      <c r="W966" s="248"/>
      <c r="X966" s="248"/>
      <c r="Y966" s="248"/>
      <c r="Z966" s="248"/>
      <c r="AA966" s="248"/>
      <c r="AB966" s="248"/>
    </row>
    <row r="967" spans="1:28" ht="13.8">
      <c r="A967" s="248"/>
      <c r="B967" s="248"/>
      <c r="C967" s="331"/>
      <c r="D967" s="248"/>
      <c r="E967" s="248"/>
      <c r="F967" s="248"/>
      <c r="G967" s="248"/>
      <c r="H967" s="248"/>
      <c r="I967" s="248"/>
      <c r="J967" s="248"/>
      <c r="K967" s="248"/>
      <c r="L967" s="248"/>
      <c r="M967" s="248"/>
      <c r="N967" s="248"/>
      <c r="O967" s="248"/>
      <c r="P967" s="248"/>
      <c r="Q967" s="248"/>
      <c r="R967" s="248"/>
      <c r="S967" s="248"/>
      <c r="T967" s="248"/>
      <c r="U967" s="248"/>
      <c r="V967" s="248"/>
      <c r="W967" s="248"/>
      <c r="X967" s="248"/>
      <c r="Y967" s="248"/>
      <c r="Z967" s="248"/>
      <c r="AA967" s="248"/>
      <c r="AB967" s="248"/>
    </row>
    <row r="968" spans="1:28" ht="13.8">
      <c r="A968" s="248"/>
      <c r="B968" s="248"/>
      <c r="C968" s="331"/>
      <c r="D968" s="248"/>
      <c r="E968" s="248"/>
      <c r="F968" s="248"/>
      <c r="G968" s="248"/>
      <c r="H968" s="248"/>
      <c r="I968" s="248"/>
      <c r="J968" s="248"/>
      <c r="K968" s="248"/>
      <c r="L968" s="248"/>
      <c r="M968" s="248"/>
      <c r="N968" s="248"/>
      <c r="O968" s="248"/>
      <c r="P968" s="248"/>
      <c r="Q968" s="248"/>
      <c r="R968" s="248"/>
      <c r="S968" s="248"/>
      <c r="T968" s="248"/>
      <c r="U968" s="248"/>
      <c r="V968" s="248"/>
      <c r="W968" s="248"/>
      <c r="X968" s="248"/>
      <c r="Y968" s="248"/>
      <c r="Z968" s="248"/>
      <c r="AA968" s="248"/>
      <c r="AB968" s="248"/>
    </row>
    <row r="969" spans="1:28" ht="13.8">
      <c r="A969" s="248"/>
      <c r="B969" s="248"/>
      <c r="C969" s="331"/>
      <c r="D969" s="248"/>
      <c r="E969" s="248"/>
      <c r="F969" s="248"/>
      <c r="G969" s="248"/>
      <c r="H969" s="248"/>
      <c r="I969" s="248"/>
      <c r="J969" s="248"/>
      <c r="K969" s="248"/>
      <c r="L969" s="248"/>
      <c r="M969" s="248"/>
      <c r="N969" s="248"/>
      <c r="O969" s="248"/>
      <c r="P969" s="248"/>
      <c r="Q969" s="248"/>
      <c r="R969" s="248"/>
      <c r="S969" s="248"/>
      <c r="T969" s="248"/>
      <c r="U969" s="248"/>
      <c r="V969" s="248"/>
      <c r="W969" s="248"/>
      <c r="X969" s="248"/>
      <c r="Y969" s="248"/>
      <c r="Z969" s="248"/>
      <c r="AA969" s="248"/>
      <c r="AB969" s="248"/>
    </row>
    <row r="970" spans="1:28" ht="13.8">
      <c r="A970" s="248"/>
      <c r="B970" s="248"/>
      <c r="C970" s="331"/>
      <c r="D970" s="248"/>
      <c r="E970" s="248"/>
      <c r="F970" s="248"/>
      <c r="G970" s="248"/>
      <c r="H970" s="248"/>
      <c r="I970" s="248"/>
      <c r="J970" s="248"/>
      <c r="K970" s="248"/>
      <c r="L970" s="248"/>
      <c r="M970" s="248"/>
      <c r="N970" s="248"/>
      <c r="O970" s="248"/>
      <c r="P970" s="248"/>
      <c r="Q970" s="248"/>
      <c r="R970" s="248"/>
      <c r="S970" s="248"/>
      <c r="T970" s="248"/>
      <c r="U970" s="248"/>
      <c r="V970" s="248"/>
      <c r="W970" s="248"/>
      <c r="X970" s="248"/>
      <c r="Y970" s="248"/>
      <c r="Z970" s="248"/>
      <c r="AA970" s="248"/>
      <c r="AB970" s="248"/>
    </row>
    <row r="971" spans="1:28" ht="13.8">
      <c r="A971" s="248"/>
      <c r="B971" s="248"/>
      <c r="C971" s="331"/>
      <c r="D971" s="248"/>
      <c r="E971" s="248"/>
      <c r="F971" s="248"/>
      <c r="G971" s="248"/>
      <c r="H971" s="248"/>
      <c r="I971" s="248"/>
      <c r="J971" s="248"/>
      <c r="K971" s="248"/>
      <c r="L971" s="248"/>
      <c r="M971" s="248"/>
      <c r="N971" s="248"/>
      <c r="O971" s="248"/>
      <c r="P971" s="248"/>
      <c r="Q971" s="248"/>
      <c r="R971" s="248"/>
      <c r="S971" s="248"/>
      <c r="T971" s="248"/>
      <c r="U971" s="248"/>
      <c r="V971" s="248"/>
      <c r="W971" s="248"/>
      <c r="X971" s="248"/>
      <c r="Y971" s="248"/>
      <c r="Z971" s="248"/>
      <c r="AA971" s="248"/>
      <c r="AB971" s="248"/>
    </row>
    <row r="972" spans="1:28" ht="13.8">
      <c r="A972" s="248"/>
      <c r="B972" s="248"/>
      <c r="C972" s="331"/>
      <c r="D972" s="248"/>
      <c r="E972" s="248"/>
      <c r="F972" s="248"/>
      <c r="G972" s="248"/>
      <c r="H972" s="248"/>
      <c r="I972" s="248"/>
      <c r="J972" s="248"/>
      <c r="K972" s="248"/>
      <c r="L972" s="248"/>
      <c r="M972" s="248"/>
      <c r="N972" s="248"/>
      <c r="O972" s="248"/>
      <c r="P972" s="248"/>
      <c r="Q972" s="248"/>
      <c r="R972" s="248"/>
      <c r="S972" s="248"/>
      <c r="T972" s="248"/>
      <c r="U972" s="248"/>
      <c r="V972" s="248"/>
      <c r="W972" s="248"/>
      <c r="X972" s="248"/>
      <c r="Y972" s="248"/>
      <c r="Z972" s="248"/>
      <c r="AA972" s="248"/>
      <c r="AB972" s="248"/>
    </row>
    <row r="973" spans="1:28" ht="13.8">
      <c r="A973" s="248"/>
      <c r="B973" s="248"/>
      <c r="C973" s="331"/>
      <c r="D973" s="248"/>
      <c r="E973" s="248"/>
      <c r="F973" s="248"/>
      <c r="G973" s="248"/>
      <c r="H973" s="248"/>
      <c r="I973" s="248"/>
      <c r="J973" s="248"/>
      <c r="K973" s="248"/>
      <c r="L973" s="248"/>
      <c r="M973" s="248"/>
      <c r="N973" s="248"/>
      <c r="O973" s="248"/>
      <c r="P973" s="248"/>
      <c r="Q973" s="248"/>
      <c r="R973" s="248"/>
      <c r="S973" s="248"/>
      <c r="T973" s="248"/>
      <c r="U973" s="248"/>
      <c r="V973" s="248"/>
      <c r="W973" s="248"/>
      <c r="X973" s="248"/>
      <c r="Y973" s="248"/>
      <c r="Z973" s="248"/>
      <c r="AA973" s="248"/>
      <c r="AB973" s="248"/>
    </row>
    <row r="974" spans="1:28" ht="13.8">
      <c r="A974" s="248"/>
      <c r="B974" s="248"/>
      <c r="C974" s="331"/>
      <c r="D974" s="248"/>
      <c r="E974" s="248"/>
      <c r="F974" s="248"/>
      <c r="G974" s="248"/>
      <c r="H974" s="248"/>
      <c r="I974" s="248"/>
      <c r="J974" s="248"/>
      <c r="K974" s="248"/>
      <c r="L974" s="248"/>
      <c r="M974" s="248"/>
      <c r="N974" s="248"/>
      <c r="O974" s="248"/>
      <c r="P974" s="248"/>
      <c r="Q974" s="248"/>
      <c r="R974" s="248"/>
      <c r="S974" s="248"/>
      <c r="T974" s="248"/>
      <c r="U974" s="248"/>
      <c r="V974" s="248"/>
      <c r="W974" s="248"/>
      <c r="X974" s="248"/>
      <c r="Y974" s="248"/>
      <c r="Z974" s="248"/>
      <c r="AA974" s="248"/>
      <c r="AB974" s="248"/>
    </row>
    <row r="975" spans="1:28" ht="13.8">
      <c r="A975" s="248"/>
      <c r="B975" s="248"/>
      <c r="C975" s="331"/>
      <c r="D975" s="248"/>
      <c r="E975" s="248"/>
      <c r="F975" s="248"/>
      <c r="G975" s="248"/>
      <c r="H975" s="248"/>
      <c r="I975" s="248"/>
      <c r="J975" s="248"/>
      <c r="K975" s="248"/>
      <c r="L975" s="248"/>
      <c r="M975" s="248"/>
      <c r="N975" s="248"/>
      <c r="O975" s="248"/>
      <c r="P975" s="248"/>
      <c r="Q975" s="248"/>
      <c r="R975" s="248"/>
      <c r="S975" s="248"/>
      <c r="T975" s="248"/>
      <c r="U975" s="248"/>
      <c r="V975" s="248"/>
      <c r="W975" s="248"/>
      <c r="X975" s="248"/>
      <c r="Y975" s="248"/>
      <c r="Z975" s="248"/>
      <c r="AA975" s="248"/>
      <c r="AB975" s="248"/>
    </row>
    <row r="976" spans="1:28" ht="13.8">
      <c r="A976" s="248"/>
      <c r="B976" s="248"/>
      <c r="C976" s="331"/>
      <c r="D976" s="248"/>
      <c r="E976" s="248"/>
      <c r="F976" s="248"/>
      <c r="G976" s="248"/>
      <c r="H976" s="248"/>
      <c r="I976" s="248"/>
      <c r="J976" s="248"/>
      <c r="K976" s="248"/>
      <c r="L976" s="248"/>
      <c r="M976" s="248"/>
      <c r="N976" s="248"/>
      <c r="O976" s="248"/>
      <c r="P976" s="248"/>
      <c r="Q976" s="248"/>
      <c r="R976" s="248"/>
      <c r="S976" s="248"/>
      <c r="T976" s="248"/>
      <c r="U976" s="248"/>
      <c r="V976" s="248"/>
      <c r="W976" s="248"/>
      <c r="X976" s="248"/>
      <c r="Y976" s="248"/>
      <c r="Z976" s="248"/>
      <c r="AA976" s="248"/>
      <c r="AB976" s="248"/>
    </row>
    <row r="977" spans="1:28" ht="13.8">
      <c r="A977" s="248"/>
      <c r="B977" s="248"/>
      <c r="C977" s="331"/>
      <c r="D977" s="248"/>
      <c r="E977" s="248"/>
      <c r="F977" s="248"/>
      <c r="G977" s="248"/>
      <c r="H977" s="248"/>
      <c r="I977" s="248"/>
      <c r="J977" s="248"/>
      <c r="K977" s="248"/>
      <c r="L977" s="248"/>
      <c r="M977" s="248"/>
      <c r="N977" s="248"/>
      <c r="O977" s="248"/>
      <c r="P977" s="248"/>
      <c r="Q977" s="248"/>
      <c r="R977" s="248"/>
      <c r="S977" s="248"/>
      <c r="T977" s="248"/>
      <c r="U977" s="248"/>
      <c r="V977" s="248"/>
      <c r="W977" s="248"/>
      <c r="X977" s="248"/>
      <c r="Y977" s="248"/>
      <c r="Z977" s="248"/>
      <c r="AA977" s="248"/>
      <c r="AB977" s="248"/>
    </row>
    <row r="978" spans="1:28" ht="13.8">
      <c r="A978" s="248"/>
      <c r="B978" s="248"/>
      <c r="C978" s="331"/>
      <c r="D978" s="248"/>
      <c r="E978" s="248"/>
      <c r="F978" s="248"/>
      <c r="G978" s="248"/>
      <c r="H978" s="248"/>
      <c r="I978" s="248"/>
      <c r="J978" s="248"/>
      <c r="K978" s="248"/>
      <c r="L978" s="248"/>
      <c r="M978" s="248"/>
      <c r="N978" s="248"/>
      <c r="O978" s="248"/>
      <c r="P978" s="248"/>
      <c r="Q978" s="248"/>
      <c r="R978" s="248"/>
      <c r="S978" s="248"/>
      <c r="T978" s="248"/>
      <c r="U978" s="248"/>
      <c r="V978" s="248"/>
      <c r="W978" s="248"/>
      <c r="X978" s="248"/>
      <c r="Y978" s="248"/>
      <c r="Z978" s="248"/>
      <c r="AA978" s="248"/>
      <c r="AB978" s="248"/>
    </row>
    <row r="979" spans="1:28" ht="13.8">
      <c r="A979" s="248"/>
      <c r="B979" s="248"/>
      <c r="C979" s="331"/>
      <c r="D979" s="248"/>
      <c r="E979" s="248"/>
      <c r="F979" s="248"/>
      <c r="G979" s="248"/>
      <c r="H979" s="248"/>
      <c r="I979" s="248"/>
      <c r="J979" s="248"/>
      <c r="K979" s="248"/>
      <c r="L979" s="248"/>
      <c r="M979" s="248"/>
      <c r="N979" s="248"/>
      <c r="O979" s="248"/>
      <c r="P979" s="248"/>
      <c r="Q979" s="248"/>
      <c r="R979" s="248"/>
      <c r="S979" s="248"/>
      <c r="T979" s="248"/>
      <c r="U979" s="248"/>
      <c r="V979" s="248"/>
      <c r="W979" s="248"/>
      <c r="X979" s="248"/>
      <c r="Y979" s="248"/>
      <c r="Z979" s="248"/>
      <c r="AA979" s="248"/>
      <c r="AB979" s="248"/>
    </row>
    <row r="980" spans="1:28" ht="13.8">
      <c r="A980" s="248"/>
      <c r="B980" s="248"/>
      <c r="C980" s="331"/>
      <c r="D980" s="248"/>
      <c r="E980" s="248"/>
      <c r="F980" s="248"/>
      <c r="G980" s="248"/>
      <c r="H980" s="248"/>
      <c r="I980" s="248"/>
      <c r="J980" s="248"/>
      <c r="K980" s="248"/>
      <c r="L980" s="248"/>
      <c r="M980" s="248"/>
      <c r="N980" s="248"/>
      <c r="O980" s="248"/>
      <c r="P980" s="248"/>
      <c r="Q980" s="248"/>
      <c r="R980" s="248"/>
      <c r="S980" s="248"/>
      <c r="T980" s="248"/>
      <c r="U980" s="248"/>
      <c r="V980" s="248"/>
      <c r="W980" s="248"/>
      <c r="X980" s="248"/>
      <c r="Y980" s="248"/>
      <c r="Z980" s="248"/>
      <c r="AA980" s="248"/>
      <c r="AB980" s="248"/>
    </row>
    <row r="981" spans="1:28" ht="13.8">
      <c r="A981" s="248"/>
      <c r="B981" s="248"/>
      <c r="C981" s="331"/>
      <c r="D981" s="248"/>
      <c r="E981" s="248"/>
      <c r="F981" s="248"/>
      <c r="G981" s="248"/>
      <c r="H981" s="248"/>
      <c r="I981" s="248"/>
      <c r="J981" s="248"/>
      <c r="K981" s="248"/>
      <c r="L981" s="248"/>
      <c r="M981" s="248"/>
      <c r="N981" s="248"/>
      <c r="O981" s="248"/>
      <c r="P981" s="248"/>
      <c r="Q981" s="248"/>
      <c r="R981" s="248"/>
      <c r="S981" s="248"/>
      <c r="T981" s="248"/>
      <c r="U981" s="248"/>
      <c r="V981" s="248"/>
      <c r="W981" s="248"/>
      <c r="X981" s="248"/>
      <c r="Y981" s="248"/>
      <c r="Z981" s="248"/>
      <c r="AA981" s="248"/>
      <c r="AB981" s="248"/>
    </row>
    <row r="982" spans="1:28" ht="13.8">
      <c r="A982" s="248"/>
      <c r="B982" s="248"/>
      <c r="C982" s="331"/>
      <c r="D982" s="248"/>
      <c r="E982" s="248"/>
      <c r="F982" s="248"/>
      <c r="G982" s="248"/>
      <c r="H982" s="248"/>
      <c r="I982" s="248"/>
      <c r="J982" s="248"/>
      <c r="K982" s="248"/>
      <c r="L982" s="248"/>
      <c r="M982" s="248"/>
      <c r="N982" s="248"/>
      <c r="O982" s="248"/>
      <c r="P982" s="248"/>
      <c r="Q982" s="248"/>
      <c r="R982" s="248"/>
      <c r="S982" s="248"/>
      <c r="T982" s="248"/>
      <c r="U982" s="248"/>
      <c r="V982" s="248"/>
      <c r="W982" s="248"/>
      <c r="X982" s="248"/>
      <c r="Y982" s="248"/>
      <c r="Z982" s="248"/>
      <c r="AA982" s="248"/>
      <c r="AB982" s="248"/>
    </row>
    <row r="983" spans="1:28" ht="13.8">
      <c r="A983" s="248"/>
      <c r="B983" s="248"/>
      <c r="C983" s="331"/>
      <c r="D983" s="248"/>
      <c r="E983" s="248"/>
      <c r="F983" s="248"/>
      <c r="G983" s="248"/>
      <c r="H983" s="248"/>
      <c r="I983" s="248"/>
      <c r="J983" s="248"/>
      <c r="K983" s="248"/>
      <c r="L983" s="248"/>
      <c r="M983" s="248"/>
      <c r="N983" s="248"/>
      <c r="O983" s="248"/>
      <c r="P983" s="248"/>
      <c r="Q983" s="248"/>
      <c r="R983" s="248"/>
      <c r="S983" s="248"/>
      <c r="T983" s="248"/>
      <c r="U983" s="248"/>
      <c r="V983" s="248"/>
      <c r="W983" s="248"/>
      <c r="X983" s="248"/>
      <c r="Y983" s="248"/>
      <c r="Z983" s="248"/>
      <c r="AA983" s="248"/>
      <c r="AB983" s="248"/>
    </row>
    <row r="984" spans="1:28" ht="13.8">
      <c r="A984" s="248"/>
      <c r="B984" s="248"/>
      <c r="C984" s="331"/>
      <c r="D984" s="248"/>
      <c r="E984" s="248"/>
      <c r="F984" s="248"/>
      <c r="G984" s="248"/>
      <c r="H984" s="248"/>
      <c r="I984" s="248"/>
      <c r="J984" s="248"/>
      <c r="K984" s="248"/>
      <c r="L984" s="248"/>
      <c r="M984" s="248"/>
      <c r="N984" s="248"/>
      <c r="O984" s="248"/>
      <c r="P984" s="248"/>
      <c r="Q984" s="248"/>
      <c r="R984" s="248"/>
      <c r="S984" s="248"/>
      <c r="T984" s="248"/>
      <c r="U984" s="248"/>
      <c r="V984" s="248"/>
      <c r="W984" s="248"/>
      <c r="X984" s="248"/>
      <c r="Y984" s="248"/>
      <c r="Z984" s="248"/>
      <c r="AA984" s="248"/>
      <c r="AB984" s="248"/>
    </row>
    <row r="985" spans="1:28" ht="13.8">
      <c r="A985" s="248"/>
      <c r="B985" s="248"/>
      <c r="C985" s="331"/>
      <c r="D985" s="248"/>
      <c r="E985" s="248"/>
      <c r="F985" s="248"/>
      <c r="G985" s="248"/>
      <c r="H985" s="248"/>
      <c r="I985" s="248"/>
      <c r="J985" s="248"/>
      <c r="K985" s="248"/>
      <c r="L985" s="248"/>
      <c r="M985" s="248"/>
      <c r="N985" s="248"/>
      <c r="O985" s="248"/>
      <c r="P985" s="248"/>
      <c r="Q985" s="248"/>
      <c r="R985" s="248"/>
      <c r="S985" s="248"/>
      <c r="T985" s="248"/>
      <c r="U985" s="248"/>
      <c r="V985" s="248"/>
      <c r="W985" s="248"/>
      <c r="X985" s="248"/>
      <c r="Y985" s="248"/>
      <c r="Z985" s="248"/>
      <c r="AA985" s="248"/>
      <c r="AB985" s="248"/>
    </row>
    <row r="986" spans="1:28" ht="13.8">
      <c r="A986" s="248"/>
      <c r="B986" s="248"/>
      <c r="C986" s="331"/>
      <c r="D986" s="248"/>
      <c r="E986" s="248"/>
      <c r="F986" s="248"/>
      <c r="G986" s="248"/>
      <c r="H986" s="248"/>
      <c r="I986" s="248"/>
      <c r="J986" s="248"/>
      <c r="K986" s="248"/>
      <c r="L986" s="248"/>
      <c r="M986" s="248"/>
      <c r="N986" s="248"/>
      <c r="O986" s="248"/>
      <c r="P986" s="248"/>
      <c r="Q986" s="248"/>
      <c r="R986" s="248"/>
      <c r="S986" s="248"/>
      <c r="T986" s="248"/>
      <c r="U986" s="248"/>
      <c r="V986" s="248"/>
      <c r="W986" s="248"/>
      <c r="X986" s="248"/>
      <c r="Y986" s="248"/>
      <c r="Z986" s="248"/>
      <c r="AA986" s="248"/>
      <c r="AB986" s="248"/>
    </row>
    <row r="987" spans="1:28" ht="13.8">
      <c r="A987" s="248"/>
      <c r="B987" s="248"/>
      <c r="C987" s="331"/>
      <c r="D987" s="248"/>
      <c r="E987" s="248"/>
      <c r="F987" s="248"/>
      <c r="G987" s="248"/>
      <c r="H987" s="248"/>
      <c r="I987" s="248"/>
      <c r="J987" s="248"/>
      <c r="K987" s="248"/>
      <c r="L987" s="248"/>
      <c r="M987" s="248"/>
      <c r="N987" s="248"/>
      <c r="O987" s="248"/>
      <c r="P987" s="248"/>
      <c r="Q987" s="248"/>
      <c r="R987" s="248"/>
      <c r="S987" s="248"/>
      <c r="T987" s="248"/>
      <c r="U987" s="248"/>
      <c r="V987" s="248"/>
      <c r="W987" s="248"/>
      <c r="X987" s="248"/>
      <c r="Y987" s="248"/>
      <c r="Z987" s="248"/>
      <c r="AA987" s="248"/>
      <c r="AB987" s="248"/>
    </row>
    <row r="988" spans="1:28" ht="13.8">
      <c r="A988" s="248"/>
      <c r="B988" s="248"/>
      <c r="C988" s="331"/>
      <c r="D988" s="248"/>
      <c r="E988" s="248"/>
      <c r="F988" s="248"/>
      <c r="G988" s="248"/>
      <c r="H988" s="248"/>
      <c r="I988" s="248"/>
      <c r="J988" s="248"/>
      <c r="K988" s="248"/>
      <c r="L988" s="248"/>
      <c r="M988" s="248"/>
      <c r="N988" s="248"/>
      <c r="O988" s="248"/>
      <c r="P988" s="248"/>
      <c r="Q988" s="248"/>
      <c r="R988" s="248"/>
      <c r="S988" s="248"/>
      <c r="T988" s="248"/>
      <c r="U988" s="248"/>
      <c r="V988" s="248"/>
      <c r="W988" s="248"/>
      <c r="X988" s="248"/>
      <c r="Y988" s="248"/>
      <c r="Z988" s="248"/>
      <c r="AA988" s="248"/>
      <c r="AB988" s="248"/>
    </row>
    <row r="989" spans="1:28" ht="13.8">
      <c r="A989" s="248"/>
      <c r="B989" s="248"/>
      <c r="C989" s="331"/>
      <c r="D989" s="248"/>
      <c r="E989" s="248"/>
      <c r="F989" s="248"/>
      <c r="G989" s="248"/>
      <c r="H989" s="248"/>
      <c r="I989" s="248"/>
      <c r="J989" s="248"/>
      <c r="K989" s="248"/>
      <c r="L989" s="248"/>
      <c r="M989" s="248"/>
      <c r="N989" s="248"/>
      <c r="O989" s="248"/>
      <c r="P989" s="248"/>
      <c r="Q989" s="248"/>
      <c r="R989" s="248"/>
      <c r="S989" s="248"/>
      <c r="T989" s="248"/>
      <c r="U989" s="248"/>
      <c r="V989" s="248"/>
      <c r="W989" s="248"/>
      <c r="X989" s="248"/>
      <c r="Y989" s="248"/>
      <c r="Z989" s="248"/>
      <c r="AA989" s="248"/>
      <c r="AB989" s="248"/>
    </row>
    <row r="990" spans="1:28" ht="13.8">
      <c r="A990" s="248"/>
      <c r="B990" s="248"/>
      <c r="C990" s="331"/>
      <c r="D990" s="248"/>
      <c r="E990" s="248"/>
      <c r="F990" s="248"/>
      <c r="G990" s="248"/>
      <c r="H990" s="248"/>
      <c r="I990" s="248"/>
      <c r="J990" s="248"/>
      <c r="K990" s="248"/>
      <c r="L990" s="248"/>
      <c r="M990" s="248"/>
      <c r="N990" s="248"/>
      <c r="O990" s="248"/>
      <c r="P990" s="248"/>
      <c r="Q990" s="248"/>
      <c r="R990" s="248"/>
      <c r="S990" s="248"/>
      <c r="T990" s="248"/>
      <c r="U990" s="248"/>
      <c r="V990" s="248"/>
      <c r="W990" s="248"/>
      <c r="X990" s="248"/>
      <c r="Y990" s="248"/>
      <c r="Z990" s="248"/>
      <c r="AA990" s="248"/>
      <c r="AB990" s="248"/>
    </row>
    <row r="991" spans="1:28" ht="13.8">
      <c r="A991" s="248"/>
      <c r="B991" s="248"/>
      <c r="C991" s="331"/>
      <c r="D991" s="248"/>
      <c r="E991" s="248"/>
      <c r="F991" s="248"/>
      <c r="G991" s="248"/>
      <c r="H991" s="248"/>
      <c r="I991" s="248"/>
      <c r="J991" s="248"/>
      <c r="K991" s="248"/>
      <c r="L991" s="248"/>
      <c r="M991" s="248"/>
      <c r="N991" s="248"/>
      <c r="O991" s="248"/>
      <c r="P991" s="248"/>
      <c r="Q991" s="248"/>
      <c r="R991" s="248"/>
      <c r="S991" s="248"/>
      <c r="T991" s="248"/>
      <c r="U991" s="248"/>
      <c r="V991" s="248"/>
      <c r="W991" s="248"/>
      <c r="X991" s="248"/>
      <c r="Y991" s="248"/>
      <c r="Z991" s="248"/>
      <c r="AA991" s="248"/>
      <c r="AB991" s="248"/>
    </row>
    <row r="992" spans="1:28" ht="13.8">
      <c r="A992" s="248"/>
      <c r="B992" s="248"/>
      <c r="C992" s="331"/>
      <c r="D992" s="248"/>
      <c r="E992" s="248"/>
      <c r="F992" s="248"/>
      <c r="G992" s="248"/>
      <c r="H992" s="248"/>
      <c r="I992" s="248"/>
      <c r="J992" s="248"/>
      <c r="K992" s="248"/>
      <c r="L992" s="248"/>
      <c r="M992" s="248"/>
      <c r="N992" s="248"/>
      <c r="O992" s="248"/>
      <c r="P992" s="248"/>
      <c r="Q992" s="248"/>
      <c r="R992" s="248"/>
      <c r="S992" s="248"/>
      <c r="T992" s="248"/>
      <c r="U992" s="248"/>
      <c r="V992" s="248"/>
      <c r="W992" s="248"/>
      <c r="X992" s="248"/>
      <c r="Y992" s="248"/>
      <c r="Z992" s="248"/>
      <c r="AA992" s="248"/>
      <c r="AB992" s="248"/>
    </row>
    <row r="993" spans="1:28" ht="13.8">
      <c r="A993" s="248"/>
      <c r="B993" s="248"/>
      <c r="C993" s="331"/>
      <c r="D993" s="248"/>
      <c r="E993" s="248"/>
      <c r="F993" s="248"/>
      <c r="G993" s="248"/>
      <c r="H993" s="248"/>
      <c r="I993" s="248"/>
      <c r="J993" s="248"/>
      <c r="K993" s="248"/>
      <c r="L993" s="248"/>
      <c r="M993" s="248"/>
      <c r="N993" s="248"/>
      <c r="O993" s="248"/>
      <c r="P993" s="248"/>
      <c r="Q993" s="248"/>
      <c r="R993" s="248"/>
      <c r="S993" s="248"/>
      <c r="T993" s="248"/>
      <c r="U993" s="248"/>
      <c r="V993" s="248"/>
      <c r="W993" s="248"/>
      <c r="X993" s="248"/>
      <c r="Y993" s="248"/>
      <c r="Z993" s="248"/>
      <c r="AA993" s="248"/>
      <c r="AB993" s="248"/>
    </row>
    <row r="994" spans="1:28" ht="13.8">
      <c r="A994" s="248"/>
      <c r="B994" s="248"/>
      <c r="C994" s="331"/>
      <c r="D994" s="248"/>
      <c r="E994" s="248"/>
      <c r="F994" s="248"/>
      <c r="G994" s="248"/>
      <c r="H994" s="248"/>
      <c r="I994" s="248"/>
      <c r="J994" s="248"/>
      <c r="K994" s="248"/>
      <c r="L994" s="248"/>
      <c r="M994" s="248"/>
      <c r="N994" s="248"/>
      <c r="O994" s="248"/>
      <c r="P994" s="248"/>
      <c r="Q994" s="248"/>
      <c r="R994" s="248"/>
      <c r="S994" s="248"/>
      <c r="T994" s="248"/>
      <c r="U994" s="248"/>
      <c r="V994" s="248"/>
      <c r="W994" s="248"/>
      <c r="X994" s="248"/>
      <c r="Y994" s="248"/>
      <c r="Z994" s="248"/>
      <c r="AA994" s="248"/>
      <c r="AB994" s="248"/>
    </row>
    <row r="995" spans="1:28" ht="13.8">
      <c r="A995" s="248"/>
      <c r="B995" s="248"/>
      <c r="C995" s="331"/>
      <c r="D995" s="248"/>
      <c r="E995" s="248"/>
      <c r="F995" s="248"/>
      <c r="G995" s="248"/>
      <c r="H995" s="248"/>
      <c r="I995" s="248"/>
      <c r="J995" s="248"/>
      <c r="K995" s="248"/>
      <c r="L995" s="248"/>
      <c r="M995" s="248"/>
      <c r="N995" s="248"/>
      <c r="O995" s="248"/>
      <c r="P995" s="248"/>
      <c r="Q995" s="248"/>
      <c r="R995" s="248"/>
      <c r="S995" s="248"/>
      <c r="T995" s="248"/>
      <c r="U995" s="248"/>
      <c r="V995" s="248"/>
      <c r="W995" s="248"/>
      <c r="X995" s="248"/>
      <c r="Y995" s="248"/>
      <c r="Z995" s="248"/>
      <c r="AA995" s="248"/>
      <c r="AB995" s="248"/>
    </row>
    <row r="996" spans="1:28" ht="13.8">
      <c r="A996" s="248"/>
      <c r="B996" s="248"/>
      <c r="C996" s="331"/>
      <c r="D996" s="248"/>
      <c r="E996" s="248"/>
      <c r="F996" s="248"/>
      <c r="G996" s="248"/>
      <c r="H996" s="248"/>
      <c r="I996" s="248"/>
      <c r="J996" s="248"/>
      <c r="K996" s="248"/>
      <c r="L996" s="248"/>
      <c r="M996" s="248"/>
      <c r="N996" s="248"/>
      <c r="O996" s="248"/>
      <c r="P996" s="248"/>
      <c r="Q996" s="248"/>
      <c r="R996" s="248"/>
      <c r="S996" s="248"/>
      <c r="T996" s="248"/>
      <c r="U996" s="248"/>
      <c r="V996" s="248"/>
      <c r="W996" s="248"/>
      <c r="X996" s="248"/>
      <c r="Y996" s="248"/>
      <c r="Z996" s="248"/>
      <c r="AA996" s="248"/>
      <c r="AB996" s="248"/>
    </row>
    <row r="997" spans="1:28" ht="13.8">
      <c r="A997" s="248"/>
      <c r="B997" s="248"/>
      <c r="C997" s="331"/>
      <c r="D997" s="248"/>
      <c r="E997" s="248"/>
      <c r="F997" s="248"/>
      <c r="G997" s="248"/>
      <c r="H997" s="248"/>
      <c r="I997" s="248"/>
      <c r="J997" s="248"/>
      <c r="K997" s="248"/>
      <c r="L997" s="248"/>
      <c r="M997" s="248"/>
      <c r="N997" s="248"/>
      <c r="O997" s="248"/>
      <c r="P997" s="248"/>
      <c r="Q997" s="248"/>
      <c r="R997" s="248"/>
      <c r="S997" s="248"/>
      <c r="T997" s="248"/>
      <c r="U997" s="248"/>
      <c r="V997" s="248"/>
      <c r="W997" s="248"/>
      <c r="X997" s="248"/>
      <c r="Y997" s="248"/>
      <c r="Z997" s="248"/>
      <c r="AA997" s="248"/>
      <c r="AB997" s="248"/>
    </row>
    <row r="998" spans="1:28" ht="13.8">
      <c r="A998" s="248"/>
      <c r="B998" s="248"/>
      <c r="C998" s="331"/>
      <c r="D998" s="248"/>
      <c r="E998" s="248"/>
      <c r="F998" s="248"/>
      <c r="G998" s="248"/>
      <c r="H998" s="248"/>
      <c r="I998" s="248"/>
      <c r="J998" s="248"/>
      <c r="K998" s="248"/>
      <c r="L998" s="248"/>
      <c r="M998" s="248"/>
      <c r="N998" s="248"/>
      <c r="O998" s="248"/>
      <c r="P998" s="248"/>
      <c r="Q998" s="248"/>
      <c r="R998" s="248"/>
      <c r="S998" s="248"/>
      <c r="T998" s="248"/>
      <c r="U998" s="248"/>
      <c r="V998" s="248"/>
      <c r="W998" s="248"/>
      <c r="X998" s="248"/>
      <c r="Y998" s="248"/>
      <c r="Z998" s="248"/>
      <c r="AA998" s="248"/>
      <c r="AB998" s="248"/>
    </row>
    <row r="999" spans="1:28" ht="13.8">
      <c r="A999" s="248"/>
      <c r="B999" s="248"/>
      <c r="C999" s="331"/>
      <c r="D999" s="248"/>
      <c r="E999" s="248"/>
      <c r="F999" s="248"/>
      <c r="G999" s="248"/>
      <c r="H999" s="248"/>
      <c r="I999" s="248"/>
      <c r="J999" s="248"/>
      <c r="K999" s="248"/>
      <c r="L999" s="248"/>
      <c r="M999" s="248"/>
      <c r="N999" s="248"/>
      <c r="O999" s="248"/>
      <c r="P999" s="248"/>
      <c r="Q999" s="248"/>
      <c r="R999" s="248"/>
      <c r="S999" s="248"/>
      <c r="T999" s="248"/>
      <c r="U999" s="248"/>
      <c r="V999" s="248"/>
      <c r="W999" s="248"/>
      <c r="X999" s="248"/>
      <c r="Y999" s="248"/>
      <c r="Z999" s="248"/>
      <c r="AA999" s="248"/>
      <c r="AB999" s="248"/>
    </row>
    <row r="1000" spans="1:28" ht="13.8">
      <c r="A1000" s="248"/>
      <c r="B1000" s="248"/>
      <c r="C1000" s="331"/>
      <c r="D1000" s="248"/>
      <c r="E1000" s="248"/>
      <c r="F1000" s="248"/>
      <c r="G1000" s="248"/>
      <c r="H1000" s="248"/>
      <c r="I1000" s="248"/>
      <c r="J1000" s="248"/>
      <c r="K1000" s="248"/>
      <c r="L1000" s="248"/>
      <c r="M1000" s="248"/>
      <c r="N1000" s="248"/>
      <c r="O1000" s="248"/>
      <c r="P1000" s="248"/>
      <c r="Q1000" s="248"/>
      <c r="R1000" s="248"/>
      <c r="S1000" s="248"/>
      <c r="T1000" s="248"/>
      <c r="U1000" s="248"/>
      <c r="V1000" s="248"/>
      <c r="W1000" s="248"/>
      <c r="X1000" s="248"/>
      <c r="Y1000" s="248"/>
      <c r="Z1000" s="248"/>
      <c r="AA1000" s="248"/>
      <c r="AB1000" s="248"/>
    </row>
  </sheetData>
  <autoFilter ref="A2:AB15" xr:uid="{00000000-0009-0000-0000-000014000000}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 DAR and Regions</vt:lpstr>
      <vt:lpstr>Conso list</vt:lpstr>
      <vt:lpstr>DARCO</vt:lpstr>
      <vt:lpstr>CAR</vt:lpstr>
      <vt:lpstr>R-I</vt:lpstr>
      <vt:lpstr>R-II</vt:lpstr>
      <vt:lpstr>R-III</vt:lpstr>
      <vt:lpstr>R-IVA</vt:lpstr>
      <vt:lpstr>R-IVB</vt:lpstr>
      <vt:lpstr>R-V</vt:lpstr>
      <vt:lpstr>R-VI</vt:lpstr>
      <vt:lpstr>NIR</vt:lpstr>
      <vt:lpstr>R-VII</vt:lpstr>
      <vt:lpstr>R-VIII</vt:lpstr>
      <vt:lpstr>R-IX</vt:lpstr>
      <vt:lpstr>R-XI</vt:lpstr>
      <vt:lpstr>R-X</vt:lpstr>
      <vt:lpstr>R-XII</vt:lpstr>
      <vt:lpstr>CARAGA</vt:lpstr>
      <vt:lpstr>DENR</vt:lpstr>
      <vt:lpstr>LRA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EJ Gallarde</cp:lastModifiedBy>
  <dcterms:created xsi:type="dcterms:W3CDTF">2026-09-14T05:16:12Z</dcterms:created>
  <dcterms:modified xsi:type="dcterms:W3CDTF">2026-09-14T05:16:13Z</dcterms:modified>
</cp:coreProperties>
</file>